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IS Report" sheetId="1" r:id="rId1"/>
  </sheets>
  <calcPr calcId="124519" fullCalcOnLoad="1"/>
</workbook>
</file>

<file path=xl/sharedStrings.xml><?xml version="1.0" encoding="utf-8"?>
<sst xmlns="http://schemas.openxmlformats.org/spreadsheetml/2006/main" count="174564" uniqueCount="11745">
  <si>
    <t>Hyperlinked Case #</t>
  </si>
  <si>
    <t>Date of Birth</t>
  </si>
  <si>
    <t>Street Address</t>
  </si>
  <si>
    <t>City</t>
  </si>
  <si>
    <t>State</t>
  </si>
  <si>
    <t>Zip Code</t>
  </si>
  <si>
    <t>Assigned Branch/CC</t>
  </si>
  <si>
    <t>Date Opened</t>
  </si>
  <si>
    <t>Language</t>
  </si>
  <si>
    <t>Assigned Office</t>
  </si>
  <si>
    <t>Case Disposition</t>
  </si>
  <si>
    <t>Date Closed</t>
  </si>
  <si>
    <t>Primary Advocate</t>
  </si>
  <si>
    <t>Primary Funding Code</t>
  </si>
  <si>
    <t>Secondary Funding Codes</t>
  </si>
  <si>
    <t>Legal Problem Code Category</t>
  </si>
  <si>
    <t>Legal Problem Code</t>
  </si>
  <si>
    <t>Race</t>
  </si>
  <si>
    <t>Ethnicity</t>
  </si>
  <si>
    <t xml:space="preserve">Total Annual Income </t>
  </si>
  <si>
    <t>Total Monthly Income</t>
  </si>
  <si>
    <t>Age at Intake</t>
  </si>
  <si>
    <t>Number of People 18 and Over</t>
  </si>
  <si>
    <t>Number of People under 18</t>
  </si>
  <si>
    <t>Close Reason</t>
  </si>
  <si>
    <t>Percentage of Poverty</t>
  </si>
  <si>
    <t>Latitude</t>
  </si>
  <si>
    <t>Longitude</t>
  </si>
  <si>
    <t>Veteran</t>
  </si>
  <si>
    <t>Gender</t>
  </si>
  <si>
    <t>Do you identify as male, female, or something else?</t>
  </si>
  <si>
    <t>Immigration Status</t>
  </si>
  <si>
    <t>Citizenship Status</t>
  </si>
  <si>
    <t>Intake Program</t>
  </si>
  <si>
    <t>Intake Office Location</t>
  </si>
  <si>
    <t>Name</t>
  </si>
  <si>
    <t>Is Domestic Violence a factor in this case?</t>
  </si>
  <si>
    <t>Total Time For Case</t>
  </si>
  <si>
    <t>Congressional District</t>
  </si>
  <si>
    <t>State Legislature District Lower</t>
  </si>
  <si>
    <t>State Legislature District Upper</t>
  </si>
  <si>
    <t>New York City Council District</t>
  </si>
  <si>
    <t>Special Legal Problem Code</t>
  </si>
  <si>
    <t>Income Types</t>
  </si>
  <si>
    <t>County of Residence</t>
  </si>
  <si>
    <t>Do you prefer to go by he, she, or something else?</t>
  </si>
  <si>
    <t>Other Do you identify as LGBT?</t>
  </si>
  <si>
    <t>Other Do you prefer to go by he, she, or something else?</t>
  </si>
  <si>
    <t>Other Do you identify as male, female, or something else?</t>
  </si>
  <si>
    <t>Do you identify as LGBT?</t>
  </si>
  <si>
    <t>Close Reason.1</t>
  </si>
  <si>
    <t>Outcome</t>
  </si>
  <si>
    <t>Housing Level of Service</t>
  </si>
  <si>
    <t>Avoid (Lump Sum Avoid)</t>
  </si>
  <si>
    <t>Avoid Monthly (Monthly Payment Avoided)</t>
  </si>
  <si>
    <t>Retro Recovery (Retroactive Award/Settlement)</t>
  </si>
  <si>
    <t>Recovered Monthly (Monthly Benefit)</t>
  </si>
  <si>
    <t>Housing Level of Service [lookup]</t>
  </si>
  <si>
    <t>HAL Level of Service [lookup]</t>
  </si>
  <si>
    <t>05/30/1948</t>
  </si>
  <si>
    <t>08/20/1986</t>
  </si>
  <si>
    <t>08/22/1989</t>
  </si>
  <si>
    <t>10/18/1973</t>
  </si>
  <si>
    <t>04/11/1950</t>
  </si>
  <si>
    <t>11/04/1974</t>
  </si>
  <si>
    <t>02/28/1962</t>
  </si>
  <si>
    <t>12/25/1962</t>
  </si>
  <si>
    <t>09/14/1985</t>
  </si>
  <si>
    <t>11/21/1954</t>
  </si>
  <si>
    <t>05/29/1992</t>
  </si>
  <si>
    <t>07/11/1953</t>
  </si>
  <si>
    <t>11/25/1968</t>
  </si>
  <si>
    <t>09/17/1990</t>
  </si>
  <si>
    <t>04/28/1947</t>
  </si>
  <si>
    <t>07/30/1947</t>
  </si>
  <si>
    <t>11/10/1959</t>
  </si>
  <si>
    <t>03/25/1959</t>
  </si>
  <si>
    <t>01/19/1954</t>
  </si>
  <si>
    <t>01/10/1972</t>
  </si>
  <si>
    <t>10/19/1973</t>
  </si>
  <si>
    <t>09/29/1963</t>
  </si>
  <si>
    <t>04/29/1977</t>
  </si>
  <si>
    <t>07/07/1948</t>
  </si>
  <si>
    <t>08/02/1977</t>
  </si>
  <si>
    <t>04/05/1971</t>
  </si>
  <si>
    <t>06/06/1964</t>
  </si>
  <si>
    <t>11/03/1985</t>
  </si>
  <si>
    <t>02/07/1988</t>
  </si>
  <si>
    <t>10/06/1960</t>
  </si>
  <si>
    <t>02/21/1955</t>
  </si>
  <si>
    <t>05/12/1991</t>
  </si>
  <si>
    <t>06/03/1975</t>
  </si>
  <si>
    <t>08/30/1968</t>
  </si>
  <si>
    <t>07/25/1964</t>
  </si>
  <si>
    <t>11/19/1977</t>
  </si>
  <si>
    <t>06/17/1975</t>
  </si>
  <si>
    <t>08/03/1982</t>
  </si>
  <si>
    <t>11/10/1980</t>
  </si>
  <si>
    <t>04/02/1956</t>
  </si>
  <si>
    <t>11/12/2010</t>
  </si>
  <si>
    <t>08/17/1975</t>
  </si>
  <si>
    <t>07/06/1989</t>
  </si>
  <si>
    <t>10/10/1974</t>
  </si>
  <si>
    <t>09/25/1950</t>
  </si>
  <si>
    <t>09/28/1971</t>
  </si>
  <si>
    <t>09/05/1960</t>
  </si>
  <si>
    <t>06/27/1966</t>
  </si>
  <si>
    <t>01/01/1943</t>
  </si>
  <si>
    <t>11/06/1983</t>
  </si>
  <si>
    <t>12/28/1969</t>
  </si>
  <si>
    <t>08/27/1957</t>
  </si>
  <si>
    <t>06/10/1967</t>
  </si>
  <si>
    <t>08/03/1958</t>
  </si>
  <si>
    <t>12/16/1986</t>
  </si>
  <si>
    <t>03/18/1989</t>
  </si>
  <si>
    <t>11/15/1979</t>
  </si>
  <si>
    <t>11/12/1975</t>
  </si>
  <si>
    <t>06/11/1956</t>
  </si>
  <si>
    <t>03/15/1948</t>
  </si>
  <si>
    <t>10/28/1986</t>
  </si>
  <si>
    <t>09/15/1948</t>
  </si>
  <si>
    <t>09/03/1983</t>
  </si>
  <si>
    <t>02/23/1946</t>
  </si>
  <si>
    <t>02/16/1982</t>
  </si>
  <si>
    <t>01/02/1959</t>
  </si>
  <si>
    <t>02/15/1964</t>
  </si>
  <si>
    <t>09/20/1988</t>
  </si>
  <si>
    <t>05/05/1950</t>
  </si>
  <si>
    <t>08/01/1981</t>
  </si>
  <si>
    <t>05/05/1998</t>
  </si>
  <si>
    <t>07/22/1950</t>
  </si>
  <si>
    <t>02/04/1961</t>
  </si>
  <si>
    <t>10/09/1987</t>
  </si>
  <si>
    <t>02/03/1977</t>
  </si>
  <si>
    <t>03/04/1979</t>
  </si>
  <si>
    <t>01/12/1983</t>
  </si>
  <si>
    <t>11/16/1985</t>
  </si>
  <si>
    <t>07/10/1971</t>
  </si>
  <si>
    <t>05/17/1969</t>
  </si>
  <si>
    <t>10/11/1981</t>
  </si>
  <si>
    <t>01/11/1976</t>
  </si>
  <si>
    <t>12/29/1963</t>
  </si>
  <si>
    <t>03/15/1959</t>
  </si>
  <si>
    <t>04/30/1965</t>
  </si>
  <si>
    <t>09/08/1983</t>
  </si>
  <si>
    <t>04/15/1977</t>
  </si>
  <si>
    <t>07/07/1956</t>
  </si>
  <si>
    <t>03/13/1969</t>
  </si>
  <si>
    <t>04/13/1952</t>
  </si>
  <si>
    <t>05/31/1972</t>
  </si>
  <si>
    <t>04/07/1966</t>
  </si>
  <si>
    <t>08/26/1987</t>
  </si>
  <si>
    <t>03/14/1959</t>
  </si>
  <si>
    <t>05/13/1978</t>
  </si>
  <si>
    <t>03/10/1970</t>
  </si>
  <si>
    <t>06/11/1986</t>
  </si>
  <si>
    <t>07/09/1979</t>
  </si>
  <si>
    <t>02/28/1974</t>
  </si>
  <si>
    <t>03/27/1977</t>
  </si>
  <si>
    <t>08/13/1995</t>
  </si>
  <si>
    <t>09/17/1989</t>
  </si>
  <si>
    <t>03/27/1951</t>
  </si>
  <si>
    <t>04/03/1948</t>
  </si>
  <si>
    <t>03/02/1946</t>
  </si>
  <si>
    <t>12/13/1947</t>
  </si>
  <si>
    <t>07/17/1967</t>
  </si>
  <si>
    <t>08/08/2002</t>
  </si>
  <si>
    <t>08/01/1935</t>
  </si>
  <si>
    <t>01/27/1954</t>
  </si>
  <si>
    <t>08/24/1958</t>
  </si>
  <si>
    <t>08/21/1990</t>
  </si>
  <si>
    <t>02/16/1964</t>
  </si>
  <si>
    <t>05/23/1972</t>
  </si>
  <si>
    <t>01/25/1970</t>
  </si>
  <si>
    <t>08/01/1970</t>
  </si>
  <si>
    <t>09/23/1991</t>
  </si>
  <si>
    <t>06/23/1985</t>
  </si>
  <si>
    <t>01/14/1957</t>
  </si>
  <si>
    <t>04/04/1963</t>
  </si>
  <si>
    <t>03/15/1964</t>
  </si>
  <si>
    <t>12/27/1963</t>
  </si>
  <si>
    <t>09/16/1968</t>
  </si>
  <si>
    <t>05/05/1983</t>
  </si>
  <si>
    <t>09/04/1967</t>
  </si>
  <si>
    <t>08/17/1994</t>
  </si>
  <si>
    <t>02/12/1979</t>
  </si>
  <si>
    <t>07/31/1932</t>
  </si>
  <si>
    <t>06/21/1942</t>
  </si>
  <si>
    <t>05/16/1937</t>
  </si>
  <si>
    <t>09/24/1954</t>
  </si>
  <si>
    <t>05/24/1979</t>
  </si>
  <si>
    <t>11/03/1950</t>
  </si>
  <si>
    <t>12/04/1953</t>
  </si>
  <si>
    <t>02/28/1946</t>
  </si>
  <si>
    <t>01/28/1976</t>
  </si>
  <si>
    <t>05/03/1994</t>
  </si>
  <si>
    <t>02/15/1966</t>
  </si>
  <si>
    <t>08/11/1992</t>
  </si>
  <si>
    <t>10/07/1986</t>
  </si>
  <si>
    <t>08/25/1963</t>
  </si>
  <si>
    <t>09/15/1960</t>
  </si>
  <si>
    <t>08/12/1982</t>
  </si>
  <si>
    <t>11/15/2002</t>
  </si>
  <si>
    <t>07/28/1959</t>
  </si>
  <si>
    <t>02/03/1955</t>
  </si>
  <si>
    <t>03/02/1942</t>
  </si>
  <si>
    <t>12/16/1979</t>
  </si>
  <si>
    <t>09/01/1953</t>
  </si>
  <si>
    <t>05/26/1978</t>
  </si>
  <si>
    <t>07/24/1966</t>
  </si>
  <si>
    <t>01/16/1951</t>
  </si>
  <si>
    <t>01/01/1979</t>
  </si>
  <si>
    <t>01/05/1958</t>
  </si>
  <si>
    <t>03/26/1962</t>
  </si>
  <si>
    <t>09/11/1978</t>
  </si>
  <si>
    <t>03/22/1970</t>
  </si>
  <si>
    <t>10/01/1986</t>
  </si>
  <si>
    <t>05/21/1945</t>
  </si>
  <si>
    <t>05/28/1966</t>
  </si>
  <si>
    <t>08/03/1970</t>
  </si>
  <si>
    <t>03/11/1979</t>
  </si>
  <si>
    <t>11/07/1998</t>
  </si>
  <si>
    <t>12/02/1962</t>
  </si>
  <si>
    <t>10/30/1956</t>
  </si>
  <si>
    <t>11/29/1951</t>
  </si>
  <si>
    <t>10/12/1982</t>
  </si>
  <si>
    <t>11/10/1981</t>
  </si>
  <si>
    <t>01/31/1983</t>
  </si>
  <si>
    <t>12/12/1983</t>
  </si>
  <si>
    <t>11/05/1951</t>
  </si>
  <si>
    <t>12/24/1944</t>
  </si>
  <si>
    <t>05/28/1975</t>
  </si>
  <si>
    <t>09/06/1984</t>
  </si>
  <si>
    <t>09/09/1987</t>
  </si>
  <si>
    <t>02/02/1968</t>
  </si>
  <si>
    <t>05/08/1970</t>
  </si>
  <si>
    <t>04/28/1959</t>
  </si>
  <si>
    <t>12/08/1937</t>
  </si>
  <si>
    <t>08/12/1943</t>
  </si>
  <si>
    <t>10/02/1979</t>
  </si>
  <si>
    <t>01/12/1953</t>
  </si>
  <si>
    <t>02/03/1990</t>
  </si>
  <si>
    <t>08/14/1955</t>
  </si>
  <si>
    <t>03/07/1984</t>
  </si>
  <si>
    <t>01/09/1988</t>
  </si>
  <si>
    <t>08/07/1990</t>
  </si>
  <si>
    <t>08/31/1963</t>
  </si>
  <si>
    <t>08/19/1969</t>
  </si>
  <si>
    <t>08/11/1957</t>
  </si>
  <si>
    <t>09/09/1971</t>
  </si>
  <si>
    <t>02/24/1995</t>
  </si>
  <si>
    <t>03/07/1968</t>
  </si>
  <si>
    <t>06/18/1992</t>
  </si>
  <si>
    <t>11/21/1975</t>
  </si>
  <si>
    <t>05/12/1980</t>
  </si>
  <si>
    <t>09/17/1952</t>
  </si>
  <si>
    <t>08/20/1958</t>
  </si>
  <si>
    <t>08/15/2010</t>
  </si>
  <si>
    <t>09/22/1985</t>
  </si>
  <si>
    <t>06/22/1970</t>
  </si>
  <si>
    <t>08/26/1967</t>
  </si>
  <si>
    <t>12/30/2007</t>
  </si>
  <si>
    <t>03/26/2006</t>
  </si>
  <si>
    <t>07/31/1985</t>
  </si>
  <si>
    <t>09/23/1949</t>
  </si>
  <si>
    <t>12/09/1986</t>
  </si>
  <si>
    <t>01/29/1956</t>
  </si>
  <si>
    <t>03/11/1987</t>
  </si>
  <si>
    <t>12/08/1971</t>
  </si>
  <si>
    <t>12/27/1982</t>
  </si>
  <si>
    <t>09/28/1964</t>
  </si>
  <si>
    <t>10/15/1980</t>
  </si>
  <si>
    <t>10/26/1966</t>
  </si>
  <si>
    <t>12/19/1963</t>
  </si>
  <si>
    <t>06/01/1954</t>
  </si>
  <si>
    <t>10/17/1961</t>
  </si>
  <si>
    <t>07/17/1992</t>
  </si>
  <si>
    <t>07/08/1985</t>
  </si>
  <si>
    <t>11/06/1961</t>
  </si>
  <si>
    <t>10/12/1997</t>
  </si>
  <si>
    <t>01/19/1973</t>
  </si>
  <si>
    <t>08/21/1953</t>
  </si>
  <si>
    <t>02/19/1978</t>
  </si>
  <si>
    <t>01/05/1955</t>
  </si>
  <si>
    <t>03/04/1943</t>
  </si>
  <si>
    <t>10/06/1971</t>
  </si>
  <si>
    <t>06/27/1967</t>
  </si>
  <si>
    <t>06/05/1970</t>
  </si>
  <si>
    <t>07/17/1974</t>
  </si>
  <si>
    <t>07/18/1981</t>
  </si>
  <si>
    <t>09/29/1987</t>
  </si>
  <si>
    <t>12/02/1968</t>
  </si>
  <si>
    <t>09/14/1965</t>
  </si>
  <si>
    <t>01/28/1984</t>
  </si>
  <si>
    <t>12/18/1939</t>
  </si>
  <si>
    <t>06/06/1971</t>
  </si>
  <si>
    <t>11/30/1982</t>
  </si>
  <si>
    <t>05/29/1986</t>
  </si>
  <si>
    <t>06/13/1975</t>
  </si>
  <si>
    <t>08/13/1975</t>
  </si>
  <si>
    <t>05/29/1962</t>
  </si>
  <si>
    <t>04/05/1977</t>
  </si>
  <si>
    <t>04/27/1958</t>
  </si>
  <si>
    <t>11/20/1990</t>
  </si>
  <si>
    <t>08/10/1974</t>
  </si>
  <si>
    <t>07/19/1979</t>
  </si>
  <si>
    <t>05/03/1963</t>
  </si>
  <si>
    <t>02/02/1985</t>
  </si>
  <si>
    <t>08/06/1985</t>
  </si>
  <si>
    <t>12/01/1958</t>
  </si>
  <si>
    <t>08/10/1961</t>
  </si>
  <si>
    <t>05/24/1988</t>
  </si>
  <si>
    <t>06/05/1973</t>
  </si>
  <si>
    <t>06/13/1963</t>
  </si>
  <si>
    <t>05/21/1954</t>
  </si>
  <si>
    <t>05/15/1968</t>
  </si>
  <si>
    <t>03/19/1968</t>
  </si>
  <si>
    <t>11/23/1967</t>
  </si>
  <si>
    <t>01/31/1956</t>
  </si>
  <si>
    <t>04/01/1965</t>
  </si>
  <si>
    <t>04/14/1945</t>
  </si>
  <si>
    <t>09/22/1975</t>
  </si>
  <si>
    <t>04/19/1979</t>
  </si>
  <si>
    <t>08/10/1972</t>
  </si>
  <si>
    <t>09/29/1992</t>
  </si>
  <si>
    <t>12/31/1976</t>
  </si>
  <si>
    <t>08/02/1963</t>
  </si>
  <si>
    <t>08/22/1960</t>
  </si>
  <si>
    <t>03/15/1978</t>
  </si>
  <si>
    <t>06/15/1946</t>
  </si>
  <si>
    <t>05/02/1947</t>
  </si>
  <si>
    <t>07/20/1967</t>
  </si>
  <si>
    <t>07/06/1955</t>
  </si>
  <si>
    <t>03/12/1958</t>
  </si>
  <si>
    <t>05/23/2009</t>
  </si>
  <si>
    <t>06/20/1977</t>
  </si>
  <si>
    <t>12/28/1998</t>
  </si>
  <si>
    <t>11/26/1970</t>
  </si>
  <si>
    <t>04/10/1954</t>
  </si>
  <si>
    <t>08/15/1977</t>
  </si>
  <si>
    <t>04/04/1959</t>
  </si>
  <si>
    <t>02/21/1963</t>
  </si>
  <si>
    <t>01/15/1929</t>
  </si>
  <si>
    <t>09/22/2015</t>
  </si>
  <si>
    <t>08/05/1974</t>
  </si>
  <si>
    <t>03/20/1968</t>
  </si>
  <si>
    <t>02/12/1967</t>
  </si>
  <si>
    <t>04/21/1981</t>
  </si>
  <si>
    <t>04/02/1970</t>
  </si>
  <si>
    <t>12/13/1980</t>
  </si>
  <si>
    <t>05/24/1976</t>
  </si>
  <si>
    <t>03/20/1973</t>
  </si>
  <si>
    <t>12/24/1988</t>
  </si>
  <si>
    <t>10/03/1961</t>
  </si>
  <si>
    <t>09/20/1963</t>
  </si>
  <si>
    <t>08/19/1988</t>
  </si>
  <si>
    <t>08/06/1973</t>
  </si>
  <si>
    <t>10/19/1958</t>
  </si>
  <si>
    <t>06/16/1967</t>
  </si>
  <si>
    <t>01/18/1974</t>
  </si>
  <si>
    <t>01/31/1964</t>
  </si>
  <si>
    <t>05/22/1978</t>
  </si>
  <si>
    <t>05/09/1957</t>
  </si>
  <si>
    <t>08/06/1961</t>
  </si>
  <si>
    <t>05/18/1989</t>
  </si>
  <si>
    <t>09/27/1982</t>
  </si>
  <si>
    <t>05/03/1968</t>
  </si>
  <si>
    <t>05/17/1952</t>
  </si>
  <si>
    <t>11/29/1973</t>
  </si>
  <si>
    <t>11/01/1977</t>
  </si>
  <si>
    <t>11/08/1995</t>
  </si>
  <si>
    <t>05/22/1965</t>
  </si>
  <si>
    <t>03/31/1983</t>
  </si>
  <si>
    <t>06/24/2002</t>
  </si>
  <si>
    <t>07/16/1986</t>
  </si>
  <si>
    <t>05/27/1995</t>
  </si>
  <si>
    <t>03/12/1989</t>
  </si>
  <si>
    <t>02/26/1982</t>
  </si>
  <si>
    <t>05/21/1970</t>
  </si>
  <si>
    <t>11/08/1966</t>
  </si>
  <si>
    <t>06/25/1956</t>
  </si>
  <si>
    <t>11/29/1980</t>
  </si>
  <si>
    <t>05/14/1970</t>
  </si>
  <si>
    <t>04/01/1966</t>
  </si>
  <si>
    <t>05/06/1963</t>
  </si>
  <si>
    <t>05/28/1963</t>
  </si>
  <si>
    <t>03/01/1945</t>
  </si>
  <si>
    <t>06/13/1991</t>
  </si>
  <si>
    <t>06/02/1971</t>
  </si>
  <si>
    <t>08/01/1975</t>
  </si>
  <si>
    <t>04/28/1952</t>
  </si>
  <si>
    <t>02/04/1987</t>
  </si>
  <si>
    <t>04/29/1971</t>
  </si>
  <si>
    <t>06/06/1995</t>
  </si>
  <si>
    <t>10/13/1980</t>
  </si>
  <si>
    <t>03/10/1980</t>
  </si>
  <si>
    <t>04/12/1961</t>
  </si>
  <si>
    <t>03/21/1961</t>
  </si>
  <si>
    <t>07/18/1987</t>
  </si>
  <si>
    <t>08/23/1965</t>
  </si>
  <si>
    <t>04/10/2001</t>
  </si>
  <si>
    <t>06/19/1984</t>
  </si>
  <si>
    <t>05/12/1988</t>
  </si>
  <si>
    <t>11/20/1944</t>
  </si>
  <si>
    <t>09/15/1991</t>
  </si>
  <si>
    <t>03/31/1984</t>
  </si>
  <si>
    <t>05/05/1989</t>
  </si>
  <si>
    <t>10/08/1970</t>
  </si>
  <si>
    <t>06/22/1973</t>
  </si>
  <si>
    <t>11/26/1959</t>
  </si>
  <si>
    <t>03/13/1987</t>
  </si>
  <si>
    <t>06/04/1991</t>
  </si>
  <si>
    <t>03/19/1961</t>
  </si>
  <si>
    <t>09/10/1965</t>
  </si>
  <si>
    <t>11/20/1993</t>
  </si>
  <si>
    <t>03/08/2015</t>
  </si>
  <si>
    <t>08/12/1974</t>
  </si>
  <si>
    <t>07/14/1981</t>
  </si>
  <si>
    <t>09/16/1992</t>
  </si>
  <si>
    <t>03/14/1963</t>
  </si>
  <si>
    <t>07/25/1982</t>
  </si>
  <si>
    <t>12/22/1977</t>
  </si>
  <si>
    <t>05/05/1967</t>
  </si>
  <si>
    <t>05/07/1978</t>
  </si>
  <si>
    <t>10/04/1987</t>
  </si>
  <si>
    <t>10/29/1976</t>
  </si>
  <si>
    <t>01/31/1984</t>
  </si>
  <si>
    <t>05/29/2002</t>
  </si>
  <si>
    <t>06/09/1982</t>
  </si>
  <si>
    <t>04/03/1965</t>
  </si>
  <si>
    <t>07/20/1977</t>
  </si>
  <si>
    <t>08/30/1983</t>
  </si>
  <si>
    <t>02/23/1989</t>
  </si>
  <si>
    <t>01/19/1977</t>
  </si>
  <si>
    <t>04/19/1958</t>
  </si>
  <si>
    <t>02/17/1986</t>
  </si>
  <si>
    <t>04/20/1958</t>
  </si>
  <si>
    <t>06/16/1985</t>
  </si>
  <si>
    <t>06/25/1965</t>
  </si>
  <si>
    <t>01/28/1998</t>
  </si>
  <si>
    <t>11/14/2005</t>
  </si>
  <si>
    <t>10/11/1988</t>
  </si>
  <si>
    <t>08/30/1945</t>
  </si>
  <si>
    <t>01/05/1950</t>
  </si>
  <si>
    <t>11/30/1991</t>
  </si>
  <si>
    <t>11/15/1965</t>
  </si>
  <si>
    <t>10/20/1968</t>
  </si>
  <si>
    <t>10/20/1961</t>
  </si>
  <si>
    <t>09/19/1966</t>
  </si>
  <si>
    <t>04/13/1991</t>
  </si>
  <si>
    <t>11/17/1971</t>
  </si>
  <si>
    <t>09/13/1956</t>
  </si>
  <si>
    <t>10/11/1955</t>
  </si>
  <si>
    <t>10/02/1991</t>
  </si>
  <si>
    <t>10/21/1951</t>
  </si>
  <si>
    <t>05/07/1967</t>
  </si>
  <si>
    <t>07/22/1986</t>
  </si>
  <si>
    <t>03/30/1971</t>
  </si>
  <si>
    <t>04/01/1955</t>
  </si>
  <si>
    <t>04/23/1983</t>
  </si>
  <si>
    <t>12/21/1986</t>
  </si>
  <si>
    <t>08/11/1958</t>
  </si>
  <si>
    <t>04/28/1939</t>
  </si>
  <si>
    <t>05/09/1990</t>
  </si>
  <si>
    <t>04/29/1969</t>
  </si>
  <si>
    <t>02/21/1949</t>
  </si>
  <si>
    <t>09/22/1970</t>
  </si>
  <si>
    <t>03/16/1986</t>
  </si>
  <si>
    <t>10/29/1958</t>
  </si>
  <si>
    <t>01/20/1976</t>
  </si>
  <si>
    <t>11/16/1941</t>
  </si>
  <si>
    <t>08/24/1986</t>
  </si>
  <si>
    <t>04/29/1947</t>
  </si>
  <si>
    <t>11/17/1956</t>
  </si>
  <si>
    <t>03/13/1975</t>
  </si>
  <si>
    <t>06/04/2005</t>
  </si>
  <si>
    <t>11/03/1931</t>
  </si>
  <si>
    <t>07/14/1955</t>
  </si>
  <si>
    <t>08/07/1956</t>
  </si>
  <si>
    <t>12/11/1945</t>
  </si>
  <si>
    <t>03/23/1988</t>
  </si>
  <si>
    <t>10/20/1973</t>
  </si>
  <si>
    <t>10/15/1983</t>
  </si>
  <si>
    <t>12/28/1951</t>
  </si>
  <si>
    <t>09/20/1969</t>
  </si>
  <si>
    <t>11/22/1934</t>
  </si>
  <si>
    <t>01/31/1995</t>
  </si>
  <si>
    <t>02/07/1951</t>
  </si>
  <si>
    <t>09/22/1958</t>
  </si>
  <si>
    <t>07/20/1954</t>
  </si>
  <si>
    <t>07/01/1961</t>
  </si>
  <si>
    <t>06/03/1971</t>
  </si>
  <si>
    <t>03/24/1990</t>
  </si>
  <si>
    <t>09/14/1942</t>
  </si>
  <si>
    <t>09/05/1989</t>
  </si>
  <si>
    <t>04/25/1986</t>
  </si>
  <si>
    <t>12/13/1971</t>
  </si>
  <si>
    <t>02/10/1956</t>
  </si>
  <si>
    <t>06/12/1945</t>
  </si>
  <si>
    <t>10/14/1980</t>
  </si>
  <si>
    <t>11/21/1949</t>
  </si>
  <si>
    <t>09/01/1968</t>
  </si>
  <si>
    <t>04/07/1974</t>
  </si>
  <si>
    <t>01/10/1955</t>
  </si>
  <si>
    <t>10/31/1955</t>
  </si>
  <si>
    <t>03/27/1991</t>
  </si>
  <si>
    <t>04/13/1976</t>
  </si>
  <si>
    <t>01/22/1948</t>
  </si>
  <si>
    <t>05/06/1959</t>
  </si>
  <si>
    <t>10/29/1983</t>
  </si>
  <si>
    <t>08/22/1965</t>
  </si>
  <si>
    <t>06/21/1974</t>
  </si>
  <si>
    <t>10/11/1984</t>
  </si>
  <si>
    <t>08/02/1987</t>
  </si>
  <si>
    <t>07/11/1961</t>
  </si>
  <si>
    <t>04/03/1957</t>
  </si>
  <si>
    <t>03/29/2012</t>
  </si>
  <si>
    <t>07/04/1984</t>
  </si>
  <si>
    <t>06/15/1961</t>
  </si>
  <si>
    <t>03/28/1992</t>
  </si>
  <si>
    <t>05/21/1949</t>
  </si>
  <si>
    <t>12/31/1954</t>
  </si>
  <si>
    <t>12/06/1946</t>
  </si>
  <si>
    <t>11/11/1992</t>
  </si>
  <si>
    <t>04/08/1980</t>
  </si>
  <si>
    <t>05/04/1995</t>
  </si>
  <si>
    <t>07/12/1973</t>
  </si>
  <si>
    <t>12/01/1985</t>
  </si>
  <si>
    <t>03/25/1980</t>
  </si>
  <si>
    <t>11/26/1982</t>
  </si>
  <si>
    <t>01/28/1960</t>
  </si>
  <si>
    <t>02/25/1976</t>
  </si>
  <si>
    <t>10/25/1976</t>
  </si>
  <si>
    <t>02/27/1980</t>
  </si>
  <si>
    <t>02/08/1961</t>
  </si>
  <si>
    <t>08/30/1967</t>
  </si>
  <si>
    <t>06/11/1961</t>
  </si>
  <si>
    <t>07/03/1980</t>
  </si>
  <si>
    <t>10/27/1967</t>
  </si>
  <si>
    <t>07/20/1961</t>
  </si>
  <si>
    <t>09/26/1984</t>
  </si>
  <si>
    <t>06/17/1978</t>
  </si>
  <si>
    <t>09/23/1975</t>
  </si>
  <si>
    <t>06/11/1963</t>
  </si>
  <si>
    <t>09/05/1934</t>
  </si>
  <si>
    <t>06/11/1966</t>
  </si>
  <si>
    <t>10/27/1973</t>
  </si>
  <si>
    <t>03/27/1983</t>
  </si>
  <si>
    <t>10/21/1964</t>
  </si>
  <si>
    <t>10/18/1988</t>
  </si>
  <si>
    <t>10/09/1945</t>
  </si>
  <si>
    <t>10/12/1964</t>
  </si>
  <si>
    <t>12/23/1963</t>
  </si>
  <si>
    <t>09/19/1959</t>
  </si>
  <si>
    <t>04/18/1982</t>
  </si>
  <si>
    <t>09/12/1944</t>
  </si>
  <si>
    <t>03/19/1960</t>
  </si>
  <si>
    <t>06/20/1956</t>
  </si>
  <si>
    <t>05/05/1970</t>
  </si>
  <si>
    <t>04/01/1952</t>
  </si>
  <si>
    <t>03/23/1957</t>
  </si>
  <si>
    <t>03/12/1984</t>
  </si>
  <si>
    <t>02/06/1941</t>
  </si>
  <si>
    <t>03/21/1974</t>
  </si>
  <si>
    <t>08/10/1960</t>
  </si>
  <si>
    <t>01/01/1949</t>
  </si>
  <si>
    <t>05/24/1994</t>
  </si>
  <si>
    <t>12/23/1961</t>
  </si>
  <si>
    <t>05/28/1933</t>
  </si>
  <si>
    <t>09/25/1948</t>
  </si>
  <si>
    <t>09/21/1996</t>
  </si>
  <si>
    <t>07/23/1983</t>
  </si>
  <si>
    <t>01/31/1968</t>
  </si>
  <si>
    <t>08/17/1979</t>
  </si>
  <si>
    <t>11/03/1968</t>
  </si>
  <si>
    <t>05/04/1985</t>
  </si>
  <si>
    <t>03/10/1959</t>
  </si>
  <si>
    <t>12/04/1973</t>
  </si>
  <si>
    <t>01/01/1987</t>
  </si>
  <si>
    <t>07/19/1951</t>
  </si>
  <si>
    <t>05/27/1974</t>
  </si>
  <si>
    <t>04/17/1986</t>
  </si>
  <si>
    <t>11/13/1954</t>
  </si>
  <si>
    <t>03/14/1998</t>
  </si>
  <si>
    <t>08/05/1954</t>
  </si>
  <si>
    <t>01/18/1957</t>
  </si>
  <si>
    <t>11/30/1975</t>
  </si>
  <si>
    <t>05/22/1953</t>
  </si>
  <si>
    <t>04/05/1995</t>
  </si>
  <si>
    <t>12/13/1964</t>
  </si>
  <si>
    <t>02/04/1953</t>
  </si>
  <si>
    <t>09/02/1952</t>
  </si>
  <si>
    <t>01/01/1971</t>
  </si>
  <si>
    <t>11/25/1953</t>
  </si>
  <si>
    <t>08/15/1968</t>
  </si>
  <si>
    <t>06/17/1957</t>
  </si>
  <si>
    <t>11/12/1982</t>
  </si>
  <si>
    <t>07/14/1966</t>
  </si>
  <si>
    <t>05/03/1980</t>
  </si>
  <si>
    <t>07/22/1953</t>
  </si>
  <si>
    <t>02/24/1993</t>
  </si>
  <si>
    <t>12/31/1953</t>
  </si>
  <si>
    <t>05/27/1962</t>
  </si>
  <si>
    <t>07/11/1959</t>
  </si>
  <si>
    <t>06/25/1970</t>
  </si>
  <si>
    <t>11/08/1958</t>
  </si>
  <si>
    <t>12/11/1963</t>
  </si>
  <si>
    <t>11/10/1956</t>
  </si>
  <si>
    <t>07/19/1960</t>
  </si>
  <si>
    <t>12/06/1991</t>
  </si>
  <si>
    <t>08/13/1980</t>
  </si>
  <si>
    <t>09/29/1954</t>
  </si>
  <si>
    <t>04/01/1985</t>
  </si>
  <si>
    <t>09/28/1989</t>
  </si>
  <si>
    <t>12/31/1964</t>
  </si>
  <si>
    <t>08/03/1971</t>
  </si>
  <si>
    <t>11/08/2006</t>
  </si>
  <si>
    <t>01/04/1988</t>
  </si>
  <si>
    <t>02/09/1961</t>
  </si>
  <si>
    <t>05/27/1989</t>
  </si>
  <si>
    <t>06/23/1980</t>
  </si>
  <si>
    <t>11/20/1955</t>
  </si>
  <si>
    <t>03/20/1947</t>
  </si>
  <si>
    <t>06/24/2004</t>
  </si>
  <si>
    <t>12/20/1935</t>
  </si>
  <si>
    <t>09/28/1969</t>
  </si>
  <si>
    <t>07/24/1957</t>
  </si>
  <si>
    <t>06/18/1954</t>
  </si>
  <si>
    <t>10/17/1979</t>
  </si>
  <si>
    <t>12/09/1964</t>
  </si>
  <si>
    <t>03/28/1968</t>
  </si>
  <si>
    <t>04/26/1989</t>
  </si>
  <si>
    <t>01/27/1983</t>
  </si>
  <si>
    <t>09/24/1964</t>
  </si>
  <si>
    <t>09/07/1955</t>
  </si>
  <si>
    <t>09/18/1991</t>
  </si>
  <si>
    <t>10/27/1949</t>
  </si>
  <si>
    <t>07/13/1956</t>
  </si>
  <si>
    <t>07/06/1961</t>
  </si>
  <si>
    <t>11/17/1982</t>
  </si>
  <si>
    <t>01/20/1978</t>
  </si>
  <si>
    <t>10/20/2002</t>
  </si>
  <si>
    <t>05/31/1951</t>
  </si>
  <si>
    <t>06/03/1965</t>
  </si>
  <si>
    <t>01/14/1956</t>
  </si>
  <si>
    <t>08/21/1981</t>
  </si>
  <si>
    <t>07/19/1996</t>
  </si>
  <si>
    <t>04/24/1950</t>
  </si>
  <si>
    <t>06/09/1976</t>
  </si>
  <si>
    <t>05/18/1966</t>
  </si>
  <si>
    <t>08/25/1987</t>
  </si>
  <si>
    <t>12/08/1981</t>
  </si>
  <si>
    <t>05/20/1972</t>
  </si>
  <si>
    <t>03/23/1953</t>
  </si>
  <si>
    <t>04/14/1990</t>
  </si>
  <si>
    <t>06/29/1955</t>
  </si>
  <si>
    <t>02/11/1986</t>
  </si>
  <si>
    <t>03/12/1990</t>
  </si>
  <si>
    <t>01/11/1956</t>
  </si>
  <si>
    <t>07/10/2000</t>
  </si>
  <si>
    <t>12/17/1972</t>
  </si>
  <si>
    <t>01/07/1971</t>
  </si>
  <si>
    <t>07/10/1960</t>
  </si>
  <si>
    <t>10/31/1967</t>
  </si>
  <si>
    <t>10/10/1977</t>
  </si>
  <si>
    <t>06/26/1980</t>
  </si>
  <si>
    <t>05/21/1984</t>
  </si>
  <si>
    <t>09/09/1963</t>
  </si>
  <si>
    <t>10/15/1957</t>
  </si>
  <si>
    <t>01/26/1973</t>
  </si>
  <si>
    <t>01/01/1969</t>
  </si>
  <si>
    <t>03/23/1975</t>
  </si>
  <si>
    <t>10/28/1990</t>
  </si>
  <si>
    <t>07/15/1985</t>
  </si>
  <si>
    <t>10/24/1980</t>
  </si>
  <si>
    <t>02/25/1989</t>
  </si>
  <si>
    <t>09/21/1993</t>
  </si>
  <si>
    <t>10/26/1978</t>
  </si>
  <si>
    <t>07/26/1980</t>
  </si>
  <si>
    <t>08/01/1978</t>
  </si>
  <si>
    <t>10/08/1960</t>
  </si>
  <si>
    <t>08/27/1976</t>
  </si>
  <si>
    <t>01/15/1953</t>
  </si>
  <si>
    <t>07/20/1992</t>
  </si>
  <si>
    <t>02/03/1966</t>
  </si>
  <si>
    <t>03/31/1979</t>
  </si>
  <si>
    <t>12/04/1972</t>
  </si>
  <si>
    <t>05/16/1957</t>
  </si>
  <si>
    <t>05/02/1967</t>
  </si>
  <si>
    <t>04/16/1970</t>
  </si>
  <si>
    <t>10/03/1969</t>
  </si>
  <si>
    <t>06/02/1955</t>
  </si>
  <si>
    <t>12/09/1969</t>
  </si>
  <si>
    <t>01/09/1975</t>
  </si>
  <si>
    <t>05/19/1950</t>
  </si>
  <si>
    <t>09/01/1959</t>
  </si>
  <si>
    <t>05/09/1978</t>
  </si>
  <si>
    <t>12/23/1991</t>
  </si>
  <si>
    <t>01/01/1954</t>
  </si>
  <si>
    <t>07/06/1970</t>
  </si>
  <si>
    <t>07/20/1986</t>
  </si>
  <si>
    <t>11/20/1963</t>
  </si>
  <si>
    <t>04/11/1993</t>
  </si>
  <si>
    <t>01/08/1995</t>
  </si>
  <si>
    <t>05/21/1957</t>
  </si>
  <si>
    <t>01/10/1967</t>
  </si>
  <si>
    <t>05/05/1961</t>
  </si>
  <si>
    <t>10/28/1996</t>
  </si>
  <si>
    <t>11/25/1977</t>
  </si>
  <si>
    <t>01/20/2012</t>
  </si>
  <si>
    <t>08/22/1954</t>
  </si>
  <si>
    <t>09/15/1984</t>
  </si>
  <si>
    <t>08/02/1940</t>
  </si>
  <si>
    <t>05/08/1971</t>
  </si>
  <si>
    <t>01/15/1952</t>
  </si>
  <si>
    <t>10/10/1994</t>
  </si>
  <si>
    <t>07/18/1950</t>
  </si>
  <si>
    <t>10/19/1971</t>
  </si>
  <si>
    <t>09/21/1976</t>
  </si>
  <si>
    <t>06/04/1932</t>
  </si>
  <si>
    <t>03/30/1980</t>
  </si>
  <si>
    <t>07/15/1961</t>
  </si>
  <si>
    <t>11/05/1957</t>
  </si>
  <si>
    <t>12/02/1986</t>
  </si>
  <si>
    <t>08/17/1990</t>
  </si>
  <si>
    <t>02/04/1946</t>
  </si>
  <si>
    <t>06/13/1959</t>
  </si>
  <si>
    <t>02/11/1951</t>
  </si>
  <si>
    <t>06/23/1964</t>
  </si>
  <si>
    <t>06/08/1981</t>
  </si>
  <si>
    <t>04/05/1972</t>
  </si>
  <si>
    <t>07/19/1939</t>
  </si>
  <si>
    <t>10/16/1991</t>
  </si>
  <si>
    <t>07/08/1989</t>
  </si>
  <si>
    <t>10/22/1955</t>
  </si>
  <si>
    <t>04/18/1973</t>
  </si>
  <si>
    <t>01/29/1975</t>
  </si>
  <si>
    <t>04/07/1969</t>
  </si>
  <si>
    <t>08/18/1989</t>
  </si>
  <si>
    <t>11/03/1988</t>
  </si>
  <si>
    <t>12/31/1967</t>
  </si>
  <si>
    <t>09/22/1937</t>
  </si>
  <si>
    <t>09/13/1967</t>
  </si>
  <si>
    <t>02/10/1944</t>
  </si>
  <si>
    <t>11/08/1968</t>
  </si>
  <si>
    <t>10/19/1974</t>
  </si>
  <si>
    <t>05/15/1997</t>
  </si>
  <si>
    <t>05/16/1952</t>
  </si>
  <si>
    <t>08/04/1955</t>
  </si>
  <si>
    <t>11/20/1983</t>
  </si>
  <si>
    <t>08/30/1989</t>
  </si>
  <si>
    <t>08/10/1973</t>
  </si>
  <si>
    <t>09/21/1982</t>
  </si>
  <si>
    <t>09/25/1971</t>
  </si>
  <si>
    <t>05/10/1965</t>
  </si>
  <si>
    <t>01/29/1978</t>
  </si>
  <si>
    <t>11/02/1964</t>
  </si>
  <si>
    <t>01/10/1974</t>
  </si>
  <si>
    <t>03/25/1966</t>
  </si>
  <si>
    <t>08/30/2000</t>
  </si>
  <si>
    <t>10/11/1975</t>
  </si>
  <si>
    <t>06/28/1979</t>
  </si>
  <si>
    <t>03/17/1966</t>
  </si>
  <si>
    <t>06/24/1974</t>
  </si>
  <si>
    <t>04/02/1995</t>
  </si>
  <si>
    <t>07/07/1988</t>
  </si>
  <si>
    <t>09/03/1952</t>
  </si>
  <si>
    <t>01/27/1968</t>
  </si>
  <si>
    <t>03/01/1984</t>
  </si>
  <si>
    <t>03/06/1965</t>
  </si>
  <si>
    <t>07/08/1967</t>
  </si>
  <si>
    <t>08/15/1967</t>
  </si>
  <si>
    <t>03/20/1938</t>
  </si>
  <si>
    <t>03/10/1962</t>
  </si>
  <si>
    <t>02/18/1992</t>
  </si>
  <si>
    <t>12/26/1953</t>
  </si>
  <si>
    <t>09/04/1999</t>
  </si>
  <si>
    <t>07/23/1972</t>
  </si>
  <si>
    <t>06/14/1969</t>
  </si>
  <si>
    <t>01/10/1988</t>
  </si>
  <si>
    <t>03/08/1965</t>
  </si>
  <si>
    <t>12/10/1981</t>
  </si>
  <si>
    <t>09/29/1968</t>
  </si>
  <si>
    <t>09/07/1959</t>
  </si>
  <si>
    <t>02/07/1944</t>
  </si>
  <si>
    <t>03/12/1977</t>
  </si>
  <si>
    <t>11/27/1935</t>
  </si>
  <si>
    <t>08/27/2015</t>
  </si>
  <si>
    <t>05/14/1967</t>
  </si>
  <si>
    <t>08/22/1952</t>
  </si>
  <si>
    <t>08/29/1941</t>
  </si>
  <si>
    <t>09/24/1958</t>
  </si>
  <si>
    <t>06/24/1954</t>
  </si>
  <si>
    <t>08/28/1990</t>
  </si>
  <si>
    <t>11/01/1954</t>
  </si>
  <si>
    <t>06/12/1971</t>
  </si>
  <si>
    <t>09/18/1960</t>
  </si>
  <si>
    <t>05/25/1984</t>
  </si>
  <si>
    <t>05/22/1989</t>
  </si>
  <si>
    <t>06/08/1961</t>
  </si>
  <si>
    <t>06/20/1982</t>
  </si>
  <si>
    <t>03/17/1956</t>
  </si>
  <si>
    <t>04/01/1977</t>
  </si>
  <si>
    <t>09/27/1963</t>
  </si>
  <si>
    <t>01/31/1950</t>
  </si>
  <si>
    <t>10/11/1956</t>
  </si>
  <si>
    <t>06/17/1955</t>
  </si>
  <si>
    <t>04/06/1973</t>
  </si>
  <si>
    <t>04/02/1966</t>
  </si>
  <si>
    <t>04/25/1937</t>
  </si>
  <si>
    <t>01/11/1992</t>
  </si>
  <si>
    <t>12/20/1961</t>
  </si>
  <si>
    <t>06/05/1983</t>
  </si>
  <si>
    <t>03/30/1993</t>
  </si>
  <si>
    <t>10/03/1955</t>
  </si>
  <si>
    <t>12/31/1975</t>
  </si>
  <si>
    <t>06/09/1962</t>
  </si>
  <si>
    <t>11/28/1978</t>
  </si>
  <si>
    <t>08/25/1962</t>
  </si>
  <si>
    <t>12/19/1975</t>
  </si>
  <si>
    <t>12/03/1975</t>
  </si>
  <si>
    <t>11/19/1999</t>
  </si>
  <si>
    <t>06/29/1978</t>
  </si>
  <si>
    <t>08/20/1965</t>
  </si>
  <si>
    <t>09/25/1946</t>
  </si>
  <si>
    <t>12/11/2004</t>
  </si>
  <si>
    <t>11/06/1941</t>
  </si>
  <si>
    <t>06/02/1977</t>
  </si>
  <si>
    <t>05/07/1977</t>
  </si>
  <si>
    <t>07/30/1944</t>
  </si>
  <si>
    <t>11/19/1932</t>
  </si>
  <si>
    <t>10/03/1962</t>
  </si>
  <si>
    <t>04/24/1964</t>
  </si>
  <si>
    <t>03/27/1963</t>
  </si>
  <si>
    <t>10/09/1998</t>
  </si>
  <si>
    <t>01/02/1984</t>
  </si>
  <si>
    <t>04/15/1983</t>
  </si>
  <si>
    <t>10/29/1954</t>
  </si>
  <si>
    <t>12/31/1970</t>
  </si>
  <si>
    <t>05/23/1983</t>
  </si>
  <si>
    <t>09/07/1938</t>
  </si>
  <si>
    <t>11/04/1986</t>
  </si>
  <si>
    <t>08/02/1978</t>
  </si>
  <si>
    <t>10/06/1962</t>
  </si>
  <si>
    <t>10/10/1969</t>
  </si>
  <si>
    <t>01/03/1965</t>
  </si>
  <si>
    <t>07/14/1974</t>
  </si>
  <si>
    <t>12/11/1952</t>
  </si>
  <si>
    <t>11/11/2003</t>
  </si>
  <si>
    <t>03/07/1962</t>
  </si>
  <si>
    <t>04/30/1968</t>
  </si>
  <si>
    <t>09/11/1981</t>
  </si>
  <si>
    <t>02/08/2012</t>
  </si>
  <si>
    <t>02/01/1954</t>
  </si>
  <si>
    <t>09/11/1959</t>
  </si>
  <si>
    <t>08/03/1994</t>
  </si>
  <si>
    <t>04/14/1967</t>
  </si>
  <si>
    <t>11/17/2006</t>
  </si>
  <si>
    <t>05/15/1991</t>
  </si>
  <si>
    <t>08/14/1981</t>
  </si>
  <si>
    <t>05/08/1959</t>
  </si>
  <si>
    <t>09/18/1949</t>
  </si>
  <si>
    <t>03/07/1954</t>
  </si>
  <si>
    <t>06/26/1968</t>
  </si>
  <si>
    <t>08/10/1962</t>
  </si>
  <si>
    <t>12/26/1969</t>
  </si>
  <si>
    <t>06/05/1984</t>
  </si>
  <si>
    <t>03/10/1956</t>
  </si>
  <si>
    <t>06/26/1953</t>
  </si>
  <si>
    <t>01/09/1983</t>
  </si>
  <si>
    <t>02/18/1961</t>
  </si>
  <si>
    <t>11/07/1967</t>
  </si>
  <si>
    <t>09/03/1961</t>
  </si>
  <si>
    <t>08/22/1938</t>
  </si>
  <si>
    <t>12/28/1940</t>
  </si>
  <si>
    <t>10/31/1989</t>
  </si>
  <si>
    <t>04/22/1989</t>
  </si>
  <si>
    <t>08/15/1932</t>
  </si>
  <si>
    <t>03/15/1965</t>
  </si>
  <si>
    <t>02/17/1965</t>
  </si>
  <si>
    <t>01/03/1972</t>
  </si>
  <si>
    <t>10/23/1958</t>
  </si>
  <si>
    <t>05/13/1961</t>
  </si>
  <si>
    <t>10/15/1975</t>
  </si>
  <si>
    <t>11/15/1969</t>
  </si>
  <si>
    <t>05/13/1986</t>
  </si>
  <si>
    <t>10/20/1954</t>
  </si>
  <si>
    <t>02/15/1988</t>
  </si>
  <si>
    <t>02/16/1992</t>
  </si>
  <si>
    <t>01/05/1966</t>
  </si>
  <si>
    <t>09/12/1981</t>
  </si>
  <si>
    <t>11/05/1946</t>
  </si>
  <si>
    <t>03/14/1966</t>
  </si>
  <si>
    <t>01/28/1986</t>
  </si>
  <si>
    <t>09/17/1981</t>
  </si>
  <si>
    <t>06/14/1960</t>
  </si>
  <si>
    <t>12/29/1962</t>
  </si>
  <si>
    <t>08/27/1984</t>
  </si>
  <si>
    <t>05/10/1982</t>
  </si>
  <si>
    <t>08/04/1997</t>
  </si>
  <si>
    <t>09/12/1976</t>
  </si>
  <si>
    <t>03/21/1950</t>
  </si>
  <si>
    <t>12/29/1958</t>
  </si>
  <si>
    <t>10/31/1932</t>
  </si>
  <si>
    <t>07/23/1990</t>
  </si>
  <si>
    <t>12/25/1957</t>
  </si>
  <si>
    <t>07/27/1953</t>
  </si>
  <si>
    <t>08/04/1965</t>
  </si>
  <si>
    <t>03/30/1930</t>
  </si>
  <si>
    <t>02/25/1966</t>
  </si>
  <si>
    <t>05/31/1947</t>
  </si>
  <si>
    <t>09/02/1974</t>
  </si>
  <si>
    <t>07/13/1945</t>
  </si>
  <si>
    <t>11/20/1959</t>
  </si>
  <si>
    <t>06/26/1969</t>
  </si>
  <si>
    <t>11/28/1958</t>
  </si>
  <si>
    <t>12/26/1966</t>
  </si>
  <si>
    <t>09/26/1982</t>
  </si>
  <si>
    <t>10/07/1970</t>
  </si>
  <si>
    <t>02/02/1979</t>
  </si>
  <si>
    <t>04/25/1990</t>
  </si>
  <si>
    <t>01/15/1950</t>
  </si>
  <si>
    <t>05/22/1948</t>
  </si>
  <si>
    <t>07/09/1953</t>
  </si>
  <si>
    <t>03/04/1938</t>
  </si>
  <si>
    <t>08/16/1979</t>
  </si>
  <si>
    <t>08/28/1982</t>
  </si>
  <si>
    <t>05/02/1935</t>
  </si>
  <si>
    <t>06/10/1956</t>
  </si>
  <si>
    <t>08/25/1991</t>
  </si>
  <si>
    <t>06/05/1959</t>
  </si>
  <si>
    <t>05/15/1970</t>
  </si>
  <si>
    <t>10/05/1975</t>
  </si>
  <si>
    <t>07/27/1979</t>
  </si>
  <si>
    <t>05/19/1957</t>
  </si>
  <si>
    <t>08/08/1985</t>
  </si>
  <si>
    <t>04/08/1988</t>
  </si>
  <si>
    <t>06/09/1989</t>
  </si>
  <si>
    <t>06/23/1976</t>
  </si>
  <si>
    <t>06/18/1961</t>
  </si>
  <si>
    <t>09/25/1956</t>
  </si>
  <si>
    <t>04/27/1980</t>
  </si>
  <si>
    <t>05/26/1967</t>
  </si>
  <si>
    <t>05/02/1969</t>
  </si>
  <si>
    <t>03/08/1985</t>
  </si>
  <si>
    <t>08/25/1998</t>
  </si>
  <si>
    <t>05/04/2016</t>
  </si>
  <si>
    <t>12/05/1965</t>
  </si>
  <si>
    <t>04/03/1994</t>
  </si>
  <si>
    <t>10/28/1965</t>
  </si>
  <si>
    <t>03/19/2004</t>
  </si>
  <si>
    <t>09/19/1949</t>
  </si>
  <si>
    <t>06/19/1955</t>
  </si>
  <si>
    <t>10/23/1980</t>
  </si>
  <si>
    <t>10/22/1935</t>
  </si>
  <si>
    <t>04/27/1933</t>
  </si>
  <si>
    <t>11/10/1933</t>
  </si>
  <si>
    <t>07/28/1952</t>
  </si>
  <si>
    <t>02/24/1974</t>
  </si>
  <si>
    <t>12/15/1953</t>
  </si>
  <si>
    <t>07/17/1946</t>
  </si>
  <si>
    <t>12/28/1963</t>
  </si>
  <si>
    <t>11/07/1960</t>
  </si>
  <si>
    <t>07/28/1954</t>
  </si>
  <si>
    <t>10/11/1952</t>
  </si>
  <si>
    <t>01/16/1960</t>
  </si>
  <si>
    <t>05/13/1981</t>
  </si>
  <si>
    <t>10/17/1975</t>
  </si>
  <si>
    <t>04/02/1916</t>
  </si>
  <si>
    <t>10/08/1953</t>
  </si>
  <si>
    <t>12/19/1973</t>
  </si>
  <si>
    <t>06/07/1990</t>
  </si>
  <si>
    <t>05/30/1980</t>
  </si>
  <si>
    <t>10/25/1981</t>
  </si>
  <si>
    <t>12/16/2014</t>
  </si>
  <si>
    <t>04/03/2008</t>
  </si>
  <si>
    <t>08/03/1945</t>
  </si>
  <si>
    <t>01/13/1991</t>
  </si>
  <si>
    <t>02/04/2017</t>
  </si>
  <si>
    <t>08/25/1986</t>
  </si>
  <si>
    <t>06/12/1965</t>
  </si>
  <si>
    <t>07/02/1991</t>
  </si>
  <si>
    <t>07/05/1997</t>
  </si>
  <si>
    <t>06/15/1979</t>
  </si>
  <si>
    <t>07/17/2012</t>
  </si>
  <si>
    <t>02/03/1979</t>
  </si>
  <si>
    <t>04/17/1962</t>
  </si>
  <si>
    <t>01/14/1995</t>
  </si>
  <si>
    <t>07/10/1956</t>
  </si>
  <si>
    <t>04/10/1970</t>
  </si>
  <si>
    <t>07/18/1957</t>
  </si>
  <si>
    <t>07/09/1961</t>
  </si>
  <si>
    <t>09/18/1986</t>
  </si>
  <si>
    <t>03/04/1990</t>
  </si>
  <si>
    <t>01/04/1972</t>
  </si>
  <si>
    <t>04/02/1993</t>
  </si>
  <si>
    <t>04/07/1944</t>
  </si>
  <si>
    <t>01/29/1983</t>
  </si>
  <si>
    <t>03/10/1985</t>
  </si>
  <si>
    <t>06/21/1952</t>
  </si>
  <si>
    <t>04/22/1957</t>
  </si>
  <si>
    <t>10/04/1986</t>
  </si>
  <si>
    <t>03/07/1955</t>
  </si>
  <si>
    <t>01/30/1969</t>
  </si>
  <si>
    <t>07/03/1964</t>
  </si>
  <si>
    <t>03/07/1978</t>
  </si>
  <si>
    <t>12/26/1950</t>
  </si>
  <si>
    <t>04/09/1962</t>
  </si>
  <si>
    <t>01/13/1952</t>
  </si>
  <si>
    <t>07/23/1974</t>
  </si>
  <si>
    <t>01/14/1971</t>
  </si>
  <si>
    <t>11/08/1972</t>
  </si>
  <si>
    <t>02/10/1987</t>
  </si>
  <si>
    <t>04/10/1958</t>
  </si>
  <si>
    <t>02/13/1996</t>
  </si>
  <si>
    <t>05/14/1986</t>
  </si>
  <si>
    <t>06/08/1964</t>
  </si>
  <si>
    <t>06/04/1965</t>
  </si>
  <si>
    <t>09/04/1957</t>
  </si>
  <si>
    <t>02/06/1965</t>
  </si>
  <si>
    <t>10/05/1978</t>
  </si>
  <si>
    <t>10/03/1985</t>
  </si>
  <si>
    <t>06/28/1962</t>
  </si>
  <si>
    <t>05/01/1972</t>
  </si>
  <si>
    <t>08/04/1950</t>
  </si>
  <si>
    <t>06/27/1968</t>
  </si>
  <si>
    <t>10/03/1987</t>
  </si>
  <si>
    <t>09/04/1986</t>
  </si>
  <si>
    <t>06/13/1961</t>
  </si>
  <si>
    <t>04/16/1951</t>
  </si>
  <si>
    <t>05/25/1958</t>
  </si>
  <si>
    <t>08/11/1986</t>
  </si>
  <si>
    <t>11/21/1977</t>
  </si>
  <si>
    <t>09/26/1963</t>
  </si>
  <si>
    <t>02/17/2008</t>
  </si>
  <si>
    <t>08/03/1969</t>
  </si>
  <si>
    <t>04/23/2003</t>
  </si>
  <si>
    <t>08/29/1979</t>
  </si>
  <si>
    <t>09/08/1969</t>
  </si>
  <si>
    <t>08/19/1987</t>
  </si>
  <si>
    <t>11/10/1939</t>
  </si>
  <si>
    <t>09/19/1951</t>
  </si>
  <si>
    <t>07/04/1969</t>
  </si>
  <si>
    <t>02/03/1958</t>
  </si>
  <si>
    <t>05/04/1999</t>
  </si>
  <si>
    <t>08/26/1981</t>
  </si>
  <si>
    <t>09/12/1959</t>
  </si>
  <si>
    <t>10/01/1989</t>
  </si>
  <si>
    <t>01/31/1987</t>
  </si>
  <si>
    <t>12/20/1981</t>
  </si>
  <si>
    <t>01/08/1981</t>
  </si>
  <si>
    <t>11/04/1970</t>
  </si>
  <si>
    <t>07/21/1985</t>
  </si>
  <si>
    <t>09/01/1977</t>
  </si>
  <si>
    <t>11/21/1999</t>
  </si>
  <si>
    <t>04/12/1969</t>
  </si>
  <si>
    <t>04/07/2008</t>
  </si>
  <si>
    <t>06/07/1977</t>
  </si>
  <si>
    <t>09/22/1963</t>
  </si>
  <si>
    <t>03/14/1982</t>
  </si>
  <si>
    <t>10/01/1976</t>
  </si>
  <si>
    <t>08/30/1955</t>
  </si>
  <si>
    <t>09/22/1980</t>
  </si>
  <si>
    <t>11/13/1958</t>
  </si>
  <si>
    <t>05/04/1990</t>
  </si>
  <si>
    <t>07/23/1952</t>
  </si>
  <si>
    <t>09/27/1970</t>
  </si>
  <si>
    <t>04/15/1942</t>
  </si>
  <si>
    <t>07/31/1955</t>
  </si>
  <si>
    <t>06/10/1922</t>
  </si>
  <si>
    <t>05/04/1962</t>
  </si>
  <si>
    <t>08/01/1956</t>
  </si>
  <si>
    <t>04/28/1974</t>
  </si>
  <si>
    <t>04/25/1967</t>
  </si>
  <si>
    <t>05/28/1988</t>
  </si>
  <si>
    <t>05/09/1953</t>
  </si>
  <si>
    <t>05/13/1970</t>
  </si>
  <si>
    <t>03/01/1970</t>
  </si>
  <si>
    <t>06/15/1947</t>
  </si>
  <si>
    <t>09/21/1978</t>
  </si>
  <si>
    <t>08/14/1975</t>
  </si>
  <si>
    <t>02/11/1987</t>
  </si>
  <si>
    <t>11/25/1959</t>
  </si>
  <si>
    <t>11/07/1964</t>
  </si>
  <si>
    <t>02/10/1977</t>
  </si>
  <si>
    <t>10/15/1984</t>
  </si>
  <si>
    <t>11/16/1967</t>
  </si>
  <si>
    <t>05/18/1939</t>
  </si>
  <si>
    <t>09/17/2004</t>
  </si>
  <si>
    <t>06/04/2014</t>
  </si>
  <si>
    <t>02/01/1986</t>
  </si>
  <si>
    <t>05/12/2000</t>
  </si>
  <si>
    <t>08/01/2010</t>
  </si>
  <si>
    <t>09/13/1981</t>
  </si>
  <si>
    <t>04/01/1962</t>
  </si>
  <si>
    <t>12/13/1988</t>
  </si>
  <si>
    <t>02/17/1953</t>
  </si>
  <si>
    <t>06/01/1994</t>
  </si>
  <si>
    <t>01/12/1988</t>
  </si>
  <si>
    <t>08/23/1968</t>
  </si>
  <si>
    <t>09/08/1991</t>
  </si>
  <si>
    <t>04/25/1988</t>
  </si>
  <si>
    <t>06/07/1946</t>
  </si>
  <si>
    <t>12/14/2010</t>
  </si>
  <si>
    <t>12/04/1961</t>
  </si>
  <si>
    <t>10/02/1967</t>
  </si>
  <si>
    <t>10/18/1980</t>
  </si>
  <si>
    <t>04/07/1963</t>
  </si>
  <si>
    <t>06/19/1968</t>
  </si>
  <si>
    <t>10/31/1975</t>
  </si>
  <si>
    <t>01/18/1989</t>
  </si>
  <si>
    <t>01/14/2003</t>
  </si>
  <si>
    <t>05/10/1995</t>
  </si>
  <si>
    <t>12/28/1950</t>
  </si>
  <si>
    <t>03/22/2012</t>
  </si>
  <si>
    <t>06/13/1981</t>
  </si>
  <si>
    <t>02/27/1982</t>
  </si>
  <si>
    <t>11/23/1977</t>
  </si>
  <si>
    <t>07/13/1963</t>
  </si>
  <si>
    <t>08/04/1971</t>
  </si>
  <si>
    <t>08/19/1971</t>
  </si>
  <si>
    <t>06/21/1961</t>
  </si>
  <si>
    <t>10/09/1978</t>
  </si>
  <si>
    <t>10/06/1989</t>
  </si>
  <si>
    <t>08/04/1964</t>
  </si>
  <si>
    <t>08/03/1939</t>
  </si>
  <si>
    <t>04/23/1990</t>
  </si>
  <si>
    <t>08/01/1953</t>
  </si>
  <si>
    <t>12/30/1945</t>
  </si>
  <si>
    <t>05/31/1970</t>
  </si>
  <si>
    <t>07/10/1962</t>
  </si>
  <si>
    <t>08/26/1964</t>
  </si>
  <si>
    <t>03/16/2011</t>
  </si>
  <si>
    <t>05/18/1971</t>
  </si>
  <si>
    <t>06/26/1945</t>
  </si>
  <si>
    <t>07/23/1963</t>
  </si>
  <si>
    <t>08/12/1956</t>
  </si>
  <si>
    <t>01/19/1985</t>
  </si>
  <si>
    <t>07/12/1972</t>
  </si>
  <si>
    <t>10/19/1965</t>
  </si>
  <si>
    <t>02/05/1947</t>
  </si>
  <si>
    <t>11/11/1962</t>
  </si>
  <si>
    <t>05/30/1981</t>
  </si>
  <si>
    <t>11/11/1987</t>
  </si>
  <si>
    <t>08/07/1983</t>
  </si>
  <si>
    <t>12/29/1989</t>
  </si>
  <si>
    <t>04/08/1958</t>
  </si>
  <si>
    <t>01/07/1979</t>
  </si>
  <si>
    <t>10/27/1984</t>
  </si>
  <si>
    <t>08/04/1977</t>
  </si>
  <si>
    <t>02/01/2014</t>
  </si>
  <si>
    <t>07/24/1963</t>
  </si>
  <si>
    <t>06/22/1992</t>
  </si>
  <si>
    <t>01/01/1951</t>
  </si>
  <si>
    <t>03/20/1992</t>
  </si>
  <si>
    <t>01/08/1956</t>
  </si>
  <si>
    <t>01/13/1960</t>
  </si>
  <si>
    <t>01/02/1981</t>
  </si>
  <si>
    <t>01/19/1951</t>
  </si>
  <si>
    <t>06/10/1968</t>
  </si>
  <si>
    <t>02/25/1977</t>
  </si>
  <si>
    <t>05/18/1974</t>
  </si>
  <si>
    <t>07/06/1978</t>
  </si>
  <si>
    <t>12/11/1991</t>
  </si>
  <si>
    <t>02/10/1964</t>
  </si>
  <si>
    <t>01/01/1983</t>
  </si>
  <si>
    <t>05/05/2006</t>
  </si>
  <si>
    <t>06/20/2004</t>
  </si>
  <si>
    <t>02/13/1970</t>
  </si>
  <si>
    <t>08/04/1961</t>
  </si>
  <si>
    <t>03/30/1969</t>
  </si>
  <si>
    <t>09/18/1982</t>
  </si>
  <si>
    <t>05/31/1962</t>
  </si>
  <si>
    <t>04/19/1985</t>
  </si>
  <si>
    <t>12/11/1938</t>
  </si>
  <si>
    <t>07/11/1962</t>
  </si>
  <si>
    <t>02/04/1956</t>
  </si>
  <si>
    <t>05/31/1976</t>
  </si>
  <si>
    <t>12/27/1977</t>
  </si>
  <si>
    <t>04/23/1985</t>
  </si>
  <si>
    <t>03/03/1986</t>
  </si>
  <si>
    <t>01/26/1965</t>
  </si>
  <si>
    <t>05/14/1982</t>
  </si>
  <si>
    <t>05/26/1960</t>
  </si>
  <si>
    <t>07/05/1964</t>
  </si>
  <si>
    <t>03/02/1990</t>
  </si>
  <si>
    <t>05/20/1970</t>
  </si>
  <si>
    <t>07/10/1984</t>
  </si>
  <si>
    <t>05/18/1962</t>
  </si>
  <si>
    <t>04/30/1939</t>
  </si>
  <si>
    <t>10/30/1959</t>
  </si>
  <si>
    <t>04/28/1998</t>
  </si>
  <si>
    <t>07/27/1966</t>
  </si>
  <si>
    <t>07/22/1951</t>
  </si>
  <si>
    <t>04/04/1951</t>
  </si>
  <si>
    <t>06/21/1951</t>
  </si>
  <si>
    <t>10/28/1946</t>
  </si>
  <si>
    <t>08/06/1988</t>
  </si>
  <si>
    <t>10/16/1979</t>
  </si>
  <si>
    <t>09/20/1977</t>
  </si>
  <si>
    <t>01/01/1962</t>
  </si>
  <si>
    <t>12/28/1966</t>
  </si>
  <si>
    <t>01/09/1987</t>
  </si>
  <si>
    <t>09/19/1955</t>
  </si>
  <si>
    <t>01/02/1968</t>
  </si>
  <si>
    <t>11/07/1962</t>
  </si>
  <si>
    <t>09/29/1989</t>
  </si>
  <si>
    <t>12/14/1981</t>
  </si>
  <si>
    <t>03/30/1985</t>
  </si>
  <si>
    <t>03/04/1957</t>
  </si>
  <si>
    <t>12/18/1980</t>
  </si>
  <si>
    <t>04/29/1973</t>
  </si>
  <si>
    <t>11/08/1973</t>
  </si>
  <si>
    <t>06/16/1968</t>
  </si>
  <si>
    <t>06/24/1976</t>
  </si>
  <si>
    <t>01/10/1961</t>
  </si>
  <si>
    <t>07/09/1968</t>
  </si>
  <si>
    <t>12/22/1944</t>
  </si>
  <si>
    <t>09/06/1967</t>
  </si>
  <si>
    <t>12/16/1973</t>
  </si>
  <si>
    <t>10/28/1949</t>
  </si>
  <si>
    <t>10/25/1954</t>
  </si>
  <si>
    <t>12/20/1985</t>
  </si>
  <si>
    <t>12/27/1955</t>
  </si>
  <si>
    <t>03/27/1934</t>
  </si>
  <si>
    <t>03/11/1950</t>
  </si>
  <si>
    <t>07/01/1969</t>
  </si>
  <si>
    <t>09/13/1964</t>
  </si>
  <si>
    <t>05/04/1965</t>
  </si>
  <si>
    <t>01/19/1980</t>
  </si>
  <si>
    <t>07/22/1997</t>
  </si>
  <si>
    <t>09/11/1954</t>
  </si>
  <si>
    <t>05/03/1956</t>
  </si>
  <si>
    <t>04/19/1996</t>
  </si>
  <si>
    <t>02/04/1983</t>
  </si>
  <si>
    <t>03/14/1961</t>
  </si>
  <si>
    <t>06/01/1979</t>
  </si>
  <si>
    <t>07/04/1945</t>
  </si>
  <si>
    <t>06/04/1959</t>
  </si>
  <si>
    <t>11/28/1973</t>
  </si>
  <si>
    <t>06/14/1947</t>
  </si>
  <si>
    <t>02/23/1959</t>
  </si>
  <si>
    <t>11/27/1989</t>
  </si>
  <si>
    <t>01/16/1990</t>
  </si>
  <si>
    <t>12/13/1948</t>
  </si>
  <si>
    <t>05/27/1988</t>
  </si>
  <si>
    <t>01/22/1960</t>
  </si>
  <si>
    <t>10/18/1952</t>
  </si>
  <si>
    <t>11/30/1961</t>
  </si>
  <si>
    <t>05/21/1961</t>
  </si>
  <si>
    <t>11/15/1988</t>
  </si>
  <si>
    <t>01/10/1954</t>
  </si>
  <si>
    <t>11/29/1967</t>
  </si>
  <si>
    <t>05/06/1976</t>
  </si>
  <si>
    <t>09/28/1963</t>
  </si>
  <si>
    <t>10/24/1983</t>
  </si>
  <si>
    <t>06/04/1953</t>
  </si>
  <si>
    <t>08/03/1992</t>
  </si>
  <si>
    <t>10/10/1955</t>
  </si>
  <si>
    <t>01/01/1989</t>
  </si>
  <si>
    <t>11/18/1961</t>
  </si>
  <si>
    <t>01/04/1948</t>
  </si>
  <si>
    <t>12/28/1972</t>
  </si>
  <si>
    <t>08/18/1947</t>
  </si>
  <si>
    <t>10/28/1975</t>
  </si>
  <si>
    <t>06/09/1984</t>
  </si>
  <si>
    <t>12/31/1944</t>
  </si>
  <si>
    <t>12/26/1952</t>
  </si>
  <si>
    <t>06/10/1959</t>
  </si>
  <si>
    <t>01/30/1983</t>
  </si>
  <si>
    <t>11/01/1951</t>
  </si>
  <si>
    <t>12/18/1953</t>
  </si>
  <si>
    <t>12/22/1972</t>
  </si>
  <si>
    <t>03/17/1934</t>
  </si>
  <si>
    <t>05/12/1990</t>
  </si>
  <si>
    <t>06/15/1985</t>
  </si>
  <si>
    <t>10/25/1992</t>
  </si>
  <si>
    <t>09/23/1978</t>
  </si>
  <si>
    <t>03/04/1951</t>
  </si>
  <si>
    <t>02/18/1964</t>
  </si>
  <si>
    <t>11/06/1976</t>
  </si>
  <si>
    <t>01/14/1968</t>
  </si>
  <si>
    <t>09/13/2013</t>
  </si>
  <si>
    <t>01/09/1969</t>
  </si>
  <si>
    <t>04/15/1950</t>
  </si>
  <si>
    <t>07/09/1995</t>
  </si>
  <si>
    <t>04/22/1982</t>
  </si>
  <si>
    <t>03/19/1955</t>
  </si>
  <si>
    <t>06/25/1955</t>
  </si>
  <si>
    <t>08/11/1941</t>
  </si>
  <si>
    <t>05/27/1960</t>
  </si>
  <si>
    <t>07/27/1960</t>
  </si>
  <si>
    <t>12/08/1975</t>
  </si>
  <si>
    <t>02/01/1982</t>
  </si>
  <si>
    <t>03/06/1999</t>
  </si>
  <si>
    <t>01/10/1960</t>
  </si>
  <si>
    <t>08/24/1957</t>
  </si>
  <si>
    <t>03/05/1974</t>
  </si>
  <si>
    <t>11/21/1958</t>
  </si>
  <si>
    <t>06/06/1978</t>
  </si>
  <si>
    <t>11/14/1970</t>
  </si>
  <si>
    <t>09/06/1985</t>
  </si>
  <si>
    <t>05/17/1989</t>
  </si>
  <si>
    <t>09/11/1964</t>
  </si>
  <si>
    <t>04/06/1986</t>
  </si>
  <si>
    <t>04/05/1961</t>
  </si>
  <si>
    <t>08/19/1953</t>
  </si>
  <si>
    <t>07/29/1963</t>
  </si>
  <si>
    <t>10/29/1971</t>
  </si>
  <si>
    <t>09/19/1992</t>
  </si>
  <si>
    <t>06/08/1976</t>
  </si>
  <si>
    <t>07/16/1972</t>
  </si>
  <si>
    <t>11/18/1975</t>
  </si>
  <si>
    <t>05/29/1977</t>
  </si>
  <si>
    <t>11/10/1978</t>
  </si>
  <si>
    <t>07/31/1969</t>
  </si>
  <si>
    <t>11/22/1974</t>
  </si>
  <si>
    <t>03/12/1978</t>
  </si>
  <si>
    <t>10/24/1948</t>
  </si>
  <si>
    <t>01/15/1963</t>
  </si>
  <si>
    <t>12/29/1946</t>
  </si>
  <si>
    <t>03/02/1994</t>
  </si>
  <si>
    <t>08/09/1991</t>
  </si>
  <si>
    <t>03/03/1940</t>
  </si>
  <si>
    <t>06/16/1945</t>
  </si>
  <si>
    <t>11/08/1967</t>
  </si>
  <si>
    <t>06/25/1978</t>
  </si>
  <si>
    <t>05/01/1965</t>
  </si>
  <si>
    <t>10/24/1964</t>
  </si>
  <si>
    <t>07/11/1934</t>
  </si>
  <si>
    <t>05/20/1974</t>
  </si>
  <si>
    <t>03/04/1977</t>
  </si>
  <si>
    <t>05/01/1957</t>
  </si>
  <si>
    <t>01/11/1973</t>
  </si>
  <si>
    <t>04/04/1969</t>
  </si>
  <si>
    <t>03/07/1981</t>
  </si>
  <si>
    <t>05/17/1939</t>
  </si>
  <si>
    <t>04/12/1963</t>
  </si>
  <si>
    <t>10/13/1962</t>
  </si>
  <si>
    <t>05/01/1945</t>
  </si>
  <si>
    <t>01/25/1956</t>
  </si>
  <si>
    <t>02/18/1991</t>
  </si>
  <si>
    <t>01/23/1992</t>
  </si>
  <si>
    <t>11/02/1969</t>
  </si>
  <si>
    <t>11/06/1977</t>
  </si>
  <si>
    <t>12/15/1955</t>
  </si>
  <si>
    <t>10/28/1964</t>
  </si>
  <si>
    <t>11/17/1965</t>
  </si>
  <si>
    <t>03/23/1964</t>
  </si>
  <si>
    <t>01/28/1987</t>
  </si>
  <si>
    <t>09/27/1918</t>
  </si>
  <si>
    <t>07/17/1998</t>
  </si>
  <si>
    <t>11/27/2004</t>
  </si>
  <si>
    <t>07/07/1965</t>
  </si>
  <si>
    <t>01/09/1979</t>
  </si>
  <si>
    <t>09/26/1960</t>
  </si>
  <si>
    <t>02/07/1984</t>
  </si>
  <si>
    <t>10/25/1982</t>
  </si>
  <si>
    <t>07/29/1959</t>
  </si>
  <si>
    <t>05/16/1969</t>
  </si>
  <si>
    <t>10/01/1950</t>
  </si>
  <si>
    <t>06/29/1984</t>
  </si>
  <si>
    <t>02/27/1983</t>
  </si>
  <si>
    <t>02/16/1962</t>
  </si>
  <si>
    <t>04/16/1965</t>
  </si>
  <si>
    <t>06/19/1959</t>
  </si>
  <si>
    <t>05/29/1991</t>
  </si>
  <si>
    <t>12/02/1956</t>
  </si>
  <si>
    <t>03/08/1954</t>
  </si>
  <si>
    <t>07/04/1982</t>
  </si>
  <si>
    <t>07/31/1993</t>
  </si>
  <si>
    <t>08/02/1975</t>
  </si>
  <si>
    <t>02/24/1958</t>
  </si>
  <si>
    <t>05/23/1976</t>
  </si>
  <si>
    <t>04/01/1998</t>
  </si>
  <si>
    <t>03/26/1991</t>
  </si>
  <si>
    <t>06/18/1953</t>
  </si>
  <si>
    <t>02/06/1945</t>
  </si>
  <si>
    <t>12/18/1988</t>
  </si>
  <si>
    <t>08/10/1988</t>
  </si>
  <si>
    <t>05/06/1977</t>
  </si>
  <si>
    <t>07/22/1963</t>
  </si>
  <si>
    <t>07/22/1970</t>
  </si>
  <si>
    <t>11/19/1995</t>
  </si>
  <si>
    <t>03/09/1946</t>
  </si>
  <si>
    <t>04/21/1992</t>
  </si>
  <si>
    <t>01/09/1952</t>
  </si>
  <si>
    <t>11/16/2011</t>
  </si>
  <si>
    <t>03/07/1977</t>
  </si>
  <si>
    <t>07/20/1970</t>
  </si>
  <si>
    <t>02/07/1954</t>
  </si>
  <si>
    <t>05/09/1991</t>
  </si>
  <si>
    <t>01/11/1953</t>
  </si>
  <si>
    <t>07/24/1973</t>
  </si>
  <si>
    <t>11/19/1952</t>
  </si>
  <si>
    <t>10/01/1987</t>
  </si>
  <si>
    <t>05/02/1933</t>
  </si>
  <si>
    <t>05/10/1956</t>
  </si>
  <si>
    <t>12/07/1958</t>
  </si>
  <si>
    <t>08/27/1945</t>
  </si>
  <si>
    <t>10/25/1956</t>
  </si>
  <si>
    <t>05/07/1988</t>
  </si>
  <si>
    <t>05/27/1977</t>
  </si>
  <si>
    <t>07/23/1982</t>
  </si>
  <si>
    <t>07/22/1958</t>
  </si>
  <si>
    <t>05/16/1939</t>
  </si>
  <si>
    <t>06/20/1983</t>
  </si>
  <si>
    <t>09/16/1982</t>
  </si>
  <si>
    <t>03/30/1984</t>
  </si>
  <si>
    <t>09/28/1974</t>
  </si>
  <si>
    <t>07/13/1989</t>
  </si>
  <si>
    <t>06/06/1968</t>
  </si>
  <si>
    <t>12/08/1950</t>
  </si>
  <si>
    <t>08/12/1951</t>
  </si>
  <si>
    <t>05/09/1970</t>
  </si>
  <si>
    <t>06/13/1942</t>
  </si>
  <si>
    <t>02/06/1979</t>
  </si>
  <si>
    <t>02/20/1982</t>
  </si>
  <si>
    <t>05/30/1969</t>
  </si>
  <si>
    <t>07/05/1955</t>
  </si>
  <si>
    <t>12/11/1983</t>
  </si>
  <si>
    <t>06/29/1980</t>
  </si>
  <si>
    <t>04/16/2019</t>
  </si>
  <si>
    <t>02/21/1974</t>
  </si>
  <si>
    <t>01/14/1954</t>
  </si>
  <si>
    <t>07/28/1987</t>
  </si>
  <si>
    <t>08/22/2008</t>
  </si>
  <si>
    <t>09/11/1952</t>
  </si>
  <si>
    <t>08/27/1940</t>
  </si>
  <si>
    <t>04/21/1976</t>
  </si>
  <si>
    <t>08/02/1954</t>
  </si>
  <si>
    <t>11/13/1948</t>
  </si>
  <si>
    <t>11/08/1953</t>
  </si>
  <si>
    <t>05/11/1960</t>
  </si>
  <si>
    <t>10/02/1968</t>
  </si>
  <si>
    <t>11/09/1946</t>
  </si>
  <si>
    <t>10/18/1957</t>
  </si>
  <si>
    <t>01/07/1935</t>
  </si>
  <si>
    <t>07/14/1979</t>
  </si>
  <si>
    <t>06/30/1956</t>
  </si>
  <si>
    <t>01/25/1963</t>
  </si>
  <si>
    <t>03/03/1938</t>
  </si>
  <si>
    <t>06/09/1958</t>
  </si>
  <si>
    <t>09/27/1967</t>
  </si>
  <si>
    <t>06/27/1981</t>
  </si>
  <si>
    <t>10/20/1962</t>
  </si>
  <si>
    <t>11/15/1981</t>
  </si>
  <si>
    <t>12/12/1989</t>
  </si>
  <si>
    <t>04/09/1992</t>
  </si>
  <si>
    <t>01/06/1989</t>
  </si>
  <si>
    <t>09/22/1969</t>
  </si>
  <si>
    <t>07/15/1957</t>
  </si>
  <si>
    <t>12/15/1960</t>
  </si>
  <si>
    <t>05/29/1976</t>
  </si>
  <si>
    <t>11/24/1989</t>
  </si>
  <si>
    <t>02/27/1993</t>
  </si>
  <si>
    <t>04/03/1981</t>
  </si>
  <si>
    <t>10/31/1946</t>
  </si>
  <si>
    <t>05/17/1993</t>
  </si>
  <si>
    <t>10/18/1936</t>
  </si>
  <si>
    <t>09/13/1962</t>
  </si>
  <si>
    <t>07/29/1991</t>
  </si>
  <si>
    <t>04/08/1975</t>
  </si>
  <si>
    <t>07/08/1983</t>
  </si>
  <si>
    <t>09/06/1974</t>
  </si>
  <si>
    <t>10/01/1971</t>
  </si>
  <si>
    <t>02/05/1985</t>
  </si>
  <si>
    <t>05/22/1966</t>
  </si>
  <si>
    <t>08/05/1990</t>
  </si>
  <si>
    <t>02/11/2015</t>
  </si>
  <si>
    <t>10/20/1975</t>
  </si>
  <si>
    <t>01/16/1992</t>
  </si>
  <si>
    <t>01/03/1959</t>
  </si>
  <si>
    <t>05/12/1976</t>
  </si>
  <si>
    <t>12/17/1984</t>
  </si>
  <si>
    <t>12/29/1982</t>
  </si>
  <si>
    <t>05/19/1992</t>
  </si>
  <si>
    <t>09/13/1958</t>
  </si>
  <si>
    <t>02/07/1963</t>
  </si>
  <si>
    <t>12/24/1964</t>
  </si>
  <si>
    <t>02/02/1958</t>
  </si>
  <si>
    <t>11/26/1950</t>
  </si>
  <si>
    <t>09/09/1976</t>
  </si>
  <si>
    <t>01/22/1957</t>
  </si>
  <si>
    <t>02/08/1968</t>
  </si>
  <si>
    <t>04/24/1990</t>
  </si>
  <si>
    <t>07/29/1988</t>
  </si>
  <si>
    <t>10/31/1979</t>
  </si>
  <si>
    <t>08/09/1954</t>
  </si>
  <si>
    <t>02/06/1984</t>
  </si>
  <si>
    <t>04/14/1975</t>
  </si>
  <si>
    <t>06/11/1991</t>
  </si>
  <si>
    <t>02/15/1981</t>
  </si>
  <si>
    <t>05/05/1996</t>
  </si>
  <si>
    <t>12/12/1974</t>
  </si>
  <si>
    <t>01/09/1963</t>
  </si>
  <si>
    <t>08/25/1937</t>
  </si>
  <si>
    <t>08/20/1985</t>
  </si>
  <si>
    <t>01/26/1970</t>
  </si>
  <si>
    <t>12/10/1955</t>
  </si>
  <si>
    <t>03/09/1962</t>
  </si>
  <si>
    <t>12/03/1960</t>
  </si>
  <si>
    <t>05/15/1965</t>
  </si>
  <si>
    <t>06/24/2000</t>
  </si>
  <si>
    <t>10/12/1967</t>
  </si>
  <si>
    <t>01/01/1966</t>
  </si>
  <si>
    <t>08/10/1959</t>
  </si>
  <si>
    <t>05/14/2005</t>
  </si>
  <si>
    <t>04/02/1960</t>
  </si>
  <si>
    <t>04/10/1963</t>
  </si>
  <si>
    <t>04/12/1951</t>
  </si>
  <si>
    <t>01/06/1976</t>
  </si>
  <si>
    <t>04/27/1990</t>
  </si>
  <si>
    <t>01/17/1988</t>
  </si>
  <si>
    <t>12/05/1932</t>
  </si>
  <si>
    <t>02/16/1937</t>
  </si>
  <si>
    <t>02/07/1958</t>
  </si>
  <si>
    <t>11/30/1955</t>
  </si>
  <si>
    <t>07/30/1991</t>
  </si>
  <si>
    <t>05/19/1971</t>
  </si>
  <si>
    <t>07/03/1967</t>
  </si>
  <si>
    <t>07/19/1962</t>
  </si>
  <si>
    <t>04/09/1984</t>
  </si>
  <si>
    <t>07/01/1970</t>
  </si>
  <si>
    <t>03/13/1965</t>
  </si>
  <si>
    <t>08/01/1986</t>
  </si>
  <si>
    <t>12/18/1984</t>
  </si>
  <si>
    <t>06/10/1957</t>
  </si>
  <si>
    <t>11/12/1992</t>
  </si>
  <si>
    <t>09/22/1964</t>
  </si>
  <si>
    <t>12/16/1964</t>
  </si>
  <si>
    <t>08/06/1989</t>
  </si>
  <si>
    <t>10/28/2002</t>
  </si>
  <si>
    <t>09/02/1969</t>
  </si>
  <si>
    <t>09/17/1998</t>
  </si>
  <si>
    <t>07/24/1981</t>
  </si>
  <si>
    <t>01/17/1968</t>
  </si>
  <si>
    <t>07/15/1991</t>
  </si>
  <si>
    <t>06/06/1992</t>
  </si>
  <si>
    <t>10/22/1970</t>
  </si>
  <si>
    <t>10/30/1962</t>
  </si>
  <si>
    <t>03/17/2004</t>
  </si>
  <si>
    <t>06/05/1987</t>
  </si>
  <si>
    <t>08/31/1987</t>
  </si>
  <si>
    <t>03/08/1980</t>
  </si>
  <si>
    <t>07/03/1970</t>
  </si>
  <si>
    <t>09/14/1967</t>
  </si>
  <si>
    <t>09/14/1976</t>
  </si>
  <si>
    <t>02/24/1937</t>
  </si>
  <si>
    <t>06/11/1971</t>
  </si>
  <si>
    <t>11/19/1972</t>
  </si>
  <si>
    <t>11/25/1962</t>
  </si>
  <si>
    <t>08/20/1998</t>
  </si>
  <si>
    <t>11/25/1961</t>
  </si>
  <si>
    <t>03/27/2003</t>
  </si>
  <si>
    <t>07/10/1961</t>
  </si>
  <si>
    <t>08/20/1964</t>
  </si>
  <si>
    <t>09/05/1978</t>
  </si>
  <si>
    <t>04/16/1961</t>
  </si>
  <si>
    <t>06/16/1955</t>
  </si>
  <si>
    <t>08/21/1984</t>
  </si>
  <si>
    <t>06/14/2001</t>
  </si>
  <si>
    <t>05/28/1967</t>
  </si>
  <si>
    <t>06/01/1956</t>
  </si>
  <si>
    <t>12/12/1951</t>
  </si>
  <si>
    <t>11/02/1985</t>
  </si>
  <si>
    <t>09/18/1979</t>
  </si>
  <si>
    <t>12/23/1958</t>
  </si>
  <si>
    <t>06/02/1957</t>
  </si>
  <si>
    <t>03/09/1985</t>
  </si>
  <si>
    <t>01/10/1943</t>
  </si>
  <si>
    <t>02/13/1991</t>
  </si>
  <si>
    <t>06/19/1975</t>
  </si>
  <si>
    <t>01/13/1970</t>
  </si>
  <si>
    <t>07/21/1984</t>
  </si>
  <si>
    <t>05/02/1987</t>
  </si>
  <si>
    <t>12/20/1948</t>
  </si>
  <si>
    <t>06/24/1957</t>
  </si>
  <si>
    <t>02/07/1993</t>
  </si>
  <si>
    <t>06/08/1960</t>
  </si>
  <si>
    <t>06/02/1963</t>
  </si>
  <si>
    <t>08/11/1962</t>
  </si>
  <si>
    <t>04/19/1953</t>
  </si>
  <si>
    <t>03/17/1961</t>
  </si>
  <si>
    <t>11/18/1986</t>
  </si>
  <si>
    <t>10/04/1959</t>
  </si>
  <si>
    <t>10/20/1981</t>
  </si>
  <si>
    <t>07/19/1989</t>
  </si>
  <si>
    <t>08/25/1971</t>
  </si>
  <si>
    <t>08/30/1986</t>
  </si>
  <si>
    <t>09/14/2005</t>
  </si>
  <si>
    <t>01/19/1992</t>
  </si>
  <si>
    <t>01/31/1948</t>
  </si>
  <si>
    <t>03/06/1959</t>
  </si>
  <si>
    <t>10/07/1965</t>
  </si>
  <si>
    <t>09/26/1970</t>
  </si>
  <si>
    <t>03/20/1959</t>
  </si>
  <si>
    <t>11/07/1956</t>
  </si>
  <si>
    <t>03/01/1973</t>
  </si>
  <si>
    <t>10/20/1927</t>
  </si>
  <si>
    <t>07/14/1954</t>
  </si>
  <si>
    <t>08/11/1949</t>
  </si>
  <si>
    <t>09/06/1993</t>
  </si>
  <si>
    <t>07/07/1957</t>
  </si>
  <si>
    <t>12/17/1950</t>
  </si>
  <si>
    <t>10/11/1969</t>
  </si>
  <si>
    <t>07/14/1978</t>
  </si>
  <si>
    <t>08/10/1951</t>
  </si>
  <si>
    <t>10/04/1970</t>
  </si>
  <si>
    <t>01/15/1977</t>
  </si>
  <si>
    <t>02/12/1948</t>
  </si>
  <si>
    <t>12/25/1979</t>
  </si>
  <si>
    <t>08/19/1986</t>
  </si>
  <si>
    <t>03/25/1971</t>
  </si>
  <si>
    <t>12/02/1994</t>
  </si>
  <si>
    <t>05/04/1940</t>
  </si>
  <si>
    <t>03/09/1979</t>
  </si>
  <si>
    <t>08/20/1966</t>
  </si>
  <si>
    <t>09/22/1956</t>
  </si>
  <si>
    <t>01/24/1992</t>
  </si>
  <si>
    <t>09/07/1988</t>
  </si>
  <si>
    <t>06/14/1961</t>
  </si>
  <si>
    <t>07/13/1976</t>
  </si>
  <si>
    <t>09/25/1988</t>
  </si>
  <si>
    <t>05/04/1932</t>
  </si>
  <si>
    <t>09/23/1987</t>
  </si>
  <si>
    <t>08/01/1964</t>
  </si>
  <si>
    <t>05/05/1980</t>
  </si>
  <si>
    <t>04/08/1985</t>
  </si>
  <si>
    <t>09/20/1959</t>
  </si>
  <si>
    <t>09/28/1984</t>
  </si>
  <si>
    <t>09/17/1971</t>
  </si>
  <si>
    <t>12/16/1989</t>
  </si>
  <si>
    <t>10/12/1977</t>
  </si>
  <si>
    <t>05/13/1949</t>
  </si>
  <si>
    <t>12/27/1960</t>
  </si>
  <si>
    <t>06/24/1993</t>
  </si>
  <si>
    <t>12/16/1946</t>
  </si>
  <si>
    <t>07/01/1979</t>
  </si>
  <si>
    <t>07/28/1992</t>
  </si>
  <si>
    <t>04/16/1959</t>
  </si>
  <si>
    <t>04/11/1991</t>
  </si>
  <si>
    <t>05/01/1980</t>
  </si>
  <si>
    <t>02/20/1956</t>
  </si>
  <si>
    <t>03/21/1955</t>
  </si>
  <si>
    <t>03/13/1996</t>
  </si>
  <si>
    <t>01/08/1982</t>
  </si>
  <si>
    <t>12/08/1963</t>
  </si>
  <si>
    <t>01/27/1982</t>
  </si>
  <si>
    <t>06/17/1951</t>
  </si>
  <si>
    <t>02/10/1969</t>
  </si>
  <si>
    <t>02/01/1987</t>
  </si>
  <si>
    <t>07/08/1988</t>
  </si>
  <si>
    <t>12/21/1981</t>
  </si>
  <si>
    <t>03/13/1962</t>
  </si>
  <si>
    <t>08/26/1997</t>
  </si>
  <si>
    <t>12/15/2008</t>
  </si>
  <si>
    <t>07/11/2010</t>
  </si>
  <si>
    <t>11/15/1986</t>
  </si>
  <si>
    <t>03/14/1970</t>
  </si>
  <si>
    <t>06/09/1966</t>
  </si>
  <si>
    <t>08/29/1957</t>
  </si>
  <si>
    <t>11/23/1953</t>
  </si>
  <si>
    <t>02/05/1965</t>
  </si>
  <si>
    <t>06/02/1959</t>
  </si>
  <si>
    <t>05/23/1956</t>
  </si>
  <si>
    <t>09/07/1951</t>
  </si>
  <si>
    <t>02/02/1992</t>
  </si>
  <si>
    <t>06/16/1979</t>
  </si>
  <si>
    <t>11/09/2013</t>
  </si>
  <si>
    <t>10/27/1965</t>
  </si>
  <si>
    <t>07/07/1984</t>
  </si>
  <si>
    <t>02/24/1983</t>
  </si>
  <si>
    <t>10/27/1944</t>
  </si>
  <si>
    <t>05/23/1968</t>
  </si>
  <si>
    <t>09/03/1980</t>
  </si>
  <si>
    <t>01/23/1963</t>
  </si>
  <si>
    <t>05/16/1951</t>
  </si>
  <si>
    <t>10/23/1946</t>
  </si>
  <si>
    <t>06/30/1970</t>
  </si>
  <si>
    <t>04/22/1981</t>
  </si>
  <si>
    <t>06/22/1990</t>
  </si>
  <si>
    <t>10/25/1975</t>
  </si>
  <si>
    <t>09/19/1961</t>
  </si>
  <si>
    <t>12/01/1975</t>
  </si>
  <si>
    <t>09/06/1960</t>
  </si>
  <si>
    <t>04/07/1995</t>
  </si>
  <si>
    <t>03/04/1970</t>
  </si>
  <si>
    <t>11/16/1986</t>
  </si>
  <si>
    <t>04/11/1983</t>
  </si>
  <si>
    <t>04/02/1961</t>
  </si>
  <si>
    <t>01/22/1993</t>
  </si>
  <si>
    <t>06/28/1961</t>
  </si>
  <si>
    <t>12/12/2002</t>
  </si>
  <si>
    <t>07/03/1954</t>
  </si>
  <si>
    <t>01/22/1998</t>
  </si>
  <si>
    <t>04/26/1954</t>
  </si>
  <si>
    <t>03/05/1989</t>
  </si>
  <si>
    <t>06/18/2014</t>
  </si>
  <si>
    <t>08/11/1979</t>
  </si>
  <si>
    <t>01/14/1985</t>
  </si>
  <si>
    <t>12/05/1971</t>
  </si>
  <si>
    <t>11/29/1950</t>
  </si>
  <si>
    <t>06/20/1962</t>
  </si>
  <si>
    <t>08/20/1982</t>
  </si>
  <si>
    <t>03/12/1967</t>
  </si>
  <si>
    <t>04/27/1987</t>
  </si>
  <si>
    <t>11/06/1980</t>
  </si>
  <si>
    <t>10/07/1977</t>
  </si>
  <si>
    <t>02/14/2002</t>
  </si>
  <si>
    <t>03/05/2004</t>
  </si>
  <si>
    <t>05/06/1986</t>
  </si>
  <si>
    <t>02/09/1976</t>
  </si>
  <si>
    <t>08/20/1978</t>
  </si>
  <si>
    <t>09/28/1962</t>
  </si>
  <si>
    <t>02/28/1978</t>
  </si>
  <si>
    <t>06/15/1964</t>
  </si>
  <si>
    <t>03/15/1983</t>
  </si>
  <si>
    <t>02/08/1978</t>
  </si>
  <si>
    <t>02/08/1953</t>
  </si>
  <si>
    <t>09/18/1962</t>
  </si>
  <si>
    <t>08/20/1973</t>
  </si>
  <si>
    <t>05/24/1990</t>
  </si>
  <si>
    <t>02/17/1977</t>
  </si>
  <si>
    <t>06/14/1946</t>
  </si>
  <si>
    <t>01/01/1974</t>
  </si>
  <si>
    <t>11/30/1983</t>
  </si>
  <si>
    <t>07/17/1980</t>
  </si>
  <si>
    <t>08/02/1956</t>
  </si>
  <si>
    <t>12/22/1989</t>
  </si>
  <si>
    <t>09/20/1947</t>
  </si>
  <si>
    <t>05/14/1990</t>
  </si>
  <si>
    <t>07/16/1975</t>
  </si>
  <si>
    <t>09/01/1971</t>
  </si>
  <si>
    <t>06/04/1985</t>
  </si>
  <si>
    <t>12/08/1973</t>
  </si>
  <si>
    <t>09/27/1959</t>
  </si>
  <si>
    <t>06/22/1939</t>
  </si>
  <si>
    <t>06/06/1976</t>
  </si>
  <si>
    <t>04/03/1959</t>
  </si>
  <si>
    <t>06/11/1987</t>
  </si>
  <si>
    <t>11/17/1998</t>
  </si>
  <si>
    <t>09/05/1972</t>
  </si>
  <si>
    <t>03/26/2019</t>
  </si>
  <si>
    <t>12/03/1977</t>
  </si>
  <si>
    <t>09/25/1996</t>
  </si>
  <si>
    <t>06/14/1983</t>
  </si>
  <si>
    <t>02/08/1939</t>
  </si>
  <si>
    <t>06/12/1941</t>
  </si>
  <si>
    <t>11/11/1956</t>
  </si>
  <si>
    <t>06/24/1972</t>
  </si>
  <si>
    <t>01/26/1944</t>
  </si>
  <si>
    <t>02/01/1946</t>
  </si>
  <si>
    <t>02/07/1989</t>
  </si>
  <si>
    <t>03/11/1984</t>
  </si>
  <si>
    <t>01/14/2010</t>
  </si>
  <si>
    <t>11/13/1979</t>
  </si>
  <si>
    <t>08/13/1965</t>
  </si>
  <si>
    <t>12/13/1956</t>
  </si>
  <si>
    <t>04/30/1979</t>
  </si>
  <si>
    <t>10/24/1954</t>
  </si>
  <si>
    <t>12/31/1966</t>
  </si>
  <si>
    <t>08/13/1963</t>
  </si>
  <si>
    <t>11/21/1985</t>
  </si>
  <si>
    <t>08/07/1964</t>
  </si>
  <si>
    <t>09/24/1951</t>
  </si>
  <si>
    <t>01/22/1962</t>
  </si>
  <si>
    <t>09/26/1977</t>
  </si>
  <si>
    <t>08/26/1963</t>
  </si>
  <si>
    <t>10/13/1935</t>
  </si>
  <si>
    <t>04/08/1955</t>
  </si>
  <si>
    <t>09/01/1964</t>
  </si>
  <si>
    <t>01/21/1948</t>
  </si>
  <si>
    <t>11/05/1971</t>
  </si>
  <si>
    <t>05/06/1971</t>
  </si>
  <si>
    <t>01/06/1986</t>
  </si>
  <si>
    <t>09/02/1978</t>
  </si>
  <si>
    <t>09/13/1983</t>
  </si>
  <si>
    <t>03/10/1958</t>
  </si>
  <si>
    <t>10/08/1990</t>
  </si>
  <si>
    <t>01/05/1983</t>
  </si>
  <si>
    <t>01/03/1987</t>
  </si>
  <si>
    <t>05/05/1951</t>
  </si>
  <si>
    <t>11/23/2004</t>
  </si>
  <si>
    <t>04/16/1967</t>
  </si>
  <si>
    <t>05/31/1948</t>
  </si>
  <si>
    <t>12/21/1974</t>
  </si>
  <si>
    <t>01/01/1981</t>
  </si>
  <si>
    <t>08/24/1962</t>
  </si>
  <si>
    <t>12/04/1957</t>
  </si>
  <si>
    <t>03/04/1954</t>
  </si>
  <si>
    <t>09/28/1957</t>
  </si>
  <si>
    <t>07/22/1948</t>
  </si>
  <si>
    <t>02/06/1973</t>
  </si>
  <si>
    <t>10/15/1950</t>
  </si>
  <si>
    <t>04/16/1979</t>
  </si>
  <si>
    <t>12/27/1971</t>
  </si>
  <si>
    <t>05/31/1936</t>
  </si>
  <si>
    <t>03/16/1979</t>
  </si>
  <si>
    <t>12/12/1986</t>
  </si>
  <si>
    <t>11/01/1968</t>
  </si>
  <si>
    <t>03/19/1928</t>
  </si>
  <si>
    <t>07/04/1970</t>
  </si>
  <si>
    <t>08/20/1963</t>
  </si>
  <si>
    <t>01/01/1986</t>
  </si>
  <si>
    <t>12/13/1972</t>
  </si>
  <si>
    <t>07/08/1963</t>
  </si>
  <si>
    <t>05/25/1990</t>
  </si>
  <si>
    <t>04/26/1961</t>
  </si>
  <si>
    <t>07/22/1949</t>
  </si>
  <si>
    <t>03/23/1995</t>
  </si>
  <si>
    <t>09/05/1994</t>
  </si>
  <si>
    <t>01/17/1950</t>
  </si>
  <si>
    <t>03/15/1969</t>
  </si>
  <si>
    <t>10/12/1958</t>
  </si>
  <si>
    <t>06/22/1957</t>
  </si>
  <si>
    <t>08/03/1962</t>
  </si>
  <si>
    <t>08/22/1951</t>
  </si>
  <si>
    <t>08/06/1942</t>
  </si>
  <si>
    <t>03/15/1955</t>
  </si>
  <si>
    <t>04/13/1932</t>
  </si>
  <si>
    <t>01/16/1938</t>
  </si>
  <si>
    <t>07/01/1949</t>
  </si>
  <si>
    <t>11/07/1971</t>
  </si>
  <si>
    <t>03/12/1976</t>
  </si>
  <si>
    <t>08/19/1960</t>
  </si>
  <si>
    <t>03/29/1937</t>
  </si>
  <si>
    <t>08/27/1958</t>
  </si>
  <si>
    <t>11/05/1967</t>
  </si>
  <si>
    <t>01/31/1963</t>
  </si>
  <si>
    <t>04/14/1970</t>
  </si>
  <si>
    <t>08/01/1960</t>
  </si>
  <si>
    <t>11/21/1970</t>
  </si>
  <si>
    <t>05/26/1973</t>
  </si>
  <si>
    <t>12/27/1991</t>
  </si>
  <si>
    <t>03/23/1951</t>
  </si>
  <si>
    <t>10/26/1933</t>
  </si>
  <si>
    <t>09/02/1991</t>
  </si>
  <si>
    <t>06/12/1969</t>
  </si>
  <si>
    <t>07/21/1994</t>
  </si>
  <si>
    <t>02/27/1949</t>
  </si>
  <si>
    <t>05/05/1981</t>
  </si>
  <si>
    <t>07/27/2017</t>
  </si>
  <si>
    <t>04/02/1979</t>
  </si>
  <si>
    <t>08/14/1941</t>
  </si>
  <si>
    <t>01/14/1959</t>
  </si>
  <si>
    <t>08/06/1991</t>
  </si>
  <si>
    <t>01/08/1988</t>
  </si>
  <si>
    <t>08/10/1957</t>
  </si>
  <si>
    <t>11/08/1959</t>
  </si>
  <si>
    <t>03/05/1987</t>
  </si>
  <si>
    <t>06/01/1937</t>
  </si>
  <si>
    <t>04/04/1990</t>
  </si>
  <si>
    <t>09/09/1982</t>
  </si>
  <si>
    <t>02/14/1989</t>
  </si>
  <si>
    <t>11/22/1932</t>
  </si>
  <si>
    <t>10/19/1984</t>
  </si>
  <si>
    <t>06/21/1955</t>
  </si>
  <si>
    <t>01/01/1932</t>
  </si>
  <si>
    <t>03/22/1976</t>
  </si>
  <si>
    <t>04/29/1945</t>
  </si>
  <si>
    <t>12/24/1928</t>
  </si>
  <si>
    <t>11/24/1977</t>
  </si>
  <si>
    <t>05/28/1971</t>
  </si>
  <si>
    <t>04/03/2003</t>
  </si>
  <si>
    <t>04/08/1983</t>
  </si>
  <si>
    <t>04/08/1972</t>
  </si>
  <si>
    <t>09/27/1957</t>
  </si>
  <si>
    <t>12/28/1980</t>
  </si>
  <si>
    <t>02/20/1990</t>
  </si>
  <si>
    <t>05/14/1952</t>
  </si>
  <si>
    <t>12/07/1974</t>
  </si>
  <si>
    <t>01/14/1963</t>
  </si>
  <si>
    <t>02/02/1960</t>
  </si>
  <si>
    <t>03/10/1982</t>
  </si>
  <si>
    <t>02/23/1971</t>
  </si>
  <si>
    <t>06/26/1988</t>
  </si>
  <si>
    <t>09/29/1971</t>
  </si>
  <si>
    <t>04/25/1956</t>
  </si>
  <si>
    <t>05/24/1962</t>
  </si>
  <si>
    <t>07/07/1974</t>
  </si>
  <si>
    <t>02/17/1957</t>
  </si>
  <si>
    <t>02/20/1980</t>
  </si>
  <si>
    <t>01/19/1957</t>
  </si>
  <si>
    <t>09/18/1994</t>
  </si>
  <si>
    <t>01/21/1984</t>
  </si>
  <si>
    <t>08/31/2005</t>
  </si>
  <si>
    <t>07/24/2007</t>
  </si>
  <si>
    <t>07/31/2003</t>
  </si>
  <si>
    <t>11/28/1929</t>
  </si>
  <si>
    <t>03/14/1985</t>
  </si>
  <si>
    <t>02/19/1951</t>
  </si>
  <si>
    <t>10/13/1957</t>
  </si>
  <si>
    <t>07/10/1968</t>
  </si>
  <si>
    <t>07/13/1992</t>
  </si>
  <si>
    <t>08/31/1976</t>
  </si>
  <si>
    <t>01/12/1980</t>
  </si>
  <si>
    <t>12/21/1987</t>
  </si>
  <si>
    <t>10/26/1980</t>
  </si>
  <si>
    <t>11/11/1964</t>
  </si>
  <si>
    <t>05/01/1950</t>
  </si>
  <si>
    <t>06/16/1999</t>
  </si>
  <si>
    <t>02/26/1970</t>
  </si>
  <si>
    <t>11/26/1976</t>
  </si>
  <si>
    <t>11/11/1968</t>
  </si>
  <si>
    <t>04/17/1987</t>
  </si>
  <si>
    <t>02/08/1952</t>
  </si>
  <si>
    <t>08/08/1937</t>
  </si>
  <si>
    <t>05/07/1992</t>
  </si>
  <si>
    <t>05/23/1988</t>
  </si>
  <si>
    <t>04/19/1964</t>
  </si>
  <si>
    <t>06/24/1939</t>
  </si>
  <si>
    <t>05/23/1944</t>
  </si>
  <si>
    <t>06/17/1959</t>
  </si>
  <si>
    <t>12/06/1949</t>
  </si>
  <si>
    <t>07/17/1983</t>
  </si>
  <si>
    <t>01/19/1994</t>
  </si>
  <si>
    <t>10/14/1984</t>
  </si>
  <si>
    <t>11/18/1968</t>
  </si>
  <si>
    <t>01/09/1965</t>
  </si>
  <si>
    <t>03/23/1980</t>
  </si>
  <si>
    <t>01/21/1970</t>
  </si>
  <si>
    <t>04/21/1987</t>
  </si>
  <si>
    <t>06/17/1983</t>
  </si>
  <si>
    <t>10/26/1952</t>
  </si>
  <si>
    <t>01/14/1946</t>
  </si>
  <si>
    <t>05/03/1993</t>
  </si>
  <si>
    <t>08/05/1982</t>
  </si>
  <si>
    <t>08/01/1943</t>
  </si>
  <si>
    <t>12/30/1994</t>
  </si>
  <si>
    <t>07/09/1972</t>
  </si>
  <si>
    <t>01/12/1975</t>
  </si>
  <si>
    <t>10/07/1963</t>
  </si>
  <si>
    <t>01/09/1953</t>
  </si>
  <si>
    <t>09/27/1979</t>
  </si>
  <si>
    <t>11/13/1990</t>
  </si>
  <si>
    <t>10/02/1955</t>
  </si>
  <si>
    <t>03/10/2001</t>
  </si>
  <si>
    <t>01/23/1958</t>
  </si>
  <si>
    <t>03/28/1989</t>
  </si>
  <si>
    <t>07/12/1949</t>
  </si>
  <si>
    <t>05/06/1935</t>
  </si>
  <si>
    <t>09/04/1954</t>
  </si>
  <si>
    <t>05/09/1959</t>
  </si>
  <si>
    <t>10/03/1951</t>
  </si>
  <si>
    <t>05/24/1954</t>
  </si>
  <si>
    <t>01/22/1982</t>
  </si>
  <si>
    <t>04/06/1969</t>
  </si>
  <si>
    <t>04/08/1994</t>
  </si>
  <si>
    <t>01/12/1985</t>
  </si>
  <si>
    <t>07/16/1960</t>
  </si>
  <si>
    <t>09/08/1962</t>
  </si>
  <si>
    <t>06/15/1993</t>
  </si>
  <si>
    <t>03/10/1993</t>
  </si>
  <si>
    <t>09/07/1994</t>
  </si>
  <si>
    <t>12/28/1968</t>
  </si>
  <si>
    <t>06/05/1968</t>
  </si>
  <si>
    <t>01/29/1970</t>
  </si>
  <si>
    <t>06/23/1987</t>
  </si>
  <si>
    <t>11/07/1953</t>
  </si>
  <si>
    <t>11/14/1946</t>
  </si>
  <si>
    <t>01/14/1969</t>
  </si>
  <si>
    <t>09/27/1969</t>
  </si>
  <si>
    <t>02/01/1956</t>
  </si>
  <si>
    <t>11/20/1971</t>
  </si>
  <si>
    <t>07/27/1949</t>
  </si>
  <si>
    <t>02/28/2006</t>
  </si>
  <si>
    <t>09/25/1969</t>
  </si>
  <si>
    <t>11/07/1957</t>
  </si>
  <si>
    <t>10/13/1934</t>
  </si>
  <si>
    <t>09/08/1977</t>
  </si>
  <si>
    <t>02/01/1958</t>
  </si>
  <si>
    <t>08/27/1981</t>
  </si>
  <si>
    <t>01/07/1949</t>
  </si>
  <si>
    <t>11/22/1971</t>
  </si>
  <si>
    <t>12/06/1966</t>
  </si>
  <si>
    <t>09/28/1973</t>
  </si>
  <si>
    <t>03/23/1956</t>
  </si>
  <si>
    <t>01/30/1980</t>
  </si>
  <si>
    <t>02/26/1953</t>
  </si>
  <si>
    <t>10/18/1987</t>
  </si>
  <si>
    <t>11/09/1980</t>
  </si>
  <si>
    <t>11/27/1988</t>
  </si>
  <si>
    <t>03/24/2009</t>
  </si>
  <si>
    <t>04/30/1958</t>
  </si>
  <si>
    <t>05/15/1983</t>
  </si>
  <si>
    <t>04/20/1982</t>
  </si>
  <si>
    <t>04/06/1967</t>
  </si>
  <si>
    <t>08/07/1974</t>
  </si>
  <si>
    <t>09/15/1929</t>
  </si>
  <si>
    <t>02/20/1967</t>
  </si>
  <si>
    <t>10/26/1998</t>
  </si>
  <si>
    <t>12/26/1978</t>
  </si>
  <si>
    <t>04/06/1982</t>
  </si>
  <si>
    <t>04/04/1954</t>
  </si>
  <si>
    <t>04/23/1976</t>
  </si>
  <si>
    <t>08/06/1972</t>
  </si>
  <si>
    <t>09/30/1959</t>
  </si>
  <si>
    <t>03/07/1963</t>
  </si>
  <si>
    <t>03/13/1999</t>
  </si>
  <si>
    <t>08/22/2016</t>
  </si>
  <si>
    <t>09/06/2010</t>
  </si>
  <si>
    <t>09/24/1987</t>
  </si>
  <si>
    <t>08/16/1961</t>
  </si>
  <si>
    <t>09/06/1953</t>
  </si>
  <si>
    <t>05/18/1988</t>
  </si>
  <si>
    <t>10/11/1957</t>
  </si>
  <si>
    <t>11/19/1956</t>
  </si>
  <si>
    <t>12/04/1970</t>
  </si>
  <si>
    <t>07/12/1980</t>
  </si>
  <si>
    <t>06/26/1977</t>
  </si>
  <si>
    <t>06/25/1989</t>
  </si>
  <si>
    <t>05/17/1960</t>
  </si>
  <si>
    <t>08/14/1982</t>
  </si>
  <si>
    <t>01/16/1940</t>
  </si>
  <si>
    <t>07/12/1974</t>
  </si>
  <si>
    <t>09/05/1964</t>
  </si>
  <si>
    <t>10/11/1980</t>
  </si>
  <si>
    <t>08/29/1977</t>
  </si>
  <si>
    <t>05/23/2013</t>
  </si>
  <si>
    <t>02/18/1942</t>
  </si>
  <si>
    <t>02/09/1933</t>
  </si>
  <si>
    <t>05/07/1974</t>
  </si>
  <si>
    <t>03/04/1980</t>
  </si>
  <si>
    <t>09/26/1962</t>
  </si>
  <si>
    <t>03/19/1989</t>
  </si>
  <si>
    <t>06/17/1954</t>
  </si>
  <si>
    <t>09/21/1981</t>
  </si>
  <si>
    <t>01/14/1988</t>
  </si>
  <si>
    <t>07/20/1999</t>
  </si>
  <si>
    <t>01/20/1999</t>
  </si>
  <si>
    <t>11/29/1935</t>
  </si>
  <si>
    <t>10/13/1941</t>
  </si>
  <si>
    <t>01/27/1965</t>
  </si>
  <si>
    <t>11/13/1962</t>
  </si>
  <si>
    <t>08/23/1993</t>
  </si>
  <si>
    <t>03/22/1949</t>
  </si>
  <si>
    <t>05/15/1957</t>
  </si>
  <si>
    <t>03/04/1950</t>
  </si>
  <si>
    <t>09/14/1968</t>
  </si>
  <si>
    <t>01/15/1992</t>
  </si>
  <si>
    <t>07/31/1990</t>
  </si>
  <si>
    <t>04/06/1959</t>
  </si>
  <si>
    <t>07/13/1984</t>
  </si>
  <si>
    <t>11/23/1951</t>
  </si>
  <si>
    <t>06/14/1977</t>
  </si>
  <si>
    <t>05/20/1984</t>
  </si>
  <si>
    <t>04/15/1963</t>
  </si>
  <si>
    <t>02/20/1958</t>
  </si>
  <si>
    <t>09/13/1979</t>
  </si>
  <si>
    <t>01/06/1979</t>
  </si>
  <si>
    <t>08/11/1988</t>
  </si>
  <si>
    <t>01/08/1955</t>
  </si>
  <si>
    <t>12/02/1955</t>
  </si>
  <si>
    <t>06/29/1991</t>
  </si>
  <si>
    <t>03/04/1975</t>
  </si>
  <si>
    <t>05/01/1996</t>
  </si>
  <si>
    <t>04/19/1928</t>
  </si>
  <si>
    <t>01/02/1980</t>
  </si>
  <si>
    <t>11/08/1993</t>
  </si>
  <si>
    <t>01/03/1952</t>
  </si>
  <si>
    <t>01/27/1990</t>
  </si>
  <si>
    <t>07/02/1966</t>
  </si>
  <si>
    <t>11/03/2013</t>
  </si>
  <si>
    <t>09/15/1969</t>
  </si>
  <si>
    <t>04/01/1958</t>
  </si>
  <si>
    <t>09/06/1968</t>
  </si>
  <si>
    <t>12/24/1963</t>
  </si>
  <si>
    <t>10/05/1980</t>
  </si>
  <si>
    <t>02/11/1990</t>
  </si>
  <si>
    <t>05/04/1943</t>
  </si>
  <si>
    <t>08/23/1977</t>
  </si>
  <si>
    <t>10/05/1948</t>
  </si>
  <si>
    <t>10/04/1993</t>
  </si>
  <si>
    <t>04/08/1982</t>
  </si>
  <si>
    <t>03/28/1973</t>
  </si>
  <si>
    <t>01/11/1959</t>
  </si>
  <si>
    <t>12/13/1961</t>
  </si>
  <si>
    <t>05/12/1966</t>
  </si>
  <si>
    <t>07/27/1974</t>
  </si>
  <si>
    <t>08/13/1977</t>
  </si>
  <si>
    <t>03/21/1986</t>
  </si>
  <si>
    <t>03/03/1988</t>
  </si>
  <si>
    <t>09/12/1951</t>
  </si>
  <si>
    <t>11/29/1969</t>
  </si>
  <si>
    <t>05/05/1958</t>
  </si>
  <si>
    <t>11/19/1951</t>
  </si>
  <si>
    <t>06/02/1967</t>
  </si>
  <si>
    <t>05/30/1950</t>
  </si>
  <si>
    <t>01/31/1992</t>
  </si>
  <si>
    <t>01/11/1984</t>
  </si>
  <si>
    <t>12/27/1950</t>
  </si>
  <si>
    <t>04/29/1962</t>
  </si>
  <si>
    <t>11/09/1963</t>
  </si>
  <si>
    <t>02/23/1954</t>
  </si>
  <si>
    <t>04/02/1980</t>
  </si>
  <si>
    <t>12/20/1959</t>
  </si>
  <si>
    <t>05/03/1971</t>
  </si>
  <si>
    <t>03/12/1971</t>
  </si>
  <si>
    <t>09/24/1965</t>
  </si>
  <si>
    <t>05/23/1962</t>
  </si>
  <si>
    <t>04/06/1952</t>
  </si>
  <si>
    <t>03/19/1992</t>
  </si>
  <si>
    <t>04/18/2005</t>
  </si>
  <si>
    <t>12/04/1974</t>
  </si>
  <si>
    <t>09/01/1982</t>
  </si>
  <si>
    <t>01/11/1996</t>
  </si>
  <si>
    <t>07/08/1972</t>
  </si>
  <si>
    <t>12/17/1987</t>
  </si>
  <si>
    <t>08/15/1954</t>
  </si>
  <si>
    <t>02/05/1962</t>
  </si>
  <si>
    <t>08/09/1982</t>
  </si>
  <si>
    <t>12/25/1964</t>
  </si>
  <si>
    <t>11/28/1987</t>
  </si>
  <si>
    <t>01/23/1951</t>
  </si>
  <si>
    <t>07/30/1963</t>
  </si>
  <si>
    <t>05/01/1968</t>
  </si>
  <si>
    <t>06/02/1980</t>
  </si>
  <si>
    <t>05/26/1959</t>
  </si>
  <si>
    <t>11/23/2010</t>
  </si>
  <si>
    <t>07/17/1964</t>
  </si>
  <si>
    <t>07/08/1981</t>
  </si>
  <si>
    <t>10/02/1976</t>
  </si>
  <si>
    <t>02/10/1991</t>
  </si>
  <si>
    <t>02/14/1957</t>
  </si>
  <si>
    <t>12/30/1971</t>
  </si>
  <si>
    <t>06/30/1990</t>
  </si>
  <si>
    <t>02/04/1964</t>
  </si>
  <si>
    <t>03/11/1977</t>
  </si>
  <si>
    <t>10/22/1979</t>
  </si>
  <si>
    <t>05/30/1996</t>
  </si>
  <si>
    <t>03/27/1981</t>
  </si>
  <si>
    <t>08/23/1976</t>
  </si>
  <si>
    <t>04/28/1987</t>
  </si>
  <si>
    <t>03/16/1929</t>
  </si>
  <si>
    <t>11/03/1965</t>
  </si>
  <si>
    <t>10/09/1994</t>
  </si>
  <si>
    <t>08/15/1966</t>
  </si>
  <si>
    <t>10/10/1964</t>
  </si>
  <si>
    <t>10/05/1950</t>
  </si>
  <si>
    <t>01/14/1964</t>
  </si>
  <si>
    <t>01/14/1991</t>
  </si>
  <si>
    <t>11/28/1951</t>
  </si>
  <si>
    <t>07/17/1963</t>
  </si>
  <si>
    <t>01/19/1949</t>
  </si>
  <si>
    <t>02/02/1972</t>
  </si>
  <si>
    <t>07/03/1969</t>
  </si>
  <si>
    <t>04/27/1961</t>
  </si>
  <si>
    <t>03/15/1947</t>
  </si>
  <si>
    <t>01/25/1938</t>
  </si>
  <si>
    <t>04/15/1987</t>
  </si>
  <si>
    <t>10/09/1992</t>
  </si>
  <si>
    <t>06/25/1952</t>
  </si>
  <si>
    <t>08/15/1944</t>
  </si>
  <si>
    <t>04/29/1974</t>
  </si>
  <si>
    <t>05/12/1931</t>
  </si>
  <si>
    <t>06/26/1967</t>
  </si>
  <si>
    <t>09/23/1954</t>
  </si>
  <si>
    <t>04/19/1987</t>
  </si>
  <si>
    <t>08/06/1982</t>
  </si>
  <si>
    <t>08/25/1974</t>
  </si>
  <si>
    <t>05/30/1989</t>
  </si>
  <si>
    <t>01/06/1983</t>
  </si>
  <si>
    <t>03/21/1989</t>
  </si>
  <si>
    <t>07/01/1952</t>
  </si>
  <si>
    <t>08/06/1941</t>
  </si>
  <si>
    <t>01/24/1977</t>
  </si>
  <si>
    <t>08/31/1973</t>
  </si>
  <si>
    <t>09/30/1964</t>
  </si>
  <si>
    <t>08/31/1991</t>
  </si>
  <si>
    <t>09/07/1980</t>
  </si>
  <si>
    <t>12/27/1947</t>
  </si>
  <si>
    <t>09/27/1935</t>
  </si>
  <si>
    <t>10/11/1990</t>
  </si>
  <si>
    <t>12/14/1968</t>
  </si>
  <si>
    <t>11/16/1976</t>
  </si>
  <si>
    <t>08/18/1967</t>
  </si>
  <si>
    <t>04/12/1953</t>
  </si>
  <si>
    <t>09/07/1965</t>
  </si>
  <si>
    <t>10/23/1965</t>
  </si>
  <si>
    <t>02/18/1971</t>
  </si>
  <si>
    <t>09/06/1942</t>
  </si>
  <si>
    <t>07/05/1966</t>
  </si>
  <si>
    <t>03/17/1972</t>
  </si>
  <si>
    <t>05/14/1963</t>
  </si>
  <si>
    <t>07/24/1947</t>
  </si>
  <si>
    <t>10/04/1963</t>
  </si>
  <si>
    <t>05/04/1978</t>
  </si>
  <si>
    <t>01/10/1980</t>
  </si>
  <si>
    <t>04/14/2004</t>
  </si>
  <si>
    <t>03/14/1956</t>
  </si>
  <si>
    <t>10/26/1960</t>
  </si>
  <si>
    <t>10/06/1968</t>
  </si>
  <si>
    <t>04/29/1961</t>
  </si>
  <si>
    <t>11/02/1959</t>
  </si>
  <si>
    <t>11/29/1965</t>
  </si>
  <si>
    <t>10/04/1972</t>
  </si>
  <si>
    <t>12/02/1971</t>
  </si>
  <si>
    <t>07/11/1990</t>
  </si>
  <si>
    <t>09/03/1968</t>
  </si>
  <si>
    <t>08/20/1951</t>
  </si>
  <si>
    <t>04/12/1947</t>
  </si>
  <si>
    <t>12/09/1929</t>
  </si>
  <si>
    <t>01/07/1946</t>
  </si>
  <si>
    <t>06/29/1967</t>
  </si>
  <si>
    <t>01/07/1997</t>
  </si>
  <si>
    <t>04/15/2000</t>
  </si>
  <si>
    <t>06/03/1990</t>
  </si>
  <si>
    <t>12/29/1973</t>
  </si>
  <si>
    <t>12/31/1981</t>
  </si>
  <si>
    <t>11/21/1986</t>
  </si>
  <si>
    <t>03/24/1950</t>
  </si>
  <si>
    <t>08/01/1942</t>
  </si>
  <si>
    <t>09/08/1959</t>
  </si>
  <si>
    <t>12/29/2000</t>
  </si>
  <si>
    <t>06/28/1974</t>
  </si>
  <si>
    <t>01/21/1965</t>
  </si>
  <si>
    <t>11/17/1976</t>
  </si>
  <si>
    <t>07/29/1977</t>
  </si>
  <si>
    <t>01/20/1945</t>
  </si>
  <si>
    <t>07/05/1971</t>
  </si>
  <si>
    <t>04/07/1970</t>
  </si>
  <si>
    <t>11/17/1933</t>
  </si>
  <si>
    <t>12/18/1973</t>
  </si>
  <si>
    <t>08/23/2016</t>
  </si>
  <si>
    <t>03/15/1993</t>
  </si>
  <si>
    <t>01/28/1978</t>
  </si>
  <si>
    <t>10/05/1951</t>
  </si>
  <si>
    <t>01/12/1955</t>
  </si>
  <si>
    <t>03/31/2000</t>
  </si>
  <si>
    <t>12/11/1974</t>
  </si>
  <si>
    <t>03/01/1988</t>
  </si>
  <si>
    <t>06/21/1987</t>
  </si>
  <si>
    <t>02/26/1995</t>
  </si>
  <si>
    <t>03/03/1958</t>
  </si>
  <si>
    <t>10/15/1974</t>
  </si>
  <si>
    <t>02/01/1953</t>
  </si>
  <si>
    <t>07/15/1958</t>
  </si>
  <si>
    <t>01/15/1937</t>
  </si>
  <si>
    <t>02/13/1986</t>
  </si>
  <si>
    <t>06/15/1963</t>
  </si>
  <si>
    <t>12/22/1949</t>
  </si>
  <si>
    <t>01/10/1949</t>
  </si>
  <si>
    <t>12/02/1945</t>
  </si>
  <si>
    <t>04/24/1988</t>
  </si>
  <si>
    <t>09/14/1955</t>
  </si>
  <si>
    <t>12/22/1988</t>
  </si>
  <si>
    <t>10/24/1982</t>
  </si>
  <si>
    <t>04/22/1985</t>
  </si>
  <si>
    <t>05/07/1985</t>
  </si>
  <si>
    <t>09/21/1949</t>
  </si>
  <si>
    <t>12/10/1967</t>
  </si>
  <si>
    <t>05/11/1963</t>
  </si>
  <si>
    <t>07/29/1972</t>
  </si>
  <si>
    <t>06/12/1972</t>
  </si>
  <si>
    <t>03/08/1990</t>
  </si>
  <si>
    <t>04/22/1993</t>
  </si>
  <si>
    <t>08/19/1990</t>
  </si>
  <si>
    <t>03/19/1990</t>
  </si>
  <si>
    <t>12/11/1957</t>
  </si>
  <si>
    <t>01/05/1982</t>
  </si>
  <si>
    <t>02/17/1949</t>
  </si>
  <si>
    <t>03/08/1950</t>
  </si>
  <si>
    <t>06/25/1939</t>
  </si>
  <si>
    <t>01/28/1996</t>
  </si>
  <si>
    <t>01/13/1976</t>
  </si>
  <si>
    <t>10/05/1974</t>
  </si>
  <si>
    <t>12/31/1991</t>
  </si>
  <si>
    <t>02/18/1943</t>
  </si>
  <si>
    <t>12/03/1970</t>
  </si>
  <si>
    <t>04/17/1950</t>
  </si>
  <si>
    <t>08/17/1965</t>
  </si>
  <si>
    <t>06/19/1953</t>
  </si>
  <si>
    <t>10/25/1961</t>
  </si>
  <si>
    <t>04/26/1952</t>
  </si>
  <si>
    <t>12/31/1963</t>
  </si>
  <si>
    <t>03/29/1980</t>
  </si>
  <si>
    <t>01/13/1984</t>
  </si>
  <si>
    <t>02/12/1950</t>
  </si>
  <si>
    <t>02/01/1972</t>
  </si>
  <si>
    <t>06/08/1945</t>
  </si>
  <si>
    <t>11/07/1996</t>
  </si>
  <si>
    <t>06/17/1990</t>
  </si>
  <si>
    <t>03/20/1991</t>
  </si>
  <si>
    <t>03/31/1991</t>
  </si>
  <si>
    <t>10/06/1979</t>
  </si>
  <si>
    <t>12/05/1960</t>
  </si>
  <si>
    <t>12/13/1970</t>
  </si>
  <si>
    <t>01/16/1986</t>
  </si>
  <si>
    <t>08/28/1995</t>
  </si>
  <si>
    <t>03/03/1979</t>
  </si>
  <si>
    <t>08/20/1949</t>
  </si>
  <si>
    <t>10/06/1977</t>
  </si>
  <si>
    <t>03/22/1958</t>
  </si>
  <si>
    <t>02/22/1958</t>
  </si>
  <si>
    <t>06/03/1987</t>
  </si>
  <si>
    <t>01/18/1969</t>
  </si>
  <si>
    <t>12/28/1984</t>
  </si>
  <si>
    <t>06/21/1970</t>
  </si>
  <si>
    <t>07/30/1968</t>
  </si>
  <si>
    <t>10/30/1975</t>
  </si>
  <si>
    <t>06/18/1966</t>
  </si>
  <si>
    <t>07/06/1956</t>
  </si>
  <si>
    <t>04/04/1956</t>
  </si>
  <si>
    <t>07/10/1980</t>
  </si>
  <si>
    <t>11/12/1964</t>
  </si>
  <si>
    <t>10/19/1953</t>
  </si>
  <si>
    <t>08/11/1947</t>
  </si>
  <si>
    <t>07/01/1978</t>
  </si>
  <si>
    <t>12/11/1984</t>
  </si>
  <si>
    <t>02/13/1966</t>
  </si>
  <si>
    <t>12/19/1953</t>
  </si>
  <si>
    <t>06/15/1967</t>
  </si>
  <si>
    <t>09/20/1979</t>
  </si>
  <si>
    <t>05/18/1952</t>
  </si>
  <si>
    <t>11/30/1953</t>
  </si>
  <si>
    <t>11/08/1976</t>
  </si>
  <si>
    <t>07/29/1974</t>
  </si>
  <si>
    <t>03/10/1963</t>
  </si>
  <si>
    <t>01/30/1956</t>
  </si>
  <si>
    <t>12/22/1967</t>
  </si>
  <si>
    <t>07/14/1967</t>
  </si>
  <si>
    <t>12/16/1968</t>
  </si>
  <si>
    <t>09/08/1948</t>
  </si>
  <si>
    <t>11/13/1949</t>
  </si>
  <si>
    <t>12/15/1993</t>
  </si>
  <si>
    <t>01/23/1956</t>
  </si>
  <si>
    <t>11/09/1966</t>
  </si>
  <si>
    <t>10/27/1959</t>
  </si>
  <si>
    <t>07/29/1952</t>
  </si>
  <si>
    <t>11/18/1989</t>
  </si>
  <si>
    <t>02/20/1961</t>
  </si>
  <si>
    <t>12/15/1975</t>
  </si>
  <si>
    <t>01/29/1968</t>
  </si>
  <si>
    <t>06/17/1971</t>
  </si>
  <si>
    <t>01/05/1978</t>
  </si>
  <si>
    <t>12/16/1972</t>
  </si>
  <si>
    <t>03/18/1983</t>
  </si>
  <si>
    <t>09/17/1983</t>
  </si>
  <si>
    <t>07/17/1978</t>
  </si>
  <si>
    <t>06/16/1941</t>
  </si>
  <si>
    <t>05/11/1961</t>
  </si>
  <si>
    <t>03/09/1947</t>
  </si>
  <si>
    <t>07/17/1959</t>
  </si>
  <si>
    <t>08/14/1974</t>
  </si>
  <si>
    <t>07/02/1940</t>
  </si>
  <si>
    <t>08/15/1959</t>
  </si>
  <si>
    <t>07/15/1969</t>
  </si>
  <si>
    <t>10/09/1952</t>
  </si>
  <si>
    <t>06/06/1986</t>
  </si>
  <si>
    <t>10/28/1985</t>
  </si>
  <si>
    <t>08/12/1947</t>
  </si>
  <si>
    <t>08/07/1960</t>
  </si>
  <si>
    <t>05/03/1942</t>
  </si>
  <si>
    <t>04/21/1966</t>
  </si>
  <si>
    <t>04/26/1981</t>
  </si>
  <si>
    <t>12/08/1952</t>
  </si>
  <si>
    <t>10/24/1978</t>
  </si>
  <si>
    <t>01/10/1976</t>
  </si>
  <si>
    <t>07/21/1949</t>
  </si>
  <si>
    <t>07/18/1972</t>
  </si>
  <si>
    <t>01/04/1985</t>
  </si>
  <si>
    <t>05/11/1950</t>
  </si>
  <si>
    <t>07/03/1974</t>
  </si>
  <si>
    <t>09/17/1957</t>
  </si>
  <si>
    <t>01/08/1984</t>
  </si>
  <si>
    <t>09/02/1985</t>
  </si>
  <si>
    <t>07/03/1990</t>
  </si>
  <si>
    <t>10/20/2000</t>
  </si>
  <si>
    <t>12/22/1951</t>
  </si>
  <si>
    <t>02/06/1957</t>
  </si>
  <si>
    <t>07/03/1999</t>
  </si>
  <si>
    <t>07/01/1985</t>
  </si>
  <si>
    <t>12/16/1961</t>
  </si>
  <si>
    <t>08/24/1973</t>
  </si>
  <si>
    <t>05/26/1995</t>
  </si>
  <si>
    <t>12/04/1990</t>
  </si>
  <si>
    <t>03/08/1970</t>
  </si>
  <si>
    <t>05/20/1982</t>
  </si>
  <si>
    <t>02/28/1970</t>
  </si>
  <si>
    <t>05/09/1965</t>
  </si>
  <si>
    <t>11/11/1989</t>
  </si>
  <si>
    <t>10/25/1965</t>
  </si>
  <si>
    <t>07/25/1954</t>
  </si>
  <si>
    <t>08/02/1939</t>
  </si>
  <si>
    <t>06/14/1963</t>
  </si>
  <si>
    <t>04/09/1975</t>
  </si>
  <si>
    <t>01/07/1982</t>
  </si>
  <si>
    <t>12/02/1978</t>
  </si>
  <si>
    <t>04/26/1941</t>
  </si>
  <si>
    <t>04/30/1953</t>
  </si>
  <si>
    <t>03/10/1939</t>
  </si>
  <si>
    <t>10/28/1993</t>
  </si>
  <si>
    <t>05/13/1988</t>
  </si>
  <si>
    <t>10/21/1972</t>
  </si>
  <si>
    <t>10/21/1992</t>
  </si>
  <si>
    <t>05/05/1978</t>
  </si>
  <si>
    <t>09/20/1995</t>
  </si>
  <si>
    <t>09/29/1955</t>
  </si>
  <si>
    <t>09/16/1975</t>
  </si>
  <si>
    <t>10/07/1990</t>
  </si>
  <si>
    <t>07/21/1960</t>
  </si>
  <si>
    <t>03/15/1943</t>
  </si>
  <si>
    <t>07/26/1974</t>
  </si>
  <si>
    <t>07/21/1969</t>
  </si>
  <si>
    <t>06/19/1964</t>
  </si>
  <si>
    <t>09/19/1967</t>
  </si>
  <si>
    <t>02/01/2011</t>
  </si>
  <si>
    <t>09/24/1957</t>
  </si>
  <si>
    <t>12/13/1984</t>
  </si>
  <si>
    <t>02/18/1965</t>
  </si>
  <si>
    <t>06/01/1964</t>
  </si>
  <si>
    <t>12/08/1970</t>
  </si>
  <si>
    <t>01/10/1962</t>
  </si>
  <si>
    <t>06/13/2011</t>
  </si>
  <si>
    <t>05/14/1981</t>
  </si>
  <si>
    <t>07/06/1979</t>
  </si>
  <si>
    <t>09/06/1952</t>
  </si>
  <si>
    <t>04/09/1954</t>
  </si>
  <si>
    <t>06/10/1946</t>
  </si>
  <si>
    <t>08/03/1957</t>
  </si>
  <si>
    <t>07/05/1991</t>
  </si>
  <si>
    <t>08/29/1981</t>
  </si>
  <si>
    <t>06/12/1992</t>
  </si>
  <si>
    <t>12/01/1970</t>
  </si>
  <si>
    <t>02/04/1973</t>
  </si>
  <si>
    <t>03/13/1968</t>
  </si>
  <si>
    <t>02/24/1982</t>
  </si>
  <si>
    <t>08/14/1966</t>
  </si>
  <si>
    <t>06/20/1981</t>
  </si>
  <si>
    <t>08/17/1956</t>
  </si>
  <si>
    <t>01/04/1960</t>
  </si>
  <si>
    <t>06/05/1965</t>
  </si>
  <si>
    <t>08/30/1956</t>
  </si>
  <si>
    <t>11/05/1954</t>
  </si>
  <si>
    <t>11/08/1946</t>
  </si>
  <si>
    <t>05/21/1974</t>
  </si>
  <si>
    <t>01/12/1949</t>
  </si>
  <si>
    <t>08/25/1985</t>
  </si>
  <si>
    <t>02/11/1947</t>
  </si>
  <si>
    <t>11/16/1973</t>
  </si>
  <si>
    <t>12/10/1980</t>
  </si>
  <si>
    <t>02/23/1980</t>
  </si>
  <si>
    <t>09/19/1940</t>
  </si>
  <si>
    <t>04/03/1977</t>
  </si>
  <si>
    <t>05/12/1957</t>
  </si>
  <si>
    <t>02/01/1962</t>
  </si>
  <si>
    <t>09/22/1973</t>
  </si>
  <si>
    <t>09/22/1981</t>
  </si>
  <si>
    <t>09/21/1960</t>
  </si>
  <si>
    <t>09/15/1958</t>
  </si>
  <si>
    <t>01/10/1982</t>
  </si>
  <si>
    <t>06/20/1946</t>
  </si>
  <si>
    <t>04/08/1942</t>
  </si>
  <si>
    <t>10/20/1952</t>
  </si>
  <si>
    <t>01/01/1938</t>
  </si>
  <si>
    <t>01/09/1962</t>
  </si>
  <si>
    <t>08/31/1984</t>
  </si>
  <si>
    <t>12/12/1991</t>
  </si>
  <si>
    <t>02/15/1957</t>
  </si>
  <si>
    <t>01/30/1973</t>
  </si>
  <si>
    <t>12/01/1963</t>
  </si>
  <si>
    <t>09/09/1967</t>
  </si>
  <si>
    <t>02/07/1971</t>
  </si>
  <si>
    <t>04/25/1932</t>
  </si>
  <si>
    <t>09/07/1991</t>
  </si>
  <si>
    <t>11/12/1972</t>
  </si>
  <si>
    <t>08/01/1985</t>
  </si>
  <si>
    <t>02/07/1959</t>
  </si>
  <si>
    <t>01/05/1946</t>
  </si>
  <si>
    <t>07/07/1980</t>
  </si>
  <si>
    <t>06/29/1976</t>
  </si>
  <si>
    <t>09/03/1978</t>
  </si>
  <si>
    <t>06/13/1962</t>
  </si>
  <si>
    <t>02/26/1986</t>
  </si>
  <si>
    <t>05/04/1941</t>
  </si>
  <si>
    <t>12/25/1950</t>
  </si>
  <si>
    <t>03/16/1980</t>
  </si>
  <si>
    <t>02/19/1992</t>
  </si>
  <si>
    <t>11/17/1936</t>
  </si>
  <si>
    <t>12/23/1956</t>
  </si>
  <si>
    <t>01/22/1983</t>
  </si>
  <si>
    <t>11/13/1978</t>
  </si>
  <si>
    <t>07/06/1974</t>
  </si>
  <si>
    <t>08/12/1945</t>
  </si>
  <si>
    <t>10/01/1946</t>
  </si>
  <si>
    <t>01/23/1986</t>
  </si>
  <si>
    <t>09/18/1940</t>
  </si>
  <si>
    <t>12/13/1973</t>
  </si>
  <si>
    <t>10/18/1970</t>
  </si>
  <si>
    <t>07/01/1981</t>
  </si>
  <si>
    <t>06/24/1951</t>
  </si>
  <si>
    <t>07/19/1964</t>
  </si>
  <si>
    <t>03/28/1983</t>
  </si>
  <si>
    <t>08/20/1943</t>
  </si>
  <si>
    <t>10/02/1958</t>
  </si>
  <si>
    <t>09/29/1976</t>
  </si>
  <si>
    <t>01/27/1978</t>
  </si>
  <si>
    <t>03/22/1988</t>
  </si>
  <si>
    <t>11/13/1968</t>
  </si>
  <si>
    <t>08/05/1945</t>
  </si>
  <si>
    <t>01/26/1969</t>
  </si>
  <si>
    <t>09/09/1949</t>
  </si>
  <si>
    <t>05/17/1958</t>
  </si>
  <si>
    <t>09/15/1974</t>
  </si>
  <si>
    <t>07/07/1986</t>
  </si>
  <si>
    <t>02/07/1961</t>
  </si>
  <si>
    <t>03/30/1960</t>
  </si>
  <si>
    <t>07/20/1962</t>
  </si>
  <si>
    <t>05/16/1954</t>
  </si>
  <si>
    <t>09/12/1958</t>
  </si>
  <si>
    <t>01/31/1988</t>
  </si>
  <si>
    <t>07/22/1976</t>
  </si>
  <si>
    <t>03/16/1965</t>
  </si>
  <si>
    <t>09/28/1979</t>
  </si>
  <si>
    <t>03/23/1961</t>
  </si>
  <si>
    <t>03/07/1943</t>
  </si>
  <si>
    <t>04/18/1977</t>
  </si>
  <si>
    <t>01/06/1977</t>
  </si>
  <si>
    <t>10/27/1963</t>
  </si>
  <si>
    <t>03/18/1973</t>
  </si>
  <si>
    <t>09/02/1971</t>
  </si>
  <si>
    <t>10/30/1992</t>
  </si>
  <si>
    <t>02/04/1954</t>
  </si>
  <si>
    <t>10/14/1989</t>
  </si>
  <si>
    <t>03/27/1960</t>
  </si>
  <si>
    <t>09/27/1995</t>
  </si>
  <si>
    <t>09/17/1975</t>
  </si>
  <si>
    <t>07/31/1983</t>
  </si>
  <si>
    <t>12/02/1954</t>
  </si>
  <si>
    <t>08/05/1953</t>
  </si>
  <si>
    <t>02/16/1960</t>
  </si>
  <si>
    <t>02/06/1989</t>
  </si>
  <si>
    <t>05/30/1964</t>
  </si>
  <si>
    <t>01/26/1974</t>
  </si>
  <si>
    <t>10/15/1956</t>
  </si>
  <si>
    <t>09/17/1992</t>
  </si>
  <si>
    <t>07/30/1978</t>
  </si>
  <si>
    <t>09/01/1949</t>
  </si>
  <si>
    <t>10/23/1982</t>
  </si>
  <si>
    <t>02/16/1974</t>
  </si>
  <si>
    <t>03/02/1956</t>
  </si>
  <si>
    <t>08/08/1966</t>
  </si>
  <si>
    <t>02/07/1982</t>
  </si>
  <si>
    <t>04/12/1959</t>
  </si>
  <si>
    <t>02/09/1983</t>
  </si>
  <si>
    <t>04/10/1945</t>
  </si>
  <si>
    <t>03/02/1975</t>
  </si>
  <si>
    <t>04/15/1981</t>
  </si>
  <si>
    <t>06/13/1964</t>
  </si>
  <si>
    <t>08/13/1968</t>
  </si>
  <si>
    <t>12/26/1967</t>
  </si>
  <si>
    <t>05/03/1964</t>
  </si>
  <si>
    <t>06/28/1971</t>
  </si>
  <si>
    <t>01/08/1990</t>
  </si>
  <si>
    <t>08/08/1955</t>
  </si>
  <si>
    <t>12/28/1964</t>
  </si>
  <si>
    <t>10/06/1976</t>
  </si>
  <si>
    <t>06/23/1974</t>
  </si>
  <si>
    <t>05/15/1961</t>
  </si>
  <si>
    <t>07/27/1950</t>
  </si>
  <si>
    <t>01/06/1967</t>
  </si>
  <si>
    <t>10/15/1961</t>
  </si>
  <si>
    <t>02/28/1987</t>
  </si>
  <si>
    <t>05/27/1958</t>
  </si>
  <si>
    <t>01/17/1982</t>
  </si>
  <si>
    <t>08/17/1952</t>
  </si>
  <si>
    <t>11/11/1970</t>
  </si>
  <si>
    <t>02/17/1976</t>
  </si>
  <si>
    <t>07/24/1949</t>
  </si>
  <si>
    <t>04/02/1967</t>
  </si>
  <si>
    <t>08/30/1958</t>
  </si>
  <si>
    <t>01/20/1959</t>
  </si>
  <si>
    <t>03/28/1981</t>
  </si>
  <si>
    <t>05/24/1971</t>
  </si>
  <si>
    <t>03/26/1978</t>
  </si>
  <si>
    <t>08/07/2000</t>
  </si>
  <si>
    <t>12/03/1976</t>
  </si>
  <si>
    <t>09/24/1990</t>
  </si>
  <si>
    <t>06/13/1956</t>
  </si>
  <si>
    <t>07/16/1985</t>
  </si>
  <si>
    <t>12/16/1983</t>
  </si>
  <si>
    <t>02/25/1998</t>
  </si>
  <si>
    <t>01/19/1961</t>
  </si>
  <si>
    <t>11/30/1976</t>
  </si>
  <si>
    <t>04/26/1986</t>
  </si>
  <si>
    <t>02/09/1991</t>
  </si>
  <si>
    <t>12/10/1947</t>
  </si>
  <si>
    <t>10/22/1949</t>
  </si>
  <si>
    <t>05/10/1927</t>
  </si>
  <si>
    <t>04/29/1956</t>
  </si>
  <si>
    <t>06/19/1999</t>
  </si>
  <si>
    <t>03/15/1942</t>
  </si>
  <si>
    <t>10/04/1943</t>
  </si>
  <si>
    <t>07/14/1947</t>
  </si>
  <si>
    <t>08/06/1946</t>
  </si>
  <si>
    <t>10/22/2010</t>
  </si>
  <si>
    <t>08/17/1976</t>
  </si>
  <si>
    <t>11/17/1964</t>
  </si>
  <si>
    <t>10/21/1976</t>
  </si>
  <si>
    <t>05/06/1984</t>
  </si>
  <si>
    <t>11/23/1960</t>
  </si>
  <si>
    <t>05/29/1980</t>
  </si>
  <si>
    <t>01/12/1952</t>
  </si>
  <si>
    <t>05/26/2003</t>
  </si>
  <si>
    <t>02/29/1972</t>
  </si>
  <si>
    <t>11/23/1944</t>
  </si>
  <si>
    <t>01/01/1994</t>
  </si>
  <si>
    <t>11/22/1951</t>
  </si>
  <si>
    <t>02/18/1980</t>
  </si>
  <si>
    <t>10/22/2000</t>
  </si>
  <si>
    <t>04/14/1955</t>
  </si>
  <si>
    <t>04/21/1982</t>
  </si>
  <si>
    <t>06/20/1971</t>
  </si>
  <si>
    <t>03/28/1980</t>
  </si>
  <si>
    <t>07/26/1992</t>
  </si>
  <si>
    <t>10/06/1961</t>
  </si>
  <si>
    <t>09/10/1954</t>
  </si>
  <si>
    <t>07/31/1960</t>
  </si>
  <si>
    <t>01/11/1974</t>
  </si>
  <si>
    <t>03/25/2001</t>
  </si>
  <si>
    <t>07/22/1962</t>
  </si>
  <si>
    <t>12/01/1940</t>
  </si>
  <si>
    <t>09/30/1960</t>
  </si>
  <si>
    <t>11/02/1968</t>
  </si>
  <si>
    <t>01/01/1978</t>
  </si>
  <si>
    <t>12/03/1955</t>
  </si>
  <si>
    <t>01/03/1984</t>
  </si>
  <si>
    <t>05/08/1964</t>
  </si>
  <si>
    <t>06/30/1940</t>
  </si>
  <si>
    <t>08/02/1973</t>
  </si>
  <si>
    <t>08/15/1958</t>
  </si>
  <si>
    <t>04/15/1936</t>
  </si>
  <si>
    <t>06/16/1963</t>
  </si>
  <si>
    <t>05/12/1958</t>
  </si>
  <si>
    <t>07/06/1966</t>
  </si>
  <si>
    <t>08/05/1996</t>
  </si>
  <si>
    <t>11/15/1978</t>
  </si>
  <si>
    <t>06/26/1966</t>
  </si>
  <si>
    <t>11/18/1946</t>
  </si>
  <si>
    <t>08/03/1988</t>
  </si>
  <si>
    <t>04/30/1959</t>
  </si>
  <si>
    <t>04/19/2010</t>
  </si>
  <si>
    <t>04/03/1939</t>
  </si>
  <si>
    <t>01/28/1972</t>
  </si>
  <si>
    <t>03/30/1955</t>
  </si>
  <si>
    <t>10/29/1932</t>
  </si>
  <si>
    <t>02/20/1993</t>
  </si>
  <si>
    <t>10/23/1978</t>
  </si>
  <si>
    <t>03/19/1984</t>
  </si>
  <si>
    <t>06/27/2010</t>
  </si>
  <si>
    <t>07/26/1999</t>
  </si>
  <si>
    <t>11/23/1986</t>
  </si>
  <si>
    <t>02/06/1956</t>
  </si>
  <si>
    <t>03/01/1959</t>
  </si>
  <si>
    <t>04/27/1951</t>
  </si>
  <si>
    <t>01/10/1936</t>
  </si>
  <si>
    <t>03/10/1935</t>
  </si>
  <si>
    <t>12/06/1950</t>
  </si>
  <si>
    <t>01/09/1947</t>
  </si>
  <si>
    <t>02/26/1938</t>
  </si>
  <si>
    <t>07/04/1963</t>
  </si>
  <si>
    <t>08/13/1944</t>
  </si>
  <si>
    <t>08/09/1999</t>
  </si>
  <si>
    <t>11/18/1982</t>
  </si>
  <si>
    <t>07/05/1977</t>
  </si>
  <si>
    <t>02/03/1984</t>
  </si>
  <si>
    <t>03/19/1995</t>
  </si>
  <si>
    <t>10/04/1982</t>
  </si>
  <si>
    <t>04/18/1969</t>
  </si>
  <si>
    <t>09/08/1988</t>
  </si>
  <si>
    <t>02/06/1994</t>
  </si>
  <si>
    <t>10/17/1955</t>
  </si>
  <si>
    <t>07/31/1981</t>
  </si>
  <si>
    <t>07/05/1953</t>
  </si>
  <si>
    <t>03/22/1978</t>
  </si>
  <si>
    <t>07/09/1986</t>
  </si>
  <si>
    <t>07/24/1986</t>
  </si>
  <si>
    <t>03/17/1957</t>
  </si>
  <si>
    <t>03/04/1989</t>
  </si>
  <si>
    <t>10/12/1975</t>
  </si>
  <si>
    <t>05/19/1974</t>
  </si>
  <si>
    <t>06/26/1978</t>
  </si>
  <si>
    <t>03/31/1964</t>
  </si>
  <si>
    <t>05/22/1975</t>
  </si>
  <si>
    <t>08/28/1974</t>
  </si>
  <si>
    <t>08/03/1996</t>
  </si>
  <si>
    <t>06/25/1986</t>
  </si>
  <si>
    <t>04/19/1995</t>
  </si>
  <si>
    <t>02/06/1944</t>
  </si>
  <si>
    <t>07/28/1983</t>
  </si>
  <si>
    <t>09/05/1985</t>
  </si>
  <si>
    <t>10/04/1999</t>
  </si>
  <si>
    <t>11/13/1987</t>
  </si>
  <si>
    <t>07/05/1984</t>
  </si>
  <si>
    <t>09/07/1977</t>
  </si>
  <si>
    <t>02/15/1978</t>
  </si>
  <si>
    <t>06/12/1980</t>
  </si>
  <si>
    <t>09/03/1992</t>
  </si>
  <si>
    <t>02/12/1973</t>
  </si>
  <si>
    <t>12/22/2004</t>
  </si>
  <si>
    <t>06/13/1974</t>
  </si>
  <si>
    <t>02/29/2008</t>
  </si>
  <si>
    <t>09/03/1984</t>
  </si>
  <si>
    <t>04/26/1970</t>
  </si>
  <si>
    <t>08/19/1997</t>
  </si>
  <si>
    <t>11/13/1957</t>
  </si>
  <si>
    <t>07/01/1986</t>
  </si>
  <si>
    <t>01/26/1954</t>
  </si>
  <si>
    <t>03/20/1963</t>
  </si>
  <si>
    <t>03/22/2019</t>
  </si>
  <si>
    <t>06/08/1977</t>
  </si>
  <si>
    <t>05/28/1982</t>
  </si>
  <si>
    <t>09/27/1966</t>
  </si>
  <si>
    <t>07/23/1958</t>
  </si>
  <si>
    <t>05/21/1968</t>
  </si>
  <si>
    <t>09/30/1975</t>
  </si>
  <si>
    <t>01/22/1992</t>
  </si>
  <si>
    <t>03/18/1964</t>
  </si>
  <si>
    <t>10/01/1966</t>
  </si>
  <si>
    <t>05/17/1984</t>
  </si>
  <si>
    <t>08/01/1954</t>
  </si>
  <si>
    <t>12/24/1992</t>
  </si>
  <si>
    <t>09/19/1994</t>
  </si>
  <si>
    <t>10/25/1944</t>
  </si>
  <si>
    <t>11/30/1989</t>
  </si>
  <si>
    <t>07/25/1957</t>
  </si>
  <si>
    <t>04/18/1993</t>
  </si>
  <si>
    <t>08/17/1951</t>
  </si>
  <si>
    <t>03/15/1954</t>
  </si>
  <si>
    <t>06/30/1959</t>
  </si>
  <si>
    <t>04/18/1958</t>
  </si>
  <si>
    <t>01/03/1958</t>
  </si>
  <si>
    <t>01/13/1953</t>
  </si>
  <si>
    <t>06/02/1982</t>
  </si>
  <si>
    <t>04/26/1959</t>
  </si>
  <si>
    <t>02/14/1955</t>
  </si>
  <si>
    <t>06/04/1946</t>
  </si>
  <si>
    <t>06/23/1966</t>
  </si>
  <si>
    <t>06/15/1976</t>
  </si>
  <si>
    <t>05/20/1961</t>
  </si>
  <si>
    <t>12/28/1967</t>
  </si>
  <si>
    <t>09/30/1989</t>
  </si>
  <si>
    <t>01/20/1975</t>
  </si>
  <si>
    <t>06/27/1974</t>
  </si>
  <si>
    <t>09/04/1992</t>
  </si>
  <si>
    <t>11/26/1981</t>
  </si>
  <si>
    <t>10/21/1966</t>
  </si>
  <si>
    <t>11/21/1962</t>
  </si>
  <si>
    <t>05/24/1939</t>
  </si>
  <si>
    <t>12/23/1975</t>
  </si>
  <si>
    <t>07/22/1978</t>
  </si>
  <si>
    <t>05/27/1973</t>
  </si>
  <si>
    <t>06/05/1953</t>
  </si>
  <si>
    <t>10/24/1961</t>
  </si>
  <si>
    <t>08/08/1959</t>
  </si>
  <si>
    <t>11/18/1987</t>
  </si>
  <si>
    <t>03/24/1961</t>
  </si>
  <si>
    <t>09/04/1943</t>
  </si>
  <si>
    <t>02/10/1975</t>
  </si>
  <si>
    <t>09/09/1980</t>
  </si>
  <si>
    <t>02/09/1966</t>
  </si>
  <si>
    <t>11/24/1981</t>
  </si>
  <si>
    <t>03/05/1973</t>
  </si>
  <si>
    <t>10/01/1982</t>
  </si>
  <si>
    <t>06/06/1970</t>
  </si>
  <si>
    <t>05/05/1953</t>
  </si>
  <si>
    <t>11/14/1957</t>
  </si>
  <si>
    <t>07/15/1988</t>
  </si>
  <si>
    <t>12/25/1961</t>
  </si>
  <si>
    <t>05/11/1953</t>
  </si>
  <si>
    <t>11/15/1966</t>
  </si>
  <si>
    <t>08/26/1986</t>
  </si>
  <si>
    <t>09/22/1984</t>
  </si>
  <si>
    <t>03/02/1966</t>
  </si>
  <si>
    <t>11/05/1982</t>
  </si>
  <si>
    <t>05/20/1975</t>
  </si>
  <si>
    <t>07/21/2003</t>
  </si>
  <si>
    <t>11/01/2000</t>
  </si>
  <si>
    <t>10/06/1939</t>
  </si>
  <si>
    <t>11/20/1984</t>
  </si>
  <si>
    <t>06/16/1952</t>
  </si>
  <si>
    <t>01/25/1962</t>
  </si>
  <si>
    <t>09/12/1985</t>
  </si>
  <si>
    <t>01/05/1974</t>
  </si>
  <si>
    <t>06/06/1983</t>
  </si>
  <si>
    <t>03/23/1993</t>
  </si>
  <si>
    <t>08/16/1977</t>
  </si>
  <si>
    <t>05/21/1990</t>
  </si>
  <si>
    <t>09/28/1987</t>
  </si>
  <si>
    <t>03/22/1963</t>
  </si>
  <si>
    <t>08/06/1976</t>
  </si>
  <si>
    <t>01/13/1985</t>
  </si>
  <si>
    <t>05/15/1962</t>
  </si>
  <si>
    <t>12/08/2011</t>
  </si>
  <si>
    <t>05/02/1971</t>
  </si>
  <si>
    <t>01/15/1983</t>
  </si>
  <si>
    <t>04/17/1989</t>
  </si>
  <si>
    <t>09/10/1979</t>
  </si>
  <si>
    <t>09/26/1986</t>
  </si>
  <si>
    <t>11/03/1964</t>
  </si>
  <si>
    <t>06/17/1966</t>
  </si>
  <si>
    <t>06/12/1988</t>
  </si>
  <si>
    <t>03/19/1974</t>
  </si>
  <si>
    <t>11/15/1990</t>
  </si>
  <si>
    <t>09/14/1979</t>
  </si>
  <si>
    <t>03/08/1960</t>
  </si>
  <si>
    <t>11/27/1961</t>
  </si>
  <si>
    <t>09/12/1992</t>
  </si>
  <si>
    <t>10/18/1954</t>
  </si>
  <si>
    <t>05/13/1979</t>
  </si>
  <si>
    <t>01/20/1992</t>
  </si>
  <si>
    <t>12/26/1976</t>
  </si>
  <si>
    <t>03/18/1956</t>
  </si>
  <si>
    <t>02/13/1934</t>
  </si>
  <si>
    <t>04/20/1967</t>
  </si>
  <si>
    <t>03/20/1985</t>
  </si>
  <si>
    <t>09/25/1990</t>
  </si>
  <si>
    <t>01/07/1976</t>
  </si>
  <si>
    <t>04/05/1992</t>
  </si>
  <si>
    <t>01/27/1980</t>
  </si>
  <si>
    <t>02/12/1986</t>
  </si>
  <si>
    <t>04/22/2011</t>
  </si>
  <si>
    <t>11/21/1948</t>
  </si>
  <si>
    <t>09/05/1979</t>
  </si>
  <si>
    <t>06/02/1968</t>
  </si>
  <si>
    <t>10/21/1996</t>
  </si>
  <si>
    <t>10/08/1965</t>
  </si>
  <si>
    <t>10/16/1994</t>
  </si>
  <si>
    <t>10/15/1994</t>
  </si>
  <si>
    <t>02/13/1971</t>
  </si>
  <si>
    <t>07/17/1953</t>
  </si>
  <si>
    <t>09/10/1949</t>
  </si>
  <si>
    <t>05/16/1982</t>
  </si>
  <si>
    <t>03/16/1982</t>
  </si>
  <si>
    <t>12/14/1989</t>
  </si>
  <si>
    <t>01/27/1952</t>
  </si>
  <si>
    <t>06/06/1965</t>
  </si>
  <si>
    <t>11/10/1988</t>
  </si>
  <si>
    <t>03/25/1988</t>
  </si>
  <si>
    <t>03/25/1984</t>
  </si>
  <si>
    <t>01/11/1936</t>
  </si>
  <si>
    <t>09/03/1963</t>
  </si>
  <si>
    <t>08/21/2013</t>
  </si>
  <si>
    <t>04/21/1964</t>
  </si>
  <si>
    <t>07/31/1967</t>
  </si>
  <si>
    <t>01/28/1957</t>
  </si>
  <si>
    <t>02/20/1985</t>
  </si>
  <si>
    <t>10/02/1966</t>
  </si>
  <si>
    <t>03/06/1974</t>
  </si>
  <si>
    <t>01/08/1989</t>
  </si>
  <si>
    <t>04/14/2010</t>
  </si>
  <si>
    <t>06/08/1985</t>
  </si>
  <si>
    <t>04/06/1958</t>
  </si>
  <si>
    <t>06/30/1944</t>
  </si>
  <si>
    <t>11/22/1953</t>
  </si>
  <si>
    <t>10/26/1969</t>
  </si>
  <si>
    <t>09/14/1922</t>
  </si>
  <si>
    <t>08/30/1978</t>
  </si>
  <si>
    <t>11/10/1974</t>
  </si>
  <si>
    <t>09/20/1966</t>
  </si>
  <si>
    <t>10/12/1941</t>
  </si>
  <si>
    <t>08/06/1952</t>
  </si>
  <si>
    <t>03/21/1957</t>
  </si>
  <si>
    <t>10/11/1959</t>
  </si>
  <si>
    <t>12/10/1960</t>
  </si>
  <si>
    <t>05/11/1988</t>
  </si>
  <si>
    <t>12/21/1984</t>
  </si>
  <si>
    <t>07/09/1993</t>
  </si>
  <si>
    <t>06/19/1981</t>
  </si>
  <si>
    <t>08/27/1994</t>
  </si>
  <si>
    <t>01/10/1965</t>
  </si>
  <si>
    <t>09/28/1965</t>
  </si>
  <si>
    <t>01/21/1991</t>
  </si>
  <si>
    <t>09/17/1977</t>
  </si>
  <si>
    <t>04/23/1968</t>
  </si>
  <si>
    <t>01/01/1964</t>
  </si>
  <si>
    <t>06/24/1996</t>
  </si>
  <si>
    <t>06/20/1960</t>
  </si>
  <si>
    <t>02/23/1973</t>
  </si>
  <si>
    <t>02/06/1988</t>
  </si>
  <si>
    <t>03/26/1968</t>
  </si>
  <si>
    <t>07/19/1975</t>
  </si>
  <si>
    <t>02/06/1987</t>
  </si>
  <si>
    <t>08/30/1976</t>
  </si>
  <si>
    <t>01/18/1976</t>
  </si>
  <si>
    <t>11/11/1939</t>
  </si>
  <si>
    <t>08/20/1959</t>
  </si>
  <si>
    <t>06/22/1993</t>
  </si>
  <si>
    <t>10/01/1978</t>
  </si>
  <si>
    <t>04/21/1971</t>
  </si>
  <si>
    <t>10/14/1968</t>
  </si>
  <si>
    <t>12/07/1934</t>
  </si>
  <si>
    <t>02/11/1965</t>
  </si>
  <si>
    <t>09/04/1966</t>
  </si>
  <si>
    <t>05/06/1968</t>
  </si>
  <si>
    <t>10/29/1945</t>
  </si>
  <si>
    <t>05/31/1971</t>
  </si>
  <si>
    <t>04/02/1982</t>
  </si>
  <si>
    <t>05/11/1954</t>
  </si>
  <si>
    <t>12/22/1990</t>
  </si>
  <si>
    <t>02/23/1963</t>
  </si>
  <si>
    <t>10/30/1937</t>
  </si>
  <si>
    <t>10/23/1969</t>
  </si>
  <si>
    <t>02/21/1991</t>
  </si>
  <si>
    <t>12/07/1973</t>
  </si>
  <si>
    <t>12/08/1969</t>
  </si>
  <si>
    <t>08/18/1938</t>
  </si>
  <si>
    <t>10/22/1965</t>
  </si>
  <si>
    <t>01/02/1985</t>
  </si>
  <si>
    <t>09/26/1969</t>
  </si>
  <si>
    <t>02/27/1997</t>
  </si>
  <si>
    <t>08/24/1931</t>
  </si>
  <si>
    <t>10/06/1952</t>
  </si>
  <si>
    <t>07/29/1967</t>
  </si>
  <si>
    <t>12/19/1984</t>
  </si>
  <si>
    <t>01/19/1936</t>
  </si>
  <si>
    <t>10/30/1954</t>
  </si>
  <si>
    <t>10/01/1962</t>
  </si>
  <si>
    <t>04/14/1974</t>
  </si>
  <si>
    <t>05/07/1946</t>
  </si>
  <si>
    <t>09/13/1963</t>
  </si>
  <si>
    <t>03/06/1956</t>
  </si>
  <si>
    <t>11/23/1981</t>
  </si>
  <si>
    <t>05/26/1977</t>
  </si>
  <si>
    <t>04/05/1986</t>
  </si>
  <si>
    <t>09/12/1975</t>
  </si>
  <si>
    <t>12/02/1951</t>
  </si>
  <si>
    <t>06/28/1983</t>
  </si>
  <si>
    <t>11/30/1967</t>
  </si>
  <si>
    <t>06/08/1963</t>
  </si>
  <si>
    <t>02/13/1941</t>
  </si>
  <si>
    <t>02/04/1980</t>
  </si>
  <si>
    <t>07/10/1976</t>
  </si>
  <si>
    <t>07/05/1976</t>
  </si>
  <si>
    <t>10/26/1979</t>
  </si>
  <si>
    <t>07/30/1961</t>
  </si>
  <si>
    <t>06/26/1933</t>
  </si>
  <si>
    <t>05/25/1988</t>
  </si>
  <si>
    <t>06/29/1981</t>
  </si>
  <si>
    <t>04/19/1971</t>
  </si>
  <si>
    <t>10/08/1983</t>
  </si>
  <si>
    <t>05/12/1962</t>
  </si>
  <si>
    <t>09/11/1974</t>
  </si>
  <si>
    <t>08/16/1987</t>
  </si>
  <si>
    <t>08/08/1991</t>
  </si>
  <si>
    <t>01/09/1950</t>
  </si>
  <si>
    <t>01/16/1976</t>
  </si>
  <si>
    <t>12/23/1955</t>
  </si>
  <si>
    <t>08/04/1952</t>
  </si>
  <si>
    <t>10/04/1964</t>
  </si>
  <si>
    <t>01/10/1966</t>
  </si>
  <si>
    <t>01/01/1980</t>
  </si>
  <si>
    <t>07/01/1967</t>
  </si>
  <si>
    <t>10/12/1939</t>
  </si>
  <si>
    <t>03/07/1973</t>
  </si>
  <si>
    <t>07/30/1987</t>
  </si>
  <si>
    <t>01/21/1986</t>
  </si>
  <si>
    <t>09/08/1958</t>
  </si>
  <si>
    <t>04/12/1987</t>
  </si>
  <si>
    <t>01/23/1969</t>
  </si>
  <si>
    <t>06/12/1976</t>
  </si>
  <si>
    <t>10/29/1974</t>
  </si>
  <si>
    <t>08/01/1980</t>
  </si>
  <si>
    <t>08/24/1956</t>
  </si>
  <si>
    <t>07/24/1977</t>
  </si>
  <si>
    <t>09/12/1960</t>
  </si>
  <si>
    <t>07/30/1962</t>
  </si>
  <si>
    <t>01/30/1960</t>
  </si>
  <si>
    <t>08/26/1945</t>
  </si>
  <si>
    <t>04/12/1967</t>
  </si>
  <si>
    <t>08/05/1956</t>
  </si>
  <si>
    <t>10/29/1943</t>
  </si>
  <si>
    <t>07/06/1987</t>
  </si>
  <si>
    <t>01/26/1990</t>
  </si>
  <si>
    <t>06/20/1987</t>
  </si>
  <si>
    <t>11/02/1988</t>
  </si>
  <si>
    <t>01/31/1969</t>
  </si>
  <si>
    <t>09/25/1959</t>
  </si>
  <si>
    <t>03/26/1952</t>
  </si>
  <si>
    <t>09/19/1984</t>
  </si>
  <si>
    <t>07/23/1953</t>
  </si>
  <si>
    <t>10/10/1983</t>
  </si>
  <si>
    <t>03/05/1957</t>
  </si>
  <si>
    <t>12/20/1976</t>
  </si>
  <si>
    <t>02/23/1949</t>
  </si>
  <si>
    <t>12/12/1955</t>
  </si>
  <si>
    <t>06/09/1965</t>
  </si>
  <si>
    <t>06/21/1965</t>
  </si>
  <si>
    <t>03/04/1968</t>
  </si>
  <si>
    <t>12/21/1971</t>
  </si>
  <si>
    <t>02/15/2004</t>
  </si>
  <si>
    <t>10/11/1958</t>
  </si>
  <si>
    <t>08/29/1942</t>
  </si>
  <si>
    <t>12/29/1960</t>
  </si>
  <si>
    <t>02/07/1987</t>
  </si>
  <si>
    <t>10/12/1968</t>
  </si>
  <si>
    <t>02/13/1965</t>
  </si>
  <si>
    <t>06/30/1958</t>
  </si>
  <si>
    <t>03/04/1958</t>
  </si>
  <si>
    <t>03/10/1957</t>
  </si>
  <si>
    <t>03/08/1993</t>
  </si>
  <si>
    <t>07/15/1954</t>
  </si>
  <si>
    <t>07/07/1981</t>
  </si>
  <si>
    <t>07/13/1959</t>
  </si>
  <si>
    <t>03/31/1985</t>
  </si>
  <si>
    <t>09/04/1972</t>
  </si>
  <si>
    <t>12/10/1940</t>
  </si>
  <si>
    <t>08/23/1964</t>
  </si>
  <si>
    <t>11/01/1953</t>
  </si>
  <si>
    <t>02/12/1955</t>
  </si>
  <si>
    <t>03/20/1962</t>
  </si>
  <si>
    <t>05/22/1958</t>
  </si>
  <si>
    <t>06/03/1968</t>
  </si>
  <si>
    <t>10/03/1982</t>
  </si>
  <si>
    <t>11/15/1994</t>
  </si>
  <si>
    <t>12/04/1939</t>
  </si>
  <si>
    <t>09/24/1972</t>
  </si>
  <si>
    <t>08/25/1978</t>
  </si>
  <si>
    <t>10/27/1986</t>
  </si>
  <si>
    <t>05/02/1940</t>
  </si>
  <si>
    <t>04/17/1964</t>
  </si>
  <si>
    <t>02/10/1994</t>
  </si>
  <si>
    <t>12/30/1930</t>
  </si>
  <si>
    <t>02/18/1994</t>
  </si>
  <si>
    <t>02/07/1974</t>
  </si>
  <si>
    <t>01/22/1977</t>
  </si>
  <si>
    <t>12/15/1968</t>
  </si>
  <si>
    <t>02/12/1975</t>
  </si>
  <si>
    <t>01/27/1962</t>
  </si>
  <si>
    <t>01/09/1966</t>
  </si>
  <si>
    <t>08/15/1981</t>
  </si>
  <si>
    <t>02/15/1962</t>
  </si>
  <si>
    <t>09/09/1977</t>
  </si>
  <si>
    <t>09/25/1981</t>
  </si>
  <si>
    <t>07/10/1985</t>
  </si>
  <si>
    <t>04/06/1968</t>
  </si>
  <si>
    <t>04/06/1988</t>
  </si>
  <si>
    <t>08/15/1971</t>
  </si>
  <si>
    <t>07/29/1979</t>
  </si>
  <si>
    <t>03/02/1937</t>
  </si>
  <si>
    <t>01/19/1965</t>
  </si>
  <si>
    <t>06/14/1968</t>
  </si>
  <si>
    <t>07/31/1968</t>
  </si>
  <si>
    <t>10/04/2002</t>
  </si>
  <si>
    <t>10/26/1957</t>
  </si>
  <si>
    <t>01/26/1989</t>
  </si>
  <si>
    <t>07/06/1946</t>
  </si>
  <si>
    <t>04/25/1977</t>
  </si>
  <si>
    <t>12/18/1963</t>
  </si>
  <si>
    <t>06/27/1991</t>
  </si>
  <si>
    <t>07/04/1953</t>
  </si>
  <si>
    <t>12/03/2015</t>
  </si>
  <si>
    <t>11/07/1983</t>
  </si>
  <si>
    <t>01/19/1988</t>
  </si>
  <si>
    <t>04/15/1966</t>
  </si>
  <si>
    <t>02/19/1953</t>
  </si>
  <si>
    <t>01/01/1973</t>
  </si>
  <si>
    <t>12/18/1966</t>
  </si>
  <si>
    <t>09/08/1987</t>
  </si>
  <si>
    <t>11/03/1966</t>
  </si>
  <si>
    <t>10/02/1956</t>
  </si>
  <si>
    <t>12/31/1958</t>
  </si>
  <si>
    <t>11/22/1973</t>
  </si>
  <si>
    <t>11/28/1964</t>
  </si>
  <si>
    <t>12/24/1954</t>
  </si>
  <si>
    <t>07/01/1964</t>
  </si>
  <si>
    <t>05/18/1993</t>
  </si>
  <si>
    <t>08/20/1957</t>
  </si>
  <si>
    <t>01/22/1964</t>
  </si>
  <si>
    <t>12/30/1987</t>
  </si>
  <si>
    <t>08/20/1999</t>
  </si>
  <si>
    <t>03/27/1941</t>
  </si>
  <si>
    <t>07/08/1958</t>
  </si>
  <si>
    <t>12/31/1957</t>
  </si>
  <si>
    <t>05/28/1968</t>
  </si>
  <si>
    <t>02/14/1936</t>
  </si>
  <si>
    <t>06/09/1968</t>
  </si>
  <si>
    <t>07/07/1953</t>
  </si>
  <si>
    <t>11/28/1957</t>
  </si>
  <si>
    <t>03/26/1976</t>
  </si>
  <si>
    <t>04/11/2008</t>
  </si>
  <si>
    <t>10/08/1956</t>
  </si>
  <si>
    <t>10/19/1977</t>
  </si>
  <si>
    <t>02/05/1941</t>
  </si>
  <si>
    <t>07/24/1954</t>
  </si>
  <si>
    <t>12/20/1986</t>
  </si>
  <si>
    <t>01/10/1986</t>
  </si>
  <si>
    <t>11/14/1963</t>
  </si>
  <si>
    <t>05/13/1964</t>
  </si>
  <si>
    <t>05/23/1948</t>
  </si>
  <si>
    <t>11/05/1959</t>
  </si>
  <si>
    <t>08/02/1976</t>
  </si>
  <si>
    <t>02/16/1978</t>
  </si>
  <si>
    <t>07/01/1992</t>
  </si>
  <si>
    <t>11/02/1976</t>
  </si>
  <si>
    <t>08/19/1944</t>
  </si>
  <si>
    <t>01/30/1978</t>
  </si>
  <si>
    <t>02/25/1981</t>
  </si>
  <si>
    <t>02/05/1982</t>
  </si>
  <si>
    <t>07/24/1962</t>
  </si>
  <si>
    <t>10/10/1992</t>
  </si>
  <si>
    <t>07/05/1978</t>
  </si>
  <si>
    <t>12/29/1968</t>
  </si>
  <si>
    <t>03/05/1984</t>
  </si>
  <si>
    <t>09/26/1992</t>
  </si>
  <si>
    <t>08/01/1959</t>
  </si>
  <si>
    <t>06/06/1963</t>
  </si>
  <si>
    <t>01/01/1982</t>
  </si>
  <si>
    <t>05/29/1988</t>
  </si>
  <si>
    <t>12/18/1978</t>
  </si>
  <si>
    <t>03/10/1951</t>
  </si>
  <si>
    <t>10/21/2011</t>
  </si>
  <si>
    <t>05/12/1986</t>
  </si>
  <si>
    <t>03/18/1994</t>
  </si>
  <si>
    <t>06/29/1986</t>
  </si>
  <si>
    <t>12/24/1935</t>
  </si>
  <si>
    <t>05/15/1994</t>
  </si>
  <si>
    <t>10/11/1961</t>
  </si>
  <si>
    <t>08/05/1985</t>
  </si>
  <si>
    <t>12/02/1992</t>
  </si>
  <si>
    <t>05/02/1992</t>
  </si>
  <si>
    <t>04/17/1977</t>
  </si>
  <si>
    <t>11/20/1961</t>
  </si>
  <si>
    <t>10/19/1962</t>
  </si>
  <si>
    <t>12/23/1950</t>
  </si>
  <si>
    <t>02/21/1967</t>
  </si>
  <si>
    <t>05/25/1979</t>
  </si>
  <si>
    <t>08/12/1979</t>
  </si>
  <si>
    <t>01/03/1971</t>
  </si>
  <si>
    <t>10/24/1966</t>
  </si>
  <si>
    <t>04/13/1983</t>
  </si>
  <si>
    <t>01/24/1990</t>
  </si>
  <si>
    <t>05/28/1999</t>
  </si>
  <si>
    <t>02/23/1979</t>
  </si>
  <si>
    <t>07/07/1987</t>
  </si>
  <si>
    <t>11/22/1956</t>
  </si>
  <si>
    <t>02/05/2006</t>
  </si>
  <si>
    <t>04/29/1963</t>
  </si>
  <si>
    <t>06/01/1950</t>
  </si>
  <si>
    <t>09/15/1992</t>
  </si>
  <si>
    <t>12/16/1962</t>
  </si>
  <si>
    <t>08/17/1957</t>
  </si>
  <si>
    <t>05/23/1947</t>
  </si>
  <si>
    <t>02/13/1952</t>
  </si>
  <si>
    <t>11/15/1954</t>
  </si>
  <si>
    <t>07/03/1978</t>
  </si>
  <si>
    <t>05/28/1955</t>
  </si>
  <si>
    <t>05/18/1957</t>
  </si>
  <si>
    <t>04/13/1959</t>
  </si>
  <si>
    <t>08/21/1967</t>
  </si>
  <si>
    <t>01/06/1963</t>
  </si>
  <si>
    <t>05/20/1962</t>
  </si>
  <si>
    <t>02/07/1962</t>
  </si>
  <si>
    <t>01/08/2006</t>
  </si>
  <si>
    <t>11/15/1992</t>
  </si>
  <si>
    <t>10/22/1951</t>
  </si>
  <si>
    <t>07/13/2010</t>
  </si>
  <si>
    <t>10/26/1999</t>
  </si>
  <si>
    <t>10/14/1988</t>
  </si>
  <si>
    <t>01/04/1970</t>
  </si>
  <si>
    <t>09/24/1984</t>
  </si>
  <si>
    <t>09/04/1956</t>
  </si>
  <si>
    <t>12/21/1959</t>
  </si>
  <si>
    <t>05/25/1960</t>
  </si>
  <si>
    <t>01/11/1949</t>
  </si>
  <si>
    <t>02/07/1997</t>
  </si>
  <si>
    <t>10/05/1993</t>
  </si>
  <si>
    <t>10/28/1954</t>
  </si>
  <si>
    <t>09/05/1962</t>
  </si>
  <si>
    <t>11/06/1979</t>
  </si>
  <si>
    <t>10/05/1981</t>
  </si>
  <si>
    <t>04/05/1948</t>
  </si>
  <si>
    <t>03/02/1963</t>
  </si>
  <si>
    <t>05/03/1927</t>
  </si>
  <si>
    <t>02/06/1986</t>
  </si>
  <si>
    <t>01/26/1976</t>
  </si>
  <si>
    <t>04/28/1988</t>
  </si>
  <si>
    <t>08/24/1968</t>
  </si>
  <si>
    <t>01/06/1961</t>
  </si>
  <si>
    <t>12/05/1918</t>
  </si>
  <si>
    <t>04/12/1972</t>
  </si>
  <si>
    <t>10/14/1957</t>
  </si>
  <si>
    <t>01/05/1992</t>
  </si>
  <si>
    <t>12/09/1950</t>
  </si>
  <si>
    <t>05/18/1990</t>
  </si>
  <si>
    <t>10/13/1997</t>
  </si>
  <si>
    <t>09/18/1975</t>
  </si>
  <si>
    <t>04/20/1999</t>
  </si>
  <si>
    <t>10/19/1982</t>
  </si>
  <si>
    <t>03/19/1967</t>
  </si>
  <si>
    <t>02/16/1986</t>
  </si>
  <si>
    <t>02/05/1970</t>
  </si>
  <si>
    <t>11/15/1959</t>
  </si>
  <si>
    <t>08/03/1974</t>
  </si>
  <si>
    <t>08/06/1966</t>
  </si>
  <si>
    <t>03/12/1988</t>
  </si>
  <si>
    <t>06/05/1963</t>
  </si>
  <si>
    <t>04/26/1976</t>
  </si>
  <si>
    <t>02/23/1982</t>
  </si>
  <si>
    <t>12/11/1958</t>
  </si>
  <si>
    <t>12/20/1997</t>
  </si>
  <si>
    <t>06/07/1955</t>
  </si>
  <si>
    <t>08/25/1976</t>
  </si>
  <si>
    <t>10/09/1977</t>
  </si>
  <si>
    <t>09/10/1969</t>
  </si>
  <si>
    <t>08/04/1969</t>
  </si>
  <si>
    <t>08/11/1939</t>
  </si>
  <si>
    <t>08/10/1956</t>
  </si>
  <si>
    <t>08/11/1950</t>
  </si>
  <si>
    <t>01/04/1975</t>
  </si>
  <si>
    <t>02/20/1989</t>
  </si>
  <si>
    <t>05/31/1953</t>
  </si>
  <si>
    <t>05/05/1968</t>
  </si>
  <si>
    <t>05/19/1952</t>
  </si>
  <si>
    <t>02/08/1975</t>
  </si>
  <si>
    <t>01/24/1956</t>
  </si>
  <si>
    <t>04/01/1975</t>
  </si>
  <si>
    <t>01/02/1975</t>
  </si>
  <si>
    <t>06/30/1989</t>
  </si>
  <si>
    <t>09/15/1955</t>
  </si>
  <si>
    <t>01/21/1993</t>
  </si>
  <si>
    <t>07/13/1982</t>
  </si>
  <si>
    <t>08/20/1977</t>
  </si>
  <si>
    <t>08/11/1967</t>
  </si>
  <si>
    <t>06/30/1963</t>
  </si>
  <si>
    <t>06/17/1989</t>
  </si>
  <si>
    <t>08/02/1968</t>
  </si>
  <si>
    <t>06/07/1996</t>
  </si>
  <si>
    <t>10/28/1963</t>
  </si>
  <si>
    <t>07/25/1990</t>
  </si>
  <si>
    <t>03/16/1957</t>
  </si>
  <si>
    <t>08/26/2011</t>
  </si>
  <si>
    <t>03/23/1962</t>
  </si>
  <si>
    <t>09/19/1957</t>
  </si>
  <si>
    <t>12/16/1996</t>
  </si>
  <si>
    <t>07/20/1965</t>
  </si>
  <si>
    <t>08/19/1943</t>
  </si>
  <si>
    <t>08/20/1955</t>
  </si>
  <si>
    <t>11/22/1988</t>
  </si>
  <si>
    <t>06/25/1975</t>
  </si>
  <si>
    <t>08/13/1969</t>
  </si>
  <si>
    <t>09/18/1969</t>
  </si>
  <si>
    <t>09/06/1948</t>
  </si>
  <si>
    <t>03/23/1933</t>
  </si>
  <si>
    <t>06/20/1993</t>
  </si>
  <si>
    <t>03/21/1971</t>
  </si>
  <si>
    <t>01/13/1958</t>
  </si>
  <si>
    <t>04/03/1954</t>
  </si>
  <si>
    <t>08/14/1969</t>
  </si>
  <si>
    <t>12/12/1958</t>
  </si>
  <si>
    <t>04/29/1966</t>
  </si>
  <si>
    <t>12/05/1976</t>
  </si>
  <si>
    <t>12/09/1981</t>
  </si>
  <si>
    <t>02/14/1961</t>
  </si>
  <si>
    <t>04/18/1981</t>
  </si>
  <si>
    <t>09/30/1955</t>
  </si>
  <si>
    <t>04/15/1945</t>
  </si>
  <si>
    <t>10/16/1961</t>
  </si>
  <si>
    <t>12/22/1982</t>
  </si>
  <si>
    <t>08/25/2008</t>
  </si>
  <si>
    <t>12/11/1969</t>
  </si>
  <si>
    <t>06/12/1983</t>
  </si>
  <si>
    <t>04/25/1975</t>
  </si>
  <si>
    <t>05/10/1957</t>
  </si>
  <si>
    <t>10/09/1965</t>
  </si>
  <si>
    <t>09/02/1964</t>
  </si>
  <si>
    <t>08/28/1971</t>
  </si>
  <si>
    <t>02/28/1945</t>
  </si>
  <si>
    <t>01/05/1979</t>
  </si>
  <si>
    <t>12/25/1963</t>
  </si>
  <si>
    <t>07/10/1945</t>
  </si>
  <si>
    <t>10/03/1980</t>
  </si>
  <si>
    <t>01/29/1969</t>
  </si>
  <si>
    <t>07/27/1992</t>
  </si>
  <si>
    <t>08/03/1935</t>
  </si>
  <si>
    <t>10/01/1984</t>
  </si>
  <si>
    <t>02/11/1970</t>
  </si>
  <si>
    <t>07/14/1990</t>
  </si>
  <si>
    <t>07/16/1978</t>
  </si>
  <si>
    <t>09/27/1964</t>
  </si>
  <si>
    <t>03/09/1984</t>
  </si>
  <si>
    <t>12/28/1971</t>
  </si>
  <si>
    <t>01/12/1960</t>
  </si>
  <si>
    <t>04/29/1986</t>
  </si>
  <si>
    <t>04/25/1961</t>
  </si>
  <si>
    <t>02/14/1985</t>
  </si>
  <si>
    <t>12/12/1954</t>
  </si>
  <si>
    <t>12/04/1956</t>
  </si>
  <si>
    <t>05/19/1946</t>
  </si>
  <si>
    <t>06/16/1974</t>
  </si>
  <si>
    <t>02/19/1985</t>
  </si>
  <si>
    <t>01/04/1946</t>
  </si>
  <si>
    <t>06/18/1979</t>
  </si>
  <si>
    <t>04/24/1962</t>
  </si>
  <si>
    <t>11/09/1991</t>
  </si>
  <si>
    <t>08/09/1963</t>
  </si>
  <si>
    <t>05/02/1991</t>
  </si>
  <si>
    <t>02/03/1967</t>
  </si>
  <si>
    <t>03/24/1983</t>
  </si>
  <si>
    <t>08/02/1993</t>
  </si>
  <si>
    <t>03/22/1972</t>
  </si>
  <si>
    <t>03/04/1981</t>
  </si>
  <si>
    <t>08/05/1991</t>
  </si>
  <si>
    <t>01/20/1979</t>
  </si>
  <si>
    <t>04/19/1977</t>
  </si>
  <si>
    <t>09/21/1955</t>
  </si>
  <si>
    <t>02/19/1967</t>
  </si>
  <si>
    <t>04/19/1980</t>
  </si>
  <si>
    <t>02/07/1956</t>
  </si>
  <si>
    <t>12/10/1997</t>
  </si>
  <si>
    <t>05/29/1983</t>
  </si>
  <si>
    <t>12/11/1946</t>
  </si>
  <si>
    <t>03/21/1954</t>
  </si>
  <si>
    <t>12/28/1938</t>
  </si>
  <si>
    <t>03/16/1938</t>
  </si>
  <si>
    <t>08/27/1992</t>
  </si>
  <si>
    <t>07/02/1955</t>
  </si>
  <si>
    <t>11/14/1973</t>
  </si>
  <si>
    <t>01/25/1965</t>
  </si>
  <si>
    <t>08/18/1995</t>
  </si>
  <si>
    <t>04/25/1991</t>
  </si>
  <si>
    <t>07/06/1976</t>
  </si>
  <si>
    <t>10/23/1972</t>
  </si>
  <si>
    <t>07/26/1962</t>
  </si>
  <si>
    <t>08/15/1976</t>
  </si>
  <si>
    <t>12/06/1937</t>
  </si>
  <si>
    <t>06/20/1970</t>
  </si>
  <si>
    <t>04/05/1957</t>
  </si>
  <si>
    <t>05/05/1977</t>
  </si>
  <si>
    <t>10/07/1976</t>
  </si>
  <si>
    <t>09/20/1961</t>
  </si>
  <si>
    <t>06/14/1987</t>
  </si>
  <si>
    <t>08/11/1960</t>
  </si>
  <si>
    <t>07/28/1974</t>
  </si>
  <si>
    <t>09/27/1983</t>
  </si>
  <si>
    <t>03/24/1968</t>
  </si>
  <si>
    <t>05/13/1977</t>
  </si>
  <si>
    <t>03/24/1959</t>
  </si>
  <si>
    <t>12/01/1980</t>
  </si>
  <si>
    <t>05/05/1964</t>
  </si>
  <si>
    <t>05/31/1993</t>
  </si>
  <si>
    <t>06/28/1984</t>
  </si>
  <si>
    <t>12/21/1969</t>
  </si>
  <si>
    <t>08/23/2010</t>
  </si>
  <si>
    <t>11/30/1968</t>
  </si>
  <si>
    <t>07/25/1963</t>
  </si>
  <si>
    <t>06/22/1968</t>
  </si>
  <si>
    <t>07/17/1966</t>
  </si>
  <si>
    <t>10/22/1966</t>
  </si>
  <si>
    <t>06/29/1990</t>
  </si>
  <si>
    <t>02/12/1976</t>
  </si>
  <si>
    <t>09/17/1969</t>
  </si>
  <si>
    <t>10/26/1972</t>
  </si>
  <si>
    <t>09/23/1995</t>
  </si>
  <si>
    <t>03/22/1982</t>
  </si>
  <si>
    <t>04/11/1943</t>
  </si>
  <si>
    <t>01/10/1989</t>
  </si>
  <si>
    <t>04/26/1962</t>
  </si>
  <si>
    <t>06/10/1971</t>
  </si>
  <si>
    <t>11/06/1958</t>
  </si>
  <si>
    <t>12/31/1955</t>
  </si>
  <si>
    <t>12/03/1974</t>
  </si>
  <si>
    <t>07/27/1959</t>
  </si>
  <si>
    <t>12/05/1982</t>
  </si>
  <si>
    <t>05/29/2013</t>
  </si>
  <si>
    <t>04/15/1965</t>
  </si>
  <si>
    <t>07/29/1989</t>
  </si>
  <si>
    <t>12/03/1994</t>
  </si>
  <si>
    <t>12/12/1972</t>
  </si>
  <si>
    <t>07/04/1980</t>
  </si>
  <si>
    <t>04/05/1942</t>
  </si>
  <si>
    <t>06/21/1963</t>
  </si>
  <si>
    <t>04/11/1938</t>
  </si>
  <si>
    <t>04/18/1980</t>
  </si>
  <si>
    <t>05/11/1948</t>
  </si>
  <si>
    <t>12/06/1981</t>
  </si>
  <si>
    <t>12/05/1994</t>
  </si>
  <si>
    <t>10/24/1976</t>
  </si>
  <si>
    <t>09/08/1960</t>
  </si>
  <si>
    <t>05/19/1980</t>
  </si>
  <si>
    <t>04/06/1970</t>
  </si>
  <si>
    <t>10/30/1994</t>
  </si>
  <si>
    <t>06/06/1962</t>
  </si>
  <si>
    <t>11/10/1975</t>
  </si>
  <si>
    <t>05/31/1964</t>
  </si>
  <si>
    <t>05/09/1993</t>
  </si>
  <si>
    <t>09/23/1972</t>
  </si>
  <si>
    <t>04/21/1954</t>
  </si>
  <si>
    <t>04/15/1939</t>
  </si>
  <si>
    <t>10/09/1968</t>
  </si>
  <si>
    <t>12/22/1956</t>
  </si>
  <si>
    <t>11/05/1955</t>
  </si>
  <si>
    <t>02/15/1950</t>
  </si>
  <si>
    <t>05/24/1959</t>
  </si>
  <si>
    <t>05/01/1966</t>
  </si>
  <si>
    <t>11/29/1988</t>
  </si>
  <si>
    <t>12/08/1999</t>
  </si>
  <si>
    <t>10/20/1957</t>
  </si>
  <si>
    <t>06/01/1977</t>
  </si>
  <si>
    <t>04/13/2000</t>
  </si>
  <si>
    <t>03/08/1942</t>
  </si>
  <si>
    <t>05/28/1976</t>
  </si>
  <si>
    <t>12/16/1954</t>
  </si>
  <si>
    <t>04/09/1990</t>
  </si>
  <si>
    <t>11/01/1965</t>
  </si>
  <si>
    <t>06/27/1952</t>
  </si>
  <si>
    <t>10/28/1968</t>
  </si>
  <si>
    <t>03/12/1960</t>
  </si>
  <si>
    <t>07/27/1964</t>
  </si>
  <si>
    <t>02/14/2004</t>
  </si>
  <si>
    <t>10/02/1982</t>
  </si>
  <si>
    <t>07/08/1949</t>
  </si>
  <si>
    <t>10/12/1963</t>
  </si>
  <si>
    <t>03/17/1999</t>
  </si>
  <si>
    <t>07/28/1969</t>
  </si>
  <si>
    <t>11/01/1982</t>
  </si>
  <si>
    <t>09/09/1966</t>
  </si>
  <si>
    <t>08/09/1951</t>
  </si>
  <si>
    <t>01/28/1980</t>
  </si>
  <si>
    <t>12/04/1969</t>
  </si>
  <si>
    <t>09/20/1980</t>
  </si>
  <si>
    <t>02/23/1990</t>
  </si>
  <si>
    <t>04/19/1988</t>
  </si>
  <si>
    <t>09/02/1962</t>
  </si>
  <si>
    <t>12/17/1967</t>
  </si>
  <si>
    <t>10/04/1969</t>
  </si>
  <si>
    <t>04/01/1942</t>
  </si>
  <si>
    <t>11/18/1965</t>
  </si>
  <si>
    <t>04/20/1986</t>
  </si>
  <si>
    <t>02/01/1963</t>
  </si>
  <si>
    <t>04/16/1975</t>
  </si>
  <si>
    <t>06/09/1933</t>
  </si>
  <si>
    <t>08/31/1970</t>
  </si>
  <si>
    <t>12/11/1970</t>
  </si>
  <si>
    <t>02/12/1982</t>
  </si>
  <si>
    <t>12/19/1958</t>
  </si>
  <si>
    <t>10/30/1996</t>
  </si>
  <si>
    <t>03/03/1965</t>
  </si>
  <si>
    <t>10/01/1957</t>
  </si>
  <si>
    <t>05/21/1956</t>
  </si>
  <si>
    <t>11/08/1982</t>
  </si>
  <si>
    <t>09/06/1987</t>
  </si>
  <si>
    <t>02/18/1947</t>
  </si>
  <si>
    <t>12/28/1993</t>
  </si>
  <si>
    <t>09/22/1949</t>
  </si>
  <si>
    <t>09/22/1929</t>
  </si>
  <si>
    <t>12/04/1965</t>
  </si>
  <si>
    <t>12/24/1961</t>
  </si>
  <si>
    <t>09/02/1987</t>
  </si>
  <si>
    <t>04/01/1979</t>
  </si>
  <si>
    <t>08/23/2000</t>
  </si>
  <si>
    <t>10/21/1940</t>
  </si>
  <si>
    <t>10/11/1983</t>
  </si>
  <si>
    <t>05/29/1958</t>
  </si>
  <si>
    <t>08/02/1974</t>
  </si>
  <si>
    <t>12/01/1959</t>
  </si>
  <si>
    <t>12/10/1965</t>
  </si>
  <si>
    <t>11/29/1963</t>
  </si>
  <si>
    <t>07/10/1967</t>
  </si>
  <si>
    <t>10/12/1986</t>
  </si>
  <si>
    <t>05/31/1988</t>
  </si>
  <si>
    <t>11/01/1955</t>
  </si>
  <si>
    <t>05/05/1962</t>
  </si>
  <si>
    <t>08/23/1923</t>
  </si>
  <si>
    <t>09/28/1981</t>
  </si>
  <si>
    <t>04/09/1978</t>
  </si>
  <si>
    <t>03/13/1986</t>
  </si>
  <si>
    <t>01/07/1967</t>
  </si>
  <si>
    <t>01/17/1984</t>
  </si>
  <si>
    <t>09/09/1981</t>
  </si>
  <si>
    <t>03/27/1986</t>
  </si>
  <si>
    <t>04/26/1973</t>
  </si>
  <si>
    <t>05/29/1969</t>
  </si>
  <si>
    <t>02/11/2007</t>
  </si>
  <si>
    <t>12/20/1990</t>
  </si>
  <si>
    <t>01/08/1967</t>
  </si>
  <si>
    <t>08/31/1983</t>
  </si>
  <si>
    <t>06/13/1949</t>
  </si>
  <si>
    <t>04/14/1976</t>
  </si>
  <si>
    <t>03/01/1951</t>
  </si>
  <si>
    <t>10/23/1991</t>
  </si>
  <si>
    <t>08/04/1959</t>
  </si>
  <si>
    <t>11/10/1954</t>
  </si>
  <si>
    <t>09/06/2000</t>
  </si>
  <si>
    <t>12/01/1978</t>
  </si>
  <si>
    <t>04/07/1960</t>
  </si>
  <si>
    <t>12/22/1929</t>
  </si>
  <si>
    <t>12/25/1975</t>
  </si>
  <si>
    <t>02/08/1969</t>
  </si>
  <si>
    <t>02/13/1985</t>
  </si>
  <si>
    <t>11/17/1979</t>
  </si>
  <si>
    <t>05/24/1950</t>
  </si>
  <si>
    <t>07/03/1994</t>
  </si>
  <si>
    <t>01/11/1978</t>
  </si>
  <si>
    <t>12/06/1994</t>
  </si>
  <si>
    <t>01/26/1975</t>
  </si>
  <si>
    <t>11/25/1972</t>
  </si>
  <si>
    <t>03/05/1963</t>
  </si>
  <si>
    <t>01/11/1971</t>
  </si>
  <si>
    <t>07/29/1992</t>
  </si>
  <si>
    <t>12/08/1954</t>
  </si>
  <si>
    <t>04/09/1941</t>
  </si>
  <si>
    <t>09/11/1973</t>
  </si>
  <si>
    <t>12/08/1959</t>
  </si>
  <si>
    <t>05/23/1980</t>
  </si>
  <si>
    <t>06/02/1991</t>
  </si>
  <si>
    <t>03/20/1993</t>
  </si>
  <si>
    <t>06/18/1938</t>
  </si>
  <si>
    <t>03/07/1976</t>
  </si>
  <si>
    <t>05/26/1963</t>
  </si>
  <si>
    <t>12/15/1957</t>
  </si>
  <si>
    <t>11/15/1951</t>
  </si>
  <si>
    <t>12/30/1951</t>
  </si>
  <si>
    <t>03/23/1989</t>
  </si>
  <si>
    <t>06/13/1960</t>
  </si>
  <si>
    <t>03/22/1986</t>
  </si>
  <si>
    <t>04/04/1991</t>
  </si>
  <si>
    <t>08/08/1943</t>
  </si>
  <si>
    <t>03/26/2007</t>
  </si>
  <si>
    <t>12/10/1963</t>
  </si>
  <si>
    <t>12/06/1980</t>
  </si>
  <si>
    <t>08/06/1957</t>
  </si>
  <si>
    <t>05/04/1984</t>
  </si>
  <si>
    <t>06/04/1958</t>
  </si>
  <si>
    <t>10/30/1990</t>
  </si>
  <si>
    <t>04/18/1994</t>
  </si>
  <si>
    <t>09/02/1984</t>
  </si>
  <si>
    <t>04/01/1983</t>
  </si>
  <si>
    <t>07/31/1995</t>
  </si>
  <si>
    <t>10/27/1998</t>
  </si>
  <si>
    <t>04/23/1950</t>
  </si>
  <si>
    <t>11/25/1973</t>
  </si>
  <si>
    <t>10/13/1982</t>
  </si>
  <si>
    <t>02/17/1970</t>
  </si>
  <si>
    <t>02/22/1980</t>
  </si>
  <si>
    <t>07/24/1985</t>
  </si>
  <si>
    <t>04/09/1953</t>
  </si>
  <si>
    <t>10/29/1966</t>
  </si>
  <si>
    <t>07/29/1969</t>
  </si>
  <si>
    <t>12/30/1986</t>
  </si>
  <si>
    <t>01/14/1975</t>
  </si>
  <si>
    <t>12/12/1963</t>
  </si>
  <si>
    <t>01/23/1948</t>
  </si>
  <si>
    <t>07/02/1961</t>
  </si>
  <si>
    <t>01/24/1976</t>
  </si>
  <si>
    <t>12/02/1983</t>
  </si>
  <si>
    <t>06/17/1986</t>
  </si>
  <si>
    <t>05/25/1957</t>
  </si>
  <si>
    <t>12/03/1968</t>
  </si>
  <si>
    <t>01/25/1957</t>
  </si>
  <si>
    <t>01/07/1945</t>
  </si>
  <si>
    <t>04/27/1939</t>
  </si>
  <si>
    <t>09/27/1978</t>
  </si>
  <si>
    <t>01/28/1956</t>
  </si>
  <si>
    <t>08/22/1955</t>
  </si>
  <si>
    <t>05/14/1992</t>
  </si>
  <si>
    <t>02/07/1967</t>
  </si>
  <si>
    <t>08/18/1952</t>
  </si>
  <si>
    <t>07/11/1974</t>
  </si>
  <si>
    <t>11/23/2006</t>
  </si>
  <si>
    <t>07/20/1953</t>
  </si>
  <si>
    <t>02/01/1965</t>
  </si>
  <si>
    <t>12/01/1961</t>
  </si>
  <si>
    <t>05/24/1975</t>
  </si>
  <si>
    <t>06/03/1941</t>
  </si>
  <si>
    <t>05/24/1969</t>
  </si>
  <si>
    <t>11/15/1989</t>
  </si>
  <si>
    <t>11/30/1969</t>
  </si>
  <si>
    <t>08/12/1937</t>
  </si>
  <si>
    <t>04/06/1998</t>
  </si>
  <si>
    <t>07/01/1980</t>
  </si>
  <si>
    <t>02/06/1962</t>
  </si>
  <si>
    <t>02/07/1978</t>
  </si>
  <si>
    <t>12/26/1962</t>
  </si>
  <si>
    <t>10/06/1991</t>
  </si>
  <si>
    <t>09/14/1986</t>
  </si>
  <si>
    <t>03/08/1957</t>
  </si>
  <si>
    <t>01/24/1983</t>
  </si>
  <si>
    <t>08/06/1945</t>
  </si>
  <si>
    <t>06/25/1980</t>
  </si>
  <si>
    <t>08/08/1938</t>
  </si>
  <si>
    <t>01/20/1951</t>
  </si>
  <si>
    <t>11/15/1991</t>
  </si>
  <si>
    <t>04/04/1953</t>
  </si>
  <si>
    <t>05/02/1968</t>
  </si>
  <si>
    <t>12/01/1981</t>
  </si>
  <si>
    <t>05/12/1968</t>
  </si>
  <si>
    <t>08/18/1993</t>
  </si>
  <si>
    <t>02/02/2011</t>
  </si>
  <si>
    <t>07/07/1975</t>
  </si>
  <si>
    <t>12/14/1954</t>
  </si>
  <si>
    <t>08/26/1972</t>
  </si>
  <si>
    <t>01/09/1946</t>
  </si>
  <si>
    <t>05/21/1964</t>
  </si>
  <si>
    <t>06/02/1993</t>
  </si>
  <si>
    <t>04/12/1974</t>
  </si>
  <si>
    <t>03/09/1980</t>
  </si>
  <si>
    <t>07/12/1965</t>
  </si>
  <si>
    <t>08/15/1962</t>
  </si>
  <si>
    <t>05/17/1964</t>
  </si>
  <si>
    <t>10/17/1987</t>
  </si>
  <si>
    <t>08/10/1985</t>
  </si>
  <si>
    <t>12/08/1966</t>
  </si>
  <si>
    <t>01/19/1984</t>
  </si>
  <si>
    <t>11/07/1969</t>
  </si>
  <si>
    <t>05/14/1985</t>
  </si>
  <si>
    <t>02/08/1996</t>
  </si>
  <si>
    <t>07/04/1990</t>
  </si>
  <si>
    <t>02/16/1959</t>
  </si>
  <si>
    <t>07/02/1984</t>
  </si>
  <si>
    <t>05/14/1947</t>
  </si>
  <si>
    <t>10/28/1974</t>
  </si>
  <si>
    <t>08/01/1957</t>
  </si>
  <si>
    <t>03/30/1953</t>
  </si>
  <si>
    <t>06/18/1958</t>
  </si>
  <si>
    <t>02/15/1979</t>
  </si>
  <si>
    <t>11/15/1960</t>
  </si>
  <si>
    <t>07/04/1973</t>
  </si>
  <si>
    <t>12/08/1977</t>
  </si>
  <si>
    <t>10/06/1986</t>
  </si>
  <si>
    <t>01/09/1982</t>
  </si>
  <si>
    <t>12/17/1968</t>
  </si>
  <si>
    <t>04/28/1989</t>
  </si>
  <si>
    <t>06/10/1949</t>
  </si>
  <si>
    <t>09/05/1995</t>
  </si>
  <si>
    <t>05/21/1971</t>
  </si>
  <si>
    <t>07/01/1972</t>
  </si>
  <si>
    <t>01/27/1996</t>
  </si>
  <si>
    <t>11/10/1984</t>
  </si>
  <si>
    <t>02/20/1955</t>
  </si>
  <si>
    <t>06/08/1974</t>
  </si>
  <si>
    <t>10/18/1939</t>
  </si>
  <si>
    <t>03/17/1937</t>
  </si>
  <si>
    <t>05/01/1943</t>
  </si>
  <si>
    <t>09/04/1944</t>
  </si>
  <si>
    <t>05/01/1944</t>
  </si>
  <si>
    <t>01/02/1939</t>
  </si>
  <si>
    <t>08/15/1952</t>
  </si>
  <si>
    <t>08/04/1949</t>
  </si>
  <si>
    <t>12/05/1963</t>
  </si>
  <si>
    <t>03/21/1980</t>
  </si>
  <si>
    <t>12/14/1957</t>
  </si>
  <si>
    <t>08/17/1974</t>
  </si>
  <si>
    <t>02/28/1986</t>
  </si>
  <si>
    <t>02/05/1980</t>
  </si>
  <si>
    <t>10/19/1975</t>
  </si>
  <si>
    <t>05/04/1982</t>
  </si>
  <si>
    <t>04/21/1961</t>
  </si>
  <si>
    <t>10/30/1978</t>
  </si>
  <si>
    <t>08/20/2001</t>
  </si>
  <si>
    <t>12/06/1952</t>
  </si>
  <si>
    <t>06/09/1983</t>
  </si>
  <si>
    <t>03/02/1941</t>
  </si>
  <si>
    <t>03/03/1995</t>
  </si>
  <si>
    <t>01/01/1937</t>
  </si>
  <si>
    <t>02/02/1948</t>
  </si>
  <si>
    <t>07/01/1974</t>
  </si>
  <si>
    <t>11/26/1987</t>
  </si>
  <si>
    <t>08/14/1964</t>
  </si>
  <si>
    <t>10/13/2000</t>
  </si>
  <si>
    <t>01/21/1971</t>
  </si>
  <si>
    <t>06/26/1973</t>
  </si>
  <si>
    <t>10/10/2013</t>
  </si>
  <si>
    <t>04/14/1996</t>
  </si>
  <si>
    <t>12/30/1961</t>
  </si>
  <si>
    <t>02/19/1964</t>
  </si>
  <si>
    <t>09/01/1995</t>
  </si>
  <si>
    <t>10/16/2000</t>
  </si>
  <si>
    <t>01/24/1980</t>
  </si>
  <si>
    <t>08/29/1963</t>
  </si>
  <si>
    <t>12/03/1965</t>
  </si>
  <si>
    <t>12/18/1958</t>
  </si>
  <si>
    <t>08/07/1971</t>
  </si>
  <si>
    <t>08/22/1963</t>
  </si>
  <si>
    <t>03/01/1977</t>
  </si>
  <si>
    <t>09/24/1943</t>
  </si>
  <si>
    <t>05/04/1989</t>
  </si>
  <si>
    <t>12/15/1971</t>
  </si>
  <si>
    <t>04/23/1955</t>
  </si>
  <si>
    <t>02/20/1947</t>
  </si>
  <si>
    <t>05/20/1967</t>
  </si>
  <si>
    <t>09/03/1953</t>
  </si>
  <si>
    <t>08/17/1992</t>
  </si>
  <si>
    <t>12/31/1987</t>
  </si>
  <si>
    <t>07/19/1963</t>
  </si>
  <si>
    <t>04/03/1982</t>
  </si>
  <si>
    <t>03/25/1961</t>
  </si>
  <si>
    <t>07/27/1967</t>
  </si>
  <si>
    <t>05/27/1976</t>
  </si>
  <si>
    <t>08/08/1964</t>
  </si>
  <si>
    <t>01/18/1960</t>
  </si>
  <si>
    <t>05/16/1965</t>
  </si>
  <si>
    <t>07/16/1959</t>
  </si>
  <si>
    <t>04/25/1963</t>
  </si>
  <si>
    <t>03/06/1957</t>
  </si>
  <si>
    <t>05/14/1955</t>
  </si>
  <si>
    <t>02/28/1951</t>
  </si>
  <si>
    <t>04/11/1959</t>
  </si>
  <si>
    <t>12/15/1965</t>
  </si>
  <si>
    <t>12/20/1955</t>
  </si>
  <si>
    <t>10/01/1945</t>
  </si>
  <si>
    <t>02/17/1966</t>
  </si>
  <si>
    <t>04/26/1963</t>
  </si>
  <si>
    <t>10/01/1968</t>
  </si>
  <si>
    <t>04/03/1964</t>
  </si>
  <si>
    <t>04/14/1965</t>
  </si>
  <si>
    <t>03/30/1970</t>
  </si>
  <si>
    <t>08/21/1950</t>
  </si>
  <si>
    <t>06/30/1965</t>
  </si>
  <si>
    <t>06/27/1961</t>
  </si>
  <si>
    <t>04/08/1950</t>
  </si>
  <si>
    <t>11/04/1964</t>
  </si>
  <si>
    <t>01/13/1982</t>
  </si>
  <si>
    <t>11/19/1985</t>
  </si>
  <si>
    <t>03/10/1987</t>
  </si>
  <si>
    <t>04/29/1954</t>
  </si>
  <si>
    <t>05/15/1985</t>
  </si>
  <si>
    <t>02/05/1972</t>
  </si>
  <si>
    <t>08/17/2009</t>
  </si>
  <si>
    <t>05/22/1963</t>
  </si>
  <si>
    <t>06/04/1956</t>
  </si>
  <si>
    <t>10/16/1959</t>
  </si>
  <si>
    <t>12/14/1984</t>
  </si>
  <si>
    <t>03/31/1967</t>
  </si>
  <si>
    <t>03/17/1939</t>
  </si>
  <si>
    <t>05/26/1982</t>
  </si>
  <si>
    <t>04/23/1944</t>
  </si>
  <si>
    <t>12/29/1976</t>
  </si>
  <si>
    <t>11/04/1961</t>
  </si>
  <si>
    <t>12/18/1992</t>
  </si>
  <si>
    <t>02/20/1950</t>
  </si>
  <si>
    <t>12/31/1961</t>
  </si>
  <si>
    <t>02/21/1975</t>
  </si>
  <si>
    <t>10/21/1985</t>
  </si>
  <si>
    <t>09/15/1973</t>
  </si>
  <si>
    <t>08/23/1987</t>
  </si>
  <si>
    <t>08/06/1958</t>
  </si>
  <si>
    <t>06/02/1966</t>
  </si>
  <si>
    <t>03/08/1962</t>
  </si>
  <si>
    <t>04/08/1979</t>
  </si>
  <si>
    <t>09/11/1991</t>
  </si>
  <si>
    <t>05/15/1986</t>
  </si>
  <si>
    <t>04/21/1974</t>
  </si>
  <si>
    <t>05/25/1985</t>
  </si>
  <si>
    <t>12/29/1993</t>
  </si>
  <si>
    <t>12/28/1988</t>
  </si>
  <si>
    <t>04/30/1976</t>
  </si>
  <si>
    <t>09/19/1958</t>
  </si>
  <si>
    <t>06/29/1939</t>
  </si>
  <si>
    <t>01/07/1983</t>
  </si>
  <si>
    <t>10/25/1963</t>
  </si>
  <si>
    <t>12/20/1952</t>
  </si>
  <si>
    <t>11/21/1966</t>
  </si>
  <si>
    <t>10/12/1998</t>
  </si>
  <si>
    <t>02/15/1947</t>
  </si>
  <si>
    <t>08/18/1965</t>
  </si>
  <si>
    <t>01/21/1979</t>
  </si>
  <si>
    <t>11/10/1931</t>
  </si>
  <si>
    <t>04/24/1965</t>
  </si>
  <si>
    <t>03/11/1944</t>
  </si>
  <si>
    <t>07/23/1995</t>
  </si>
  <si>
    <t>09/23/1993</t>
  </si>
  <si>
    <t>04/14/1954</t>
  </si>
  <si>
    <t>06/15/1960</t>
  </si>
  <si>
    <t>06/04/1955</t>
  </si>
  <si>
    <t>09/08/1971</t>
  </si>
  <si>
    <t>08/19/1937</t>
  </si>
  <si>
    <t>11/12/1985</t>
  </si>
  <si>
    <t>03/16/1975</t>
  </si>
  <si>
    <t>12/22/1986</t>
  </si>
  <si>
    <t>11/24/1985</t>
  </si>
  <si>
    <t>08/18/1994</t>
  </si>
  <si>
    <t>06/10/1977</t>
  </si>
  <si>
    <t>12/27/1990</t>
  </si>
  <si>
    <t>06/17/1972</t>
  </si>
  <si>
    <t>03/03/1953</t>
  </si>
  <si>
    <t>11/06/1986</t>
  </si>
  <si>
    <t>03/21/1969</t>
  </si>
  <si>
    <t>09/29/1984</t>
  </si>
  <si>
    <t>04/13/1960</t>
  </si>
  <si>
    <t>10/25/1952</t>
  </si>
  <si>
    <t>01/11/1988</t>
  </si>
  <si>
    <t>08/03/1966</t>
  </si>
  <si>
    <t>07/31/1961</t>
  </si>
  <si>
    <t>03/12/1948</t>
  </si>
  <si>
    <t>07/28/1968</t>
  </si>
  <si>
    <t>03/29/1957</t>
  </si>
  <si>
    <t>07/11/1989</t>
  </si>
  <si>
    <t>10/15/1990</t>
  </si>
  <si>
    <t>08/24/1982</t>
  </si>
  <si>
    <t>02/08/1965</t>
  </si>
  <si>
    <t>06/12/1964</t>
  </si>
  <si>
    <t>03/05/1965</t>
  </si>
  <si>
    <t>11/25/1998</t>
  </si>
  <si>
    <t>05/25/1974</t>
  </si>
  <si>
    <t>10/03/1975</t>
  </si>
  <si>
    <t>07/26/1975</t>
  </si>
  <si>
    <t>11/29/1940</t>
  </si>
  <si>
    <t>11/06/1942</t>
  </si>
  <si>
    <t>07/13/1962</t>
  </si>
  <si>
    <t>04/16/1942</t>
  </si>
  <si>
    <t>08/21/1951</t>
  </si>
  <si>
    <t>01/22/1971</t>
  </si>
  <si>
    <t>03/17/1994</t>
  </si>
  <si>
    <t>08/17/1969</t>
  </si>
  <si>
    <t>11/18/1977</t>
  </si>
  <si>
    <t>10/26/1981</t>
  </si>
  <si>
    <t>10/26/1971</t>
  </si>
  <si>
    <t>08/01/1968</t>
  </si>
  <si>
    <t>11/11/1983</t>
  </si>
  <si>
    <t>12/05/1949</t>
  </si>
  <si>
    <t>12/09/1961</t>
  </si>
  <si>
    <t>11/16/1960</t>
  </si>
  <si>
    <t>02/10/1972</t>
  </si>
  <si>
    <t>07/03/1956</t>
  </si>
  <si>
    <t>04/22/1950</t>
  </si>
  <si>
    <t>03/01/1993</t>
  </si>
  <si>
    <t>09/16/1981</t>
  </si>
  <si>
    <t>05/20/1989</t>
  </si>
  <si>
    <t>05/13/1980</t>
  </si>
  <si>
    <t>12/29/1985</t>
  </si>
  <si>
    <t>04/02/1969</t>
  </si>
  <si>
    <t>11/27/1995</t>
  </si>
  <si>
    <t>06/23/1949</t>
  </si>
  <si>
    <t>12/26/1992</t>
  </si>
  <si>
    <t>04/30/1980</t>
  </si>
  <si>
    <t>10/08/1968</t>
  </si>
  <si>
    <t>07/04/1964</t>
  </si>
  <si>
    <t>06/28/1977</t>
  </si>
  <si>
    <t>11/08/1961</t>
  </si>
  <si>
    <t>10/11/1972</t>
  </si>
  <si>
    <t>04/10/1955</t>
  </si>
  <si>
    <t>12/14/1956</t>
  </si>
  <si>
    <t>06/27/1993</t>
  </si>
  <si>
    <t>01/16/1998</t>
  </si>
  <si>
    <t>09/23/1974</t>
  </si>
  <si>
    <t>09/15/1961</t>
  </si>
  <si>
    <t>05/18/1967</t>
  </si>
  <si>
    <t>10/05/2000</t>
  </si>
  <si>
    <t>11/27/1951</t>
  </si>
  <si>
    <t>03/22/1959</t>
  </si>
  <si>
    <t>06/27/1954</t>
  </si>
  <si>
    <t>08/15/1953</t>
  </si>
  <si>
    <t>01/11/1994</t>
  </si>
  <si>
    <t>02/11/1982</t>
  </si>
  <si>
    <t>11/19/1988</t>
  </si>
  <si>
    <t>09/11/1975</t>
  </si>
  <si>
    <t>01/31/1989</t>
  </si>
  <si>
    <t>02/23/1968</t>
  </si>
  <si>
    <t>02/01/1989</t>
  </si>
  <si>
    <t>01/26/1956</t>
  </si>
  <si>
    <t>07/23/1960</t>
  </si>
  <si>
    <t>05/08/1967</t>
  </si>
  <si>
    <t>03/22/1951</t>
  </si>
  <si>
    <t>09/04/1962</t>
  </si>
  <si>
    <t>03/18/1951</t>
  </si>
  <si>
    <t>05/19/1969</t>
  </si>
  <si>
    <t>12/20/1984</t>
  </si>
  <si>
    <t>12/25/1960</t>
  </si>
  <si>
    <t>06/12/1977</t>
  </si>
  <si>
    <t>09/02/1986</t>
  </si>
  <si>
    <t>04/22/1962</t>
  </si>
  <si>
    <t>11/23/1958</t>
  </si>
  <si>
    <t>05/19/1989</t>
  </si>
  <si>
    <t>02/02/1953</t>
  </si>
  <si>
    <t>02/17/1991</t>
  </si>
  <si>
    <t>01/17/1957</t>
  </si>
  <si>
    <t>07/02/1962</t>
  </si>
  <si>
    <t>10/01/1961</t>
  </si>
  <si>
    <t>06/23/1977</t>
  </si>
  <si>
    <t>03/08/1974</t>
  </si>
  <si>
    <t>06/24/1966</t>
  </si>
  <si>
    <t>02/05/1960</t>
  </si>
  <si>
    <t>01/29/1960</t>
  </si>
  <si>
    <t>09/22/1988</t>
  </si>
  <si>
    <t>03/14/1955</t>
  </si>
  <si>
    <t>09/22/1986</t>
  </si>
  <si>
    <t>04/20/1966</t>
  </si>
  <si>
    <t>06/11/1945</t>
  </si>
  <si>
    <t>11/14/1953</t>
  </si>
  <si>
    <t>12/31/1977</t>
  </si>
  <si>
    <t>12/21/1960</t>
  </si>
  <si>
    <t>03/01/1962</t>
  </si>
  <si>
    <t>10/04/1961</t>
  </si>
  <si>
    <t>08/23/1948</t>
  </si>
  <si>
    <t>11/26/1945</t>
  </si>
  <si>
    <t>01/02/1970</t>
  </si>
  <si>
    <t>06/18/1965</t>
  </si>
  <si>
    <t>04/06/1964</t>
  </si>
  <si>
    <t>02/18/1972</t>
  </si>
  <si>
    <t>04/24/1946</t>
  </si>
  <si>
    <t>11/18/1951</t>
  </si>
  <si>
    <t>08/13/1987</t>
  </si>
  <si>
    <t>07/31/1946</t>
  </si>
  <si>
    <t>10/22/1961</t>
  </si>
  <si>
    <t>12/05/1984</t>
  </si>
  <si>
    <t>05/23/1949</t>
  </si>
  <si>
    <t>05/17/1972</t>
  </si>
  <si>
    <t>07/05/1935</t>
  </si>
  <si>
    <t>05/11/1987</t>
  </si>
  <si>
    <t>10/09/1974</t>
  </si>
  <si>
    <t>02/14/1945</t>
  </si>
  <si>
    <t>10/17/1958</t>
  </si>
  <si>
    <t>02/17/1971</t>
  </si>
  <si>
    <t>01/19/1946</t>
  </si>
  <si>
    <t>04/30/1981</t>
  </si>
  <si>
    <t>05/07/2014</t>
  </si>
  <si>
    <t>01/24/1975</t>
  </si>
  <si>
    <t>11/15/1984</t>
  </si>
  <si>
    <t>12/09/1989</t>
  </si>
  <si>
    <t>06/15/1952</t>
  </si>
  <si>
    <t>01/01/1923</t>
  </si>
  <si>
    <t>11/02/1977</t>
  </si>
  <si>
    <t>10/11/1954</t>
  </si>
  <si>
    <t>10/25/1957</t>
  </si>
  <si>
    <t>08/11/1974</t>
  </si>
  <si>
    <t>08/26/1961</t>
  </si>
  <si>
    <t>12/20/1946</t>
  </si>
  <si>
    <t>12/22/1974</t>
  </si>
  <si>
    <t>12/13/1949</t>
  </si>
  <si>
    <t>08/02/2000</t>
  </si>
  <si>
    <t>11/30/1970</t>
  </si>
  <si>
    <t>08/16/1988</t>
  </si>
  <si>
    <t>11/29/1975</t>
  </si>
  <si>
    <t>07/19/1969</t>
  </si>
  <si>
    <t>09/30/1992</t>
  </si>
  <si>
    <t>06/10/1991</t>
  </si>
  <si>
    <t>05/29/1984</t>
  </si>
  <si>
    <t>12/12/2007</t>
  </si>
  <si>
    <t>07/10/1982</t>
  </si>
  <si>
    <t>09/15/1945</t>
  </si>
  <si>
    <t>02/27/1981</t>
  </si>
  <si>
    <t>02/01/1947</t>
  </si>
  <si>
    <t>05/21/1958</t>
  </si>
  <si>
    <t>06/11/1989</t>
  </si>
  <si>
    <t>06/03/1986</t>
  </si>
  <si>
    <t>12/12/1945</t>
  </si>
  <si>
    <t>07/10/1965</t>
  </si>
  <si>
    <t>02/05/1975</t>
  </si>
  <si>
    <t>05/09/1961</t>
  </si>
  <si>
    <t>07/14/1977</t>
  </si>
  <si>
    <t>08/17/1999</t>
  </si>
  <si>
    <t>10/22/1987</t>
  </si>
  <si>
    <t>12/24/1974</t>
  </si>
  <si>
    <t>11/18/2004</t>
  </si>
  <si>
    <t>06/30/1960</t>
  </si>
  <si>
    <t>01/27/1986</t>
  </si>
  <si>
    <t>12/10/1954</t>
  </si>
  <si>
    <t>08/20/1969</t>
  </si>
  <si>
    <t>09/29/1964</t>
  </si>
  <si>
    <t>10/22/1988</t>
  </si>
  <si>
    <t>12/11/1955</t>
  </si>
  <si>
    <t>08/02/1980</t>
  </si>
  <si>
    <t>05/07/1989</t>
  </si>
  <si>
    <t>05/30/1954</t>
  </si>
  <si>
    <t>08/17/1953</t>
  </si>
  <si>
    <t>09/16/1966</t>
  </si>
  <si>
    <t>12/04/1964</t>
  </si>
  <si>
    <t>03/28/1955</t>
  </si>
  <si>
    <t>06/04/1984</t>
  </si>
  <si>
    <t>03/17/1984</t>
  </si>
  <si>
    <t>01/29/2007</t>
  </si>
  <si>
    <t>01/30/1989</t>
  </si>
  <si>
    <t>02/24/1952</t>
  </si>
  <si>
    <t>01/15/1951</t>
  </si>
  <si>
    <t>07/10/1957</t>
  </si>
  <si>
    <t>07/02/1978</t>
  </si>
  <si>
    <t>04/19/1992</t>
  </si>
  <si>
    <t>01/16/1978</t>
  </si>
  <si>
    <t>01/27/1973</t>
  </si>
  <si>
    <t>09/22/1992</t>
  </si>
  <si>
    <t>09/11/1982</t>
  </si>
  <si>
    <t>11/17/1927</t>
  </si>
  <si>
    <t>03/07/1940</t>
  </si>
  <si>
    <t>05/31/1985</t>
  </si>
  <si>
    <t>04/12/1982</t>
  </si>
  <si>
    <t>07/09/1932</t>
  </si>
  <si>
    <t>05/03/1953</t>
  </si>
  <si>
    <t>01/31/1936</t>
  </si>
  <si>
    <t>10/15/1969</t>
  </si>
  <si>
    <t>08/05/1978</t>
  </si>
  <si>
    <t>10/17/1989</t>
  </si>
  <si>
    <t>05/28/1952</t>
  </si>
  <si>
    <t>02/27/1959</t>
  </si>
  <si>
    <t>09/26/2004</t>
  </si>
  <si>
    <t>05/06/1969</t>
  </si>
  <si>
    <t>05/19/1978</t>
  </si>
  <si>
    <t>08/23/1991</t>
  </si>
  <si>
    <t>08/27/1990</t>
  </si>
  <si>
    <t>02/04/1958</t>
  </si>
  <si>
    <t>06/17/1988</t>
  </si>
  <si>
    <t>07/07/2001</t>
  </si>
  <si>
    <t>09/02/1948</t>
  </si>
  <si>
    <t>11/04/1975</t>
  </si>
  <si>
    <t>02/25/1974</t>
  </si>
  <si>
    <t>12/15/1992</t>
  </si>
  <si>
    <t>03/05/1990</t>
  </si>
  <si>
    <t>06/08/1949</t>
  </si>
  <si>
    <t>02/21/1970</t>
  </si>
  <si>
    <t>04/08/1984</t>
  </si>
  <si>
    <t>08/27/1974</t>
  </si>
  <si>
    <t>05/17/1981</t>
  </si>
  <si>
    <t>07/07/1983</t>
  </si>
  <si>
    <t>02/07/1992</t>
  </si>
  <si>
    <t>10/15/1978</t>
  </si>
  <si>
    <t>03/25/1958</t>
  </si>
  <si>
    <t>05/24/2003</t>
  </si>
  <si>
    <t>09/05/1993</t>
  </si>
  <si>
    <t>06/14/1965</t>
  </si>
  <si>
    <t>08/29/1974</t>
  </si>
  <si>
    <t>06/20/1979</t>
  </si>
  <si>
    <t>06/13/1989</t>
  </si>
  <si>
    <t>08/05/1942</t>
  </si>
  <si>
    <t>12/18/1982</t>
  </si>
  <si>
    <t>09/20/1989</t>
  </si>
  <si>
    <t>03/07/1974</t>
  </si>
  <si>
    <t>10/08/1967</t>
  </si>
  <si>
    <t>10/29/1953</t>
  </si>
  <si>
    <t>07/14/1984</t>
  </si>
  <si>
    <t>11/20/1962</t>
  </si>
  <si>
    <t>10/01/1955</t>
  </si>
  <si>
    <t>04/01/1988</t>
  </si>
  <si>
    <t>05/06/1964</t>
  </si>
  <si>
    <t>06/10/1983</t>
  </si>
  <si>
    <t>12/25/1983</t>
  </si>
  <si>
    <t>06/27/1977</t>
  </si>
  <si>
    <t>02/23/1948</t>
  </si>
  <si>
    <t>10/02/1969</t>
  </si>
  <si>
    <t>06/03/1942</t>
  </si>
  <si>
    <t>04/29/1959</t>
  </si>
  <si>
    <t>09/27/2012</t>
  </si>
  <si>
    <t>09/25/1960</t>
  </si>
  <si>
    <t>11/27/1980</t>
  </si>
  <si>
    <t>04/28/1949</t>
  </si>
  <si>
    <t>06/12/1959</t>
  </si>
  <si>
    <t>09/07/1969</t>
  </si>
  <si>
    <t>02/10/1961</t>
  </si>
  <si>
    <t>01/28/1992</t>
  </si>
  <si>
    <t>04/21/1995</t>
  </si>
  <si>
    <t>08/05/1959</t>
  </si>
  <si>
    <t>04/17/1963</t>
  </si>
  <si>
    <t>10/14/1944</t>
  </si>
  <si>
    <t>09/02/1989</t>
  </si>
  <si>
    <t>08/13/1997</t>
  </si>
  <si>
    <t>10/09/1990</t>
  </si>
  <si>
    <t>11/30/1987</t>
  </si>
  <si>
    <t>03/28/1984</t>
  </si>
  <si>
    <t>01/22/2002</t>
  </si>
  <si>
    <t>09/17/1980</t>
  </si>
  <si>
    <t>10/27/1943</t>
  </si>
  <si>
    <t>12/06/1958</t>
  </si>
  <si>
    <t>11/29/1948</t>
  </si>
  <si>
    <t>06/14/1992</t>
  </si>
  <si>
    <t>06/08/1986</t>
  </si>
  <si>
    <t>09/16/1971</t>
  </si>
  <si>
    <t>02/02/1994</t>
  </si>
  <si>
    <t>04/09/1972</t>
  </si>
  <si>
    <t>11/23/1985</t>
  </si>
  <si>
    <t>06/12/1973</t>
  </si>
  <si>
    <t>11/25/1963</t>
  </si>
  <si>
    <t>12/22/1964</t>
  </si>
  <si>
    <t>06/20/1976</t>
  </si>
  <si>
    <t>03/07/1949</t>
  </si>
  <si>
    <t>07/02/1973</t>
  </si>
  <si>
    <t>11/15/1982</t>
  </si>
  <si>
    <t>05/24/1961</t>
  </si>
  <si>
    <t>11/18/1978</t>
  </si>
  <si>
    <t>09/23/1959</t>
  </si>
  <si>
    <t>11/27/1976</t>
  </si>
  <si>
    <t>08/20/1992</t>
  </si>
  <si>
    <t>01/18/2000</t>
  </si>
  <si>
    <t>07/30/1994</t>
  </si>
  <si>
    <t>08/06/1951</t>
  </si>
  <si>
    <t>08/24/1990</t>
  </si>
  <si>
    <t>10/09/1959</t>
  </si>
  <si>
    <t>08/14/1951</t>
  </si>
  <si>
    <t>09/29/1958</t>
  </si>
  <si>
    <t>01/24/1967</t>
  </si>
  <si>
    <t>06/12/1966</t>
  </si>
  <si>
    <t>05/09/1948</t>
  </si>
  <si>
    <t>05/02/1959</t>
  </si>
  <si>
    <t>09/29/1985</t>
  </si>
  <si>
    <t>09/28/1950</t>
  </si>
  <si>
    <t>10/01/1992</t>
  </si>
  <si>
    <t>09/13/2002</t>
  </si>
  <si>
    <t>08/29/1959</t>
  </si>
  <si>
    <t>05/10/1975</t>
  </si>
  <si>
    <t>05/26/1991</t>
  </si>
  <si>
    <t>07/14/1971</t>
  </si>
  <si>
    <t>07/02/1994</t>
  </si>
  <si>
    <t>05/02/1957</t>
  </si>
  <si>
    <t>10/11/1976</t>
  </si>
  <si>
    <t>05/22/1988</t>
  </si>
  <si>
    <t>07/27/2009</t>
  </si>
  <si>
    <t>05/06/1967</t>
  </si>
  <si>
    <t>11/02/1983</t>
  </si>
  <si>
    <t>05/18/2007</t>
  </si>
  <si>
    <t>11/26/1962</t>
  </si>
  <si>
    <t>11/26/1968</t>
  </si>
  <si>
    <t>01/03/1942</t>
  </si>
  <si>
    <t>05/17/1951</t>
  </si>
  <si>
    <t>02/07/1972</t>
  </si>
  <si>
    <t>02/02/1967</t>
  </si>
  <si>
    <t>01/09/1973</t>
  </si>
  <si>
    <t>06/14/1996</t>
  </si>
  <si>
    <t>07/31/1984</t>
  </si>
  <si>
    <t>12/17/1958</t>
  </si>
  <si>
    <t>01/18/1978</t>
  </si>
  <si>
    <t>10/27/1983</t>
  </si>
  <si>
    <t>08/04/1972</t>
  </si>
  <si>
    <t>09/24/1981</t>
  </si>
  <si>
    <t>06/25/1984</t>
  </si>
  <si>
    <t>11/21/1973</t>
  </si>
  <si>
    <t>02/22/1954</t>
  </si>
  <si>
    <t>12/09/1960</t>
  </si>
  <si>
    <t>11/20/1981</t>
  </si>
  <si>
    <t>02/14/1987</t>
  </si>
  <si>
    <t>12/29/1974</t>
  </si>
  <si>
    <t>08/14/1986</t>
  </si>
  <si>
    <t>01/12/1961</t>
  </si>
  <si>
    <t>05/18/2001</t>
  </si>
  <si>
    <t>12/10/1995</t>
  </si>
  <si>
    <t>11/05/1992</t>
  </si>
  <si>
    <t>06/02/1964</t>
  </si>
  <si>
    <t>05/10/1952</t>
  </si>
  <si>
    <t>10/13/1960</t>
  </si>
  <si>
    <t>03/26/1940</t>
  </si>
  <si>
    <t>07/06/1977</t>
  </si>
  <si>
    <t>05/01/1951</t>
  </si>
  <si>
    <t>10/07/1954</t>
  </si>
  <si>
    <t>03/28/1974</t>
  </si>
  <si>
    <t>01/16/1963</t>
  </si>
  <si>
    <t>01/23/1959</t>
  </si>
  <si>
    <t>04/06/1984</t>
  </si>
  <si>
    <t>01/21/1992</t>
  </si>
  <si>
    <t>01/27/2001</t>
  </si>
  <si>
    <t>05/04/1968</t>
  </si>
  <si>
    <t>02/10/1940</t>
  </si>
  <si>
    <t>06/15/1973</t>
  </si>
  <si>
    <t>07/13/1977</t>
  </si>
  <si>
    <t>12/01/1979</t>
  </si>
  <si>
    <t>02/09/1971</t>
  </si>
  <si>
    <t>10/27/2003</t>
  </si>
  <si>
    <t>05/16/1981</t>
  </si>
  <si>
    <t>01/21/1963</t>
  </si>
  <si>
    <t>02/22/1985</t>
  </si>
  <si>
    <t>01/23/1977</t>
  </si>
  <si>
    <t>11/15/1962</t>
  </si>
  <si>
    <t>02/05/1973</t>
  </si>
  <si>
    <t>08/24/1944</t>
  </si>
  <si>
    <t>02/02/1955</t>
  </si>
  <si>
    <t>04/02/1976</t>
  </si>
  <si>
    <t>04/21/1986</t>
  </si>
  <si>
    <t>12/17/1957</t>
  </si>
  <si>
    <t>10/08/1992</t>
  </si>
  <si>
    <t>10/14/1960</t>
  </si>
  <si>
    <t>04/28/1978</t>
  </si>
  <si>
    <t>03/04/1972</t>
  </si>
  <si>
    <t>03/25/1952</t>
  </si>
  <si>
    <t>03/27/1985</t>
  </si>
  <si>
    <t>04/29/1983</t>
  </si>
  <si>
    <t>06/11/1967</t>
  </si>
  <si>
    <t>01/06/1936</t>
  </si>
  <si>
    <t>02/19/2013</t>
  </si>
  <si>
    <t>02/02/1971</t>
  </si>
  <si>
    <t>05/26/1988</t>
  </si>
  <si>
    <t>06/05/1938</t>
  </si>
  <si>
    <t>11/05/1995</t>
  </si>
  <si>
    <t>09/02/1961</t>
  </si>
  <si>
    <t>09/20/1974</t>
  </si>
  <si>
    <t>01/22/1987</t>
  </si>
  <si>
    <t>03/13/1953</t>
  </si>
  <si>
    <t>05/28/1990</t>
  </si>
  <si>
    <t>04/11/1981</t>
  </si>
  <si>
    <t>05/15/1955</t>
  </si>
  <si>
    <t>10/08/1981</t>
  </si>
  <si>
    <t>03/18/1948</t>
  </si>
  <si>
    <t>04/29/1991</t>
  </si>
  <si>
    <t>08/22/1983</t>
  </si>
  <si>
    <t>01/22/1965</t>
  </si>
  <si>
    <t>04/25/1980</t>
  </si>
  <si>
    <t>07/12/1964</t>
  </si>
  <si>
    <t>03/21/1975</t>
  </si>
  <si>
    <t>03/14/1945</t>
  </si>
  <si>
    <t>10/28/1961</t>
  </si>
  <si>
    <t>05/24/1964</t>
  </si>
  <si>
    <t>02/08/1964</t>
  </si>
  <si>
    <t>03/26/1954</t>
  </si>
  <si>
    <t>12/02/1958</t>
  </si>
  <si>
    <t>10/07/1979</t>
  </si>
  <si>
    <t>04/07/1982</t>
  </si>
  <si>
    <t>01/19/1975</t>
  </si>
  <si>
    <t>05/30/1999</t>
  </si>
  <si>
    <t>07/04/1955</t>
  </si>
  <si>
    <t>08/09/1955</t>
  </si>
  <si>
    <t>02/09/1987</t>
  </si>
  <si>
    <t>11/08/1991</t>
  </si>
  <si>
    <t>05/07/1954</t>
  </si>
  <si>
    <t>06/23/2014</t>
  </si>
  <si>
    <t>06/29/1958</t>
  </si>
  <si>
    <t>03/30/1950</t>
  </si>
  <si>
    <t>06/22/1986</t>
  </si>
  <si>
    <t>10/16/1967</t>
  </si>
  <si>
    <t>06/22/1983</t>
  </si>
  <si>
    <t>06/25/1968</t>
  </si>
  <si>
    <t>08/05/1972</t>
  </si>
  <si>
    <t>05/18/1958</t>
  </si>
  <si>
    <t>02/22/1974</t>
  </si>
  <si>
    <t>10/12/1988</t>
  </si>
  <si>
    <t>06/17/1963</t>
  </si>
  <si>
    <t>02/24/1966</t>
  </si>
  <si>
    <t>03/21/2002</t>
  </si>
  <si>
    <t>03/30/1986</t>
  </si>
  <si>
    <t>01/11/1982</t>
  </si>
  <si>
    <t>11/21/1992</t>
  </si>
  <si>
    <t>01/25/1960</t>
  </si>
  <si>
    <t>04/25/1973</t>
  </si>
  <si>
    <t>09/12/1984</t>
  </si>
  <si>
    <t>09/26/1966</t>
  </si>
  <si>
    <t>01/01/1936</t>
  </si>
  <si>
    <t>01/26/1985</t>
  </si>
  <si>
    <t>05/22/1954</t>
  </si>
  <si>
    <t>06/11/1985</t>
  </si>
  <si>
    <t>10/29/1956</t>
  </si>
  <si>
    <t>12/10/1991</t>
  </si>
  <si>
    <t>03/21/1972</t>
  </si>
  <si>
    <t>04/17/1949</t>
  </si>
  <si>
    <t>09/07/1990</t>
  </si>
  <si>
    <t>05/19/1981</t>
  </si>
  <si>
    <t>07/08/1962</t>
  </si>
  <si>
    <t>10/05/1944</t>
  </si>
  <si>
    <t>06/04/1934</t>
  </si>
  <si>
    <t>07/28/1970</t>
  </si>
  <si>
    <t>04/03/1989</t>
  </si>
  <si>
    <t>05/15/1938</t>
  </si>
  <si>
    <t>08/10/1995</t>
  </si>
  <si>
    <t>02/19/1973</t>
  </si>
  <si>
    <t>04/21/1970</t>
  </si>
  <si>
    <t>12/12/2010</t>
  </si>
  <si>
    <t>11/20/1965</t>
  </si>
  <si>
    <t>05/07/1951</t>
  </si>
  <si>
    <t>02/01/1970</t>
  </si>
  <si>
    <t>05/02/2005</t>
  </si>
  <si>
    <t>01/10/1987</t>
  </si>
  <si>
    <t>09/14/2009</t>
  </si>
  <si>
    <t>04/18/1995</t>
  </si>
  <si>
    <t>04/18/1962</t>
  </si>
  <si>
    <t>09/13/1993</t>
  </si>
  <si>
    <t>07/27/1961</t>
  </si>
  <si>
    <t>12/07/1993</t>
  </si>
  <si>
    <t>09/24/1937</t>
  </si>
  <si>
    <t>07/23/1966</t>
  </si>
  <si>
    <t>04/13/1934</t>
  </si>
  <si>
    <t>06/15/1972</t>
  </si>
  <si>
    <t>03/29/1985</t>
  </si>
  <si>
    <t>04/03/1953</t>
  </si>
  <si>
    <t>05/11/1983</t>
  </si>
  <si>
    <t>11/30/1964</t>
  </si>
  <si>
    <t>02/28/1955</t>
  </si>
  <si>
    <t>12/06/1970</t>
  </si>
  <si>
    <t>01/28/1947</t>
  </si>
  <si>
    <t>05/08/1957</t>
  </si>
  <si>
    <t>09/06/1957</t>
  </si>
  <si>
    <t>04/11/1962</t>
  </si>
  <si>
    <t>07/25/1987</t>
  </si>
  <si>
    <t>09/25/1983</t>
  </si>
  <si>
    <t>10/21/1990</t>
  </si>
  <si>
    <t>06/03/1983</t>
  </si>
  <si>
    <t>08/22/1980</t>
  </si>
  <si>
    <t>10/01/1973</t>
  </si>
  <si>
    <t>05/26/1970</t>
  </si>
  <si>
    <t>09/01/1940</t>
  </si>
  <si>
    <t>06/25/1979</t>
  </si>
  <si>
    <t>03/13/1992</t>
  </si>
  <si>
    <t>04/28/1992</t>
  </si>
  <si>
    <t>10/20/1991</t>
  </si>
  <si>
    <t>01/16/1979</t>
  </si>
  <si>
    <t>07/06/1950</t>
  </si>
  <si>
    <t>09/04/1942</t>
  </si>
  <si>
    <t>12/31/1982</t>
  </si>
  <si>
    <t>05/10/1959</t>
  </si>
  <si>
    <t>07/25/1967</t>
  </si>
  <si>
    <t>09/17/1964</t>
  </si>
  <si>
    <t>08/21/1976</t>
  </si>
  <si>
    <t>12/23/1984</t>
  </si>
  <si>
    <t>05/31/1979</t>
  </si>
  <si>
    <t>08/11/1989</t>
  </si>
  <si>
    <t>04/12/2015</t>
  </si>
  <si>
    <t>11/26/1991</t>
  </si>
  <si>
    <t>10/03/1966</t>
  </si>
  <si>
    <t>04/20/2001</t>
  </si>
  <si>
    <t>08/18/1988</t>
  </si>
  <si>
    <t>04/15/1972</t>
  </si>
  <si>
    <t>08/27/1972</t>
  </si>
  <si>
    <t>08/23/1960</t>
  </si>
  <si>
    <t>09/04/1979</t>
  </si>
  <si>
    <t>04/11/1956</t>
  </si>
  <si>
    <t>11/13/1960</t>
  </si>
  <si>
    <t>08/22/1999</t>
  </si>
  <si>
    <t>08/02/1990</t>
  </si>
  <si>
    <t>09/03/1973</t>
  </si>
  <si>
    <t>04/22/1970</t>
  </si>
  <si>
    <t>04/11/1975</t>
  </si>
  <si>
    <t>01/17/1962</t>
  </si>
  <si>
    <t>10/23/1962</t>
  </si>
  <si>
    <t>01/10/1978</t>
  </si>
  <si>
    <t>03/13/1993</t>
  </si>
  <si>
    <t>03/23/1986</t>
  </si>
  <si>
    <t>06/25/2007</t>
  </si>
  <si>
    <t>04/25/1995</t>
  </si>
  <si>
    <t>10/19/1959</t>
  </si>
  <si>
    <t>12/15/1988</t>
  </si>
  <si>
    <t>07/26/1959</t>
  </si>
  <si>
    <t>07/18/1977</t>
  </si>
  <si>
    <t>12/14/2000</t>
  </si>
  <si>
    <t>08/16/1934</t>
  </si>
  <si>
    <t>01/02/1941</t>
  </si>
  <si>
    <t>04/02/1971</t>
  </si>
  <si>
    <t>06/25/1985</t>
  </si>
  <si>
    <t>05/10/1997</t>
  </si>
  <si>
    <t>03/29/1961</t>
  </si>
  <si>
    <t>07/22/1975</t>
  </si>
  <si>
    <t>11/07/1989</t>
  </si>
  <si>
    <t>07/27/1990</t>
  </si>
  <si>
    <t>09/05/1958</t>
  </si>
  <si>
    <t>06/10/1987</t>
  </si>
  <si>
    <t>08/30/1971</t>
  </si>
  <si>
    <t>09/24/1970</t>
  </si>
  <si>
    <t>01/16/1989</t>
  </si>
  <si>
    <t>03/18/1937</t>
  </si>
  <si>
    <t>12/14/1952</t>
  </si>
  <si>
    <t>05/07/2004</t>
  </si>
  <si>
    <t>04/15/1947</t>
  </si>
  <si>
    <t>11/29/1976</t>
  </si>
  <si>
    <t>01/30/1979</t>
  </si>
  <si>
    <t>01/13/1965</t>
  </si>
  <si>
    <t>03/09/1987</t>
  </si>
  <si>
    <t>02/15/1956</t>
  </si>
  <si>
    <t>12/07/1991</t>
  </si>
  <si>
    <t>08/29/1951</t>
  </si>
  <si>
    <t>01/29/1990</t>
  </si>
  <si>
    <t>06/12/1952</t>
  </si>
  <si>
    <t>09/27/1955</t>
  </si>
  <si>
    <t>07/20/1981</t>
  </si>
  <si>
    <t>02/25/1984</t>
  </si>
  <si>
    <t>07/07/1945</t>
  </si>
  <si>
    <t>11/10/1969</t>
  </si>
  <si>
    <t>03/13/1956</t>
  </si>
  <si>
    <t>10/05/1958</t>
  </si>
  <si>
    <t>05/20/1952</t>
  </si>
  <si>
    <t>01/15/1966</t>
  </si>
  <si>
    <t>01/28/1962</t>
  </si>
  <si>
    <t>05/29/1971</t>
  </si>
  <si>
    <t>05/04/1973</t>
  </si>
  <si>
    <t>04/29/2009</t>
  </si>
  <si>
    <t>06/16/1950</t>
  </si>
  <si>
    <t>06/01/1967</t>
  </si>
  <si>
    <t>06/11/1962</t>
  </si>
  <si>
    <t>07/17/1962</t>
  </si>
  <si>
    <t>12/01/1994</t>
  </si>
  <si>
    <t>01/31/1979</t>
  </si>
  <si>
    <t>09/30/1958</t>
  </si>
  <si>
    <t>01/19/1997</t>
  </si>
  <si>
    <t>08/19/1979</t>
  </si>
  <si>
    <t>03/14/1988</t>
  </si>
  <si>
    <t>12/01/1967</t>
  </si>
  <si>
    <t>03/16/1972</t>
  </si>
  <si>
    <t>06/05/1979</t>
  </si>
  <si>
    <t>03/15/1961</t>
  </si>
  <si>
    <t>04/04/1967</t>
  </si>
  <si>
    <t>09/23/1979</t>
  </si>
  <si>
    <t>02/16/1970</t>
  </si>
  <si>
    <t>04/05/1982</t>
  </si>
  <si>
    <t>08/06/1983</t>
  </si>
  <si>
    <t>03/31/1968</t>
  </si>
  <si>
    <t>05/15/1944</t>
  </si>
  <si>
    <t>10/03/1977</t>
  </si>
  <si>
    <t>09/01/1952</t>
  </si>
  <si>
    <t>08/20/1960</t>
  </si>
  <si>
    <t>04/10/1980</t>
  </si>
  <si>
    <t>01/22/1972</t>
  </si>
  <si>
    <t>01/17/1980</t>
  </si>
  <si>
    <t>10/18/1984</t>
  </si>
  <si>
    <t>04/17/1985</t>
  </si>
  <si>
    <t>11/22/1947</t>
  </si>
  <si>
    <t>08/28/1963</t>
  </si>
  <si>
    <t>08/12/1990</t>
  </si>
  <si>
    <t>11/23/1965</t>
  </si>
  <si>
    <t>03/15/1977</t>
  </si>
  <si>
    <t>01/05/1967</t>
  </si>
  <si>
    <t>05/14/1935</t>
  </si>
  <si>
    <t>05/09/1995</t>
  </si>
  <si>
    <t>01/01/1992</t>
  </si>
  <si>
    <t>03/25/1974</t>
  </si>
  <si>
    <t>04/10/1972</t>
  </si>
  <si>
    <t>02/29/1956</t>
  </si>
  <si>
    <t>11/16/1979</t>
  </si>
  <si>
    <t>01/18/1956</t>
  </si>
  <si>
    <t>03/06/1966</t>
  </si>
  <si>
    <t>06/28/1953</t>
  </si>
  <si>
    <t>06/19/1936</t>
  </si>
  <si>
    <t>04/14/1949</t>
  </si>
  <si>
    <t>03/06/1986</t>
  </si>
  <si>
    <t>06/19/1989</t>
  </si>
  <si>
    <t>12/01/1965</t>
  </si>
  <si>
    <t>08/16/1973</t>
  </si>
  <si>
    <t>07/30/2000</t>
  </si>
  <si>
    <t>06/14/1979</t>
  </si>
  <si>
    <t>09/13/1957</t>
  </si>
  <si>
    <t>07/15/1983</t>
  </si>
  <si>
    <t>12/26/1964</t>
  </si>
  <si>
    <t>02/26/1978</t>
  </si>
  <si>
    <t>06/29/1979</t>
  </si>
  <si>
    <t>09/24/1945</t>
  </si>
  <si>
    <t>12/20/1972</t>
  </si>
  <si>
    <t>11/07/1961</t>
  </si>
  <si>
    <t>10/23/1976</t>
  </si>
  <si>
    <t>02/21/1960</t>
  </si>
  <si>
    <t>01/25/1945</t>
  </si>
  <si>
    <t>02/17/1959</t>
  </si>
  <si>
    <t>11/21/1989</t>
  </si>
  <si>
    <t>11/10/1977</t>
  </si>
  <si>
    <t>05/30/1988</t>
  </si>
  <si>
    <t>01/25/1949</t>
  </si>
  <si>
    <t>01/13/1987</t>
  </si>
  <si>
    <t>04/08/1962</t>
  </si>
  <si>
    <t>09/26/2017</t>
  </si>
  <si>
    <t>09/01/1992</t>
  </si>
  <si>
    <t>09/12/1974</t>
  </si>
  <si>
    <t>05/02/1985</t>
  </si>
  <si>
    <t>07/20/1984</t>
  </si>
  <si>
    <t>10/06/1966</t>
  </si>
  <si>
    <t>04/13/1946</t>
  </si>
  <si>
    <t>02/21/1978</t>
  </si>
  <si>
    <t>01/23/1962</t>
  </si>
  <si>
    <t>03/04/1964</t>
  </si>
  <si>
    <t>10/14/2003</t>
  </si>
  <si>
    <t>05/06/1982</t>
  </si>
  <si>
    <t>05/10/1984</t>
  </si>
  <si>
    <t>06/07/1987</t>
  </si>
  <si>
    <t>07/26/1970</t>
  </si>
  <si>
    <t>08/22/2005</t>
  </si>
  <si>
    <t>09/29/1981</t>
  </si>
  <si>
    <t>05/09/1976</t>
  </si>
  <si>
    <t>03/04/1962</t>
  </si>
  <si>
    <t>06/06/1969</t>
  </si>
  <si>
    <t>09/01/1988</t>
  </si>
  <si>
    <t>07/03/1972</t>
  </si>
  <si>
    <t>05/04/1958</t>
  </si>
  <si>
    <t>03/08/1949</t>
  </si>
  <si>
    <t>01/01/1984</t>
  </si>
  <si>
    <t>10/22/2008</t>
  </si>
  <si>
    <t>10/26/1954</t>
  </si>
  <si>
    <t>12/10/1998</t>
  </si>
  <si>
    <t>11/27/1958</t>
  </si>
  <si>
    <t>02/26/1998</t>
  </si>
  <si>
    <t>01/25/1955</t>
  </si>
  <si>
    <t>03/07/1990</t>
  </si>
  <si>
    <t>12/15/1977</t>
  </si>
  <si>
    <t>11/26/1980</t>
  </si>
  <si>
    <t>10/01/1977</t>
  </si>
  <si>
    <t>03/24/1967</t>
  </si>
  <si>
    <t>10/09/1976</t>
  </si>
  <si>
    <t>05/23/1970</t>
  </si>
  <si>
    <t>08/03/1991</t>
  </si>
  <si>
    <t>05/31/1995</t>
  </si>
  <si>
    <t>05/12/1947</t>
  </si>
  <si>
    <t>12/03/1967</t>
  </si>
  <si>
    <t>11/07/1987</t>
  </si>
  <si>
    <t>09/05/1982</t>
  </si>
  <si>
    <t>03/25/1932</t>
  </si>
  <si>
    <t>06/30/1974</t>
  </si>
  <si>
    <t>02/25/1963</t>
  </si>
  <si>
    <t>09/30/1986</t>
  </si>
  <si>
    <t>02/06/1967</t>
  </si>
  <si>
    <t>01/02/2002</t>
  </si>
  <si>
    <t>03/27/1992</t>
  </si>
  <si>
    <t>01/06/1985</t>
  </si>
  <si>
    <t>11/17/1987</t>
  </si>
  <si>
    <t>11/29/1957</t>
  </si>
  <si>
    <t>08/30/1987</t>
  </si>
  <si>
    <t>05/29/2005</t>
  </si>
  <si>
    <t>12/14/1999</t>
  </si>
  <si>
    <t>12/12/2014</t>
  </si>
  <si>
    <t>12/19/1956</t>
  </si>
  <si>
    <t>01/30/1963</t>
  </si>
  <si>
    <t>06/11/1980</t>
  </si>
  <si>
    <t>05/01/1989</t>
  </si>
  <si>
    <t>03/22/2010</t>
  </si>
  <si>
    <t>01/08/1969</t>
  </si>
  <si>
    <t>02/14/1969</t>
  </si>
  <si>
    <t>05/08/1969</t>
  </si>
  <si>
    <t>12/09/1970</t>
  </si>
  <si>
    <t>09/19/2001</t>
  </si>
  <si>
    <t>03/15/1963</t>
  </si>
  <si>
    <t>07/17/1956</t>
  </si>
  <si>
    <t>02/16/1961</t>
  </si>
  <si>
    <t>05/13/1965</t>
  </si>
  <si>
    <t>02/06/1972</t>
  </si>
  <si>
    <t>09/01/1958</t>
  </si>
  <si>
    <t>10/01/1958</t>
  </si>
  <si>
    <t>06/26/1959</t>
  </si>
  <si>
    <t>09/06/1965</t>
  </si>
  <si>
    <t>02/12/1958</t>
  </si>
  <si>
    <t>03/02/1982</t>
  </si>
  <si>
    <t>02/13/1932</t>
  </si>
  <si>
    <t>11/17/1996</t>
  </si>
  <si>
    <t>06/25/1983</t>
  </si>
  <si>
    <t>10/19/2003</t>
  </si>
  <si>
    <t>03/21/1953</t>
  </si>
  <si>
    <t>01/19/1972</t>
  </si>
  <si>
    <t>04/25/1959</t>
  </si>
  <si>
    <t>01/20/1962</t>
  </si>
  <si>
    <t>02/22/1959</t>
  </si>
  <si>
    <t>10/31/1934</t>
  </si>
  <si>
    <t>01/21/1933</t>
  </si>
  <si>
    <t>09/12/1964</t>
  </si>
  <si>
    <t>09/20/1987</t>
  </si>
  <si>
    <t>02/13/1976</t>
  </si>
  <si>
    <t>01/07/1952</t>
  </si>
  <si>
    <t>07/24/1991</t>
  </si>
  <si>
    <t>09/07/1956</t>
  </si>
  <si>
    <t>08/31/1981</t>
  </si>
  <si>
    <t>07/16/1981</t>
  </si>
  <si>
    <t>09/26/1953</t>
  </si>
  <si>
    <t>03/30/1937</t>
  </si>
  <si>
    <t>02/17/1950</t>
  </si>
  <si>
    <t>07/27/1989</t>
  </si>
  <si>
    <t>01/01/1961</t>
  </si>
  <si>
    <t>06/19/1969</t>
  </si>
  <si>
    <t>09/08/1996</t>
  </si>
  <si>
    <t>03/31/1951</t>
  </si>
  <si>
    <t>03/25/1979</t>
  </si>
  <si>
    <t>11/21/1990</t>
  </si>
  <si>
    <t>08/01/1983</t>
  </si>
  <si>
    <t>09/30/1957</t>
  </si>
  <si>
    <t>02/12/1965</t>
  </si>
  <si>
    <t>12/23/1987</t>
  </si>
  <si>
    <t>12/26/1991</t>
  </si>
  <si>
    <t>04/24/1959</t>
  </si>
  <si>
    <t>11/09/1976</t>
  </si>
  <si>
    <t>05/29/2003</t>
  </si>
  <si>
    <t>02/16/1975</t>
  </si>
  <si>
    <t>01/03/1967</t>
  </si>
  <si>
    <t>12/07/2012</t>
  </si>
  <si>
    <t>04/02/1977</t>
  </si>
  <si>
    <t>01/18/1990</t>
  </si>
  <si>
    <t>07/31/1976</t>
  </si>
  <si>
    <t>09/23/1961</t>
  </si>
  <si>
    <t>11/12/1956</t>
  </si>
  <si>
    <t>07/25/1968</t>
  </si>
  <si>
    <t>07/27/1995</t>
  </si>
  <si>
    <t>09/20/1976</t>
  </si>
  <si>
    <t>02/10/1937</t>
  </si>
  <si>
    <t>04/28/1950</t>
  </si>
  <si>
    <t>05/12/1979</t>
  </si>
  <si>
    <t>06/17/1953</t>
  </si>
  <si>
    <t>03/11/1964</t>
  </si>
  <si>
    <t>09/20/1957</t>
  </si>
  <si>
    <t>07/06/1957</t>
  </si>
  <si>
    <t>05/20/1976</t>
  </si>
  <si>
    <t>08/01/1988</t>
  </si>
  <si>
    <t>10/13/1939</t>
  </si>
  <si>
    <t>06/01/1960</t>
  </si>
  <si>
    <t>12/26/1949</t>
  </si>
  <si>
    <t>01/08/1983</t>
  </si>
  <si>
    <t>10/04/1997</t>
  </si>
  <si>
    <t>07/01/1968</t>
  </si>
  <si>
    <t>07/10/2001</t>
  </si>
  <si>
    <t>03/02/1974</t>
  </si>
  <si>
    <t>04/07/1992</t>
  </si>
  <si>
    <t>12/23/1967</t>
  </si>
  <si>
    <t>04/24/1975</t>
  </si>
  <si>
    <t>11/01/1960</t>
  </si>
  <si>
    <t>10/09/1980</t>
  </si>
  <si>
    <t>12/31/1986</t>
  </si>
  <si>
    <t>06/22/1947</t>
  </si>
  <si>
    <t>02/08/1958</t>
  </si>
  <si>
    <t>10/07/1964</t>
  </si>
  <si>
    <t>09/30/1993</t>
  </si>
  <si>
    <t>09/01/1981</t>
  </si>
  <si>
    <t>06/21/1962</t>
  </si>
  <si>
    <t>11/21/1965</t>
  </si>
  <si>
    <t>03/22/1993</t>
  </si>
  <si>
    <t>05/17/1950</t>
  </si>
  <si>
    <t>02/26/1992</t>
  </si>
  <si>
    <t>03/21/1964</t>
  </si>
  <si>
    <t>07/21/1977</t>
  </si>
  <si>
    <t>12/27/1978</t>
  </si>
  <si>
    <t>12/28/1942</t>
  </si>
  <si>
    <t>01/15/1944</t>
  </si>
  <si>
    <t>03/20/1964</t>
  </si>
  <si>
    <t>12/16/1970</t>
  </si>
  <si>
    <t>12/24/1986</t>
  </si>
  <si>
    <t>04/06/1971</t>
  </si>
  <si>
    <t>04/16/1950</t>
  </si>
  <si>
    <t>08/02/1953</t>
  </si>
  <si>
    <t>01/02/1955</t>
  </si>
  <si>
    <t>10/15/1959</t>
  </si>
  <si>
    <t>01/02/1972</t>
  </si>
  <si>
    <t>01/19/1967</t>
  </si>
  <si>
    <t>03/19/1980</t>
  </si>
  <si>
    <t>12/20/1979</t>
  </si>
  <si>
    <t>01/08/1977</t>
  </si>
  <si>
    <t>02/01/1969</t>
  </si>
  <si>
    <t>01/20/1967</t>
  </si>
  <si>
    <t>03/03/1968</t>
  </si>
  <si>
    <t>06/10/1958</t>
  </si>
  <si>
    <t>08/12/1994</t>
  </si>
  <si>
    <t>09/20/1994</t>
  </si>
  <si>
    <t>12/21/1994</t>
  </si>
  <si>
    <t>02/10/1948</t>
  </si>
  <si>
    <t>11/11/1980</t>
  </si>
  <si>
    <t>12/21/1944</t>
  </si>
  <si>
    <t>09/02/1995</t>
  </si>
  <si>
    <t>06/11/1977</t>
  </si>
  <si>
    <t>11/09/1951</t>
  </si>
  <si>
    <t>07/12/1986</t>
  </si>
  <si>
    <t>12/03/1979</t>
  </si>
  <si>
    <t>04/14/1957</t>
  </si>
  <si>
    <t>06/04/1998</t>
  </si>
  <si>
    <t>12/29/1948</t>
  </si>
  <si>
    <t>05/10/1993</t>
  </si>
  <si>
    <t>11/09/1984</t>
  </si>
  <si>
    <t>05/27/1954</t>
  </si>
  <si>
    <t>05/25/1976</t>
  </si>
  <si>
    <t>05/29/1965</t>
  </si>
  <si>
    <t>12/15/1950</t>
  </si>
  <si>
    <t>12/06/1945</t>
  </si>
  <si>
    <t>05/16/1948</t>
  </si>
  <si>
    <t>06/16/1965</t>
  </si>
  <si>
    <t>06/11/1950</t>
  </si>
  <si>
    <t>10/26/1982</t>
  </si>
  <si>
    <t>08/23/1980</t>
  </si>
  <si>
    <t>03/21/1985</t>
  </si>
  <si>
    <t>12/04/1979</t>
  </si>
  <si>
    <t>05/09/1971</t>
  </si>
  <si>
    <t>07/26/1967</t>
  </si>
  <si>
    <t>12/08/1962</t>
  </si>
  <si>
    <t>02/26/1962</t>
  </si>
  <si>
    <t>01/25/1985</t>
  </si>
  <si>
    <t>05/14/1960</t>
  </si>
  <si>
    <t>06/09/1955</t>
  </si>
  <si>
    <t>01/12/1973</t>
  </si>
  <si>
    <t>02/01/1991</t>
  </si>
  <si>
    <t>07/11/1986</t>
  </si>
  <si>
    <t>12/07/1999</t>
  </si>
  <si>
    <t>07/19/1982</t>
  </si>
  <si>
    <t>05/31/1987</t>
  </si>
  <si>
    <t>10/25/1969</t>
  </si>
  <si>
    <t>03/29/1956</t>
  </si>
  <si>
    <t>02/18/1966</t>
  </si>
  <si>
    <t>07/13/1973</t>
  </si>
  <si>
    <t>01/07/1965</t>
  </si>
  <si>
    <t>06/02/1961</t>
  </si>
  <si>
    <t>04/22/1987</t>
  </si>
  <si>
    <t>09/10/1988</t>
  </si>
  <si>
    <t>12/11/1968</t>
  </si>
  <si>
    <t>04/13/1993</t>
  </si>
  <si>
    <t>01/27/1942</t>
  </si>
  <si>
    <t>01/28/1989</t>
  </si>
  <si>
    <t>06/22/1984</t>
  </si>
  <si>
    <t>05/19/1966</t>
  </si>
  <si>
    <t>10/03/1978</t>
  </si>
  <si>
    <t>10/22/1964</t>
  </si>
  <si>
    <t>09/26/1954</t>
  </si>
  <si>
    <t>07/02/1960</t>
  </si>
  <si>
    <t>11/25/1983</t>
  </si>
  <si>
    <t>03/22/1938</t>
  </si>
  <si>
    <t>12/11/1987</t>
  </si>
  <si>
    <t>10/22/1984</t>
  </si>
  <si>
    <t>09/25/1984</t>
  </si>
  <si>
    <t>01/14/1992</t>
  </si>
  <si>
    <t>03/12/1982</t>
  </si>
  <si>
    <t>11/17/1980</t>
  </si>
  <si>
    <t>06/11/1984</t>
  </si>
  <si>
    <t>10/14/1958</t>
  </si>
  <si>
    <t>03/18/1962</t>
  </si>
  <si>
    <t>09/05/1975</t>
  </si>
  <si>
    <t>04/20/1957</t>
  </si>
  <si>
    <t>01/18/1961</t>
  </si>
  <si>
    <t>07/04/1978</t>
  </si>
  <si>
    <t>06/02/1985</t>
  </si>
  <si>
    <t>12/12/1960</t>
  </si>
  <si>
    <t>11/25/1964</t>
  </si>
  <si>
    <t>05/26/1961</t>
  </si>
  <si>
    <t>05/01/1942</t>
  </si>
  <si>
    <t>07/19/1945</t>
  </si>
  <si>
    <t>08/17/1954</t>
  </si>
  <si>
    <t>09/16/1961</t>
  </si>
  <si>
    <t>09/12/1990</t>
  </si>
  <si>
    <t>09/10/1957</t>
  </si>
  <si>
    <t>08/05/1957</t>
  </si>
  <si>
    <t>08/15/1941</t>
  </si>
  <si>
    <t>11/29/1956</t>
  </si>
  <si>
    <t>03/25/1957</t>
  </si>
  <si>
    <t>06/27/1960</t>
  </si>
  <si>
    <t>10/19/1941</t>
  </si>
  <si>
    <t>01/20/1973</t>
  </si>
  <si>
    <t>09/01/1938</t>
  </si>
  <si>
    <t>02/23/1970</t>
  </si>
  <si>
    <t>02/17/1974</t>
  </si>
  <si>
    <t>05/28/1960</t>
  </si>
  <si>
    <t>05/23/1990</t>
  </si>
  <si>
    <t>06/07/1960</t>
  </si>
  <si>
    <t>08/04/1962</t>
  </si>
  <si>
    <t>09/11/2002</t>
  </si>
  <si>
    <t>10/19/1992</t>
  </si>
  <si>
    <t>06/07/1986</t>
  </si>
  <si>
    <t>04/05/1940</t>
  </si>
  <si>
    <t>02/04/1991</t>
  </si>
  <si>
    <t>10/01/1956</t>
  </si>
  <si>
    <t>09/11/1984</t>
  </si>
  <si>
    <t>03/25/1975</t>
  </si>
  <si>
    <t>08/09/1973</t>
  </si>
  <si>
    <t>11/13/1982</t>
  </si>
  <si>
    <t>11/04/1987</t>
  </si>
  <si>
    <t>04/06/1943</t>
  </si>
  <si>
    <t>12/31/1990</t>
  </si>
  <si>
    <t>09/28/1933</t>
  </si>
  <si>
    <t>01/12/2011</t>
  </si>
  <si>
    <t>04/08/1968</t>
  </si>
  <si>
    <t>12/24/1953</t>
  </si>
  <si>
    <t>01/16/1948</t>
  </si>
  <si>
    <t>12/24/1972</t>
  </si>
  <si>
    <t>02/27/1974</t>
  </si>
  <si>
    <t>04/03/1988</t>
  </si>
  <si>
    <t>05/17/1965</t>
  </si>
  <si>
    <t>08/17/1963</t>
  </si>
  <si>
    <t>04/20/1971</t>
  </si>
  <si>
    <t>10/21/1984</t>
  </si>
  <si>
    <t>06/29/1977</t>
  </si>
  <si>
    <t>07/31/1975</t>
  </si>
  <si>
    <t>05/22/1947</t>
  </si>
  <si>
    <t>10/03/2008</t>
  </si>
  <si>
    <t>07/18/1937</t>
  </si>
  <si>
    <t>01/27/1976</t>
  </si>
  <si>
    <t>12/10/1979</t>
  </si>
  <si>
    <t>11/11/1957</t>
  </si>
  <si>
    <t>01/05/1995</t>
  </si>
  <si>
    <t>05/16/1967</t>
  </si>
  <si>
    <t>08/05/1976</t>
  </si>
  <si>
    <t>10/04/1945</t>
  </si>
  <si>
    <t>07/01/1994</t>
  </si>
  <si>
    <t>08/17/2008</t>
  </si>
  <si>
    <t>05/31/1920</t>
  </si>
  <si>
    <t>11/30/1972</t>
  </si>
  <si>
    <t>09/09/1962</t>
  </si>
  <si>
    <t>03/09/1988</t>
  </si>
  <si>
    <t>10/24/1977</t>
  </si>
  <si>
    <t>05/02/2008</t>
  </si>
  <si>
    <t>11/15/1964</t>
  </si>
  <si>
    <t>09/01/2008</t>
  </si>
  <si>
    <t>11/25/1965</t>
  </si>
  <si>
    <t>03/19/1964</t>
  </si>
  <si>
    <t>11/17/1983</t>
  </si>
  <si>
    <t>11/16/1989</t>
  </si>
  <si>
    <t>11/06/2015</t>
  </si>
  <si>
    <t>03/19/2019</t>
  </si>
  <si>
    <t>09/20/1965</t>
  </si>
  <si>
    <t>01/02/1966</t>
  </si>
  <si>
    <t>08/06/1962</t>
  </si>
  <si>
    <t>09/03/1981</t>
  </si>
  <si>
    <t>08/02/1969</t>
  </si>
  <si>
    <t>03/16/1943</t>
  </si>
  <si>
    <t>06/22/2012</t>
  </si>
  <si>
    <t>03/24/1975</t>
  </si>
  <si>
    <t>08/23/1953</t>
  </si>
  <si>
    <t>09/27/1988</t>
  </si>
  <si>
    <t>07/31/1957</t>
  </si>
  <si>
    <t>08/26/1951</t>
  </si>
  <si>
    <t>03/25/1973</t>
  </si>
  <si>
    <t>10/10/1930</t>
  </si>
  <si>
    <t>01/07/1925</t>
  </si>
  <si>
    <t>02/08/1972</t>
  </si>
  <si>
    <t>08/09/1975</t>
  </si>
  <si>
    <t>10/18/1985</t>
  </si>
  <si>
    <t>06/16/1964</t>
  </si>
  <si>
    <t>03/26/1970</t>
  </si>
  <si>
    <t>03/05/1976</t>
  </si>
  <si>
    <t>11/09/1973</t>
  </si>
  <si>
    <t>06/10/1976</t>
  </si>
  <si>
    <t>11/04/1963</t>
  </si>
  <si>
    <t>10/27/1974</t>
  </si>
  <si>
    <t>03/16/1989</t>
  </si>
  <si>
    <t>07/08/1980</t>
  </si>
  <si>
    <t>05/11/1969</t>
  </si>
  <si>
    <t>07/17/1958</t>
  </si>
  <si>
    <t>04/19/1962</t>
  </si>
  <si>
    <t>03/29/1952</t>
  </si>
  <si>
    <t>08/06/1990</t>
  </si>
  <si>
    <t>07/09/1962</t>
  </si>
  <si>
    <t>02/03/1964</t>
  </si>
  <si>
    <t>12/30/1959</t>
  </si>
  <si>
    <t>05/22/1973</t>
  </si>
  <si>
    <t>07/20/1935</t>
  </si>
  <si>
    <t>04/27/1971</t>
  </si>
  <si>
    <t>08/02/1966</t>
  </si>
  <si>
    <t>06/07/1971</t>
  </si>
  <si>
    <t>03/06/1970</t>
  </si>
  <si>
    <t>02/14/1981</t>
  </si>
  <si>
    <t>04/24/1968</t>
  </si>
  <si>
    <t>08/07/1982</t>
  </si>
  <si>
    <t>12/05/1979</t>
  </si>
  <si>
    <t>07/04/1961</t>
  </si>
  <si>
    <t>08/08/1994</t>
  </si>
  <si>
    <t>07/29/2012</t>
  </si>
  <si>
    <t>01/09/1985</t>
  </si>
  <si>
    <t>06/02/1981</t>
  </si>
  <si>
    <t>05/03/1987</t>
  </si>
  <si>
    <t>11/23/1970</t>
  </si>
  <si>
    <t>12/20/1968</t>
  </si>
  <si>
    <t>09/14/1945</t>
  </si>
  <si>
    <t>11/23/1989</t>
  </si>
  <si>
    <t>10/15/1954</t>
  </si>
  <si>
    <t>10/07/1967</t>
  </si>
  <si>
    <t>10/24/1958</t>
  </si>
  <si>
    <t>06/20/1963</t>
  </si>
  <si>
    <t>09/13/1960</t>
  </si>
  <si>
    <t>10/21/1977</t>
  </si>
  <si>
    <t>07/05/1970</t>
  </si>
  <si>
    <t>08/12/1970</t>
  </si>
  <si>
    <t>09/24/1983</t>
  </si>
  <si>
    <t>04/28/1955</t>
  </si>
  <si>
    <t>10/30/1977</t>
  </si>
  <si>
    <t>07/22/1992</t>
  </si>
  <si>
    <t>01/06/1948</t>
  </si>
  <si>
    <t>06/09/1992</t>
  </si>
  <si>
    <t>11/22/1977</t>
  </si>
  <si>
    <t>10/28/1959</t>
  </si>
  <si>
    <t>08/16/1990</t>
  </si>
  <si>
    <t>01/09/1936</t>
  </si>
  <si>
    <t>01/16/1975</t>
  </si>
  <si>
    <t>05/02/1963</t>
  </si>
  <si>
    <t>08/21/1987</t>
  </si>
  <si>
    <t>09/30/1985</t>
  </si>
  <si>
    <t>06/13/1947</t>
  </si>
  <si>
    <t>04/06/1996</t>
  </si>
  <si>
    <t>07/02/1959</t>
  </si>
  <si>
    <t>09/09/1986</t>
  </si>
  <si>
    <t>11/13/1998</t>
  </si>
  <si>
    <t>12/13/1974</t>
  </si>
  <si>
    <t>09/26/2019</t>
  </si>
  <si>
    <t>11/12/1994</t>
  </si>
  <si>
    <t>02/23/1969</t>
  </si>
  <si>
    <t>05/22/1990</t>
  </si>
  <si>
    <t>02/02/1957</t>
  </si>
  <si>
    <t>03/29/1990</t>
  </si>
  <si>
    <t>04/04/1994</t>
  </si>
  <si>
    <t>03/01/1987</t>
  </si>
  <si>
    <t>08/28/1970</t>
  </si>
  <si>
    <t>01/04/1980</t>
  </si>
  <si>
    <t>02/27/1970</t>
  </si>
  <si>
    <t>06/26/1940</t>
  </si>
  <si>
    <t>07/30/1989</t>
  </si>
  <si>
    <t>09/10/1981</t>
  </si>
  <si>
    <t>07/10/1981</t>
  </si>
  <si>
    <t>04/24/1993</t>
  </si>
  <si>
    <t>07/20/1983</t>
  </si>
  <si>
    <t>01/21/1972</t>
  </si>
  <si>
    <t>02/18/1951</t>
  </si>
  <si>
    <t>02/21/1972</t>
  </si>
  <si>
    <t>04/20/1955</t>
  </si>
  <si>
    <t>08/24/1984</t>
  </si>
  <si>
    <t>06/18/1981</t>
  </si>
  <si>
    <t>01/18/1981</t>
  </si>
  <si>
    <t>10/05/1940</t>
  </si>
  <si>
    <t>09/08/1963</t>
  </si>
  <si>
    <t>06/27/1985</t>
  </si>
  <si>
    <t>02/10/1971</t>
  </si>
  <si>
    <t>05/22/1992</t>
  </si>
  <si>
    <t>06/27/1969</t>
  </si>
  <si>
    <t>01/20/1995</t>
  </si>
  <si>
    <t>09/12/1965</t>
  </si>
  <si>
    <t>12/13/1967</t>
  </si>
  <si>
    <t>06/18/1955</t>
  </si>
  <si>
    <t>05/24/2007</t>
  </si>
  <si>
    <t>03/19/1993</t>
  </si>
  <si>
    <t>08/24/1983</t>
  </si>
  <si>
    <t>02/20/1962</t>
  </si>
  <si>
    <t>06/26/1989</t>
  </si>
  <si>
    <t>03/18/1978</t>
  </si>
  <si>
    <t>08/27/1978</t>
  </si>
  <si>
    <t>03/22/1975</t>
  </si>
  <si>
    <t>07/31/1972</t>
  </si>
  <si>
    <t>06/14/1956</t>
  </si>
  <si>
    <t>10/24/1979</t>
  </si>
  <si>
    <t>04/09/1986</t>
  </si>
  <si>
    <t>07/02/1986</t>
  </si>
  <si>
    <t>08/06/1955</t>
  </si>
  <si>
    <t>06/10/1947</t>
  </si>
  <si>
    <t>02/14/1947</t>
  </si>
  <si>
    <t>07/22/1937</t>
  </si>
  <si>
    <t>01/26/1971</t>
  </si>
  <si>
    <t>03/14/1981</t>
  </si>
  <si>
    <t>02/05/1991</t>
  </si>
  <si>
    <t>10/23/1984</t>
  </si>
  <si>
    <t>07/28/1960</t>
  </si>
  <si>
    <t>10/31/1968</t>
  </si>
  <si>
    <t>01/05/1988</t>
  </si>
  <si>
    <t>09/13/1955</t>
  </si>
  <si>
    <t>12/14/1960</t>
  </si>
  <si>
    <t>09/24/1944</t>
  </si>
  <si>
    <t>07/09/2002</t>
  </si>
  <si>
    <t>02/20/1952</t>
  </si>
  <si>
    <t>03/04/1953</t>
  </si>
  <si>
    <t>12/29/1977</t>
  </si>
  <si>
    <t>05/12/1954</t>
  </si>
  <si>
    <t>08/15/1997</t>
  </si>
  <si>
    <t>07/24/1992</t>
  </si>
  <si>
    <t>09/14/1984</t>
  </si>
  <si>
    <t>09/13/1990</t>
  </si>
  <si>
    <t>01/01/2000</t>
  </si>
  <si>
    <t>09/01/1967</t>
  </si>
  <si>
    <t>02/05/1998</t>
  </si>
  <si>
    <t>10/22/1969</t>
  </si>
  <si>
    <t>12/20/1996</t>
  </si>
  <si>
    <t>09/02/1980</t>
  </si>
  <si>
    <t>10/08/1986</t>
  </si>
  <si>
    <t>09/16/1963</t>
  </si>
  <si>
    <t>04/17/1960</t>
  </si>
  <si>
    <t>06/23/1971</t>
  </si>
  <si>
    <t>09/25/1995</t>
  </si>
  <si>
    <t>12/20/1966</t>
  </si>
  <si>
    <t>08/19/1998</t>
  </si>
  <si>
    <t>02/07/1980</t>
  </si>
  <si>
    <t>09/19/1971</t>
  </si>
  <si>
    <t>10/05/1947</t>
  </si>
  <si>
    <t>12/16/1948</t>
  </si>
  <si>
    <t>10/28/1984</t>
  </si>
  <si>
    <t>02/27/1965</t>
  </si>
  <si>
    <t>11/06/1962</t>
  </si>
  <si>
    <t>05/01/1979</t>
  </si>
  <si>
    <t>05/04/1957</t>
  </si>
  <si>
    <t>03/17/1987</t>
  </si>
  <si>
    <t>11/08/2012</t>
  </si>
  <si>
    <t>06/09/1952</t>
  </si>
  <si>
    <t>06/10/1962</t>
  </si>
  <si>
    <t>01/10/2000</t>
  </si>
  <si>
    <t>03/02/1961</t>
  </si>
  <si>
    <t>01/27/1957</t>
  </si>
  <si>
    <t>11/01/1991</t>
  </si>
  <si>
    <t>10/16/1968</t>
  </si>
  <si>
    <t>06/14/1949</t>
  </si>
  <si>
    <t>09/14/1956</t>
  </si>
  <si>
    <t>11/17/1957</t>
  </si>
  <si>
    <t>07/12/1997</t>
  </si>
  <si>
    <t>01/18/1967</t>
  </si>
  <si>
    <t>07/25/1992</t>
  </si>
  <si>
    <t>12/10/1974</t>
  </si>
  <si>
    <t>06/21/1979</t>
  </si>
  <si>
    <t>05/03/1957</t>
  </si>
  <si>
    <t>09/05/1936</t>
  </si>
  <si>
    <t>02/18/1984</t>
  </si>
  <si>
    <t>06/23/1972</t>
  </si>
  <si>
    <t>04/26/1956</t>
  </si>
  <si>
    <t>02/02/1981</t>
  </si>
  <si>
    <t>02/24/1947</t>
  </si>
  <si>
    <t>12/12/1994</t>
  </si>
  <si>
    <t>10/17/1984</t>
  </si>
  <si>
    <t>07/14/1964</t>
  </si>
  <si>
    <t>09/19/1986</t>
  </si>
  <si>
    <t>07/27/1957</t>
  </si>
  <si>
    <t>06/06/1980</t>
  </si>
  <si>
    <t>02/17/1980</t>
  </si>
  <si>
    <t>05/06/1996</t>
  </si>
  <si>
    <t>04/29/1976</t>
  </si>
  <si>
    <t>10/04/1990</t>
  </si>
  <si>
    <t>10/21/1954</t>
  </si>
  <si>
    <t>09/21/2013</t>
  </si>
  <si>
    <t>06/28/1989</t>
  </si>
  <si>
    <t>10/17/1949</t>
  </si>
  <si>
    <t>11/15/1952</t>
  </si>
  <si>
    <t>01/01/1959</t>
  </si>
  <si>
    <t>02/05/1981</t>
  </si>
  <si>
    <t>01/03/1997</t>
  </si>
  <si>
    <t>03/28/1978</t>
  </si>
  <si>
    <t>04/09/1949</t>
  </si>
  <si>
    <t>09/08/1967</t>
  </si>
  <si>
    <t>12/21/1967</t>
  </si>
  <si>
    <t>05/15/1953</t>
  </si>
  <si>
    <t>09/04/1980</t>
  </si>
  <si>
    <t>01/14/1958</t>
  </si>
  <si>
    <t>05/18/1975</t>
  </si>
  <si>
    <t>02/07/1998</t>
  </si>
  <si>
    <t>05/23/1954</t>
  </si>
  <si>
    <t>03/22/1969</t>
  </si>
  <si>
    <t>03/07/1972</t>
  </si>
  <si>
    <t>07/12/1985</t>
  </si>
  <si>
    <t>09/18/1990</t>
  </si>
  <si>
    <t>06/25/1972</t>
  </si>
  <si>
    <t>11/11/1942</t>
  </si>
  <si>
    <t>11/27/1977</t>
  </si>
  <si>
    <t>05/08/1981</t>
  </si>
  <si>
    <t>01/15/1961</t>
  </si>
  <si>
    <t>02/22/1977</t>
  </si>
  <si>
    <t>10/28/1931</t>
  </si>
  <si>
    <t>06/14/2004</t>
  </si>
  <si>
    <t>03/28/1997</t>
  </si>
  <si>
    <t>706 ROCKAWAY ST</t>
  </si>
  <si>
    <t>P.O Box 1015</t>
  </si>
  <si>
    <t>2401 Davidson Ave</t>
  </si>
  <si>
    <t>1234 Noble Ave</t>
  </si>
  <si>
    <t>2260 Bruckner Blvd</t>
  </si>
  <si>
    <t>3780 64th St</t>
  </si>
  <si>
    <t>292 Delancey St</t>
  </si>
  <si>
    <t>1541 Williamsbridge Rd</t>
  </si>
  <si>
    <t>2781 Grand Concourse</t>
  </si>
  <si>
    <t>8 Rutland Rd</t>
  </si>
  <si>
    <t>1 Edgar Ter</t>
  </si>
  <si>
    <t>717 Lexington Ave</t>
  </si>
  <si>
    <t>50 Linden Blvd</t>
  </si>
  <si>
    <t>291 Jersey St</t>
  </si>
  <si>
    <t>1331 Bay St</t>
  </si>
  <si>
    <t>260 Broadway</t>
  </si>
  <si>
    <t>114 Justin Ave</t>
  </si>
  <si>
    <t>9410 60th Ave</t>
  </si>
  <si>
    <t>180 Broad St</t>
  </si>
  <si>
    <t>483 Pacific St</t>
  </si>
  <si>
    <t>215 E 164th St</t>
  </si>
  <si>
    <t>2705 Marion Ave</t>
  </si>
  <si>
    <t>275 E Gun Hill Rd</t>
  </si>
  <si>
    <t>3063 Buhre Ave</t>
  </si>
  <si>
    <t>642 Wilson Ave</t>
  </si>
  <si>
    <t>1969 Mcgraw Ave</t>
  </si>
  <si>
    <t>1058 39th St</t>
  </si>
  <si>
    <t>484 Junius St</t>
  </si>
  <si>
    <t>566 Washington Ave</t>
  </si>
  <si>
    <t>1355 Grand Concourse</t>
  </si>
  <si>
    <t>853 Elsmere Pl</t>
  </si>
  <si>
    <t>2768 Webster Ave</t>
  </si>
  <si>
    <t>84 Seagate Ct</t>
  </si>
  <si>
    <t>251 Osborn St</t>
  </si>
  <si>
    <t>1410 Brooklyn Ave</t>
  </si>
  <si>
    <t>268a Jersey St</t>
  </si>
  <si>
    <t>161 9th St</t>
  </si>
  <si>
    <t>292 Westervelt Ave</t>
  </si>
  <si>
    <t>40 Prospect St</t>
  </si>
  <si>
    <t>165 Saint Marks Pl</t>
  </si>
  <si>
    <t>446 Kingston Ave</t>
  </si>
  <si>
    <t>326 Bainbridge St</t>
  </si>
  <si>
    <t>235b Jersey St</t>
  </si>
  <si>
    <t>84 Hecker St</t>
  </si>
  <si>
    <t>701r Bay St</t>
  </si>
  <si>
    <t>301 E 99th St</t>
  </si>
  <si>
    <t>20 Sky Ln</t>
  </si>
  <si>
    <t>13912 34th Rd</t>
  </si>
  <si>
    <t>39 Jaffe St</t>
  </si>
  <si>
    <t>211 Annadale Rd</t>
  </si>
  <si>
    <t>311 E 193rd St</t>
  </si>
  <si>
    <t>3340 104th St</t>
  </si>
  <si>
    <t>1944 Mcgraw Ave</t>
  </si>
  <si>
    <t>65 Holland Ave</t>
  </si>
  <si>
    <t>2985 Webster Ave Apt 3</t>
  </si>
  <si>
    <t>1153 Grand Concourse</t>
  </si>
  <si>
    <t>226 W Tremont Ave</t>
  </si>
  <si>
    <t>273 Saint Marks Pl</t>
  </si>
  <si>
    <t>35 Androvette St</t>
  </si>
  <si>
    <t>702 44th St</t>
  </si>
  <si>
    <t>150 Hendricks Ave</t>
  </si>
  <si>
    <t>281 Quincy St</t>
  </si>
  <si>
    <t>1023 Putnam Ave</t>
  </si>
  <si>
    <t>251 E 3rd St</t>
  </si>
  <si>
    <t>124 E 117th St</t>
  </si>
  <si>
    <t>13906 34th Rd</t>
  </si>
  <si>
    <t>1209 Bushwick Ave</t>
  </si>
  <si>
    <t>10948 118th St</t>
  </si>
  <si>
    <t>605 W 151st St</t>
  </si>
  <si>
    <t>2285 University Ave</t>
  </si>
  <si>
    <t>67 Saint Pauls Pl</t>
  </si>
  <si>
    <t>1495 Grand Concourse</t>
  </si>
  <si>
    <t>17 Addison St</t>
  </si>
  <si>
    <t>89a Andros Ave</t>
  </si>
  <si>
    <t>3250 93rd St</t>
  </si>
  <si>
    <t>783 Lincoln Pl</t>
  </si>
  <si>
    <t>221 W 233rd St</t>
  </si>
  <si>
    <t>447 Prospect Pl</t>
  </si>
  <si>
    <t>1901 Grand Concourse</t>
  </si>
  <si>
    <t>298 Lockman Ave</t>
  </si>
  <si>
    <t>1590 Undercliff Ave</t>
  </si>
  <si>
    <t>1041 Bushwick Ave</t>
  </si>
  <si>
    <t>796 Courtlandt Ave</t>
  </si>
  <si>
    <t>13619 58th Ave</t>
  </si>
  <si>
    <t>3510 Bainbridge Ave</t>
  </si>
  <si>
    <t>171 Trantor Pl</t>
  </si>
  <si>
    <t>3515 34th St</t>
  </si>
  <si>
    <t>1065 Castleton Ave</t>
  </si>
  <si>
    <t>2111 Southern Blvd</t>
  </si>
  <si>
    <t>10207 Avenue J</t>
  </si>
  <si>
    <t>300 Linden Blvd</t>
  </si>
  <si>
    <t>1350 Bedford Ave</t>
  </si>
  <si>
    <t>330 Lexington Ave</t>
  </si>
  <si>
    <t>559 W 140th St</t>
  </si>
  <si>
    <t>190 Trantor Pl</t>
  </si>
  <si>
    <t>72 Vermilyea Ave</t>
  </si>
  <si>
    <t>606 Sackman St</t>
  </si>
  <si>
    <t>255 E 25th St</t>
  </si>
  <si>
    <t>3050 Bainbridge Ave</t>
  </si>
  <si>
    <t>109 Lewis Ave</t>
  </si>
  <si>
    <t>222 Kingsland Ave</t>
  </si>
  <si>
    <t>11124 197th St</t>
  </si>
  <si>
    <t>10 Argyle Rd</t>
  </si>
  <si>
    <t>186-35 88th Drive</t>
  </si>
  <si>
    <t>1238 Morris Ave</t>
  </si>
  <si>
    <t>1408 New York Ave</t>
  </si>
  <si>
    <t>2015 Grand Ave</t>
  </si>
  <si>
    <t>1380 36th St</t>
  </si>
  <si>
    <t>177 Sheffield Ave</t>
  </si>
  <si>
    <t>799 E 150th St</t>
  </si>
  <si>
    <t>722 E 9th St</t>
  </si>
  <si>
    <t>5400 Fieldston Road</t>
  </si>
  <si>
    <t>705 E 179th St</t>
  </si>
  <si>
    <t>1368 Webster Ave</t>
  </si>
  <si>
    <t>2407 Walton ave</t>
  </si>
  <si>
    <t>129 Montrose ave</t>
  </si>
  <si>
    <t>351 W 121st St</t>
  </si>
  <si>
    <t>4728 Bronx Blvd</t>
  </si>
  <si>
    <t>2441 Adam Clayton Powell Jr Blvd</t>
  </si>
  <si>
    <t>101 Daniel Low Ter</t>
  </si>
  <si>
    <t>385 Chestnut St</t>
  </si>
  <si>
    <t>1202 Noble Ave</t>
  </si>
  <si>
    <t>740 Hegeman Ave</t>
  </si>
  <si>
    <t>3840 Orloff Ave</t>
  </si>
  <si>
    <t>10416 115th St</t>
  </si>
  <si>
    <t>8650 77th St</t>
  </si>
  <si>
    <t>20214 Hollis Ave</t>
  </si>
  <si>
    <t>472 E 95th Street</t>
  </si>
  <si>
    <t>201 Crown St</t>
  </si>
  <si>
    <t>167 Woodcutters Ln</t>
  </si>
  <si>
    <t>143 Avenue D</t>
  </si>
  <si>
    <t>852 46th St</t>
  </si>
  <si>
    <t>1977 Lafontaine Ave</t>
  </si>
  <si>
    <t>790 Eldert Ln</t>
  </si>
  <si>
    <t>1060 Hancock St</t>
  </si>
  <si>
    <t>103-26 113th St.</t>
  </si>
  <si>
    <t>2526 Bronx Park E</t>
  </si>
  <si>
    <t>2011 Newkirk Ave</t>
  </si>
  <si>
    <t>9474 218th St</t>
  </si>
  <si>
    <t>530 Parkside Ave</t>
  </si>
  <si>
    <t>2060 Crotona Pkwy</t>
  </si>
  <si>
    <t>1288 Coney Island Ave</t>
  </si>
  <si>
    <t>21026 Hollis Ave</t>
  </si>
  <si>
    <t>2250 7th Ave</t>
  </si>
  <si>
    <t>3223 88th St</t>
  </si>
  <si>
    <t>471 Powell St</t>
  </si>
  <si>
    <t>2263 Morris Ave</t>
  </si>
  <si>
    <t>100 Belmont Pl</t>
  </si>
  <si>
    <t>16392 17th Ave</t>
  </si>
  <si>
    <t>262 W 123rd st</t>
  </si>
  <si>
    <t>18103 Midland Pkwy</t>
  </si>
  <si>
    <t>177 Milford St</t>
  </si>
  <si>
    <t>305 E 153 Street</t>
  </si>
  <si>
    <t>3530 94th St</t>
  </si>
  <si>
    <t>781 Greene Ave</t>
  </si>
  <si>
    <t>19 Bruno St</t>
  </si>
  <si>
    <t>630 Lenox Ave</t>
  </si>
  <si>
    <t>10233 43rd Ave</t>
  </si>
  <si>
    <t>405 E 182nd St</t>
  </si>
  <si>
    <t>9029 Eldert Ln</t>
  </si>
  <si>
    <t>113 E 13th St</t>
  </si>
  <si>
    <t>2219 Pitkin Ave</t>
  </si>
  <si>
    <t>1155 Grand Concourse</t>
  </si>
  <si>
    <t>572 Lincoln Pl</t>
  </si>
  <si>
    <t>12052 168th St</t>
  </si>
  <si>
    <t>15471 Brookville Blvd</t>
  </si>
  <si>
    <t>1715 Gates Ave</t>
  </si>
  <si>
    <t>1336 Herkimer St</t>
  </si>
  <si>
    <t>1965 Lafayette Ave</t>
  </si>
  <si>
    <t>454 Empire Blvd</t>
  </si>
  <si>
    <t>3038 Hull Ave</t>
  </si>
  <si>
    <t>6584 austin st</t>
  </si>
  <si>
    <t>19421 115th Ave</t>
  </si>
  <si>
    <t>67 W 107th St</t>
  </si>
  <si>
    <t>1149 Putnam Ave</t>
  </si>
  <si>
    <t>2510 Collier Ave</t>
  </si>
  <si>
    <t>2267 35th St</t>
  </si>
  <si>
    <t>1048 Nostrand Ave</t>
  </si>
  <si>
    <t>2532 Bedford Ave</t>
  </si>
  <si>
    <t>1967 Bergen St</t>
  </si>
  <si>
    <t>14027 183rd St</t>
  </si>
  <si>
    <t>11535 200th St</t>
  </si>
  <si>
    <t>50 Paladino Ave</t>
  </si>
  <si>
    <t>147 Rockaway Pkwy</t>
  </si>
  <si>
    <t>1805 Crotona Ave</t>
  </si>
  <si>
    <t>3640 Bronx Blvd</t>
  </si>
  <si>
    <t>3040 45TH ST</t>
  </si>
  <si>
    <t>585 E 21st St</t>
  </si>
  <si>
    <t>1155 E 35th St</t>
  </si>
  <si>
    <t>7212 4th Ave</t>
  </si>
  <si>
    <t>1711 New Haven Ave</t>
  </si>
  <si>
    <t>1134 Saint Marks Ave</t>
  </si>
  <si>
    <t>8 Highland Rd</t>
  </si>
  <si>
    <t>1465 E 101st St</t>
  </si>
  <si>
    <t>706 Faile St</t>
  </si>
  <si>
    <t>1640 Macombs Rd</t>
  </si>
  <si>
    <t>582 Courtlandt Ave</t>
  </si>
  <si>
    <t>2857 Sedgwick Ave</t>
  </si>
  <si>
    <t>271 E 197th St</t>
  </si>
  <si>
    <t>206 Pulaski St</t>
  </si>
  <si>
    <t>555 Ocean Ave</t>
  </si>
  <si>
    <t>1106 Morris Ave</t>
  </si>
  <si>
    <t>320 Manhattan Ave</t>
  </si>
  <si>
    <t>333 Mcdonald Ave</t>
  </si>
  <si>
    <t>8616 60th Ave</t>
  </si>
  <si>
    <t>25 Macdonough St</t>
  </si>
  <si>
    <t>284 Eastern Pkwy</t>
  </si>
  <si>
    <t>2832 W 23rd St</t>
  </si>
  <si>
    <t>8446 108th St</t>
  </si>
  <si>
    <t>333 E 181st St</t>
  </si>
  <si>
    <t>438 Putnam Ave</t>
  </si>
  <si>
    <t>9116 95th Ave</t>
  </si>
  <si>
    <t>4323 Ithaca St</t>
  </si>
  <si>
    <t>10804 Monterey St</t>
  </si>
  <si>
    <t>627 W 113th St</t>
  </si>
  <si>
    <t>399 Kosciuszko st</t>
  </si>
  <si>
    <t>3920 Greenpoint Ave</t>
  </si>
  <si>
    <t>45 Twin Pines Dr</t>
  </si>
  <si>
    <t>1725 Fulton Ave</t>
  </si>
  <si>
    <t>15327 73rd Ave</t>
  </si>
  <si>
    <t>316 W 97th St</t>
  </si>
  <si>
    <t>257 Mother Gaston Blvd</t>
  </si>
  <si>
    <t>3344 93RD ST</t>
  </si>
  <si>
    <t>3400 Tryon Ave</t>
  </si>
  <si>
    <t>2980 Valentine Ave</t>
  </si>
  <si>
    <t>993 Union Ave</t>
  </si>
  <si>
    <t>65 Columbia St</t>
  </si>
  <si>
    <t>2487 Grand Ave</t>
  </si>
  <si>
    <t>436 E 134th St</t>
  </si>
  <si>
    <t>1195 Anderson Ave</t>
  </si>
  <si>
    <t>225 Van Pelt Ave</t>
  </si>
  <si>
    <t>1191 Anderson Ave</t>
  </si>
  <si>
    <t>197 Beechwood Ave</t>
  </si>
  <si>
    <t>1418 Brooklyn Ave</t>
  </si>
  <si>
    <t>165 E 54th St</t>
  </si>
  <si>
    <t>1941 Southern Blvd</t>
  </si>
  <si>
    <t>1772 Amsterdam Ave</t>
  </si>
  <si>
    <t>10 W 182nd St</t>
  </si>
  <si>
    <t>190 62nd St</t>
  </si>
  <si>
    <t>16406 43rd Ave</t>
  </si>
  <si>
    <t>29 Fleet Walk</t>
  </si>
  <si>
    <t>65 Titus Ave</t>
  </si>
  <si>
    <t>2022 3rd Ave</t>
  </si>
  <si>
    <t>2534 43rd St</t>
  </si>
  <si>
    <t>1409 E 98th St</t>
  </si>
  <si>
    <t>401 E 102nd St</t>
  </si>
  <si>
    <t>17 Mallory Ave</t>
  </si>
  <si>
    <t>203 W 85th St</t>
  </si>
  <si>
    <t>1162 Washington Ave</t>
  </si>
  <si>
    <t>180 E 18th St</t>
  </si>
  <si>
    <t>735 Magenta St</t>
  </si>
  <si>
    <t>1515 Macombs Rd</t>
  </si>
  <si>
    <t>10745 Sutphin Blvd</t>
  </si>
  <si>
    <t>520 W 56th St</t>
  </si>
  <si>
    <t>329 Beach 70th St</t>
  </si>
  <si>
    <t>89 W Tremont Ave</t>
  </si>
  <si>
    <t>20 W 129th St # 22</t>
  </si>
  <si>
    <t>311 W 127th St</t>
  </si>
  <si>
    <t>1350 Park Pl</t>
  </si>
  <si>
    <t>618 Ocean Pkwy # 618</t>
  </si>
  <si>
    <t>27 W 118th St</t>
  </si>
  <si>
    <t>225 W 106th St</t>
  </si>
  <si>
    <t>10749 Pinegrove St</t>
  </si>
  <si>
    <t>6546 Parsons Blvd</t>
  </si>
  <si>
    <t>1523 145th Pl</t>
  </si>
  <si>
    <t>200 Haven Ave</t>
  </si>
  <si>
    <t>1380 Prospect Ave</t>
  </si>
  <si>
    <t>154 Vermilyea Ave</t>
  </si>
  <si>
    <t>51 Buchanan Pl</t>
  </si>
  <si>
    <t>111 Sunken Garden Loop</t>
  </si>
  <si>
    <t>920 Avenue Saint John</t>
  </si>
  <si>
    <t>100 W 83rd St</t>
  </si>
  <si>
    <t>10441 41st Ave</t>
  </si>
  <si>
    <t>2484 7th Ave</t>
  </si>
  <si>
    <t>1769 Vyse Ave</t>
  </si>
  <si>
    <t>2780 86th St</t>
  </si>
  <si>
    <t>588 Jerome St</t>
  </si>
  <si>
    <t>65 Charles Gay Loop</t>
  </si>
  <si>
    <t>482 Prospect pl</t>
  </si>
  <si>
    <t>2534 Creston Ave</t>
  </si>
  <si>
    <t>3990 Bronx Blvd</t>
  </si>
  <si>
    <t>275 46th St</t>
  </si>
  <si>
    <t>974 Williams Ave</t>
  </si>
  <si>
    <t>2770 W 33rd St</t>
  </si>
  <si>
    <t>660 Thwaites Pl</t>
  </si>
  <si>
    <t>1661 Grove St</t>
  </si>
  <si>
    <t>347 W 37th St</t>
  </si>
  <si>
    <t>626 1st Ave</t>
  </si>
  <si>
    <t>2769 University Ave</t>
  </si>
  <si>
    <t>711 Herkimer St</t>
  </si>
  <si>
    <t>2575 Sedgwick Ave</t>
  </si>
  <si>
    <t>120 Beach 19th St</t>
  </si>
  <si>
    <t>28 South Dr</t>
  </si>
  <si>
    <t>730 Garden St</t>
  </si>
  <si>
    <t>10306 Remington St</t>
  </si>
  <si>
    <t>237 Targee St</t>
  </si>
  <si>
    <t>14701 Hillside Ave</t>
  </si>
  <si>
    <t>2110 Arthur Ave</t>
  </si>
  <si>
    <t>2608 Creston Ave</t>
  </si>
  <si>
    <t>5512 111th St</t>
  </si>
  <si>
    <t>904 Winthrop St</t>
  </si>
  <si>
    <t>2224 Grand Ave</t>
  </si>
  <si>
    <t>2280 Loring Pl N</t>
  </si>
  <si>
    <t>595 Fdr Dr</t>
  </si>
  <si>
    <t>158 Willoughby Ave</t>
  </si>
  <si>
    <t>P.O. Box 589</t>
  </si>
  <si>
    <t>198 E 59th St</t>
  </si>
  <si>
    <t>360 E 193rd st</t>
  </si>
  <si>
    <t>1 Saint Pauls Ct</t>
  </si>
  <si>
    <t>16 Regent St</t>
  </si>
  <si>
    <t>116 W 139th St</t>
  </si>
  <si>
    <t>2271 Washington Ave</t>
  </si>
  <si>
    <t>10330 126th St</t>
  </si>
  <si>
    <t>620 Gates Ave</t>
  </si>
  <si>
    <t>710 Noble Ave</t>
  </si>
  <si>
    <t>229 E 176th St</t>
  </si>
  <si>
    <t>2607 Jerome Ave</t>
  </si>
  <si>
    <t>2524 Foster Ave</t>
  </si>
  <si>
    <t>700 Lenox Ave</t>
  </si>
  <si>
    <t>97 Crooke Ave</t>
  </si>
  <si>
    <t>3677 White Plains Rd</t>
  </si>
  <si>
    <t>1490 Boston Rd</t>
  </si>
  <si>
    <t>1280 Sheridan Ave</t>
  </si>
  <si>
    <t>435 Seguine Ave</t>
  </si>
  <si>
    <t>2395 Grand Ave</t>
  </si>
  <si>
    <t>141-08 Glassboro Ave</t>
  </si>
  <si>
    <t>2396 Morris Ave</t>
  </si>
  <si>
    <t>9205 216th St</t>
  </si>
  <si>
    <t>1656 Univ Ave</t>
  </si>
  <si>
    <t>2000 Anthony Ave</t>
  </si>
  <si>
    <t>3051 Olinville Ave</t>
  </si>
  <si>
    <t>2285 Andrews Ave</t>
  </si>
  <si>
    <t>2224 126th St</t>
  </si>
  <si>
    <t>2108 Ryer Ave</t>
  </si>
  <si>
    <t>880 Boynton Ave</t>
  </si>
  <si>
    <t>3014 Holland Ave</t>
  </si>
  <si>
    <t>2515 Olinville Ave</t>
  </si>
  <si>
    <t>1408 Webster Ave</t>
  </si>
  <si>
    <t>3006 Sexton Ct</t>
  </si>
  <si>
    <t>2281 University Ave</t>
  </si>
  <si>
    <t>1533 Mcdonald Ave</t>
  </si>
  <si>
    <t>19 64th St</t>
  </si>
  <si>
    <t>9319 205th St</t>
  </si>
  <si>
    <t>3535 Rochambeau ave</t>
  </si>
  <si>
    <t>30 Bay Street</t>
  </si>
  <si>
    <t>7313 70th St</t>
  </si>
  <si>
    <t>4201 National St</t>
  </si>
  <si>
    <t>1469 Fulton Ave</t>
  </si>
  <si>
    <t>60 Clarkson Ave</t>
  </si>
  <si>
    <t>1100 Putnam Ave</t>
  </si>
  <si>
    <t>3235 Parkside Pl</t>
  </si>
  <si>
    <t>69 Westbrook Ave</t>
  </si>
  <si>
    <t>190-06 69th Ave.,</t>
  </si>
  <si>
    <t>689 Melrose Ave</t>
  </si>
  <si>
    <t>1501 Fulton St</t>
  </si>
  <si>
    <t>301 Hooper St</t>
  </si>
  <si>
    <t>1880 Valentine Ave</t>
  </si>
  <si>
    <t>228 Stuyvesant Ave</t>
  </si>
  <si>
    <t>1247 Flatbush Ave</t>
  </si>
  <si>
    <t>4405 Macnish St</t>
  </si>
  <si>
    <t>50 Stuyvesant Ave</t>
  </si>
  <si>
    <t>2906 Brighton 12th St</t>
  </si>
  <si>
    <t>1530 White Hall Dr</t>
  </si>
  <si>
    <t>3727 11th St</t>
  </si>
  <si>
    <t>2014 81st St</t>
  </si>
  <si>
    <t>840 E 8th St</t>
  </si>
  <si>
    <t>107 Harman St</t>
  </si>
  <si>
    <t>711 D Seagirt Avenue</t>
  </si>
  <si>
    <t>(Not Safe) 1342 Fteley Ave</t>
  </si>
  <si>
    <t>3725 98th St</t>
  </si>
  <si>
    <t>312 W 112th St</t>
  </si>
  <si>
    <t>806 Henderson Ave</t>
  </si>
  <si>
    <t>627 Manida St</t>
  </si>
  <si>
    <t>7002 Parsons Blvd</t>
  </si>
  <si>
    <t>1411 New York Ave</t>
  </si>
  <si>
    <t>65 W 127th St</t>
  </si>
  <si>
    <t>24 W 117th St</t>
  </si>
  <si>
    <t>112 W 144th St</t>
  </si>
  <si>
    <t>3100 Brighton 7th St</t>
  </si>
  <si>
    <t>2264 Loring Pl N</t>
  </si>
  <si>
    <t>2979 Bayberry Ct</t>
  </si>
  <si>
    <t>1694 Madison Ave</t>
  </si>
  <si>
    <t>3031 W 25th St</t>
  </si>
  <si>
    <t>190 S 8th St</t>
  </si>
  <si>
    <t>135 W 115th St</t>
  </si>
  <si>
    <t>319 Beach 44th St</t>
  </si>
  <si>
    <t>795 Saint Nicholas Ave</t>
  </si>
  <si>
    <t>Po Box 248</t>
  </si>
  <si>
    <t>2445 Walton Ave</t>
  </si>
  <si>
    <t>345 Montgomery St</t>
  </si>
  <si>
    <t>346 Powers Ave</t>
  </si>
  <si>
    <t>240 E 39th St</t>
  </si>
  <si>
    <t>2860 Decatur Ave</t>
  </si>
  <si>
    <t>815 Pelham Pkwy N</t>
  </si>
  <si>
    <t>10 Fairview Ave</t>
  </si>
  <si>
    <t>1032 Aldus St</t>
  </si>
  <si>
    <t>987 Hegeman Ave</t>
  </si>
  <si>
    <t>8857 Pitkin Ave</t>
  </si>
  <si>
    <t>185 Marine Ave</t>
  </si>
  <si>
    <t>1420 Crotona Park E</t>
  </si>
  <si>
    <t>680 Balcom Ave</t>
  </si>
  <si>
    <t>216 Rockaway Ave</t>
  </si>
  <si>
    <t>127 E 107th St</t>
  </si>
  <si>
    <t>3420 137th St</t>
  </si>
  <si>
    <t>207 Troy Ave</t>
  </si>
  <si>
    <t>495 Sterling Pl</t>
  </si>
  <si>
    <t>3221 34th St</t>
  </si>
  <si>
    <t>839 Putnam Ave</t>
  </si>
  <si>
    <t>225 E 149th St</t>
  </si>
  <si>
    <t>605 W 182nd St</t>
  </si>
  <si>
    <t>150 Ludlow St</t>
  </si>
  <si>
    <t>68 W 107th St</t>
  </si>
  <si>
    <t>421 27th Ave</t>
  </si>
  <si>
    <t>5205 5th Ave</t>
  </si>
  <si>
    <t>211 Crown St</t>
  </si>
  <si>
    <t>1522 Kennellworth Pl</t>
  </si>
  <si>
    <t>167 W 83rd St</t>
  </si>
  <si>
    <t>1022 E 36th St</t>
  </si>
  <si>
    <t>2099 Forest Ave</t>
  </si>
  <si>
    <t>1072 Victory Blvd</t>
  </si>
  <si>
    <t>357 Sterling Pl</t>
  </si>
  <si>
    <t>3110 Bainbridge Ave</t>
  </si>
  <si>
    <t>117 E 118th St</t>
  </si>
  <si>
    <t>398 Bradford St</t>
  </si>
  <si>
    <t>200 Bethel Loop</t>
  </si>
  <si>
    <t>1200 College Ave</t>
  </si>
  <si>
    <t>350 E 143rd St</t>
  </si>
  <si>
    <t>2050 Valentine Ave</t>
  </si>
  <si>
    <t>18a Broun Pl</t>
  </si>
  <si>
    <t>11543 224th St</t>
  </si>
  <si>
    <t>399 Kosciuszko St</t>
  </si>
  <si>
    <t>121 W 115th St</t>
  </si>
  <si>
    <t>2245 Dix Ave</t>
  </si>
  <si>
    <t>2269 Hampden Place</t>
  </si>
  <si>
    <t>1075 E 35th St</t>
  </si>
  <si>
    <t>4002 Carpenter Ave</t>
  </si>
  <si>
    <t>856 46th St</t>
  </si>
  <si>
    <t>520 E 37th St</t>
  </si>
  <si>
    <t>1173 52nd St</t>
  </si>
  <si>
    <t>220 Kingsland Ave</t>
  </si>
  <si>
    <t>460n Brielle Ave</t>
  </si>
  <si>
    <t>85 Holland Ave</t>
  </si>
  <si>
    <t>205 E 73rd St</t>
  </si>
  <si>
    <t>2282 Adam Clayton Powell Jr Blvd</t>
  </si>
  <si>
    <t>8615 Parsons Blvd</t>
  </si>
  <si>
    <t>2902 164th St</t>
  </si>
  <si>
    <t>8614 Kingston Pl</t>
  </si>
  <si>
    <t>579 Evergreen Ave</t>
  </si>
  <si>
    <t>5124 Beach Channel Dr</t>
  </si>
  <si>
    <t>828 Saint Nicholas Ave</t>
  </si>
  <si>
    <t>1514 White Plains Rd</t>
  </si>
  <si>
    <t>4216 82nd St</t>
  </si>
  <si>
    <t>1672 Davidson Ave</t>
  </si>
  <si>
    <t>403 Kosciuszko St</t>
  </si>
  <si>
    <t>150 Brabant St</t>
  </si>
  <si>
    <t>444 Lexington Ave</t>
  </si>
  <si>
    <t>550 E 21st ST</t>
  </si>
  <si>
    <t>1340 Merriam Ave</t>
  </si>
  <si>
    <t>2 Bradl Ln</t>
  </si>
  <si>
    <t>664 W 161st St</t>
  </si>
  <si>
    <t>177 Continental Pl</t>
  </si>
  <si>
    <t>13745 Bedell St</t>
  </si>
  <si>
    <t>573 Carlton Ave</t>
  </si>
  <si>
    <t>96 Baxter St</t>
  </si>
  <si>
    <t>167 Avenue U</t>
  </si>
  <si>
    <t>1490 Boone Ave</t>
  </si>
  <si>
    <t>810 Henderson Ave</t>
  </si>
  <si>
    <t>390 Schenck Ave</t>
  </si>
  <si>
    <t>478 Herzl St</t>
  </si>
  <si>
    <t>171 Gorby Rd</t>
  </si>
  <si>
    <t>176 Schmidts Ln</t>
  </si>
  <si>
    <t>557 46th St</t>
  </si>
  <si>
    <t>124 Brabant st</t>
  </si>
  <si>
    <t>100 Pulaski St</t>
  </si>
  <si>
    <t>620 W 189th St</t>
  </si>
  <si>
    <t>1851 Fulton St</t>
  </si>
  <si>
    <t>6110 Beach Front Rd</t>
  </si>
  <si>
    <t>1732 Radcliff Ave</t>
  </si>
  <si>
    <t>1040 Neilson St</t>
  </si>
  <si>
    <t>5481 Almeda ave</t>
  </si>
  <si>
    <t>1018 Eastern Pkwy</t>
  </si>
  <si>
    <t>123 8th Ave</t>
  </si>
  <si>
    <t>316 Beach 56th St</t>
  </si>
  <si>
    <t>510 W 52nd St</t>
  </si>
  <si>
    <t>121 Sherman Ave</t>
  </si>
  <si>
    <t>12 Kingston Ave</t>
  </si>
  <si>
    <t>576 E 165th St</t>
  </si>
  <si>
    <t>884 Riverside Dr</t>
  </si>
  <si>
    <t>570 Blake Ave</t>
  </si>
  <si>
    <t>1781 Riverside Dr</t>
  </si>
  <si>
    <t>14th Street</t>
  </si>
  <si>
    <t>5320 6th Ave</t>
  </si>
  <si>
    <t>4420 25th Ave</t>
  </si>
  <si>
    <t>10828 50th Ave</t>
  </si>
  <si>
    <t>1030 Ocean Ave</t>
  </si>
  <si>
    <t>1308 Eastern Pkwy</t>
  </si>
  <si>
    <t>1630 Grand ave</t>
  </si>
  <si>
    <t>945 Post Ave</t>
  </si>
  <si>
    <t>17520 Wexford Ter</t>
  </si>
  <si>
    <t>249 Thomas S Boyland St</t>
  </si>
  <si>
    <t>265 Livonia Ave</t>
  </si>
  <si>
    <t>232 Stuyvesant Ave</t>
  </si>
  <si>
    <t>235 Ralph Ave</t>
  </si>
  <si>
    <t>1236 Noble Ave</t>
  </si>
  <si>
    <t>807 Saratoga Ave</t>
  </si>
  <si>
    <t>9903 212th St</t>
  </si>
  <si>
    <t>320 Morris Ave</t>
  </si>
  <si>
    <t>66 Vermilyea Ave</t>
  </si>
  <si>
    <t>563 Cauldwell Ave</t>
  </si>
  <si>
    <t>770 Gates Ave</t>
  </si>
  <si>
    <t>1130 Grassmere Ter</t>
  </si>
  <si>
    <t>2524 Ralph Ave</t>
  </si>
  <si>
    <t>32 Havemeyer St</t>
  </si>
  <si>
    <t>456 Schenectady ave</t>
  </si>
  <si>
    <t>104 Sneden Ave</t>
  </si>
  <si>
    <t>363 Dumont Ave</t>
  </si>
  <si>
    <t>1539 Lexington Ave</t>
  </si>
  <si>
    <t>243 S 4th St</t>
  </si>
  <si>
    <t>141 W 144th St</t>
  </si>
  <si>
    <t>1271 Noble Ave</t>
  </si>
  <si>
    <t>599 Hancock St</t>
  </si>
  <si>
    <t>1154 1st Ave</t>
  </si>
  <si>
    <t>4575 160th St</t>
  </si>
  <si>
    <t>711d Seagirt Ave</t>
  </si>
  <si>
    <t>408 Marcus Garvey Blvd</t>
  </si>
  <si>
    <t>1775 Eastburn Ave</t>
  </si>
  <si>
    <t>2504 Olinville Ave</t>
  </si>
  <si>
    <t>1534 Prospect Pl</t>
  </si>
  <si>
    <t>185 Saint Marks Pl</t>
  </si>
  <si>
    <t>1715 LaCombe Ave</t>
  </si>
  <si>
    <t>3402 106th St</t>
  </si>
  <si>
    <t>803 W 180th St</t>
  </si>
  <si>
    <t>10469 Roosevelt Ave</t>
  </si>
  <si>
    <t>456 E 137th St</t>
  </si>
  <si>
    <t>15 Mother Gaston Blvd</t>
  </si>
  <si>
    <t>321 W 94th St</t>
  </si>
  <si>
    <t>63a N Coleman Rd</t>
  </si>
  <si>
    <t>630 Riverside Dr</t>
  </si>
  <si>
    <t>711 Jerome St</t>
  </si>
  <si>
    <t>2770 86th St</t>
  </si>
  <si>
    <t>305 Linden Blvd</t>
  </si>
  <si>
    <t>8849 Pitkin Ave</t>
  </si>
  <si>
    <t>9712 97th Ave</t>
  </si>
  <si>
    <t>10 Kimberly Ln</t>
  </si>
  <si>
    <t>3311 109th St</t>
  </si>
  <si>
    <t>70 Ross St</t>
  </si>
  <si>
    <t>7413 Daggett Ter</t>
  </si>
  <si>
    <t>500 W 144th St</t>
  </si>
  <si>
    <t>2734 Bainbridge Ave</t>
  </si>
  <si>
    <t>255 E 237th St</t>
  </si>
  <si>
    <t>524 Rockaway Ave</t>
  </si>
  <si>
    <t>245 Signs Rd</t>
  </si>
  <si>
    <t>135 Hamilton Pl</t>
  </si>
  <si>
    <t>947 Montgomery St</t>
  </si>
  <si>
    <t>280 Herkimer St</t>
  </si>
  <si>
    <t>2796 Bainbridge Ave</t>
  </si>
  <si>
    <t>536 E 96th St</t>
  </si>
  <si>
    <t>2112 Starling Ave</t>
  </si>
  <si>
    <t>1409 Royce St</t>
  </si>
  <si>
    <t>478 Jerome St</t>
  </si>
  <si>
    <t>596 Riverside Dr</t>
  </si>
  <si>
    <t>134 W 113th St</t>
  </si>
  <si>
    <t>1969 E 8th St</t>
  </si>
  <si>
    <t>1082 E 36th St</t>
  </si>
  <si>
    <t>9307 Glenwood Rd</t>
  </si>
  <si>
    <t>456 Nostrand Ave</t>
  </si>
  <si>
    <t>597 Central Ave</t>
  </si>
  <si>
    <t>52 34 Van Dam</t>
  </si>
  <si>
    <t>10919 174th St</t>
  </si>
  <si>
    <t>1635 Mahan Ave</t>
  </si>
  <si>
    <t>304 W 152nd St</t>
  </si>
  <si>
    <t>120 W 116th St</t>
  </si>
  <si>
    <t>400 Williams Ave</t>
  </si>
  <si>
    <t>PO box 1245</t>
  </si>
  <si>
    <t>503 Williams Ave</t>
  </si>
  <si>
    <t>899 Montgomery St</t>
  </si>
  <si>
    <t>615 Rosedale Ave</t>
  </si>
  <si>
    <t>4020 Beach Channel Dr</t>
  </si>
  <si>
    <t>226 Grove Street</t>
  </si>
  <si>
    <t>408 W 150th St</t>
  </si>
  <si>
    <t>65 E 190th St</t>
  </si>
  <si>
    <t>301 W 114th St</t>
  </si>
  <si>
    <t>PO Box 663</t>
  </si>
  <si>
    <t>1269 Grand Concourse</t>
  </si>
  <si>
    <t>118 Avenue D</t>
  </si>
  <si>
    <t>124 Pelican Cir</t>
  </si>
  <si>
    <t>466 putnam ave</t>
  </si>
  <si>
    <t>165 Woltz Ave, Upper Floor</t>
  </si>
  <si>
    <t>601 E 163rd St</t>
  </si>
  <si>
    <t>2035 7th Ave</t>
  </si>
  <si>
    <t>306 Union Ave</t>
  </si>
  <si>
    <t>4601 11th Ave</t>
  </si>
  <si>
    <t>325 Classon Ave</t>
  </si>
  <si>
    <t>90 Amsterdam Ave</t>
  </si>
  <si>
    <t>75 W End Ave</t>
  </si>
  <si>
    <t>941 Jerome ave</t>
  </si>
  <si>
    <t>10644 Ditmars Blvd</t>
  </si>
  <si>
    <t>4641 156th St</t>
  </si>
  <si>
    <t>364 Stuyvesant Ave</t>
  </si>
  <si>
    <t>276 W 115th St</t>
  </si>
  <si>
    <t>11814 83rd Ave</t>
  </si>
  <si>
    <t>1777 Grand Concourse</t>
  </si>
  <si>
    <t>666 W End Ave</t>
  </si>
  <si>
    <t>15272 Melbourne Ave</t>
  </si>
  <si>
    <t>135 Avenue B</t>
  </si>
  <si>
    <t>910 Dekalb Ave</t>
  </si>
  <si>
    <t>844 42nd St</t>
  </si>
  <si>
    <t>448 Classon Ave</t>
  </si>
  <si>
    <t>745 E 242nd St</t>
  </si>
  <si>
    <t>645 Arnow Ave</t>
  </si>
  <si>
    <t>221 E 168th St</t>
  </si>
  <si>
    <t>1726 Richmond Rd</t>
  </si>
  <si>
    <t>40 Ocean Pkwy</t>
  </si>
  <si>
    <t>8315 116th St</t>
  </si>
  <si>
    <t>229 Chrystie St</t>
  </si>
  <si>
    <t>23907 Braddock Ave</t>
  </si>
  <si>
    <t>1048 Ward Ave</t>
  </si>
  <si>
    <t>10 Carlton Ct</t>
  </si>
  <si>
    <t>2 Saint Marks Pl</t>
  </si>
  <si>
    <t>20329 28th Ave</t>
  </si>
  <si>
    <t>525 Fdr Dr</t>
  </si>
  <si>
    <t>1149 Stratford Ave</t>
  </si>
  <si>
    <t>Po Box 30620</t>
  </si>
  <si>
    <t>1920 Union ST</t>
  </si>
  <si>
    <t>828 E 222nd St</t>
  </si>
  <si>
    <t>554 W 181st St</t>
  </si>
  <si>
    <t>6514 Parsons Blvd</t>
  </si>
  <si>
    <t>11422 117th St</t>
  </si>
  <si>
    <t>10816 Guy R Brewer BLVD</t>
  </si>
  <si>
    <t>739 E 242nd St</t>
  </si>
  <si>
    <t>3312 111th St</t>
  </si>
  <si>
    <t>1415 Bristow St</t>
  </si>
  <si>
    <t>2410 Davidson Ave</t>
  </si>
  <si>
    <t>8702 23rd Ave</t>
  </si>
  <si>
    <t>1612 Poplar St</t>
  </si>
  <si>
    <t>624 Howard Ave</t>
  </si>
  <si>
    <t>984 Glenmore Ave</t>
  </si>
  <si>
    <t>236 Hooker Pl</t>
  </si>
  <si>
    <t>6816 19th Ave</t>
  </si>
  <si>
    <t>455 Ocean Ave</t>
  </si>
  <si>
    <t>1055 Blake Ave</t>
  </si>
  <si>
    <t>871 Brook Ave</t>
  </si>
  <si>
    <t>18392 Camden Ave</t>
  </si>
  <si>
    <t>600 Gates Ave</t>
  </si>
  <si>
    <t>4308 40th St</t>
  </si>
  <si>
    <t>117 Sherman Ave</t>
  </si>
  <si>
    <t>2224 Pearsall Ave</t>
  </si>
  <si>
    <t>3405 Putnam Pl</t>
  </si>
  <si>
    <t>4029 De Reimer Ave</t>
  </si>
  <si>
    <t>17 Seabring St</t>
  </si>
  <si>
    <t>201 Scholes St</t>
  </si>
  <si>
    <t>721 Sterling Pl</t>
  </si>
  <si>
    <t>542 E 182nd St</t>
  </si>
  <si>
    <t>200 Marcy Pl</t>
  </si>
  <si>
    <t>308 E 145th St</t>
  </si>
  <si>
    <t>14964 256th St</t>
  </si>
  <si>
    <t>2330 Newtown Ave</t>
  </si>
  <si>
    <t>111 Beach 60th St</t>
  </si>
  <si>
    <t>90 Avenue D</t>
  </si>
  <si>
    <t>6336 Holly Bay Dr</t>
  </si>
  <si>
    <t>175 Stanton St</t>
  </si>
  <si>
    <t>3611 Bowne St</t>
  </si>
  <si>
    <t>1380 E 93rd St</t>
  </si>
  <si>
    <t>680 Morris Park Ave</t>
  </si>
  <si>
    <t>384 new jersey ave</t>
  </si>
  <si>
    <t>789 Saint Marks Ave</t>
  </si>
  <si>
    <t>2416 Webster Ave</t>
  </si>
  <si>
    <t>347 Westervelt Ave</t>
  </si>
  <si>
    <t>159 Gelston Ave</t>
  </si>
  <si>
    <t>645 e 14th st</t>
  </si>
  <si>
    <t>10733 Watson Pl</t>
  </si>
  <si>
    <t>201 Brighton 1st Rd # 203</t>
  </si>
  <si>
    <t>7127 Park Dr E</t>
  </si>
  <si>
    <t>3125 Park Ave</t>
  </si>
  <si>
    <t>656 Howard Ave</t>
  </si>
  <si>
    <t>889 Saint Nicholas Ave</t>
  </si>
  <si>
    <t>350 Lefferts Ave</t>
  </si>
  <si>
    <t>2031 Hughes Ave</t>
  </si>
  <si>
    <t>11441 121st St</t>
  </si>
  <si>
    <t>3981 Barnes Ave</t>
  </si>
  <si>
    <t>3366 Decatur Ave</t>
  </si>
  <si>
    <t>331 Tompkins Ave</t>
  </si>
  <si>
    <t>325 Knickerbocker Ave</t>
  </si>
  <si>
    <t>3220 Holland Ave</t>
  </si>
  <si>
    <t>293 Martense St</t>
  </si>
  <si>
    <t>231 Midwood St</t>
  </si>
  <si>
    <t>6316 4th Ave</t>
  </si>
  <si>
    <t>81 Columbia St</t>
  </si>
  <si>
    <t>14657 228th St</t>
  </si>
  <si>
    <t>708 E 134th St</t>
  </si>
  <si>
    <t>2765 Atlantic Ave</t>
  </si>
  <si>
    <t>521 W 180th St # 523</t>
  </si>
  <si>
    <t>14375 Sw 297th Ter</t>
  </si>
  <si>
    <t>213 55th St</t>
  </si>
  <si>
    <t>1816 Harrison Ave</t>
  </si>
  <si>
    <t>129 Sherman Ave</t>
  </si>
  <si>
    <t>1012 60th St</t>
  </si>
  <si>
    <t>8810 Whitney Ave</t>
  </si>
  <si>
    <t>2005 Bergen St</t>
  </si>
  <si>
    <t>1466 Beach Ave</t>
  </si>
  <si>
    <t>225 Parkside Ave</t>
  </si>
  <si>
    <t>1517 Walton Ave</t>
  </si>
  <si>
    <t>1066 President St</t>
  </si>
  <si>
    <t>3572 Dekalb Ave</t>
  </si>
  <si>
    <t>685 Gates Ave</t>
  </si>
  <si>
    <t>144 W 124th St</t>
  </si>
  <si>
    <t>2051 Webster Ave</t>
  </si>
  <si>
    <t>132 W 129th St</t>
  </si>
  <si>
    <t>410 W 128th St</t>
  </si>
  <si>
    <t>8931 85th St</t>
  </si>
  <si>
    <t>132 Halsey St</t>
  </si>
  <si>
    <t>165 E 112th St</t>
  </si>
  <si>
    <t>600 W 186th St</t>
  </si>
  <si>
    <t>168 1st Ave</t>
  </si>
  <si>
    <t>2780 W 5th St</t>
  </si>
  <si>
    <t>287 Linden Blvd</t>
  </si>
  <si>
    <t>11616 217th St</t>
  </si>
  <si>
    <t>2353 Pacific st</t>
  </si>
  <si>
    <t>335 South Ave</t>
  </si>
  <si>
    <t>2440 Olinville Ave</t>
  </si>
  <si>
    <t>673 Beck St</t>
  </si>
  <si>
    <t>9225 Foster Ave</t>
  </si>
  <si>
    <t>22 W 25th St</t>
  </si>
  <si>
    <t>1411 Linden Blvd</t>
  </si>
  <si>
    <t>511 W 177th St</t>
  </si>
  <si>
    <t>120 Beaumont St</t>
  </si>
  <si>
    <t>314 E 100th St</t>
  </si>
  <si>
    <t>2315 Walton Ave</t>
  </si>
  <si>
    <t>5 Saint Marks Pl</t>
  </si>
  <si>
    <t>16401 Foch Blvd</t>
  </si>
  <si>
    <t>3524 Hull Ave</t>
  </si>
  <si>
    <t>803 Pine St</t>
  </si>
  <si>
    <t>8650 208th St</t>
  </si>
  <si>
    <t>2589 42nd St</t>
  </si>
  <si>
    <t>455 E 148th St</t>
  </si>
  <si>
    <t>206 Lake Ave</t>
  </si>
  <si>
    <t>667 W 161st St</t>
  </si>
  <si>
    <t>2714 Frederick Douglass Blvd</t>
  </si>
  <si>
    <t>586 Pacific St</t>
  </si>
  <si>
    <t>2014 Morris Ave</t>
  </si>
  <si>
    <t>2669 E 11th St</t>
  </si>
  <si>
    <t>580 Flatbush Ave</t>
  </si>
  <si>
    <t>1015 E 179th St</t>
  </si>
  <si>
    <t>236 Parkville Ave</t>
  </si>
  <si>
    <t>675 Lincoln Ave</t>
  </si>
  <si>
    <t>344 E 28th St</t>
  </si>
  <si>
    <t>1800 Albemarle rd</t>
  </si>
  <si>
    <t>11406 Bedell St</t>
  </si>
  <si>
    <t>5224 65th Pl</t>
  </si>
  <si>
    <t>3114 Villa Ave</t>
  </si>
  <si>
    <t>1 Jacobus Pl</t>
  </si>
  <si>
    <t>21471 Jamaica Ave</t>
  </si>
  <si>
    <t>14814 90th Ave</t>
  </si>
  <si>
    <t>9724 93rd St</t>
  </si>
  <si>
    <t>1468 5th Ave</t>
  </si>
  <si>
    <t>34-42 100th Street Corona</t>
  </si>
  <si>
    <t>601 W 189th St</t>
  </si>
  <si>
    <t>3026 Wickham Ave</t>
  </si>
  <si>
    <t>4910 4th ave</t>
  </si>
  <si>
    <t>30 E 95th St</t>
  </si>
  <si>
    <t>2855 Grand Concourse</t>
  </si>
  <si>
    <t>9960 64th Ave</t>
  </si>
  <si>
    <t>465 E 10th St</t>
  </si>
  <si>
    <t>485 Ocean Ave</t>
  </si>
  <si>
    <t>1450 Taylor Ave</t>
  </si>
  <si>
    <t>358 Marcus Garvey Blvd</t>
  </si>
  <si>
    <t>135 E 149th St</t>
  </si>
  <si>
    <t>289 24th St</t>
  </si>
  <si>
    <t>1024 Rutland Rd</t>
  </si>
  <si>
    <t>2070 Clinton Ave</t>
  </si>
  <si>
    <t>254 5th Ave</t>
  </si>
  <si>
    <t>SHELTER</t>
  </si>
  <si>
    <t>8113 Avenue L</t>
  </si>
  <si>
    <t>Po Box 940446</t>
  </si>
  <si>
    <t>360 E 166th St</t>
  </si>
  <si>
    <t>333 Beach 32nd St</t>
  </si>
  <si>
    <t>27 E 169th St</t>
  </si>
  <si>
    <t>14 Thayer St</t>
  </si>
  <si>
    <t>888 Grand Concourse</t>
  </si>
  <si>
    <t>3560 Webster Ave</t>
  </si>
  <si>
    <t>89 Seaman Ave</t>
  </si>
  <si>
    <t>66 parish ave</t>
  </si>
  <si>
    <t>1617 Fulton St</t>
  </si>
  <si>
    <t>1-9 Jacobus Place</t>
  </si>
  <si>
    <t>53 Vermilyea Ave</t>
  </si>
  <si>
    <t>245 Lenox Rd</t>
  </si>
  <si>
    <t>611 E 182nd St</t>
  </si>
  <si>
    <t>4217 74th St</t>
  </si>
  <si>
    <t>731 51st St</t>
  </si>
  <si>
    <t>36 Bay Hill Rd</t>
  </si>
  <si>
    <t>8616 Avenue L</t>
  </si>
  <si>
    <t>19 Mount Hope Pl</t>
  </si>
  <si>
    <t>270 Convent Ave</t>
  </si>
  <si>
    <t>130 Clarkson Ave</t>
  </si>
  <si>
    <t>55 La Salle St</t>
  </si>
  <si>
    <t>1589 Unionport Rd</t>
  </si>
  <si>
    <t>14010 Franklin Ave</t>
  </si>
  <si>
    <t>358 Delaware Ave</t>
  </si>
  <si>
    <t>165 Beech Ave</t>
  </si>
  <si>
    <t>1325 Lafayette Ave</t>
  </si>
  <si>
    <t>731 gerard ave</t>
  </si>
  <si>
    <t>1345 Balcom Ave</t>
  </si>
  <si>
    <t>4360 Furman Ave</t>
  </si>
  <si>
    <t>3824 Waldo Ave</t>
  </si>
  <si>
    <t>3100 Webster Ave</t>
  </si>
  <si>
    <t>1480 Popham Ave</t>
  </si>
  <si>
    <t>8708 Avon St</t>
  </si>
  <si>
    <t>1665 Monroe Ave</t>
  </si>
  <si>
    <t>315 E 167th St</t>
  </si>
  <si>
    <t>2103 Honeywell Ave</t>
  </si>
  <si>
    <t>1500 Hoe Ave</t>
  </si>
  <si>
    <t>460 Grand St</t>
  </si>
  <si>
    <t>131 Jersey St</t>
  </si>
  <si>
    <t>2 E 167th St</t>
  </si>
  <si>
    <t>120 De Kruif Pl</t>
  </si>
  <si>
    <t>41 Mark St</t>
  </si>
  <si>
    <t>9418 Wogan Ter</t>
  </si>
  <si>
    <t>1819 Summerfield St</t>
  </si>
  <si>
    <t>1881 Schieffelin Pl</t>
  </si>
  <si>
    <t>805 Ditmas Ave</t>
  </si>
  <si>
    <t>45 Shepherd Ave</t>
  </si>
  <si>
    <t>2517 E 1st St</t>
  </si>
  <si>
    <t>7644 85th Dr</t>
  </si>
  <si>
    <t>5737 Kings Hwy</t>
  </si>
  <si>
    <t>1521 Sheridan Ave</t>
  </si>
  <si>
    <t>325 E 194th St</t>
  </si>
  <si>
    <t>15314 109th Dr</t>
  </si>
  <si>
    <t>181 Hawthorne St</t>
  </si>
  <si>
    <t>2101 Westbury Ct</t>
  </si>
  <si>
    <t>653 Britton St</t>
  </si>
  <si>
    <t>108 E Clarke Pl</t>
  </si>
  <si>
    <t>1380 Univ Ave</t>
  </si>
  <si>
    <t>1985 Webster Ave</t>
  </si>
  <si>
    <t>92 W Tremont Ave</t>
  </si>
  <si>
    <t>350 W 24th St</t>
  </si>
  <si>
    <t>40 W 135th St</t>
  </si>
  <si>
    <t>465 E 7th St</t>
  </si>
  <si>
    <t>9711 Horace harding expy</t>
  </si>
  <si>
    <t>17002 118th Ave</t>
  </si>
  <si>
    <t>706 Lefferts Ave</t>
  </si>
  <si>
    <t>896 main st</t>
  </si>
  <si>
    <t>1050 Anderson Ave</t>
  </si>
  <si>
    <t>905 43rd St</t>
  </si>
  <si>
    <t>55 Ocean Ave</t>
  </si>
  <si>
    <t>14319 38th AVE</t>
  </si>
  <si>
    <t>1055 Blake ave</t>
  </si>
  <si>
    <t>87-48 110th St.</t>
  </si>
  <si>
    <t>1260 Burke Ave</t>
  </si>
  <si>
    <t>11 Paerdegat 6th St</t>
  </si>
  <si>
    <t>33-41 86th St.</t>
  </si>
  <si>
    <t>190 Arlington Ave</t>
  </si>
  <si>
    <t>331 E 132nd St</t>
  </si>
  <si>
    <t>10909 134th St</t>
  </si>
  <si>
    <t>18804 64th Ave</t>
  </si>
  <si>
    <t>4235 Warwick Hills Dr</t>
  </si>
  <si>
    <t>41-46 68th St.</t>
  </si>
  <si>
    <t>125 W 109th ST</t>
  </si>
  <si>
    <t>919 Eastern Pkwy</t>
  </si>
  <si>
    <t>377 Marcy Ave</t>
  </si>
  <si>
    <t>199 York Ave</t>
  </si>
  <si>
    <t>1219 E 80th St</t>
  </si>
  <si>
    <t>104-06 39th Ave</t>
  </si>
  <si>
    <t>9 Federal Pl</t>
  </si>
  <si>
    <t>3035 White Plains Rd</t>
  </si>
  <si>
    <t>320 Miller Ave</t>
  </si>
  <si>
    <t>1279 Sheridan Ave</t>
  </si>
  <si>
    <t>7518 95th Ave</t>
  </si>
  <si>
    <t>155 Nagle Ave</t>
  </si>
  <si>
    <t>2026 Westchester Ave</t>
  </si>
  <si>
    <t>370 morris ave</t>
  </si>
  <si>
    <t>2599 Pitkin Ave</t>
  </si>
  <si>
    <t>718 Saint Marks Ave</t>
  </si>
  <si>
    <t>9415 133rd St</t>
  </si>
  <si>
    <t>312-314 Mont Prospect Ave</t>
  </si>
  <si>
    <t>314 W 119th St</t>
  </si>
  <si>
    <t>200 W 81st St</t>
  </si>
  <si>
    <t>571 Greeley Ave</t>
  </si>
  <si>
    <t>1330 Intervale Ave</t>
  </si>
  <si>
    <t>27 E 124th St</t>
  </si>
  <si>
    <t>39 Hegeman Ave</t>
  </si>
  <si>
    <t>1946 Radcliff Ave</t>
  </si>
  <si>
    <t>445 Audubon Ave</t>
  </si>
  <si>
    <t>1610 43rd St</t>
  </si>
  <si>
    <t>2645 7th Ave</t>
  </si>
  <si>
    <t>803 Beverley Rd</t>
  </si>
  <si>
    <t>200 Haven ave</t>
  </si>
  <si>
    <t>9102 Sutter Ave</t>
  </si>
  <si>
    <t>121 Seaman Ave</t>
  </si>
  <si>
    <t>520 Isham St</t>
  </si>
  <si>
    <t>132-11 Centreville St.</t>
  </si>
  <si>
    <t>11560 204th St</t>
  </si>
  <si>
    <t>87 Taft Ave</t>
  </si>
  <si>
    <t>10438 Jamaica Ave</t>
  </si>
  <si>
    <t>1741 Davidson Ave</t>
  </si>
  <si>
    <t>2999 8th Ave</t>
  </si>
  <si>
    <t>329 Beach 86th St</t>
  </si>
  <si>
    <t>3170 Broadway</t>
  </si>
  <si>
    <t>10353 102nd St</t>
  </si>
  <si>
    <t>1980 Adam Clayton Powell Jr Blvd</t>
  </si>
  <si>
    <t>320 Pleasant Ave</t>
  </si>
  <si>
    <t>711 W 180th St</t>
  </si>
  <si>
    <t>13740 133rd Ave</t>
  </si>
  <si>
    <t>3980 Orloff Ave</t>
  </si>
  <si>
    <t>4430 Macnish St</t>
  </si>
  <si>
    <t>9513 78th St</t>
  </si>
  <si>
    <t>588 Decatur St</t>
  </si>
  <si>
    <t>2223 Brace Pl</t>
  </si>
  <si>
    <t>1395 Crotona Ave</t>
  </si>
  <si>
    <t>24207 149th Ave</t>
  </si>
  <si>
    <t>1420 Amsterdam Ave</t>
  </si>
  <si>
    <t>7309 lighthouse dr</t>
  </si>
  <si>
    <t>6024 Grove St</t>
  </si>
  <si>
    <t>241 6th Ave</t>
  </si>
  <si>
    <t>23548 147th Dr</t>
  </si>
  <si>
    <t>209 Imperial Way</t>
  </si>
  <si>
    <t>428 E 137th St</t>
  </si>
  <si>
    <t>865 Columbus Ave</t>
  </si>
  <si>
    <t>1191 Boston Rd</t>
  </si>
  <si>
    <t>71 W 112th St</t>
  </si>
  <si>
    <t>5024 31st Ave</t>
  </si>
  <si>
    <t>16 Sylva Ln</t>
  </si>
  <si>
    <t>16329 130th Ave</t>
  </si>
  <si>
    <t>10850 62nd Dr</t>
  </si>
  <si>
    <t>342 Brook Ave</t>
  </si>
  <si>
    <t>3521 Dekalb Ave</t>
  </si>
  <si>
    <t>10538 170th St</t>
  </si>
  <si>
    <t>555 W 151st St</t>
  </si>
  <si>
    <t>1020 Boynton Ave</t>
  </si>
  <si>
    <t>7911 41st Ave</t>
  </si>
  <si>
    <t>11609 Francis Lewis Blvd</t>
  </si>
  <si>
    <t>10240 62nd Ave</t>
  </si>
  <si>
    <t>172-10 133rd Avenue</t>
  </si>
  <si>
    <t>756 Pelham pkwy S</t>
  </si>
  <si>
    <t>3317 Seymour Ave</t>
  </si>
  <si>
    <t>18 E 109th St</t>
  </si>
  <si>
    <t>2018 Monterey Ave</t>
  </si>
  <si>
    <t>210 Sherman Ave</t>
  </si>
  <si>
    <t>8726 166th St</t>
  </si>
  <si>
    <t>351 Soundview Ln</t>
  </si>
  <si>
    <t>288 10th Ave</t>
  </si>
  <si>
    <t>2820 Bailey Ave</t>
  </si>
  <si>
    <t>711 E 218th St</t>
  </si>
  <si>
    <t>6738 108th St</t>
  </si>
  <si>
    <t>27 Macdougal St</t>
  </si>
  <si>
    <t>160 Vermilyea Ave</t>
  </si>
  <si>
    <t>2266 Seward Ave</t>
  </si>
  <si>
    <t>8435 257th St</t>
  </si>
  <si>
    <t>8017 Jamaica Ave</t>
  </si>
  <si>
    <t>7 W Farms Square Plz</t>
  </si>
  <si>
    <t>253 W 24th St</t>
  </si>
  <si>
    <t>64 Kingston Ave</t>
  </si>
  <si>
    <t>415 73rd St</t>
  </si>
  <si>
    <t>1903 Ocean Ave</t>
  </si>
  <si>
    <t>1633 Hancock St</t>
  </si>
  <si>
    <t>1322 Nostrand Ave</t>
  </si>
  <si>
    <t>810 27th Ave</t>
  </si>
  <si>
    <t>15909 45TH AVE</t>
  </si>
  <si>
    <t>2949 8th Ave</t>
  </si>
  <si>
    <t>14113 84th Dr</t>
  </si>
  <si>
    <t>11306 Sutphin Blvd</t>
  </si>
  <si>
    <t>480 Gates Ave</t>
  </si>
  <si>
    <t>610 Waring Ave</t>
  </si>
  <si>
    <t>1329 Bushwick Ave</t>
  </si>
  <si>
    <t>1295 Amsterdam Ave</t>
  </si>
  <si>
    <t>343 Herzl St</t>
  </si>
  <si>
    <t>12514 Jamaica Ave</t>
  </si>
  <si>
    <t>1470 Amsterdam Ave</t>
  </si>
  <si>
    <t>22 Webster Ave</t>
  </si>
  <si>
    <t>4734 Vernon Blvd</t>
  </si>
  <si>
    <t>375 Lexington Ave</t>
  </si>
  <si>
    <t>320 Vanderbilt Ave</t>
  </si>
  <si>
    <t>2204 Collier Ave</t>
  </si>
  <si>
    <t>12307 111th Ave</t>
  </si>
  <si>
    <t>735 E 182nd St</t>
  </si>
  <si>
    <t>20 Laguardia Ave</t>
  </si>
  <si>
    <t>9522 110th St</t>
  </si>
  <si>
    <t>16913 104th Ave</t>
  </si>
  <si>
    <t>245 Midwood St</t>
  </si>
  <si>
    <t>4012 Vernon Blvd</t>
  </si>
  <si>
    <t>353 Concord Ave</t>
  </si>
  <si>
    <t>760 Rogers Ave</t>
  </si>
  <si>
    <t>765 Lincoln Ave</t>
  </si>
  <si>
    <t>1700 Grand Concourse</t>
  </si>
  <si>
    <t>53 W 8th St</t>
  </si>
  <si>
    <t>55 Holland Ave</t>
  </si>
  <si>
    <t>102 Nicholas Ave</t>
  </si>
  <si>
    <t>800 Poly pl</t>
  </si>
  <si>
    <t>1527 Southern Blvd</t>
  </si>
  <si>
    <t>21 E 107th St</t>
  </si>
  <si>
    <t>2170 Univ Ave</t>
  </si>
  <si>
    <t>5 E 93rd St</t>
  </si>
  <si>
    <t>681 Courtlandt Ave</t>
  </si>
  <si>
    <t>214 Beach 29th St</t>
  </si>
  <si>
    <t>2821 W 12th St</t>
  </si>
  <si>
    <t>541 Wythe Ave</t>
  </si>
  <si>
    <t>6553 Harring Street</t>
  </si>
  <si>
    <t>975 Simpson St</t>
  </si>
  <si>
    <t>193 E 100th St</t>
  </si>
  <si>
    <t>170 Hawthorne St</t>
  </si>
  <si>
    <t>74 W 92nd St</t>
  </si>
  <si>
    <t>3750 81st St</t>
  </si>
  <si>
    <t>3544 Broadway</t>
  </si>
  <si>
    <t>480 E 23rd St</t>
  </si>
  <si>
    <t>3164 grand concourse</t>
  </si>
  <si>
    <t>997 DeKalb Ave</t>
  </si>
  <si>
    <t>1357 Chandler St</t>
  </si>
  <si>
    <t>130 Lenox Ave</t>
  </si>
  <si>
    <t>1777 grand concourse</t>
  </si>
  <si>
    <t>2110 Westbury Ct</t>
  </si>
  <si>
    <t>1107 Lenox Rd</t>
  </si>
  <si>
    <t>100 Deforest Rd</t>
  </si>
  <si>
    <t>3660 36th Ave</t>
  </si>
  <si>
    <t>1000 Anderson Ave</t>
  </si>
  <si>
    <t>3611 12th St</t>
  </si>
  <si>
    <t>17004 118th Ave</t>
  </si>
  <si>
    <t>284 14th ST</t>
  </si>
  <si>
    <t>2038 Morris Ave</t>
  </si>
  <si>
    <t>17340 105th Ave</t>
  </si>
  <si>
    <t>2743 8th Ave</t>
  </si>
  <si>
    <t>2009 Cruger Ave</t>
  </si>
  <si>
    <t>1384 Clay Ave</t>
  </si>
  <si>
    <t>7036 65th Pl</t>
  </si>
  <si>
    <t>14726 Barclay Ave</t>
  </si>
  <si>
    <t>361 Jersey St</t>
  </si>
  <si>
    <t>977 Erie Rd</t>
  </si>
  <si>
    <t>338 Madison Street</t>
  </si>
  <si>
    <t>1920 Union St</t>
  </si>
  <si>
    <t>116 Genung St</t>
  </si>
  <si>
    <t>294 Sumpter St</t>
  </si>
  <si>
    <t>2102 Madison Ave</t>
  </si>
  <si>
    <t>701 Bay St</t>
  </si>
  <si>
    <t>629 E 3rd St</t>
  </si>
  <si>
    <t>55 Saint Nicholas Pl</t>
  </si>
  <si>
    <t>13904 101st Ave</t>
  </si>
  <si>
    <t>7127 65th St</t>
  </si>
  <si>
    <t>8111 45th Ave</t>
  </si>
  <si>
    <t>272 Pennsylvania Ave</t>
  </si>
  <si>
    <t>45 W 177th St</t>
  </si>
  <si>
    <t>2071 Walton Ave</t>
  </si>
  <si>
    <t>5305 6th Ave</t>
  </si>
  <si>
    <t>100 Asch Loop</t>
  </si>
  <si>
    <t>21 Schaefer St</t>
  </si>
  <si>
    <t>879 Cypress Ave</t>
  </si>
  <si>
    <t>1478 Beach Ave</t>
  </si>
  <si>
    <t>35 Montgomery St</t>
  </si>
  <si>
    <t>3164 21st St</t>
  </si>
  <si>
    <t>726 Nostrand Ave</t>
  </si>
  <si>
    <t>988 Eastern Pkwy</t>
  </si>
  <si>
    <t>11421 204th St</t>
  </si>
  <si>
    <t>287 Edgecombe Ave</t>
  </si>
  <si>
    <t>260 W 153rd St</t>
  </si>
  <si>
    <t>14 Spartan Ave</t>
  </si>
  <si>
    <t>800 MADISON ST</t>
  </si>
  <si>
    <t>2399 N Jerusalem Rd</t>
  </si>
  <si>
    <t>401 61st St</t>
  </si>
  <si>
    <t>3533 90th St</t>
  </si>
  <si>
    <t>212 Saint Nicholas Ave</t>
  </si>
  <si>
    <t>1907 60th St</t>
  </si>
  <si>
    <t>87 Thompson St</t>
  </si>
  <si>
    <t>355 E 184th St</t>
  </si>
  <si>
    <t>565 Manhattan Ave</t>
  </si>
  <si>
    <t>775 Saint Johns Pl</t>
  </si>
  <si>
    <t>20 W 190th St</t>
  </si>
  <si>
    <t>8744 Marengo St</t>
  </si>
  <si>
    <t>2475 Southern Blvd</t>
  </si>
  <si>
    <t>11702 107th Ave</t>
  </si>
  <si>
    <t>332 W 234th St</t>
  </si>
  <si>
    <t>1362 New York Ave</t>
  </si>
  <si>
    <t>1437 1st Ave</t>
  </si>
  <si>
    <t>11820 218th St</t>
  </si>
  <si>
    <t>1782 Bergen st</t>
  </si>
  <si>
    <t>13745 82nd St</t>
  </si>
  <si>
    <t>79 Wolcott St</t>
  </si>
  <si>
    <t>158 Beach 114th St</t>
  </si>
  <si>
    <t>97-25 109 Street</t>
  </si>
  <si>
    <t>8202 Rockaway Beach Blvd</t>
  </si>
  <si>
    <t>91-37 98 Street</t>
  </si>
  <si>
    <t>4289 Park Ave</t>
  </si>
  <si>
    <t>8836 Elmhurst Ave</t>
  </si>
  <si>
    <t>1748 Sterling Pl</t>
  </si>
  <si>
    <t>906 Wheeler Ave</t>
  </si>
  <si>
    <t>9520 Seaview Ct</t>
  </si>
  <si>
    <t>24219 83 Avenue</t>
  </si>
  <si>
    <t>1025 Aldus st</t>
  </si>
  <si>
    <t>8105 Rockaway Beach Blvd</t>
  </si>
  <si>
    <t>3218 Wickham ave</t>
  </si>
  <si>
    <t>2759 Webster Ave</t>
  </si>
  <si>
    <t>344 W 15th St</t>
  </si>
  <si>
    <t>2543 Bronxwood Ave</t>
  </si>
  <si>
    <t>2309 Holland Ave</t>
  </si>
  <si>
    <t>8412 Rockaway Beach Blvd</t>
  </si>
  <si>
    <t>1598 Bronx River Ave</t>
  </si>
  <si>
    <t>490 New York Ave</t>
  </si>
  <si>
    <t>942 College Point Blvd</t>
  </si>
  <si>
    <t>2295 Morris Ave</t>
  </si>
  <si>
    <t>621 Lynda Rd</t>
  </si>
  <si>
    <t>Po Box 30087</t>
  </si>
  <si>
    <t>121 E 131st St</t>
  </si>
  <si>
    <t>1290 E 8th St</t>
  </si>
  <si>
    <t>1925 Adam Clayton Powell Jr Blvd</t>
  </si>
  <si>
    <t>15046 72nd Dr</t>
  </si>
  <si>
    <t>81 Beadel St</t>
  </si>
  <si>
    <t>3636 168th St</t>
  </si>
  <si>
    <t>600 Trinity Ave</t>
  </si>
  <si>
    <t>13215 155th St</t>
  </si>
  <si>
    <t>140 Asch Loop</t>
  </si>
  <si>
    <t>1920 Harrison Ave</t>
  </si>
  <si>
    <t>685 E 140th St</t>
  </si>
  <si>
    <t>917 Ogden Ave</t>
  </si>
  <si>
    <t>5731 Broadway</t>
  </si>
  <si>
    <t>965 College Ave</t>
  </si>
  <si>
    <t>6561 Saunders St</t>
  </si>
  <si>
    <t>800 Grand Concourse</t>
  </si>
  <si>
    <t>292 8th St</t>
  </si>
  <si>
    <t>9006 102nd St</t>
  </si>
  <si>
    <t>128 Park Pl</t>
  </si>
  <si>
    <t>108B Hillside ave</t>
  </si>
  <si>
    <t>295 Clinton ave</t>
  </si>
  <si>
    <t>660 Arnow Ave</t>
  </si>
  <si>
    <t>9216 Union Hall St</t>
  </si>
  <si>
    <t>27 Warren St</t>
  </si>
  <si>
    <t>480 Waverly Ave</t>
  </si>
  <si>
    <t>1 Tennis Ct</t>
  </si>
  <si>
    <t>1177 New York Ave</t>
  </si>
  <si>
    <t>205 Montrose Ave</t>
  </si>
  <si>
    <t>441 B 51st St</t>
  </si>
  <si>
    <t>45-23 215th St.</t>
  </si>
  <si>
    <t>170-25 171st Pl</t>
  </si>
  <si>
    <t>14449 228th St</t>
  </si>
  <si>
    <t>3444 Knox Pl</t>
  </si>
  <si>
    <t>551 W 170th St</t>
  </si>
  <si>
    <t>415 Grand St</t>
  </si>
  <si>
    <t>210 Brighton 15th St</t>
  </si>
  <si>
    <t>1409 Prospect Ave</t>
  </si>
  <si>
    <t>10875 Avenue B</t>
  </si>
  <si>
    <t>10106 Nicolls Ave</t>
  </si>
  <si>
    <t>542 W 147th St</t>
  </si>
  <si>
    <t>700 W 178th St</t>
  </si>
  <si>
    <t>9163 85th St</t>
  </si>
  <si>
    <t>968 Bronx Park S</t>
  </si>
  <si>
    <t>311 Bedford Park Blvd</t>
  </si>
  <si>
    <t>1899 Belmont Ave</t>
  </si>
  <si>
    <t>3585 Dekalb Ave</t>
  </si>
  <si>
    <t>414 E 204th St</t>
  </si>
  <si>
    <t>605 Louisiana Ave</t>
  </si>
  <si>
    <t>647 E 103rd St</t>
  </si>
  <si>
    <t>766 Ocean Ave</t>
  </si>
  <si>
    <t>16312 108th Ave</t>
  </si>
  <si>
    <t>1760 Madison Ave</t>
  </si>
  <si>
    <t>2291 University Ave</t>
  </si>
  <si>
    <t>3123 56th St</t>
  </si>
  <si>
    <t>122 E 104th St</t>
  </si>
  <si>
    <t>719 Saint Nicholas Ave</t>
  </si>
  <si>
    <t>1266 Olmstead Ave</t>
  </si>
  <si>
    <t>899 Westchester Ave</t>
  </si>
  <si>
    <t>855 E 19th St</t>
  </si>
  <si>
    <t>11369 Springfield Blvd</t>
  </si>
  <si>
    <t>410 W 110th St</t>
  </si>
  <si>
    <t>1740 Prospect Pl</t>
  </si>
  <si>
    <t>6143 Wetherole St</t>
  </si>
  <si>
    <t>6570 Booth St</t>
  </si>
  <si>
    <t>35 E 106th St</t>
  </si>
  <si>
    <t>739 Miller Ave</t>
  </si>
  <si>
    <t>13753 234th St</t>
  </si>
  <si>
    <t>216 Herzl St</t>
  </si>
  <si>
    <t>5337 97th St</t>
  </si>
  <si>
    <t>1238 Simpson St</t>
  </si>
  <si>
    <t>240 Park Hill Ave</t>
  </si>
  <si>
    <t>7110 34th Ave</t>
  </si>
  <si>
    <t>140 Debs Pl</t>
  </si>
  <si>
    <t>630 Linden Blvd</t>
  </si>
  <si>
    <t>845 Riverside Dr</t>
  </si>
  <si>
    <t>7402 97th Ave</t>
  </si>
  <si>
    <t>1124 Fulton St</t>
  </si>
  <si>
    <t>470 W 72nd St</t>
  </si>
  <si>
    <t>907 E 221st St</t>
  </si>
  <si>
    <t>19106 Hillside Ave</t>
  </si>
  <si>
    <t>4102 12th St</t>
  </si>
  <si>
    <t>3475 3rd Ave</t>
  </si>
  <si>
    <t>625 W 156th St</t>
  </si>
  <si>
    <t>16908 116th Ave</t>
  </si>
  <si>
    <t>171 Milford St</t>
  </si>
  <si>
    <t>57 Herkimer St</t>
  </si>
  <si>
    <t>2351 Pacific St</t>
  </si>
  <si>
    <t>6157 67th St</t>
  </si>
  <si>
    <t>13418 133rd Ave</t>
  </si>
  <si>
    <t>6418 32nd Ave</t>
  </si>
  <si>
    <t>309 Lafayette Avenue</t>
  </si>
  <si>
    <t>365 W 25th St</t>
  </si>
  <si>
    <t>827 Nostrand Ave</t>
  </si>
  <si>
    <t>55 W 129th St</t>
  </si>
  <si>
    <t>1139 E 39th St</t>
  </si>
  <si>
    <t>81-32 102nd Ave</t>
  </si>
  <si>
    <t>3576 Dekalb Ave</t>
  </si>
  <si>
    <t>109-46 115th St.</t>
  </si>
  <si>
    <t>612 Flatbush Ave</t>
  </si>
  <si>
    <t>9005 161st St</t>
  </si>
  <si>
    <t>3764 Bronx blvd</t>
  </si>
  <si>
    <t>8825 153rd St</t>
  </si>
  <si>
    <t>1745 President St</t>
  </si>
  <si>
    <t>64 Hicks St</t>
  </si>
  <si>
    <t>2929 Bainbridge Ave</t>
  </si>
  <si>
    <t>624 E 220th St</t>
  </si>
  <si>
    <t>1370 66th St</t>
  </si>
  <si>
    <t>256 Egbert Ave</t>
  </si>
  <si>
    <t>339 Schenck Ave</t>
  </si>
  <si>
    <t>670 Garden St</t>
  </si>
  <si>
    <t>2515 Woodhull Ave</t>
  </si>
  <si>
    <t>285 Monroe St</t>
  </si>
  <si>
    <t>6 Kingsbridge Ave</t>
  </si>
  <si>
    <t>220 E 204th St</t>
  </si>
  <si>
    <t>2757 Claflin Ave</t>
  </si>
  <si>
    <t>20 Richmind Plaza</t>
  </si>
  <si>
    <t>1520 Sheridan Ave</t>
  </si>
  <si>
    <t>1818 Anthony Ave</t>
  </si>
  <si>
    <t>15901 110th Ave</t>
  </si>
  <si>
    <t>219 E 196th St</t>
  </si>
  <si>
    <t>2979 Marion Ave</t>
  </si>
  <si>
    <t>296 9th Ave</t>
  </si>
  <si>
    <t>324 Bainbridge St</t>
  </si>
  <si>
    <t>721 Tinton Ave</t>
  </si>
  <si>
    <t>33 Henry St</t>
  </si>
  <si>
    <t>180 Linden Blvd</t>
  </si>
  <si>
    <t>412 Lake St</t>
  </si>
  <si>
    <t>1636 3rd Ave</t>
  </si>
  <si>
    <t>2000 Valentine Ave</t>
  </si>
  <si>
    <t>232 Otis Ave</t>
  </si>
  <si>
    <t>2334 Washington Ave</t>
  </si>
  <si>
    <t>638 Park Pl</t>
  </si>
  <si>
    <t>150 E 18th St</t>
  </si>
  <si>
    <t>730 Oakland Pl</t>
  </si>
  <si>
    <t>801 Woodward Ave</t>
  </si>
  <si>
    <t>40 Waterside Plz</t>
  </si>
  <si>
    <t>948 E 179th St</t>
  </si>
  <si>
    <t>1116-32 126th st</t>
  </si>
  <si>
    <t>517 W 160th St</t>
  </si>
  <si>
    <t>1001 Woodycrest Ave</t>
  </si>
  <si>
    <t>365 W 20th St</t>
  </si>
  <si>
    <t>880 Tinton Ave</t>
  </si>
  <si>
    <t>2127 Homer Ave</t>
  </si>
  <si>
    <t>2020 Albermarle Road</t>
  </si>
  <si>
    <t>1134 Bryant Ave</t>
  </si>
  <si>
    <t>267 Hewes St</t>
  </si>
  <si>
    <t>2121 Saint Raymond Ave</t>
  </si>
  <si>
    <t>751 Gerard Ave</t>
  </si>
  <si>
    <t>325 E 115th St</t>
  </si>
  <si>
    <t>817 Schenck Ave</t>
  </si>
  <si>
    <t>2185 Amsterdam Ave</t>
  </si>
  <si>
    <t>1561 Unionport Rd</t>
  </si>
  <si>
    <t>167 Greenpoint Ave</t>
  </si>
  <si>
    <t>660 E 242nd St</t>
  </si>
  <si>
    <t>3411 Irwin Avenue</t>
  </si>
  <si>
    <t>5315 Woodside Ave</t>
  </si>
  <si>
    <t>4225 80th St</t>
  </si>
  <si>
    <t>443 Lenox Ave</t>
  </si>
  <si>
    <t>14446 184th St</t>
  </si>
  <si>
    <t>1763 51st St</t>
  </si>
  <si>
    <t>93 Jefferson St</t>
  </si>
  <si>
    <t>1719 63rd St</t>
  </si>
  <si>
    <t>52 S Portland Ave</t>
  </si>
  <si>
    <t>261 Bainbridge St</t>
  </si>
  <si>
    <t>11001 62nd Dr</t>
  </si>
  <si>
    <t>675 W 187th st</t>
  </si>
  <si>
    <t>10958 Van Wyck Expy</t>
  </si>
  <si>
    <t>45 Pineapple St # 55</t>
  </si>
  <si>
    <t>1730 Taylor Ave</t>
  </si>
  <si>
    <t>393 Jerome St</t>
  </si>
  <si>
    <t>1982 Walton Ave</t>
  </si>
  <si>
    <t>479 Pennsylvania Ave</t>
  </si>
  <si>
    <t>125 Freedom Ave</t>
  </si>
  <si>
    <t>3312 Hull Ave</t>
  </si>
  <si>
    <t>245 W 137th St</t>
  </si>
  <si>
    <t>333 Martense St</t>
  </si>
  <si>
    <t>95 Seaman Ave</t>
  </si>
  <si>
    <t>21 W End Ave</t>
  </si>
  <si>
    <t>24018 145th Ave</t>
  </si>
  <si>
    <t>2300 Olinville Ave</t>
  </si>
  <si>
    <t>1460 Grand Concourse</t>
  </si>
  <si>
    <t>1098 Anderson Ave</t>
  </si>
  <si>
    <t>138 Cumberland Walk</t>
  </si>
  <si>
    <t>655 E 228th St</t>
  </si>
  <si>
    <t>994 E 180th St</t>
  </si>
  <si>
    <t>175 Willoughby St</t>
  </si>
  <si>
    <t>1014 Hoe Ave</t>
  </si>
  <si>
    <t>1536 Lexington Ave</t>
  </si>
  <si>
    <t>350 Vanderbilt Ave</t>
  </si>
  <si>
    <t>3764 Bronx Blvd</t>
  </si>
  <si>
    <t>205 Alexander Ave</t>
  </si>
  <si>
    <t>717 Crotona Park N</t>
  </si>
  <si>
    <t>8912 183rd St</t>
  </si>
  <si>
    <t>1220 Shakespeare Ave</t>
  </si>
  <si>
    <t>361 Livonia Ave</t>
  </si>
  <si>
    <t>277 E 207th St</t>
  </si>
  <si>
    <t>731 Gerard Ave</t>
  </si>
  <si>
    <t>79 Clifton Pl</t>
  </si>
  <si>
    <t>226 Naples Ter</t>
  </si>
  <si>
    <t>389 E 151st St</t>
  </si>
  <si>
    <t>225 Division Ave</t>
  </si>
  <si>
    <t>914 Hoe Ave</t>
  </si>
  <si>
    <t>1401 Grand Concourse</t>
  </si>
  <si>
    <t>1111 Carroll St</t>
  </si>
  <si>
    <t>212 Broad St</t>
  </si>
  <si>
    <t>272 Main St</t>
  </si>
  <si>
    <t>631 E 220th St</t>
  </si>
  <si>
    <t>1004 Ionia Ave</t>
  </si>
  <si>
    <t>66 W 38th St</t>
  </si>
  <si>
    <t>140 Alcott Pl</t>
  </si>
  <si>
    <t>1824 Weeks Ave</t>
  </si>
  <si>
    <t>630 Courtlandt Ave</t>
  </si>
  <si>
    <t>3915 Carpenter Ave</t>
  </si>
  <si>
    <t>8601 102nd Ave</t>
  </si>
  <si>
    <t>8929 163rd St</t>
  </si>
  <si>
    <t>336 E 117th St</t>
  </si>
  <si>
    <t>2186 5th Ave</t>
  </si>
  <si>
    <t>2414 Creston Ave</t>
  </si>
  <si>
    <t>3308 Rombouts Ave</t>
  </si>
  <si>
    <t>2435 Devoe Ter</t>
  </si>
  <si>
    <t>185 E 85th St</t>
  </si>
  <si>
    <t>1847 Univ Ave</t>
  </si>
  <si>
    <t>1490 Gates Ave</t>
  </si>
  <si>
    <t>29 E 198th St</t>
  </si>
  <si>
    <t>738 Albany Ave</t>
  </si>
  <si>
    <t>1790 Clinton Ave</t>
  </si>
  <si>
    <t>950 Aldus St</t>
  </si>
  <si>
    <t>96 Wadsworth Ter</t>
  </si>
  <si>
    <t>1305 Amsterdam Ave</t>
  </si>
  <si>
    <t>780 Concourse Vlg W</t>
  </si>
  <si>
    <t>347-573-8693</t>
  </si>
  <si>
    <t>830 Amsterdam Ave</t>
  </si>
  <si>
    <t>1710 Andrews Ave</t>
  </si>
  <si>
    <t>9502 Seaview Ct</t>
  </si>
  <si>
    <t>983 E 181st St</t>
  </si>
  <si>
    <t>455 W 37th St</t>
  </si>
  <si>
    <t>2268 Washington Ave</t>
  </si>
  <si>
    <t>49 E 19th St</t>
  </si>
  <si>
    <t>1165 Elton St</t>
  </si>
  <si>
    <t>846 E 51st St</t>
  </si>
  <si>
    <t>4190 Bedford Ave</t>
  </si>
  <si>
    <t>3333 Henry Hudson Pkwy</t>
  </si>
  <si>
    <t>6115 163rd St</t>
  </si>
  <si>
    <t>30 3rd Ave</t>
  </si>
  <si>
    <t>176 S 8th St</t>
  </si>
  <si>
    <t>111 73rd St</t>
  </si>
  <si>
    <t>522 Wyona St</t>
  </si>
  <si>
    <t>6432 60th Rd</t>
  </si>
  <si>
    <t>81 South Covert Ave</t>
  </si>
  <si>
    <t>329 Patchen Ave</t>
  </si>
  <si>
    <t>10 Stanton St</t>
  </si>
  <si>
    <t>623 Manida St</t>
  </si>
  <si>
    <t>1405 Townsend Ave</t>
  </si>
  <si>
    <t>1839 Lexington Ave</t>
  </si>
  <si>
    <t>41 Saint Nicholas Ter</t>
  </si>
  <si>
    <t>730 Herkimer St</t>
  </si>
  <si>
    <t>3434 Boller Ave</t>
  </si>
  <si>
    <t>29 W Columbia St</t>
  </si>
  <si>
    <t>532 Bradford St</t>
  </si>
  <si>
    <t>2095 Mohegan Ave</t>
  </si>
  <si>
    <t>1357 Dean St</t>
  </si>
  <si>
    <t>148 Vassar St</t>
  </si>
  <si>
    <t>2275 Barker Ave</t>
  </si>
  <si>
    <t>235 Berriman St</t>
  </si>
  <si>
    <t>2955 Bainbridge Ave</t>
  </si>
  <si>
    <t>5402 Snyder Ave</t>
  </si>
  <si>
    <t>405 Lexington Ave</t>
  </si>
  <si>
    <t>106 Decatur St</t>
  </si>
  <si>
    <t>725 Southern Blvd</t>
  </si>
  <si>
    <t>1534 Eastern Pkwy</t>
  </si>
  <si>
    <t>443 Clinton Ave</t>
  </si>
  <si>
    <t>3100 Ocean Pkwy</t>
  </si>
  <si>
    <t>2161 Barnes Ave</t>
  </si>
  <si>
    <t>1797 W 10th St</t>
  </si>
  <si>
    <t>107 Van Buren St</t>
  </si>
  <si>
    <t>68 Brighton Ave</t>
  </si>
  <si>
    <t>40 Putnam Ave</t>
  </si>
  <si>
    <t>2744 Bedford Ave</t>
  </si>
  <si>
    <t>230 Echo Pl</t>
  </si>
  <si>
    <t>259 W 152nd St</t>
  </si>
  <si>
    <t>599 Utica Ave</t>
  </si>
  <si>
    <t>1250 35th Ave</t>
  </si>
  <si>
    <t>15010 89th St</t>
  </si>
  <si>
    <t>95 Malcolm X Blvd</t>
  </si>
  <si>
    <t>4441 bedford ave</t>
  </si>
  <si>
    <t>110 E 176th St</t>
  </si>
  <si>
    <t>456 Beach 40th St</t>
  </si>
  <si>
    <t>696 E 92nd St</t>
  </si>
  <si>
    <t>1644 Norman St</t>
  </si>
  <si>
    <t>176 W 94th St</t>
  </si>
  <si>
    <t>5018 111th ST</t>
  </si>
  <si>
    <t>394 E 98th St</t>
  </si>
  <si>
    <t>666 Dumont Ave</t>
  </si>
  <si>
    <t>710 Tinton Ave</t>
  </si>
  <si>
    <t>3514 Neptune Ave</t>
  </si>
  <si>
    <t>1361 Rosedale Ave</t>
  </si>
  <si>
    <t>51 Junius St</t>
  </si>
  <si>
    <t>205 Sumpter St</t>
  </si>
  <si>
    <t>524 Vandalia ave</t>
  </si>
  <si>
    <t>4211 Avenue K</t>
  </si>
  <si>
    <t>2525 Morris Ave</t>
  </si>
  <si>
    <t>12114 Keel Ct</t>
  </si>
  <si>
    <t>237 Landing Rd</t>
  </si>
  <si>
    <t>133 Schenectady ave</t>
  </si>
  <si>
    <t>101 Woodruff Ave</t>
  </si>
  <si>
    <t>2027 Adam Clayton Powell Jr Blvd</t>
  </si>
  <si>
    <t>409 E 21st St</t>
  </si>
  <si>
    <t>3104 Wilkinson Ave</t>
  </si>
  <si>
    <t>522 W 147th St</t>
  </si>
  <si>
    <t>33 Lenox Rd</t>
  </si>
  <si>
    <t>1043 E 216th St</t>
  </si>
  <si>
    <t>180 Grafton St</t>
  </si>
  <si>
    <t>9409 40th Rd</t>
  </si>
  <si>
    <t>133 Schenectady Ave</t>
  </si>
  <si>
    <t>691 Winthrop St</t>
  </si>
  <si>
    <t>30 Dongan Hills Ave</t>
  </si>
  <si>
    <t>208 Bement Ave</t>
  </si>
  <si>
    <t>372 New York Ave</t>
  </si>
  <si>
    <t>17002 93rd Ave</t>
  </si>
  <si>
    <t>10241 65th Rd</t>
  </si>
  <si>
    <t>2733 Morris Ave</t>
  </si>
  <si>
    <t>955 Walton Ave</t>
  </si>
  <si>
    <t>21 Truxton St</t>
  </si>
  <si>
    <t>1765 Townsend Ave</t>
  </si>
  <si>
    <t>9400 Ditmars Blvd</t>
  </si>
  <si>
    <t>3341 96th St</t>
  </si>
  <si>
    <t>735 Lincoln ave</t>
  </si>
  <si>
    <t>1111 E 73rd St</t>
  </si>
  <si>
    <t>29 Cliff St</t>
  </si>
  <si>
    <t>112 Lincoln Ave</t>
  </si>
  <si>
    <t>360 Prospect pl</t>
  </si>
  <si>
    <t>10327 135th St</t>
  </si>
  <si>
    <t>135 W 123rd St</t>
  </si>
  <si>
    <t>1500 Noble Ave</t>
  </si>
  <si>
    <t>1128 Ovington Ave</t>
  </si>
  <si>
    <t>763 Ocean Pkwy</t>
  </si>
  <si>
    <t>3912 112th St</t>
  </si>
  <si>
    <t>6818 Bay Pkwy</t>
  </si>
  <si>
    <t>578 Christopher Ave</t>
  </si>
  <si>
    <t>768 Van Nest Ave</t>
  </si>
  <si>
    <t>148 W 144th St</t>
  </si>
  <si>
    <t>233 W 111th St</t>
  </si>
  <si>
    <t>1236 Clay Ave</t>
  </si>
  <si>
    <t>331 Beach 31st St</t>
  </si>
  <si>
    <t>104 Avenue I</t>
  </si>
  <si>
    <t>434 Beach 58th St</t>
  </si>
  <si>
    <t>1315 Amsterdam Ave</t>
  </si>
  <si>
    <t>489 St Pauls Ave</t>
  </si>
  <si>
    <t>243 Kingston Ave</t>
  </si>
  <si>
    <t>5955 47th Ave</t>
  </si>
  <si>
    <t>395 Smith St</t>
  </si>
  <si>
    <t>477 Saratoga Ave</t>
  </si>
  <si>
    <t>3064 Bailey Ave</t>
  </si>
  <si>
    <t>1895 Morris Ave</t>
  </si>
  <si>
    <t>251 Mother Gaston Blvd</t>
  </si>
  <si>
    <t>3322 Decatur Ave</t>
  </si>
  <si>
    <t>182 Van Pelt Ave</t>
  </si>
  <si>
    <t>34 Willis ave</t>
  </si>
  <si>
    <t>2311 Crotona Ave</t>
  </si>
  <si>
    <t>2380 Grand Ave</t>
  </si>
  <si>
    <t>224 Arlene St</t>
  </si>
  <si>
    <t>13534 116th St</t>
  </si>
  <si>
    <t>18146 144th Ave</t>
  </si>
  <si>
    <t>8023 235th St</t>
  </si>
  <si>
    <t>158 Hendrix St</t>
  </si>
  <si>
    <t>1620 Bay Ridge Ave</t>
  </si>
  <si>
    <t>671 Halsey St</t>
  </si>
  <si>
    <t>3005 Kingsland Ave</t>
  </si>
  <si>
    <t>1584 E 14th ST</t>
  </si>
  <si>
    <t>984 Greene Ave</t>
  </si>
  <si>
    <t>232 W 122nd St</t>
  </si>
  <si>
    <t>49 Prince St</t>
  </si>
  <si>
    <t>402 85th St</t>
  </si>
  <si>
    <t>630 Van Duzer St</t>
  </si>
  <si>
    <t>9010 150th St</t>
  </si>
  <si>
    <t>17 Ashton Dr</t>
  </si>
  <si>
    <t>953 E 232nd St</t>
  </si>
  <si>
    <t>1996 Anthony Ave</t>
  </si>
  <si>
    <t>9835 57th Ave</t>
  </si>
  <si>
    <t>2232 24th St</t>
  </si>
  <si>
    <t>700 Morris Ave</t>
  </si>
  <si>
    <t>941 Jerome Ave</t>
  </si>
  <si>
    <t>133-08 41st Ave</t>
  </si>
  <si>
    <t>272 Sherman ave</t>
  </si>
  <si>
    <t>127 W 127th St</t>
  </si>
  <si>
    <t>185 Wortman Ave</t>
  </si>
  <si>
    <t>294 5th Ave</t>
  </si>
  <si>
    <t>721 E 216th St</t>
  </si>
  <si>
    <t>5906a 38th Ave</t>
  </si>
  <si>
    <t>739 Tilden St</t>
  </si>
  <si>
    <t>2710 Webb Ave</t>
  </si>
  <si>
    <t>1975 Creston Ave</t>
  </si>
  <si>
    <t>3505 Perry Ave</t>
  </si>
  <si>
    <t>1123 E 221st St</t>
  </si>
  <si>
    <t>232 Schenectady Ave</t>
  </si>
  <si>
    <t>1094 Longfellow Ave</t>
  </si>
  <si>
    <t>182 Saint Nicholas Ave</t>
  </si>
  <si>
    <t>1407 Middle Rd</t>
  </si>
  <si>
    <t>4560 162nd St</t>
  </si>
  <si>
    <t>2730 8th Ave</t>
  </si>
  <si>
    <t>2427 e 29th st</t>
  </si>
  <si>
    <t>2145 Starling Ave</t>
  </si>
  <si>
    <t>3805 Review Pl</t>
  </si>
  <si>
    <t>1432 Croes Ave</t>
  </si>
  <si>
    <t>770 Bryant Ave</t>
  </si>
  <si>
    <t>2238 Morris Ave</t>
  </si>
  <si>
    <t>8754 126th St</t>
  </si>
  <si>
    <t>760 Melrose Ave</t>
  </si>
  <si>
    <t>864 Hewitt Pl</t>
  </si>
  <si>
    <t>1060 Sheridan Ave</t>
  </si>
  <si>
    <t>14251 Rockaway Blvd</t>
  </si>
  <si>
    <t>211 Clinton St</t>
  </si>
  <si>
    <t>1098 Grant Ave</t>
  </si>
  <si>
    <t>10702 154th St</t>
  </si>
  <si>
    <t>4011 149th St</t>
  </si>
  <si>
    <t>1554 E 55th St</t>
  </si>
  <si>
    <t>718 Garden St</t>
  </si>
  <si>
    <t>3333 Broadway</t>
  </si>
  <si>
    <t>20 Richman Plz</t>
  </si>
  <si>
    <t>106 w 117th st</t>
  </si>
  <si>
    <t>7444 65th St</t>
  </si>
  <si>
    <t>2181 Wallace Ave</t>
  </si>
  <si>
    <t>1318 Nostrand Ave</t>
  </si>
  <si>
    <t>PO BOX 1110</t>
  </si>
  <si>
    <t>3 Haven Plz</t>
  </si>
  <si>
    <t>665 Westchester Ave</t>
  </si>
  <si>
    <t>4318 Richardson Ave</t>
  </si>
  <si>
    <t>28 Crown Ave</t>
  </si>
  <si>
    <t>1449 Herkimer St</t>
  </si>
  <si>
    <t>172 7th Ave</t>
  </si>
  <si>
    <t>9905 63rd Dr</t>
  </si>
  <si>
    <t>244 Bond St</t>
  </si>
  <si>
    <t>2471 Davidson Ave</t>
  </si>
  <si>
    <t>1015 E 83rd St</t>
  </si>
  <si>
    <t>2276 2nd Ave</t>
  </si>
  <si>
    <t>524 W 134th St</t>
  </si>
  <si>
    <t>480 Huguenot Ave</t>
  </si>
  <si>
    <t>1785 Bedford Ave</t>
  </si>
  <si>
    <t>470 Kosciusko Street</t>
  </si>
  <si>
    <t>15 North St</t>
  </si>
  <si>
    <t>14 Bent St</t>
  </si>
  <si>
    <t>1820 Avenue P</t>
  </si>
  <si>
    <t>658 Morris Park Ave</t>
  </si>
  <si>
    <t>516 W 156th St</t>
  </si>
  <si>
    <t>3752 89th St</t>
  </si>
  <si>
    <t>125 E 118th St</t>
  </si>
  <si>
    <t>2503 Cortelyou Rd</t>
  </si>
  <si>
    <t>1284 Saint Johns Pl</t>
  </si>
  <si>
    <t>45 Pinehurst Ave</t>
  </si>
  <si>
    <t>139 W 135th St</t>
  </si>
  <si>
    <t>443 Father Capodanno Blvd</t>
  </si>
  <si>
    <t>214 Clove Rd</t>
  </si>
  <si>
    <t>909 E 29th St</t>
  </si>
  <si>
    <t>2375 Southern Blvd</t>
  </si>
  <si>
    <t>2273 Adam Clayton Powell Jr Blvd</t>
  </si>
  <si>
    <t>3111 Brighton 7th ST</t>
  </si>
  <si>
    <t>12 Monsey Pl</t>
  </si>
  <si>
    <t>200 W 143rd St</t>
  </si>
  <si>
    <t>167 Havemeyer St</t>
  </si>
  <si>
    <t>2117 Clinton Ave</t>
  </si>
  <si>
    <t>525 W 28th St</t>
  </si>
  <si>
    <t>49 Crown St</t>
  </si>
  <si>
    <t>214 Rockaway Pkwy</t>
  </si>
  <si>
    <t>120 E 123rd St</t>
  </si>
  <si>
    <t>2023 Lexington Ave</t>
  </si>
  <si>
    <t>17436 126th Ave</t>
  </si>
  <si>
    <t>41 Clarkson Ave</t>
  </si>
  <si>
    <t>50 E 168th St</t>
  </si>
  <si>
    <t>700 Victory Blvd</t>
  </si>
  <si>
    <t>PO Box 779</t>
  </si>
  <si>
    <t>60 E 135th St</t>
  </si>
  <si>
    <t>8223 Bay Pkwy</t>
  </si>
  <si>
    <t>88-14 139th Street</t>
  </si>
  <si>
    <t>28 Paerdegat 5th St</t>
  </si>
  <si>
    <t>204 Mount Hope Pl</t>
  </si>
  <si>
    <t>13937 87th Ave</t>
  </si>
  <si>
    <t>1661 Southern Blvd</t>
  </si>
  <si>
    <t>65 Ivy Cir</t>
  </si>
  <si>
    <t>1412 Doris St</t>
  </si>
  <si>
    <t>3050 21st St</t>
  </si>
  <si>
    <t>3960 56th St</t>
  </si>
  <si>
    <t>64 W 107th St</t>
  </si>
  <si>
    <t>19 E 213th St</t>
  </si>
  <si>
    <t>8807 180th St</t>
  </si>
  <si>
    <t>436 Fort Washington Ave</t>
  </si>
  <si>
    <t>1204 E 95th St</t>
  </si>
  <si>
    <t>7525 153rd St</t>
  </si>
  <si>
    <t>22017 97th Ave</t>
  </si>
  <si>
    <t>243 E 237th St</t>
  </si>
  <si>
    <t>104-49 113th St.</t>
  </si>
  <si>
    <t>750 Grand Concourse</t>
  </si>
  <si>
    <t>1314 Eastern Pkwy</t>
  </si>
  <si>
    <t>850 Manhattan Ave</t>
  </si>
  <si>
    <t>769 Bryant Ave</t>
  </si>
  <si>
    <t>1413 Hancock St</t>
  </si>
  <si>
    <t>203 W 107th St</t>
  </si>
  <si>
    <t>273 W 131st St</t>
  </si>
  <si>
    <t>490 Ocean Parkway</t>
  </si>
  <si>
    <t>55 Linden Blvd</t>
  </si>
  <si>
    <t>171 15th St</t>
  </si>
  <si>
    <t>365 Broadway</t>
  </si>
  <si>
    <t>67 Grandview Ave</t>
  </si>
  <si>
    <t>1140 Forest Ave</t>
  </si>
  <si>
    <t>8903 146th St</t>
  </si>
  <si>
    <t>2274 University Ave</t>
  </si>
  <si>
    <t>55 Roe St</t>
  </si>
  <si>
    <t>1290 Ocean Ave</t>
  </si>
  <si>
    <t>215 Martense St</t>
  </si>
  <si>
    <t>2935 Ocean Pkwy</t>
  </si>
  <si>
    <t>2030 W 4th St</t>
  </si>
  <si>
    <t>8925 Parsons Blvd</t>
  </si>
  <si>
    <t>1370 Saint Nicholas Ave</t>
  </si>
  <si>
    <t>30 Pacific Ave</t>
  </si>
  <si>
    <t>2885 Bainbridge Avenue</t>
  </si>
  <si>
    <t>12627 146th St</t>
  </si>
  <si>
    <t>1368 Prospect Pl</t>
  </si>
  <si>
    <t>8511 87th St</t>
  </si>
  <si>
    <t>2511 Newkirk Ave</t>
  </si>
  <si>
    <t>1325 Eastern Pkwy</t>
  </si>
  <si>
    <t>608 W 139th St # 610</t>
  </si>
  <si>
    <t>13526 Lefferts Blvd</t>
  </si>
  <si>
    <t>215 Avenue A</t>
  </si>
  <si>
    <t>3001 Orion Ln</t>
  </si>
  <si>
    <t>1097 Arden Ave</t>
  </si>
  <si>
    <t>920 E 6th St</t>
  </si>
  <si>
    <t>82 Wadsworth Ter</t>
  </si>
  <si>
    <t>2546 E 13th St</t>
  </si>
  <si>
    <t>8572 148th St</t>
  </si>
  <si>
    <t>216 W 99th St</t>
  </si>
  <si>
    <t>11908 107th Ave</t>
  </si>
  <si>
    <t>110 Livingston St</t>
  </si>
  <si>
    <t>518 Tennyson Dr</t>
  </si>
  <si>
    <t>1420 Grand Concourse</t>
  </si>
  <si>
    <t>1966 70th St</t>
  </si>
  <si>
    <t>60 Thayer St</t>
  </si>
  <si>
    <t>753 Classon Ave</t>
  </si>
  <si>
    <t>490 Ocean Pkwy</t>
  </si>
  <si>
    <t>1611 Park Ave</t>
  </si>
  <si>
    <t>792 Miller Ave</t>
  </si>
  <si>
    <t>2400 2nd Ave</t>
  </si>
  <si>
    <t>333 Lafayette Ave</t>
  </si>
  <si>
    <t>7124 Fresh Pond Rd</t>
  </si>
  <si>
    <t>78 Catherine St</t>
  </si>
  <si>
    <t>119 Vermilyea Ave</t>
  </si>
  <si>
    <t>2105 Foster Ave</t>
  </si>
  <si>
    <t>1154 Stratford Ave</t>
  </si>
  <si>
    <t>P.O Box 641</t>
  </si>
  <si>
    <t>774 Henry St</t>
  </si>
  <si>
    <t>1763 Fulton Ave</t>
  </si>
  <si>
    <t>212 E 182nd St</t>
  </si>
  <si>
    <t>13229 Blossom Ave</t>
  </si>
  <si>
    <t>2922 Grand Concourse</t>
  </si>
  <si>
    <t>2137 Vyse Ave</t>
  </si>
  <si>
    <t>330 E 19th St</t>
  </si>
  <si>
    <t>245 E 40th St</t>
  </si>
  <si>
    <t>30 Montrose Ave</t>
  </si>
  <si>
    <t>553 Mcdonald Ave</t>
  </si>
  <si>
    <t>5635 185th St</t>
  </si>
  <si>
    <t>5 Post Ave</t>
  </si>
  <si>
    <t>535 W 23rd St</t>
  </si>
  <si>
    <t>183 E 98th St</t>
  </si>
  <si>
    <t>231 W 149th St</t>
  </si>
  <si>
    <t>2050 Frederick Douglass Blvd</t>
  </si>
  <si>
    <t>246 Bainbridge St</t>
  </si>
  <si>
    <t>1898 Bergen St</t>
  </si>
  <si>
    <t>14435 37th Ave</t>
  </si>
  <si>
    <t>444 49th St</t>
  </si>
  <si>
    <t>110 Seigel St</t>
  </si>
  <si>
    <t>446 W 126th St</t>
  </si>
  <si>
    <t>297 Troutman St</t>
  </si>
  <si>
    <t>448 E 105th St</t>
  </si>
  <si>
    <t>792 Sterling Pl</t>
  </si>
  <si>
    <t>1363 Franklin Ave</t>
  </si>
  <si>
    <t>11539 135th St</t>
  </si>
  <si>
    <t>1164 Pacific St</t>
  </si>
  <si>
    <t>34-42 90th St.</t>
  </si>
  <si>
    <t>1772 Flatbush Ave</t>
  </si>
  <si>
    <t>236 Montgomery St</t>
  </si>
  <si>
    <t>1955 Richmond Ter</t>
  </si>
  <si>
    <t>452 Madison St</t>
  </si>
  <si>
    <t>209a Van Name Ave</t>
  </si>
  <si>
    <t>522 Quincy St</t>
  </si>
  <si>
    <t>120 Carver Loop</t>
  </si>
  <si>
    <t>1564 Taylor Ave</t>
  </si>
  <si>
    <t>611 Greene Ave</t>
  </si>
  <si>
    <t>30 Hamilton Pl</t>
  </si>
  <si>
    <t>1625 Arnow Ave</t>
  </si>
  <si>
    <t>57 Amador St</t>
  </si>
  <si>
    <t>33 3rd Ave</t>
  </si>
  <si>
    <t>1041 E 179th St</t>
  </si>
  <si>
    <t>779 4th Ave</t>
  </si>
  <si>
    <t>4 Laguardia Ave</t>
  </si>
  <si>
    <t>110 Chauncey st</t>
  </si>
  <si>
    <t>48 Winthrop St</t>
  </si>
  <si>
    <t>14 Skinner Ln</t>
  </si>
  <si>
    <t>205 Malcolm X Blvd</t>
  </si>
  <si>
    <t>10433 142nd St</t>
  </si>
  <si>
    <t>14307 101st Ave</t>
  </si>
  <si>
    <t>5933 59th Dr</t>
  </si>
  <si>
    <t>470 Ocean Ave</t>
  </si>
  <si>
    <t>60 Saint Nicholas Ave</t>
  </si>
  <si>
    <t>373 E 35th St</t>
  </si>
  <si>
    <t>10921 Van Wyck Expy</t>
  </si>
  <si>
    <t>8807 21st Ave</t>
  </si>
  <si>
    <t>1165 Evergreen Ave</t>
  </si>
  <si>
    <t>1015 Hancock St</t>
  </si>
  <si>
    <t>145 Oakdale St</t>
  </si>
  <si>
    <t>262 Amboy St</t>
  </si>
  <si>
    <t>1131 226th Dr</t>
  </si>
  <si>
    <t>3500 Snyder Ave</t>
  </si>
  <si>
    <t>1202 Spofford ave</t>
  </si>
  <si>
    <t>960 Prospect Ave</t>
  </si>
  <si>
    <t>104 Scholes St</t>
  </si>
  <si>
    <t>222 Malcolm X Blvd</t>
  </si>
  <si>
    <t>3544 159th St</t>
  </si>
  <si>
    <t>25 E 3rd St</t>
  </si>
  <si>
    <t>359 9th st</t>
  </si>
  <si>
    <t>210 Astoria Blvd</t>
  </si>
  <si>
    <t>44 longview ave</t>
  </si>
  <si>
    <t>360 E 234th St</t>
  </si>
  <si>
    <t>1776 Weeks Ave</t>
  </si>
  <si>
    <t>350 Madison St</t>
  </si>
  <si>
    <t>114-15 Dunkirk St</t>
  </si>
  <si>
    <t>10 Hendricks Ave</t>
  </si>
  <si>
    <t>300 Wortman Ave</t>
  </si>
  <si>
    <t>140 Riverside dr</t>
  </si>
  <si>
    <t>10703 Union Hall St</t>
  </si>
  <si>
    <t>4146 68th St</t>
  </si>
  <si>
    <t>32-2 28th Avenue</t>
  </si>
  <si>
    <t>694 E 149th St</t>
  </si>
  <si>
    <t>806 Macdonough St</t>
  </si>
  <si>
    <t>4530 Broadway</t>
  </si>
  <si>
    <t>1171 Morrison Ave</t>
  </si>
  <si>
    <t>466 W 26th St</t>
  </si>
  <si>
    <t>363 E 163rd St</t>
  </si>
  <si>
    <t>135 Terrace View Ave</t>
  </si>
  <si>
    <t>20 Avenue D</t>
  </si>
  <si>
    <t>22236 95th Ave</t>
  </si>
  <si>
    <t>1420 Atlantic Ave</t>
  </si>
  <si>
    <t>2516 Hering Ave</t>
  </si>
  <si>
    <t>314 Stockholm St</t>
  </si>
  <si>
    <t>520 E 149th St</t>
  </si>
  <si>
    <t>570 W 182nd St</t>
  </si>
  <si>
    <t>1359 Dickens St</t>
  </si>
  <si>
    <t>2700 Grand Concourse</t>
  </si>
  <si>
    <t>8726B 218th St</t>
  </si>
  <si>
    <t>2160 dean st</t>
  </si>
  <si>
    <t>94025 57th Avenue</t>
  </si>
  <si>
    <t>490 E 184th St</t>
  </si>
  <si>
    <t>11035 72nd Rd</t>
  </si>
  <si>
    <t>2416 38th Ave</t>
  </si>
  <si>
    <t>4148 40th St</t>
  </si>
  <si>
    <t>5123 103rd St</t>
  </si>
  <si>
    <t>1105 Elder Ave</t>
  </si>
  <si>
    <t>1857 Coney Island Ave</t>
  </si>
  <si>
    <t>11919 Inwood St</t>
  </si>
  <si>
    <t>740 Uclid Avenue</t>
  </si>
  <si>
    <t>1268 Olmstead Ave</t>
  </si>
  <si>
    <t>389 Baden Pl</t>
  </si>
  <si>
    <t>91 Brook St</t>
  </si>
  <si>
    <t>350 Manhattan Ave</t>
  </si>
  <si>
    <t>315 E 206th St</t>
  </si>
  <si>
    <t>600 W 176th St</t>
  </si>
  <si>
    <t>10151 95th St</t>
  </si>
  <si>
    <t>508 W 151st St</t>
  </si>
  <si>
    <t>14819 90th Ave</t>
  </si>
  <si>
    <t>1873 Park Pl</t>
  </si>
  <si>
    <t>1184 E 214th St</t>
  </si>
  <si>
    <t>20 N 5th St</t>
  </si>
  <si>
    <t>563 Powell St</t>
  </si>
  <si>
    <t>10717 120th St</t>
  </si>
  <si>
    <t>2317 29TH Ave</t>
  </si>
  <si>
    <t>45 W 110th St</t>
  </si>
  <si>
    <t>240 E 175th st</t>
  </si>
  <si>
    <t>307 Sharrott Ave</t>
  </si>
  <si>
    <t>14809 Northern blvd</t>
  </si>
  <si>
    <t>1925 Harrison Ave</t>
  </si>
  <si>
    <t>155 W 21st St</t>
  </si>
  <si>
    <t>17760 106th Rd</t>
  </si>
  <si>
    <t>4109 15th Ave</t>
  </si>
  <si>
    <t>225 Cross Bronx Expy</t>
  </si>
  <si>
    <t>2567 Bedford Ave</t>
  </si>
  <si>
    <t>1225 Tabor Ct</t>
  </si>
  <si>
    <t>4310 49th St</t>
  </si>
  <si>
    <t>257 E 32nd St</t>
  </si>
  <si>
    <t>136 Smith St</t>
  </si>
  <si>
    <t>2734 Kingsbridge Ter</t>
  </si>
  <si>
    <t>3671 Broadway</t>
  </si>
  <si>
    <t>205 W 115th St</t>
  </si>
  <si>
    <t>3636 Greystone Ave</t>
  </si>
  <si>
    <t>778 Livonia Ave</t>
  </si>
  <si>
    <t>2915 Holland Ave</t>
  </si>
  <si>
    <t>230 Lott ave</t>
  </si>
  <si>
    <t>169 Stagg st</t>
  </si>
  <si>
    <t>6733 Kessel St</t>
  </si>
  <si>
    <t>4921 106th St</t>
  </si>
  <si>
    <t>187 Olympia Blvd</t>
  </si>
  <si>
    <t>2160 Seward Ave</t>
  </si>
  <si>
    <t>534 W 112th St</t>
  </si>
  <si>
    <t>345 Chauncey St</t>
  </si>
  <si>
    <t>15044 120th Ave</t>
  </si>
  <si>
    <t>1220 34th Ave</t>
  </si>
  <si>
    <t>1130 Bryant Ave</t>
  </si>
  <si>
    <t>452 Saint Nicholas Ave</t>
  </si>
  <si>
    <t>5212 Glenwood Rd</t>
  </si>
  <si>
    <t>541 Coster St</t>
  </si>
  <si>
    <t>149 Watkins St</t>
  </si>
  <si>
    <t>117 Pine St</t>
  </si>
  <si>
    <t>2166 Frederick Douglass Blvd</t>
  </si>
  <si>
    <t>1507 Metropolitan Ave</t>
  </si>
  <si>
    <t>po box 494</t>
  </si>
  <si>
    <t>1048 Union St</t>
  </si>
  <si>
    <t>501 Lefferts Ave</t>
  </si>
  <si>
    <t>120 Elgar Pl</t>
  </si>
  <si>
    <t>10321 Alstyne Ave</t>
  </si>
  <si>
    <t>74 Beekman St</t>
  </si>
  <si>
    <t>2170 Ryer Ave</t>
  </si>
  <si>
    <t>497 16th St</t>
  </si>
  <si>
    <t>3014 Bouck Ave</t>
  </si>
  <si>
    <t>372 Kosciuszko St</t>
  </si>
  <si>
    <t>2434 Walton Ave</t>
  </si>
  <si>
    <t>393 Montauk Ave</t>
  </si>
  <si>
    <t>7000 Bay Pkwy</t>
  </si>
  <si>
    <t>85 Strong St</t>
  </si>
  <si>
    <t>94-11 113th St.</t>
  </si>
  <si>
    <t>24-06 86 St.</t>
  </si>
  <si>
    <t>49 Curtis Pl</t>
  </si>
  <si>
    <t>75 Stanton St</t>
  </si>
  <si>
    <t>20218 43rd Ave</t>
  </si>
  <si>
    <t>175 Willis Ave</t>
  </si>
  <si>
    <t>13720 45th Ave</t>
  </si>
  <si>
    <t>766 Fox St</t>
  </si>
  <si>
    <t>304 27th Ave</t>
  </si>
  <si>
    <t>1853 Watson Ave</t>
  </si>
  <si>
    <t>4 W 101st St</t>
  </si>
  <si>
    <t>643 Park Ave</t>
  </si>
  <si>
    <t>54 Fountain Ave</t>
  </si>
  <si>
    <t>605 Osborn St</t>
  </si>
  <si>
    <t>639 Bushwick Ave</t>
  </si>
  <si>
    <t>984 Halsey St</t>
  </si>
  <si>
    <t>966 Coney Island Ave</t>
  </si>
  <si>
    <t>9 Cook St</t>
  </si>
  <si>
    <t>2166 19th St</t>
  </si>
  <si>
    <t>1374 Teller Ave</t>
  </si>
  <si>
    <t>1217 E 15th St</t>
  </si>
  <si>
    <t>4516 49th St</t>
  </si>
  <si>
    <t>141 Sunnyside Ave</t>
  </si>
  <si>
    <t>251 Fort Washington Ave</t>
  </si>
  <si>
    <t>210 Hart St</t>
  </si>
  <si>
    <t>324 E 143rd St</t>
  </si>
  <si>
    <t>205 Avenue C</t>
  </si>
  <si>
    <t>220 E 115th St</t>
  </si>
  <si>
    <t>719 Rosedale Ave</t>
  </si>
  <si>
    <t>3467 Eastchester Rd</t>
  </si>
  <si>
    <t>65 W 90th St</t>
  </si>
  <si>
    <t>2662 Valentine Ave</t>
  </si>
  <si>
    <t>185 Nevins St</t>
  </si>
  <si>
    <t>1334 Louis Nine Blvd</t>
  </si>
  <si>
    <t>1821 Menahan St</t>
  </si>
  <si>
    <t>29 Allen St</t>
  </si>
  <si>
    <t>576 Timpson Pl</t>
  </si>
  <si>
    <t>6935 166th St</t>
  </si>
  <si>
    <t>4050 Pratt Ave</t>
  </si>
  <si>
    <t>1141 Elder Ave</t>
  </si>
  <si>
    <t>11803 Farmers Blvd</t>
  </si>
  <si>
    <t>113 Nassau St</t>
  </si>
  <si>
    <t>928 E 228th St</t>
  </si>
  <si>
    <t>69 Mimosa Ln</t>
  </si>
  <si>
    <t>1440 E New York Ave</t>
  </si>
  <si>
    <t>1308 Prospect Pl</t>
  </si>
  <si>
    <t>38 6th Avenue</t>
  </si>
  <si>
    <t>428 Grant Ave</t>
  </si>
  <si>
    <t>631 E 168th St</t>
  </si>
  <si>
    <t>68 W 238th St</t>
  </si>
  <si>
    <t>5230 39th Ave</t>
  </si>
  <si>
    <t>117 E 15th st</t>
  </si>
  <si>
    <t>1381 E 105th St</t>
  </si>
  <si>
    <t>2401 Beaumont Ave</t>
  </si>
  <si>
    <t>525 E 21st St</t>
  </si>
  <si>
    <t>46 Saint Johns Pl</t>
  </si>
  <si>
    <t>111-49 128th St.</t>
  </si>
  <si>
    <t>148-17 225th St.</t>
  </si>
  <si>
    <t>881 E 162nd St</t>
  </si>
  <si>
    <t>1535 Univ Ave</t>
  </si>
  <si>
    <t>7161 162nd St</t>
  </si>
  <si>
    <t>271 W 146th St</t>
  </si>
  <si>
    <t>14920 124th St</t>
  </si>
  <si>
    <t>2070 Union St</t>
  </si>
  <si>
    <t>5481 Almeda Ave</t>
  </si>
  <si>
    <t>103-45 97th St.</t>
  </si>
  <si>
    <t>390 9th Ave</t>
  </si>
  <si>
    <t>525 W 52nd St</t>
  </si>
  <si>
    <t>874 Park Pl</t>
  </si>
  <si>
    <t>474 48th Ave</t>
  </si>
  <si>
    <t>49 Fulton St</t>
  </si>
  <si>
    <t>4338 47th St</t>
  </si>
  <si>
    <t>145 Elmira Loop</t>
  </si>
  <si>
    <t>6236 Plunkett St</t>
  </si>
  <si>
    <t>1210 Elder Ave</t>
  </si>
  <si>
    <t>1215 Grand Concourse</t>
  </si>
  <si>
    <t>504 44th St</t>
  </si>
  <si>
    <t>48 Marcy Ave</t>
  </si>
  <si>
    <t>3906 108th St</t>
  </si>
  <si>
    <t>165 W 169th St</t>
  </si>
  <si>
    <t>PO BOX 130206</t>
  </si>
  <si>
    <t>974 45th St</t>
  </si>
  <si>
    <t>2034 7th Ave</t>
  </si>
  <si>
    <t>143 W 116th St</t>
  </si>
  <si>
    <t>285 Saint Nicholas Ave</t>
  </si>
  <si>
    <t>3081 Villa Ave</t>
  </si>
  <si>
    <t>255 W 127th St</t>
  </si>
  <si>
    <t>642 Eldert Ln</t>
  </si>
  <si>
    <t>637 Hawthorne St</t>
  </si>
  <si>
    <t>1687 Hoe Ave</t>
  </si>
  <si>
    <t>21 john st</t>
  </si>
  <si>
    <t>203 E 175th St</t>
  </si>
  <si>
    <t>8009 35th Ave</t>
  </si>
  <si>
    <t>1098 Liberty Ave</t>
  </si>
  <si>
    <t>1130 Boynton Ave</t>
  </si>
  <si>
    <t>741 E 221st St</t>
  </si>
  <si>
    <t>13324 Sanford Ave</t>
  </si>
  <si>
    <t>407 Montauk Ave</t>
  </si>
  <si>
    <t>1540 E 102nd St</t>
  </si>
  <si>
    <t>16906 116th Ave</t>
  </si>
  <si>
    <t>13121 Metropolitan Ave</t>
  </si>
  <si>
    <t>31 Bennett Ave</t>
  </si>
  <si>
    <t>1990 7th Ave</t>
  </si>
  <si>
    <t>3459 106th St</t>
  </si>
  <si>
    <t>101-59 118th St.</t>
  </si>
  <si>
    <t>907 E 221st st</t>
  </si>
  <si>
    <t>320 Saint Nicholas Ave</t>
  </si>
  <si>
    <t>1635 Sheepshead Bay Rd</t>
  </si>
  <si>
    <t>5605 4th Ave</t>
  </si>
  <si>
    <t>157 W 123rd St</t>
  </si>
  <si>
    <t>14421 70th Ave</t>
  </si>
  <si>
    <t>477 Washington Ave</t>
  </si>
  <si>
    <t>95 Lenox Ave</t>
  </si>
  <si>
    <t>160 W 116th St</t>
  </si>
  <si>
    <t>6444 84th Pl</t>
  </si>
  <si>
    <t>270 Saint Nicholas Ave</t>
  </si>
  <si>
    <t>30 Richman Plz</t>
  </si>
  <si>
    <t>208 W 133rd St</t>
  </si>
  <si>
    <t>2157 Pacific St</t>
  </si>
  <si>
    <t>218 W 140th St</t>
  </si>
  <si>
    <t>680 Saint Nicholas Ave</t>
  </si>
  <si>
    <t>92 Van Cortlandt Park S</t>
  </si>
  <si>
    <t>4325 Hunter St</t>
  </si>
  <si>
    <t>9606 32nd Ave</t>
  </si>
  <si>
    <t>305 Ocean Ave</t>
  </si>
  <si>
    <t>174 Riverdale Ave</t>
  </si>
  <si>
    <t>869 Flushing Ave</t>
  </si>
  <si>
    <t>568 74th St</t>
  </si>
  <si>
    <t>146 Clay St</t>
  </si>
  <si>
    <t>6594 162nd st</t>
  </si>
  <si>
    <t>8716 75th St</t>
  </si>
  <si>
    <t>3707 Olinville Ave</t>
  </si>
  <si>
    <t>744 Coster St</t>
  </si>
  <si>
    <t>200 W 147th St</t>
  </si>
  <si>
    <t>730 Grand Concourse</t>
  </si>
  <si>
    <t>6623 Ridge Blvd</t>
  </si>
  <si>
    <t>733 E 9th St</t>
  </si>
  <si>
    <t>21 W 112th St</t>
  </si>
  <si>
    <t>4410 Cayuga Ave</t>
  </si>
  <si>
    <t>528 4th St</t>
  </si>
  <si>
    <t>61 Saint Nicholas Ave</t>
  </si>
  <si>
    <t>201 W 105th St</t>
  </si>
  <si>
    <t>2055 Creston Ave</t>
  </si>
  <si>
    <t>764 4th Ave</t>
  </si>
  <si>
    <t>1971 Grand Ave</t>
  </si>
  <si>
    <t>20 Morningside Ave</t>
  </si>
  <si>
    <t>285 E 35th st</t>
  </si>
  <si>
    <t>609 Wales Ave</t>
  </si>
  <si>
    <t>1391 2nd Ave</t>
  </si>
  <si>
    <t>10608 Glenwood Rd</t>
  </si>
  <si>
    <t>12365 147th St</t>
  </si>
  <si>
    <t>1154 229th Dr S</t>
  </si>
  <si>
    <t>69 W Tremont Ave</t>
  </si>
  <si>
    <t>4140 Carpenter Ave</t>
  </si>
  <si>
    <t>643 Thieriot Ave</t>
  </si>
  <si>
    <t>1020 Walton Ave</t>
  </si>
  <si>
    <t>480 E 176th St</t>
  </si>
  <si>
    <t>15390 Rockaway Blvd</t>
  </si>
  <si>
    <t>12801 Gotham Rd</t>
  </si>
  <si>
    <t>18744 Mangin Ave</t>
  </si>
  <si>
    <t>4019 Ithaca St</t>
  </si>
  <si>
    <t>1864 7th Ave</t>
  </si>
  <si>
    <t>864 Euclid Ave</t>
  </si>
  <si>
    <t>372 Bay St</t>
  </si>
  <si>
    <t>67 Saint Nicholas Ave</t>
  </si>
  <si>
    <t>152 W 118th St</t>
  </si>
  <si>
    <t>300 Skillman Ave</t>
  </si>
  <si>
    <t>1409 Troy Ave</t>
  </si>
  <si>
    <t>1430 Amsterdam Ave</t>
  </si>
  <si>
    <t>5550 Fieldston Rd</t>
  </si>
  <si>
    <t>3721 80th St</t>
  </si>
  <si>
    <t>185 27th Ave</t>
  </si>
  <si>
    <t>1510 Jesup Ave</t>
  </si>
  <si>
    <t>1416 Herkimer St</t>
  </si>
  <si>
    <t>730 Metcalf Ave</t>
  </si>
  <si>
    <t>10210 Ditmars Blvd</t>
  </si>
  <si>
    <t>1453 Walton Ave</t>
  </si>
  <si>
    <t>300 E 162nd St</t>
  </si>
  <si>
    <t>901 Walton Ave</t>
  </si>
  <si>
    <t>642 Vermont St</t>
  </si>
  <si>
    <t>217 W 127th St</t>
  </si>
  <si>
    <t>249 Ralph Ave</t>
  </si>
  <si>
    <t>551 W 125th St</t>
  </si>
  <si>
    <t>365 Malcolm X Blvd</t>
  </si>
  <si>
    <t>640 Water St</t>
  </si>
  <si>
    <t>11 adams ave</t>
  </si>
  <si>
    <t>8 Saint Nicholas Ter</t>
  </si>
  <si>
    <t>2370 Ocean Ave</t>
  </si>
  <si>
    <t>315 Pulaski St</t>
  </si>
  <si>
    <t>15 W 123rd St</t>
  </si>
  <si>
    <t>2 W 120th St</t>
  </si>
  <si>
    <t>1906 3rd Ave</t>
  </si>
  <si>
    <t>115 W 137th St</t>
  </si>
  <si>
    <t>1925 Quentin Rd</t>
  </si>
  <si>
    <t>3615 Greystone Ave</t>
  </si>
  <si>
    <t>425 W 125th St</t>
  </si>
  <si>
    <t>1230 Webster Ave</t>
  </si>
  <si>
    <t>1586 E 36th st</t>
  </si>
  <si>
    <t>607 W 132nd St</t>
  </si>
  <si>
    <t>480 E 185th St</t>
  </si>
  <si>
    <t>2030 E 63rd St</t>
  </si>
  <si>
    <t>282 W 113th St</t>
  </si>
  <si>
    <t>205 W 119th St</t>
  </si>
  <si>
    <t>2075 3rd Ave</t>
  </si>
  <si>
    <t>1151 Brighton Beach Ave</t>
  </si>
  <si>
    <t>2200 Walton ave</t>
  </si>
  <si>
    <t>111 Bridge St</t>
  </si>
  <si>
    <t>201 Brighton 1st rd</t>
  </si>
  <si>
    <t>712 Crown St</t>
  </si>
  <si>
    <t>1480 Park Pl</t>
  </si>
  <si>
    <t>17511 147th Ave</t>
  </si>
  <si>
    <t>756 Stanley Ave</t>
  </si>
  <si>
    <t>1315 Eastern Pkwy</t>
  </si>
  <si>
    <t>92 Centre Mall</t>
  </si>
  <si>
    <t>506 W 170th St</t>
  </si>
  <si>
    <t>350 Saint Anns Ave</t>
  </si>
  <si>
    <t>819 E 218th St</t>
  </si>
  <si>
    <t>1581 Fulton Ave</t>
  </si>
  <si>
    <t>1175 E 229th St</t>
  </si>
  <si>
    <t>100 linden blvd</t>
  </si>
  <si>
    <t>532 Bristol St</t>
  </si>
  <si>
    <t>1011 Sheridan Ave</t>
  </si>
  <si>
    <t>583 Oder Ave</t>
  </si>
  <si>
    <t>3013 Matthews Ave</t>
  </si>
  <si>
    <t>1515 Glober Street</t>
  </si>
  <si>
    <t>17802 136th Ave</t>
  </si>
  <si>
    <t>8020 Bay Pkwy</t>
  </si>
  <si>
    <t>1460 Bronx River Ave</t>
  </si>
  <si>
    <t>1921 Jerome Ave</t>
  </si>
  <si>
    <t>754 Rutland Rd</t>
  </si>
  <si>
    <t>472 E 48th St</t>
  </si>
  <si>
    <t>516 W 143rd St</t>
  </si>
  <si>
    <t>965 Tinton Ave</t>
  </si>
  <si>
    <t>180 South St</t>
  </si>
  <si>
    <t>436 S 5th St</t>
  </si>
  <si>
    <t>1928 Daly Ave</t>
  </si>
  <si>
    <t>755 Gates Ave</t>
  </si>
  <si>
    <t>35 Tennis Ct</t>
  </si>
  <si>
    <t>257 15th St</t>
  </si>
  <si>
    <t>2604 Grand Ave</t>
  </si>
  <si>
    <t>1600 Metropolitan Ave</t>
  </si>
  <si>
    <t>2964 Beach Channel Dr</t>
  </si>
  <si>
    <t>220 E 94th St</t>
  </si>
  <si>
    <t>225 W 23rd St</t>
  </si>
  <si>
    <t>271 Arlington Ave</t>
  </si>
  <si>
    <t>315 Sutter Ave</t>
  </si>
  <si>
    <t>1034 E 213th St</t>
  </si>
  <si>
    <t>72 Hemlock St</t>
  </si>
  <si>
    <t>3017 93rd St</t>
  </si>
  <si>
    <t>2384 Hoffman St</t>
  </si>
  <si>
    <t>347 S 3rd St</t>
  </si>
  <si>
    <t>8630 102nd St</t>
  </si>
  <si>
    <t>174 Prospect Pl</t>
  </si>
  <si>
    <t>108 Field Pl</t>
  </si>
  <si>
    <t>349 E 149th St</t>
  </si>
  <si>
    <t>135 Ocean Ave</t>
  </si>
  <si>
    <t>635 Castle Hill Ave</t>
  </si>
  <si>
    <t>2098 Ryer Ave</t>
  </si>
  <si>
    <t>1109 White Plains Rd</t>
  </si>
  <si>
    <t>2785 University Ave</t>
  </si>
  <si>
    <t>2535 Davidson Ave</t>
  </si>
  <si>
    <t>519 W 143rd St</t>
  </si>
  <si>
    <t>140 Moore St</t>
  </si>
  <si>
    <t>660 fort washington ave</t>
  </si>
  <si>
    <t>10420 227th St</t>
  </si>
  <si>
    <t>1173 Bergen St</t>
  </si>
  <si>
    <t>375 E 188th st</t>
  </si>
  <si>
    <t>1560 Grand Concourse</t>
  </si>
  <si>
    <t>11469 208th St</t>
  </si>
  <si>
    <t>2405 Adam Clayton Powell Jr Blvd</t>
  </si>
  <si>
    <t>7610 Aquatic Dr</t>
  </si>
  <si>
    <t>8818 150th St</t>
  </si>
  <si>
    <t>1303 Needham Ave</t>
  </si>
  <si>
    <t>1499 Beach Ave</t>
  </si>
  <si>
    <t>2243 Ryer Ave</t>
  </si>
  <si>
    <t>1141 Jerome ave</t>
  </si>
  <si>
    <t>47 Featherbed Ln</t>
  </si>
  <si>
    <t>8919 218th St</t>
  </si>
  <si>
    <t>5126 Hillyer St</t>
  </si>
  <si>
    <t>990 President St</t>
  </si>
  <si>
    <t>737 Southern Blvd</t>
  </si>
  <si>
    <t>423 Cary Ave</t>
  </si>
  <si>
    <t>20 W Mosholu Pkwy S</t>
  </si>
  <si>
    <t>10470 95th Ave</t>
  </si>
  <si>
    <t>254 Seaman Ave</t>
  </si>
  <si>
    <t>1149 Glenmore Ave</t>
  </si>
  <si>
    <t>392 Adelphi St</t>
  </si>
  <si>
    <t>250 Clarkson Ave</t>
  </si>
  <si>
    <t>242 E 72nd St</t>
  </si>
  <si>
    <t>11244 227th St</t>
  </si>
  <si>
    <t>54 S 9th St</t>
  </si>
  <si>
    <t>36 Kenilworth Pl</t>
  </si>
  <si>
    <t>3800 Waldo Ave</t>
  </si>
  <si>
    <t>464 Neptune Ave</t>
  </si>
  <si>
    <t>22315 113th Ave</t>
  </si>
  <si>
    <t>229 E 197th St</t>
  </si>
  <si>
    <t>500 W 213th St</t>
  </si>
  <si>
    <t>6066 60th Rd</t>
  </si>
  <si>
    <t>181 Beach 25th St</t>
  </si>
  <si>
    <t>98 W 169th St</t>
  </si>
  <si>
    <t>2440 E 29th St</t>
  </si>
  <si>
    <t>141 Cornelia St 2nd Fl</t>
  </si>
  <si>
    <t>615 W 184th St</t>
  </si>
  <si>
    <t>1325 Pennsylvania Ave</t>
  </si>
  <si>
    <t>340 Dumont Ave</t>
  </si>
  <si>
    <t>67 Manhattan Ave</t>
  </si>
  <si>
    <t>shelter</t>
  </si>
  <si>
    <t>3802 Glenwood Rd</t>
  </si>
  <si>
    <t>219 Sullivan Pl</t>
  </si>
  <si>
    <t>1615 Fulton St</t>
  </si>
  <si>
    <t>105-24 171rst Place</t>
  </si>
  <si>
    <t>10116 91st St</t>
  </si>
  <si>
    <t>476 Richmond Ter</t>
  </si>
  <si>
    <t>95 Beekman Ave</t>
  </si>
  <si>
    <t>9302 215th St</t>
  </si>
  <si>
    <t>1655 Montgomery Ave</t>
  </si>
  <si>
    <t>21 W 112th st</t>
  </si>
  <si>
    <t>1383 Dean St</t>
  </si>
  <si>
    <t>900 Lydig Ave</t>
  </si>
  <si>
    <t>726 E 43rd St</t>
  </si>
  <si>
    <t>39 Pamela Ln</t>
  </si>
  <si>
    <t>502 Christopher Ave</t>
  </si>
  <si>
    <t>2810 Morris Ave</t>
  </si>
  <si>
    <t>3039 Wallace Ave</t>
  </si>
  <si>
    <t>1224 Ward Ave</t>
  </si>
  <si>
    <t>580 Castle Hill Ave</t>
  </si>
  <si>
    <t>156 N Burgher Ave</t>
  </si>
  <si>
    <t>1952 1st Ave</t>
  </si>
  <si>
    <t>312 Manhattan Ave</t>
  </si>
  <si>
    <t>1517 123rd St</t>
  </si>
  <si>
    <t>930 W End Ave</t>
  </si>
  <si>
    <t>324 Montgomery St</t>
  </si>
  <si>
    <t>2253 Ryer Ave</t>
  </si>
  <si>
    <t>601 W 149th St</t>
  </si>
  <si>
    <t>408 Lincoln Ave</t>
  </si>
  <si>
    <t>10 E 198th St</t>
  </si>
  <si>
    <t>965 belmont ave</t>
  </si>
  <si>
    <t>30 Courtney Loop</t>
  </si>
  <si>
    <t>3204 Holland Ave</t>
  </si>
  <si>
    <t>644 Riverside Dr</t>
  </si>
  <si>
    <t>3811 33rd St</t>
  </si>
  <si>
    <t>2239 Adams Pl</t>
  </si>
  <si>
    <t>2125 Rockaway Pkwy</t>
  </si>
  <si>
    <t>10312 124th St</t>
  </si>
  <si>
    <t>145 e 15th st</t>
  </si>
  <si>
    <t>1350 Washington Ave</t>
  </si>
  <si>
    <t>252 Osborn St</t>
  </si>
  <si>
    <t>2095 Honeywell Ave</t>
  </si>
  <si>
    <t>959 Hegeman Ave</t>
  </si>
  <si>
    <t>225 Park Hill Ave</t>
  </si>
  <si>
    <t>2225 Lacombe Ave</t>
  </si>
  <si>
    <t>306 E 117th St</t>
  </si>
  <si>
    <t>304 W 148th St</t>
  </si>
  <si>
    <t>16005 Delarosa Ln</t>
  </si>
  <si>
    <t>952 Aldus St</t>
  </si>
  <si>
    <t>260 Convent Ave</t>
  </si>
  <si>
    <t>130 Moore St</t>
  </si>
  <si>
    <t>50 Wilson Ave</t>
  </si>
  <si>
    <t>2190 2nd Ave</t>
  </si>
  <si>
    <t>1850 Phelan Pl</t>
  </si>
  <si>
    <t>300 Ashland Pl</t>
  </si>
  <si>
    <t>4469 Murdock Ave</t>
  </si>
  <si>
    <t>9016 138th Pl</t>
  </si>
  <si>
    <t>17 Slaight St</t>
  </si>
  <si>
    <t>31 Leonard St</t>
  </si>
  <si>
    <t>2851 Barker Ave</t>
  </si>
  <si>
    <t>281 Bedford Ave</t>
  </si>
  <si>
    <t>2300 Bathgate Ave</t>
  </si>
  <si>
    <t>555 Lincoln Ave</t>
  </si>
  <si>
    <t>121 Hell Gate Cir</t>
  </si>
  <si>
    <t>11341 Farmers Blvd</t>
  </si>
  <si>
    <t>445 Beach 47th St</t>
  </si>
  <si>
    <t>530 W 45th St</t>
  </si>
  <si>
    <t>2320 Barnes Ave</t>
  </si>
  <si>
    <t>569 Maple St</t>
  </si>
  <si>
    <t>516 W 136th St</t>
  </si>
  <si>
    <t>315 Lincoln Rd</t>
  </si>
  <si>
    <t>10707 157th St</t>
  </si>
  <si>
    <t>2411 8th Ave</t>
  </si>
  <si>
    <t>555 49th St</t>
  </si>
  <si>
    <t>44 malcom x blvd</t>
  </si>
  <si>
    <t>240 Meeker Ave</t>
  </si>
  <si>
    <t>2386 Walton Ave</t>
  </si>
  <si>
    <t>160 Madison St</t>
  </si>
  <si>
    <t>644 Beach 65th St</t>
  </si>
  <si>
    <t>515 Gates Ave</t>
  </si>
  <si>
    <t>10420 199th St</t>
  </si>
  <si>
    <t>272 1st Ave</t>
  </si>
  <si>
    <t>2357 Davidson Ave</t>
  </si>
  <si>
    <t>180 Park Hill Ave</t>
  </si>
  <si>
    <t>2277 Homecrest Ave</t>
  </si>
  <si>
    <t>1933 Fulton St</t>
  </si>
  <si>
    <t>15607 71st Ave</t>
  </si>
  <si>
    <t>310 W 143rd St</t>
  </si>
  <si>
    <t>95 Clinton St</t>
  </si>
  <si>
    <t>9262 Sable Ridge Cir</t>
  </si>
  <si>
    <t>914 Clarence Ave</t>
  </si>
  <si>
    <t>1223 Fdr Dr</t>
  </si>
  <si>
    <t>2015 Belmont Ave</t>
  </si>
  <si>
    <t>2440 Amsterdam Ave</t>
  </si>
  <si>
    <t>1401 Edward L Grant Hwy</t>
  </si>
  <si>
    <t>633 Olmstead Ave</t>
  </si>
  <si>
    <t>1711 Morris Ave</t>
  </si>
  <si>
    <t>130 W 119th St</t>
  </si>
  <si>
    <t>454 E 119th St</t>
  </si>
  <si>
    <t>9430 109th St</t>
  </si>
  <si>
    <t>2047 Mill Ave</t>
  </si>
  <si>
    <t>750 Kappock St</t>
  </si>
  <si>
    <t>10404 Jamaica Ave</t>
  </si>
  <si>
    <t>46 Madison St</t>
  </si>
  <si>
    <t>1504 Sheridan Ave</t>
  </si>
  <si>
    <t>47 Pitt St</t>
  </si>
  <si>
    <t>2794 Valentine Ave</t>
  </si>
  <si>
    <t>655 Morris Ave</t>
  </si>
  <si>
    <t>221 W 152nd St</t>
  </si>
  <si>
    <t>3415 12th St</t>
  </si>
  <si>
    <t>10610 Atlantic Ave</t>
  </si>
  <si>
    <t>2081 2nd Ave</t>
  </si>
  <si>
    <t>8715 37th Ave</t>
  </si>
  <si>
    <t>3334 Bouck Ave</t>
  </si>
  <si>
    <t>945 Teller Ave</t>
  </si>
  <si>
    <t>1074 EASTERN PKWY</t>
  </si>
  <si>
    <t>8717 43rd street</t>
  </si>
  <si>
    <t>636 Water St</t>
  </si>
  <si>
    <t>15620 Riverside Dr W</t>
  </si>
  <si>
    <t>400 E 147th St</t>
  </si>
  <si>
    <t>260 Beach 81st St</t>
  </si>
  <si>
    <t>1381 Franklin Ave</t>
  </si>
  <si>
    <t>91 Lenox Rd</t>
  </si>
  <si>
    <t>500 Trinity Ave</t>
  </si>
  <si>
    <t>1110 Stadium Ave</t>
  </si>
  <si>
    <t>879 Van Siclen Ave</t>
  </si>
  <si>
    <t>14235 231st St</t>
  </si>
  <si>
    <t>356 Arlington Ave</t>
  </si>
  <si>
    <t>Tompkins Square 244 East 3rd Row Street</t>
  </si>
  <si>
    <t>530 Exterior St</t>
  </si>
  <si>
    <t>11034 174th St</t>
  </si>
  <si>
    <t>14 E 127th St</t>
  </si>
  <si>
    <t>24143 132nd Rd</t>
  </si>
  <si>
    <t>40 Kossuth Pl</t>
  </si>
  <si>
    <t>4100 Hutchinson River Pkwy E</t>
  </si>
  <si>
    <t>793 Fairmount Pl</t>
  </si>
  <si>
    <t>7732 74th St</t>
  </si>
  <si>
    <t>30 W 141st St</t>
  </si>
  <si>
    <t>1669 Grand Ave</t>
  </si>
  <si>
    <t>131 Moore St</t>
  </si>
  <si>
    <t>150-29 Forch Blvd</t>
  </si>
  <si>
    <t>119 Clark Ln</t>
  </si>
  <si>
    <t>8 W 169th St</t>
  </si>
  <si>
    <t>62 W 124th St # 64</t>
  </si>
  <si>
    <t>620 Baychester Ave</t>
  </si>
  <si>
    <t>11422 158th St</t>
  </si>
  <si>
    <t>69 Pinehurst Ave</t>
  </si>
  <si>
    <t>6091 70th Ave</t>
  </si>
  <si>
    <t>1350 5th Ave</t>
  </si>
  <si>
    <t>1319 Bristow St</t>
  </si>
  <si>
    <t>174-34 Polltemus Avenue</t>
  </si>
  <si>
    <t>13227 Bennett Ct</t>
  </si>
  <si>
    <t>388 Audubon Ave</t>
  </si>
  <si>
    <t>1365 Saint Nicholas Ave</t>
  </si>
  <si>
    <t>59-97 58th Ave</t>
  </si>
  <si>
    <t>95 Cornelia St</t>
  </si>
  <si>
    <t>4507 43rd Ave</t>
  </si>
  <si>
    <t>580 Academy St</t>
  </si>
  <si>
    <t>450 W 42nd St</t>
  </si>
  <si>
    <t>5610 94th St</t>
  </si>
  <si>
    <t>115 Baden Pl</t>
  </si>
  <si>
    <t>2704 University Ave</t>
  </si>
  <si>
    <t>4639 Bloomsbury Dr</t>
  </si>
  <si>
    <t>5906 Catalpa Ave</t>
  </si>
  <si>
    <t>54-18 94th St.</t>
  </si>
  <si>
    <t>230 W 97th St</t>
  </si>
  <si>
    <t>263 Parkside Ave</t>
  </si>
  <si>
    <t>415 W 25th St</t>
  </si>
  <si>
    <t>25 Spencer Pl</t>
  </si>
  <si>
    <t>175 W 87th St</t>
  </si>
  <si>
    <t>127-23 103rd Rd.</t>
  </si>
  <si>
    <t>1737 Willoughby Ave</t>
  </si>
  <si>
    <t>8667 108th St</t>
  </si>
  <si>
    <t>409 E 120th St</t>
  </si>
  <si>
    <t>2226 Loring Pl N</t>
  </si>
  <si>
    <t>25-10 Long Island City</t>
  </si>
  <si>
    <t>1015 Washington Ave</t>
  </si>
  <si>
    <t>595 W 207th St</t>
  </si>
  <si>
    <t>3435 Gates Pl</t>
  </si>
  <si>
    <t>180 E 122nd St</t>
  </si>
  <si>
    <t>104-65 109th St.</t>
  </si>
  <si>
    <t>14 Arlington Pl</t>
  </si>
  <si>
    <t>2179 Washington Ave</t>
  </si>
  <si>
    <t>89 Avenue C</t>
  </si>
  <si>
    <t>2025 Seward Ave</t>
  </si>
  <si>
    <t>6105 Bleeker Street</t>
  </si>
  <si>
    <t>2536 Holland Ave</t>
  </si>
  <si>
    <t>501 Avenue O</t>
  </si>
  <si>
    <t>13411 135th St</t>
  </si>
  <si>
    <t>1455 Bedford Ave</t>
  </si>
  <si>
    <t>577 Jewett Ave</t>
  </si>
  <si>
    <t>235 E 116th St</t>
  </si>
  <si>
    <t>994 Intervale Ave</t>
  </si>
  <si>
    <t>16824 127th Ave</t>
  </si>
  <si>
    <t>400 Tompkins Ave</t>
  </si>
  <si>
    <t>1037 Avenue St. John</t>
  </si>
  <si>
    <t>1900 Lexington Ave</t>
  </si>
  <si>
    <t>329 E 197th St</t>
  </si>
  <si>
    <t>621 W 171st St</t>
  </si>
  <si>
    <t>2101 Madison Ave</t>
  </si>
  <si>
    <t>201 E 18th St</t>
  </si>
  <si>
    <t>1385 5th Ave</t>
  </si>
  <si>
    <t>1722 Amsterdam Ave</t>
  </si>
  <si>
    <t>1741 Norman St</t>
  </si>
  <si>
    <t>480 Saint Nicholas Ave</t>
  </si>
  <si>
    <t>419 W 34th St</t>
  </si>
  <si>
    <t>285 Schenectady Ave</t>
  </si>
  <si>
    <t>1124 Boynton Ave</t>
  </si>
  <si>
    <t>294 Powers St</t>
  </si>
  <si>
    <t>1795 Riverside Dr</t>
  </si>
  <si>
    <t>200 W 113th St</t>
  </si>
  <si>
    <t>1437 Leland Ave</t>
  </si>
  <si>
    <t>696 Georgia Ave</t>
  </si>
  <si>
    <t>615 W 164th St</t>
  </si>
  <si>
    <t>101 Post Ave</t>
  </si>
  <si>
    <t>8712 57th Ave</t>
  </si>
  <si>
    <t>790 Washington Ave</t>
  </si>
  <si>
    <t>11 Maple St</t>
  </si>
  <si>
    <t>1100 Sutter Ave</t>
  </si>
  <si>
    <t>10931 153rd St</t>
  </si>
  <si>
    <t>2055 Harrison Ave</t>
  </si>
  <si>
    <t>3018 Paulding Ave</t>
  </si>
  <si>
    <t>16349 130th Ave</t>
  </si>
  <si>
    <t>2825 Grand Concourse</t>
  </si>
  <si>
    <t>111 Morningside Ave</t>
  </si>
  <si>
    <t>3441 Fish ave</t>
  </si>
  <si>
    <t>135 Elliot Pl</t>
  </si>
  <si>
    <t>16011 48th Road</t>
  </si>
  <si>
    <t>2569 7th Ave</t>
  </si>
  <si>
    <t>1020 Boynton AVe</t>
  </si>
  <si>
    <t>1077 Castleton Ave</t>
  </si>
  <si>
    <t>3674 3rd Ave</t>
  </si>
  <si>
    <t>1901 Hennessy Pl</t>
  </si>
  <si>
    <t>1514 Townsend Ave</t>
  </si>
  <si>
    <t>2304 Grand Ave</t>
  </si>
  <si>
    <t>800 E 160th st</t>
  </si>
  <si>
    <t>80 Ashley Ln</t>
  </si>
  <si>
    <t>279 W 117th st</t>
  </si>
  <si>
    <t>1580 Thieriot Ave</t>
  </si>
  <si>
    <t>1358 Washington Ave</t>
  </si>
  <si>
    <t>1100 Ocean Ave</t>
  </si>
  <si>
    <t>79 Grandview Ave</t>
  </si>
  <si>
    <t>9832 57th Ave</t>
  </si>
  <si>
    <t>4410 30th Ave</t>
  </si>
  <si>
    <t>1165 Gerard Ave</t>
  </si>
  <si>
    <t>719 E 233rd St</t>
  </si>
  <si>
    <t>2028 Grand Concourse</t>
  </si>
  <si>
    <t>674 E 149th St</t>
  </si>
  <si>
    <t>1040 Park Pl</t>
  </si>
  <si>
    <t>2034 Benedict Ave</t>
  </si>
  <si>
    <t>11032 158th St</t>
  </si>
  <si>
    <t>827 Hollywood Ave</t>
  </si>
  <si>
    <t>2950 W 23rd St</t>
  </si>
  <si>
    <t>1543 Hassock St</t>
  </si>
  <si>
    <t>1430 freeport loop</t>
  </si>
  <si>
    <t>1356 Walton Ave</t>
  </si>
  <si>
    <t>800 E 180th St</t>
  </si>
  <si>
    <t>10511 Inwood St</t>
  </si>
  <si>
    <t>230 Lott Ave</t>
  </si>
  <si>
    <t>230 Park Pl</t>
  </si>
  <si>
    <t>213 Saint Anns Ave</t>
  </si>
  <si>
    <t>175 Ardsley Loop</t>
  </si>
  <si>
    <t>103-19 120th St.</t>
  </si>
  <si>
    <t>738 E 5th St</t>
  </si>
  <si>
    <t>133-25 149th St.</t>
  </si>
  <si>
    <t>171 Beech St</t>
  </si>
  <si>
    <t>1165 Fox St</t>
  </si>
  <si>
    <t>156 22nd St</t>
  </si>
  <si>
    <t>425 Maple St</t>
  </si>
  <si>
    <t>2055 Anthony Ave</t>
  </si>
  <si>
    <t>2 Oak St</t>
  </si>
  <si>
    <t>655 Hendrix St</t>
  </si>
  <si>
    <t>1255 Evergreen Ave</t>
  </si>
  <si>
    <t>3428 44th St</t>
  </si>
  <si>
    <t>337 ocean ave</t>
  </si>
  <si>
    <t>328 E 145th St</t>
  </si>
  <si>
    <t>31 Bedford St</t>
  </si>
  <si>
    <t>390 Bushwick Ave</t>
  </si>
  <si>
    <t>9513 Northern blvd</t>
  </si>
  <si>
    <t>2500 Bathgate Ave</t>
  </si>
  <si>
    <t>338 21st St</t>
  </si>
  <si>
    <t>2065 Walton Ave</t>
  </si>
  <si>
    <t>300 E 40th St</t>
  </si>
  <si>
    <t>8 W 118th St</t>
  </si>
  <si>
    <t>1360 Bergen St</t>
  </si>
  <si>
    <t>8433 149th Ave</t>
  </si>
  <si>
    <t>80 Dongan Ave</t>
  </si>
  <si>
    <t>173 Van Siclen Ave</t>
  </si>
  <si>
    <t>1233 White Plains Rd</t>
  </si>
  <si>
    <t>2800 Bailey Ave</t>
  </si>
  <si>
    <t>2435 Barker Ave</t>
  </si>
  <si>
    <t>80 Columbia St.</t>
  </si>
  <si>
    <t>1452 Bryant Ave</t>
  </si>
  <si>
    <t>8916 175th St</t>
  </si>
  <si>
    <t>227 Van Buren St</t>
  </si>
  <si>
    <t>40 Morningside Ave</t>
  </si>
  <si>
    <t>1755 Bronxdale Ave</t>
  </si>
  <si>
    <t>1234 Pacific St</t>
  </si>
  <si>
    <t>27 Crooke Ave</t>
  </si>
  <si>
    <t>4706 4th Ave</t>
  </si>
  <si>
    <t>7304 12th Ave</t>
  </si>
  <si>
    <t>323 W 30th St</t>
  </si>
  <si>
    <t>2104 Holland Ave</t>
  </si>
  <si>
    <t>1472 Bushwick Ave</t>
  </si>
  <si>
    <t>2641 Jerome Ave</t>
  </si>
  <si>
    <t>10829 164th St</t>
  </si>
  <si>
    <t>2615 Jerome Ave</t>
  </si>
  <si>
    <t>13059 228th St</t>
  </si>
  <si>
    <t>352 E 141st St</t>
  </si>
  <si>
    <t>157 Evergreen Ave</t>
  </si>
  <si>
    <t>59 Columbia Ave</t>
  </si>
  <si>
    <t>1304 Grand Concourse</t>
  </si>
  <si>
    <t>595 President St</t>
  </si>
  <si>
    <t>1383 Arden Ave</t>
  </si>
  <si>
    <t>1865 77th St</t>
  </si>
  <si>
    <t>3537 Cayugas Loop</t>
  </si>
  <si>
    <t>19601 89th Ave</t>
  </si>
  <si>
    <t>10150 102nd St</t>
  </si>
  <si>
    <t>29 Moore St</t>
  </si>
  <si>
    <t>5616 Waldron St</t>
  </si>
  <si>
    <t>3142 71st St</t>
  </si>
  <si>
    <t>326 W 49th St</t>
  </si>
  <si>
    <t>3618 Avenue I</t>
  </si>
  <si>
    <t>10107 35th Ave.</t>
  </si>
  <si>
    <t>839 E 226th St</t>
  </si>
  <si>
    <t>1039 INTERVALE AVE</t>
  </si>
  <si>
    <t>190 Crescent St</t>
  </si>
  <si>
    <t>116 Arlington Ave</t>
  </si>
  <si>
    <t>430 W 125th St</t>
  </si>
  <si>
    <t>1111 Gerard Ave</t>
  </si>
  <si>
    <t>249 Montrose Ave</t>
  </si>
  <si>
    <t>2099 Bergen St</t>
  </si>
  <si>
    <t>456 Richmond Ter</t>
  </si>
  <si>
    <t>11618 147th St</t>
  </si>
  <si>
    <t>4754 Richardson Ave</t>
  </si>
  <si>
    <t>140 Park Hill Ave</t>
  </si>
  <si>
    <t>9728 Linden Blvd</t>
  </si>
  <si>
    <t>6407 Cooper Ave</t>
  </si>
  <si>
    <t>1722 Purdy St</t>
  </si>
  <si>
    <t>316 Stuyvesant Ave</t>
  </si>
  <si>
    <t>801 Glenmore Ave</t>
  </si>
  <si>
    <t>2710 Decatur Ave</t>
  </si>
  <si>
    <t>Shelter</t>
  </si>
  <si>
    <t>725 10th Ave</t>
  </si>
  <si>
    <t>25 utica Ave</t>
  </si>
  <si>
    <t>1030 Carroll St</t>
  </si>
  <si>
    <t>5311 90th St</t>
  </si>
  <si>
    <t>315 E 102nd St</t>
  </si>
  <si>
    <t>9511 90th St</t>
  </si>
  <si>
    <t>2167 Crotona Ave</t>
  </si>
  <si>
    <t>2140 Cruger Ave</t>
  </si>
  <si>
    <t>353 Chester St</t>
  </si>
  <si>
    <t>363 W 126th St</t>
  </si>
  <si>
    <t>4144 44th ST</t>
  </si>
  <si>
    <t>8607 101st St</t>
  </si>
  <si>
    <t>725 10th Ave.</t>
  </si>
  <si>
    <t>3945 65th St</t>
  </si>
  <si>
    <t>474 Beach 44th St</t>
  </si>
  <si>
    <t>3215 Holland Ave</t>
  </si>
  <si>
    <t>168 Weaver st</t>
  </si>
  <si>
    <t>1206 Bergen St</t>
  </si>
  <si>
    <t>1600 Sedgwick Ave</t>
  </si>
  <si>
    <t>250 Fillmore St</t>
  </si>
  <si>
    <t>3185 Villa Ave</t>
  </si>
  <si>
    <t>18825 Keeseville Ave</t>
  </si>
  <si>
    <t>1307 Merriam Ave</t>
  </si>
  <si>
    <t>631 W 207th St</t>
  </si>
  <si>
    <t>2060 E 19th St</t>
  </si>
  <si>
    <t>3433 30th St</t>
  </si>
  <si>
    <t>120 W 93rd St</t>
  </si>
  <si>
    <t>201 W 93rd St</t>
  </si>
  <si>
    <t>578 Parkside Ave</t>
  </si>
  <si>
    <t>193 Buffalo Ave</t>
  </si>
  <si>
    <t>3070 Hull Ave</t>
  </si>
  <si>
    <t>20 W 115th St</t>
  </si>
  <si>
    <t>3400 12th Ave</t>
  </si>
  <si>
    <t>346 E 29th St</t>
  </si>
  <si>
    <t>1374 Bronx River Ave</t>
  </si>
  <si>
    <t>65-39 45th Street</t>
  </si>
  <si>
    <t>2137 Cortelyou Rd</t>
  </si>
  <si>
    <t>300 Cherry St.</t>
  </si>
  <si>
    <t>121 Putnam Ave</t>
  </si>
  <si>
    <t>430 Saratoga Ave</t>
  </si>
  <si>
    <t>1225 White Plains Rd</t>
  </si>
  <si>
    <t>3518 Bainbridge Ave</t>
  </si>
  <si>
    <t>11 Glenwood Ave</t>
  </si>
  <si>
    <t>220 Stuyvesant Ave</t>
  </si>
  <si>
    <t>2061 20th St</t>
  </si>
  <si>
    <t>125 Lenox Rd</t>
  </si>
  <si>
    <t>420 E 169th St</t>
  </si>
  <si>
    <t>14825 89th Ave</t>
  </si>
  <si>
    <t>1705 Stanhope St</t>
  </si>
  <si>
    <t>4409 6th Ave</t>
  </si>
  <si>
    <t>300 Vernon Ave</t>
  </si>
  <si>
    <t>1372 Nelson Ave</t>
  </si>
  <si>
    <t>601 new jersey avenue</t>
  </si>
  <si>
    <t>115 Bionia Ave</t>
  </si>
  <si>
    <t>167 Macdougal St</t>
  </si>
  <si>
    <t>2130 35th Ave</t>
  </si>
  <si>
    <t>716 Fenimore St</t>
  </si>
  <si>
    <t>1620 Fulton St</t>
  </si>
  <si>
    <t>3157 33rd St</t>
  </si>
  <si>
    <t>50 W 139th St</t>
  </si>
  <si>
    <t>3827 222nd St</t>
  </si>
  <si>
    <t>330 E 4th St</t>
  </si>
  <si>
    <t>14015 Sutter Ave</t>
  </si>
  <si>
    <t>3455 Spring Branch Trl</t>
  </si>
  <si>
    <t>1727 Walton Ave</t>
  </si>
  <si>
    <t>420 Clove Rd</t>
  </si>
  <si>
    <t>55 Tiemann Pl</t>
  </si>
  <si>
    <t>23 India St</t>
  </si>
  <si>
    <t>6030 Madison St</t>
  </si>
  <si>
    <t>1175 Morris Ave</t>
  </si>
  <si>
    <t>14018 170TH ST</t>
  </si>
  <si>
    <t>65 W 96th St</t>
  </si>
  <si>
    <t>Po Box 10065</t>
  </si>
  <si>
    <t>3014 Snyder Ave</t>
  </si>
  <si>
    <t>10611 77th St</t>
  </si>
  <si>
    <t>433 W 126th St</t>
  </si>
  <si>
    <t>10943 175th St</t>
  </si>
  <si>
    <t>160 Prospect Ave</t>
  </si>
  <si>
    <t>510 W 218th St</t>
  </si>
  <si>
    <t>1711 Fulton St</t>
  </si>
  <si>
    <t>318 Madison St</t>
  </si>
  <si>
    <t>166 E 109th St</t>
  </si>
  <si>
    <t>17 W 125th St</t>
  </si>
  <si>
    <t>19 GRANDVIEW AVE</t>
  </si>
  <si>
    <t>721 Willoughby Ave</t>
  </si>
  <si>
    <t>1341 Hancock St</t>
  </si>
  <si>
    <t>1218 Hoe Ave</t>
  </si>
  <si>
    <t>1685 E 5th St</t>
  </si>
  <si>
    <t>2930 W 5th St</t>
  </si>
  <si>
    <t>546 Main St</t>
  </si>
  <si>
    <t>255 Sand Ln</t>
  </si>
  <si>
    <t>167 Bush St</t>
  </si>
  <si>
    <t>40 Avenue D</t>
  </si>
  <si>
    <t>10840 51st Ave</t>
  </si>
  <si>
    <t>2269 Hampden Pl</t>
  </si>
  <si>
    <t>109-72 135th St.</t>
  </si>
  <si>
    <t>224 Beach 30th St</t>
  </si>
  <si>
    <t>3555 73rd St</t>
  </si>
  <si>
    <t>1515 Selwyn Ave</t>
  </si>
  <si>
    <t>2115 Mohegan Ave</t>
  </si>
  <si>
    <t>1025 Mcbride St</t>
  </si>
  <si>
    <t>2065 1st ave</t>
  </si>
  <si>
    <t>3497 Stony St</t>
  </si>
  <si>
    <t>2277 Andrews Ave</t>
  </si>
  <si>
    <t>Confidential DV shelter</t>
  </si>
  <si>
    <t>3365 3rd Ave</t>
  </si>
  <si>
    <t>1245 Eastern Pkwy</t>
  </si>
  <si>
    <t>312 W 109th St</t>
  </si>
  <si>
    <t>6720 Parsons Blvd</t>
  </si>
  <si>
    <t>208 Katan Ave</t>
  </si>
  <si>
    <t>1818 Benson Ave</t>
  </si>
  <si>
    <t>280 Fort Washington Ave</t>
  </si>
  <si>
    <t>80 Bruckner Blvd</t>
  </si>
  <si>
    <t>781 E 135th St</t>
  </si>
  <si>
    <t>233 E 92nd St</t>
  </si>
  <si>
    <t>225 Mcclellan St</t>
  </si>
  <si>
    <t>522 Brook Ave</t>
  </si>
  <si>
    <t>1963 73rd St</t>
  </si>
  <si>
    <t>Po Box 1110</t>
  </si>
  <si>
    <t>3752 83rd St</t>
  </si>
  <si>
    <t>1972 Walton Ave</t>
  </si>
  <si>
    <t>333 New Lots Avenue</t>
  </si>
  <si>
    <t>3209 Fairmount Ave</t>
  </si>
  <si>
    <t>13921 85th Dr</t>
  </si>
  <si>
    <t>77 W 104th St</t>
  </si>
  <si>
    <t>630 W 170th St</t>
  </si>
  <si>
    <t>8836 Elmhurst Avenue</t>
  </si>
  <si>
    <t>PO Box 161</t>
  </si>
  <si>
    <t>4060 Bruner Ave</t>
  </si>
  <si>
    <t>32 Holiday Way</t>
  </si>
  <si>
    <t>131 BROOME ST</t>
  </si>
  <si>
    <t>880 Colgate Ave</t>
  </si>
  <si>
    <t>17027 Paige Ct</t>
  </si>
  <si>
    <t>1725 Purdy St</t>
  </si>
  <si>
    <t>946 Bushwick Ave</t>
  </si>
  <si>
    <t>3034 Grand Concourse</t>
  </si>
  <si>
    <t>860 Bryant Ave</t>
  </si>
  <si>
    <t>165 Vassar St</t>
  </si>
  <si>
    <t>572 Manhattan Ave</t>
  </si>
  <si>
    <t>320 E 156th St</t>
  </si>
  <si>
    <t>147 Admiral Ln</t>
  </si>
  <si>
    <t>1260 Webster Ave</t>
  </si>
  <si>
    <t>20 Davidson Ct</t>
  </si>
  <si>
    <t>3114 103rd St</t>
  </si>
  <si>
    <t>2389 Nostrand Ave</t>
  </si>
  <si>
    <t>411 Beach 54th St</t>
  </si>
  <si>
    <t>1141 E 224th St</t>
  </si>
  <si>
    <t>70 Ross Ave</t>
  </si>
  <si>
    <t>88 Seaman Ave</t>
  </si>
  <si>
    <t>75 Baruch Dr</t>
  </si>
  <si>
    <t>870 Columbus Ave</t>
  </si>
  <si>
    <t>9428 86th Rd</t>
  </si>
  <si>
    <t>2500 Webb Ave</t>
  </si>
  <si>
    <t>1012 Garrison Ave</t>
  </si>
  <si>
    <t>10717 160th St</t>
  </si>
  <si>
    <t>107-04 Liverpool Street</t>
  </si>
  <si>
    <t>96 Linwood St</t>
  </si>
  <si>
    <t>38 Post Avenue</t>
  </si>
  <si>
    <t>4118 Wickham Ave</t>
  </si>
  <si>
    <t>10934 221st St</t>
  </si>
  <si>
    <t>723 Logan Ave</t>
  </si>
  <si>
    <t>32 Buffalo Ave</t>
  </si>
  <si>
    <t>2434 Prospect Ave</t>
  </si>
  <si>
    <t>14401 Lakewood Ave</t>
  </si>
  <si>
    <t>505 E 178th St</t>
  </si>
  <si>
    <t>3600 Jerome Ave</t>
  </si>
  <si>
    <t>340 Cherry St</t>
  </si>
  <si>
    <t>3226 Pearsall Ave</t>
  </si>
  <si>
    <t>6520 Parsons Blvd</t>
  </si>
  <si>
    <t>203 Shearwater Ct W</t>
  </si>
  <si>
    <t>89 Birchard Ave</t>
  </si>
  <si>
    <t>284 Sutter ave</t>
  </si>
  <si>
    <t>1049 Grand Concourse</t>
  </si>
  <si>
    <t>1028 Beverley Rd</t>
  </si>
  <si>
    <t>298 Delancey St</t>
  </si>
  <si>
    <t>4033 74th St</t>
  </si>
  <si>
    <t>858 Manida St</t>
  </si>
  <si>
    <t>1824 Watson ave</t>
  </si>
  <si>
    <t>1197 Grand Concourse</t>
  </si>
  <si>
    <t>35 W 126th St</t>
  </si>
  <si>
    <t>2813 Brassfield Cir</t>
  </si>
  <si>
    <t>9507 Kings Hwy</t>
  </si>
  <si>
    <t>491 Hancock St</t>
  </si>
  <si>
    <t>468 City Island Ave</t>
  </si>
  <si>
    <t>918 Leggett Ave</t>
  </si>
  <si>
    <t>14407 Latham Ln</t>
  </si>
  <si>
    <t>438 E 120th St</t>
  </si>
  <si>
    <t>2675 Valentine Ave</t>
  </si>
  <si>
    <t>1121 Teller Ave</t>
  </si>
  <si>
    <t>8720 109th St</t>
  </si>
  <si>
    <t>570 Stanley Ave</t>
  </si>
  <si>
    <t>2191 Creston Ave</t>
  </si>
  <si>
    <t>14144 182nd St</t>
  </si>
  <si>
    <t>10910 Park Ln S</t>
  </si>
  <si>
    <t>115 Marcy Pl</t>
  </si>
  <si>
    <t>1155 E 225th st</t>
  </si>
  <si>
    <t>1721 Bath Ave</t>
  </si>
  <si>
    <t>930 Thieriot Ave</t>
  </si>
  <si>
    <t>820 E 180th St</t>
  </si>
  <si>
    <t>80 Monument Walk</t>
  </si>
  <si>
    <t>1221 Sheridan Ave</t>
  </si>
  <si>
    <t>7012 3rd Ave</t>
  </si>
  <si>
    <t>426 Baltic St</t>
  </si>
  <si>
    <t>3150 Rochambeau Ave</t>
  </si>
  <si>
    <t>1041 E 230th St</t>
  </si>
  <si>
    <t>1351 Boston Rd</t>
  </si>
  <si>
    <t>15910 109th Ave</t>
  </si>
  <si>
    <t>2135 47th St</t>
  </si>
  <si>
    <t>254 E 174th St</t>
  </si>
  <si>
    <t>426 Harold Ave</t>
  </si>
  <si>
    <t>7 Saint James Pl</t>
  </si>
  <si>
    <t>37-13 102nd Street</t>
  </si>
  <si>
    <t>286 South St</t>
  </si>
  <si>
    <t>2119 Colonial Ave</t>
  </si>
  <si>
    <t>950 Union Ave</t>
  </si>
  <si>
    <t>45 W 139th St</t>
  </si>
  <si>
    <t>410 Beach Ave</t>
  </si>
  <si>
    <t>10200 Shore Front Pkwy</t>
  </si>
  <si>
    <t>2430 Adam Clayton Powell Jr Blvd</t>
  </si>
  <si>
    <t>1530 Jesup Ave</t>
  </si>
  <si>
    <t>3578 Dekalb Ave</t>
  </si>
  <si>
    <t>1015 E 179th st</t>
  </si>
  <si>
    <t>117 w 58th st</t>
  </si>
  <si>
    <t>3578 Matthews Ave</t>
  </si>
  <si>
    <t>11327 200th St</t>
  </si>
  <si>
    <t>3519 99th St</t>
  </si>
  <si>
    <t>440 Neptune Ave</t>
  </si>
  <si>
    <t>725 Garden St</t>
  </si>
  <si>
    <t>100 Stuyvesant Pl</t>
  </si>
  <si>
    <t>8921 Elmhurst Ave</t>
  </si>
  <si>
    <t>4616 43rd Ave</t>
  </si>
  <si>
    <t>1786 Brooklyn Ave</t>
  </si>
  <si>
    <t>2960 W 31st St</t>
  </si>
  <si>
    <t>22 Post Ave</t>
  </si>
  <si>
    <t>40 Clarkson Ave</t>
  </si>
  <si>
    <t>1495 Morris Ave</t>
  </si>
  <si>
    <t>2141 Starling Ave</t>
  </si>
  <si>
    <t>449 W 206th St</t>
  </si>
  <si>
    <t>30 Sickles St</t>
  </si>
  <si>
    <t>310 E 25th St</t>
  </si>
  <si>
    <t>1511 Sheridan Ave</t>
  </si>
  <si>
    <t>1561 W 6th St</t>
  </si>
  <si>
    <t>3413 Avenue H</t>
  </si>
  <si>
    <t>62 Veronica Pl</t>
  </si>
  <si>
    <t>10838 159th St</t>
  </si>
  <si>
    <t>883 Mother Gaston Blvd</t>
  </si>
  <si>
    <t>2045 Holland Ave</t>
  </si>
  <si>
    <t>15707 Rockaway Blvd</t>
  </si>
  <si>
    <t>10854 159th St</t>
  </si>
  <si>
    <t>11501 217th St</t>
  </si>
  <si>
    <t>45 Hawthorne St</t>
  </si>
  <si>
    <t>8709 94th St</t>
  </si>
  <si>
    <t>510 e 156th ST</t>
  </si>
  <si>
    <t>11155 77th Ave</t>
  </si>
  <si>
    <t>3372 SW 20th St</t>
  </si>
  <si>
    <t>14711 71st Rd</t>
  </si>
  <si>
    <t>3562 Carlisle Pl</t>
  </si>
  <si>
    <t>41 Withers St</t>
  </si>
  <si>
    <t>10910 160th St</t>
  </si>
  <si>
    <t>17711 105th Ave</t>
  </si>
  <si>
    <t>33 Central Ave</t>
  </si>
  <si>
    <t>3421 21st St</t>
  </si>
  <si>
    <t>5305 92nd St</t>
  </si>
  <si>
    <t>4769 White Plains Rd</t>
  </si>
  <si>
    <t>9720 57th Ave</t>
  </si>
  <si>
    <t>1307 Loring Ave</t>
  </si>
  <si>
    <t>16311 Foch Blvd</t>
  </si>
  <si>
    <t>12625 Inwood St</t>
  </si>
  <si>
    <t>3015 Matthews Ave</t>
  </si>
  <si>
    <t>2942 Grace Ave</t>
  </si>
  <si>
    <t>2314 Crotona Ave</t>
  </si>
  <si>
    <t>1485 Macombs Rd</t>
  </si>
  <si>
    <t>17024 130th ave</t>
  </si>
  <si>
    <t>10841 159th St</t>
  </si>
  <si>
    <t>143 East 19 Street (Pvt.house</t>
  </si>
  <si>
    <t>10832 159th St</t>
  </si>
  <si>
    <t>1681 Saint Johns Pl</t>
  </si>
  <si>
    <t>1728 Garfield St</t>
  </si>
  <si>
    <t>22903 145th Ave</t>
  </si>
  <si>
    <t>3435 74th St</t>
  </si>
  <si>
    <t>1005 Walton Ave</t>
  </si>
  <si>
    <t>389 5th Ave</t>
  </si>
  <si>
    <t>501 W 177th St</t>
  </si>
  <si>
    <t>336 Van Siclen Ave</t>
  </si>
  <si>
    <t>15 Cambria St</t>
  </si>
  <si>
    <t>450 E 20th St</t>
  </si>
  <si>
    <t>10615 159th St</t>
  </si>
  <si>
    <t>271 W 47th St</t>
  </si>
  <si>
    <t>10748 159th St</t>
  </si>
  <si>
    <t>4522 39th Pl</t>
  </si>
  <si>
    <t>10624 159th St</t>
  </si>
  <si>
    <t>8849 76th St</t>
  </si>
  <si>
    <t>435 Grand Ave</t>
  </si>
  <si>
    <t>3705 90th St</t>
  </si>
  <si>
    <t>3540 Decatur Ave</t>
  </si>
  <si>
    <t>2358 130th St</t>
  </si>
  <si>
    <t>393 Dumont Ave</t>
  </si>
  <si>
    <t>69 Ashley Ln</t>
  </si>
  <si>
    <t>1470 Sterling Pl</t>
  </si>
  <si>
    <t>382 17th St</t>
  </si>
  <si>
    <t>606 Clinton St</t>
  </si>
  <si>
    <t>2100 Tiebout Ave</t>
  </si>
  <si>
    <t>1480 Washington Ave</t>
  </si>
  <si>
    <t>484 W 43rd St</t>
  </si>
  <si>
    <t>1748 Givan Ave</t>
  </si>
  <si>
    <t>39 Turner pl</t>
  </si>
  <si>
    <t>44 Court St</t>
  </si>
  <si>
    <t>2615 Grand Concourse</t>
  </si>
  <si>
    <t>530 E 144th St</t>
  </si>
  <si>
    <t>455 Carlton Ave</t>
  </si>
  <si>
    <t>2800 86th St</t>
  </si>
  <si>
    <t>4536 49th St</t>
  </si>
  <si>
    <t>3910 Ace D</t>
  </si>
  <si>
    <t>3450 29th St</t>
  </si>
  <si>
    <t>184a Kosciuszko St</t>
  </si>
  <si>
    <t>567 W 173rd St</t>
  </si>
  <si>
    <t>2818 38th Ave</t>
  </si>
  <si>
    <t>699 Ocean Ave</t>
  </si>
  <si>
    <t>466 Putnam Ave</t>
  </si>
  <si>
    <t>11303 101st Ave</t>
  </si>
  <si>
    <t>1582 Lincoln Pl</t>
  </si>
  <si>
    <t>5722 Granger St</t>
  </si>
  <si>
    <t>4706 49th St</t>
  </si>
  <si>
    <t>146 17th St</t>
  </si>
  <si>
    <t>327 Franklin Ave</t>
  </si>
  <si>
    <t>11951 177th St</t>
  </si>
  <si>
    <t>3220 Perry Ave</t>
  </si>
  <si>
    <t>3988 49th St</t>
  </si>
  <si>
    <t>8536 Woodhaven Blvd</t>
  </si>
  <si>
    <t>250 E 178th St</t>
  </si>
  <si>
    <t>331 13th St</t>
  </si>
  <si>
    <t>2575 Jerome Ave</t>
  </si>
  <si>
    <t>8146 261st St</t>
  </si>
  <si>
    <t>465 E Tremont Ave</t>
  </si>
  <si>
    <t>95 W 162nd St</t>
  </si>
  <si>
    <t>240 E 194th St</t>
  </si>
  <si>
    <t>2410 Barker Ave</t>
  </si>
  <si>
    <t>430 E 138th St</t>
  </si>
  <si>
    <t>881 Cauldwell Ave</t>
  </si>
  <si>
    <t>690 Gates Ave</t>
  </si>
  <si>
    <t>2076 Richmond Ter</t>
  </si>
  <si>
    <t>323 Bedford Park Blvd</t>
  </si>
  <si>
    <t>10721 107th St</t>
  </si>
  <si>
    <t>1904 Loring Pl S</t>
  </si>
  <si>
    <t>170 Holland Ave</t>
  </si>
  <si>
    <t>9 Monument Walk</t>
  </si>
  <si>
    <t>523 E 187th St</t>
  </si>
  <si>
    <t>62 Eagan Ave</t>
  </si>
  <si>
    <t>1406 New York Ave</t>
  </si>
  <si>
    <t>324 E 108th St</t>
  </si>
  <si>
    <t>717 Cranford Ave</t>
  </si>
  <si>
    <t>231 Steuben St</t>
  </si>
  <si>
    <t>4513 10th Ave</t>
  </si>
  <si>
    <t>2979 8th Ave</t>
  </si>
  <si>
    <t>14070 Ash Ave</t>
  </si>
  <si>
    <t>14 Hillcrest Ave</t>
  </si>
  <si>
    <t>5115 Van Kleeck St</t>
  </si>
  <si>
    <t>210 Clinton Ave</t>
  </si>
  <si>
    <t>1776 Union St</t>
  </si>
  <si>
    <t>70 W 115th St</t>
  </si>
  <si>
    <t>9427 Kings Hwy</t>
  </si>
  <si>
    <t>674 Academy St</t>
  </si>
  <si>
    <t>3706 72nd St</t>
  </si>
  <si>
    <t>870 Southern Blvd</t>
  </si>
  <si>
    <t>265 W 19th St</t>
  </si>
  <si>
    <t>231 Brook Ave</t>
  </si>
  <si>
    <t>99 Madison St</t>
  </si>
  <si>
    <t>300 Bushwick ave</t>
  </si>
  <si>
    <t>930 Ogden Ave</t>
  </si>
  <si>
    <t>835 Blake Ave</t>
  </si>
  <si>
    <t>10236 64th Ave</t>
  </si>
  <si>
    <t>P.O. Box 1</t>
  </si>
  <si>
    <t>140 Ralph Ave</t>
  </si>
  <si>
    <t>53 Boerum Pl</t>
  </si>
  <si>
    <t>340 Clifton Pl</t>
  </si>
  <si>
    <t>604 Lincoln Ave</t>
  </si>
  <si>
    <t>250 E 105th St</t>
  </si>
  <si>
    <t>3556 94th St</t>
  </si>
  <si>
    <t>13303 Hawtree St</t>
  </si>
  <si>
    <t>461 Dean St</t>
  </si>
  <si>
    <t>744 Gates Ave</t>
  </si>
  <si>
    <t>444 State St</t>
  </si>
  <si>
    <t>5609 Van Kleeck Street</t>
  </si>
  <si>
    <t>1245 Broadway</t>
  </si>
  <si>
    <t>308 W 94th St</t>
  </si>
  <si>
    <t>1570 E 102nd St</t>
  </si>
  <si>
    <t>1534 Selwyn Ave</t>
  </si>
  <si>
    <t>9b Stony Hill Rd</t>
  </si>
  <si>
    <t>3534 Bronx Blvd</t>
  </si>
  <si>
    <t>273 Etna St</t>
  </si>
  <si>
    <t>3405 41st St</t>
  </si>
  <si>
    <t>8620 130th St</t>
  </si>
  <si>
    <t>903 Drew St</t>
  </si>
  <si>
    <t>146 W 127th St</t>
  </si>
  <si>
    <t>206 Hamilton Ave</t>
  </si>
  <si>
    <t>585 monroe st</t>
  </si>
  <si>
    <t>2204 Collier Ave 4J</t>
  </si>
  <si>
    <t>5929 Queens Blvd</t>
  </si>
  <si>
    <t>1954 Loring Pl S</t>
  </si>
  <si>
    <t>4575 Park Ave</t>
  </si>
  <si>
    <t>1310 Intervale Ave</t>
  </si>
  <si>
    <t>507 W 142nd St</t>
  </si>
  <si>
    <t>10341 118th St</t>
  </si>
  <si>
    <t>90 Lovett Rd</t>
  </si>
  <si>
    <t>2106 Regent Pl</t>
  </si>
  <si>
    <t>2200 Tiebout Ave</t>
  </si>
  <si>
    <t>325 Kent Ave</t>
  </si>
  <si>
    <t>26 W 132nd St</t>
  </si>
  <si>
    <t>1247 Univ Ave</t>
  </si>
  <si>
    <t>309 E 118th St</t>
  </si>
  <si>
    <t>610 W 145th St</t>
  </si>
  <si>
    <t>357 Edgecombe Ave</t>
  </si>
  <si>
    <t>557 Rockaway Ave</t>
  </si>
  <si>
    <t>5523 31st Ave</t>
  </si>
  <si>
    <t>2686 Bailey Ave</t>
  </si>
  <si>
    <t>1425 Thieriot Ave</t>
  </si>
  <si>
    <t>1026 E 180th St</t>
  </si>
  <si>
    <t>4135 53rd St Apt 2d</t>
  </si>
  <si>
    <t>1011 Carroll Pl</t>
  </si>
  <si>
    <t>2776 Valentine Ave</t>
  </si>
  <si>
    <t>565 Grassmere Ter</t>
  </si>
  <si>
    <t>4705 45th St</t>
  </si>
  <si>
    <t>650 W 177th St</t>
  </si>
  <si>
    <t>16 Vulcan St</t>
  </si>
  <si>
    <t>2409 Beaumont Ave</t>
  </si>
  <si>
    <t>353 E 141st St</t>
  </si>
  <si>
    <t>13 E 124th St</t>
  </si>
  <si>
    <t>3455 12th St</t>
  </si>
  <si>
    <t>236 Mill Rd</t>
  </si>
  <si>
    <t>15843 Jewel Ave</t>
  </si>
  <si>
    <t>2907 Cortelyou Rd</t>
  </si>
  <si>
    <t>4327 68th St</t>
  </si>
  <si>
    <t>246 Woodbine St</t>
  </si>
  <si>
    <t>452 52nd St</t>
  </si>
  <si>
    <t>5 Oakland Dr</t>
  </si>
  <si>
    <t>1145 Univ Ave</t>
  </si>
  <si>
    <t>1870 Pelham Pkwy S</t>
  </si>
  <si>
    <t>263 W 152nd St</t>
  </si>
  <si>
    <t>1236 Burke Ave</t>
  </si>
  <si>
    <t>200 W 111th St</t>
  </si>
  <si>
    <t>10718 156TH ST</t>
  </si>
  <si>
    <t>8523 88th St</t>
  </si>
  <si>
    <t>1675 W 9th St</t>
  </si>
  <si>
    <t>7111 Astoria Blvd N</t>
  </si>
  <si>
    <t>659 Georgia ave</t>
  </si>
  <si>
    <t>777 Macdonough St</t>
  </si>
  <si>
    <t>792 Columbus Ave</t>
  </si>
  <si>
    <t>1751 2nd Ave</t>
  </si>
  <si>
    <t>460 W 147th St</t>
  </si>
  <si>
    <t>322 Bedford Ave</t>
  </si>
  <si>
    <t>3402 CLarendon Rd</t>
  </si>
  <si>
    <t>79 Washington Ave</t>
  </si>
  <si>
    <t>12606 172nd St</t>
  </si>
  <si>
    <t>414 Morris Ave</t>
  </si>
  <si>
    <t>3410 Kingsbridge Ave</t>
  </si>
  <si>
    <t>209 Clinton Ave</t>
  </si>
  <si>
    <t>1357 Plimpton Ave</t>
  </si>
  <si>
    <t>10008 101st Ave</t>
  </si>
  <si>
    <t>99 Metropolitan oval</t>
  </si>
  <si>
    <t>1 Beach 105th St</t>
  </si>
  <si>
    <t>7 Grandview Ave</t>
  </si>
  <si>
    <t>15714 109th Ave</t>
  </si>
  <si>
    <t>15816 Sanford Ave</t>
  </si>
  <si>
    <t>16909 105th Ave</t>
  </si>
  <si>
    <t>208 Se 15th Ter</t>
  </si>
  <si>
    <t>14449 230th Pl</t>
  </si>
  <si>
    <t>1401 Jesup Ave</t>
  </si>
  <si>
    <t>2547 Cruger Ave</t>
  </si>
  <si>
    <t>19523 Station Rd</t>
  </si>
  <si>
    <t>24355 144th Ave</t>
  </si>
  <si>
    <t>4082 Seton Ave</t>
  </si>
  <si>
    <t>108 AVENUE D</t>
  </si>
  <si>
    <t>5021 39th pl</t>
  </si>
  <si>
    <t>121 E Clarke Pl</t>
  </si>
  <si>
    <t>866 E 178th St</t>
  </si>
  <si>
    <t>8415 109th Ave</t>
  </si>
  <si>
    <t>540 W 55th St</t>
  </si>
  <si>
    <t>16836 88th Ave</t>
  </si>
  <si>
    <t>214 E 94th St</t>
  </si>
  <si>
    <t>2911 Barnes Ave</t>
  </si>
  <si>
    <t>355 E 187TH ST</t>
  </si>
  <si>
    <t>14911 Edgewood St</t>
  </si>
  <si>
    <t>4116 51st St</t>
  </si>
  <si>
    <t>115 E 86th St</t>
  </si>
  <si>
    <t>25 Fairview Pl</t>
  </si>
  <si>
    <t>22910 146th Ave</t>
  </si>
  <si>
    <t>11514 Rockaway Blvd</t>
  </si>
  <si>
    <t>60 W 162nd St</t>
  </si>
  <si>
    <t>5763 wadsworth terrace</t>
  </si>
  <si>
    <t>985 Halsey St</t>
  </si>
  <si>
    <t>21 E 129th St</t>
  </si>
  <si>
    <t>54 S Elliott Pl</t>
  </si>
  <si>
    <t>4 Lewis Ave</t>
  </si>
  <si>
    <t>1040 Rosedale Ave</t>
  </si>
  <si>
    <t>333 E 181st ST</t>
  </si>
  <si>
    <t>5 E 196th St</t>
  </si>
  <si>
    <t>3622 53rd Avenue</t>
  </si>
  <si>
    <t>3424 Kingsbridge Ave</t>
  </si>
  <si>
    <t>602 E 91st St</t>
  </si>
  <si>
    <t>3130 Grand Concourse</t>
  </si>
  <si>
    <t>16018 73rd Ave</t>
  </si>
  <si>
    <t>58 Millstone Ct</t>
  </si>
  <si>
    <t>423 Pennsylvania Ave</t>
  </si>
  <si>
    <t>4714 Bronx Blvd</t>
  </si>
  <si>
    <t>509 Flatbush Ave</t>
  </si>
  <si>
    <t>2545 Sedgwick Ave</t>
  </si>
  <si>
    <t>2123 Story Ave</t>
  </si>
  <si>
    <t>10436 196th St</t>
  </si>
  <si>
    <t>405 E 92nd St</t>
  </si>
  <si>
    <t>2419 Richmond Rd</t>
  </si>
  <si>
    <t>428 E 144th St</t>
  </si>
  <si>
    <t>2641 Marion Ave</t>
  </si>
  <si>
    <t>37 Douglas Dr</t>
  </si>
  <si>
    <t>2665 Bainbridge Ave</t>
  </si>
  <si>
    <t>222 Lenox Rd</t>
  </si>
  <si>
    <t>6812 Yellowstone Blvd</t>
  </si>
  <si>
    <t>1763 2nd Ave</t>
  </si>
  <si>
    <t>258 W 117th St</t>
  </si>
  <si>
    <t>12619 Inwood St</t>
  </si>
  <si>
    <t>202 West 24th Street</t>
  </si>
  <si>
    <t>1801 Loring Pl S</t>
  </si>
  <si>
    <t>319 W 125th St</t>
  </si>
  <si>
    <t>674 E 77th St</t>
  </si>
  <si>
    <t>189 E 34th St</t>
  </si>
  <si>
    <t>260-105</t>
  </si>
  <si>
    <t>549 41st St</t>
  </si>
  <si>
    <t>1109 Forest Ave</t>
  </si>
  <si>
    <t>54 Evelyn Pl</t>
  </si>
  <si>
    <t>2402 Atlantic Ave</t>
  </si>
  <si>
    <t>194 Malcom X Blvd</t>
  </si>
  <si>
    <t>100 Manhattan Ave</t>
  </si>
  <si>
    <t>150 Linden St</t>
  </si>
  <si>
    <t>63 Dongan Ave</t>
  </si>
  <si>
    <t>330 Lewis Ave</t>
  </si>
  <si>
    <t>1909 Amsterdam Ave</t>
  </si>
  <si>
    <t>537 Taylor Ave</t>
  </si>
  <si>
    <t>15044 Foch Blvd</t>
  </si>
  <si>
    <t>227 Brinsmade ave</t>
  </si>
  <si>
    <t>253 Davis Ave</t>
  </si>
  <si>
    <t>3424 Gates Pl</t>
  </si>
  <si>
    <t>1388 E 92nd St</t>
  </si>
  <si>
    <t>24 Hett Ave</t>
  </si>
  <si>
    <t>17 Carol Pl</t>
  </si>
  <si>
    <t>266 Nagle Ave</t>
  </si>
  <si>
    <t>181 W 238th St</t>
  </si>
  <si>
    <t>16 Julie Ct</t>
  </si>
  <si>
    <t>DV Shelter</t>
  </si>
  <si>
    <t>1331 Chisholm St</t>
  </si>
  <si>
    <t>2149 Gleason Ave</t>
  </si>
  <si>
    <t>742 E 6th St</t>
  </si>
  <si>
    <t>1400 Jesup Ave</t>
  </si>
  <si>
    <t>2737 Webb Ave</t>
  </si>
  <si>
    <t>30 Park Ave</t>
  </si>
  <si>
    <t>126 Kramer St</t>
  </si>
  <si>
    <t>129 W 147th st</t>
  </si>
  <si>
    <t>1146 Ogden Ave</t>
  </si>
  <si>
    <t>8525 Avenue J</t>
  </si>
  <si>
    <t>468 Grand Ave</t>
  </si>
  <si>
    <t>2201 36th Ave</t>
  </si>
  <si>
    <t>2500 University Ave</t>
  </si>
  <si>
    <t>502 E 189th St</t>
  </si>
  <si>
    <t>2877 University Ave</t>
  </si>
  <si>
    <t>345 Cypress Ave</t>
  </si>
  <si>
    <t>650 W 42nd St</t>
  </si>
  <si>
    <t>50 Avenue D</t>
  </si>
  <si>
    <t>8357 118th St</t>
  </si>
  <si>
    <t>11557 174th St</t>
  </si>
  <si>
    <t>1046 E 241st St</t>
  </si>
  <si>
    <t>1075 Grand Concourse</t>
  </si>
  <si>
    <t>8784 165th St</t>
  </si>
  <si>
    <t>237 E 20th St</t>
  </si>
  <si>
    <t>270 Clarkson Ave</t>
  </si>
  <si>
    <t>775 Concourse Vlg E</t>
  </si>
  <si>
    <t>22143 113th Dr</t>
  </si>
  <si>
    <t>509 W 212th St</t>
  </si>
  <si>
    <t>1150 President St</t>
  </si>
  <si>
    <t>32 Heritage Hills Dr</t>
  </si>
  <si>
    <t>506 Decatur St</t>
  </si>
  <si>
    <t>597 Mayfair dr S</t>
  </si>
  <si>
    <t>1230 Teller Ave</t>
  </si>
  <si>
    <t>224 Mill Rd</t>
  </si>
  <si>
    <t>1931 Andrews Ave</t>
  </si>
  <si>
    <t>407 Hancock St</t>
  </si>
  <si>
    <t>500 W 141st ST</t>
  </si>
  <si>
    <t>15523 Jewel Ave</t>
  </si>
  <si>
    <t>203 Beach 77th St</t>
  </si>
  <si>
    <t>1348 Saint Nicholas Ave</t>
  </si>
  <si>
    <t>980 Aldus St</t>
  </si>
  <si>
    <t>2545 Linden Blvd</t>
  </si>
  <si>
    <t>98 W 183rd St</t>
  </si>
  <si>
    <t>14643 105th Ave</t>
  </si>
  <si>
    <t>132 Balcom Ave</t>
  </si>
  <si>
    <t>713 Taylor Ave</t>
  </si>
  <si>
    <t>3320 Kossuth Ave</t>
  </si>
  <si>
    <t>200 W 67th St</t>
  </si>
  <si>
    <t>23108 128th Rd</t>
  </si>
  <si>
    <t>420 Watkins St</t>
  </si>
  <si>
    <t>500 E 171st St</t>
  </si>
  <si>
    <t>749 Lafayette Ave</t>
  </si>
  <si>
    <t>1460 Sterling Pl</t>
  </si>
  <si>
    <t>1023 Broadway</t>
  </si>
  <si>
    <t>3111 Heath Ave</t>
  </si>
  <si>
    <t>666 Adee Ave</t>
  </si>
  <si>
    <t>5513 Avenue K</t>
  </si>
  <si>
    <t>15059 Foch Blvd</t>
  </si>
  <si>
    <t>51 Hill St</t>
  </si>
  <si>
    <t>2208 125th St Bsmt</t>
  </si>
  <si>
    <t>410 E 6th St</t>
  </si>
  <si>
    <t>264 Echo Pl</t>
  </si>
  <si>
    <t>14841 231st ST</t>
  </si>
  <si>
    <t>1604 Bedford Ave</t>
  </si>
  <si>
    <t>50 E 196th St</t>
  </si>
  <si>
    <t>22910 146Th Ave</t>
  </si>
  <si>
    <t>2075 Wallace Ave</t>
  </si>
  <si>
    <t>2101 Creston Ave</t>
  </si>
  <si>
    <t>120 Erdman pl</t>
  </si>
  <si>
    <t>4879 Broadway</t>
  </si>
  <si>
    <t>1506 Ocean Ave</t>
  </si>
  <si>
    <t>305 Fountain Ave</t>
  </si>
  <si>
    <t>1404 Brooklyn Ave</t>
  </si>
  <si>
    <t>6742 Austin St</t>
  </si>
  <si>
    <t>555 Bushwick Ave</t>
  </si>
  <si>
    <t>422 Avenue U</t>
  </si>
  <si>
    <t>571 E 167th St</t>
  </si>
  <si>
    <t>504 W 135th St</t>
  </si>
  <si>
    <t>269 E Burnside Ave</t>
  </si>
  <si>
    <t>2455 Cruger Ave</t>
  </si>
  <si>
    <t>10914 FARMERS BLVD</t>
  </si>
  <si>
    <t>8944 162nd St</t>
  </si>
  <si>
    <t>618 Livonia Ave</t>
  </si>
  <si>
    <t>11610 91st Ave</t>
  </si>
  <si>
    <t>201 W 146th St</t>
  </si>
  <si>
    <t>2885 W 12th St</t>
  </si>
  <si>
    <t>588 BainBridge Street</t>
  </si>
  <si>
    <t>216 N 62nd Street</t>
  </si>
  <si>
    <t>1815 Avenue J</t>
  </si>
  <si>
    <t>1681 65th St</t>
  </si>
  <si>
    <t>865 Gates Ave</t>
  </si>
  <si>
    <t>2264 Davidson Ave</t>
  </si>
  <si>
    <t>298 Rogers Ave</t>
  </si>
  <si>
    <t>2171 Madison Ave</t>
  </si>
  <si>
    <t>1150 Leland Ave</t>
  </si>
  <si>
    <t>10710 Shore Front Pkwy</t>
  </si>
  <si>
    <t>1846 Anthony Ave</t>
  </si>
  <si>
    <t>744 E 215th St</t>
  </si>
  <si>
    <t>6 Monteforte St</t>
  </si>
  <si>
    <t>61 Martense St</t>
  </si>
  <si>
    <t>2104 Crotona pkwy</t>
  </si>
  <si>
    <t>13229 Metropolitan Ave</t>
  </si>
  <si>
    <t>1195 New York Ave</t>
  </si>
  <si>
    <t>26 Grand St</t>
  </si>
  <si>
    <t>1066 Ralph Ave</t>
  </si>
  <si>
    <t>1944 Unionport Rd</t>
  </si>
  <si>
    <t>238 W 132nd St</t>
  </si>
  <si>
    <t>2060 Anthony Ave</t>
  </si>
  <si>
    <t>835 Clarkson Ave</t>
  </si>
  <si>
    <t>160 Schermerhorn St</t>
  </si>
  <si>
    <t>891 Greene Ave</t>
  </si>
  <si>
    <t>515 W 170th St</t>
  </si>
  <si>
    <t>2183 Washington Ave</t>
  </si>
  <si>
    <t>4266 Hunter St</t>
  </si>
  <si>
    <t>322 E 120th St</t>
  </si>
  <si>
    <t>1898 Belmont Ave</t>
  </si>
  <si>
    <t>912 Courtlandt Ave</t>
  </si>
  <si>
    <t>50 Kenilworth Pl</t>
  </si>
  <si>
    <t>190 W 170th St</t>
  </si>
  <si>
    <t>649 Leonard St</t>
  </si>
  <si>
    <t>1867 7th Ave</t>
  </si>
  <si>
    <t>2430 W 111th St</t>
  </si>
  <si>
    <t>750 Croes Ave</t>
  </si>
  <si>
    <t>499 E 8th St</t>
  </si>
  <si>
    <t>101 W 130th St</t>
  </si>
  <si>
    <t>8570 102nd St</t>
  </si>
  <si>
    <t>1362 Prospect Ave</t>
  </si>
  <si>
    <t>392 10th St</t>
  </si>
  <si>
    <t>111 Morton St</t>
  </si>
  <si>
    <t>600 W 142nd St</t>
  </si>
  <si>
    <t>42 Montell St</t>
  </si>
  <si>
    <t>380 E 18th St</t>
  </si>
  <si>
    <t>2372 Amsterdam Ave</t>
  </si>
  <si>
    <t>2115 Honeywell Ave</t>
  </si>
  <si>
    <t>220 Audubon Ave</t>
  </si>
  <si>
    <t>245 Doane Ave</t>
  </si>
  <si>
    <t>759 Eagle Ave</t>
  </si>
  <si>
    <t>9254 172nd St</t>
  </si>
  <si>
    <t>12 Marconi Pl</t>
  </si>
  <si>
    <t>1130 Kelly St</t>
  </si>
  <si>
    <t>15 Rodeo Ln</t>
  </si>
  <si>
    <t>6223 74th Ave</t>
  </si>
  <si>
    <t>1993 Bathgate Ave</t>
  </si>
  <si>
    <t>2324 Bedford Ave</t>
  </si>
  <si>
    <t>320 27th Ave</t>
  </si>
  <si>
    <t>5039 61st St</t>
  </si>
  <si>
    <t>18917 Mangin Ave</t>
  </si>
  <si>
    <t>1930 Bedford Ave</t>
  </si>
  <si>
    <t>208 Betts Ave</t>
  </si>
  <si>
    <t>1422 Lincoln Pl</t>
  </si>
  <si>
    <t>11547 131st St</t>
  </si>
  <si>
    <t>Sarah Burke Shelter (1783 PO BOX)</t>
  </si>
  <si>
    <t>180 E 52nd St</t>
  </si>
  <si>
    <t>1405 Sutter Ave</t>
  </si>
  <si>
    <t>3804 Greystone Ave</t>
  </si>
  <si>
    <t>2701 Kingsbridge Ter</t>
  </si>
  <si>
    <t>620 E 178th St</t>
  </si>
  <si>
    <t>558 Ralph Ave</t>
  </si>
  <si>
    <t>272 E Gun Hill Rd</t>
  </si>
  <si>
    <t>63 Wainwright Ave</t>
  </si>
  <si>
    <t>268 Alexander Ave</t>
  </si>
  <si>
    <t>5995 Shore Pkwy</t>
  </si>
  <si>
    <t>206 Astoria Blvd</t>
  </si>
  <si>
    <t>1743 Prospect Pl</t>
  </si>
  <si>
    <t>3206 47th St</t>
  </si>
  <si>
    <t>655 Burke Ave</t>
  </si>
  <si>
    <t>13538 123rd St</t>
  </si>
  <si>
    <t>433 Halsey St</t>
  </si>
  <si>
    <t>2508 Cornaga Ave</t>
  </si>
  <si>
    <t>350 Sheffield Ave</t>
  </si>
  <si>
    <t>18756 Quencer Rd</t>
  </si>
  <si>
    <t>19215 A 64th Cir</t>
  </si>
  <si>
    <t>1615 Walton Ave</t>
  </si>
  <si>
    <t>8840 173rd st</t>
  </si>
  <si>
    <t>155 Claremont Ave</t>
  </si>
  <si>
    <t>10453 164th St</t>
  </si>
  <si>
    <t>381 E 158th St</t>
  </si>
  <si>
    <t>25 Ludwig Ln</t>
  </si>
  <si>
    <t>16011 89th Ave</t>
  </si>
  <si>
    <t>333 Beach 67th St</t>
  </si>
  <si>
    <t>241 Garden St</t>
  </si>
  <si>
    <t>1347 Jefferson Ave</t>
  </si>
  <si>
    <t>896 Mulberry Rd</t>
  </si>
  <si>
    <t>1110 Sheridan Ave</t>
  </si>
  <si>
    <t>13417 166th Pl</t>
  </si>
  <si>
    <t>597 E 139th St</t>
  </si>
  <si>
    <t>2135 Strauss St</t>
  </si>
  <si>
    <t>753 Jackson Ave</t>
  </si>
  <si>
    <t>2364 Lorillard Pl</t>
  </si>
  <si>
    <t>420 Saint Marks Pl</t>
  </si>
  <si>
    <t>341 Bradford St</t>
  </si>
  <si>
    <t>4135 149th St</t>
  </si>
  <si>
    <t>133 A Quincy Street</t>
  </si>
  <si>
    <t>2475 38th St</t>
  </si>
  <si>
    <t>183 Tompkins Ave</t>
  </si>
  <si>
    <t>430 Bronx Park Ave</t>
  </si>
  <si>
    <t>8333 118th St</t>
  </si>
  <si>
    <t>1970 E Tremont Ave</t>
  </si>
  <si>
    <t>3115 Brighton 4th St</t>
  </si>
  <si>
    <t>1670 Fulton St</t>
  </si>
  <si>
    <t>3425 Gates Pl</t>
  </si>
  <si>
    <t>535 W 135th St</t>
  </si>
  <si>
    <t>9436 41st Rd</t>
  </si>
  <si>
    <t>4912 111th St</t>
  </si>
  <si>
    <t>10632 98th St</t>
  </si>
  <si>
    <t>411 Westervelt Ave</t>
  </si>
  <si>
    <t>197 Ten Eyck St</t>
  </si>
  <si>
    <t>1954 1st Ave</t>
  </si>
  <si>
    <t>1950 Hutchinson River Pkwy</t>
  </si>
  <si>
    <t>283 Nicholas Ave</t>
  </si>
  <si>
    <t>3003 W 21st St</t>
  </si>
  <si>
    <t>1869 Richmond Ave</t>
  </si>
  <si>
    <t>17 Old Town Rd</t>
  </si>
  <si>
    <t>64 Sunken Garden Loop</t>
  </si>
  <si>
    <t>15315 89th Ave</t>
  </si>
  <si>
    <t>2510 Ocean Pkwy</t>
  </si>
  <si>
    <t>1002 E 167th St</t>
  </si>
  <si>
    <t>658 Delafield Ave</t>
  </si>
  <si>
    <t>1229 41st St</t>
  </si>
  <si>
    <t>137 88th St</t>
  </si>
  <si>
    <t>243 W 99th St</t>
  </si>
  <si>
    <t>2330 Valentine Ave</t>
  </si>
  <si>
    <t>88 Renee Pl</t>
  </si>
  <si>
    <t>158 W 129th St</t>
  </si>
  <si>
    <t>1018 Wheeler Ave</t>
  </si>
  <si>
    <t>2878 Harrington Ave</t>
  </si>
  <si>
    <t>425 101st St</t>
  </si>
  <si>
    <t>3203 Broadway</t>
  </si>
  <si>
    <t>19 Dutch St</t>
  </si>
  <si>
    <t>229 W 97th St</t>
  </si>
  <si>
    <t>2721 Barker Ave</t>
  </si>
  <si>
    <t>602 Ocean Pkwy</t>
  </si>
  <si>
    <t>1500 Hornell Loop</t>
  </si>
  <si>
    <t>805 Saint Marks Ave</t>
  </si>
  <si>
    <t>1129 43rd St</t>
  </si>
  <si>
    <t>28 Florida Ave</t>
  </si>
  <si>
    <t>196 Grafton St</t>
  </si>
  <si>
    <t>9 Fordham Hill Oval</t>
  </si>
  <si>
    <t>711 Ocean Ave</t>
  </si>
  <si>
    <t>2100 Beekman Pl</t>
  </si>
  <si>
    <t>10644 Ruscoe St</t>
  </si>
  <si>
    <t>280 E Burnside Ave</t>
  </si>
  <si>
    <t>2517 Cruger Ave</t>
  </si>
  <si>
    <t>2706 Seagirt Ave</t>
  </si>
  <si>
    <t>145 E 23rd St</t>
  </si>
  <si>
    <t>123 Albany Ave</t>
  </si>
  <si>
    <t>PO Box 340014</t>
  </si>
  <si>
    <t>10327 114th St</t>
  </si>
  <si>
    <t>234 E Gun Hill Rd</t>
  </si>
  <si>
    <t>1500 Popham Ave</t>
  </si>
  <si>
    <t>275 57th St</t>
  </si>
  <si>
    <t>961 42nd St</t>
  </si>
  <si>
    <t>284 Cooper St</t>
  </si>
  <si>
    <t>6832 64th Pl</t>
  </si>
  <si>
    <t>4 E 107th St</t>
  </si>
  <si>
    <t>1441 Bushwick Ave</t>
  </si>
  <si>
    <t>411 E 136th St</t>
  </si>
  <si>
    <t>200 Tillary St</t>
  </si>
  <si>
    <t>47 Carroll Pl</t>
  </si>
  <si>
    <t>366 Clifton Pl</t>
  </si>
  <si>
    <t>353 E 83rd St</t>
  </si>
  <si>
    <t>1720 Victor St</t>
  </si>
  <si>
    <t>420 W 19th St</t>
  </si>
  <si>
    <t>51 E 97th St</t>
  </si>
  <si>
    <t>11943 178th St</t>
  </si>
  <si>
    <t>10955 Union Hall St</t>
  </si>
  <si>
    <t>1851 7th Ave</t>
  </si>
  <si>
    <t>562 Seneca Ave</t>
  </si>
  <si>
    <t>2690 Webb Ave</t>
  </si>
  <si>
    <t>33 Bionia Ave</t>
  </si>
  <si>
    <t>1467 Taylor Ave</t>
  </si>
  <si>
    <t>211 W 101st St</t>
  </si>
  <si>
    <t>9832 57th avenue, apt. 8b</t>
  </si>
  <si>
    <t>530 E 137th St</t>
  </si>
  <si>
    <t>11635 Sutphin Blvd</t>
  </si>
  <si>
    <t>469 Ridgewood Ave</t>
  </si>
  <si>
    <t>80 W 170th St</t>
  </si>
  <si>
    <t>140 W 238th St</t>
  </si>
  <si>
    <t>55 Bethune St</t>
  </si>
  <si>
    <t>16819 118th Rd</t>
  </si>
  <si>
    <t>12407 103rd Ave</t>
  </si>
  <si>
    <t>691 Lenox Rd</t>
  </si>
  <si>
    <t>3021 Holland Ave</t>
  </si>
  <si>
    <t>16225 112th Rd</t>
  </si>
  <si>
    <t>376 Mount Prospect Ave</t>
  </si>
  <si>
    <t>115 W 168th St</t>
  </si>
  <si>
    <t>551 E 143rd St</t>
  </si>
  <si>
    <t>11736 140th St</t>
  </si>
  <si>
    <t>2 Peter Cooper Rd</t>
  </si>
  <si>
    <t>280 Mother Gaston Blvd</t>
  </si>
  <si>
    <t>17507 Brinkerhoff Ave</t>
  </si>
  <si>
    <t>11942 177th St</t>
  </si>
  <si>
    <t>2125 Cruger Ave</t>
  </si>
  <si>
    <t>25 Stern Ct</t>
  </si>
  <si>
    <t>1010 President St</t>
  </si>
  <si>
    <t>3300 Bailey Ave</t>
  </si>
  <si>
    <t>3605 Olinville Ave</t>
  </si>
  <si>
    <t>6129 56th St</t>
  </si>
  <si>
    <t>4015 Hampton St</t>
  </si>
  <si>
    <t>1525 Unionport Rd</t>
  </si>
  <si>
    <t>1216 e 36th St</t>
  </si>
  <si>
    <t>287 Webster Ave</t>
  </si>
  <si>
    <t>PO Box 180336</t>
  </si>
  <si>
    <t>9425 57th Ave</t>
  </si>
  <si>
    <t>9216 union hall</t>
  </si>
  <si>
    <t>542 Williams Ave</t>
  </si>
  <si>
    <t>330 W 36th St</t>
  </si>
  <si>
    <t>3127 49th St</t>
  </si>
  <si>
    <t>721 E 223rd St</t>
  </si>
  <si>
    <t>640 W 153rd St</t>
  </si>
  <si>
    <t>4069 Wilder Ave</t>
  </si>
  <si>
    <t>12560 Sutphin Blvd</t>
  </si>
  <si>
    <t>553 E 169th St</t>
  </si>
  <si>
    <t>910 Home St</t>
  </si>
  <si>
    <t>2388 Creston Ave</t>
  </si>
  <si>
    <t>515 W 143rd St</t>
  </si>
  <si>
    <t>000 queens</t>
  </si>
  <si>
    <t>5810 Santa Maria Ave</t>
  </si>
  <si>
    <t>14809 Northern Blvd</t>
  </si>
  <si>
    <t>3215 34th St</t>
  </si>
  <si>
    <t>1104 Elder Ave</t>
  </si>
  <si>
    <t>3520 97th St</t>
  </si>
  <si>
    <t>1275 Grant Ave</t>
  </si>
  <si>
    <t>10108 115th St</t>
  </si>
  <si>
    <t>3304 Bronx Blvd</t>
  </si>
  <si>
    <t>8724 126th St</t>
  </si>
  <si>
    <t>3950 60th St</t>
  </si>
  <si>
    <t>21813 137th Rd</t>
  </si>
  <si>
    <t>534 Commonwealth Ave</t>
  </si>
  <si>
    <t>1702 Wallace Ave</t>
  </si>
  <si>
    <t>437 Dewitt Ave</t>
  </si>
  <si>
    <t>2483 Tiebout Ave</t>
  </si>
  <si>
    <t>3810 97th St</t>
  </si>
  <si>
    <t>2260 University Ave</t>
  </si>
  <si>
    <t>2881 Heath Ave</t>
  </si>
  <si>
    <t>10432 201st St</t>
  </si>
  <si>
    <t>755 10th Ave</t>
  </si>
  <si>
    <t>5508 111th St</t>
  </si>
  <si>
    <t>13013 127th St</t>
  </si>
  <si>
    <t>276 S 1st St</t>
  </si>
  <si>
    <t>3500 Tryon Ave</t>
  </si>
  <si>
    <t>1145 White Plains Rd</t>
  </si>
  <si>
    <t>1693 65th St</t>
  </si>
  <si>
    <t>160 Havemeyer St</t>
  </si>
  <si>
    <t>645 W 160th St</t>
  </si>
  <si>
    <t>1452 Beach Ave</t>
  </si>
  <si>
    <t>212 W Kingsbridge Rd</t>
  </si>
  <si>
    <t>7315 72nd St</t>
  </si>
  <si>
    <t>530 W 122nd st</t>
  </si>
  <si>
    <t>503 W 148th St</t>
  </si>
  <si>
    <t>14205 180th St</t>
  </si>
  <si>
    <t>2840 Sedgwick Ave</t>
  </si>
  <si>
    <t>3114 42nd St</t>
  </si>
  <si>
    <t>1230 Woodycrest Ave</t>
  </si>
  <si>
    <t>7939 Calamus Ave</t>
  </si>
  <si>
    <t>601 W 132nd St</t>
  </si>
  <si>
    <t>162 E 184th St</t>
  </si>
  <si>
    <t>8910 Whitney Ave</t>
  </si>
  <si>
    <t>4039 Ely Ave</t>
  </si>
  <si>
    <t>386 E 159th St</t>
  </si>
  <si>
    <t>550 Gates Ave</t>
  </si>
  <si>
    <t>3133 12th St</t>
  </si>
  <si>
    <t>385 Bleecker St</t>
  </si>
  <si>
    <t>2179 Clove Rd</t>
  </si>
  <si>
    <t>512 W 136th St</t>
  </si>
  <si>
    <t>1729 Walton Ave</t>
  </si>
  <si>
    <t>790 Riverside Dr</t>
  </si>
  <si>
    <t>2656 Decatur Ave</t>
  </si>
  <si>
    <t>321 Milford St</t>
  </si>
  <si>
    <t>505 Mcdonald Ave</t>
  </si>
  <si>
    <t>1826 Mulford Ave</t>
  </si>
  <si>
    <t>3012 Wallace Ave</t>
  </si>
  <si>
    <t>1811 Gleason Ave</t>
  </si>
  <si>
    <t>751 Tilden St</t>
  </si>
  <si>
    <t>481 Williams Ave</t>
  </si>
  <si>
    <t>1986 Belmont Ave</t>
  </si>
  <si>
    <t>9115 175th St</t>
  </si>
  <si>
    <t>10405 Westside Ave</t>
  </si>
  <si>
    <t>2305 2nd Ave</t>
  </si>
  <si>
    <t>860 Southern blvd</t>
  </si>
  <si>
    <t>2066 Morris Ave</t>
  </si>
  <si>
    <t>13316 225th St</t>
  </si>
  <si>
    <t>7222 Austin St</t>
  </si>
  <si>
    <t>10423 Francis Lewis Blvd</t>
  </si>
  <si>
    <t>455 101st St</t>
  </si>
  <si>
    <t>11520 149th St</t>
  </si>
  <si>
    <t>8919 170th St</t>
  </si>
  <si>
    <t>458 Woodward Ave</t>
  </si>
  <si>
    <t>2855 Frederick Douglass Blvd</t>
  </si>
  <si>
    <t>13146 Laurelton Pkwy</t>
  </si>
  <si>
    <t>11828 222nd St</t>
  </si>
  <si>
    <t>22410 138th Ave</t>
  </si>
  <si>
    <t>3111 Glenwood Rd</t>
  </si>
  <si>
    <t>2720 Grand Concourse</t>
  </si>
  <si>
    <t>99-19 66th rd</t>
  </si>
  <si>
    <t>2778 3rd Ave</t>
  </si>
  <si>
    <t>13103 40th Rd</t>
  </si>
  <si>
    <t>304 E 156th St</t>
  </si>
  <si>
    <t>1460 Pennsylvania Ave</t>
  </si>
  <si>
    <t>5302 Browvale Ln</t>
  </si>
  <si>
    <t>135 Vanderbilt Ave</t>
  </si>
  <si>
    <t>331 E 86th St</t>
  </si>
  <si>
    <t>346 Jefferson Ave</t>
  </si>
  <si>
    <t>502 W 180th St</t>
  </si>
  <si>
    <t>10929 Sutphin Blvd</t>
  </si>
  <si>
    <t>13302 135th Pl</t>
  </si>
  <si>
    <t>4726 44th St</t>
  </si>
  <si>
    <t>790 Lafayette ave</t>
  </si>
  <si>
    <t>996 Hegeman Ave</t>
  </si>
  <si>
    <t>1834 Sterling Pl</t>
  </si>
  <si>
    <t>165 Saint Anns Ave</t>
  </si>
  <si>
    <t>91 Junius St</t>
  </si>
  <si>
    <t>6564 Knowlesville Rd</t>
  </si>
  <si>
    <t>193 Martense St</t>
  </si>
  <si>
    <t>5527 84th St</t>
  </si>
  <si>
    <t>7 Albany Ave</t>
  </si>
  <si>
    <t>14815 87th Rd</t>
  </si>
  <si>
    <t>5238 69th St</t>
  </si>
  <si>
    <t>5928 Xenia St</t>
  </si>
  <si>
    <t>1314 Merriam Ave</t>
  </si>
  <si>
    <t>14412 28th Ave</t>
  </si>
  <si>
    <t>14305 41st Ave</t>
  </si>
  <si>
    <t>2759 Sedgwick Ave</t>
  </si>
  <si>
    <t>1110 Carroll St</t>
  </si>
  <si>
    <t>1802 Ocean Pkwy</t>
  </si>
  <si>
    <t>4076 Bedford Ave</t>
  </si>
  <si>
    <t>222 E 44th St</t>
  </si>
  <si>
    <t>14308 Roosevelt Ave</t>
  </si>
  <si>
    <t>611 W 158th St</t>
  </si>
  <si>
    <t>1014 Avenue N</t>
  </si>
  <si>
    <t>4617 215th Pl</t>
  </si>
  <si>
    <t>515 Grand Ave</t>
  </si>
  <si>
    <t>4345 Webster Ave</t>
  </si>
  <si>
    <t>625 Emerald St</t>
  </si>
  <si>
    <t>10316 124th St</t>
  </si>
  <si>
    <t>331 Alabama Ave</t>
  </si>
  <si>
    <t>444 Secon Avenue</t>
  </si>
  <si>
    <t>1202 Spofford Ave</t>
  </si>
  <si>
    <t>166 Oakdale St</t>
  </si>
  <si>
    <t>598 W 191st St</t>
  </si>
  <si>
    <t>25519 75th Ave</t>
  </si>
  <si>
    <t>443 Cyrus Pl</t>
  </si>
  <si>
    <t>150 Claremont Ave</t>
  </si>
  <si>
    <t>670 W 193rd St</t>
  </si>
  <si>
    <t>9407 75th St</t>
  </si>
  <si>
    <t>3265 Bainbridge Ave</t>
  </si>
  <si>
    <t>12449 135th Pl</t>
  </si>
  <si>
    <t>300 E 93rd St</t>
  </si>
  <si>
    <t>241 Schenck Ave</t>
  </si>
  <si>
    <t>182 S 3rd St</t>
  </si>
  <si>
    <t>573 Hart St</t>
  </si>
  <si>
    <t>2361 Coney Island Ave</t>
  </si>
  <si>
    <t>711a Seagirt Ave</t>
  </si>
  <si>
    <t>404 Williams Ave</t>
  </si>
  <si>
    <t>2000 Daly Ave</t>
  </si>
  <si>
    <t>4322 Gunther ave</t>
  </si>
  <si>
    <t>931 Fox ST</t>
  </si>
  <si>
    <t>1123 Nelson Ave</t>
  </si>
  <si>
    <t>10016 Spruce St</t>
  </si>
  <si>
    <t>1609 Melville St</t>
  </si>
  <si>
    <t>Po Box 70460</t>
  </si>
  <si>
    <t>116 Seaman Ave</t>
  </si>
  <si>
    <t>3760 88th ST</t>
  </si>
  <si>
    <t>16 Sherlock Pl</t>
  </si>
  <si>
    <t>2324 Bragg st</t>
  </si>
  <si>
    <t>99 Osgood Ave</t>
  </si>
  <si>
    <t>4135 53rd St</t>
  </si>
  <si>
    <t>587 Gates Ave</t>
  </si>
  <si>
    <t>529 W 189th St</t>
  </si>
  <si>
    <t>495 Delafield Ave</t>
  </si>
  <si>
    <t>760 Fox st</t>
  </si>
  <si>
    <t>175 W 137th St</t>
  </si>
  <si>
    <t>35 W 31st St</t>
  </si>
  <si>
    <t>130 Fenimore St</t>
  </si>
  <si>
    <t>1856 Haight ave</t>
  </si>
  <si>
    <t>1585 White Plains Rd</t>
  </si>
  <si>
    <t>7 Bell Slip</t>
  </si>
  <si>
    <t>247 W 140th St</t>
  </si>
  <si>
    <t>174 Sandalwood Dr</t>
  </si>
  <si>
    <t>6759 152nd St</t>
  </si>
  <si>
    <t>120 W 183rd St</t>
  </si>
  <si>
    <t>125 Seaman Ave</t>
  </si>
  <si>
    <t>140 Casals Pl</t>
  </si>
  <si>
    <t>158 E 119th St</t>
  </si>
  <si>
    <t>9034 191st St</t>
  </si>
  <si>
    <t>47 Malta St</t>
  </si>
  <si>
    <t>10225 Corona Ave</t>
  </si>
  <si>
    <t>2221 Wickham Ave</t>
  </si>
  <si>
    <t>295A Bainbridge St</t>
  </si>
  <si>
    <t>10 Richman Plz</t>
  </si>
  <si>
    <t>4115 50th Ave</t>
  </si>
  <si>
    <t>291 20th St</t>
  </si>
  <si>
    <t>2940 W 33rd St</t>
  </si>
  <si>
    <t>376 Montgomery St</t>
  </si>
  <si>
    <t>1066 Bergen St</t>
  </si>
  <si>
    <t>2332 Creston Ave</t>
  </si>
  <si>
    <t>155 Friendship Ln</t>
  </si>
  <si>
    <t>1230 Pennsylvania Ave</t>
  </si>
  <si>
    <t>520 W 151st St</t>
  </si>
  <si>
    <t>505 W 135th St</t>
  </si>
  <si>
    <t>5256 St Nicholas Ave</t>
  </si>
  <si>
    <t>251 E Kingsbridge Rd</t>
  </si>
  <si>
    <t>124 S 1st ST</t>
  </si>
  <si>
    <t>305 E 153rd St</t>
  </si>
  <si>
    <t>2060 White Plains Rd</t>
  </si>
  <si>
    <t>4051 220th St</t>
  </si>
  <si>
    <t>750 Rockaway Ave</t>
  </si>
  <si>
    <t>1027 E 227th St</t>
  </si>
  <si>
    <t>453 W 141st St</t>
  </si>
  <si>
    <t>2374 University Ave</t>
  </si>
  <si>
    <t>235 E 96th St</t>
  </si>
  <si>
    <t>1490 Ocean Ave</t>
  </si>
  <si>
    <t>1506 Avenue L</t>
  </si>
  <si>
    <t>517 W 169th St</t>
  </si>
  <si>
    <t>165 Van Buren St</t>
  </si>
  <si>
    <t>28 Hill St</t>
  </si>
  <si>
    <t>56 W 119th St</t>
  </si>
  <si>
    <t>178 Hooper St # 180</t>
  </si>
  <si>
    <t>209 W 118th St</t>
  </si>
  <si>
    <t>399 E 160th st</t>
  </si>
  <si>
    <t>3205 Emmons Ave</t>
  </si>
  <si>
    <t>19 Slosson Ter</t>
  </si>
  <si>
    <t>2525 Crescent St</t>
  </si>
  <si>
    <t>2018 Linden st</t>
  </si>
  <si>
    <t>280 Etna St</t>
  </si>
  <si>
    <t>3 W 108th St</t>
  </si>
  <si>
    <t>4171 Denman St</t>
  </si>
  <si>
    <t>943 E 37th St</t>
  </si>
  <si>
    <t>1814 Saint Johns Pl</t>
  </si>
  <si>
    <t>501 W 189th St</t>
  </si>
  <si>
    <t>1817 W Farms Rd</t>
  </si>
  <si>
    <t>1710 Vyse Ave</t>
  </si>
  <si>
    <t>400 W 113th st</t>
  </si>
  <si>
    <t>4094 Denman St</t>
  </si>
  <si>
    <t>22109 145th Rd</t>
  </si>
  <si>
    <t>1560 E 102nd St</t>
  </si>
  <si>
    <t>210 W 102nd St</t>
  </si>
  <si>
    <t>1585 Odell St</t>
  </si>
  <si>
    <t>417 Pennsylvania Ave</t>
  </si>
  <si>
    <t>456 Autumn Ave</t>
  </si>
  <si>
    <t>636 Brooklyn Ave</t>
  </si>
  <si>
    <t>626 Riverside Dr</t>
  </si>
  <si>
    <t>630 Chauncey St</t>
  </si>
  <si>
    <t>107 Caroline St</t>
  </si>
  <si>
    <t>49 Saint Nicholas Ter</t>
  </si>
  <si>
    <t>3106 Emmons Ave</t>
  </si>
  <si>
    <t>1118 Westchester Ave</t>
  </si>
  <si>
    <t>132 17th St</t>
  </si>
  <si>
    <t>534 Bittersweet Ter</t>
  </si>
  <si>
    <t>956 Leggett Ave</t>
  </si>
  <si>
    <t>425 E 153rd St</t>
  </si>
  <si>
    <t>419 W 128th St</t>
  </si>
  <si>
    <t>142 Hillcrest Ter</t>
  </si>
  <si>
    <t>751 Union Dr</t>
  </si>
  <si>
    <t>2016 E 55th St</t>
  </si>
  <si>
    <t>1645 Grand Ave</t>
  </si>
  <si>
    <t>1305 Delmar Loope</t>
  </si>
  <si>
    <t>6200 Riverdale Ave</t>
  </si>
  <si>
    <t>788 E 182nd ST</t>
  </si>
  <si>
    <t>9723 87th St</t>
  </si>
  <si>
    <t>1175 Findlay Ave</t>
  </si>
  <si>
    <t>3618 Bronx Blvd</t>
  </si>
  <si>
    <t>205 W 109th St</t>
  </si>
  <si>
    <t>369 Decatur St</t>
  </si>
  <si>
    <t>12014 18th Ave</t>
  </si>
  <si>
    <t>735 Mace Ave</t>
  </si>
  <si>
    <t>1806 Vyse Ave</t>
  </si>
  <si>
    <t>3609 Broadway</t>
  </si>
  <si>
    <t>19209 104th Ave</t>
  </si>
  <si>
    <t>8684 20th Ave</t>
  </si>
  <si>
    <t>11310 103rd Ave</t>
  </si>
  <si>
    <t>607 W 139th St</t>
  </si>
  <si>
    <t>6449 Wetherole street</t>
  </si>
  <si>
    <t>356 W 18th St</t>
  </si>
  <si>
    <t>117 Amersfort Pl</t>
  </si>
  <si>
    <t>20621 46th Rd</t>
  </si>
  <si>
    <t>25729 147th Ave</t>
  </si>
  <si>
    <t>77 Steuben St</t>
  </si>
  <si>
    <t>90 Ellwood St</t>
  </si>
  <si>
    <t>436 48th St</t>
  </si>
  <si>
    <t>1327 Southern Blvd</t>
  </si>
  <si>
    <t>4709 White Plains Rd</t>
  </si>
  <si>
    <t>876 E 156th St</t>
  </si>
  <si>
    <t>64 Clinton Place</t>
  </si>
  <si>
    <t>3 Miller Ave</t>
  </si>
  <si>
    <t>2062 Bronx Park E</t>
  </si>
  <si>
    <t>1652 Park Ave</t>
  </si>
  <si>
    <t>14750 72nd Dr</t>
  </si>
  <si>
    <t>132 Kramer St</t>
  </si>
  <si>
    <t>330 Dumont Ave</t>
  </si>
  <si>
    <t>490 E 189th St</t>
  </si>
  <si>
    <t>1205 8th Ave</t>
  </si>
  <si>
    <t>2076 Bronx Park East</t>
  </si>
  <si>
    <t>1373 Herschell St</t>
  </si>
  <si>
    <t>2076 Bronx Park Eat</t>
  </si>
  <si>
    <t>1606 Carroll St</t>
  </si>
  <si>
    <t>7 Dekalb Ave</t>
  </si>
  <si>
    <t>223w W 137th St</t>
  </si>
  <si>
    <t>2112 23rd St</t>
  </si>
  <si>
    <t>1590 E New York Ave</t>
  </si>
  <si>
    <t>2457 Belmont Ave</t>
  </si>
  <si>
    <t>987 Montgomery St</t>
  </si>
  <si>
    <t>446 E 117th St</t>
  </si>
  <si>
    <t>610 E 5th St</t>
  </si>
  <si>
    <t>1697 Watson Ave</t>
  </si>
  <si>
    <t>60 Columbia St</t>
  </si>
  <si>
    <t>493 Clinton Ave</t>
  </si>
  <si>
    <t>245 E Mosholu Pkwy N</t>
  </si>
  <si>
    <t>8670 Francis Lewis Blvd</t>
  </si>
  <si>
    <t>25 E 193rd St</t>
  </si>
  <si>
    <t>9815 Horace Harding Expy</t>
  </si>
  <si>
    <t>1655 Monroe Ave</t>
  </si>
  <si>
    <t>766 Cauldwell Ave</t>
  </si>
  <si>
    <t>258 Kingston Ave</t>
  </si>
  <si>
    <t>308 W 93rd St</t>
  </si>
  <si>
    <t>450 Gates Ave</t>
  </si>
  <si>
    <t>2605 Grand Concourse</t>
  </si>
  <si>
    <t>730 Rosedale Ave</t>
  </si>
  <si>
    <t>96 Christopher St</t>
  </si>
  <si>
    <t>4455 Broadway</t>
  </si>
  <si>
    <t>102 Ebony Ct</t>
  </si>
  <si>
    <t>255 W 36th St #505</t>
  </si>
  <si>
    <t>1679 Southern Blvd</t>
  </si>
  <si>
    <t>985 Halsey st</t>
  </si>
  <si>
    <t>11640 Guy R Brewer Blvd</t>
  </si>
  <si>
    <t>2256 Bathgate Ave</t>
  </si>
  <si>
    <t>2842 Grand Concourse</t>
  </si>
  <si>
    <t>343 101st St</t>
  </si>
  <si>
    <t>320 W 111th St</t>
  </si>
  <si>
    <t>503 Leverett Ave</t>
  </si>
  <si>
    <t>15009 88th Ave</t>
  </si>
  <si>
    <t>822 Quincy St</t>
  </si>
  <si>
    <t>125 Saint Nicholas Ave</t>
  </si>
  <si>
    <t>1672 Townsend Ave</t>
  </si>
  <si>
    <t>210 E 166th St</t>
  </si>
  <si>
    <t>853 President St</t>
  </si>
  <si>
    <t>6425 Broadway</t>
  </si>
  <si>
    <t>4122 45th St</t>
  </si>
  <si>
    <t>2662 W 2nd St</t>
  </si>
  <si>
    <t>11450 203rd St</t>
  </si>
  <si>
    <t>644 W 173rd St</t>
  </si>
  <si>
    <t>832 Linden Blvd</t>
  </si>
  <si>
    <t>2082 Hughes Ave</t>
  </si>
  <si>
    <t>4632 Carpenter Ave</t>
  </si>
  <si>
    <t>2755 Sedgwick Ave</t>
  </si>
  <si>
    <t>1447 Gipson St</t>
  </si>
  <si>
    <t>571 E 170th St</t>
  </si>
  <si>
    <t>915 Kelly St</t>
  </si>
  <si>
    <t>2496 Belmont Ave</t>
  </si>
  <si>
    <t>1565 Odell St</t>
  </si>
  <si>
    <t>3611 Shore Pkwy</t>
  </si>
  <si>
    <t>1790 story Ave</t>
  </si>
  <si>
    <t>345 Livonia Ave</t>
  </si>
  <si>
    <t>3343 Decatur Ave</t>
  </si>
  <si>
    <t>3000 Marion Ave</t>
  </si>
  <si>
    <t>Po Box 721115</t>
  </si>
  <si>
    <t>63 Clifton Pl</t>
  </si>
  <si>
    <t>2260 Webster Ave</t>
  </si>
  <si>
    <t>418 W 51st St</t>
  </si>
  <si>
    <t>154 Broome St</t>
  </si>
  <si>
    <t>2253 3rd Ave</t>
  </si>
  <si>
    <t>2395 1st Ave</t>
  </si>
  <si>
    <t>800 Madison St</t>
  </si>
  <si>
    <t>216 Rockaway ave</t>
  </si>
  <si>
    <t>526 W 158th St</t>
  </si>
  <si>
    <t>2844 8th Ave</t>
  </si>
  <si>
    <t>1494 E 46th St</t>
  </si>
  <si>
    <t>9816 32nd Ave</t>
  </si>
  <si>
    <t>12409 109th Ave</t>
  </si>
  <si>
    <t>14050 Ash Ave</t>
  </si>
  <si>
    <t>1855 Monroe Ave</t>
  </si>
  <si>
    <t>2406 University Ave</t>
  </si>
  <si>
    <t>255 E 207th St</t>
  </si>
  <si>
    <t>515 W 159th St</t>
  </si>
  <si>
    <t>170 Avenue D</t>
  </si>
  <si>
    <t>583 W 215th St</t>
  </si>
  <si>
    <t>21 Falmouth St</t>
  </si>
  <si>
    <t>5707 Shore Front Pkwy # Pwy</t>
  </si>
  <si>
    <t>1670 Pacific St</t>
  </si>
  <si>
    <t>175 Friendship Ln</t>
  </si>
  <si>
    <t>1230 woodycrest Ave</t>
  </si>
  <si>
    <t>961 Rev James A Polite</t>
  </si>
  <si>
    <t>147 W 79th St</t>
  </si>
  <si>
    <t>128 e clarke pl</t>
  </si>
  <si>
    <t>741 White Plains Rd</t>
  </si>
  <si>
    <t>39 Oak Ln</t>
  </si>
  <si>
    <t>1322 E 65th St</t>
  </si>
  <si>
    <t>138 Orchard st</t>
  </si>
  <si>
    <t>60 E 106th St</t>
  </si>
  <si>
    <t>650 Gates Ave</t>
  </si>
  <si>
    <t>8800 20th Ave</t>
  </si>
  <si>
    <t>21 Gadsen Pl</t>
  </si>
  <si>
    <t>4003 29th St</t>
  </si>
  <si>
    <t>143 W 132nd St</t>
  </si>
  <si>
    <t>763 Edison Ave</t>
  </si>
  <si>
    <t>2590 Briggs Ave</t>
  </si>
  <si>
    <t>13257 Sanford Ave</t>
  </si>
  <si>
    <t>3234 87th St</t>
  </si>
  <si>
    <t>550 40th St</t>
  </si>
  <si>
    <t>17011 90th Ave</t>
  </si>
  <si>
    <t>103 E 2nd St</t>
  </si>
  <si>
    <t>2186 Grand Concourse</t>
  </si>
  <si>
    <t>4462 23rd St</t>
  </si>
  <si>
    <t>3105 Brighton 3rd St</t>
  </si>
  <si>
    <t>1 Columbus Pl</t>
  </si>
  <si>
    <t>1490 Hornell Loop</t>
  </si>
  <si>
    <t>1904 Crotona Ave</t>
  </si>
  <si>
    <t>504 6th Ave</t>
  </si>
  <si>
    <t>10508 101st Ave</t>
  </si>
  <si>
    <t>6817 6th Ave</t>
  </si>
  <si>
    <t>1669 55th St</t>
  </si>
  <si>
    <t>249 Thomas S Boyland st</t>
  </si>
  <si>
    <t>25 Grove St</t>
  </si>
  <si>
    <t>643 E 13th St</t>
  </si>
  <si>
    <t>2208 125th St</t>
  </si>
  <si>
    <t>226 Osgood Ave</t>
  </si>
  <si>
    <t>1115 Fdr Dr</t>
  </si>
  <si>
    <t>1640 Grand Ave</t>
  </si>
  <si>
    <t>2307 Prospect Ave</t>
  </si>
  <si>
    <t>1205 Castleton Ave</t>
  </si>
  <si>
    <t>1456 New York Ave</t>
  </si>
  <si>
    <t>460 Delafield Ave</t>
  </si>
  <si>
    <t>136 Henry St</t>
  </si>
  <si>
    <t>2461 Davidson Ave</t>
  </si>
  <si>
    <t>2015 Univ Ave</t>
  </si>
  <si>
    <t>1800 Story Ave</t>
  </si>
  <si>
    <t>129 W 179th St</t>
  </si>
  <si>
    <t>3855 Orloff Ave</t>
  </si>
  <si>
    <t>2780 Kingsbridge Ter</t>
  </si>
  <si>
    <t>40 Richman Plz</t>
  </si>
  <si>
    <t>165 Clinton Ave</t>
  </si>
  <si>
    <t>125 E 18th St</t>
  </si>
  <si>
    <t>310 12th St</t>
  </si>
  <si>
    <t>92021 Shore Rd</t>
  </si>
  <si>
    <t>2433 Valentine ave</t>
  </si>
  <si>
    <t>665 56th St</t>
  </si>
  <si>
    <t>7708 utopia PKWY</t>
  </si>
  <si>
    <t>846 E 175th st</t>
  </si>
  <si>
    <t>16820 127th Ave</t>
  </si>
  <si>
    <t>1080 Anderson Ave</t>
  </si>
  <si>
    <t>2317 Newkirk Ave</t>
  </si>
  <si>
    <t>280 14th St</t>
  </si>
  <si>
    <t>763 E 213th St</t>
  </si>
  <si>
    <t>827 40th St</t>
  </si>
  <si>
    <t>390 Warren St</t>
  </si>
  <si>
    <t>102 Monument Walk</t>
  </si>
  <si>
    <t>712 E Gun Hill Rd</t>
  </si>
  <si>
    <t>2273 Tiebout Ave</t>
  </si>
  <si>
    <t>1434 Ogden Ave</t>
  </si>
  <si>
    <t>1280 Commonwealth Ave</t>
  </si>
  <si>
    <t>932 Hillside Blvd</t>
  </si>
  <si>
    <t>9822 Bernwood Place Dr</t>
  </si>
  <si>
    <t>23930 147th Dr</t>
  </si>
  <si>
    <t>2469 Bragg St</t>
  </si>
  <si>
    <t>2407 Gillmore St</t>
  </si>
  <si>
    <t>3816 Review Pl</t>
  </si>
  <si>
    <t>500 Gates Ave</t>
  </si>
  <si>
    <t>4050 Harper Ave</t>
  </si>
  <si>
    <t>2406 Walton Ave</t>
  </si>
  <si>
    <t>14580 180TH ST</t>
  </si>
  <si>
    <t>7601 Queens Blvd</t>
  </si>
  <si>
    <t>2757 Sedgwick Ave</t>
  </si>
  <si>
    <t>9480 Ridge Blvd</t>
  </si>
  <si>
    <t>14837 Hillside Ave</t>
  </si>
  <si>
    <t>119 E 19th St</t>
  </si>
  <si>
    <t>984 Bronx Park S</t>
  </si>
  <si>
    <t>245 E 34th St</t>
  </si>
  <si>
    <t>197 Dixon Ave</t>
  </si>
  <si>
    <t>169-39 137th Avenue</t>
  </si>
  <si>
    <t>456 Uss New Mexico Ct</t>
  </si>
  <si>
    <t>3530 Decatur Ave</t>
  </si>
  <si>
    <t>301 Sutter ave</t>
  </si>
  <si>
    <t>3323 97th St</t>
  </si>
  <si>
    <t>1302 Newkirk Ave</t>
  </si>
  <si>
    <t>282 S 2nd St</t>
  </si>
  <si>
    <t>340 W 17th St</t>
  </si>
  <si>
    <t>60 Moore St</t>
  </si>
  <si>
    <t>174 Eramsus St.</t>
  </si>
  <si>
    <t>4448 Furman Ave</t>
  </si>
  <si>
    <t>865 Montgomery St</t>
  </si>
  <si>
    <t>535 Beach 43rd St</t>
  </si>
  <si>
    <t>612 125th St</t>
  </si>
  <si>
    <t>2027 1st Ave</t>
  </si>
  <si>
    <t>8520 152nd St</t>
  </si>
  <si>
    <t>1154 Fulton St</t>
  </si>
  <si>
    <t>8201 19th Ave</t>
  </si>
  <si>
    <t>10248 43rd Ave</t>
  </si>
  <si>
    <t>689 Fort Washington Ave</t>
  </si>
  <si>
    <t>185 Erasmus St</t>
  </si>
  <si>
    <t>213 S 3rd St</t>
  </si>
  <si>
    <t>987 Willoughby Ave</t>
  </si>
  <si>
    <t>1097 Prospect Pl</t>
  </si>
  <si>
    <t>1733 Union St</t>
  </si>
  <si>
    <t>1229 E 223rd st</t>
  </si>
  <si>
    <t>2037 Hughes Ave</t>
  </si>
  <si>
    <t>3554 83rd St</t>
  </si>
  <si>
    <t>6 E 167th St</t>
  </si>
  <si>
    <t>1701 Eastburn Ave</t>
  </si>
  <si>
    <t>1401 Hancock St</t>
  </si>
  <si>
    <t>850 Beck St</t>
  </si>
  <si>
    <t>50 E 106th St</t>
  </si>
  <si>
    <t>3413 Edson Ave</t>
  </si>
  <si>
    <t>115 Lincoln Rd</t>
  </si>
  <si>
    <t>3234 N Chestnut Dr</t>
  </si>
  <si>
    <t>398 E 152nd St</t>
  </si>
  <si>
    <t>165 W 197th St</t>
  </si>
  <si>
    <t>415 Lefferts Ave</t>
  </si>
  <si>
    <t>14020 115th Ave</t>
  </si>
  <si>
    <t>9506 116th St</t>
  </si>
  <si>
    <t>20233 Rocky Hill Rd</t>
  </si>
  <si>
    <t>2104 Cross Bronx Expy</t>
  </si>
  <si>
    <t>3524 33rd St</t>
  </si>
  <si>
    <t>965 Jefferson Ave</t>
  </si>
  <si>
    <t>2081 Homer Ave</t>
  </si>
  <si>
    <t>2234 E 59th Pl</t>
  </si>
  <si>
    <t>593 Gates Ave</t>
  </si>
  <si>
    <t>4416 Matilda Ave</t>
  </si>
  <si>
    <t>412 Thomas S Boyland St</t>
  </si>
  <si>
    <t>1012 E 36th St</t>
  </si>
  <si>
    <t>1050 Hancock St</t>
  </si>
  <si>
    <t>280 Ocean Pkwy</t>
  </si>
  <si>
    <t>2065 Morris Ave</t>
  </si>
  <si>
    <t>8220 Fort Hamilton Pkwy</t>
  </si>
  <si>
    <t>644 WATER ST</t>
  </si>
  <si>
    <t>18 Gelston Ave</t>
  </si>
  <si>
    <t>2415 Westchester Ave</t>
  </si>
  <si>
    <t>20 River Ter</t>
  </si>
  <si>
    <t>8420 Austin St</t>
  </si>
  <si>
    <t>13923 229th St</t>
  </si>
  <si>
    <t>710 Croes Ave</t>
  </si>
  <si>
    <t>544 Vandalia Ave</t>
  </si>
  <si>
    <t>35 Mcclellan St</t>
  </si>
  <si>
    <t>62 Highlawn Ave</t>
  </si>
  <si>
    <t>55 Hendricks Ave</t>
  </si>
  <si>
    <t>25 Boerum St</t>
  </si>
  <si>
    <t>647 W 207th St</t>
  </si>
  <si>
    <t>419 Suydam St</t>
  </si>
  <si>
    <t>2120 Tiebout Ave</t>
  </si>
  <si>
    <t>377 Montgomery St</t>
  </si>
  <si>
    <t>2152 Atlantic Ave</t>
  </si>
  <si>
    <t>9830 57th Ave</t>
  </si>
  <si>
    <t>10719 122nd St</t>
  </si>
  <si>
    <t>2111 Lafontaine Ave</t>
  </si>
  <si>
    <t>2067 Vyse Ave</t>
  </si>
  <si>
    <t>190 W Burnside Ave</t>
  </si>
  <si>
    <t>9263 240th St</t>
  </si>
  <si>
    <t>902 Drew St</t>
  </si>
  <si>
    <t>1939 Park Pl</t>
  </si>
  <si>
    <t>341 44th St</t>
  </si>
  <si>
    <t>813 Morris Park Ave</t>
  </si>
  <si>
    <t>750 E 166th St</t>
  </si>
  <si>
    <t>2515 Davidson Ave</t>
  </si>
  <si>
    <t>14220 Franklin Ave</t>
  </si>
  <si>
    <t>902 43rd ST</t>
  </si>
  <si>
    <t>2378 Hoffman St</t>
  </si>
  <si>
    <t>4210 82nd St</t>
  </si>
  <si>
    <t>3555 Oxford Ave</t>
  </si>
  <si>
    <t>50 Seneca St</t>
  </si>
  <si>
    <t>956 E 219th St</t>
  </si>
  <si>
    <t>94 Decatur St</t>
  </si>
  <si>
    <t>55 E 102nd St</t>
  </si>
  <si>
    <t>87 Woodruff Ave</t>
  </si>
  <si>
    <t>2615 3rd Ave</t>
  </si>
  <si>
    <t>1070 Southern Blvd</t>
  </si>
  <si>
    <t>56 Rockaway Pkwy</t>
  </si>
  <si>
    <t>521 W 186th St</t>
  </si>
  <si>
    <t>3415 Knox Pl</t>
  </si>
  <si>
    <t>1082 President St</t>
  </si>
  <si>
    <t>11917 111th Ave</t>
  </si>
  <si>
    <t>820 Thieriot Ave</t>
  </si>
  <si>
    <t>11402 Inwood St</t>
  </si>
  <si>
    <t>340 E 194th St</t>
  </si>
  <si>
    <t>1430 Putnam Ave</t>
  </si>
  <si>
    <t>10820 171st St</t>
  </si>
  <si>
    <t>2749 Cruger Ave</t>
  </si>
  <si>
    <t>521 Fort Washington Ave</t>
  </si>
  <si>
    <t>273 57th St</t>
  </si>
  <si>
    <t>3416 103rd St</t>
  </si>
  <si>
    <t>5611 94th St</t>
  </si>
  <si>
    <t>974 Anderson Ave</t>
  </si>
  <si>
    <t>1384 Hancock St</t>
  </si>
  <si>
    <t>273 Malcolm X Blvd</t>
  </si>
  <si>
    <t>795 Linden Blvd</t>
  </si>
  <si>
    <t>619 W 135th ST</t>
  </si>
  <si>
    <t>919 Glenmore Ave</t>
  </si>
  <si>
    <t>11721 107th Ave</t>
  </si>
  <si>
    <t>2635 Nostrand Ave</t>
  </si>
  <si>
    <t>2985 Botanical Sq</t>
  </si>
  <si>
    <t>18364 Dunlop Ave</t>
  </si>
  <si>
    <t>100 W 139th St</t>
  </si>
  <si>
    <t>642 E 236th St</t>
  </si>
  <si>
    <t>197 GORDON ST</t>
  </si>
  <si>
    <t>2159 23rd Street</t>
  </si>
  <si>
    <t>3184 Grand Concourse</t>
  </si>
  <si>
    <t>22 Mount Morris Park W</t>
  </si>
  <si>
    <t>369 E 52nd St</t>
  </si>
  <si>
    <t>307 E 170th St</t>
  </si>
  <si>
    <t>52 Saint Nicholas Pl</t>
  </si>
  <si>
    <t>9019 170th St</t>
  </si>
  <si>
    <t>2820 Seagirt Ave</t>
  </si>
  <si>
    <t>169 68th St</t>
  </si>
  <si>
    <t>1132 Clay Ave</t>
  </si>
  <si>
    <t>123 W 104th St</t>
  </si>
  <si>
    <t>510 W 152nd St</t>
  </si>
  <si>
    <t>237 Linden Ave</t>
  </si>
  <si>
    <t>319 W 94th St</t>
  </si>
  <si>
    <t>3101 Avenue I</t>
  </si>
  <si>
    <t>31 W 124th St</t>
  </si>
  <si>
    <t>600 W 144th St</t>
  </si>
  <si>
    <t>747 9th Ave</t>
  </si>
  <si>
    <t>8200 Shore Front Pkwy # Pwy</t>
  </si>
  <si>
    <t>293 Lincoln Ave</t>
  </si>
  <si>
    <t>823 E 217th St</t>
  </si>
  <si>
    <t>209 Dahill Rd</t>
  </si>
  <si>
    <t>2075 Creston Ave</t>
  </si>
  <si>
    <t>2110 Borden Ave</t>
  </si>
  <si>
    <t>18501 Dunlop Ave</t>
  </si>
  <si>
    <t>2214 120th St</t>
  </si>
  <si>
    <t>2215 Newkirk Ave</t>
  </si>
  <si>
    <t>498 Vermont St</t>
  </si>
  <si>
    <t>2194 Barnes Ave</t>
  </si>
  <si>
    <t>29 Stack Dr</t>
  </si>
  <si>
    <t>39 River Bend Rd</t>
  </si>
  <si>
    <t>655 W 160th St</t>
  </si>
  <si>
    <t>4311 Katonah Avenue</t>
  </si>
  <si>
    <t>3220 80th St</t>
  </si>
  <si>
    <t>2095 Grand Concourse</t>
  </si>
  <si>
    <t>3215 Avenue H</t>
  </si>
  <si>
    <t>1695 Madison Ave</t>
  </si>
  <si>
    <t>738 Bradford St</t>
  </si>
  <si>
    <t>151-02 Baisley Boulevard</t>
  </si>
  <si>
    <t>25 W Tremont Ave</t>
  </si>
  <si>
    <t>21537 43rd Ave</t>
  </si>
  <si>
    <t>325 E 238th St</t>
  </si>
  <si>
    <t>8306 Vietor Ave</t>
  </si>
  <si>
    <t>5124 48th St</t>
  </si>
  <si>
    <t>3805 Crescent St</t>
  </si>
  <si>
    <t>13117 86TH Rd</t>
  </si>
  <si>
    <t>1417 Leland Ave</t>
  </si>
  <si>
    <t>11044 208th St</t>
  </si>
  <si>
    <t>10817 Jamaica Ave</t>
  </si>
  <si>
    <t>1987 7th Ave</t>
  </si>
  <si>
    <t>1908 N Railroad Ave</t>
  </si>
  <si>
    <t>68 E 43rd St</t>
  </si>
  <si>
    <t>2443 Cambreleng Ave</t>
  </si>
  <si>
    <t>1544 Boone Ave</t>
  </si>
  <si>
    <t>587 Grand Ave</t>
  </si>
  <si>
    <t>8015 41st Ave</t>
  </si>
  <si>
    <t>2438 Prospect Ave</t>
  </si>
  <si>
    <t>1340 Stratford Avenue</t>
  </si>
  <si>
    <t>149 E 31st St</t>
  </si>
  <si>
    <t>546 55th St</t>
  </si>
  <si>
    <t>278 43rd St</t>
  </si>
  <si>
    <t>650 44th St</t>
  </si>
  <si>
    <t>60 Clarkson ave</t>
  </si>
  <si>
    <t>109 Saint Marks Pl</t>
  </si>
  <si>
    <t>22861 147th Ave</t>
  </si>
  <si>
    <t>3536 Hull Ave</t>
  </si>
  <si>
    <t>7711 Park Dr E</t>
  </si>
  <si>
    <t>682 Alabama Ave</t>
  </si>
  <si>
    <t>438 Westervelt Ave</t>
  </si>
  <si>
    <t>1820 Phelan Pl</t>
  </si>
  <si>
    <t>1112 Mcbride St</t>
  </si>
  <si>
    <t>8105 Beach Channel Dr</t>
  </si>
  <si>
    <t>409 Saratoga Ave</t>
  </si>
  <si>
    <t>2 Reddan Court</t>
  </si>
  <si>
    <t>34 Milford Ave</t>
  </si>
  <si>
    <t>5310 Glenwood Rd</t>
  </si>
  <si>
    <t>227 Oder Ave</t>
  </si>
  <si>
    <t>12911 Jamaica Ave</t>
  </si>
  <si>
    <t>2850 Claflin Ave</t>
  </si>
  <si>
    <t>4221 Seton Ave</t>
  </si>
  <si>
    <t>938 Saint Nicholas Ave</t>
  </si>
  <si>
    <t>30 Merle Pl</t>
  </si>
  <si>
    <t>331 E 146th St</t>
  </si>
  <si>
    <t>3417 Wickham Ave</t>
  </si>
  <si>
    <t>395 Autumn Ave</t>
  </si>
  <si>
    <t>College Point Blvd</t>
  </si>
  <si>
    <t>Po Box 6399</t>
  </si>
  <si>
    <t>5 Lundsten Ave</t>
  </si>
  <si>
    <t>274 Norway Ave</t>
  </si>
  <si>
    <t>13158 225th St</t>
  </si>
  <si>
    <t>77 E 125th St</t>
  </si>
  <si>
    <t>450 Schenck Ave</t>
  </si>
  <si>
    <t>995 Gates Ave</t>
  </si>
  <si>
    <t>25 E 168th St</t>
  </si>
  <si>
    <t>1911 Anthony Ave</t>
  </si>
  <si>
    <t>466 Alabama Ave</t>
  </si>
  <si>
    <t>605 Park Ave</t>
  </si>
  <si>
    <t>514 W 169th St</t>
  </si>
  <si>
    <t>513 Courtlandt Ave</t>
  </si>
  <si>
    <t>10741 Sutphin Blvd</t>
  </si>
  <si>
    <t>502 W 213th St</t>
  </si>
  <si>
    <t>1695 Hoe Ave</t>
  </si>
  <si>
    <t>1020 Summit Ave</t>
  </si>
  <si>
    <t>396 Saratoga Ave</t>
  </si>
  <si>
    <t>215 Audubon Ave</t>
  </si>
  <si>
    <t>3150 33rd St</t>
  </si>
  <si>
    <t>815 W 180th St</t>
  </si>
  <si>
    <t>3415 31st Ave</t>
  </si>
  <si>
    <t>716 W 180th St</t>
  </si>
  <si>
    <t>5231 39th Rd</t>
  </si>
  <si>
    <t>18716 Ridgedale St</t>
  </si>
  <si>
    <t>50 Amsterdam Ave</t>
  </si>
  <si>
    <t>10858 154th St</t>
  </si>
  <si>
    <t>11735 122nd Pl</t>
  </si>
  <si>
    <t>1829 Lexington Ave</t>
  </si>
  <si>
    <t>6040 Huxley Ave</t>
  </si>
  <si>
    <t>3324 Kingsbridge Ave</t>
  </si>
  <si>
    <t>647 Jefferson Pl</t>
  </si>
  <si>
    <t>2634 West St</t>
  </si>
  <si>
    <t>2750 Homecrest Ave</t>
  </si>
  <si>
    <t>36 Clara St</t>
  </si>
  <si>
    <t>10704 Liverpool St</t>
  </si>
  <si>
    <t>167 Chestnut St</t>
  </si>
  <si>
    <t>Po Box 80182</t>
  </si>
  <si>
    <t>1092 E 95th St</t>
  </si>
  <si>
    <t>949 Ogden Ave</t>
  </si>
  <si>
    <t>8631 57th Ave</t>
  </si>
  <si>
    <t>3859 3rd Ave</t>
  </si>
  <si>
    <t>11513 111th Ave</t>
  </si>
  <si>
    <t>95 Centre Mall</t>
  </si>
  <si>
    <t>9711 Horace Harding Expy</t>
  </si>
  <si>
    <t>8822 145th St</t>
  </si>
  <si>
    <t>535 E 147th St</t>
  </si>
  <si>
    <t>1913 Linden St</t>
  </si>
  <si>
    <t>1056 Morris Ave</t>
  </si>
  <si>
    <t>54 Bristol St</t>
  </si>
  <si>
    <t>251 E 29th St</t>
  </si>
  <si>
    <t>73 E 96th St</t>
  </si>
  <si>
    <t>10868 43rd Ave</t>
  </si>
  <si>
    <t>1214 Sheridan Ave</t>
  </si>
  <si>
    <t>635 E 12th St</t>
  </si>
  <si>
    <t>26204 Hungry Harbor Rd</t>
  </si>
  <si>
    <t>3135 Park Ave</t>
  </si>
  <si>
    <t>5835 Granger St</t>
  </si>
  <si>
    <t>17810 Sayres Ave</t>
  </si>
  <si>
    <t>55 E Clifford Pl</t>
  </si>
  <si>
    <t>555 Kappock St</t>
  </si>
  <si>
    <t>6634 16th Ave</t>
  </si>
  <si>
    <t>204 Macdonough St</t>
  </si>
  <si>
    <t>2175 Ryer Ave</t>
  </si>
  <si>
    <t>1919 Bay Ave</t>
  </si>
  <si>
    <t>3111 Aurelia Ct</t>
  </si>
  <si>
    <t>185 Prospect Park W</t>
  </si>
  <si>
    <t>1500 Archer Rd</t>
  </si>
  <si>
    <t>18 Van Buren St</t>
  </si>
  <si>
    <t>2589 Linden Blvd</t>
  </si>
  <si>
    <t>909 Fox St</t>
  </si>
  <si>
    <t>750 Ocean Ave</t>
  </si>
  <si>
    <t>519 W 157th St</t>
  </si>
  <si>
    <t>667 Halsey St</t>
  </si>
  <si>
    <t>355 E 194th St</t>
  </si>
  <si>
    <t>10519 34th Ave</t>
  </si>
  <si>
    <t>600 E 181st St</t>
  </si>
  <si>
    <t>12012 95th Ave</t>
  </si>
  <si>
    <t>2800 Creston Ave</t>
  </si>
  <si>
    <t>10219 186th St</t>
  </si>
  <si>
    <t>11015 Rockaway Blvd</t>
  </si>
  <si>
    <t>15 Kenmore St</t>
  </si>
  <si>
    <t>500 W 176th St</t>
  </si>
  <si>
    <t>260 Herkimer St</t>
  </si>
  <si>
    <t>584 Logan St</t>
  </si>
  <si>
    <t>1722 Kings Hwy</t>
  </si>
  <si>
    <t>219 Jefferson St</t>
  </si>
  <si>
    <t>3747 Warren St</t>
  </si>
  <si>
    <t>26 Ebbitts St</t>
  </si>
  <si>
    <t>900 Baychester ave</t>
  </si>
  <si>
    <t>37 Hart St</t>
  </si>
  <si>
    <t>9215 190th St</t>
  </si>
  <si>
    <t>8545 115th St</t>
  </si>
  <si>
    <t>221 Lewis Ave</t>
  </si>
  <si>
    <t>2123 Boston Rd</t>
  </si>
  <si>
    <t>185 Mcclellan St</t>
  </si>
  <si>
    <t>601 W 156th St</t>
  </si>
  <si>
    <t>1936 Prospect Pl</t>
  </si>
  <si>
    <t>1417 Grand Concourse</t>
  </si>
  <si>
    <t>8205 134th St</t>
  </si>
  <si>
    <t>3214 Clarendon Rd</t>
  </si>
  <si>
    <t>2175 E 15th St</t>
  </si>
  <si>
    <t>6259 108th St</t>
  </si>
  <si>
    <t>187 Decker Ave</t>
  </si>
  <si>
    <t>670 E 32nd St</t>
  </si>
  <si>
    <t>408 W 130th St</t>
  </si>
  <si>
    <t>115 Brightwater Ct</t>
  </si>
  <si>
    <t>1455 Geneva Loop</t>
  </si>
  <si>
    <t>1466 67th St</t>
  </si>
  <si>
    <t>579 57th St</t>
  </si>
  <si>
    <t>1362 Grand Concourse</t>
  </si>
  <si>
    <t>1036 Rev James Polite Ave</t>
  </si>
  <si>
    <t>398 Chester St</t>
  </si>
  <si>
    <t>1574 Leland Ave</t>
  </si>
  <si>
    <t>426 E 22nd St</t>
  </si>
  <si>
    <t>1390 Boston Rd</t>
  </si>
  <si>
    <t>117 Bradford Street</t>
  </si>
  <si>
    <t>3140 48th St</t>
  </si>
  <si>
    <t>83 Crescent Ave</t>
  </si>
  <si>
    <t>721 Union St</t>
  </si>
  <si>
    <t>178 Rockaway Pkwy</t>
  </si>
  <si>
    <t>83 Starr St</t>
  </si>
  <si>
    <t>739 Arnow Ave</t>
  </si>
  <si>
    <t>10519 37th Ave</t>
  </si>
  <si>
    <t>1771 Monroe Ave</t>
  </si>
  <si>
    <t>8623 98th St</t>
  </si>
  <si>
    <t>535 E 182nd St</t>
  </si>
  <si>
    <t>2829 Sedgwick Ave</t>
  </si>
  <si>
    <t>777 Mace Ave</t>
  </si>
  <si>
    <t>164 Winter Ave</t>
  </si>
  <si>
    <t>444 Villa Ave</t>
  </si>
  <si>
    <t>357 Bristol St</t>
  </si>
  <si>
    <t>176 Linden St</t>
  </si>
  <si>
    <t>16215 86th Rd</t>
  </si>
  <si>
    <t>873 Elsmere Pl</t>
  </si>
  <si>
    <t>13905 85th Dr</t>
  </si>
  <si>
    <t>3917 210th St</t>
  </si>
  <si>
    <t>536 E 168th St</t>
  </si>
  <si>
    <t>363 Grand Ave</t>
  </si>
  <si>
    <t>91-09 173rd St.</t>
  </si>
  <si>
    <t>114-28 128th St.</t>
  </si>
  <si>
    <t>1 Brevoort Pl</t>
  </si>
  <si>
    <t>1601 W 5th St</t>
  </si>
  <si>
    <t>101 humboldt street</t>
  </si>
  <si>
    <t>175 Hawthorne st</t>
  </si>
  <si>
    <t>1419 Jesup Ave</t>
  </si>
  <si>
    <t>363 Monroe St</t>
  </si>
  <si>
    <t>10624 75th St</t>
  </si>
  <si>
    <t>390 Georgia Ave</t>
  </si>
  <si>
    <t>90 Richmond Hill Rd</t>
  </si>
  <si>
    <t>732 E 187th St # 1</t>
  </si>
  <si>
    <t>2230 Tiebout Ave</t>
  </si>
  <si>
    <t>715 Noble Ave</t>
  </si>
  <si>
    <t>1230 Woodcrest Ave</t>
  </si>
  <si>
    <t>266 E 21st St</t>
  </si>
  <si>
    <t>3340 Bailey Ave</t>
  </si>
  <si>
    <t>3033 Wallace Ave</t>
  </si>
  <si>
    <t>1744 Watson Ave</t>
  </si>
  <si>
    <t>1015 Longwood Ave</t>
  </si>
  <si>
    <t>3506 94th St</t>
  </si>
  <si>
    <t>2 Kathy Pl</t>
  </si>
  <si>
    <t>60 Division Ave</t>
  </si>
  <si>
    <t>1915 Billingsley Ter</t>
  </si>
  <si>
    <t>630 Ocean Ave</t>
  </si>
  <si>
    <t>1252 Dekalb Ave</t>
  </si>
  <si>
    <t>110 Ocean Pkwy</t>
  </si>
  <si>
    <t>68 Cumberland Walk</t>
  </si>
  <si>
    <t>15533 Foch Blvd</t>
  </si>
  <si>
    <t>12804 107th Ave</t>
  </si>
  <si>
    <t>1074 Eastern Pkwy</t>
  </si>
  <si>
    <t>1417 70th St</t>
  </si>
  <si>
    <t>455 Decatur St</t>
  </si>
  <si>
    <t>545 Academy St</t>
  </si>
  <si>
    <t>9065 Brevard Rd</t>
  </si>
  <si>
    <t>354 State St</t>
  </si>
  <si>
    <t>738 Stanley Ave</t>
  </si>
  <si>
    <t>840 Utica Ave</t>
  </si>
  <si>
    <t>3121 Villa Ave</t>
  </si>
  <si>
    <t>2795 Shore Pkwy</t>
  </si>
  <si>
    <t>564 E 4th st</t>
  </si>
  <si>
    <t>Rainbow House</t>
  </si>
  <si>
    <t>12020 18th Ave</t>
  </si>
  <si>
    <t>1393 Flatbush Ave</t>
  </si>
  <si>
    <t>2820 Ocean Pkwy</t>
  </si>
  <si>
    <t>4332 Kissena blvd</t>
  </si>
  <si>
    <t>13145 Kew Gardens Rd</t>
  </si>
  <si>
    <t>2298 Nameoke Ave</t>
  </si>
  <si>
    <t>549 Isham St</t>
  </si>
  <si>
    <t>77 Vandalia Ave</t>
  </si>
  <si>
    <t>100 Est 118th Street</t>
  </si>
  <si>
    <t>6438 224th St</t>
  </si>
  <si>
    <t>41 Aberdeen Rd</t>
  </si>
  <si>
    <t>240 E 18th St</t>
  </si>
  <si>
    <t>500 E 165th st</t>
  </si>
  <si>
    <t>1926 Longfellow Ave</t>
  </si>
  <si>
    <t>2042 Morris Ave</t>
  </si>
  <si>
    <t>127 Ridgewood Ave</t>
  </si>
  <si>
    <t>202 Spencer St</t>
  </si>
  <si>
    <t>545 E 82nd St</t>
  </si>
  <si>
    <t>185 Park Hill Ave</t>
  </si>
  <si>
    <t>624 Riverdale Ave</t>
  </si>
  <si>
    <t>100 E 118th St</t>
  </si>
  <si>
    <t>10325 115th St</t>
  </si>
  <si>
    <t>200 Corbin Pl</t>
  </si>
  <si>
    <t>2885 Valentine Ave</t>
  </si>
  <si>
    <t>921 Washington Ave</t>
  </si>
  <si>
    <t>15 Saint James Pl</t>
  </si>
  <si>
    <t>585 Blake Ave</t>
  </si>
  <si>
    <t>3415 Crescent St</t>
  </si>
  <si>
    <t>400 W 43rd St</t>
  </si>
  <si>
    <t>9307 207th St</t>
  </si>
  <si>
    <t>335 Sutter Ave</t>
  </si>
  <si>
    <t>459 New Lots Ave</t>
  </si>
  <si>
    <t>699 Pennsylvania Ave</t>
  </si>
  <si>
    <t>2323 Walton Ave</t>
  </si>
  <si>
    <t>567 82nd St</t>
  </si>
  <si>
    <t>3525 Bainbridge Ave</t>
  </si>
  <si>
    <t>717 E 220th St</t>
  </si>
  <si>
    <t>11022 107th St</t>
  </si>
  <si>
    <t>2360 96th St</t>
  </si>
  <si>
    <t>1980 7th Ave</t>
  </si>
  <si>
    <t>485 Church Ave</t>
  </si>
  <si>
    <t>392 Clinton St</t>
  </si>
  <si>
    <t>127 Ten Eyck Walk</t>
  </si>
  <si>
    <t>70 115th Street</t>
  </si>
  <si>
    <t>381 Sumpter St</t>
  </si>
  <si>
    <t>4130 20th Ave</t>
  </si>
  <si>
    <t>291 E 7th St</t>
  </si>
  <si>
    <t>127 Ten Eyck Walk.</t>
  </si>
  <si>
    <t>2477 Grand Ave</t>
  </si>
  <si>
    <t>650 W 173rd St</t>
  </si>
  <si>
    <t>2684 West St</t>
  </si>
  <si>
    <t>300 bainbridge St</t>
  </si>
  <si>
    <t>131 Broome St</t>
  </si>
  <si>
    <t>2374 Amsterdam Ave</t>
  </si>
  <si>
    <t>831 Hartman Ln Bsmt</t>
  </si>
  <si>
    <t>306 W 128th St</t>
  </si>
  <si>
    <t>9509 91st St</t>
  </si>
  <si>
    <t>10503 Otis Ave</t>
  </si>
  <si>
    <t>791 Marcy Ave</t>
  </si>
  <si>
    <t>619 W 143rd St</t>
  </si>
  <si>
    <t>511 W 151st St</t>
  </si>
  <si>
    <t>136 Seaman Ave</t>
  </si>
  <si>
    <t>8846 187th St</t>
  </si>
  <si>
    <t>515 W 52nd St</t>
  </si>
  <si>
    <t>709 Knickerbocker Ave</t>
  </si>
  <si>
    <t>12815 161st St</t>
  </si>
  <si>
    <t>129 Ridge ST</t>
  </si>
  <si>
    <t>528 E 79th St</t>
  </si>
  <si>
    <t>1311 Merriam Ave</t>
  </si>
  <si>
    <t>216 Rockaway Avenue</t>
  </si>
  <si>
    <t>420 W 130th St</t>
  </si>
  <si>
    <t>4823 Snyder Ave</t>
  </si>
  <si>
    <t>148 W 141st St</t>
  </si>
  <si>
    <t>871 Westchester Ave</t>
  </si>
  <si>
    <t>1136 Sterling Pl</t>
  </si>
  <si>
    <t>3444 White Plains Rd</t>
  </si>
  <si>
    <t>10449 201st St</t>
  </si>
  <si>
    <t>1031 Bergen St</t>
  </si>
  <si>
    <t>127 W 43rd St</t>
  </si>
  <si>
    <t>1512 Leland Ave</t>
  </si>
  <si>
    <t>204 Astoria Blvd</t>
  </si>
  <si>
    <t>15 W 139th st</t>
  </si>
  <si>
    <t>17 Dodworth St</t>
  </si>
  <si>
    <t>372 E 152nd St</t>
  </si>
  <si>
    <t>930 Prospect Pl</t>
  </si>
  <si>
    <t>6127 160th St</t>
  </si>
  <si>
    <t>255 E 176th St</t>
  </si>
  <si>
    <t>329 Tompkins Ave</t>
  </si>
  <si>
    <t>1040 Carroll St</t>
  </si>
  <si>
    <t>1605 Fulton Ave</t>
  </si>
  <si>
    <t>415 Lafayette Ave</t>
  </si>
  <si>
    <t>1042 Bergen St</t>
  </si>
  <si>
    <t>5916 Woodside Ave</t>
  </si>
  <si>
    <t>760 ELDERT LANE</t>
  </si>
  <si>
    <t>88 Brooklyn Ave</t>
  </si>
  <si>
    <t>3346 98th St</t>
  </si>
  <si>
    <t>2252 Linden Blvrd</t>
  </si>
  <si>
    <t>6142 169th St</t>
  </si>
  <si>
    <t>720 Belmont Ave</t>
  </si>
  <si>
    <t>521 Fdr Dr</t>
  </si>
  <si>
    <t>1314 Seneca Ave</t>
  </si>
  <si>
    <t>4106 Vernon Blvd</t>
  </si>
  <si>
    <t>1761 3rd Ave</t>
  </si>
  <si>
    <t>1770 Townsend Ave</t>
  </si>
  <si>
    <t>400 W 150th st</t>
  </si>
  <si>
    <t>35 Holland Ave</t>
  </si>
  <si>
    <t>15316 Foch Blvd</t>
  </si>
  <si>
    <t>201 W 121st St</t>
  </si>
  <si>
    <t>2050 Davidson Ave</t>
  </si>
  <si>
    <t>3458 Fish Ave</t>
  </si>
  <si>
    <t>172 30 125th Ave</t>
  </si>
  <si>
    <t>1752 Sterling Pl</t>
  </si>
  <si>
    <t>141 S 3rd St</t>
  </si>
  <si>
    <t>16-18 Old Broadway</t>
  </si>
  <si>
    <t>628 E 17th St</t>
  </si>
  <si>
    <t>859 Manor Rd</t>
  </si>
  <si>
    <t>17 Goller Pl</t>
  </si>
  <si>
    <t>550 Cauldwell Ave</t>
  </si>
  <si>
    <t>91 Holland Ave</t>
  </si>
  <si>
    <t>1295 5th Ave</t>
  </si>
  <si>
    <t>834 Bushwick Ave</t>
  </si>
  <si>
    <t>122 Hamilton Ave</t>
  </si>
  <si>
    <t>700 Riverside Dr</t>
  </si>
  <si>
    <t>4015 12th St</t>
  </si>
  <si>
    <t>5247 72nd Pl</t>
  </si>
  <si>
    <t>52 Pond Way</t>
  </si>
  <si>
    <t>36 St. Nicholas Place</t>
  </si>
  <si>
    <t>1619 E 95th St</t>
  </si>
  <si>
    <t>401 Legion St</t>
  </si>
  <si>
    <t>3080 Voorhies Ave</t>
  </si>
  <si>
    <t>1008 Saint Marks Ave</t>
  </si>
  <si>
    <t>30 Ebbitts St</t>
  </si>
  <si>
    <t>1457 Amsterdam Ave</t>
  </si>
  <si>
    <t>17916 146th Dr</t>
  </si>
  <si>
    <t>38 West St</t>
  </si>
  <si>
    <t>499 Hinsdale St</t>
  </si>
  <si>
    <t>8625 60th Rd</t>
  </si>
  <si>
    <t>111 Ellwood St</t>
  </si>
  <si>
    <t>94-65 Tuckerton Street</t>
  </si>
  <si>
    <t>2318 Crotona Ave</t>
  </si>
  <si>
    <t>2778 Valentine Ave</t>
  </si>
  <si>
    <t>1520 Sedgwick Ave</t>
  </si>
  <si>
    <t>2025 Valentine Ave</t>
  </si>
  <si>
    <t>1050 President St</t>
  </si>
  <si>
    <t>310 Alexander Ave</t>
  </si>
  <si>
    <t>22115 145th Rd</t>
  </si>
  <si>
    <t>365 thatford ave</t>
  </si>
  <si>
    <t>356 W 145th St</t>
  </si>
  <si>
    <t>35 E Clarke Pl</t>
  </si>
  <si>
    <t>574 W 176th St</t>
  </si>
  <si>
    <t>1758 Bath Ave</t>
  </si>
  <si>
    <t>35 Sickles St</t>
  </si>
  <si>
    <t>230 President St</t>
  </si>
  <si>
    <t>1434 Bryant Ave</t>
  </si>
  <si>
    <t>2075 E 16th St</t>
  </si>
  <si>
    <t>118 E 104th St</t>
  </si>
  <si>
    <t>2095 Creston Ave</t>
  </si>
  <si>
    <t>2037 Radcliff Ave</t>
  </si>
  <si>
    <t>1366 White Plains Rd</t>
  </si>
  <si>
    <t>17020 130th Ave</t>
  </si>
  <si>
    <t>150 Crown St</t>
  </si>
  <si>
    <t>1950 Bryant Ave</t>
  </si>
  <si>
    <t>186 Arlington Ave</t>
  </si>
  <si>
    <t>1744 Clay Ave</t>
  </si>
  <si>
    <t>410 W 110th st</t>
  </si>
  <si>
    <t>324 W 17th St</t>
  </si>
  <si>
    <t>4 Willow Dr</t>
  </si>
  <si>
    <t>1085 Washington Ave</t>
  </si>
  <si>
    <t>P.O Box 689</t>
  </si>
  <si>
    <t>217 E 176th St</t>
  </si>
  <si>
    <t>151 Brighton Ave</t>
  </si>
  <si>
    <t>22 E 119th St</t>
  </si>
  <si>
    <t>2516 Grand Ave</t>
  </si>
  <si>
    <t>74 Eldert st</t>
  </si>
  <si>
    <t>600 W 161st St</t>
  </si>
  <si>
    <t>1183 Gerard Ave</t>
  </si>
  <si>
    <t>152 Hett Ave</t>
  </si>
  <si>
    <t>17117 107th Ave</t>
  </si>
  <si>
    <t>3043 Brighton 3rd St</t>
  </si>
  <si>
    <t>310 Velma Dr</t>
  </si>
  <si>
    <t>726 E 10th St</t>
  </si>
  <si>
    <t>905 Eagle Ave</t>
  </si>
  <si>
    <t>1735 Purdy St</t>
  </si>
  <si>
    <t>211 Hales Ave</t>
  </si>
  <si>
    <t>16011 132nd Ave</t>
  </si>
  <si>
    <t>220 E 197th St</t>
  </si>
  <si>
    <t>3314 Corsa Ave</t>
  </si>
  <si>
    <t>8954 Francis Lewis Blvd</t>
  </si>
  <si>
    <t>3045 Villa Ave</t>
  </si>
  <si>
    <t>8004 Austin St</t>
  </si>
  <si>
    <t>10703 159th St</t>
  </si>
  <si>
    <t>1810 Bronxdale Ave</t>
  </si>
  <si>
    <t>9523 92nd St</t>
  </si>
  <si>
    <t>1118 Winthrop St</t>
  </si>
  <si>
    <t>421 Manhattan ave</t>
  </si>
  <si>
    <t>2279 Tiebout Ave</t>
  </si>
  <si>
    <t>356 Logan St</t>
  </si>
  <si>
    <t>9419 66th Ave</t>
  </si>
  <si>
    <t>123-12197th st</t>
  </si>
  <si>
    <t>7207 73rd St</t>
  </si>
  <si>
    <t>19 W 137th St</t>
  </si>
  <si>
    <t>400 E 55th St</t>
  </si>
  <si>
    <t>12312 197th St</t>
  </si>
  <si>
    <t>10609 220th St</t>
  </si>
  <si>
    <t>10930 Francis Lewis Blvd</t>
  </si>
  <si>
    <t>240 Wortman ave</t>
  </si>
  <si>
    <t>111 Father Zeiser Place</t>
  </si>
  <si>
    <t>5045 48th St</t>
  </si>
  <si>
    <t>P.O. Box 1258</t>
  </si>
  <si>
    <t>52 Ponderosa Dr</t>
  </si>
  <si>
    <t>93 Monitor St</t>
  </si>
  <si>
    <t>111 Father Zeiser Pl</t>
  </si>
  <si>
    <t>7441 45th Ave</t>
  </si>
  <si>
    <t>615 Midland Ave</t>
  </si>
  <si>
    <t>4210 8th Ave</t>
  </si>
  <si>
    <t>711 Segrit Ave</t>
  </si>
  <si>
    <t>512 Thatford Ave</t>
  </si>
  <si>
    <t>136 Sackman St</t>
  </si>
  <si>
    <t>1314 Findlay Ave</t>
  </si>
  <si>
    <t>2251 Sedgwick Ave</t>
  </si>
  <si>
    <t>164 Saint Anns Ave</t>
  </si>
  <si>
    <t>20 E Broadway</t>
  </si>
  <si>
    <t>12011 109th Ave</t>
  </si>
  <si>
    <t>1665 Palmetto St</t>
  </si>
  <si>
    <t>1204 Shakespeare Ave</t>
  </si>
  <si>
    <t>9502 Kings Hwy</t>
  </si>
  <si>
    <t>345 E 101st St</t>
  </si>
  <si>
    <t>87 Nevins St</t>
  </si>
  <si>
    <t>1749 Grand Concourse</t>
  </si>
  <si>
    <t>8901 Myrtle Ave</t>
  </si>
  <si>
    <t>652 W 163rd St</t>
  </si>
  <si>
    <t>691 Gerard Ave</t>
  </si>
  <si>
    <t>1409 New York Ave</t>
  </si>
  <si>
    <t>181 Brielle Ave</t>
  </si>
  <si>
    <t>905 E 6th St</t>
  </si>
  <si>
    <t>517 W 134th St</t>
  </si>
  <si>
    <t>561 W 179th St</t>
  </si>
  <si>
    <t>1892 Andrews Ave</t>
  </si>
  <si>
    <t>4233 194th St</t>
  </si>
  <si>
    <t>11109 66th Ave</t>
  </si>
  <si>
    <t>40 Cedar St</t>
  </si>
  <si>
    <t>460 Seneca Ave</t>
  </si>
  <si>
    <t>774 E 221st St</t>
  </si>
  <si>
    <t>693 Flatbush Ave</t>
  </si>
  <si>
    <t>237 W 127th St</t>
  </si>
  <si>
    <t>431 Audubon ave</t>
  </si>
  <si>
    <t>15024 116th Dr</t>
  </si>
  <si>
    <t>1747 Monroe Ave</t>
  </si>
  <si>
    <t>556 W 181st St</t>
  </si>
  <si>
    <t>13425 166th Pl</t>
  </si>
  <si>
    <t>9212 175th St</t>
  </si>
  <si>
    <t>33 Crooke Ave</t>
  </si>
  <si>
    <t>2663 Heath Ave</t>
  </si>
  <si>
    <t>4730 61st St</t>
  </si>
  <si>
    <t>542 Flushing Ave</t>
  </si>
  <si>
    <t>1913 23rd Dr</t>
  </si>
  <si>
    <t>10941 142nd St</t>
  </si>
  <si>
    <t>1415 Wythe Pl</t>
  </si>
  <si>
    <t>698 georgia ave</t>
  </si>
  <si>
    <t>7121 65th St</t>
  </si>
  <si>
    <t>19330 Jamaica Ave</t>
  </si>
  <si>
    <t>5755 64th St</t>
  </si>
  <si>
    <t>710 E 243rd St</t>
  </si>
  <si>
    <t>8105 4th Ave</t>
  </si>
  <si>
    <t>36 Bedford Park Blvd E</t>
  </si>
  <si>
    <t>1201 Shakespeare Ave</t>
  </si>
  <si>
    <t>3095 Villa Ave</t>
  </si>
  <si>
    <t>3751 86th St</t>
  </si>
  <si>
    <t>5505 97th St</t>
  </si>
  <si>
    <t>94 Roger Ave</t>
  </si>
  <si>
    <t>8505 101st St</t>
  </si>
  <si>
    <t>4202 108th St</t>
  </si>
  <si>
    <t>11565 223rd St</t>
  </si>
  <si>
    <t>55 Evelyn Pl</t>
  </si>
  <si>
    <t>754 E 23rd St</t>
  </si>
  <si>
    <t>2727 Surf Ave</t>
  </si>
  <si>
    <t>15754 21st Ave</t>
  </si>
  <si>
    <t>580 W 161st St</t>
  </si>
  <si>
    <t>2980 Park Ave</t>
  </si>
  <si>
    <t>346 E 156th St</t>
  </si>
  <si>
    <t>460 W 155th St</t>
  </si>
  <si>
    <t>1970 Amsterdam Ave</t>
  </si>
  <si>
    <t>290 W 147th St</t>
  </si>
  <si>
    <t>1060 Sheridan ave</t>
  </si>
  <si>
    <t>2744 E 27th St</t>
  </si>
  <si>
    <t>82 Rockaway Pkwy</t>
  </si>
  <si>
    <t>69 W 225th St</t>
  </si>
  <si>
    <t>158 Linden Blvd</t>
  </si>
  <si>
    <t>2698 8th Ave</t>
  </si>
  <si>
    <t>36 Ives Ct</t>
  </si>
  <si>
    <t>1038 Southern Blvd</t>
  </si>
  <si>
    <t>100 Post Ave</t>
  </si>
  <si>
    <t>50 Brighton 1ST RD</t>
  </si>
  <si>
    <t>160 E 48th St</t>
  </si>
  <si>
    <t>107 Ellwood St</t>
  </si>
  <si>
    <t>648 Kings Hwy</t>
  </si>
  <si>
    <t>16048 124th Ave</t>
  </si>
  <si>
    <t>871 Cowesett Rd</t>
  </si>
  <si>
    <t>569 20th St Bsmt</t>
  </si>
  <si>
    <t>8706 Eliot Ave</t>
  </si>
  <si>
    <t>241 E 115th st</t>
  </si>
  <si>
    <t>234 E 119th St</t>
  </si>
  <si>
    <t>1952 2nd Ave</t>
  </si>
  <si>
    <t>8204 10th Ave</t>
  </si>
  <si>
    <t>17204 Linden Blvd</t>
  </si>
  <si>
    <t>123 Henry St</t>
  </si>
  <si>
    <t>711 E 140th St</t>
  </si>
  <si>
    <t>21119 99th Ave</t>
  </si>
  <si>
    <t>53 E 131st St</t>
  </si>
  <si>
    <t>4419 Murdock Ave</t>
  </si>
  <si>
    <t>15a Chester Pl</t>
  </si>
  <si>
    <t>215 Alexander Ave</t>
  </si>
  <si>
    <t>70 Baruch Dr</t>
  </si>
  <si>
    <t>738 Williams Ave</t>
  </si>
  <si>
    <t>107 W 68th St</t>
  </si>
  <si>
    <t>354 Ocean Ave</t>
  </si>
  <si>
    <t>103 W 141st St</t>
  </si>
  <si>
    <t>2406 Frederick Douglass Blvd</t>
  </si>
  <si>
    <t>10414 53rd Ave</t>
  </si>
  <si>
    <t>671 Gates Ave</t>
  </si>
  <si>
    <t>2964 Perry Ave</t>
  </si>
  <si>
    <t>4 Greenwood Ct</t>
  </si>
  <si>
    <t>764 E 168th St</t>
  </si>
  <si>
    <t>159 W 145th St</t>
  </si>
  <si>
    <t>1969 63rd St</t>
  </si>
  <si>
    <t>8908 Avenue A</t>
  </si>
  <si>
    <t>1651 Carroll St</t>
  </si>
  <si>
    <t>2211 Pitkin Ave</t>
  </si>
  <si>
    <t>90 Washington St</t>
  </si>
  <si>
    <t>240 E 119th St</t>
  </si>
  <si>
    <t>648 E 228th St</t>
  </si>
  <si>
    <t>617 W 170th St</t>
  </si>
  <si>
    <t>1460 Sterling place</t>
  </si>
  <si>
    <t>77 Columbia St</t>
  </si>
  <si>
    <t>1420 Gateway Blvd</t>
  </si>
  <si>
    <t>435 E 146th St</t>
  </si>
  <si>
    <t>226 NY Avenue</t>
  </si>
  <si>
    <t>6753 224th St</t>
  </si>
  <si>
    <t>2825 Grand concourse</t>
  </si>
  <si>
    <t>10104 116th St</t>
  </si>
  <si>
    <t>11160 42nd Ave</t>
  </si>
  <si>
    <t>2143 Butler Ave</t>
  </si>
  <si>
    <t>607 Flatbush Ave</t>
  </si>
  <si>
    <t>8806 191st St</t>
  </si>
  <si>
    <t>111-53 42nd avenue</t>
  </si>
  <si>
    <t>7264 150th St</t>
  </si>
  <si>
    <t>2274 Grand Concourse</t>
  </si>
  <si>
    <t>3547 Carlisle Pl</t>
  </si>
  <si>
    <t>486 Brooklyn Ave</t>
  </si>
  <si>
    <t>8604 Britton Ave</t>
  </si>
  <si>
    <t>904 E 56th St</t>
  </si>
  <si>
    <t>3160 Park Ave</t>
  </si>
  <si>
    <t>1244 Grand Concourse</t>
  </si>
  <si>
    <t>2331 W 11th St</t>
  </si>
  <si>
    <t>73 Crystal St</t>
  </si>
  <si>
    <t>2800 University Ave</t>
  </si>
  <si>
    <t>4 E 28th St</t>
  </si>
  <si>
    <t>524 W 152nd St</t>
  </si>
  <si>
    <t>18 Avenue Albany</t>
  </si>
  <si>
    <t>146 Beach 59th st</t>
  </si>
  <si>
    <t>805 Fairmount Pl</t>
  </si>
  <si>
    <t>55 Winthrop St</t>
  </si>
  <si>
    <t>1122 E 99th St</t>
  </si>
  <si>
    <t>2130 Madison Ave</t>
  </si>
  <si>
    <t>520 W 114th St</t>
  </si>
  <si>
    <t>608 Flatbush Ave</t>
  </si>
  <si>
    <t>2783 Claflin Ave</t>
  </si>
  <si>
    <t>1500 Noble ave</t>
  </si>
  <si>
    <t>12015 146th St</t>
  </si>
  <si>
    <t>3120 Buhre Ave</t>
  </si>
  <si>
    <t>169 Lewis ave</t>
  </si>
  <si>
    <t>3065 Grand Concourse</t>
  </si>
  <si>
    <t>495 E 178th St</t>
  </si>
  <si>
    <t>686 Lafayette Ave</t>
  </si>
  <si>
    <t>381 E 46th St</t>
  </si>
  <si>
    <t>653 Cauldwell Ave</t>
  </si>
  <si>
    <t>192 Irving Ave</t>
  </si>
  <si>
    <t>3215 Bainbridge Ave</t>
  </si>
  <si>
    <t>2735 Sampson Ave</t>
  </si>
  <si>
    <t>645 E 14th st</t>
  </si>
  <si>
    <t>226 E 203rd St</t>
  </si>
  <si>
    <t>319 E 197th St</t>
  </si>
  <si>
    <t>6161 Dry Harbor Rd</t>
  </si>
  <si>
    <t>4908 21st Ave</t>
  </si>
  <si>
    <t>75 Cumberland Walk</t>
  </si>
  <si>
    <t>531 53rd St</t>
  </si>
  <si>
    <t>224 W 149th St</t>
  </si>
  <si>
    <t>1621 Madison Ave</t>
  </si>
  <si>
    <t>10001 205th st</t>
  </si>
  <si>
    <t>17 Harvard St</t>
  </si>
  <si>
    <t>6325 Mcintyre Ridge Dr</t>
  </si>
  <si>
    <t>1707 Topping Ave</t>
  </si>
  <si>
    <t>392 Rockaway Pkwy</t>
  </si>
  <si>
    <t>250 Clinton St</t>
  </si>
  <si>
    <t>150 Wilson Ave</t>
  </si>
  <si>
    <t>345 Fitzdom Rd</t>
  </si>
  <si>
    <t>3325 Neptune Ave</t>
  </si>
  <si>
    <t>9204 215th St</t>
  </si>
  <si>
    <t>1653 Campbell Ave</t>
  </si>
  <si>
    <t>1975 Davidson Ave</t>
  </si>
  <si>
    <t>1740 Grand Ave</t>
  </si>
  <si>
    <t>1375 E 18th St</t>
  </si>
  <si>
    <t>6209 11th Ave</t>
  </si>
  <si>
    <t>8722 135th St</t>
  </si>
  <si>
    <t>135-02 234th Street</t>
  </si>
  <si>
    <t>200 E 65th Street</t>
  </si>
  <si>
    <t>1222 Evergreen Ave</t>
  </si>
  <si>
    <t>378 E 139th St</t>
  </si>
  <si>
    <t>3440 Gates Pl</t>
  </si>
  <si>
    <t>410 Grand St</t>
  </si>
  <si>
    <t>40 Marcy Pl</t>
  </si>
  <si>
    <t>1020 Soundview Ave</t>
  </si>
  <si>
    <t>6114 167th St</t>
  </si>
  <si>
    <t>778 Henderson Ave</t>
  </si>
  <si>
    <t>194 Phronycros  Avenue</t>
  </si>
  <si>
    <t>2247 Walton Ave</t>
  </si>
  <si>
    <t>2030 Valentine Ave</t>
  </si>
  <si>
    <t>2015 Newbold Ave</t>
  </si>
  <si>
    <t>10711 Waltham St</t>
  </si>
  <si>
    <t>3320A Fish Ave</t>
  </si>
  <si>
    <t>2502 Gillmore St</t>
  </si>
  <si>
    <t>454 Lexington Ave</t>
  </si>
  <si>
    <t>3219 81st St</t>
  </si>
  <si>
    <t>1506 Walton Ave</t>
  </si>
  <si>
    <t>9048 198th St</t>
  </si>
  <si>
    <t>152 E 84th St</t>
  </si>
  <si>
    <t>2260 Barker Ave</t>
  </si>
  <si>
    <t>440 Watkins St</t>
  </si>
  <si>
    <t>9012 187th St</t>
  </si>
  <si>
    <t>3220 106th St</t>
  </si>
  <si>
    <t>14647 107th Ave</t>
  </si>
  <si>
    <t>138 Thomas S Boyland St</t>
  </si>
  <si>
    <t>611 Flatbush Ave</t>
  </si>
  <si>
    <t>15040 Tahoe St</t>
  </si>
  <si>
    <t>6637 53rd Ave</t>
  </si>
  <si>
    <t>9131 114th St</t>
  </si>
  <si>
    <t>2719 Morris Ave</t>
  </si>
  <si>
    <t>1180 Fulton Ave</t>
  </si>
  <si>
    <t>4333 48th St</t>
  </si>
  <si>
    <t>55 W 184th St</t>
  </si>
  <si>
    <t>10950 198th St</t>
  </si>
  <si>
    <t>551 Grand Concourse</t>
  </si>
  <si>
    <t>15 B Dwight Street</t>
  </si>
  <si>
    <t>8950 146th St</t>
  </si>
  <si>
    <t>863 Melrose Ave</t>
  </si>
  <si>
    <t>735 Garden St</t>
  </si>
  <si>
    <t>2911 Butler St</t>
  </si>
  <si>
    <t>966 Saint Nicholas Ave</t>
  </si>
  <si>
    <t>735 Grant Avenue</t>
  </si>
  <si>
    <t>644 Ocean Pkwy</t>
  </si>
  <si>
    <t>11457 210th St</t>
  </si>
  <si>
    <t>1014 59th St</t>
  </si>
  <si>
    <t>63 Rockaway Pkwy</t>
  </si>
  <si>
    <t>7814 90th Rd</t>
  </si>
  <si>
    <t>6 Celtic Pl</t>
  </si>
  <si>
    <t>358 S 2nd St</t>
  </si>
  <si>
    <t>1680 Bedford Ave</t>
  </si>
  <si>
    <t>8520 Elmhurst Ave</t>
  </si>
  <si>
    <t>707 W 171st St</t>
  </si>
  <si>
    <t>51 E 129th St</t>
  </si>
  <si>
    <t>195 Jaffery St</t>
  </si>
  <si>
    <t>5475 Almeda Ave</t>
  </si>
  <si>
    <t>6729 Kissena Blvd</t>
  </si>
  <si>
    <t>751 Walton Ave</t>
  </si>
  <si>
    <t>535 W 135th</t>
  </si>
  <si>
    <t>69 Schaefer St</t>
  </si>
  <si>
    <t>276 Cromwell Ave</t>
  </si>
  <si>
    <t>2034 Adam Clayton Powell Jr Blvd</t>
  </si>
  <si>
    <t>180 Bainbridge st</t>
  </si>
  <si>
    <t>2428 Beaumont Ave</t>
  </si>
  <si>
    <t>6841 Myrtle Ave</t>
  </si>
  <si>
    <t>221 Brooklyn Ave</t>
  </si>
  <si>
    <t>8802 Rockaway Beach Blvd</t>
  </si>
  <si>
    <t>1145 nelson Ave</t>
  </si>
  <si>
    <t>611 Rogers Ave</t>
  </si>
  <si>
    <t>1004 Olmstead Ave</t>
  </si>
  <si>
    <t>3815 Bowne st</t>
  </si>
  <si>
    <t>2108 Amsterdam Ave</t>
  </si>
  <si>
    <t>875 48th St</t>
  </si>
  <si>
    <t>45 Prospect St</t>
  </si>
  <si>
    <t>96 Lake St</t>
  </si>
  <si>
    <t>1941 Pacific St</t>
  </si>
  <si>
    <t>2210 Brookhaven Ave</t>
  </si>
  <si>
    <t>190 Ross St</t>
  </si>
  <si>
    <t>615 Westminster Rd</t>
  </si>
  <si>
    <t>10515 79th St</t>
  </si>
  <si>
    <t>19 Hill St</t>
  </si>
  <si>
    <t>2815 Coyle St</t>
  </si>
  <si>
    <t>751 Saint Marks Ave</t>
  </si>
  <si>
    <t>26 Madison Street</t>
  </si>
  <si>
    <t>3310 Avenue H</t>
  </si>
  <si>
    <t>6740 Parsons Blvd</t>
  </si>
  <si>
    <t>2850 W 24th St</t>
  </si>
  <si>
    <t>2220 128th St</t>
  </si>
  <si>
    <t>300 10th St</t>
  </si>
  <si>
    <t>2328 28th Ave</t>
  </si>
  <si>
    <t>32 Rogers Ave</t>
  </si>
  <si>
    <t>9102 Colonial Rd</t>
  </si>
  <si>
    <t>342 Washington Ave</t>
  </si>
  <si>
    <t>2115 Washington Ave</t>
  </si>
  <si>
    <t>345 E 83rd St</t>
  </si>
  <si>
    <t>16813 105th Ave</t>
  </si>
  <si>
    <t>1372 Washington Ave</t>
  </si>
  <si>
    <t>1880 -1886 Adam Clayton Powell Boulevard</t>
  </si>
  <si>
    <t>40 Richmond Plaza</t>
  </si>
  <si>
    <t>828 Havemeyer Ave</t>
  </si>
  <si>
    <t>197 Leonard St</t>
  </si>
  <si>
    <t>100 Saint Nicholas Ave</t>
  </si>
  <si>
    <t>405 E 16th St</t>
  </si>
  <si>
    <t>5234 Van Dam St</t>
  </si>
  <si>
    <t>17189 Terraberde Circle</t>
  </si>
  <si>
    <t>350 E 51st St</t>
  </si>
  <si>
    <t>3500 Perry Ave</t>
  </si>
  <si>
    <t>215 W 109th St</t>
  </si>
  <si>
    <t>80 Treadwell Ave</t>
  </si>
  <si>
    <t>14728 90th Ave</t>
  </si>
  <si>
    <t>217 Van Brunt St</t>
  </si>
  <si>
    <t>8825 148th St</t>
  </si>
  <si>
    <t>PO Box 7831</t>
  </si>
  <si>
    <t>2115 Ryer Ave</t>
  </si>
  <si>
    <t>13630 Sanford Ave</t>
  </si>
  <si>
    <t>209 E 165th St</t>
  </si>
  <si>
    <t>10835 43rd Ave</t>
  </si>
  <si>
    <t>Po Box 109</t>
  </si>
  <si>
    <t>701 E 175th St</t>
  </si>
  <si>
    <t>301 Warburton Ave</t>
  </si>
  <si>
    <t>18707 Sullivan Rd</t>
  </si>
  <si>
    <t>277 Regis Dr</t>
  </si>
  <si>
    <t>173 Lamport Blvd</t>
  </si>
  <si>
    <t>355 Lefferts Ave</t>
  </si>
  <si>
    <t>8701 Jamaica Ave</t>
  </si>
  <si>
    <t>1420 Nostrand Ave</t>
  </si>
  <si>
    <t>446 E 149th St</t>
  </si>
  <si>
    <t>227 23rd St</t>
  </si>
  <si>
    <t>988 Columbus Ave</t>
  </si>
  <si>
    <t>1040 E New York Ave</t>
  </si>
  <si>
    <t>1708 Saint Peters Ave</t>
  </si>
  <si>
    <t>10753 126th St</t>
  </si>
  <si>
    <t>1383 Park Pl</t>
  </si>
  <si>
    <t>695 E 139th st</t>
  </si>
  <si>
    <t>91 E 116th St</t>
  </si>
  <si>
    <t>34 Gary Ct</t>
  </si>
  <si>
    <t>2302 W 12th St</t>
  </si>
  <si>
    <t>1468 Beach Channel Dr</t>
  </si>
  <si>
    <t>2645 9th St</t>
  </si>
  <si>
    <t>8811 Elmhurst Ave</t>
  </si>
  <si>
    <t>142 Laurel Hill Ter</t>
  </si>
  <si>
    <t>429 Delaware ave</t>
  </si>
  <si>
    <t>290 E 4th St</t>
  </si>
  <si>
    <t>2824 Bronx Park E</t>
  </si>
  <si>
    <t>50 Harbor Loop</t>
  </si>
  <si>
    <t>372 Delancey St</t>
  </si>
  <si>
    <t>769 Arnow Ave</t>
  </si>
  <si>
    <t>466 E 10th St</t>
  </si>
  <si>
    <t>4103 Vernon Blvd</t>
  </si>
  <si>
    <t>1339 Bristow St</t>
  </si>
  <si>
    <t>2796 Claflin Ave</t>
  </si>
  <si>
    <t>612 E 14th St</t>
  </si>
  <si>
    <t>6901 62nd St</t>
  </si>
  <si>
    <t>6546 160th St</t>
  </si>
  <si>
    <t>341 W 24th St</t>
  </si>
  <si>
    <t>14074 34th Ave</t>
  </si>
  <si>
    <t>17220 133rd Ave</t>
  </si>
  <si>
    <t>100 Cooper St</t>
  </si>
  <si>
    <t>4415 54th Ave</t>
  </si>
  <si>
    <t>231 Saint Marys Ave</t>
  </si>
  <si>
    <t>4318 42nd St</t>
  </si>
  <si>
    <t>2910 Wallace Ave</t>
  </si>
  <si>
    <t>210 Granite Ave</t>
  </si>
  <si>
    <t>1285 Delmar Loop</t>
  </si>
  <si>
    <t>562 W 190th St</t>
  </si>
  <si>
    <t>745 Fox St</t>
  </si>
  <si>
    <t>1791 Prospect Ave</t>
  </si>
  <si>
    <t>141 Beach 56th Pl</t>
  </si>
  <si>
    <t>800 Concourse Vlg W</t>
  </si>
  <si>
    <t>168-05 Deop Rd</t>
  </si>
  <si>
    <t>10249 43rd Ave</t>
  </si>
  <si>
    <t>14323 Ferndale Ave</t>
  </si>
  <si>
    <t>377 E 152nd St</t>
  </si>
  <si>
    <t>100 Benchley Pl</t>
  </si>
  <si>
    <t>528 E 11th St</t>
  </si>
  <si>
    <t>288 Slater Blvd</t>
  </si>
  <si>
    <t>504 W 48th St</t>
  </si>
  <si>
    <t>3848 Rutgers St</t>
  </si>
  <si>
    <t>350 Snediker Ave</t>
  </si>
  <si>
    <t>285 Macdonough St</t>
  </si>
  <si>
    <t>2961 Harding Ave</t>
  </si>
  <si>
    <t>411 Manhattan Avenue</t>
  </si>
  <si>
    <t>1027 Putnam Ave</t>
  </si>
  <si>
    <t>193 16th St</t>
  </si>
  <si>
    <t>10505 Ditmars Blvd</t>
  </si>
  <si>
    <t>1140 Saint Johns Pl</t>
  </si>
  <si>
    <t>11434 117th St</t>
  </si>
  <si>
    <t>424 W 57th St</t>
  </si>
  <si>
    <t>1334 Morrison Ave</t>
  </si>
  <si>
    <t>959 E 217th St</t>
  </si>
  <si>
    <t>14936 Beech Ave</t>
  </si>
  <si>
    <t>315 4th Ave</t>
  </si>
  <si>
    <t>2385 Williamsbridge Rd</t>
  </si>
  <si>
    <t>711D Seagirt Ave</t>
  </si>
  <si>
    <t>11442 198th St</t>
  </si>
  <si>
    <t>6919 Hillmeyer Ave</t>
  </si>
  <si>
    <t>21829 94th Dr</t>
  </si>
  <si>
    <t>13725 159th St</t>
  </si>
  <si>
    <t>247 49th St</t>
  </si>
  <si>
    <t>440 Prospect Ave</t>
  </si>
  <si>
    <t>45 W Tremont Ave</t>
  </si>
  <si>
    <t>8775 172nd St</t>
  </si>
  <si>
    <t>430 New Jersey Ave</t>
  </si>
  <si>
    <t>94 Clinton Ave</t>
  </si>
  <si>
    <t>13054 176th Pl</t>
  </si>
  <si>
    <t>571 Sterling Pl</t>
  </si>
  <si>
    <t>8914 80th St</t>
  </si>
  <si>
    <t>1369 E 46th St</t>
  </si>
  <si>
    <t>2021 Seagirt Blvd</t>
  </si>
  <si>
    <t>346 East 156th St</t>
  </si>
  <si>
    <t>15119 34th Ave</t>
  </si>
  <si>
    <t>186 Elvin St</t>
  </si>
  <si>
    <t>8409 Talbot St</t>
  </si>
  <si>
    <t>535 Union Ave</t>
  </si>
  <si>
    <t>14018 Rockaway Blvd</t>
  </si>
  <si>
    <t>771 4th Ave</t>
  </si>
  <si>
    <t>765 E 225th St</t>
  </si>
  <si>
    <t>4328 Murray St</t>
  </si>
  <si>
    <t>435 GRAND AVE</t>
  </si>
  <si>
    <t>8911 153rd St</t>
  </si>
  <si>
    <t>11605 Nashville Blvd</t>
  </si>
  <si>
    <t>425 Grand Ave</t>
  </si>
  <si>
    <t>4439 3rd Ave</t>
  </si>
  <si>
    <t>2540 23rd St</t>
  </si>
  <si>
    <t>260 W 123rd St</t>
  </si>
  <si>
    <t>8334 Lefferts Blvd</t>
  </si>
  <si>
    <t>2223 Cortelyou Rd</t>
  </si>
  <si>
    <t>2259 Tiebout Ave</t>
  </si>
  <si>
    <t>90 Downing St</t>
  </si>
  <si>
    <t>12703 Jamaica Ave</t>
  </si>
  <si>
    <t>100 Central Ave</t>
  </si>
  <si>
    <t>1953 Paulding Ave, Bronx, NY 10462</t>
  </si>
  <si>
    <t>11961 177th St</t>
  </si>
  <si>
    <t>38 E 169th St</t>
  </si>
  <si>
    <t>540 Concord Ave</t>
  </si>
  <si>
    <t>675 Walton Ave</t>
  </si>
  <si>
    <t>7215 Royce Pl</t>
  </si>
  <si>
    <t>23712 92nd Rd</t>
  </si>
  <si>
    <t>3111 Brighton 7th St</t>
  </si>
  <si>
    <t>700 Rosewood St</t>
  </si>
  <si>
    <t>2663 Heath ave</t>
  </si>
  <si>
    <t>11810 193rd St</t>
  </si>
  <si>
    <t>3758 60th St</t>
  </si>
  <si>
    <t>14930 88th St</t>
  </si>
  <si>
    <t>9264 218th PL</t>
  </si>
  <si>
    <t>1221 Vyse Ave</t>
  </si>
  <si>
    <t>2419 Parsons Blvd</t>
  </si>
  <si>
    <t>765 Lincon Ave</t>
  </si>
  <si>
    <t>6718 Parsons Blvd</t>
  </si>
  <si>
    <t>9825 Horace Harding Expy</t>
  </si>
  <si>
    <t>2244 Tillotson Ave (Shelter)</t>
  </si>
  <si>
    <t>10540 Farmers Blvd</t>
  </si>
  <si>
    <t>2909 Bronxwood Ave</t>
  </si>
  <si>
    <t>11148B Lefferts Boulevard</t>
  </si>
  <si>
    <t>725 southern blvd</t>
  </si>
  <si>
    <t>107 Grattan St</t>
  </si>
  <si>
    <t>400 Herkimer St</t>
  </si>
  <si>
    <t>10424 103rd St</t>
  </si>
  <si>
    <t>39 Fayette St</t>
  </si>
  <si>
    <t>2332 Adam Clayton Powell Jr Blvd</t>
  </si>
  <si>
    <t>3315 Hull Ave</t>
  </si>
  <si>
    <t>126 Beach 31st St</t>
  </si>
  <si>
    <t>16904 88th Ave</t>
  </si>
  <si>
    <t>1515 Metropolitan Ave</t>
  </si>
  <si>
    <t>173 Brabant St</t>
  </si>
  <si>
    <t>326 E 100th St</t>
  </si>
  <si>
    <t>3250 Braodway</t>
  </si>
  <si>
    <t>13901 Archer Ave</t>
  </si>
  <si>
    <t>520 W 43rd St</t>
  </si>
  <si>
    <t>2430 Bronxwood Ave</t>
  </si>
  <si>
    <t>18365 Brinkerhoff Ave</t>
  </si>
  <si>
    <t>4331 45th St</t>
  </si>
  <si>
    <t>2311 Southern Blvd</t>
  </si>
  <si>
    <t>1329 St Johns Pl</t>
  </si>
  <si>
    <t>4150 78th St</t>
  </si>
  <si>
    <t>1254 Sherman Ave</t>
  </si>
  <si>
    <t>144-67 Melbourne Avenue</t>
  </si>
  <si>
    <t>775 West 156 Street</t>
  </si>
  <si>
    <t>5025 Newtown Rd</t>
  </si>
  <si>
    <t>8914 92nd St</t>
  </si>
  <si>
    <t>610 W 136th St</t>
  </si>
  <si>
    <t>113 W 128th St</t>
  </si>
  <si>
    <t>157 Belmont Ave</t>
  </si>
  <si>
    <t>1360 Eastern Pkwy</t>
  </si>
  <si>
    <t>100 La Salle St</t>
  </si>
  <si>
    <t>3419 irwin Ave</t>
  </si>
  <si>
    <t>8837 53rd Ave</t>
  </si>
  <si>
    <t>29 Adrian Ave</t>
  </si>
  <si>
    <t>1100 Sherman Ave</t>
  </si>
  <si>
    <t>155 Riverdale Ave</t>
  </si>
  <si>
    <t>2296 Bedford Ave</t>
  </si>
  <si>
    <t>11702 231st St</t>
  </si>
  <si>
    <t>2405 Tilden Ave</t>
  </si>
  <si>
    <t>58 E 132nd St</t>
  </si>
  <si>
    <t>9101 104th St</t>
  </si>
  <si>
    <t>1150 Intervale Ave</t>
  </si>
  <si>
    <t>2985 Webster Ave</t>
  </si>
  <si>
    <t>5518 6th Ave</t>
  </si>
  <si>
    <t>129 Patchen Ave</t>
  </si>
  <si>
    <t>425 Dewitt Ave</t>
  </si>
  <si>
    <t>14 Hart St</t>
  </si>
  <si>
    <t>120 96th St.</t>
  </si>
  <si>
    <t>677 Sheffield Ave</t>
  </si>
  <si>
    <t>104 Forsyth St</t>
  </si>
  <si>
    <t>14340 38th Ave</t>
  </si>
  <si>
    <t>4144 171st St</t>
  </si>
  <si>
    <t>2810 Olinville Ave</t>
  </si>
  <si>
    <t>3242 91st St</t>
  </si>
  <si>
    <t>289 Vermont St</t>
  </si>
  <si>
    <t>1240 Union St</t>
  </si>
  <si>
    <t>674 E 136th St</t>
  </si>
  <si>
    <t>540 Fort Washington Ave</t>
  </si>
  <si>
    <t>21614 114th Ave</t>
  </si>
  <si>
    <t>505 Rockaway Pkwy</t>
  </si>
  <si>
    <t>725 Fox St</t>
  </si>
  <si>
    <t>1601 Bay club rd</t>
  </si>
  <si>
    <t>1062 Saint Nicholas Ave</t>
  </si>
  <si>
    <t>2151 Morris Ave</t>
  </si>
  <si>
    <t>16 New Pl</t>
  </si>
  <si>
    <t>2 High Ct</t>
  </si>
  <si>
    <t>461 E 185th St</t>
  </si>
  <si>
    <t>891 Livonia Ave</t>
  </si>
  <si>
    <t>16344 17th Ave</t>
  </si>
  <si>
    <t>5240 Broadway</t>
  </si>
  <si>
    <t>760 Eldert Lane</t>
  </si>
  <si>
    <t>1105 Morrison Ave</t>
  </si>
  <si>
    <t>520 Osborn St</t>
  </si>
  <si>
    <t>9407 41st Ave</t>
  </si>
  <si>
    <t>1087 Carroll St</t>
  </si>
  <si>
    <t>8102 13th Ave</t>
  </si>
  <si>
    <t>4652 Manhattan College Pkwy</t>
  </si>
  <si>
    <t>16525 Highland Ave</t>
  </si>
  <si>
    <t>21811 99th Ave</t>
  </si>
  <si>
    <t>4835 45th St</t>
  </si>
  <si>
    <t>1036 President St</t>
  </si>
  <si>
    <t>14844 89th Ave</t>
  </si>
  <si>
    <t>1562 Vyse Ave</t>
  </si>
  <si>
    <t>586 E 170th St</t>
  </si>
  <si>
    <t>3000 Ocean Pkwy</t>
  </si>
  <si>
    <t>268 Morningstar Rd</t>
  </si>
  <si>
    <t>17 Seldin Ave</t>
  </si>
  <si>
    <t>2160 E 26th St</t>
  </si>
  <si>
    <t>STATEN ISLAND</t>
  </si>
  <si>
    <t>New York</t>
  </si>
  <si>
    <t>Bronx</t>
  </si>
  <si>
    <t>Woodside</t>
  </si>
  <si>
    <t>Brooklyn</t>
  </si>
  <si>
    <t>Staten Island</t>
  </si>
  <si>
    <t>Elmhurst</t>
  </si>
  <si>
    <t>Flushing</t>
  </si>
  <si>
    <t>Corona</t>
  </si>
  <si>
    <t>South Ozone Park</t>
  </si>
  <si>
    <t>Larchmont</t>
  </si>
  <si>
    <t>East Elmhurst</t>
  </si>
  <si>
    <t>Astoria</t>
  </si>
  <si>
    <t>Saint Albans</t>
  </si>
  <si>
    <t>Jamaica</t>
  </si>
  <si>
    <t>South Richmond Hill</t>
  </si>
  <si>
    <t>Woodhaven</t>
  </si>
  <si>
    <t>Queens Village</t>
  </si>
  <si>
    <t>Whitestone</t>
  </si>
  <si>
    <t>Jackson Hts</t>
  </si>
  <si>
    <t>Moonachie</t>
  </si>
  <si>
    <t>Rosedale</t>
  </si>
  <si>
    <t>Ridgewood</t>
  </si>
  <si>
    <t>Rego Park</t>
  </si>
  <si>
    <t>Far Rockaway</t>
  </si>
  <si>
    <t>Springfield Gardens</t>
  </si>
  <si>
    <t>Richmond Hill</t>
  </si>
  <si>
    <t>Ozone Park</t>
  </si>
  <si>
    <t>Queens Vlg</t>
  </si>
  <si>
    <t>Sunnyside</t>
  </si>
  <si>
    <t>Jackson Heights</t>
  </si>
  <si>
    <t>Arverne</t>
  </si>
  <si>
    <t>Fresh Meadows</t>
  </si>
  <si>
    <t>Rochelle Park</t>
  </si>
  <si>
    <t>Valley Stream</t>
  </si>
  <si>
    <t>College Point</t>
  </si>
  <si>
    <t>Conyers</t>
  </si>
  <si>
    <t>West New York</t>
  </si>
  <si>
    <t>Hollis</t>
  </si>
  <si>
    <t>Glendale</t>
  </si>
  <si>
    <t>Davie</t>
  </si>
  <si>
    <t>Long Island City</t>
  </si>
  <si>
    <t>Hampton</t>
  </si>
  <si>
    <t>Vineland</t>
  </si>
  <si>
    <t>Cambria Heights</t>
  </si>
  <si>
    <t>Nanuet</t>
  </si>
  <si>
    <t>Washington</t>
  </si>
  <si>
    <t>Centereach</t>
  </si>
  <si>
    <t>New Port Richey</t>
  </si>
  <si>
    <t>Yonkers</t>
  </si>
  <si>
    <t>Buffalo</t>
  </si>
  <si>
    <t>Kew Gardens</t>
  </si>
  <si>
    <t>Bellerose</t>
  </si>
  <si>
    <t>Bayside</t>
  </si>
  <si>
    <t>S Ozone Park</t>
  </si>
  <si>
    <t>Jacksonville</t>
  </si>
  <si>
    <t>Homestead</t>
  </si>
  <si>
    <t>Maspeth</t>
  </si>
  <si>
    <t>Forest Hills</t>
  </si>
  <si>
    <t>Rockaway Park</t>
  </si>
  <si>
    <t>Lakewood</t>
  </si>
  <si>
    <t>Kingston</t>
  </si>
  <si>
    <t>Wesley Chapel</t>
  </si>
  <si>
    <t>Newark</t>
  </si>
  <si>
    <t>Rockaway Beach</t>
  </si>
  <si>
    <t>Cuyahoga Falls</t>
  </si>
  <si>
    <t>Bayport</t>
  </si>
  <si>
    <t>Floral Park</t>
  </si>
  <si>
    <t>Long Is City</t>
  </si>
  <si>
    <t>Montauk</t>
  </si>
  <si>
    <t>West Hempstead</t>
  </si>
  <si>
    <t>Middletown</t>
  </si>
  <si>
    <t>East Meadow</t>
  </si>
  <si>
    <t>Howard Beach</t>
  </si>
  <si>
    <t>Phillipsburg</t>
  </si>
  <si>
    <t>Nyack</t>
  </si>
  <si>
    <t>Laurelton</t>
  </si>
  <si>
    <t>Middle Village</t>
  </si>
  <si>
    <t>Binghamton</t>
  </si>
  <si>
    <t>Elmont</t>
  </si>
  <si>
    <t>Hempstead</t>
  </si>
  <si>
    <t>Calverton</t>
  </si>
  <si>
    <t>West Haven</t>
  </si>
  <si>
    <t>Upper Marlboro</t>
  </si>
  <si>
    <t>White Plains</t>
  </si>
  <si>
    <t>S Richmond Hl</t>
  </si>
  <si>
    <t>Hollywood</t>
  </si>
  <si>
    <t>Bayville</t>
  </si>
  <si>
    <t>Cambria Hts</t>
  </si>
  <si>
    <t>Sleepy Hollow</t>
  </si>
  <si>
    <t>Naples</t>
  </si>
  <si>
    <t>Boca Raton</t>
  </si>
  <si>
    <t>BROOKLYN</t>
  </si>
  <si>
    <t>Syracuse</t>
  </si>
  <si>
    <t>Mount Vernon</t>
  </si>
  <si>
    <t>jersey city</t>
  </si>
  <si>
    <t>Long Branch</t>
  </si>
  <si>
    <t>Saint Cloud</t>
  </si>
  <si>
    <t>BRONX</t>
  </si>
  <si>
    <t>Honolulu</t>
  </si>
  <si>
    <t>Poughkeepsie</t>
  </si>
  <si>
    <t>Melbourne</t>
  </si>
  <si>
    <t>Mohegan Lake</t>
  </si>
  <si>
    <t>Albany</t>
  </si>
  <si>
    <t>Jersey City</t>
  </si>
  <si>
    <t>Shelbyville</t>
  </si>
  <si>
    <t>staten island</t>
  </si>
  <si>
    <t>miami</t>
  </si>
  <si>
    <t>West Babylon</t>
  </si>
  <si>
    <t>Glen Oaks</t>
  </si>
  <si>
    <t>Eatontown</t>
  </si>
  <si>
    <t>Bentleyville</t>
  </si>
  <si>
    <t>Montvale</t>
  </si>
  <si>
    <t>Irvington</t>
  </si>
  <si>
    <t>Cape Coral</t>
  </si>
  <si>
    <t>NEW YORK</t>
  </si>
  <si>
    <t>Cresskill</t>
  </si>
  <si>
    <t>Washington Crossing</t>
  </si>
  <si>
    <t>JAMAICA</t>
  </si>
  <si>
    <t>Worcester</t>
  </si>
  <si>
    <t>Hoboken</t>
  </si>
  <si>
    <t>Valley Cottage</t>
  </si>
  <si>
    <t>Laredo</t>
  </si>
  <si>
    <t>Little Neck</t>
  </si>
  <si>
    <t>Oakfield</t>
  </si>
  <si>
    <t>Bridgewater</t>
  </si>
  <si>
    <t>Uniondale</t>
  </si>
  <si>
    <t>Mahopac</t>
  </si>
  <si>
    <t>Ewing</t>
  </si>
  <si>
    <t>Asbury Park</t>
  </si>
  <si>
    <t>New Hyde Park</t>
  </si>
  <si>
    <t>Fort Myers</t>
  </si>
  <si>
    <t>Rahway</t>
  </si>
  <si>
    <t>Clinton</t>
  </si>
  <si>
    <t>Holtsville</t>
  </si>
  <si>
    <t>Whiting</t>
  </si>
  <si>
    <t>Augusta</t>
  </si>
  <si>
    <t>Oakland Gardens</t>
  </si>
  <si>
    <t>Elizabeth</t>
  </si>
  <si>
    <t>Ocean</t>
  </si>
  <si>
    <t>Kilgore</t>
  </si>
  <si>
    <t>Halfmoon</t>
  </si>
  <si>
    <t>Inwood</t>
  </si>
  <si>
    <t>Rhode Island</t>
  </si>
  <si>
    <t>Schenectady</t>
  </si>
  <si>
    <t>Charlotte</t>
  </si>
  <si>
    <t>Pattersonville</t>
  </si>
  <si>
    <t>Carteret</t>
  </si>
  <si>
    <t>Cedarhurst</t>
  </si>
  <si>
    <t>Fortmeyres</t>
  </si>
  <si>
    <t>Oviedo</t>
  </si>
  <si>
    <t>NY</t>
  </si>
  <si>
    <t>NJ</t>
  </si>
  <si>
    <t>GA</t>
  </si>
  <si>
    <t>FL</t>
  </si>
  <si>
    <t>PA</t>
  </si>
  <si>
    <t>OH</t>
  </si>
  <si>
    <t>CT</t>
  </si>
  <si>
    <t>MD</t>
  </si>
  <si>
    <t>HI</t>
  </si>
  <si>
    <t>KY</t>
  </si>
  <si>
    <t>MA</t>
  </si>
  <si>
    <t>TX</t>
  </si>
  <si>
    <t>NC</t>
  </si>
  <si>
    <t>Staten Island Legal Services</t>
  </si>
  <si>
    <t>Manhattan Legal Services</t>
  </si>
  <si>
    <t>Bronx Legal Services</t>
  </si>
  <si>
    <t>Legal Support Unit</t>
  </si>
  <si>
    <t>Queens Legal Services</t>
  </si>
  <si>
    <t>Brooklyn Legal Services</t>
  </si>
  <si>
    <t>07/03/2019</t>
  </si>
  <si>
    <t>08/01/2019</t>
  </si>
  <si>
    <t>08/05/2019</t>
  </si>
  <si>
    <t>07/02/2019</t>
  </si>
  <si>
    <t>08/29/2019</t>
  </si>
  <si>
    <t>09/12/2019</t>
  </si>
  <si>
    <t>09/05/2019</t>
  </si>
  <si>
    <t>09/30/2019</t>
  </si>
  <si>
    <t>07/29/2019</t>
  </si>
  <si>
    <t>07/30/2019</t>
  </si>
  <si>
    <t>08/02/2019</t>
  </si>
  <si>
    <t>07/12/2019</t>
  </si>
  <si>
    <t>07/22/2019</t>
  </si>
  <si>
    <t>07/11/2019</t>
  </si>
  <si>
    <t>09/03/2019</t>
  </si>
  <si>
    <t>07/23/2019</t>
  </si>
  <si>
    <t>07/31/2019</t>
  </si>
  <si>
    <t>08/23/2019</t>
  </si>
  <si>
    <t>07/10/2019</t>
  </si>
  <si>
    <t>08/08/2019</t>
  </si>
  <si>
    <t>07/01/2019</t>
  </si>
  <si>
    <t>09/09/2019</t>
  </si>
  <si>
    <t>09/16/2019</t>
  </si>
  <si>
    <t>07/05/2019</t>
  </si>
  <si>
    <t>07/09/2019</t>
  </si>
  <si>
    <t>07/08/2019</t>
  </si>
  <si>
    <t>08/15/2019</t>
  </si>
  <si>
    <t>07/24/2019</t>
  </si>
  <si>
    <t>08/04/2019</t>
  </si>
  <si>
    <t>07/19/2019</t>
  </si>
  <si>
    <t>07/16/2019</t>
  </si>
  <si>
    <t>07/06/2019</t>
  </si>
  <si>
    <t>07/07/2019</t>
  </si>
  <si>
    <t>08/12/2019</t>
  </si>
  <si>
    <t>07/17/2019</t>
  </si>
  <si>
    <t>08/13/2019</t>
  </si>
  <si>
    <t>07/18/2019</t>
  </si>
  <si>
    <t>07/13/2019</t>
  </si>
  <si>
    <t>07/14/2019</t>
  </si>
  <si>
    <t>07/15/2019</t>
  </si>
  <si>
    <t>07/25/2019</t>
  </si>
  <si>
    <t>09/23/2019</t>
  </si>
  <si>
    <t>09/24/2019</t>
  </si>
  <si>
    <t>09/18/2019</t>
  </si>
  <si>
    <t>08/09/2019</t>
  </si>
  <si>
    <t>07/26/2019</t>
  </si>
  <si>
    <t>08/16/2019</t>
  </si>
  <si>
    <t>08/20/2019</t>
  </si>
  <si>
    <t>08/19/2019</t>
  </si>
  <si>
    <t>08/27/2019</t>
  </si>
  <si>
    <t>07/27/2019</t>
  </si>
  <si>
    <t>08/26/2019</t>
  </si>
  <si>
    <t>08/06/2019</t>
  </si>
  <si>
    <t>08/07/2019</t>
  </si>
  <si>
    <t>08/03/2019</t>
  </si>
  <si>
    <t>08/14/2019</t>
  </si>
  <si>
    <t>08/11/2019</t>
  </si>
  <si>
    <t>08/28/2019</t>
  </si>
  <si>
    <t>09/06/2019</t>
  </si>
  <si>
    <t>08/21/2019</t>
  </si>
  <si>
    <t>08/22/2019</t>
  </si>
  <si>
    <t>09/10/2019</t>
  </si>
  <si>
    <t>09/20/2019</t>
  </si>
  <si>
    <t>09/25/2019</t>
  </si>
  <si>
    <t>09/27/2019</t>
  </si>
  <si>
    <t>09/11/2019</t>
  </si>
  <si>
    <t>09/04/2019</t>
  </si>
  <si>
    <t>08/30/2019</t>
  </si>
  <si>
    <t>09/19/2019</t>
  </si>
  <si>
    <t>09/13/2019</t>
  </si>
  <si>
    <t>09/07/2019</t>
  </si>
  <si>
    <t>09/02/2019</t>
  </si>
  <si>
    <t>09/17/2019</t>
  </si>
  <si>
    <t>09/21/2019</t>
  </si>
  <si>
    <t>English</t>
  </si>
  <si>
    <t>Spanish</t>
  </si>
  <si>
    <t>French</t>
  </si>
  <si>
    <t>Russian</t>
  </si>
  <si>
    <t>Amer. Sign Lang.</t>
  </si>
  <si>
    <t>Japanese</t>
  </si>
  <si>
    <t>Urdu</t>
  </si>
  <si>
    <t>Albanian</t>
  </si>
  <si>
    <t>French Creole</t>
  </si>
  <si>
    <t>Creole</t>
  </si>
  <si>
    <t>Portuguese</t>
  </si>
  <si>
    <t>Bengali</t>
  </si>
  <si>
    <t>Other</t>
  </si>
  <si>
    <t>Cantonese</t>
  </si>
  <si>
    <t>Mandarin</t>
  </si>
  <si>
    <t>Polish</t>
  </si>
  <si>
    <t>Arabic</t>
  </si>
  <si>
    <t>Finnish</t>
  </si>
  <si>
    <t>Greek</t>
  </si>
  <si>
    <t>Serbocroatian</t>
  </si>
  <si>
    <t>Chinese/Mandarin</t>
  </si>
  <si>
    <t>Korean</t>
  </si>
  <si>
    <t>Dutch</t>
  </si>
  <si>
    <t>Italian</t>
  </si>
  <si>
    <t>Chinese/Cantonese</t>
  </si>
  <si>
    <t>Not Entered</t>
  </si>
  <si>
    <t>Tagalog</t>
  </si>
  <si>
    <t>Ukrainian</t>
  </si>
  <si>
    <t>Sign Language</t>
  </si>
  <si>
    <t>Rumanian</t>
  </si>
  <si>
    <t>Hindi</t>
  </si>
  <si>
    <t>Zapotec</t>
  </si>
  <si>
    <t>Yiddish</t>
  </si>
  <si>
    <t>Panjabi</t>
  </si>
  <si>
    <t xml:space="preserve">Chinese </t>
  </si>
  <si>
    <t>Vietnamese</t>
  </si>
  <si>
    <t>Unknown</t>
  </si>
  <si>
    <t>Hebrew</t>
  </si>
  <si>
    <t>Samoan</t>
  </si>
  <si>
    <t>Thai</t>
  </si>
  <si>
    <t>SILS</t>
  </si>
  <si>
    <t>MLS</t>
  </si>
  <si>
    <t>Bronx-Main</t>
  </si>
  <si>
    <t>Bankruptcy Assistance Project (BAP)</t>
  </si>
  <si>
    <t>QLS</t>
  </si>
  <si>
    <t>BLS</t>
  </si>
  <si>
    <t>LSU</t>
  </si>
  <si>
    <t>Bronx -Courthouse</t>
  </si>
  <si>
    <t>SILS-Foreclosure</t>
  </si>
  <si>
    <t>Open</t>
  </si>
  <si>
    <t>Closed</t>
  </si>
  <si>
    <t>Pending</t>
  </si>
  <si>
    <t>10/03/2019</t>
  </si>
  <si>
    <t>10/02/2019</t>
  </si>
  <si>
    <t>09/15/2019</t>
  </si>
  <si>
    <t>10/01/2019</t>
  </si>
  <si>
    <t>08/18/2019</t>
  </si>
  <si>
    <t>09/29/2019</t>
  </si>
  <si>
    <t>09/08/2019</t>
  </si>
  <si>
    <t>09/28/2019</t>
  </si>
  <si>
    <t>Manaugh, Sara</t>
  </si>
  <si>
    <t>Martinez Alonzo, Washcarina</t>
  </si>
  <si>
    <t>Roman, Lurica</t>
  </si>
  <si>
    <t>Kransdorf, William</t>
  </si>
  <si>
    <t>Madrid, Andrea</t>
  </si>
  <si>
    <t>Carlier, Milton</t>
  </si>
  <si>
    <t>Succop, Steven</t>
  </si>
  <si>
    <t>Brutus, Jean-Pierre</t>
  </si>
  <si>
    <t>Frizell, Catherine</t>
  </si>
  <si>
    <t>Teitelbaum, Genna</t>
  </si>
  <si>
    <t>Herman, Terry</t>
  </si>
  <si>
    <t>Cowen, Lindsay</t>
  </si>
  <si>
    <t>Hong, Connie</t>
  </si>
  <si>
    <t>Montoute, John</t>
  </si>
  <si>
    <t>Flynn, William</t>
  </si>
  <si>
    <t>Burns, Erin</t>
  </si>
  <si>
    <t>Ukegbu, Ezi</t>
  </si>
  <si>
    <t>Lee, Jooyeon</t>
  </si>
  <si>
    <t>McDonald, Geoffrey</t>
  </si>
  <si>
    <t>Gibson, Vicki</t>
  </si>
  <si>
    <t>Eisenberg, Jennifer</t>
  </si>
  <si>
    <t>Isobe, Catherine</t>
  </si>
  <si>
    <t>Schafler, Eliza</t>
  </si>
  <si>
    <t>Lerman, Jennifer</t>
  </si>
  <si>
    <t>Villalobos, Tanya</t>
  </si>
  <si>
    <t>Telson, Sarah</t>
  </si>
  <si>
    <t>Rave, Helen</t>
  </si>
  <si>
    <t>Rinck Manfredini, Laura</t>
  </si>
  <si>
    <t>Twersky, Jonathan</t>
  </si>
  <si>
    <t>Falco, Fara</t>
  </si>
  <si>
    <t>Barreda, Catherine</t>
  </si>
  <si>
    <t>Puleo Jr, Michael</t>
  </si>
  <si>
    <t>Lebron, Fernando</t>
  </si>
  <si>
    <t>Fischman, Jean</t>
  </si>
  <si>
    <t>Massey, Randi</t>
  </si>
  <si>
    <t>Watson, Michael</t>
  </si>
  <si>
    <t>Johnson, Chantal</t>
  </si>
  <si>
    <t>Nadeau-Rifkind, Al</t>
  </si>
  <si>
    <t>Singh, Ermela</t>
  </si>
  <si>
    <t>Mendia-Yadaicela, Michelle</t>
  </si>
  <si>
    <t>Dolin, Brett</t>
  </si>
  <si>
    <t>Gamble, Taylor</t>
  </si>
  <si>
    <t>Martinez-Gunter, Maribel</t>
  </si>
  <si>
    <t>Licharson, Tom</t>
  </si>
  <si>
    <t>Feliz, Oswald</t>
  </si>
  <si>
    <t>Sun, Rachel</t>
  </si>
  <si>
    <t>Cook, Veronica</t>
  </si>
  <si>
    <t>Ginsberg, Irene</t>
  </si>
  <si>
    <t>Greene, Janelle</t>
  </si>
  <si>
    <t>Armentrout, Lynn</t>
  </si>
  <si>
    <t>Patel, Roopal</t>
  </si>
  <si>
    <t>Price, Adriana</t>
  </si>
  <si>
    <t>Hernandez, Marisol</t>
  </si>
  <si>
    <t>Caldwell-Kuru, Hazel</t>
  </si>
  <si>
    <t>Vitale, Soo Kyung</t>
  </si>
  <si>
    <t>Bateman, Steven</t>
  </si>
  <si>
    <t>Golden, Tashanna</t>
  </si>
  <si>
    <t>Tadepalli, Ashwin</t>
  </si>
  <si>
    <t>Eagan, Emilie</t>
  </si>
  <si>
    <t>Sanchez, Richard</t>
  </si>
  <si>
    <t>Rosner, Julia</t>
  </si>
  <si>
    <t>Mendez, Yessenia</t>
  </si>
  <si>
    <t>Wilkins, Amanda</t>
  </si>
  <si>
    <t>Cepeda, Jeanette</t>
  </si>
  <si>
    <t>Collins, Lisa</t>
  </si>
  <si>
    <t>Nachman, Fraidy</t>
  </si>
  <si>
    <t>Jonas, Myrtle</t>
  </si>
  <si>
    <t>Jung, Kyoung</t>
  </si>
  <si>
    <t>Rosario Rodriguez, Luis</t>
  </si>
  <si>
    <t>Navarro, Norey</t>
  </si>
  <si>
    <t>Xie, Vivian</t>
  </si>
  <si>
    <t>Bash, Rachel</t>
  </si>
  <si>
    <t>Caban-Gandhi, Celina</t>
  </si>
  <si>
    <t>Brito, Victor</t>
  </si>
  <si>
    <t>Restrepo-Serrano, Francois</t>
  </si>
  <si>
    <t>Amjad, Robia</t>
  </si>
  <si>
    <t>Belhomme, Wilesca</t>
  </si>
  <si>
    <t>McCune, Mary</t>
  </si>
  <si>
    <t>Goyzueta, Anna</t>
  </si>
  <si>
    <t>Miranda, Stephanie</t>
  </si>
  <si>
    <t>Farrell, Emily</t>
  </si>
  <si>
    <t>Alba, Sarah</t>
  </si>
  <si>
    <t>Crafton, Jessica</t>
  </si>
  <si>
    <t>Arias, Johanna</t>
  </si>
  <si>
    <t>Saywack, Priam</t>
  </si>
  <si>
    <t>Zaman, Razeen</t>
  </si>
  <si>
    <t>Reed, Jessica</t>
  </si>
  <si>
    <t>Tavis, Anna</t>
  </si>
  <si>
    <t>Lynch, Megan</t>
  </si>
  <si>
    <t>MacRae, John</t>
  </si>
  <si>
    <t>Gonzalez, Migdalia</t>
  </si>
  <si>
    <t>DeVolld, Angela</t>
  </si>
  <si>
    <t>Barrow, Jennifer</t>
  </si>
  <si>
    <t>Surette, Gibb</t>
  </si>
  <si>
    <t>Newton, Jack</t>
  </si>
  <si>
    <t>Heintz, Adam</t>
  </si>
  <si>
    <t>Ventura, Lynn</t>
  </si>
  <si>
    <t>Woods, Nicole</t>
  </si>
  <si>
    <t>Ortiz, Adrienne</t>
  </si>
  <si>
    <t>Gathing, Vance</t>
  </si>
  <si>
    <t>Rivera, Brunilda</t>
  </si>
  <si>
    <t>Hoque, Shatti</t>
  </si>
  <si>
    <t>Dagg, Christopher</t>
  </si>
  <si>
    <t>Katz, Cindy</t>
  </si>
  <si>
    <t>Sun, Dao</t>
  </si>
  <si>
    <t>Akbari, Muska</t>
  </si>
  <si>
    <t>Guzman, Michael</t>
  </si>
  <si>
    <t>Salas, Emma</t>
  </si>
  <si>
    <t>Ketcher, Maxine</t>
  </si>
  <si>
    <t>Hecht-Felella, Laura</t>
  </si>
  <si>
    <t>Vaz, Marie</t>
  </si>
  <si>
    <t>Nimis, Roland</t>
  </si>
  <si>
    <t>Paulino, Jayna</t>
  </si>
  <si>
    <t>Allen, Sharette</t>
  </si>
  <si>
    <t>Lam, Kevin</t>
  </si>
  <si>
    <t>Pozo, Caridad</t>
  </si>
  <si>
    <t>Castronovo, Julian</t>
  </si>
  <si>
    <t>Wong, Humbert</t>
  </si>
  <si>
    <t>Laureano, Luz</t>
  </si>
  <si>
    <t>Diaz, Lino</t>
  </si>
  <si>
    <t>McCowen, Tamella</t>
  </si>
  <si>
    <t>Scott, Samuel</t>
  </si>
  <si>
    <t>Sambataro, Debra</t>
  </si>
  <si>
    <t>Dunlop-German, Allison</t>
  </si>
  <si>
    <t>Ross, Jasmine</t>
  </si>
  <si>
    <t>Figueroa, Vianca</t>
  </si>
  <si>
    <t>Henriquez, Luis</t>
  </si>
  <si>
    <t>Camargo, Tatiana</t>
  </si>
  <si>
    <t>Edwards, Zamara</t>
  </si>
  <si>
    <t>Silliman, Stacey</t>
  </si>
  <si>
    <t>Tyler, Johnson</t>
  </si>
  <si>
    <t>Geha, Nada</t>
  </si>
  <si>
    <t>Chan, Vincce</t>
  </si>
  <si>
    <t>Stevens, Jean</t>
  </si>
  <si>
    <t>Kalum, Nicole</t>
  </si>
  <si>
    <t>Stephenson, Anne</t>
  </si>
  <si>
    <t>Ascher, Ann</t>
  </si>
  <si>
    <t>Santos, Marisol</t>
  </si>
  <si>
    <t>Newton, Christopher</t>
  </si>
  <si>
    <t>Daniels, Jesse</t>
  </si>
  <si>
    <t>Chew, Thomas</t>
  </si>
  <si>
    <t>Atuegbu, Chidera</t>
  </si>
  <si>
    <t>Bowman, Cathy</t>
  </si>
  <si>
    <t>Costa, Stephanie</t>
  </si>
  <si>
    <t>Schryver, Erik</t>
  </si>
  <si>
    <t>Salk, Nicole</t>
  </si>
  <si>
    <t>Dworkin, Brian</t>
  </si>
  <si>
    <t>Hernandez, Karen</t>
  </si>
  <si>
    <t>Wilkins, Dave</t>
  </si>
  <si>
    <t>Hernandez, Nadia</t>
  </si>
  <si>
    <t>Ortiz, Andrew</t>
  </si>
  <si>
    <t>Sharma, Sagar</t>
  </si>
  <si>
    <t>Ramos, Axel</t>
  </si>
  <si>
    <t>Kaplan, William</t>
  </si>
  <si>
    <t>Tan, Andrea</t>
  </si>
  <si>
    <t>Williams, Gerald</t>
  </si>
  <si>
    <t>Corsaro, Veronica</t>
  </si>
  <si>
    <t>Tongo, Salima</t>
  </si>
  <si>
    <t>Blackman, Valerie</t>
  </si>
  <si>
    <t>Hammond, Robert</t>
  </si>
  <si>
    <t>Spencer, Eleanor</t>
  </si>
  <si>
    <t>Freeman, Daniel</t>
  </si>
  <si>
    <t>Zabizhin, Albert</t>
  </si>
  <si>
    <t>Wilkes, Nicole</t>
  </si>
  <si>
    <t>Goncharov-Cruickshnk, Natalie</t>
  </si>
  <si>
    <t>Briggs, John</t>
  </si>
  <si>
    <t>Acron, Denise</t>
  </si>
  <si>
    <t>Dennin, Kathleen</t>
  </si>
  <si>
    <t>Latterner, Matt</t>
  </si>
  <si>
    <t>Gonzalez, Atenedoro</t>
  </si>
  <si>
    <t>Hanmer, Dorothy</t>
  </si>
  <si>
    <t>Cruz-Perez, Javier</t>
  </si>
  <si>
    <t>Haarmann, Landry</t>
  </si>
  <si>
    <t>Vu, Michelle</t>
  </si>
  <si>
    <t>Abrigo, Jose</t>
  </si>
  <si>
    <t>Torres, Jasmin</t>
  </si>
  <si>
    <t>Fukuda, Noriko</t>
  </si>
  <si>
    <t>McCormick, James</t>
  </si>
  <si>
    <t>Heilman, Claire</t>
  </si>
  <si>
    <t>Schorr, Nanette</t>
  </si>
  <si>
    <t>Barrett, Samantha</t>
  </si>
  <si>
    <t>Ramos, Kathryn</t>
  </si>
  <si>
    <t>Goldberg, Heather</t>
  </si>
  <si>
    <t>Pepe, Lailah</t>
  </si>
  <si>
    <t>Heine, Isabel</t>
  </si>
  <si>
    <t>Acevedo, Vanessa</t>
  </si>
  <si>
    <t>Gennari, Regina</t>
  </si>
  <si>
    <t>Rosen, David</t>
  </si>
  <si>
    <t>Arias, Sandra</t>
  </si>
  <si>
    <t>Rahman, Urooj</t>
  </si>
  <si>
    <t>Roberts, Jonathan</t>
  </si>
  <si>
    <t>Herrmann, Neil</t>
  </si>
  <si>
    <t>Taylor, Stephanie</t>
  </si>
  <si>
    <t>Morgan, Rose</t>
  </si>
  <si>
    <t>Kim, Jennie</t>
  </si>
  <si>
    <t>Kash, Julie</t>
  </si>
  <si>
    <t>Guiral Cuervo, Carolina</t>
  </si>
  <si>
    <t>Miller, Thomas</t>
  </si>
  <si>
    <t>Eisom, Stanley</t>
  </si>
  <si>
    <t>Cappellini, Bianca</t>
  </si>
  <si>
    <t>Rhee, Bohee</t>
  </si>
  <si>
    <t>Fuller-Bennett, Reuben</t>
  </si>
  <si>
    <t>Connors, Michael</t>
  </si>
  <si>
    <t>Englard, Rubin</t>
  </si>
  <si>
    <t>Abbas, Sayeda</t>
  </si>
  <si>
    <t>He, Ricky</t>
  </si>
  <si>
    <t>Osei, Dionne</t>
  </si>
  <si>
    <t>Odoemene, Udoka</t>
  </si>
  <si>
    <t>Calderon, Milta</t>
  </si>
  <si>
    <t>Deluca, Sally</t>
  </si>
  <si>
    <t>Nacinovich, Anne</t>
  </si>
  <si>
    <t>DeLong, Sarah</t>
  </si>
  <si>
    <t>Heller, Steven</t>
  </si>
  <si>
    <t>Martinez, Ana</t>
  </si>
  <si>
    <t>James, Lelia</t>
  </si>
  <si>
    <t>Gonzalez, Gabriela</t>
  </si>
  <si>
    <t>Geballe, Rachel</t>
  </si>
  <si>
    <t>Dejvongsa, Dokor</t>
  </si>
  <si>
    <t>Bailey, Michael</t>
  </si>
  <si>
    <t>Bromberg, Iris</t>
  </si>
  <si>
    <t>Feldkamp, Katrina</t>
  </si>
  <si>
    <t>Bauer, Kai</t>
  </si>
  <si>
    <t>Ocana, Johanna</t>
  </si>
  <si>
    <t>Vega, Rita</t>
  </si>
  <si>
    <t>Rodriguez, Priscilla</t>
  </si>
  <si>
    <t>Hao, Lindsay</t>
  </si>
  <si>
    <t>Ijaz, Kulsoom</t>
  </si>
  <si>
    <t>Sanchez, Sandra</t>
  </si>
  <si>
    <t>Patel, Mona</t>
  </si>
  <si>
    <t>Elmore, Josh</t>
  </si>
  <si>
    <t>Breakstone, Chelsea</t>
  </si>
  <si>
    <t>Heaton, Betty</t>
  </si>
  <si>
    <t>Porcelli, Ronald</t>
  </si>
  <si>
    <t>Mattessich, Sandra</t>
  </si>
  <si>
    <t>Stone, Gary</t>
  </si>
  <si>
    <t>Chen, Eugene</t>
  </si>
  <si>
    <t>Bedard, Nancy</t>
  </si>
  <si>
    <t>Samuel, Somalia</t>
  </si>
  <si>
    <t>Patel, Kinjal</t>
  </si>
  <si>
    <t>Gardner III, George</t>
  </si>
  <si>
    <t>Tillona, Thomas</t>
  </si>
  <si>
    <t>McDonald, John</t>
  </si>
  <si>
    <t>Griffin, Jacquelyn</t>
  </si>
  <si>
    <t>Shah, Ami</t>
  </si>
  <si>
    <t>Reyes, Nicole</t>
  </si>
  <si>
    <t>Hammersmith, Amy</t>
  </si>
  <si>
    <t>Sanchez, Dennis</t>
  </si>
  <si>
    <t>Jacobs, Alex</t>
  </si>
  <si>
    <t>Anunkor, Ifeoma</t>
  </si>
  <si>
    <t>Taylor, Mark</t>
  </si>
  <si>
    <t>Broodie-Stewart, M'Ral</t>
  </si>
  <si>
    <t>Pera, Denise</t>
  </si>
  <si>
    <t>Black, Rosalind</t>
  </si>
  <si>
    <t>Cisneros, Marisol</t>
  </si>
  <si>
    <t>Burkle, Arthur</t>
  </si>
  <si>
    <t>Mottley, Darlene</t>
  </si>
  <si>
    <t>Mui, Ernie</t>
  </si>
  <si>
    <t>Corcione, Emily</t>
  </si>
  <si>
    <t>Urizar, Ana</t>
  </si>
  <si>
    <t>Schwartz, Irv</t>
  </si>
  <si>
    <t>Guerra, Yolanda</t>
  </si>
  <si>
    <t>Hernandez-Guzman, Sandra</t>
  </si>
  <si>
    <t>Pepitone, Dan</t>
  </si>
  <si>
    <t>Lin, Tina</t>
  </si>
  <si>
    <t>Velasquez, Diana</t>
  </si>
  <si>
    <t>Anderson, Theresa</t>
  </si>
  <si>
    <t>Joly, Coco</t>
  </si>
  <si>
    <t>Lorenzo, Alexis</t>
  </si>
  <si>
    <t>Namuche, Raquel</t>
  </si>
  <si>
    <t>Price, Meredith</t>
  </si>
  <si>
    <t>Guadalupe, Marilyn</t>
  </si>
  <si>
    <t>Frierson, Jerome</t>
  </si>
  <si>
    <t>Kramer, Kramer</t>
  </si>
  <si>
    <t>Braudy, Erica</t>
  </si>
  <si>
    <t>Foster, Tara</t>
  </si>
  <si>
    <t>Trinidad, Lenina</t>
  </si>
  <si>
    <t>Castillo, Evette</t>
  </si>
  <si>
    <t>Crisona, Kathryn</t>
  </si>
  <si>
    <t>Neff, Adrienne</t>
  </si>
  <si>
    <t>Pangonis, Dustin</t>
  </si>
  <si>
    <t>Yamasaki, Emily Woo</t>
  </si>
  <si>
    <t>Treadwell, Nathan</t>
  </si>
  <si>
    <t>Arboleda, Paula</t>
  </si>
  <si>
    <t>Alvarez, Adriana</t>
  </si>
  <si>
    <t>Kim, Jae Young</t>
  </si>
  <si>
    <t>Ma, Chiansan</t>
  </si>
  <si>
    <t>Mbame, Etondi</t>
  </si>
  <si>
    <t>Solis-Silva, Perla</t>
  </si>
  <si>
    <t>Cherenfant, Guilene</t>
  </si>
  <si>
    <t>Pettit, Stephanie</t>
  </si>
  <si>
    <t>Lupo, Mindy</t>
  </si>
  <si>
    <t>Smith, Rebecca</t>
  </si>
  <si>
    <t>Lee, Thomas</t>
  </si>
  <si>
    <t>Nataneli, Rachel</t>
  </si>
  <si>
    <t>Chua, Janice</t>
  </si>
  <si>
    <t>Velez, Cristina</t>
  </si>
  <si>
    <t>Solivan, Jackeline</t>
  </si>
  <si>
    <t>Catuira, Rochelle</t>
  </si>
  <si>
    <t>Giles, Debra</t>
  </si>
  <si>
    <t>Leipziger, Amy</t>
  </si>
  <si>
    <t>Carter, Corinthia</t>
  </si>
  <si>
    <t>Douglas, Tanya</t>
  </si>
  <si>
    <t>Maltezos, Alexander</t>
  </si>
  <si>
    <t>Sandoval, Sandra</t>
  </si>
  <si>
    <t>Figaro, Nakesha</t>
  </si>
  <si>
    <t>Baptiste, Sharon</t>
  </si>
  <si>
    <t>Spencer, Amelia</t>
  </si>
  <si>
    <t>Rookwood, Shardae</t>
  </si>
  <si>
    <t>Pacheco, Joe</t>
  </si>
  <si>
    <t>Cardenas, Lizeth</t>
  </si>
  <si>
    <t>Ansari, Saif</t>
  </si>
  <si>
    <t>McHugh Mills, Maura</t>
  </si>
  <si>
    <t>Lambert, Tara</t>
  </si>
  <si>
    <t>Goldman, Caitlin</t>
  </si>
  <si>
    <t>Serra, Natalie</t>
  </si>
  <si>
    <t>Honan, Thomas</t>
  </si>
  <si>
    <t>Granfield, Rachel</t>
  </si>
  <si>
    <t>Salcedo, Luciris</t>
  </si>
  <si>
    <t>Castro, Cristina</t>
  </si>
  <si>
    <t>Chalas, Mayra</t>
  </si>
  <si>
    <t>Purcell, Emily</t>
  </si>
  <si>
    <t>Denzer-Torres, Pamela</t>
  </si>
  <si>
    <t>Sahai, Chelsea</t>
  </si>
  <si>
    <t>Hardy, Le`Shera</t>
  </si>
  <si>
    <t>Landry-Reyes, Jane</t>
  </si>
  <si>
    <t>Diamanti, Anna Maria</t>
  </si>
  <si>
    <t>Eugenio, Rosanna</t>
  </si>
  <si>
    <t>Flores, Irene</t>
  </si>
  <si>
    <t>Roman, Melissa</t>
  </si>
  <si>
    <t>Smith, Sara</t>
  </si>
  <si>
    <t>Khan, Sofia</t>
  </si>
  <si>
    <t>Encarnacion-Badru, Bea</t>
  </si>
  <si>
    <t>Baldwin, Sarah</t>
  </si>
  <si>
    <t>Cruz Pearson, Elsa</t>
  </si>
  <si>
    <t>Santana, Bridgette</t>
  </si>
  <si>
    <t>Schiff, Logan</t>
  </si>
  <si>
    <t>St. Louis, Bianca</t>
  </si>
  <si>
    <t>Drumm, Kristen</t>
  </si>
  <si>
    <t>Rubin, Jenn</t>
  </si>
  <si>
    <t>Serra, Carolina</t>
  </si>
  <si>
    <t>Kelly, Dawn</t>
  </si>
  <si>
    <t>Molnar, Shandanette</t>
  </si>
  <si>
    <t>Deolarte, Stephanie</t>
  </si>
  <si>
    <t>Mancias, Fernando</t>
  </si>
  <si>
    <t>Nunez, Crystal</t>
  </si>
  <si>
    <t>Kelly, Kitanya</t>
  </si>
  <si>
    <t>Marder, Samantha</t>
  </si>
  <si>
    <t>Evers, Erin</t>
  </si>
  <si>
    <t>Umoke, Jacob</t>
  </si>
  <si>
    <t>Garland, Shelby</t>
  </si>
  <si>
    <t>Guillaume, Naura</t>
  </si>
  <si>
    <t>Lowery, Liam</t>
  </si>
  <si>
    <t>Dranoff, Sarah</t>
  </si>
  <si>
    <t>Medina Mendez, Lino</t>
  </si>
  <si>
    <t>Alexis, Jennifer</t>
  </si>
  <si>
    <t>Barkley, Daniel</t>
  </si>
  <si>
    <t>McLinn, Heather</t>
  </si>
  <si>
    <t>Sinton, Jennifer</t>
  </si>
  <si>
    <t>Siegel, Jill</t>
  </si>
  <si>
    <t>Haynes, Tralane</t>
  </si>
  <si>
    <t>Kook, Heejung</t>
  </si>
  <si>
    <t>Delgadillo, Omar</t>
  </si>
  <si>
    <t>Betances, Gabriella</t>
  </si>
  <si>
    <t>Castillo, Angel</t>
  </si>
  <si>
    <t>James, Natalie</t>
  </si>
  <si>
    <t>Scott, Carol</t>
  </si>
  <si>
    <t>Carwin, Mikailla</t>
  </si>
  <si>
    <t>Baez, Jeaneshia</t>
  </si>
  <si>
    <t>Schuckit, Leah</t>
  </si>
  <si>
    <t>Edwards, Patrice</t>
  </si>
  <si>
    <t>Basu, Shantonu</t>
  </si>
  <si>
    <t>Marsland, Martha</t>
  </si>
  <si>
    <t>Carrillo, Sami</t>
  </si>
  <si>
    <t>Ramroop, Nikki</t>
  </si>
  <si>
    <t>Sanderman, Robert</t>
  </si>
  <si>
    <t>Mar, Nelson</t>
  </si>
  <si>
    <t>Almanzar, Milagros</t>
  </si>
  <si>
    <t>Nilsson, Erik</t>
  </si>
  <si>
    <t>Diaz, Sharon</t>
  </si>
  <si>
    <t>Garcia, Alexandra</t>
  </si>
  <si>
    <t>Agarwala, Shelly</t>
  </si>
  <si>
    <t>Tomer, Katrina</t>
  </si>
  <si>
    <t>Pathiyil, Neelu</t>
  </si>
  <si>
    <t>Rivera, Brenda</t>
  </si>
  <si>
    <t>Laffer, Tara</t>
  </si>
  <si>
    <t>Brand, Holdyn</t>
  </si>
  <si>
    <t>Kellogg, Martha</t>
  </si>
  <si>
    <t>Mencher, Jessica</t>
  </si>
  <si>
    <t>Ortiz, Matthew</t>
  </si>
  <si>
    <t>Gonzalez, Matias</t>
  </si>
  <si>
    <t>Jackson, Chavette</t>
  </si>
  <si>
    <t>Josephson, Edward</t>
  </si>
  <si>
    <t>Bernardez, Florencita</t>
  </si>
  <si>
    <t>Roussos, Katie</t>
  </si>
  <si>
    <t>Norton, Carolyn</t>
  </si>
  <si>
    <t>Faliks, Sarah</t>
  </si>
  <si>
    <t>Chen, Alan</t>
  </si>
  <si>
    <t>Labossiere, Samantha</t>
  </si>
  <si>
    <t>Mercedes, Jannelys</t>
  </si>
  <si>
    <t>Sumerall, Iesha</t>
  </si>
  <si>
    <t>Leroux, Paul</t>
  </si>
  <si>
    <t>De Silva, Natasia</t>
  </si>
  <si>
    <t>Alajbegovic, Andrea</t>
  </si>
  <si>
    <t>Dias, Marika</t>
  </si>
  <si>
    <t>Espinal, Wendy</t>
  </si>
  <si>
    <t>Rubin, Pearl</t>
  </si>
  <si>
    <t>Martinez, Renee</t>
  </si>
  <si>
    <t>Banks, Melissa</t>
  </si>
  <si>
    <t>Smith-Menjivar, Eleise</t>
  </si>
  <si>
    <t>Clifford, Mun</t>
  </si>
  <si>
    <t>Reardon, Elizabeth</t>
  </si>
  <si>
    <t>Staton, Betty</t>
  </si>
  <si>
    <t>Garcia, Keiannis</t>
  </si>
  <si>
    <t>Kraner, Natalie</t>
  </si>
  <si>
    <t>Islam, Tasnim</t>
  </si>
  <si>
    <t>Benitez, Vicenta</t>
  </si>
  <si>
    <t>3401 DFTA - Services Program for the Elderly</t>
  </si>
  <si>
    <t>5138 NYCT-Barriers to Employment</t>
  </si>
  <si>
    <t>3020 CLS-Civil Legal Services</t>
  </si>
  <si>
    <t>5243 Bankruptcy Project New</t>
  </si>
  <si>
    <t>3003 NYC MOCJ - FJC Immigration Services</t>
  </si>
  <si>
    <t>3458 Immigrant Opportunities Initiative (IOI)</t>
  </si>
  <si>
    <t>3018 Tenant Rights Coalition (TRC)</t>
  </si>
  <si>
    <t>3122 Universal Access to Counsel – (UAC)</t>
  </si>
  <si>
    <t>2175 OVS-Crime Victims Board</t>
  </si>
  <si>
    <t>5556 Robin Hood-Foreclosure and Housing</t>
  </si>
  <si>
    <t>3111 HPLP-Homelessness Prevention Law Project</t>
  </si>
  <si>
    <t>3125 Universal Access to Counsel – (UAC)</t>
  </si>
  <si>
    <t>2065 DAP-Disability Advocacy</t>
  </si>
  <si>
    <t>5221 SSUSA-Single Stop USA</t>
  </si>
  <si>
    <t>2094 AG-HOPP-CNYCN</t>
  </si>
  <si>
    <t>2202 DCJS-DV</t>
  </si>
  <si>
    <t>1418 HUD Fair Housing PEI</t>
  </si>
  <si>
    <t>2090 OAG/HOPP</t>
  </si>
  <si>
    <t>2171 NYS Dept. of Health- HHS for LGBT Individuals, Families &amp; Communities</t>
  </si>
  <si>
    <t>2053 DCJS/ Education (Titone)</t>
  </si>
  <si>
    <t>3112 HPLP-Homelessness Prevention Law Project</t>
  </si>
  <si>
    <t>3474 IOI Employment</t>
  </si>
  <si>
    <t>3114 HRA-HPLP-Homelessness Prevention Law Project</t>
  </si>
  <si>
    <t>3121 Universal Access to Counsel – (UAC)</t>
  </si>
  <si>
    <t>3455 DYCD-NDA- Neighborhood Development Area</t>
  </si>
  <si>
    <t>2556 VOCA Victim Assistance Program:Attorney Services</t>
  </si>
  <si>
    <t>2203 DCJS-Domestic Violence</t>
  </si>
  <si>
    <t>2157 OCA-City-wide Civil Legal Services Grant</t>
  </si>
  <si>
    <t>1203 LITC-Low Income Tax Payers Clinic</t>
  </si>
  <si>
    <t>3459 Immigrant Opportunities Initiative (IOI) #2 ("IOI 2")</t>
  </si>
  <si>
    <t>1304 VAWA-Legal Assistance for Victims QLS</t>
  </si>
  <si>
    <t>5227 RH VJP (Veterans Justice Project)</t>
  </si>
  <si>
    <t>2016 DCJS-Income Maintenance- Government Benefits &amp; Family Law</t>
  </si>
  <si>
    <t>3402 DFTA-Services Program for Elderly</t>
  </si>
  <si>
    <t>2093 AG-HOPP-CNYCN</t>
  </si>
  <si>
    <t>3473 IOI 3-Immigrant Youth</t>
  </si>
  <si>
    <t>3403 DFTA - Assigned Counsel Project</t>
  </si>
  <si>
    <t>4322 NY Presbyterian Hospital (VOCA)</t>
  </si>
  <si>
    <t>4100 IOLA - General</t>
  </si>
  <si>
    <t>2557 VOCA Victim assistance Program # 3</t>
  </si>
  <si>
    <t>4235 Hunger Solutions of New York (NOEP) Grant</t>
  </si>
  <si>
    <t>3306 Anti-Eviction and SRO Legal Services (formerly known as “HPD” Contracts)</t>
  </si>
  <si>
    <t>1202 LITC-Low Income Tax Payers Clinic</t>
  </si>
  <si>
    <t>4252 HELP USA NY Supportive Services for Veteran Families</t>
  </si>
  <si>
    <t>4000 LSC - Basic Grant</t>
  </si>
  <si>
    <t>4305 Safe Horizon Domestic Violence Empowerment (DoVE)</t>
  </si>
  <si>
    <t>3019 NYC HRA Veterans Justice Project (VJP)</t>
  </si>
  <si>
    <t>3168 NY City Council (Perkins)</t>
  </si>
  <si>
    <t>2025 NYC OCFS – Family Violence Prevention Services</t>
  </si>
  <si>
    <t>3124 Universal Access to Counsel – (UAC)</t>
  </si>
  <si>
    <t>3023 Unemployment  Insurance/Disability Benefits (UI-SSI)</t>
  </si>
  <si>
    <t>3113 HPLP-Homelessness Prevention Law Project</t>
  </si>
  <si>
    <t>4307 Safe Horizon Inc. - Domestic Violence Empowerment</t>
  </si>
  <si>
    <t>9104 Donations-Immigration and Family Unit</t>
  </si>
  <si>
    <t>4301 Public Health Solutions</t>
  </si>
  <si>
    <t>3004 NYC MOCJ-FJC-Family Legal Services</t>
  </si>
  <si>
    <t>4306 DOVE/Safe Horizon</t>
  </si>
  <si>
    <t>1301 VAWA-Legal Assistance for Victims</t>
  </si>
  <si>
    <t>3123 Universal Access to Counsel – (UAC)</t>
  </si>
  <si>
    <t>3115 HPLP-Homelessness Prevention Law Project</t>
  </si>
  <si>
    <t>1204 LITC-Low Income Tax Payers Clinic</t>
  </si>
  <si>
    <t>5191 HARC – Helping at risk communities  initiative</t>
  </si>
  <si>
    <t>5270 H. Van Ameringen Foundation</t>
  </si>
  <si>
    <t>4302 PHS- ADV-Client Advocacy</t>
  </si>
  <si>
    <t>4308 Safe Horizons Domestic Violence Empowerment</t>
  </si>
  <si>
    <t>2551 VOCA Grant Program QLS</t>
  </si>
  <si>
    <t>1000 Pension Counseling and Information</t>
  </si>
  <si>
    <t>3011 TRC FJC Initiative</t>
  </si>
  <si>
    <t>1306 VAWA-Legal Assistance for Victims</t>
  </si>
  <si>
    <t>2201 Immigrant Students Connect</t>
  </si>
  <si>
    <t>3116 HRA Immigration - CSBG</t>
  </si>
  <si>
    <t>3457 DYCD-NDA- Neighborhood Development Area</t>
  </si>
  <si>
    <t>4309 DoVE-Domestic Violence Empowerment</t>
  </si>
  <si>
    <t>5442 Center for NYC Neighborhoods-Foreclosure Prevention</t>
  </si>
  <si>
    <t>3471 Start Up NYC</t>
  </si>
  <si>
    <t>3117 Legal Services for Immigrants via Community Service Block Grant</t>
  </si>
  <si>
    <t>2091 AG-HOPP-CNYCN</t>
  </si>
  <si>
    <t>1307 VAWA-Legal Assistance for Victims</t>
  </si>
  <si>
    <t>5510 CB9 Manhattanville-West Harlem Tenant Advocacy Project</t>
  </si>
  <si>
    <t>2555 VOCA Grant Program</t>
  </si>
  <si>
    <t>3118 Maximizing Access to Federal Disability Benefits Program</t>
  </si>
  <si>
    <t>3311 Anti-Eviction and SRO Legal Services (formerly "HPD")</t>
  </si>
  <si>
    <t>3119 Maximizing Access to Federal Disability Benefits Program Region II</t>
  </si>
  <si>
    <t>2552 VOCA Grant Program</t>
  </si>
  <si>
    <t>3026 NYC HRA Veterans Justice Project (VJP) #2 (aka HRA VJP #2)</t>
  </si>
  <si>
    <t>2558 VOCA Victim Assistance Program: Attorney Services</t>
  </si>
  <si>
    <t>2037 STOP Violence Against Women (VAWA)</t>
  </si>
  <si>
    <t>5140 NYCT New Citizen</t>
  </si>
  <si>
    <t>4300 Shalom Task Force LAV</t>
  </si>
  <si>
    <t>3175 NY City Council Diana Ayala</t>
  </si>
  <si>
    <t>3152 City Council - Viverito</t>
  </si>
  <si>
    <t>5059 Skadden Fellow/LGBTQ work</t>
  </si>
  <si>
    <t>4037 Military Mondays/Leveraging Corporations</t>
  </si>
  <si>
    <t>2405 Veterans Justice Project</t>
  </si>
  <si>
    <t>2205 DCJS – Education &amp; Outreach</t>
  </si>
  <si>
    <t>5245 Gimbel Foundation</t>
  </si>
  <si>
    <t>2208 Division of Criminal Justice Services  (DCJS) Lanza</t>
  </si>
  <si>
    <t>4103 Bank Settlement Grant (Foreclosure &amp; CED)</t>
  </si>
  <si>
    <t>5437 CNYCN - Foreclosure</t>
  </si>
  <si>
    <t>3312 Housing Preservation Initiative (HPI)</t>
  </si>
  <si>
    <t>1303 VAWA-Legal Assistance for Victims</t>
  </si>
  <si>
    <t>2036 DCJS-Domestic Violence Legislative Grant</t>
  </si>
  <si>
    <t>2406 NYS DOS Veterans Justice Project #2</t>
  </si>
  <si>
    <t>2554 VOCA Case Manager</t>
  </si>
  <si>
    <t>1000 Pension Counseling and Information, 5227 RH VJP (Veterans Justice Project)</t>
  </si>
  <si>
    <t>60-69 Housing</t>
  </si>
  <si>
    <t>20-29 Employment</t>
  </si>
  <si>
    <t>70-79 Income Maintenance</t>
  </si>
  <si>
    <t>01-09 Consumer</t>
  </si>
  <si>
    <t>80-89 Individual Rights</t>
  </si>
  <si>
    <t>30-39 Family</t>
  </si>
  <si>
    <t>10-19 Education</t>
  </si>
  <si>
    <t>90-99 Misc</t>
  </si>
  <si>
    <t>50-59 Health</t>
  </si>
  <si>
    <t>40-49 Juvenile</t>
  </si>
  <si>
    <t>68 Mortgage Predatory Lending/Practices</t>
  </si>
  <si>
    <t>29 Other Employment</t>
  </si>
  <si>
    <t>71 TANF</t>
  </si>
  <si>
    <t>01 Bankruptcy/Debtor Relief</t>
  </si>
  <si>
    <t>81 Immigration/Naturalization</t>
  </si>
  <si>
    <t>66 Housing Discrimination</t>
  </si>
  <si>
    <t>63 Private Landlord/Tenant</t>
  </si>
  <si>
    <t>37 Domestic Abuse</t>
  </si>
  <si>
    <t>64 Public Housing</t>
  </si>
  <si>
    <t>74 SSDI</t>
  </si>
  <si>
    <t>67 Mortgage Foreclosures (Not Predatory Lending/Practices)</t>
  </si>
  <si>
    <t>38 Support</t>
  </si>
  <si>
    <t>39 Other Family</t>
  </si>
  <si>
    <t>13 Special Education/Learning Disabilities</t>
  </si>
  <si>
    <t>76 Unemployment Compensation</t>
  </si>
  <si>
    <t>61 Federally Subsidized Housing</t>
  </si>
  <si>
    <t>32 Divorce/Sep./Annul.</t>
  </si>
  <si>
    <t>79 Other Income Maintenence</t>
  </si>
  <si>
    <t>31 Custody/Visitation</t>
  </si>
  <si>
    <t>24 Taxes (Not EITC)</t>
  </si>
  <si>
    <t>21 Employment Discrimination</t>
  </si>
  <si>
    <t>75 SSI</t>
  </si>
  <si>
    <t>25 Employee Rights</t>
  </si>
  <si>
    <t>33 Adult Guardianship / Conservatorship</t>
  </si>
  <si>
    <t>02 Collect/Repo/Def/Garnsh</t>
  </si>
  <si>
    <t>34 Name Change</t>
  </si>
  <si>
    <t>85 Civil Rights</t>
  </si>
  <si>
    <t>73 Food Stamps</t>
  </si>
  <si>
    <t>95 Wills and Estates</t>
  </si>
  <si>
    <t>23 EITC (Earned Income Tax Credit)</t>
  </si>
  <si>
    <t>51 Medicaid</t>
  </si>
  <si>
    <t>84 Disability Rights</t>
  </si>
  <si>
    <t>69 Other Housing</t>
  </si>
  <si>
    <t>96 Advanced Directives/Powers of Attorney</t>
  </si>
  <si>
    <t>42 Neglected/Abused/Dependent</t>
  </si>
  <si>
    <t>94 Torts</t>
  </si>
  <si>
    <t>07 Public Utilities</t>
  </si>
  <si>
    <t>78 State and Local Income Maintenance</t>
  </si>
  <si>
    <t>54 Home and Community Based Care</t>
  </si>
  <si>
    <t>36 Paternity</t>
  </si>
  <si>
    <t>22 Wage Claims and Other FLSA Issues</t>
  </si>
  <si>
    <t>72 Social Security (Not SSDI)</t>
  </si>
  <si>
    <t>19 Other Education</t>
  </si>
  <si>
    <t>99 Other Miscellaneous</t>
  </si>
  <si>
    <t>77 Veterans Benefits</t>
  </si>
  <si>
    <t>44 Minor Guardianship / Conservatorship</t>
  </si>
  <si>
    <t>09 Other Consumer/Finance</t>
  </si>
  <si>
    <t>62 Homeownership/Real Property (Not Foreclosure)</t>
  </si>
  <si>
    <t>93 Licenses (Drivers, Occupational, and Others)</t>
  </si>
  <si>
    <t>52 Medicare</t>
  </si>
  <si>
    <t>89 Other Individual Rights</t>
  </si>
  <si>
    <t>57 State and Local Health</t>
  </si>
  <si>
    <t>06 Loans/Installment Purchases (Not Collections)</t>
  </si>
  <si>
    <t>97 Municipal Legal Needs</t>
  </si>
  <si>
    <t>16 Student Financial Aid</t>
  </si>
  <si>
    <t>55 Private Health Insurance</t>
  </si>
  <si>
    <t>59 Other Health</t>
  </si>
  <si>
    <t>03 Contract/Warranties</t>
  </si>
  <si>
    <t>12 Discipline (Including Expulsion and Suspension)</t>
  </si>
  <si>
    <t>91 Legal Assist. to Non-Profit Org. or Group (Incl. Incorp./Diss.)</t>
  </si>
  <si>
    <t>14 Access (Including Bilingual, Residency, Testing)</t>
  </si>
  <si>
    <t>White (Not Hispanic)</t>
  </si>
  <si>
    <t>Hispanic</t>
  </si>
  <si>
    <t>Prefer Not To Say</t>
  </si>
  <si>
    <t>Latina/o</t>
  </si>
  <si>
    <t>Black/African American/African Descent</t>
  </si>
  <si>
    <t>Self-Identified/Other</t>
  </si>
  <si>
    <t>Native American/American Indian</t>
  </si>
  <si>
    <t>Asian or Pacific Islander</t>
  </si>
  <si>
    <t>South Asian</t>
  </si>
  <si>
    <t>A - Counsel and Advice</t>
  </si>
  <si>
    <t>B - Limited Action (Brief Service)</t>
  </si>
  <si>
    <t>G - Negotiated Settlement with Litigation</t>
  </si>
  <si>
    <t>F - Negotiated Settlement w/out Litigation</t>
  </si>
  <si>
    <t>H - Administrative Agency Decision</t>
  </si>
  <si>
    <t>L - Extensive Service (not resulting in Settlement of Court or Administrative Action)</t>
  </si>
  <si>
    <t>IB - Contested Court Decision</t>
  </si>
  <si>
    <t>IA - Uncontested Court Decision</t>
  </si>
  <si>
    <t>Yes</t>
  </si>
  <si>
    <t>No</t>
  </si>
  <si>
    <t>Female</t>
  </si>
  <si>
    <t>Male</t>
  </si>
  <si>
    <t>Something Else</t>
  </si>
  <si>
    <t>Victim/Survivor of battery,extreme cruelty,or sexual assault (including domestic / family / intimate partner violence)</t>
  </si>
  <si>
    <t>Lawful Permanent Resident (LPR)</t>
  </si>
  <si>
    <t>Victim of Criminal Activity (eligible for U Visa)</t>
  </si>
  <si>
    <t>Married to US Citizen-with pending or approved adjustment of status (greencard) application</t>
  </si>
  <si>
    <t>Asylee</t>
  </si>
  <si>
    <t>Parent of US Citizen with a pending or approved adjustment of status (greencard) application</t>
  </si>
  <si>
    <t>Parent of minor victim / survivor of battery, extreme cruelty, or sexual assault (incluing domestic / intimate partner violence)</t>
  </si>
  <si>
    <t>Spouse or children of victim of trafficking</t>
  </si>
  <si>
    <t>Unmarried child under 21 of a US Citizen with a pending or approved adjustment of status (greencard) application</t>
  </si>
  <si>
    <t>Spouse or children of victim of criminal activity/U Visa eligible applicant</t>
  </si>
  <si>
    <t>Parent of victim of criminal activity (eligible for U Visa)- (victim must be under 21)</t>
  </si>
  <si>
    <t>Unmarried siblings under 18 of victim of criminal activity (eligible for U Visa) (victim must be under 21)</t>
  </si>
  <si>
    <t>Not Eligible</t>
  </si>
  <si>
    <t>Victim of Trafficking  (18 and over)</t>
  </si>
  <si>
    <t>Granted Suspension of  Deportation/Witholding of Removal</t>
  </si>
  <si>
    <t>Victim of Trafficking (under 18)</t>
  </si>
  <si>
    <t>Citizen</t>
  </si>
  <si>
    <t>Non-Citizen</t>
  </si>
  <si>
    <t>Foreclosure</t>
  </si>
  <si>
    <t>Support Staff</t>
  </si>
  <si>
    <t>Housing</t>
  </si>
  <si>
    <t>Consumer/Bankruptcy</t>
  </si>
  <si>
    <t>Immigration/Citizenship/Language Access</t>
  </si>
  <si>
    <t>Family (DV)</t>
  </si>
  <si>
    <t>Disability Advocacy</t>
  </si>
  <si>
    <t>Management/General</t>
  </si>
  <si>
    <t>HIV/AIDS</t>
  </si>
  <si>
    <t>Elder Services</t>
  </si>
  <si>
    <t>Tax/LITC</t>
  </si>
  <si>
    <t>LSNYC Access Line</t>
  </si>
  <si>
    <t>Pro Bono</t>
  </si>
  <si>
    <t>Food Stamps</t>
  </si>
  <si>
    <t>Income Maintenance</t>
  </si>
  <si>
    <t>Family (non DV)</t>
  </si>
  <si>
    <t>Unemployment/Employment</t>
  </si>
  <si>
    <t>Education</t>
  </si>
  <si>
    <t>Pension Counseling</t>
  </si>
  <si>
    <t>Community and Economic Development</t>
  </si>
  <si>
    <t>Government Benefits</t>
  </si>
  <si>
    <t>Health</t>
  </si>
  <si>
    <t>Unable to determine</t>
  </si>
  <si>
    <t>NY - Congressional District 11</t>
  </si>
  <si>
    <t>NY - Congressional District 15</t>
  </si>
  <si>
    <t>NY - Congressional District 14</t>
  </si>
  <si>
    <t>NY - Congressional District 7</t>
  </si>
  <si>
    <t>NY - Congressional District 13</t>
  </si>
  <si>
    <t>NY - Congressional District 9</t>
  </si>
  <si>
    <t>NY - Congressional District 8</t>
  </si>
  <si>
    <t>NY - Congressional District 6</t>
  </si>
  <si>
    <t>NY - Congressional District 12</t>
  </si>
  <si>
    <t>NY - Congressional District 5</t>
  </si>
  <si>
    <t>NY - Congressional District 16</t>
  </si>
  <si>
    <t>NY - Congressional District 10</t>
  </si>
  <si>
    <t>NY - Congressional District 3</t>
  </si>
  <si>
    <t>NY - Congressional District 17</t>
  </si>
  <si>
    <t>NY - Congressional District 1</t>
  </si>
  <si>
    <t>NY - Congressional District 19</t>
  </si>
  <si>
    <t>NY - Congressional District 2</t>
  </si>
  <si>
    <t>NY - Congressional District 4</t>
  </si>
  <si>
    <t>NY - Congressional District 18</t>
  </si>
  <si>
    <t>NY - Congressional District 22</t>
  </si>
  <si>
    <t>NY - Congressional District 24</t>
  </si>
  <si>
    <t>NY - Congressional District 27</t>
  </si>
  <si>
    <t>NY - Congressional District 20</t>
  </si>
  <si>
    <t>NY - Assembly District 62</t>
  </si>
  <si>
    <t>NY - Assembly District 78</t>
  </si>
  <si>
    <t>NY - Assembly District 87</t>
  </si>
  <si>
    <t>NY - Assembly District 34</t>
  </si>
  <si>
    <t>NY - Assembly District 74</t>
  </si>
  <si>
    <t>NY - Assembly District 82</t>
  </si>
  <si>
    <t>NY - Assembly District 43</t>
  </si>
  <si>
    <t>NY - Assembly District 61</t>
  </si>
  <si>
    <t>NY - Assembly District 56</t>
  </si>
  <si>
    <t>NY - Assembly District 64</t>
  </si>
  <si>
    <t>NY - Assembly District 35</t>
  </si>
  <si>
    <t>NY - Assembly District 52</t>
  </si>
  <si>
    <t>NY - Assembly District 79</t>
  </si>
  <si>
    <t>NY - Assembly District 81</t>
  </si>
  <si>
    <t>NY - Assembly District 54</t>
  </si>
  <si>
    <t>NY - Assembly District 51</t>
  </si>
  <si>
    <t>NY - Assembly District 55</t>
  </si>
  <si>
    <t>NY - Assembly District 57</t>
  </si>
  <si>
    <t>NY - Assembly District 84</t>
  </si>
  <si>
    <t>NY - Assembly District 58</t>
  </si>
  <si>
    <t>NY - Assembly District 68</t>
  </si>
  <si>
    <t>NY - Assembly District 40</t>
  </si>
  <si>
    <t>NY - Assembly District 63</t>
  </si>
  <si>
    <t>NY - Assembly District 77</t>
  </si>
  <si>
    <t>NY - Assembly District 31</t>
  </si>
  <si>
    <t>NY - Assembly District 86</t>
  </si>
  <si>
    <t>NY - Assembly District 42</t>
  </si>
  <si>
    <t>NY - Assembly District 91</t>
  </si>
  <si>
    <t>NY - Assembly District 25</t>
  </si>
  <si>
    <t>NY - Assembly District 30</t>
  </si>
  <si>
    <t>NY - Assembly District 70</t>
  </si>
  <si>
    <t>NY - Assembly District 72</t>
  </si>
  <si>
    <t>NY - Assembly District 80</t>
  </si>
  <si>
    <t>NY - Assembly District 50</t>
  </si>
  <si>
    <t>NY - Assembly District 33</t>
  </si>
  <si>
    <t>NY - Assembly District 44</t>
  </si>
  <si>
    <t>NY - Assembly District 53</t>
  </si>
  <si>
    <t>NY - Assembly District 71</t>
  </si>
  <si>
    <t>NY - Assembly District 24</t>
  </si>
  <si>
    <t>NY - Assembly District 38</t>
  </si>
  <si>
    <t>NY - Assembly District 60</t>
  </si>
  <si>
    <t>NY - Assembly District 48</t>
  </si>
  <si>
    <t>NY - Assembly District 26</t>
  </si>
  <si>
    <t>NY - Assembly District 39</t>
  </si>
  <si>
    <t>NY - Assembly District 66</t>
  </si>
  <si>
    <t>NY - Assembly District 32</t>
  </si>
  <si>
    <t>NY - Assembly District 28</t>
  </si>
  <si>
    <t>NY - Assembly District 69</t>
  </si>
  <si>
    <t>NY - Assembly District 36</t>
  </si>
  <si>
    <t>NY - Assembly District 29</t>
  </si>
  <si>
    <t>NY - Assembly District 83</t>
  </si>
  <si>
    <t>NY - Assembly District 41</t>
  </si>
  <si>
    <t>NY - Assembly District 23</t>
  </si>
  <si>
    <t>NY - Assembly District 59</t>
  </si>
  <si>
    <t>NY - Assembly District 46</t>
  </si>
  <si>
    <t>NY - Assembly District 37</t>
  </si>
  <si>
    <t>NY - Assembly District 27</t>
  </si>
  <si>
    <t>NY - Assembly District 65</t>
  </si>
  <si>
    <t>NY - Assembly District 67</t>
  </si>
  <si>
    <t>NY - Assembly District 45</t>
  </si>
  <si>
    <t>NY - Assembly District 75</t>
  </si>
  <si>
    <t>NY - Assembly District 22</t>
  </si>
  <si>
    <t>NY - Assembly District 85</t>
  </si>
  <si>
    <t>NY - Assembly District 47</t>
  </si>
  <si>
    <t>NY - Assembly District 73</t>
  </si>
  <si>
    <t>NY - Assembly District 76</t>
  </si>
  <si>
    <t>NY - Assembly District 97</t>
  </si>
  <si>
    <t>NY - Assembly District 4</t>
  </si>
  <si>
    <t>NY - Assembly District 49</t>
  </si>
  <si>
    <t>NY - Assembly District 103</t>
  </si>
  <si>
    <t>NY - Assembly District 7</t>
  </si>
  <si>
    <t>NY - Assembly District 1</t>
  </si>
  <si>
    <t>NY - Assembly District 18</t>
  </si>
  <si>
    <t>NY - Assembly District 100</t>
  </si>
  <si>
    <t>NY - Assembly District 17</t>
  </si>
  <si>
    <t>NY - Assembly District 123</t>
  </si>
  <si>
    <t>NY - Assembly District 2</t>
  </si>
  <si>
    <t>NY - Assembly District 88</t>
  </si>
  <si>
    <t>NY - Assembly District 13</t>
  </si>
  <si>
    <t>NY - Assembly District 92</t>
  </si>
  <si>
    <t>NY - Assembly District 128</t>
  </si>
  <si>
    <t>NY - Assembly District 90</t>
  </si>
  <si>
    <t>NY - Assembly District 89</t>
  </si>
  <si>
    <t>NY - Assembly District 104</t>
  </si>
  <si>
    <t>NY - Assembly District 94</t>
  </si>
  <si>
    <t>NY - Assembly District 11</t>
  </si>
  <si>
    <t>NY - Assembly District 96</t>
  </si>
  <si>
    <t>NY - Assembly District 139</t>
  </si>
  <si>
    <t>NY - Assembly District 19</t>
  </si>
  <si>
    <t>NY - Assembly District 112</t>
  </si>
  <si>
    <t>NY - Assembly District 20</t>
  </si>
  <si>
    <t>NY - Assembly District 110</t>
  </si>
  <si>
    <t>NY - Assembly District 111</t>
  </si>
  <si>
    <t>NY - State Senate District 24</t>
  </si>
  <si>
    <t>NY - State Senate District 33</t>
  </si>
  <si>
    <t>NY - State Senate District 32</t>
  </si>
  <si>
    <t>NY - State Senate District 34</t>
  </si>
  <si>
    <t>NY - State Senate District 12</t>
  </si>
  <si>
    <t>NY - State Senate District 26</t>
  </si>
  <si>
    <t>NY - State Senate District 20</t>
  </si>
  <si>
    <t>NY - State Senate District 23</t>
  </si>
  <si>
    <t>NY - State Senate District 25</t>
  </si>
  <si>
    <t>NY - State Senate District 21</t>
  </si>
  <si>
    <t>NY - State Senate District 16</t>
  </si>
  <si>
    <t>NY - State Senate District 36</t>
  </si>
  <si>
    <t>NY - State Senate District 18</t>
  </si>
  <si>
    <t>NY - State Senate District 19</t>
  </si>
  <si>
    <t>NY - State Senate District 29</t>
  </si>
  <si>
    <t>NY - State Senate District 13</t>
  </si>
  <si>
    <t>NY - State Senate District 17</t>
  </si>
  <si>
    <t>NY - State Senate District 30</t>
  </si>
  <si>
    <t>NY - State Senate District 10</t>
  </si>
  <si>
    <t>NY - State Senate District 37</t>
  </si>
  <si>
    <t>NY - State Senate District 31</t>
  </si>
  <si>
    <t>NY - State Senate District 14</t>
  </si>
  <si>
    <t>NY - State Senate District 27</t>
  </si>
  <si>
    <t>NY - State Senate District 11</t>
  </si>
  <si>
    <t>NY - State Senate District 22</t>
  </si>
  <si>
    <t>NY - State Senate District 15</t>
  </si>
  <si>
    <t>NY - State Senate District 9</t>
  </si>
  <si>
    <t>NY - State Senate District 28</t>
  </si>
  <si>
    <t>NY - State Senate District 38</t>
  </si>
  <si>
    <t>NY - State Senate District 2</t>
  </si>
  <si>
    <t>NY - State Senate District 46</t>
  </si>
  <si>
    <t>NY - State Senate District 4</t>
  </si>
  <si>
    <t>NY - State Senate District 1</t>
  </si>
  <si>
    <t>NY - State Senate District 6</t>
  </si>
  <si>
    <t>NY - State Senate District 42</t>
  </si>
  <si>
    <t>NY - State Senate District 52</t>
  </si>
  <si>
    <t>NY - State Senate District 7</t>
  </si>
  <si>
    <t>NY - State Senate District 35</t>
  </si>
  <si>
    <t>NY - State Senate District 5</t>
  </si>
  <si>
    <t>NY - State Senate District 40</t>
  </si>
  <si>
    <t>NY - State Senate District 50</t>
  </si>
  <si>
    <t>NY - State Senate District 41</t>
  </si>
  <si>
    <t>NY - State Senate District 61</t>
  </si>
  <si>
    <t>NY - State Senate District 43</t>
  </si>
  <si>
    <t>NY - State Senate District 49</t>
  </si>
  <si>
    <t>City Council District 51</t>
  </si>
  <si>
    <t>City Council District 14</t>
  </si>
  <si>
    <t>City Council District 18</t>
  </si>
  <si>
    <t>City Council District 26</t>
  </si>
  <si>
    <t>City Council District 2</t>
  </si>
  <si>
    <t>City Council District 13</t>
  </si>
  <si>
    <t>City Council District 40</t>
  </si>
  <si>
    <t>City Council District 49</t>
  </si>
  <si>
    <t>City Council District 36</t>
  </si>
  <si>
    <t>City Council District 25</t>
  </si>
  <si>
    <t>City Council District 33</t>
  </si>
  <si>
    <t>City Council District 16</t>
  </si>
  <si>
    <t>City Council District 15</t>
  </si>
  <si>
    <t>City Council District 11</t>
  </si>
  <si>
    <t>City Council District 37</t>
  </si>
  <si>
    <t>City Council District 39</t>
  </si>
  <si>
    <t>City Council District 42</t>
  </si>
  <si>
    <t>City Council District 35</t>
  </si>
  <si>
    <t>City Council District 17</t>
  </si>
  <si>
    <t>City Council District 50</t>
  </si>
  <si>
    <t>City Council District 41</t>
  </si>
  <si>
    <t>City Council District 45</t>
  </si>
  <si>
    <t>City Council District 8</t>
  </si>
  <si>
    <t>City Council District 20</t>
  </si>
  <si>
    <t>City Council District 21</t>
  </si>
  <si>
    <t>City Council District 38</t>
  </si>
  <si>
    <t>City Council District 28</t>
  </si>
  <si>
    <t>City Council District 34</t>
  </si>
  <si>
    <t>City Council District 46</t>
  </si>
  <si>
    <t>City Council District 7</t>
  </si>
  <si>
    <t>City Council District 10</t>
  </si>
  <si>
    <t>City Council District 27</t>
  </si>
  <si>
    <t>City Council District 9</t>
  </si>
  <si>
    <t>City Council District 30</t>
  </si>
  <si>
    <t>City Council District 23</t>
  </si>
  <si>
    <t>City Council District 44</t>
  </si>
  <si>
    <t>City Council District 19</t>
  </si>
  <si>
    <t>City Council District 24</t>
  </si>
  <si>
    <t>City Council District 31</t>
  </si>
  <si>
    <t>City Council District 29</t>
  </si>
  <si>
    <t>City Council District 22</t>
  </si>
  <si>
    <t>City Council District 12</t>
  </si>
  <si>
    <t>City Council District 43</t>
  </si>
  <si>
    <t>City Council District 47</t>
  </si>
  <si>
    <t>City Council District 32</t>
  </si>
  <si>
    <t>City Council District 6</t>
  </si>
  <si>
    <t>City Council District 3</t>
  </si>
  <si>
    <t>City Council District 4</t>
  </si>
  <si>
    <t>City Council District 48</t>
  </si>
  <si>
    <t>City Council District 1</t>
  </si>
  <si>
    <t>City Council District 5</t>
  </si>
  <si>
    <t>294 Criminal History</t>
  </si>
  <si>
    <t>I-918</t>
  </si>
  <si>
    <t>N-400</t>
  </si>
  <si>
    <t>067 Build It Back</t>
  </si>
  <si>
    <t>631 Private LL/T Access</t>
  </si>
  <si>
    <t>696 SCRIE</t>
  </si>
  <si>
    <t>633 Private LL/T Evictions</t>
  </si>
  <si>
    <t>393 Other Family</t>
  </si>
  <si>
    <t>Contested Divorce</t>
  </si>
  <si>
    <t>I-912</t>
  </si>
  <si>
    <t>793 Welfare Services</t>
  </si>
  <si>
    <t>323 Divorce with Custody &amp; Abuse</t>
  </si>
  <si>
    <t>213 Disability Discrimination</t>
  </si>
  <si>
    <t>I-485 Defensive</t>
  </si>
  <si>
    <t>I-765</t>
  </si>
  <si>
    <t>011 Chapter 7 Bankruptcy</t>
  </si>
  <si>
    <t>384 Child Support Modification</t>
  </si>
  <si>
    <t>372 Protective Order - Victim</t>
  </si>
  <si>
    <t>339 Guardianship</t>
  </si>
  <si>
    <t>320 Divorce Petitioner</t>
  </si>
  <si>
    <t>760 Unemployment Compensation</t>
  </si>
  <si>
    <t>635 Get out of lease</t>
  </si>
  <si>
    <t>340 Name Change</t>
  </si>
  <si>
    <t>751 SSI Disability</t>
  </si>
  <si>
    <t>Removal Defense</t>
  </si>
  <si>
    <t>632 Private LL/T Repairs</t>
  </si>
  <si>
    <t>510 Medicaid Eligibility</t>
  </si>
  <si>
    <t>381 Spousal Support</t>
  </si>
  <si>
    <t>628 HP Clinic</t>
  </si>
  <si>
    <t>3200 Petitioner (Abuse No Cusotdy No Property)</t>
  </si>
  <si>
    <t>840 Physically Disabled Rights</t>
  </si>
  <si>
    <t>321 Divorce/No Custody, abuse</t>
  </si>
  <si>
    <t>940 Torts</t>
  </si>
  <si>
    <t>311 Custody</t>
  </si>
  <si>
    <t>3202 Petitioner (Abuse with Custody and Property)</t>
  </si>
  <si>
    <t>21-9 Discrimination (Sexual Orientation)</t>
  </si>
  <si>
    <t>I-90</t>
  </si>
  <si>
    <t>754 SSI Cessation</t>
  </si>
  <si>
    <t>693 Other Housing</t>
  </si>
  <si>
    <t>730 Food Stamps/Commod.</t>
  </si>
  <si>
    <t>710 AFDC/Other Welfare</t>
  </si>
  <si>
    <t>614 Section 8 Other</t>
  </si>
  <si>
    <t>329 Divorce Respondent</t>
  </si>
  <si>
    <t>322 Divorce with Custody</t>
  </si>
  <si>
    <t>I-192</t>
  </si>
  <si>
    <t>I-360 VAWA Self-Petition</t>
  </si>
  <si>
    <t>291 Pensions/Benefits</t>
  </si>
  <si>
    <t>I-485 Affirmative</t>
  </si>
  <si>
    <t>327 Uncontested Divorce</t>
  </si>
  <si>
    <t>641 - Public Housing Eviction</t>
  </si>
  <si>
    <t>519 SLMB/Q-1</t>
  </si>
  <si>
    <t>953 Other Estate/Probate</t>
  </si>
  <si>
    <t>6351 Non-renewal of lease</t>
  </si>
  <si>
    <t>613 Section 8 Eviction</t>
  </si>
  <si>
    <t>951 Wills</t>
  </si>
  <si>
    <t>752 SSI Non-Disability</t>
  </si>
  <si>
    <t>D-117</t>
  </si>
  <si>
    <t>382 Child Support Enforcement</t>
  </si>
  <si>
    <t>I-212</t>
  </si>
  <si>
    <t>999 Miscellaneous Other</t>
  </si>
  <si>
    <t>093 Other Consumer Fin.</t>
  </si>
  <si>
    <t>795 Other Income Maintenance</t>
  </si>
  <si>
    <t>29-2 Other Employment</t>
  </si>
  <si>
    <t>I-751</t>
  </si>
  <si>
    <t>N-648</t>
  </si>
  <si>
    <t>I-290B  Motion to Reopen/Reconsider</t>
  </si>
  <si>
    <t>I-130</t>
  </si>
  <si>
    <t>N-336</t>
  </si>
  <si>
    <t>I-864</t>
  </si>
  <si>
    <t>6210 Quiet Title</t>
  </si>
  <si>
    <t>312 Visitation</t>
  </si>
  <si>
    <t>I-601A</t>
  </si>
  <si>
    <t>DS-260</t>
  </si>
  <si>
    <t>I-360 SIJS</t>
  </si>
  <si>
    <t>22-1 Wage/Hour (Minimum Wage)</t>
  </si>
  <si>
    <t>331 Guardianship Adult</t>
  </si>
  <si>
    <t>I-131 Advanced Parole</t>
  </si>
  <si>
    <t>522 Medicare Part B Claim</t>
  </si>
  <si>
    <t>373 Violation of Restraining Order</t>
  </si>
  <si>
    <t>520 Medicare Eligibility</t>
  </si>
  <si>
    <t>371 Domestic Abuse</t>
  </si>
  <si>
    <t>899 Other Civil Rights</t>
  </si>
  <si>
    <t>420 Deprived/Neglected</t>
  </si>
  <si>
    <t>I-918A</t>
  </si>
  <si>
    <t>022 Collection</t>
  </si>
  <si>
    <t>893 Victim Assistance</t>
  </si>
  <si>
    <t>AOS (Not I-130)</t>
  </si>
  <si>
    <t>891 Age Discrimination</t>
  </si>
  <si>
    <t>N-600</t>
  </si>
  <si>
    <t>066 Student Loans</t>
  </si>
  <si>
    <t>992 Other Micellaneous</t>
  </si>
  <si>
    <t>697 DRIE</t>
  </si>
  <si>
    <t>324 Divorce with Violence &amp; Abuse</t>
  </si>
  <si>
    <t>220 Wage/Hour Claims</t>
  </si>
  <si>
    <t>316 Custody Modification (parents never married)</t>
  </si>
  <si>
    <t>21-13 Discrimination (Other)</t>
  </si>
  <si>
    <t>753 SSI Other</t>
  </si>
  <si>
    <t>796 LIHEAP/Utility</t>
  </si>
  <si>
    <t>890 Other Individual Rights</t>
  </si>
  <si>
    <t>I-914</t>
  </si>
  <si>
    <t>6121 - Public Housing Eviction</t>
  </si>
  <si>
    <t>518 QMB</t>
  </si>
  <si>
    <t>511 NH Medicaid Eligibility</t>
  </si>
  <si>
    <t>I-589 Defensive</t>
  </si>
  <si>
    <t>068 Tax/water lien</t>
  </si>
  <si>
    <t>AR-11</t>
  </si>
  <si>
    <t>598 Other Health Access</t>
  </si>
  <si>
    <t>091 Insurance</t>
  </si>
  <si>
    <t>634 Security Deposits/Return</t>
  </si>
  <si>
    <t>I-589 Affirmative</t>
  </si>
  <si>
    <t>218 Sexual Harassment</t>
  </si>
  <si>
    <t>383 Child Support Defense</t>
  </si>
  <si>
    <t>211 Race/Color Discrimination</t>
  </si>
  <si>
    <t>EOIR-42B</t>
  </si>
  <si>
    <t>391 Birth Certificate</t>
  </si>
  <si>
    <t>023 Garnishment</t>
  </si>
  <si>
    <t>I-539</t>
  </si>
  <si>
    <t>590 Health Insurance</t>
  </si>
  <si>
    <t>626 Preparation of Deed</t>
  </si>
  <si>
    <t>630 Private LL/T Lockout</t>
  </si>
  <si>
    <t>I-821D</t>
  </si>
  <si>
    <t>315 Grandparent Visitation</t>
  </si>
  <si>
    <t>031 Contracts</t>
  </si>
  <si>
    <t>217 Religious Discrimination</t>
  </si>
  <si>
    <t>026 NY State Tax Matter</t>
  </si>
  <si>
    <t>22-2 Wage/Hour (Overtime)</t>
  </si>
  <si>
    <t>636 Problem with Roomate</t>
  </si>
  <si>
    <t>N-565</t>
  </si>
  <si>
    <t>Loss mitigation (non-litigation)</t>
  </si>
  <si>
    <t>I-601</t>
  </si>
  <si>
    <t>956 Health Power of Attorney</t>
  </si>
  <si>
    <t>954 Living Will - Advanced Directive</t>
  </si>
  <si>
    <t>Financial Counseling (non-litigation)</t>
  </si>
  <si>
    <t>629 Other Real Property</t>
  </si>
  <si>
    <t>599 Other Health</t>
  </si>
  <si>
    <t>G-639</t>
  </si>
  <si>
    <t>794 Workfare/Jobs Programs</t>
  </si>
  <si>
    <t>941 Small Claim</t>
  </si>
  <si>
    <t>29-1 Sick Days</t>
  </si>
  <si>
    <t>215 National Origin Discrimination</t>
  </si>
  <si>
    <t>611 Public Housing Access</t>
  </si>
  <si>
    <t>Settlement Conference Representation</t>
  </si>
  <si>
    <t>523 Medicare HMO</t>
  </si>
  <si>
    <t>Quiet Title Action</t>
  </si>
  <si>
    <t>361 Paternity - Petitioner</t>
  </si>
  <si>
    <t>062 Other Loans</t>
  </si>
  <si>
    <t>326 Annulment</t>
  </si>
  <si>
    <t>Foreclosure Defense</t>
  </si>
  <si>
    <t>780 Worker's Compensation</t>
  </si>
  <si>
    <t>328 Divorce Modification</t>
  </si>
  <si>
    <t>025 Debtor Harassment</t>
  </si>
  <si>
    <t>791 WIC</t>
  </si>
  <si>
    <t>3201 Petitioner (Abuse with Custody No Property</t>
  </si>
  <si>
    <t>21-10 Discrimination (Gender Identity)</t>
  </si>
  <si>
    <t>330 Guardianship Children</t>
  </si>
  <si>
    <t>524 Medicare Part D</t>
  </si>
  <si>
    <t>I-131 Refugee Travel Document</t>
  </si>
  <si>
    <t>DS-160</t>
  </si>
  <si>
    <t>Food Stamps (SNAP), Social Security</t>
  </si>
  <si>
    <t>Disability</t>
  </si>
  <si>
    <t>Food Stamps (SNAP), Welfare</t>
  </si>
  <si>
    <t>Rental Income</t>
  </si>
  <si>
    <t>Employment</t>
  </si>
  <si>
    <t>Both SSI and SSD</t>
  </si>
  <si>
    <t>Food Stamps (SNAP), Social Security, Worker's Compensation</t>
  </si>
  <si>
    <t>Food Stamps (SNAP), General Assistance</t>
  </si>
  <si>
    <t>Pension/Retirement (Not Soc. Sec.), Rental Income, Social Security Retirement</t>
  </si>
  <si>
    <t>Employment, Food Stamps (SNAP)</t>
  </si>
  <si>
    <t>SSI</t>
  </si>
  <si>
    <t>Pension/Retirement (Not Soc. Sec.), SSI</t>
  </si>
  <si>
    <t>Employment, Social Security Retirement</t>
  </si>
  <si>
    <t>Income Not Provided</t>
  </si>
  <si>
    <t>No Income</t>
  </si>
  <si>
    <t>Social Security</t>
  </si>
  <si>
    <t>SSI, Unemployment Compensation</t>
  </si>
  <si>
    <t>Pension/Retirement (Not Soc. Sec.)</t>
  </si>
  <si>
    <t>Employment, Other, Pension/Retirement (Not Soc. Sec.), Social Security Retirement</t>
  </si>
  <si>
    <t>Employment, Spousal Employment</t>
  </si>
  <si>
    <t>Welfare</t>
  </si>
  <si>
    <t>Food Stamps (SNAP), SSI</t>
  </si>
  <si>
    <t>Food Stamps (SNAP), Unemployment Compensation</t>
  </si>
  <si>
    <t>Employment (Self-Employed)</t>
  </si>
  <si>
    <t>Disability, Spousal Employment</t>
  </si>
  <si>
    <t>Employment, Food Stamps (SNAP), Unemployment Compensation</t>
  </si>
  <si>
    <t>Food Stamps (SNAP)</t>
  </si>
  <si>
    <t>Employment, Other</t>
  </si>
  <si>
    <t>Employment, Food Stamps (SNAP), Welfare</t>
  </si>
  <si>
    <t>Employment, Food Stamps (SNAP), SSI</t>
  </si>
  <si>
    <t>Food Stamps (SNAP), Workers Compensation</t>
  </si>
  <si>
    <t>Employment, Food Stamps (SNAP), SN</t>
  </si>
  <si>
    <t>Child Support, Social Security Disability</t>
  </si>
  <si>
    <t>Employment, Social Security Disability, Veterans Benefits</t>
  </si>
  <si>
    <t>Employment, Social Security</t>
  </si>
  <si>
    <t>Employment, Pension/Retirement (Not Soc. Sec.)</t>
  </si>
  <si>
    <t>Food Stamps (SNAP), Medicaid (MA), Social Security</t>
  </si>
  <si>
    <t>Food Stamps (SNAP), Pension/Retirement (Not Soc. Sec.), Social Security</t>
  </si>
  <si>
    <t>Food Stamps (SNAP), Medicaid (MA), Welfare</t>
  </si>
  <si>
    <t>Food Stamps (SNAP), Welfare - Fam. Assis.</t>
  </si>
  <si>
    <t>Unemployment Compensation</t>
  </si>
  <si>
    <t>Disability, Food Stamps (SNAP), SSI</t>
  </si>
  <si>
    <t>Employment, SSI</t>
  </si>
  <si>
    <t>Social Security Disability</t>
  </si>
  <si>
    <t>Employment (Self-Employed), Food Stamps (SNAP)</t>
  </si>
  <si>
    <t>Food Stamps (SNAP), Social Security Disability</t>
  </si>
  <si>
    <t>Rental Income, Veterans Benefits</t>
  </si>
  <si>
    <t>Social Security Retirement</t>
  </si>
  <si>
    <t>Food Stamps (SNAP), Social Security Retirement, Veterans Benefits</t>
  </si>
  <si>
    <t>Food Stamps (SNAP), Veterans Benefits</t>
  </si>
  <si>
    <t>Veterans Benefits</t>
  </si>
  <si>
    <t>General Assistance, Social Security Retirement</t>
  </si>
  <si>
    <t>TANF</t>
  </si>
  <si>
    <t>Welfare - Fam. Assis.</t>
  </si>
  <si>
    <t>Disability, Food Stamps (SNAP), General Assistance</t>
  </si>
  <si>
    <t>Other, Workers Compensation</t>
  </si>
  <si>
    <t>Food Stamps (SNAP), SSI, TANF</t>
  </si>
  <si>
    <t>Child Support, Food Stamps (SNAP), Welfare</t>
  </si>
  <si>
    <t>Food Stamps (SNAP), TANF</t>
  </si>
  <si>
    <t>Food Stamps (SNAP), Other, Social Security Disability</t>
  </si>
  <si>
    <t>Food Stamps (SNAP), Veterans Benefits, Welfare</t>
  </si>
  <si>
    <t>Other, Rental Income</t>
  </si>
  <si>
    <t>Food Stamps (SNAP), Other, Welfare</t>
  </si>
  <si>
    <t>Food Stamps (SNAP), Social Security Retirement</t>
  </si>
  <si>
    <t>Employment, Food Stamps (SNAP), Social Security Disability</t>
  </si>
  <si>
    <t>Food Stamps (SNAP), Social Security Disability, SSI</t>
  </si>
  <si>
    <t>Disability, Food Stamps (SNAP)</t>
  </si>
  <si>
    <t>Child Support, Food Stamps (SNAP)</t>
  </si>
  <si>
    <t>Food Stamps (SNAP), SN/HASA</t>
  </si>
  <si>
    <t>Child Support, Food Stamps (SNAP), Welfare - Fam. Assis.</t>
  </si>
  <si>
    <t>Disability, Food Stamps (SNAP), TANF</t>
  </si>
  <si>
    <t>Both SSI and SSD, Child Support</t>
  </si>
  <si>
    <t>Food Stamps (SNAP), Other, Welfare - Fam. Assis.</t>
  </si>
  <si>
    <t>Employment, Food Stamps (SNAP), General Assistance, Pension/Retirement (Not Soc. Sec.), Social Security, Social Security Disability</t>
  </si>
  <si>
    <t>Worker's Compensation</t>
  </si>
  <si>
    <t>Employment, Social Security Disability</t>
  </si>
  <si>
    <t>Food Stamps (SNAP), Rental Income, Social Security Disability, Welfare</t>
  </si>
  <si>
    <t>Employment (Self-Employed), Trust, Interest, Dividends</t>
  </si>
  <si>
    <t>Both SSI and SSD, Food Stamps (SNAP)</t>
  </si>
  <si>
    <t>Employment, Unemployment Compensation</t>
  </si>
  <si>
    <t>Medicaid (MA), SN/HASA</t>
  </si>
  <si>
    <t>SSI, Welfare</t>
  </si>
  <si>
    <t>Child Support, Employment</t>
  </si>
  <si>
    <t>Employment (Self-Employed), Social Security</t>
  </si>
  <si>
    <t>Child Support, Employment (Self-Employed), Welfare</t>
  </si>
  <si>
    <t>Food Stamps (SNAP), Other, SSI</t>
  </si>
  <si>
    <t>Pension/Retirement (Not Soc. Sec.), Social Security Disability</t>
  </si>
  <si>
    <t>Food Stamps (SNAP), Unemployment Compensation, Welfare</t>
  </si>
  <si>
    <t>Employment, Food Stamps (SNAP), TANF</t>
  </si>
  <si>
    <t>Child Support, Unemployment Compensation</t>
  </si>
  <si>
    <t>Employment, Employment (Self-Employed)</t>
  </si>
  <si>
    <t>Food Stamps (SNAP), Other</t>
  </si>
  <si>
    <t>Pension/Retirement (Not Soc. Sec.), Social Security Retirement</t>
  </si>
  <si>
    <t>Social Security, SSI</t>
  </si>
  <si>
    <t>Both SSI and SSD, Welfare</t>
  </si>
  <si>
    <t>Food Stamps (SNAP), Medicaid (MA), SSI</t>
  </si>
  <si>
    <t>Social Security, Veterans Benefits</t>
  </si>
  <si>
    <t>Pension/Retirement (Not Soc. Sec.), Social Security, Veterans Benefits</t>
  </si>
  <si>
    <t>Spousal Employment</t>
  </si>
  <si>
    <t>Employment, Food Stamps (SNAP), Other</t>
  </si>
  <si>
    <t>Food Stamps (SNAP), SSI, Welfare - Fam. Assis.</t>
  </si>
  <si>
    <t>Social Security, Workers Compensation</t>
  </si>
  <si>
    <t>Other, Social Security</t>
  </si>
  <si>
    <t>Employment, Rental Income</t>
  </si>
  <si>
    <t>Disability, Workers Compensation</t>
  </si>
  <si>
    <t>Disability, Employment</t>
  </si>
  <si>
    <t>Child Support, Employment, Food Stamps (SNAP)</t>
  </si>
  <si>
    <t>Employment, Pension/Retirement (Not Soc. Sec.), Social Security Retirement</t>
  </si>
  <si>
    <t>Pension/Retirement (Not Soc. Sec.), Social Security Retirement, SSI</t>
  </si>
  <si>
    <t>Food Stamps (SNAP), Social Security, TANF</t>
  </si>
  <si>
    <t>Social Security Retirement, Veterans Benefits</t>
  </si>
  <si>
    <t>Food Stamps (SNAP), Pension/Retirement (Not Soc. Sec.), Social Security Retirement</t>
  </si>
  <si>
    <t>Food Stamps (SNAP), Pension/Retirement (Not Soc. Sec.), SSI</t>
  </si>
  <si>
    <t>Employment (Self-Employed), Welfare</t>
  </si>
  <si>
    <t>Social Security Disability, SSI</t>
  </si>
  <si>
    <t>Employment, Social Security, Social Security Disability</t>
  </si>
  <si>
    <t>Disability, Food Stamps (SNAP), Social Security</t>
  </si>
  <si>
    <t>Social Security, Social Security Retirement</t>
  </si>
  <si>
    <t>Child Support, Disability, Food Stamps (SNAP)</t>
  </si>
  <si>
    <t>Employment, Welfare</t>
  </si>
  <si>
    <t>Alimony, Employment (Self-Employed), Social Security</t>
  </si>
  <si>
    <t>Social Security Retirement, SSI</t>
  </si>
  <si>
    <t>Rental Income, Social Security</t>
  </si>
  <si>
    <t>Employment, Social Security Retirement, SSI</t>
  </si>
  <si>
    <t>Social Security Disability, Worker's Compensation</t>
  </si>
  <si>
    <t>Employment, Other, Rental Income</t>
  </si>
  <si>
    <t>Pension/Retirement (Not Soc. Sec.), Social Security</t>
  </si>
  <si>
    <t>Food Stamps (SNAP), SN</t>
  </si>
  <si>
    <t>Child Support, Food Stamps (SNAP), TANF</t>
  </si>
  <si>
    <t>General Assistance</t>
  </si>
  <si>
    <t>Employment, Food Stamps (SNAP), Welfare - Fam. Assis.</t>
  </si>
  <si>
    <t>Food Stamps (SNAP), General Assistance, Rental Income</t>
  </si>
  <si>
    <t>Child Support, Food Stamps (SNAP), SSI</t>
  </si>
  <si>
    <t>Medicaid (MA), Social Security Retirement</t>
  </si>
  <si>
    <t>SN/HASA</t>
  </si>
  <si>
    <t>Food Stamps (SNAP), Social Security Disability, Welfare</t>
  </si>
  <si>
    <t>Child Support, Welfare</t>
  </si>
  <si>
    <t>Alimony</t>
  </si>
  <si>
    <t>Food Stamps (SNAP), Medicaid (MA), Social Security Retirement</t>
  </si>
  <si>
    <t>Other, SSI</t>
  </si>
  <si>
    <t>Employment, Pension/Retirement (Not Soc. Sec.), Social Security</t>
  </si>
  <si>
    <t>Food Stamps (SNAP), Social Security Retirement, SSI</t>
  </si>
  <si>
    <t>Pension/Retirement (Not Soc. Sec.), Welfare</t>
  </si>
  <si>
    <t>Social Security Retirement, Workers Compensation</t>
  </si>
  <si>
    <t>Food Stamps (SNAP), SN/HASA, SSI</t>
  </si>
  <si>
    <t>Employment, Social Security, Social Security Retirement</t>
  </si>
  <si>
    <t>Other, Social Security, Social Security Disability</t>
  </si>
  <si>
    <t>Workers Compensation</t>
  </si>
  <si>
    <t>Child Support</t>
  </si>
  <si>
    <t>Employment, Food Stamps (SNAP), SSI, Welfare</t>
  </si>
  <si>
    <t>Medicaid (MA)</t>
  </si>
  <si>
    <t>Employment, General Assistance</t>
  </si>
  <si>
    <t>Food Stamps (SNAP), Rental Income, Welfare</t>
  </si>
  <si>
    <t>Employment, Worker's Compensation</t>
  </si>
  <si>
    <t>Food Stamps (SNAP), Social Security, Social Security Disability</t>
  </si>
  <si>
    <t>Other, Welfare</t>
  </si>
  <si>
    <t>Alimony, Child Support</t>
  </si>
  <si>
    <t>General Assistance, SSI</t>
  </si>
  <si>
    <t>Employment, TANF</t>
  </si>
  <si>
    <t>Food Stamps (SNAP), Other, SN/HASA, Social Security Disability</t>
  </si>
  <si>
    <t>Pension/Retirement (Not Soc. Sec.), SSI, Welfare</t>
  </si>
  <si>
    <t>Food Stamps (SNAP), Social Security Disability, Welfare - Fam. Assis.</t>
  </si>
  <si>
    <t>Both SSI and SSD, Disability, Employment, Food Stamps (SNAP), Social Security, Welfare - Fam. Assis.</t>
  </si>
  <si>
    <t>SSI, Veterans Benefits</t>
  </si>
  <si>
    <t>Employment, Employment (Self-Employed), Food Stamps (SNAP)</t>
  </si>
  <si>
    <t>Food Stamps (SNAP), Rental Income, Social Security Disability</t>
  </si>
  <si>
    <t>Employment, Food Stamps (SNAP), Other, TANF</t>
  </si>
  <si>
    <t>TANF, Worker's Compensation</t>
  </si>
  <si>
    <t>Social Security, Social Security Disability</t>
  </si>
  <si>
    <t>Other, Social Security Retirement</t>
  </si>
  <si>
    <t>Food Stamps (SNAP), Social Security, SSI</t>
  </si>
  <si>
    <t>Employment (Self-Employed), Food Stamps (SNAP), SSI</t>
  </si>
  <si>
    <t>Employment, Pension/Retirement (Not Soc. Sec.), Social Security Disability</t>
  </si>
  <si>
    <t>Social Security Disability, Social Security Retirement</t>
  </si>
  <si>
    <t>Food Stamps (SNAP), Pension/Retirement (Not Soc. Sec.)</t>
  </si>
  <si>
    <t>Food Stamps (SNAP), Medicaid (MA)</t>
  </si>
  <si>
    <t>Social Security Retirement, Welfare</t>
  </si>
  <si>
    <t>Social Security, Worker's Compensation</t>
  </si>
  <si>
    <t>Employment, Food Stamps (SNAP), Worker's Compensation</t>
  </si>
  <si>
    <t>Food Stamps (SNAP), Medicaid (MA), Social Security Disability</t>
  </si>
  <si>
    <t>Child Support, Other</t>
  </si>
  <si>
    <t>Food Stamps (SNAP), Social Security, Welfare</t>
  </si>
  <si>
    <t>Child Support, Disability, Other</t>
  </si>
  <si>
    <t>Employment, SSI, Welfare</t>
  </si>
  <si>
    <t>Employment, Food Stamps (SNAP), Social Security</t>
  </si>
  <si>
    <t>Employment, Food Stamps (SNAP), Workers Compensation</t>
  </si>
  <si>
    <t>Food Stamps (SNAP), Spousal Employment</t>
  </si>
  <si>
    <t>Disability, Social Security</t>
  </si>
  <si>
    <t>Food Stamps (SNAP), SSI, Unemployment Compensation</t>
  </si>
  <si>
    <t>Other, Pension/Retirement (Not Soc. Sec.), SSI</t>
  </si>
  <si>
    <t>Food Stamps (SNAP), Worker's Compensation</t>
  </si>
  <si>
    <t>Employment, Food Stamps (SNAP), Social Security Retirement</t>
  </si>
  <si>
    <t>Child Support, Food Stamps (SNAP), Social Security Disability</t>
  </si>
  <si>
    <t>Pension/Retirement (Not Soc. Sec.), Rental Income, Social Security</t>
  </si>
  <si>
    <t>Food Stamps (SNAP), General Assistance, Other</t>
  </si>
  <si>
    <t>Food Stamps (SNAP), Spousal Employment, SSI</t>
  </si>
  <si>
    <t>Food Stamps (SNAP), Social Security Retirement, Welfare - Fam. Assis.</t>
  </si>
  <si>
    <t>Food Stamps (SNAP), Other, Welfare - Safety Net</t>
  </si>
  <si>
    <t>Other, Pension/Retirement (Not Soc. Sec.), Social Security</t>
  </si>
  <si>
    <t>Food Stamps (SNAP), SSI, Welfare</t>
  </si>
  <si>
    <t>Child Support, SN</t>
  </si>
  <si>
    <t>Food Stamps (SNAP), Rental Income</t>
  </si>
  <si>
    <t>Social Security Disability, Welfare</t>
  </si>
  <si>
    <t>Rental Income, Social Security Retirement</t>
  </si>
  <si>
    <t>Food Stamps (SNAP), Other, Social Security Retirement</t>
  </si>
  <si>
    <t>Employment, Social Security Disability, Welfare</t>
  </si>
  <si>
    <t>Unemployment Compensation, Welfare</t>
  </si>
  <si>
    <t>Both SSI and SSD, Child Support, Food Stamps (SNAP)</t>
  </si>
  <si>
    <t>Food Stamps (SNAP), Welfare - Safety Net</t>
  </si>
  <si>
    <t>Rental Income, Social Security Disability</t>
  </si>
  <si>
    <t>Food Stamps (SNAP), Social Security Disability, Veterans Benefits</t>
  </si>
  <si>
    <t>Employment, Social Security Disability, Social Security Retirement</t>
  </si>
  <si>
    <t>Social Security Disability, Veterans Benefits</t>
  </si>
  <si>
    <t>Employment (Self-Employed), Rental Income</t>
  </si>
  <si>
    <t>Employment, Employment (Self-Employed), Social Security</t>
  </si>
  <si>
    <t>Pension/Retirement (Not Soc. Sec.), Social Security Retirement, Unemployment Compensation</t>
  </si>
  <si>
    <t>Food Stamps (SNAP), Social Security Disability, Social Security Retirement, Veterans Benefits</t>
  </si>
  <si>
    <t>Food Stamps (SNAP), Social Security Disability, Workers Compensation</t>
  </si>
  <si>
    <t>Welfare - Safety Net</t>
  </si>
  <si>
    <t>Food Stamps (SNAP), Rental Income, Social Security Retirement</t>
  </si>
  <si>
    <t>Employment (Self-Employed), Food Stamps (SNAP), Welfare</t>
  </si>
  <si>
    <t>Employment, Pension/Retirement (Not Soc. Sec.), Social Security, Welfare - Safety Net</t>
  </si>
  <si>
    <t>Employment, Pension/Retirement (Not Soc. Sec.), Social Security Retirement, Worker's Compensation</t>
  </si>
  <si>
    <t>Food Stamps (SNAP), Social Security, Social Security Disability, Unemployment Compensation</t>
  </si>
  <si>
    <t>Employment, Food Stamps (SNAP), Rental Income, Social Security</t>
  </si>
  <si>
    <t>Food Stamps (SNAP), Social Security Disability, Social Security Retirement</t>
  </si>
  <si>
    <t>SSI, TANF</t>
  </si>
  <si>
    <t>Employment (Self-Employed), Food Stamps (SNAP), Other</t>
  </si>
  <si>
    <t>Social Security, Welfare</t>
  </si>
  <si>
    <t>Food Stamps (SNAP), Social Security Disability, Worker's Compensation</t>
  </si>
  <si>
    <t>Other, Social Security, Worker's Compensation</t>
  </si>
  <si>
    <t>Other, Social Security Disability</t>
  </si>
  <si>
    <t>Food Stamps (SNAP), SN/HASA, Social Security Disability</t>
  </si>
  <si>
    <t>Other, Pension/Retirement (Not Soc. Sec.), Social Security Retirement</t>
  </si>
  <si>
    <t>Food Stamps (SNAP), Social Security Disability, Unemployment Compensation</t>
  </si>
  <si>
    <t>Child Support, SSI</t>
  </si>
  <si>
    <t>Rental Income, Unemployment Compensation</t>
  </si>
  <si>
    <t>Food Stamps (SNAP), SN/HASA, Welfare</t>
  </si>
  <si>
    <t>General Assistance, Social Security Disability</t>
  </si>
  <si>
    <t>Social Security, Social Security Disability, Veterans Benefits</t>
  </si>
  <si>
    <t>Social Security Disability, Social Security Retirement, Veterans Benefits</t>
  </si>
  <si>
    <t>Medicaid (MA), Social Security Disability</t>
  </si>
  <si>
    <t>Spousal Employment, Veterans Benefits</t>
  </si>
  <si>
    <t>Pension/Retirement (Not Soc. Sec.), Social Security, Social Security Retirement, Veterans Benefits</t>
  </si>
  <si>
    <t>Unemployment Compensation, Welfare - Fam. Assis.</t>
  </si>
  <si>
    <t>Employment (Self-Employed), Food Stamps (SNAP), Social Security Disability, SSI</t>
  </si>
  <si>
    <t>Employment (Self-Employed), Social Security Retirement</t>
  </si>
  <si>
    <t>Social Security Disability, TANF</t>
  </si>
  <si>
    <t>Alimony, Food Stamps (SNAP)</t>
  </si>
  <si>
    <t>Employment (Self-Employed), Pension/Retirement (Not Soc. Sec.)</t>
  </si>
  <si>
    <t>Social Security, TANF</t>
  </si>
  <si>
    <t>Other, Veterans Benefits</t>
  </si>
  <si>
    <t>Employment, Veterans Benefits</t>
  </si>
  <si>
    <t>Other, Unemployment Compensation</t>
  </si>
  <si>
    <t>SN</t>
  </si>
  <si>
    <t>Child Support, Employment, Medicaid (MA), SSI, TANF</t>
  </si>
  <si>
    <t>Child Support, Employment, Employment (Self-Employed), Food Stamps (SNAP)</t>
  </si>
  <si>
    <t>Disability, Employment, Food Stamps (SNAP)</t>
  </si>
  <si>
    <t>Child Support, Food Stamps (SNAP), Other</t>
  </si>
  <si>
    <t>Other, Social Security, Welfare - Fam. Assis.</t>
  </si>
  <si>
    <t>SSI, Worker's Compensation</t>
  </si>
  <si>
    <t>Disability, Food Stamps (SNAP), Other</t>
  </si>
  <si>
    <t>Disability, Rental Income, Social Security</t>
  </si>
  <si>
    <t>Rental Income, Workers Compensation</t>
  </si>
  <si>
    <t>TANF, Welfare</t>
  </si>
  <si>
    <t>Employment, Medicaid (MA), Social Security Disability</t>
  </si>
  <si>
    <t>Employment, Food Stamps (SNAP), Rental Income, Social Security Disability</t>
  </si>
  <si>
    <t>Food Stamps (SNAP), Other, Social Security Disability, SSI</t>
  </si>
  <si>
    <t>Food Stamps (SNAP), Social Security, Veterans Benefits</t>
  </si>
  <si>
    <t>Employment, Rental Income, Social Security Disability</t>
  </si>
  <si>
    <t>Food Stamps (SNAP), Other, Social Security, SSI</t>
  </si>
  <si>
    <t>Other, Pension/Retirement (Not Soc. Sec.), Rental Income, Social Security Disability, Worker's Compensation</t>
  </si>
  <si>
    <t>Employment (Self-Employed), Food Stamps (SNAP), TANF</t>
  </si>
  <si>
    <t>Employment, Employment (Self-Employed), Food Stamps (SNAP), Rental Income</t>
  </si>
  <si>
    <t>SSI, Welfare - Fam. Assis.</t>
  </si>
  <si>
    <t>Child Support, Spousal Employment</t>
  </si>
  <si>
    <t>Pension/Retirement (Not Soc. Sec.), Veterans Benefits</t>
  </si>
  <si>
    <t>Employment, Food Stamps (SNAP), Social Security Disability, Veterans Benefits</t>
  </si>
  <si>
    <t>Employment, Food Stamps (SNAP), Spousal Employment</t>
  </si>
  <si>
    <t>Employment (Self-Employed), Pension/Retirement (Not Soc. Sec.), Social Security Retirement</t>
  </si>
  <si>
    <t>Child Support, Veterans Benefits</t>
  </si>
  <si>
    <t>Food Stamps (SNAP), Pension/Retirement (Not Soc. Sec.), Social Security Retirement, SSI</t>
  </si>
  <si>
    <t>Both SSI and SSD, Employment</t>
  </si>
  <si>
    <t>Both SSI and SSD, Disability, Employment, Food Stamps (SNAP), Social Security Retirement, Welfare</t>
  </si>
  <si>
    <t>Food Stamps (SNAP), SSI, Veterans Benefits</t>
  </si>
  <si>
    <t>Food Stamps (SNAP), Other, SSI, Welfare</t>
  </si>
  <si>
    <t>Employment, Employment (Self-Employed), Rental Income</t>
  </si>
  <si>
    <t>Food Stamps (SNAP), Medicaid (MA), SSI, Welfare</t>
  </si>
  <si>
    <t>Other, Pension/Retirement (Not Soc. Sec.)</t>
  </si>
  <si>
    <t>Child Support, Employment, Food Stamps (SNAP), SSI</t>
  </si>
  <si>
    <t>Employment (Self-Employed), Social Security Disability</t>
  </si>
  <si>
    <t>Employment, Food Stamps (SNAP), General Assistance</t>
  </si>
  <si>
    <t>Disability, Employment, Social Security Retirement</t>
  </si>
  <si>
    <t>Disability, Rental Income</t>
  </si>
  <si>
    <t>Food Stamps (SNAP), Social Security Retirement, TANF</t>
  </si>
  <si>
    <t>Employment, Food Stamps (SNAP), Social Security, Welfare</t>
  </si>
  <si>
    <t>Employment (Self-Employed), SSI</t>
  </si>
  <si>
    <t>Employment, Pension/Retirement (Not Soc. Sec.), Workers Compensation</t>
  </si>
  <si>
    <t>Pension/Retirement (Not Soc. Sec.), Social Security Disability, SSI</t>
  </si>
  <si>
    <t>Child Support, Employment, Food Stamps (SNAP), Welfare</t>
  </si>
  <si>
    <t>Unemployment Compensation, Worker's Compensation</t>
  </si>
  <si>
    <t>Social Security, Veterans Benefits, Workers Compensation</t>
  </si>
  <si>
    <t>Food Stamps (SNAP), Other, TANF</t>
  </si>
  <si>
    <t>Food Stamps (SNAP), General Assistance, Social Security Retirement, SSI</t>
  </si>
  <si>
    <t>Disability, Worker's Compensation</t>
  </si>
  <si>
    <t>Employment, Social Security, SSI</t>
  </si>
  <si>
    <t>Employment, Other, Social Security Disability</t>
  </si>
  <si>
    <t>Alimony, Disability, Workers Compensation</t>
  </si>
  <si>
    <t>Social Security, Social Security Disability, SSI</t>
  </si>
  <si>
    <t>Disability, Other, Worker's Compensation</t>
  </si>
  <si>
    <t>Social Security, SSI, Welfare - Fam. Assis.</t>
  </si>
  <si>
    <t>Social Security, Trust, Interest, Dividends</t>
  </si>
  <si>
    <t>Food Stamps (SNAP), Pension/Retirement (Not Soc. Sec.), Social Security Retirement, Veterans Benefits</t>
  </si>
  <si>
    <t>Employment, Employment (Self-Employed), Social Security Retirement</t>
  </si>
  <si>
    <t>Disability, Social Security, Social Security Retirement</t>
  </si>
  <si>
    <t>Food Stamps (SNAP), TANF, Unemployment Compensation</t>
  </si>
  <si>
    <t>Food Stamps (SNAP), Pension/Retirement (Not Soc. Sec.), Veterans Benefits</t>
  </si>
  <si>
    <t>Medicaid (MA), SSI</t>
  </si>
  <si>
    <t>Food Stamps (SNAP), General Assistance, SSI</t>
  </si>
  <si>
    <t>Employment, SSI, Unemployment Compensation</t>
  </si>
  <si>
    <t>Social Security, Spousal Employment</t>
  </si>
  <si>
    <t>General Assistance, Medicaid (MA), Social Security Disability</t>
  </si>
  <si>
    <t>Employment, Pension/Retirement (Not Soc. Sec.), SSI</t>
  </si>
  <si>
    <t>Child Support, Food Stamps (SNAP), Spousal Employment, SSI, TANF</t>
  </si>
  <si>
    <t>Social Security Retirement, Unemployment Compensation</t>
  </si>
  <si>
    <t>Employment, Food Stamps (SNAP), Medicaid (MA), Social Security</t>
  </si>
  <si>
    <t>Social Security Disability, Workers Compensation</t>
  </si>
  <si>
    <t>Employment, Food Stamps (SNAP), SSI, TANF</t>
  </si>
  <si>
    <t>Other, Social Security Retirement, SSI</t>
  </si>
  <si>
    <t>Employment, Medicaid (MA)</t>
  </si>
  <si>
    <t>Child Support, Employment, Social Security, Social Security Disability</t>
  </si>
  <si>
    <t>Food Stamps (SNAP), Pension/Retirement (Not Soc. Sec.), Social Security Disability</t>
  </si>
  <si>
    <t>Alimony, Medicaid (MA), Social Security Retirement</t>
  </si>
  <si>
    <t>Employment, Food Stamps (SNAP), Welfare, Welfare - Fam. Assis.</t>
  </si>
  <si>
    <t>Social Security, Unemployment Compensation, Worker's Compensation</t>
  </si>
  <si>
    <t>Rental Income, SSI</t>
  </si>
  <si>
    <t>Employment, Medicaid (MA), Social Security Retirement</t>
  </si>
  <si>
    <t>General Assistance, Social Security</t>
  </si>
  <si>
    <t>Pension/Retirement (Not Soc. Sec.), Social Security Disability, Workers Compensation</t>
  </si>
  <si>
    <t>Child Support, Employment, Social Security</t>
  </si>
  <si>
    <t>Richmond</t>
  </si>
  <si>
    <t>Queens</t>
  </si>
  <si>
    <t>Kings</t>
  </si>
  <si>
    <t>Bergen</t>
  </si>
  <si>
    <t>Passaic</t>
  </si>
  <si>
    <t>Rockland</t>
  </si>
  <si>
    <t>Broward</t>
  </si>
  <si>
    <t>Henry</t>
  </si>
  <si>
    <t>Cumberland</t>
  </si>
  <si>
    <t>Suffolk</t>
  </si>
  <si>
    <t>Pasco</t>
  </si>
  <si>
    <t>westchester</t>
  </si>
  <si>
    <t>erie</t>
  </si>
  <si>
    <t>Duval</t>
  </si>
  <si>
    <t>Miami</t>
  </si>
  <si>
    <t>Ulster</t>
  </si>
  <si>
    <t>Florida</t>
  </si>
  <si>
    <t>Essex</t>
  </si>
  <si>
    <t>Summit</t>
  </si>
  <si>
    <t>Nassau</t>
  </si>
  <si>
    <t>Warren</t>
  </si>
  <si>
    <t>Broome</t>
  </si>
  <si>
    <t>New Haven</t>
  </si>
  <si>
    <t>Prince George'S</t>
  </si>
  <si>
    <t>Cook</t>
  </si>
  <si>
    <t>Palm Beach</t>
  </si>
  <si>
    <t>Androscoggin</t>
  </si>
  <si>
    <t>Hudson</t>
  </si>
  <si>
    <t>Monmouth</t>
  </si>
  <si>
    <t>Osceola</t>
  </si>
  <si>
    <t>Maui</t>
  </si>
  <si>
    <t>Duchess</t>
  </si>
  <si>
    <t>Brevard</t>
  </si>
  <si>
    <t>Shelby</t>
  </si>
  <si>
    <t>Dade</t>
  </si>
  <si>
    <t>Lee</t>
  </si>
  <si>
    <t>Bucks</t>
  </si>
  <si>
    <t>Texas</t>
  </si>
  <si>
    <t>Genesee</t>
  </si>
  <si>
    <t>Somerset</t>
  </si>
  <si>
    <t>Putnam</t>
  </si>
  <si>
    <t>Mercer</t>
  </si>
  <si>
    <t>new jersey</t>
  </si>
  <si>
    <t>Harrisburg</t>
  </si>
  <si>
    <t>Austin</t>
  </si>
  <si>
    <t>Mecklenburg</t>
  </si>
  <si>
    <t>Middlesex</t>
  </si>
  <si>
    <t>Volusia</t>
  </si>
  <si>
    <t>She</t>
  </si>
  <si>
    <t>He</t>
  </si>
  <si>
    <t>Heterosexual</t>
  </si>
  <si>
    <t>pansexual</t>
  </si>
  <si>
    <t>woman</t>
  </si>
  <si>
    <t>straight trans male</t>
  </si>
  <si>
    <t>Lesbian</t>
  </si>
  <si>
    <t>ZE/HIR</t>
  </si>
  <si>
    <t>not lgbtq</t>
  </si>
  <si>
    <t>Asexual</t>
  </si>
  <si>
    <t>trans woman &amp; asexual</t>
  </si>
  <si>
    <t>female</t>
  </si>
  <si>
    <t>ESTROSEXUAL</t>
  </si>
  <si>
    <t>queer</t>
  </si>
  <si>
    <t>he</t>
  </si>
  <si>
    <t>she</t>
  </si>
  <si>
    <t>H</t>
  </si>
  <si>
    <t>S</t>
  </si>
  <si>
    <t>Rohan</t>
  </si>
  <si>
    <t>She/Per</t>
  </si>
  <si>
    <t>HE</t>
  </si>
  <si>
    <t>They</t>
  </si>
  <si>
    <t>them</t>
  </si>
  <si>
    <t>he, she, they</t>
  </si>
  <si>
    <t>she or they</t>
  </si>
  <si>
    <t>man</t>
  </si>
  <si>
    <t>Woman</t>
  </si>
  <si>
    <t>Trans Male</t>
  </si>
  <si>
    <t>M</t>
  </si>
  <si>
    <t>trans-female</t>
  </si>
  <si>
    <t>F</t>
  </si>
  <si>
    <t>m</t>
  </si>
  <si>
    <t>Man</t>
  </si>
  <si>
    <t>men</t>
  </si>
  <si>
    <t>trans woman</t>
  </si>
  <si>
    <t>confused</t>
  </si>
  <si>
    <t>Women</t>
  </si>
  <si>
    <t>Prefer Not To Answer</t>
  </si>
  <si>
    <t>2008-Obtained advice and counsel  Employment matter</t>
  </si>
  <si>
    <t>1013-Obtained advice and counsel  on Consumer matter</t>
  </si>
  <si>
    <t>6014-Obtained advice and counsel on a Housing matter</t>
  </si>
  <si>
    <t>7012-Obtained advice and counsel  on an Income Maintenance matter</t>
  </si>
  <si>
    <t>3019-Obtained advice and counsel on a Family matter</t>
  </si>
  <si>
    <t>6005-Avoided or delayed foreclosure or other loss of home</t>
  </si>
  <si>
    <t>6001-Prevented eviction from public housing</t>
  </si>
  <si>
    <t>6021-Provided full representation in a Housing matter, but no legal benefit achieved for the client</t>
  </si>
  <si>
    <t>6002-Prevented eviction from private housing</t>
  </si>
  <si>
    <t>7001-Obtained, preserved or increased public assistance, TANF or other welfare benefit/right</t>
  </si>
  <si>
    <t>11013-Otained other immigration benefit (e.g. replaced or renewed green card, renewed or extended non-immigrant status)</t>
  </si>
  <si>
    <t>6015-Obtained non-litgation advocacy services on a Housing  matter</t>
  </si>
  <si>
    <t>3020-Obtained non-litigation advocacy services on a Family matter</t>
  </si>
  <si>
    <t>7003-Overcame illegal or unfair application of welfare work requirement</t>
  </si>
  <si>
    <t>7006-Obtained, presrved or increased food stamps eligibility/right</t>
  </si>
  <si>
    <t>9017-Obtained advice and counsel on wills, estate or life planning matters</t>
  </si>
  <si>
    <t>9004-Solved tax problem</t>
  </si>
  <si>
    <t>8008-Obtained or preserved or improved rights of disabled persons</t>
  </si>
  <si>
    <t>6017-Obtained other benefit on a Housing matter</t>
  </si>
  <si>
    <t>9005-Obtained a living will and/or health proxy or power of attorney</t>
  </si>
  <si>
    <t>11021-Obtained non-litigation advocacy services on an Immigration Matter</t>
  </si>
  <si>
    <t>9002-Avoided or reduced tort judgement</t>
  </si>
  <si>
    <t>7013-Obtained non-llitigation advocacy services on an Income Maintenance matter</t>
  </si>
  <si>
    <t>ZZ-Client Withdrew—For ZZ Adm Closed Reason Closed Cases Only</t>
  </si>
  <si>
    <t>5008-Obtained advice and counsel on a Health matter</t>
  </si>
  <si>
    <t>6018-Prevented eviction from subsidized housing</t>
  </si>
  <si>
    <t>8011-Obtained advice and counsel on an Individual Rights matter</t>
  </si>
  <si>
    <t>6007-Avoided, or obtained redress for charges by landlord</t>
  </si>
  <si>
    <t>6009-Obtained repairs, Improved housing conditions or otherwise enforced rights to decent, habitable housing</t>
  </si>
  <si>
    <t>9011-Obtained advice and counsel  a Miscellaneous matter</t>
  </si>
  <si>
    <t>11020-Obtained advice &amp; counsel on an immigration matter</t>
  </si>
  <si>
    <t>7015-Obtained other benefit on an Income Maintenance matter</t>
  </si>
  <si>
    <t>11012-Obtained employment authorization (without obtaining other legal relief. Including non-immigrant status, at the same time)</t>
  </si>
  <si>
    <t>1107-Obtained advice &amp; counsel  Education matter</t>
  </si>
  <si>
    <t>11008-Obtained adjustment of legal status: VAWA based relief (e.g., U Visa, T Visa, VAWA self petition, VAWA Cancellation)</t>
  </si>
  <si>
    <t>4002-Obtained advice and counsel on a Juvenile matter</t>
  </si>
  <si>
    <t>9012-Obtained non-litgation advocacy services on a Miscellaneous matter</t>
  </si>
  <si>
    <t>5002-Obtained, preserved or increased Medicaid benefits/rights</t>
  </si>
  <si>
    <t>3022-Obtained other benefit on a Family matter</t>
  </si>
  <si>
    <t>1002-Stopped or reduced debt collection Activity</t>
  </si>
  <si>
    <t>9014-Obtained benefit - none of the above (specify:_________________________)</t>
  </si>
  <si>
    <t>5012-Obtained assistance with Medicaid planning</t>
  </si>
  <si>
    <t>2009-Obtained non-litgation advocacy services on a Employment matter</t>
  </si>
  <si>
    <t>7009-Obtained, preserved or increased unemployment insurance benefits/rights</t>
  </si>
  <si>
    <t>1105-Otained indivi. ed. program/services..consistent w/special educational law</t>
  </si>
  <si>
    <t>11015-Obtained non-immigrant status: DACA and DAPA</t>
  </si>
  <si>
    <t>8012-Obtained non-litgation advocacy services on an Individual Rights  matter</t>
  </si>
  <si>
    <t>1012-Obtained waiver or reduction of utility arreage (incuding phone)</t>
  </si>
  <si>
    <t>9001-Obtained a will</t>
  </si>
  <si>
    <t>7010-Obtained, preserved or increased Veteran's benefits/rights</t>
  </si>
  <si>
    <t>6004-Obtained access to housing</t>
  </si>
  <si>
    <t>3005-Obtained assigned divorce counsel</t>
  </si>
  <si>
    <t>1014-Obtained non-litgation advocacy services on a Consumer matter</t>
  </si>
  <si>
    <t>6003-Delayed eviction providing time to seek alternative housing</t>
  </si>
  <si>
    <t>6010-Preserved or restored access to personal property</t>
  </si>
  <si>
    <t>1011-Avoided or delayed utility termination, or secured utility services</t>
  </si>
  <si>
    <t>7018-Provided full representation in an Income Maintenance matter, but no legal benefit achieved for the client</t>
  </si>
  <si>
    <t>1005-Avoided , ended or reduced garnishment or levy</t>
  </si>
  <si>
    <t>Out-of-Court Advocacy</t>
  </si>
  <si>
    <t>Representation - State Court</t>
  </si>
  <si>
    <t>Representation - Admin. Agency</t>
  </si>
  <si>
    <t>Brief Service</t>
  </si>
  <si>
    <t>Advice</t>
  </si>
  <si>
    <t>Hold For Review</t>
  </si>
  <si>
    <t>Representation—EOIR</t>
  </si>
  <si>
    <t>Representation - Federal Court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</si>
</sst>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6534"/>
  <sheetViews>
    <sheetView tabSelected="1" workbookViewId="0"/>
  </sheetViews>
  <sheetFormatPr defaultRowHeight="15"/>
  <cols>
    <col min="1" max="1" width="20.7109375" style="1" customWidth="1"/>
  </cols>
  <sheetData>
    <row r="1" spans="1:59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</row>
    <row r="2" spans="1:59">
      <c r="A2" s="1">
        <f>HYPERLINK("https://lsnyc.legalserver.org/matter/dynamic-profile/view/0780991","15-0780991")</f>
        <v>0</v>
      </c>
      <c r="B2" t="s">
        <v>59</v>
      </c>
      <c r="C2" t="s">
        <v>5000</v>
      </c>
      <c r="D2" t="s">
        <v>9924</v>
      </c>
      <c r="E2" t="s">
        <v>10075</v>
      </c>
      <c r="F2">
        <v>10307</v>
      </c>
      <c r="G2" t="s">
        <v>10088</v>
      </c>
      <c r="H2" t="s">
        <v>10094</v>
      </c>
      <c r="I2" t="s">
        <v>10168</v>
      </c>
      <c r="J2" t="s">
        <v>10208</v>
      </c>
      <c r="K2" t="s">
        <v>10217</v>
      </c>
      <c r="M2" t="s">
        <v>10228</v>
      </c>
      <c r="N2" t="s">
        <v>10644</v>
      </c>
      <c r="P2" t="s">
        <v>10749</v>
      </c>
      <c r="Q2" t="s">
        <v>10759</v>
      </c>
      <c r="R2" t="s">
        <v>10820</v>
      </c>
      <c r="T2">
        <v>13200</v>
      </c>
      <c r="U2">
        <v>1100</v>
      </c>
      <c r="V2">
        <v>71</v>
      </c>
      <c r="W2">
        <v>1</v>
      </c>
      <c r="X2">
        <v>0</v>
      </c>
      <c r="Z2">
        <v>105.68</v>
      </c>
      <c r="AA2">
        <v>40.499725</v>
      </c>
      <c r="AB2">
        <v>-74.239197</v>
      </c>
      <c r="AD2" t="s">
        <v>10839</v>
      </c>
      <c r="AG2" t="s">
        <v>10858</v>
      </c>
      <c r="AH2" t="s">
        <v>10860</v>
      </c>
      <c r="AI2">
        <v>285</v>
      </c>
      <c r="AJ2" t="s">
        <v>10208</v>
      </c>
      <c r="AL2">
        <v>0.7</v>
      </c>
      <c r="AM2" t="s">
        <v>10883</v>
      </c>
      <c r="AN2" t="s">
        <v>10906</v>
      </c>
      <c r="AO2" t="s">
        <v>10999</v>
      </c>
      <c r="AP2" t="s">
        <v>11044</v>
      </c>
      <c r="AR2" t="s">
        <v>11253</v>
      </c>
      <c r="AS2" t="s">
        <v>11593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</row>
    <row r="3" spans="1:59">
      <c r="A3" s="1">
        <f>HYPERLINK("https://lsnyc.legalserver.org/matter/dynamic-profile/view/0799760","16-0799760")</f>
        <v>0</v>
      </c>
      <c r="B3" t="s">
        <v>60</v>
      </c>
      <c r="C3" t="s">
        <v>5001</v>
      </c>
      <c r="D3" t="s">
        <v>9925</v>
      </c>
      <c r="E3" t="s">
        <v>10075</v>
      </c>
      <c r="F3">
        <v>10252</v>
      </c>
      <c r="G3" t="s">
        <v>10089</v>
      </c>
      <c r="H3" t="s">
        <v>10095</v>
      </c>
      <c r="I3" t="s">
        <v>10168</v>
      </c>
      <c r="J3" t="s">
        <v>10209</v>
      </c>
      <c r="K3" t="s">
        <v>10218</v>
      </c>
      <c r="L3" t="s">
        <v>10162</v>
      </c>
      <c r="M3" t="s">
        <v>10229</v>
      </c>
      <c r="N3" t="s">
        <v>10645</v>
      </c>
      <c r="P3" t="s">
        <v>10750</v>
      </c>
      <c r="Q3" t="s">
        <v>10760</v>
      </c>
      <c r="R3" t="s">
        <v>10821</v>
      </c>
      <c r="T3">
        <v>13200</v>
      </c>
      <c r="U3">
        <v>1100</v>
      </c>
      <c r="V3">
        <v>29</v>
      </c>
      <c r="W3">
        <v>1</v>
      </c>
      <c r="X3">
        <v>0</v>
      </c>
      <c r="Y3" t="s">
        <v>10829</v>
      </c>
      <c r="Z3">
        <v>111.11</v>
      </c>
      <c r="AA3">
        <v>40.712775</v>
      </c>
      <c r="AB3">
        <v>-74.005973</v>
      </c>
      <c r="AC3" t="s">
        <v>10837</v>
      </c>
      <c r="AD3" t="s">
        <v>10840</v>
      </c>
      <c r="AG3" t="s">
        <v>10858</v>
      </c>
      <c r="AH3" t="s">
        <v>10861</v>
      </c>
      <c r="AI3">
        <v>234</v>
      </c>
      <c r="AJ3" t="s">
        <v>10214</v>
      </c>
      <c r="AK3" t="s">
        <v>10838</v>
      </c>
      <c r="AL3">
        <v>25</v>
      </c>
      <c r="AQ3" t="s">
        <v>11095</v>
      </c>
      <c r="AR3" t="s">
        <v>11254</v>
      </c>
      <c r="AS3" t="s">
        <v>9925</v>
      </c>
      <c r="AX3" t="s">
        <v>10838</v>
      </c>
      <c r="AY3" t="s">
        <v>10829</v>
      </c>
      <c r="AZ3" t="s">
        <v>11679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</row>
    <row r="4" spans="1:59">
      <c r="A4" s="1">
        <f>HYPERLINK("https://lsnyc.legalserver.org/matter/dynamic-profile/view/1855974","18-1855974")</f>
        <v>0</v>
      </c>
      <c r="B4" t="s">
        <v>61</v>
      </c>
      <c r="C4" t="s">
        <v>5002</v>
      </c>
      <c r="D4" t="s">
        <v>9926</v>
      </c>
      <c r="E4" t="s">
        <v>10075</v>
      </c>
      <c r="F4">
        <v>10468</v>
      </c>
      <c r="G4" t="s">
        <v>10090</v>
      </c>
      <c r="H4" t="s">
        <v>10096</v>
      </c>
      <c r="J4" t="s">
        <v>10210</v>
      </c>
      <c r="K4" t="s">
        <v>10217</v>
      </c>
      <c r="M4" t="s">
        <v>10230</v>
      </c>
      <c r="N4" t="s">
        <v>10646</v>
      </c>
      <c r="P4" t="s">
        <v>10751</v>
      </c>
      <c r="Q4" t="s">
        <v>10761</v>
      </c>
      <c r="R4" t="s">
        <v>10822</v>
      </c>
      <c r="T4">
        <v>2628</v>
      </c>
      <c r="U4">
        <v>219</v>
      </c>
      <c r="V4">
        <v>28</v>
      </c>
      <c r="W4">
        <v>2</v>
      </c>
      <c r="X4">
        <v>0</v>
      </c>
      <c r="Z4">
        <v>16.18</v>
      </c>
      <c r="AA4">
        <v>40.861882</v>
      </c>
      <c r="AB4">
        <v>-73.903336</v>
      </c>
      <c r="AD4" t="s">
        <v>10839</v>
      </c>
      <c r="AG4" t="s">
        <v>10858</v>
      </c>
      <c r="AH4" t="s">
        <v>10862</v>
      </c>
      <c r="AI4">
        <v>230</v>
      </c>
      <c r="AJ4" t="s">
        <v>10210</v>
      </c>
      <c r="AL4">
        <v>1.7</v>
      </c>
      <c r="AM4" t="s">
        <v>10884</v>
      </c>
      <c r="AN4" t="s">
        <v>10907</v>
      </c>
      <c r="AO4" t="s">
        <v>11000</v>
      </c>
      <c r="AP4" t="s">
        <v>11045</v>
      </c>
      <c r="AR4" t="s">
        <v>11255</v>
      </c>
      <c r="AS4" t="s">
        <v>9926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</row>
    <row r="5" spans="1:59">
      <c r="A5" s="1">
        <f>HYPERLINK("https://lsnyc.legalserver.org/matter/dynamic-profile/view/1867702","18-1867702")</f>
        <v>0</v>
      </c>
      <c r="B5" t="s">
        <v>62</v>
      </c>
      <c r="C5" t="s">
        <v>5003</v>
      </c>
      <c r="D5" t="s">
        <v>9926</v>
      </c>
      <c r="E5" t="s">
        <v>10075</v>
      </c>
      <c r="F5">
        <v>10472</v>
      </c>
      <c r="G5" t="s">
        <v>10091</v>
      </c>
      <c r="H5" t="s">
        <v>10097</v>
      </c>
      <c r="I5" t="s">
        <v>10168</v>
      </c>
      <c r="J5" t="s">
        <v>10211</v>
      </c>
      <c r="K5" t="s">
        <v>10218</v>
      </c>
      <c r="L5" t="s">
        <v>10097</v>
      </c>
      <c r="M5" t="s">
        <v>10231</v>
      </c>
      <c r="N5" t="s">
        <v>10647</v>
      </c>
      <c r="P5" t="s">
        <v>10752</v>
      </c>
      <c r="Q5" t="s">
        <v>10762</v>
      </c>
      <c r="R5" t="s">
        <v>10822</v>
      </c>
      <c r="T5">
        <v>21600</v>
      </c>
      <c r="U5">
        <v>1800</v>
      </c>
      <c r="V5">
        <v>44</v>
      </c>
      <c r="W5">
        <v>2</v>
      </c>
      <c r="X5">
        <v>0</v>
      </c>
      <c r="Y5" t="s">
        <v>10829</v>
      </c>
      <c r="Z5">
        <v>131.23</v>
      </c>
      <c r="AA5">
        <v>40.830593</v>
      </c>
      <c r="AB5">
        <v>-73.869665</v>
      </c>
      <c r="AD5" t="s">
        <v>10839</v>
      </c>
      <c r="AG5" t="s">
        <v>10858</v>
      </c>
      <c r="AH5" t="s">
        <v>10863</v>
      </c>
      <c r="AI5">
        <v>235</v>
      </c>
      <c r="AJ5" t="s">
        <v>10211</v>
      </c>
      <c r="AK5" t="s">
        <v>10882</v>
      </c>
      <c r="AL5">
        <v>0.25</v>
      </c>
      <c r="AM5" t="s">
        <v>10884</v>
      </c>
      <c r="AN5" t="s">
        <v>10908</v>
      </c>
      <c r="AO5" t="s">
        <v>11001</v>
      </c>
      <c r="AP5" t="s">
        <v>11046</v>
      </c>
      <c r="AR5" t="s">
        <v>11256</v>
      </c>
      <c r="AS5" t="s">
        <v>9926</v>
      </c>
      <c r="AY5" t="s">
        <v>10829</v>
      </c>
      <c r="AZ5" t="s">
        <v>11680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</row>
    <row r="6" spans="1:59">
      <c r="A6" s="1">
        <f>HYPERLINK("https://lsnyc.legalserver.org/matter/dynamic-profile/view/1875884","18-1875884")</f>
        <v>0</v>
      </c>
      <c r="B6" t="s">
        <v>63</v>
      </c>
      <c r="C6" t="s">
        <v>5004</v>
      </c>
      <c r="D6" t="s">
        <v>9926</v>
      </c>
      <c r="E6" t="s">
        <v>10075</v>
      </c>
      <c r="F6">
        <v>10473</v>
      </c>
      <c r="G6" t="s">
        <v>10091</v>
      </c>
      <c r="H6" t="s">
        <v>10097</v>
      </c>
      <c r="I6" t="s">
        <v>10168</v>
      </c>
      <c r="J6" t="s">
        <v>10211</v>
      </c>
      <c r="K6" t="s">
        <v>10218</v>
      </c>
      <c r="L6" t="s">
        <v>10097</v>
      </c>
      <c r="M6" t="s">
        <v>10231</v>
      </c>
      <c r="N6" t="s">
        <v>10647</v>
      </c>
      <c r="P6" t="s">
        <v>10752</v>
      </c>
      <c r="Q6" t="s">
        <v>10762</v>
      </c>
      <c r="R6" t="s">
        <v>10822</v>
      </c>
      <c r="T6">
        <v>8748</v>
      </c>
      <c r="U6">
        <v>729</v>
      </c>
      <c r="V6">
        <v>68</v>
      </c>
      <c r="W6">
        <v>3</v>
      </c>
      <c r="X6">
        <v>0</v>
      </c>
      <c r="Y6" t="s">
        <v>10829</v>
      </c>
      <c r="Z6">
        <v>42.1</v>
      </c>
      <c r="AA6">
        <v>40.826966</v>
      </c>
      <c r="AB6">
        <v>-73.847504</v>
      </c>
      <c r="AD6" t="s">
        <v>10840</v>
      </c>
      <c r="AG6" t="s">
        <v>10858</v>
      </c>
      <c r="AH6" t="s">
        <v>10863</v>
      </c>
      <c r="AI6">
        <v>235</v>
      </c>
      <c r="AJ6" t="s">
        <v>10211</v>
      </c>
      <c r="AK6" t="s">
        <v>10882</v>
      </c>
      <c r="AL6">
        <v>0.2</v>
      </c>
      <c r="AM6" t="s">
        <v>10884</v>
      </c>
      <c r="AN6" t="s">
        <v>10908</v>
      </c>
      <c r="AO6" t="s">
        <v>11002</v>
      </c>
      <c r="AP6" t="s">
        <v>11046</v>
      </c>
      <c r="AR6" t="s">
        <v>10180</v>
      </c>
      <c r="AS6" t="s">
        <v>9926</v>
      </c>
      <c r="AY6" t="s">
        <v>10829</v>
      </c>
      <c r="AZ6" t="s">
        <v>11680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</row>
    <row r="7" spans="1:59">
      <c r="A7" s="1">
        <f>HYPERLINK("https://lsnyc.legalserver.org/matter/dynamic-profile/view/1882440","18-1882440")</f>
        <v>0</v>
      </c>
      <c r="B7" t="s">
        <v>64</v>
      </c>
      <c r="C7" t="s">
        <v>5005</v>
      </c>
      <c r="D7" t="s">
        <v>9927</v>
      </c>
      <c r="E7" t="s">
        <v>10075</v>
      </c>
      <c r="F7">
        <v>11377</v>
      </c>
      <c r="G7" t="s">
        <v>10092</v>
      </c>
      <c r="H7" t="s">
        <v>10098</v>
      </c>
      <c r="I7" t="s">
        <v>10169</v>
      </c>
      <c r="J7" t="s">
        <v>10212</v>
      </c>
      <c r="K7" t="s">
        <v>10217</v>
      </c>
      <c r="M7" t="s">
        <v>10232</v>
      </c>
      <c r="N7" t="s">
        <v>10648</v>
      </c>
      <c r="P7" t="s">
        <v>10753</v>
      </c>
      <c r="Q7" t="s">
        <v>10763</v>
      </c>
      <c r="R7" t="s">
        <v>10823</v>
      </c>
      <c r="T7">
        <v>20800</v>
      </c>
      <c r="U7">
        <v>1733.33</v>
      </c>
      <c r="V7">
        <v>43</v>
      </c>
      <c r="W7">
        <v>1</v>
      </c>
      <c r="X7">
        <v>0</v>
      </c>
      <c r="Z7">
        <v>171.33</v>
      </c>
      <c r="AA7">
        <v>40.746733</v>
      </c>
      <c r="AB7">
        <v>-73.89998799999999</v>
      </c>
      <c r="AD7" t="s">
        <v>10839</v>
      </c>
      <c r="AF7" t="s">
        <v>10842</v>
      </c>
      <c r="AG7" t="s">
        <v>10859</v>
      </c>
      <c r="AH7" t="s">
        <v>10864</v>
      </c>
      <c r="AI7">
        <v>237</v>
      </c>
      <c r="AJ7" t="s">
        <v>10212</v>
      </c>
      <c r="AL7">
        <v>3</v>
      </c>
      <c r="AM7" t="s">
        <v>10885</v>
      </c>
      <c r="AN7" t="s">
        <v>10909</v>
      </c>
      <c r="AO7" t="s">
        <v>11003</v>
      </c>
      <c r="AP7" t="s">
        <v>11047</v>
      </c>
      <c r="AQ7" t="s">
        <v>11096</v>
      </c>
      <c r="AR7" t="s">
        <v>11257</v>
      </c>
      <c r="AS7" t="s">
        <v>11594</v>
      </c>
      <c r="AT7" t="s">
        <v>11641</v>
      </c>
      <c r="AX7" t="s">
        <v>10838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</row>
    <row r="8" spans="1:59">
      <c r="A8" s="1">
        <f>HYPERLINK("https://lsnyc.legalserver.org/matter/dynamic-profile/view/1890919","19-1890919")</f>
        <v>0</v>
      </c>
      <c r="B8" t="s">
        <v>65</v>
      </c>
      <c r="C8" t="s">
        <v>5006</v>
      </c>
      <c r="D8" t="s">
        <v>9925</v>
      </c>
      <c r="E8" t="s">
        <v>10075</v>
      </c>
      <c r="F8">
        <v>10002</v>
      </c>
      <c r="G8" t="s">
        <v>10089</v>
      </c>
      <c r="H8" t="s">
        <v>10099</v>
      </c>
      <c r="I8" t="s">
        <v>10169</v>
      </c>
      <c r="J8" t="s">
        <v>10209</v>
      </c>
      <c r="K8" t="s">
        <v>10217</v>
      </c>
      <c r="M8" t="s">
        <v>10233</v>
      </c>
      <c r="N8" t="s">
        <v>10649</v>
      </c>
      <c r="P8" t="s">
        <v>10753</v>
      </c>
      <c r="Q8" t="s">
        <v>10763</v>
      </c>
      <c r="R8" t="s">
        <v>10823</v>
      </c>
      <c r="T8">
        <v>9468</v>
      </c>
      <c r="U8">
        <v>789</v>
      </c>
      <c r="V8">
        <v>57</v>
      </c>
      <c r="W8">
        <v>1</v>
      </c>
      <c r="X8">
        <v>0</v>
      </c>
      <c r="Z8">
        <v>75.8</v>
      </c>
      <c r="AA8">
        <v>40.716271</v>
      </c>
      <c r="AB8">
        <v>-73.979302</v>
      </c>
      <c r="AD8" t="s">
        <v>10839</v>
      </c>
      <c r="AF8" t="s">
        <v>10843</v>
      </c>
      <c r="AG8" t="s">
        <v>10859</v>
      </c>
      <c r="AH8" t="s">
        <v>10864</v>
      </c>
      <c r="AI8">
        <v>236</v>
      </c>
      <c r="AJ8" t="s">
        <v>10209</v>
      </c>
      <c r="AL8">
        <v>1</v>
      </c>
      <c r="AM8" t="s">
        <v>10886</v>
      </c>
      <c r="AN8" t="s">
        <v>10910</v>
      </c>
      <c r="AO8" t="s">
        <v>11004</v>
      </c>
      <c r="AP8" t="s">
        <v>11048</v>
      </c>
      <c r="AQ8" t="s">
        <v>11097</v>
      </c>
      <c r="AR8" t="s">
        <v>11258</v>
      </c>
      <c r="AS8" t="s">
        <v>9925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</row>
    <row r="9" spans="1:59">
      <c r="A9" s="1">
        <f>HYPERLINK("https://lsnyc.legalserver.org/matter/dynamic-profile/view/1892218","19-1892218")</f>
        <v>0</v>
      </c>
      <c r="B9" t="s">
        <v>66</v>
      </c>
      <c r="C9" t="s">
        <v>5007</v>
      </c>
      <c r="D9" t="s">
        <v>9926</v>
      </c>
      <c r="E9" t="s">
        <v>10075</v>
      </c>
      <c r="F9">
        <v>10461</v>
      </c>
      <c r="G9" t="s">
        <v>10090</v>
      </c>
      <c r="H9" t="s">
        <v>10094</v>
      </c>
      <c r="I9" t="s">
        <v>10169</v>
      </c>
      <c r="J9" t="s">
        <v>10210</v>
      </c>
      <c r="K9" t="s">
        <v>10217</v>
      </c>
      <c r="M9" t="s">
        <v>10234</v>
      </c>
      <c r="N9" t="s">
        <v>10650</v>
      </c>
      <c r="P9" t="s">
        <v>10749</v>
      </c>
      <c r="Q9" t="s">
        <v>10764</v>
      </c>
      <c r="R9" t="s">
        <v>10821</v>
      </c>
      <c r="T9">
        <v>20200</v>
      </c>
      <c r="U9">
        <v>1683.33</v>
      </c>
      <c r="V9">
        <v>56</v>
      </c>
      <c r="W9">
        <v>1</v>
      </c>
      <c r="X9">
        <v>0</v>
      </c>
      <c r="Z9">
        <v>161.73</v>
      </c>
      <c r="AA9">
        <v>40.846001</v>
      </c>
      <c r="AB9">
        <v>-73.848341</v>
      </c>
      <c r="AD9" t="s">
        <v>10839</v>
      </c>
      <c r="AG9" t="s">
        <v>10858</v>
      </c>
      <c r="AH9" t="s">
        <v>10862</v>
      </c>
      <c r="AI9">
        <v>230</v>
      </c>
      <c r="AJ9" t="s">
        <v>10210</v>
      </c>
      <c r="AL9">
        <v>23.7</v>
      </c>
      <c r="AM9" t="s">
        <v>10885</v>
      </c>
      <c r="AN9" t="s">
        <v>10911</v>
      </c>
      <c r="AO9" t="s">
        <v>11002</v>
      </c>
      <c r="AP9" t="s">
        <v>11049</v>
      </c>
      <c r="AR9" t="s">
        <v>11259</v>
      </c>
      <c r="AS9" t="s">
        <v>9926</v>
      </c>
      <c r="BA9" t="s">
        <v>11737</v>
      </c>
      <c r="BB9">
        <v>0</v>
      </c>
      <c r="BC9">
        <v>0</v>
      </c>
      <c r="BD9">
        <v>0</v>
      </c>
      <c r="BE9">
        <v>0</v>
      </c>
      <c r="BF9">
        <v>3</v>
      </c>
      <c r="BG9">
        <v>0</v>
      </c>
    </row>
    <row r="10" spans="1:59">
      <c r="A10" s="1">
        <f>HYPERLINK("https://lsnyc.legalserver.org/matter/dynamic-profile/view/1892908","19-1892908")</f>
        <v>0</v>
      </c>
      <c r="B10" t="s">
        <v>67</v>
      </c>
      <c r="C10" t="s">
        <v>5008</v>
      </c>
      <c r="D10" t="s">
        <v>9926</v>
      </c>
      <c r="E10" t="s">
        <v>10075</v>
      </c>
      <c r="F10">
        <v>10468</v>
      </c>
      <c r="G10" t="s">
        <v>10090</v>
      </c>
      <c r="H10" t="s">
        <v>10100</v>
      </c>
      <c r="I10" t="s">
        <v>10169</v>
      </c>
      <c r="J10" t="s">
        <v>10210</v>
      </c>
      <c r="K10" t="s">
        <v>10217</v>
      </c>
      <c r="M10" t="s">
        <v>10235</v>
      </c>
      <c r="N10" t="s">
        <v>10651</v>
      </c>
      <c r="P10" t="s">
        <v>10749</v>
      </c>
      <c r="Q10" t="s">
        <v>10765</v>
      </c>
      <c r="R10" t="s">
        <v>10821</v>
      </c>
      <c r="T10">
        <v>21500</v>
      </c>
      <c r="U10">
        <v>1791.67</v>
      </c>
      <c r="V10">
        <v>33</v>
      </c>
      <c r="W10">
        <v>2</v>
      </c>
      <c r="X10">
        <v>1</v>
      </c>
      <c r="Z10">
        <v>100.8</v>
      </c>
      <c r="AA10">
        <v>40.868879</v>
      </c>
      <c r="AB10">
        <v>-73.892877</v>
      </c>
      <c r="AD10" t="s">
        <v>10840</v>
      </c>
      <c r="AF10" t="s">
        <v>10844</v>
      </c>
      <c r="AG10" t="s">
        <v>10859</v>
      </c>
      <c r="AH10" t="s">
        <v>10862</v>
      </c>
      <c r="AI10">
        <v>230</v>
      </c>
      <c r="AJ10" t="s">
        <v>10210</v>
      </c>
      <c r="AL10">
        <v>3.5</v>
      </c>
      <c r="AM10" t="s">
        <v>10887</v>
      </c>
      <c r="AN10" t="s">
        <v>10907</v>
      </c>
      <c r="AO10" t="s">
        <v>11000</v>
      </c>
      <c r="AP10" t="s">
        <v>11045</v>
      </c>
      <c r="AR10" t="s">
        <v>11257</v>
      </c>
      <c r="AS10" t="s">
        <v>9926</v>
      </c>
      <c r="AT10" t="s">
        <v>11642</v>
      </c>
      <c r="BA10" t="s">
        <v>11738</v>
      </c>
      <c r="BB10">
        <v>0</v>
      </c>
      <c r="BC10">
        <v>0</v>
      </c>
      <c r="BD10">
        <v>0</v>
      </c>
      <c r="BE10">
        <v>0</v>
      </c>
      <c r="BF10">
        <v>5</v>
      </c>
      <c r="BG10">
        <v>0</v>
      </c>
    </row>
    <row r="11" spans="1:59">
      <c r="A11" s="1">
        <f>HYPERLINK("https://lsnyc.legalserver.org/matter/dynamic-profile/view/1894553","19-1894553")</f>
        <v>0</v>
      </c>
      <c r="B11" t="s">
        <v>68</v>
      </c>
      <c r="C11" t="s">
        <v>5009</v>
      </c>
      <c r="D11" t="s">
        <v>9928</v>
      </c>
      <c r="E11" t="s">
        <v>10075</v>
      </c>
      <c r="F11">
        <v>11225</v>
      </c>
      <c r="G11" t="s">
        <v>10093</v>
      </c>
      <c r="H11" t="s">
        <v>10101</v>
      </c>
      <c r="I11" t="s">
        <v>10168</v>
      </c>
      <c r="J11" t="s">
        <v>10213</v>
      </c>
      <c r="K11" t="s">
        <v>10217</v>
      </c>
      <c r="M11" t="s">
        <v>10236</v>
      </c>
      <c r="N11" t="s">
        <v>10650</v>
      </c>
      <c r="P11" t="s">
        <v>10749</v>
      </c>
      <c r="Q11" t="s">
        <v>10765</v>
      </c>
      <c r="R11" t="s">
        <v>10824</v>
      </c>
      <c r="T11">
        <v>12000</v>
      </c>
      <c r="U11">
        <v>1000</v>
      </c>
      <c r="V11">
        <v>64</v>
      </c>
      <c r="W11">
        <v>1</v>
      </c>
      <c r="X11">
        <v>0</v>
      </c>
      <c r="Z11">
        <v>96.08</v>
      </c>
      <c r="AA11">
        <v>40.65869</v>
      </c>
      <c r="AB11">
        <v>-73.96026000000001</v>
      </c>
      <c r="AD11" t="s">
        <v>10839</v>
      </c>
      <c r="AG11" t="s">
        <v>10858</v>
      </c>
      <c r="AH11" t="s">
        <v>10862</v>
      </c>
      <c r="AI11">
        <v>239</v>
      </c>
      <c r="AJ11" t="s">
        <v>10213</v>
      </c>
      <c r="AL11">
        <v>0.2</v>
      </c>
      <c r="AM11" t="s">
        <v>10888</v>
      </c>
      <c r="AN11" t="s">
        <v>10912</v>
      </c>
      <c r="AO11" t="s">
        <v>11005</v>
      </c>
      <c r="AP11" t="s">
        <v>11050</v>
      </c>
      <c r="AR11" t="s">
        <v>11257</v>
      </c>
      <c r="AS11" t="s">
        <v>11595</v>
      </c>
      <c r="BA11" t="s">
        <v>11739</v>
      </c>
      <c r="BB11">
        <v>0</v>
      </c>
      <c r="BC11">
        <v>0</v>
      </c>
      <c r="BD11">
        <v>0</v>
      </c>
      <c r="BE11">
        <v>0</v>
      </c>
      <c r="BF11">
        <v>4</v>
      </c>
      <c r="BG11">
        <v>0</v>
      </c>
    </row>
    <row r="12" spans="1:59">
      <c r="A12" s="1">
        <f>HYPERLINK("https://lsnyc.legalserver.org/matter/dynamic-profile/view/1895159","19-1895159")</f>
        <v>0</v>
      </c>
      <c r="B12" t="s">
        <v>69</v>
      </c>
      <c r="C12" t="s">
        <v>5010</v>
      </c>
      <c r="D12" t="s">
        <v>9929</v>
      </c>
      <c r="E12" t="s">
        <v>10075</v>
      </c>
      <c r="F12">
        <v>10301</v>
      </c>
      <c r="G12" t="s">
        <v>10088</v>
      </c>
      <c r="H12" t="s">
        <v>10095</v>
      </c>
      <c r="I12" t="s">
        <v>10168</v>
      </c>
      <c r="J12" t="s">
        <v>10208</v>
      </c>
      <c r="K12" t="s">
        <v>10217</v>
      </c>
      <c r="M12" t="s">
        <v>10237</v>
      </c>
      <c r="N12" t="s">
        <v>10652</v>
      </c>
      <c r="P12" t="s">
        <v>10754</v>
      </c>
      <c r="Q12" t="s">
        <v>10766</v>
      </c>
      <c r="R12" t="s">
        <v>10821</v>
      </c>
      <c r="T12">
        <v>1308</v>
      </c>
      <c r="U12">
        <v>109</v>
      </c>
      <c r="V12">
        <v>26</v>
      </c>
      <c r="W12">
        <v>2</v>
      </c>
      <c r="X12">
        <v>2</v>
      </c>
      <c r="Z12">
        <v>5.08</v>
      </c>
      <c r="AA12">
        <v>40.635928</v>
      </c>
      <c r="AB12">
        <v>-74.08129599999999</v>
      </c>
      <c r="AD12" t="s">
        <v>10839</v>
      </c>
      <c r="AG12" t="s">
        <v>10858</v>
      </c>
      <c r="AH12" t="s">
        <v>10865</v>
      </c>
      <c r="AI12">
        <v>285</v>
      </c>
      <c r="AJ12" t="s">
        <v>10208</v>
      </c>
      <c r="AL12">
        <v>0.9</v>
      </c>
      <c r="AM12" t="s">
        <v>10883</v>
      </c>
      <c r="AN12" t="s">
        <v>10913</v>
      </c>
      <c r="AO12" t="s">
        <v>11006</v>
      </c>
      <c r="AP12" t="s">
        <v>11051</v>
      </c>
      <c r="AR12" t="s">
        <v>11260</v>
      </c>
      <c r="AS12" t="s">
        <v>11593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</row>
    <row r="13" spans="1:59">
      <c r="A13" s="1">
        <f>HYPERLINK("https://lsnyc.legalserver.org/matter/dynamic-profile/view/1895547","19-1895547")</f>
        <v>0</v>
      </c>
      <c r="B13" t="s">
        <v>70</v>
      </c>
      <c r="C13" t="s">
        <v>5011</v>
      </c>
      <c r="D13" t="s">
        <v>9928</v>
      </c>
      <c r="E13" t="s">
        <v>10075</v>
      </c>
      <c r="F13">
        <v>11221</v>
      </c>
      <c r="G13" t="s">
        <v>10093</v>
      </c>
      <c r="H13" t="s">
        <v>10102</v>
      </c>
      <c r="J13" t="s">
        <v>10213</v>
      </c>
      <c r="K13" t="s">
        <v>10218</v>
      </c>
      <c r="L13" t="s">
        <v>10158</v>
      </c>
      <c r="M13" t="s">
        <v>10238</v>
      </c>
      <c r="N13" t="s">
        <v>10653</v>
      </c>
      <c r="P13" t="s">
        <v>10749</v>
      </c>
      <c r="Q13" t="s">
        <v>10759</v>
      </c>
      <c r="R13" t="s">
        <v>10824</v>
      </c>
      <c r="T13">
        <v>46524</v>
      </c>
      <c r="U13">
        <v>3877</v>
      </c>
      <c r="V13">
        <v>65</v>
      </c>
      <c r="W13">
        <v>2</v>
      </c>
      <c r="X13">
        <v>2</v>
      </c>
      <c r="Y13" t="s">
        <v>10829</v>
      </c>
      <c r="Z13">
        <v>180.68</v>
      </c>
      <c r="AA13">
        <v>40.690034</v>
      </c>
      <c r="AB13">
        <v>-73.932371</v>
      </c>
      <c r="AC13" t="s">
        <v>10838</v>
      </c>
      <c r="AD13" t="s">
        <v>10840</v>
      </c>
      <c r="AF13" t="s">
        <v>10843</v>
      </c>
      <c r="AG13" t="s">
        <v>10859</v>
      </c>
      <c r="AH13" t="s">
        <v>10860</v>
      </c>
      <c r="AI13">
        <v>239</v>
      </c>
      <c r="AJ13" t="s">
        <v>10213</v>
      </c>
      <c r="AK13" t="s">
        <v>10882</v>
      </c>
      <c r="AL13">
        <v>17.1</v>
      </c>
      <c r="AM13" t="s">
        <v>10889</v>
      </c>
      <c r="AN13" t="s">
        <v>10914</v>
      </c>
      <c r="AO13" t="s">
        <v>11007</v>
      </c>
      <c r="AP13" t="s">
        <v>11052</v>
      </c>
      <c r="AQ13" t="s">
        <v>11098</v>
      </c>
      <c r="AR13" t="s">
        <v>11261</v>
      </c>
      <c r="AS13" t="s">
        <v>11595</v>
      </c>
      <c r="AY13" t="s">
        <v>10829</v>
      </c>
      <c r="AZ13" t="s">
        <v>11681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</row>
    <row r="14" spans="1:59">
      <c r="A14" s="1">
        <f>HYPERLINK("https://lsnyc.legalserver.org/matter/dynamic-profile/view/1898066","19-1898066")</f>
        <v>0</v>
      </c>
      <c r="B14" t="s">
        <v>71</v>
      </c>
      <c r="C14" t="s">
        <v>5012</v>
      </c>
      <c r="D14" t="s">
        <v>9928</v>
      </c>
      <c r="E14" t="s">
        <v>10075</v>
      </c>
      <c r="F14">
        <v>11226</v>
      </c>
      <c r="G14" t="s">
        <v>10093</v>
      </c>
      <c r="H14" t="s">
        <v>10103</v>
      </c>
      <c r="I14" t="s">
        <v>10168</v>
      </c>
      <c r="J14" t="s">
        <v>10213</v>
      </c>
      <c r="K14" t="s">
        <v>10217</v>
      </c>
      <c r="M14" t="s">
        <v>10239</v>
      </c>
      <c r="N14" t="s">
        <v>10650</v>
      </c>
      <c r="P14" t="s">
        <v>10749</v>
      </c>
      <c r="Q14" t="s">
        <v>10765</v>
      </c>
      <c r="R14" t="s">
        <v>10824</v>
      </c>
      <c r="T14">
        <v>70000</v>
      </c>
      <c r="U14">
        <v>5833.33</v>
      </c>
      <c r="V14">
        <v>50</v>
      </c>
      <c r="W14">
        <v>3</v>
      </c>
      <c r="X14">
        <v>0</v>
      </c>
      <c r="Z14">
        <v>328.18</v>
      </c>
      <c r="AA14">
        <v>40.651979</v>
      </c>
      <c r="AB14">
        <v>-73.95715300000001</v>
      </c>
      <c r="AD14" t="s">
        <v>10839</v>
      </c>
      <c r="AG14" t="s">
        <v>10858</v>
      </c>
      <c r="AH14" t="s">
        <v>10862</v>
      </c>
      <c r="AI14">
        <v>239</v>
      </c>
      <c r="AJ14" t="s">
        <v>10213</v>
      </c>
      <c r="AL14">
        <v>0</v>
      </c>
      <c r="AM14" t="s">
        <v>10888</v>
      </c>
      <c r="AN14" t="s">
        <v>10912</v>
      </c>
      <c r="AO14" t="s">
        <v>11008</v>
      </c>
      <c r="AP14" t="s">
        <v>11050</v>
      </c>
      <c r="AR14" t="s">
        <v>11257</v>
      </c>
      <c r="AS14" t="s">
        <v>11595</v>
      </c>
      <c r="BA14" t="s">
        <v>11738</v>
      </c>
      <c r="BB14">
        <v>0</v>
      </c>
      <c r="BC14">
        <v>0</v>
      </c>
      <c r="BD14">
        <v>0</v>
      </c>
      <c r="BE14">
        <v>0</v>
      </c>
      <c r="BF14">
        <v>5</v>
      </c>
      <c r="BG14">
        <v>0</v>
      </c>
    </row>
    <row r="15" spans="1:59">
      <c r="A15" s="1">
        <f>HYPERLINK("https://lsnyc.legalserver.org/matter/dynamic-profile/view/1898116","19-1898116")</f>
        <v>0</v>
      </c>
      <c r="B15" t="s">
        <v>72</v>
      </c>
      <c r="C15" t="s">
        <v>5013</v>
      </c>
      <c r="D15" t="s">
        <v>9929</v>
      </c>
      <c r="E15" t="s">
        <v>10075</v>
      </c>
      <c r="F15">
        <v>10301</v>
      </c>
      <c r="G15" t="s">
        <v>10088</v>
      </c>
      <c r="H15" t="s">
        <v>10104</v>
      </c>
      <c r="I15" t="s">
        <v>10168</v>
      </c>
      <c r="J15" t="s">
        <v>10208</v>
      </c>
      <c r="K15" t="s">
        <v>10217</v>
      </c>
      <c r="M15" t="s">
        <v>10240</v>
      </c>
      <c r="N15" t="s">
        <v>10650</v>
      </c>
      <c r="P15" t="s">
        <v>10749</v>
      </c>
      <c r="Q15" t="s">
        <v>10765</v>
      </c>
      <c r="R15" t="s">
        <v>10821</v>
      </c>
      <c r="T15">
        <v>17679.96</v>
      </c>
      <c r="U15">
        <v>1473.33</v>
      </c>
      <c r="V15">
        <v>28</v>
      </c>
      <c r="W15">
        <v>1</v>
      </c>
      <c r="X15">
        <v>2</v>
      </c>
      <c r="Z15">
        <v>82.89</v>
      </c>
      <c r="AA15">
        <v>40.640966</v>
      </c>
      <c r="AB15">
        <v>-74.086788</v>
      </c>
      <c r="AD15" t="s">
        <v>10839</v>
      </c>
      <c r="AG15" t="s">
        <v>10858</v>
      </c>
      <c r="AH15" t="s">
        <v>10862</v>
      </c>
      <c r="AI15">
        <v>285</v>
      </c>
      <c r="AJ15" t="s">
        <v>10208</v>
      </c>
      <c r="AL15">
        <v>17.7</v>
      </c>
      <c r="AM15" t="s">
        <v>10883</v>
      </c>
      <c r="AN15" t="s">
        <v>10913</v>
      </c>
      <c r="AO15" t="s">
        <v>11006</v>
      </c>
      <c r="AP15" t="s">
        <v>11051</v>
      </c>
      <c r="AR15" t="s">
        <v>11262</v>
      </c>
      <c r="AS15" t="s">
        <v>11593</v>
      </c>
      <c r="BA15" t="s">
        <v>11738</v>
      </c>
      <c r="BB15">
        <v>0</v>
      </c>
      <c r="BC15">
        <v>0</v>
      </c>
      <c r="BD15">
        <v>0</v>
      </c>
      <c r="BE15">
        <v>0</v>
      </c>
      <c r="BF15">
        <v>5</v>
      </c>
      <c r="BG15">
        <v>0</v>
      </c>
    </row>
    <row r="16" spans="1:59">
      <c r="A16" s="1">
        <f>HYPERLINK("https://lsnyc.legalserver.org/matter/dynamic-profile/view/1898980","19-1898980")</f>
        <v>0</v>
      </c>
      <c r="B16" t="s">
        <v>73</v>
      </c>
      <c r="C16" t="s">
        <v>5014</v>
      </c>
      <c r="D16" t="s">
        <v>9929</v>
      </c>
      <c r="E16" t="s">
        <v>10075</v>
      </c>
      <c r="F16">
        <v>10305</v>
      </c>
      <c r="G16" t="s">
        <v>10088</v>
      </c>
      <c r="H16" t="s">
        <v>10105</v>
      </c>
      <c r="I16" t="s">
        <v>10168</v>
      </c>
      <c r="J16" t="s">
        <v>10208</v>
      </c>
      <c r="K16" t="s">
        <v>10217</v>
      </c>
      <c r="M16" t="s">
        <v>10240</v>
      </c>
      <c r="N16" t="s">
        <v>10654</v>
      </c>
      <c r="P16" t="s">
        <v>10749</v>
      </c>
      <c r="Q16" t="s">
        <v>10765</v>
      </c>
      <c r="R16" t="s">
        <v>10823</v>
      </c>
      <c r="T16">
        <v>18000</v>
      </c>
      <c r="U16">
        <v>1500</v>
      </c>
      <c r="V16">
        <v>72</v>
      </c>
      <c r="W16">
        <v>1</v>
      </c>
      <c r="X16">
        <v>0</v>
      </c>
      <c r="Z16">
        <v>144.12</v>
      </c>
      <c r="AA16">
        <v>40.611645</v>
      </c>
      <c r="AB16">
        <v>-74.063013</v>
      </c>
      <c r="AD16" t="s">
        <v>10839</v>
      </c>
      <c r="AG16" t="s">
        <v>10858</v>
      </c>
      <c r="AH16" t="s">
        <v>10862</v>
      </c>
      <c r="AI16">
        <v>285</v>
      </c>
      <c r="AJ16" t="s">
        <v>10208</v>
      </c>
      <c r="AL16">
        <v>10.25</v>
      </c>
      <c r="AM16" t="s">
        <v>10883</v>
      </c>
      <c r="AN16" t="s">
        <v>10915</v>
      </c>
      <c r="AO16" t="s">
        <v>11006</v>
      </c>
      <c r="AP16" t="s">
        <v>11051</v>
      </c>
      <c r="AR16" t="s">
        <v>11263</v>
      </c>
      <c r="AS16" t="s">
        <v>11593</v>
      </c>
      <c r="BA16" t="s">
        <v>11738</v>
      </c>
      <c r="BB16">
        <v>0</v>
      </c>
      <c r="BC16">
        <v>0</v>
      </c>
      <c r="BD16">
        <v>0</v>
      </c>
      <c r="BE16">
        <v>0</v>
      </c>
      <c r="BF16">
        <v>5</v>
      </c>
      <c r="BG16">
        <v>0</v>
      </c>
    </row>
    <row r="17" spans="1:59">
      <c r="A17" s="1">
        <f>HYPERLINK("https://lsnyc.legalserver.org/matter/dynamic-profile/view/1899102","19-1899102")</f>
        <v>0</v>
      </c>
      <c r="B17" t="s">
        <v>74</v>
      </c>
      <c r="C17" t="s">
        <v>5015</v>
      </c>
      <c r="D17" t="s">
        <v>9929</v>
      </c>
      <c r="E17" t="s">
        <v>10075</v>
      </c>
      <c r="F17">
        <v>10310</v>
      </c>
      <c r="G17" t="s">
        <v>10088</v>
      </c>
      <c r="H17" t="s">
        <v>10106</v>
      </c>
      <c r="I17" t="s">
        <v>10168</v>
      </c>
      <c r="J17" t="s">
        <v>10208</v>
      </c>
      <c r="K17" t="s">
        <v>10217</v>
      </c>
      <c r="M17" t="s">
        <v>10241</v>
      </c>
      <c r="N17" t="s">
        <v>10655</v>
      </c>
      <c r="P17" t="s">
        <v>10749</v>
      </c>
      <c r="Q17" t="s">
        <v>10767</v>
      </c>
      <c r="R17" t="s">
        <v>10824</v>
      </c>
      <c r="T17">
        <v>49452</v>
      </c>
      <c r="U17">
        <v>4121</v>
      </c>
      <c r="V17">
        <v>71</v>
      </c>
      <c r="W17">
        <v>1</v>
      </c>
      <c r="X17">
        <v>0</v>
      </c>
      <c r="Z17">
        <v>395.93</v>
      </c>
      <c r="AA17">
        <v>40.635067</v>
      </c>
      <c r="AB17">
        <v>-74.117538</v>
      </c>
      <c r="AD17" t="s">
        <v>10839</v>
      </c>
      <c r="AG17" t="s">
        <v>10858</v>
      </c>
      <c r="AH17" t="s">
        <v>10862</v>
      </c>
      <c r="AI17">
        <v>285</v>
      </c>
      <c r="AJ17" t="s">
        <v>10208</v>
      </c>
      <c r="AL17">
        <v>3</v>
      </c>
      <c r="AM17" t="s">
        <v>10883</v>
      </c>
      <c r="AN17" t="s">
        <v>10913</v>
      </c>
      <c r="AO17" t="s">
        <v>11006</v>
      </c>
      <c r="AP17" t="s">
        <v>11051</v>
      </c>
      <c r="AR17" t="s">
        <v>11264</v>
      </c>
      <c r="AS17" t="s">
        <v>11593</v>
      </c>
      <c r="BA17" t="s">
        <v>11740</v>
      </c>
      <c r="BB17">
        <v>0</v>
      </c>
      <c r="BC17">
        <v>0</v>
      </c>
      <c r="BD17">
        <v>0</v>
      </c>
      <c r="BE17">
        <v>0</v>
      </c>
      <c r="BF17">
        <v>2</v>
      </c>
      <c r="BG17">
        <v>0</v>
      </c>
    </row>
    <row r="18" spans="1:59">
      <c r="A18" s="1">
        <f>HYPERLINK("https://lsnyc.legalserver.org/matter/dynamic-profile/view/1899123","19-1899123")</f>
        <v>0</v>
      </c>
      <c r="B18" t="s">
        <v>75</v>
      </c>
      <c r="C18" t="s">
        <v>5016</v>
      </c>
      <c r="D18" t="s">
        <v>9929</v>
      </c>
      <c r="E18" t="s">
        <v>10075</v>
      </c>
      <c r="F18">
        <v>10306</v>
      </c>
      <c r="G18" t="s">
        <v>10088</v>
      </c>
      <c r="H18" t="s">
        <v>10107</v>
      </c>
      <c r="I18" t="s">
        <v>10168</v>
      </c>
      <c r="J18" t="s">
        <v>10208</v>
      </c>
      <c r="K18" t="s">
        <v>10217</v>
      </c>
      <c r="M18" t="s">
        <v>10240</v>
      </c>
      <c r="N18" t="s">
        <v>10654</v>
      </c>
      <c r="P18" t="s">
        <v>10749</v>
      </c>
      <c r="Q18" t="s">
        <v>10765</v>
      </c>
      <c r="R18" t="s">
        <v>10820</v>
      </c>
      <c r="T18">
        <v>26000</v>
      </c>
      <c r="U18">
        <v>2166.67</v>
      </c>
      <c r="V18">
        <v>59</v>
      </c>
      <c r="W18">
        <v>3</v>
      </c>
      <c r="X18">
        <v>0</v>
      </c>
      <c r="Z18">
        <v>121.89</v>
      </c>
      <c r="AA18">
        <v>40.555419</v>
      </c>
      <c r="AB18">
        <v>-74.134663</v>
      </c>
      <c r="AD18" t="s">
        <v>10840</v>
      </c>
      <c r="AG18" t="s">
        <v>10858</v>
      </c>
      <c r="AH18" t="s">
        <v>10861</v>
      </c>
      <c r="AI18">
        <v>285</v>
      </c>
      <c r="AJ18" t="s">
        <v>10208</v>
      </c>
      <c r="AL18">
        <v>11.65</v>
      </c>
      <c r="AM18" t="s">
        <v>10883</v>
      </c>
      <c r="AN18" t="s">
        <v>10915</v>
      </c>
      <c r="AO18" t="s">
        <v>10999</v>
      </c>
      <c r="AP18" t="s">
        <v>11044</v>
      </c>
      <c r="AR18" t="s">
        <v>11257</v>
      </c>
      <c r="AS18" t="s">
        <v>11595</v>
      </c>
      <c r="AT18" t="s">
        <v>11642</v>
      </c>
      <c r="AX18" t="s">
        <v>10838</v>
      </c>
      <c r="BA18" t="s">
        <v>11738</v>
      </c>
      <c r="BB18">
        <v>0</v>
      </c>
      <c r="BC18">
        <v>0</v>
      </c>
      <c r="BD18">
        <v>0</v>
      </c>
      <c r="BE18">
        <v>0</v>
      </c>
      <c r="BF18">
        <v>5</v>
      </c>
      <c r="BG18">
        <v>0</v>
      </c>
    </row>
    <row r="19" spans="1:59">
      <c r="A19" s="1">
        <f>HYPERLINK("https://lsnyc.legalserver.org/matter/dynamic-profile/view/1899299","19-1899299")</f>
        <v>0</v>
      </c>
      <c r="B19" t="s">
        <v>76</v>
      </c>
      <c r="C19" t="s">
        <v>5017</v>
      </c>
      <c r="D19" t="s">
        <v>9930</v>
      </c>
      <c r="E19" t="s">
        <v>10075</v>
      </c>
      <c r="F19">
        <v>11373</v>
      </c>
      <c r="G19" t="s">
        <v>10092</v>
      </c>
      <c r="H19" t="s">
        <v>10108</v>
      </c>
      <c r="I19" t="s">
        <v>10169</v>
      </c>
      <c r="J19" t="s">
        <v>10212</v>
      </c>
      <c r="K19" t="s">
        <v>10217</v>
      </c>
      <c r="M19" t="s">
        <v>10242</v>
      </c>
      <c r="N19" t="s">
        <v>10656</v>
      </c>
      <c r="P19" t="s">
        <v>10751</v>
      </c>
      <c r="Q19" t="s">
        <v>10768</v>
      </c>
      <c r="R19" t="s">
        <v>10823</v>
      </c>
      <c r="T19">
        <v>31412</v>
      </c>
      <c r="U19">
        <v>2617.67</v>
      </c>
      <c r="V19">
        <v>60</v>
      </c>
      <c r="W19">
        <v>2</v>
      </c>
      <c r="X19">
        <v>0</v>
      </c>
      <c r="Z19">
        <v>185.76</v>
      </c>
      <c r="AA19">
        <v>40.734122</v>
      </c>
      <c r="AB19">
        <v>-73.865923</v>
      </c>
      <c r="AD19" t="s">
        <v>10839</v>
      </c>
      <c r="AG19" t="s">
        <v>10858</v>
      </c>
      <c r="AH19" t="s">
        <v>10866</v>
      </c>
      <c r="AI19">
        <v>237</v>
      </c>
      <c r="AJ19" t="s">
        <v>10212</v>
      </c>
      <c r="AK19" t="s">
        <v>10838</v>
      </c>
      <c r="AL19">
        <v>5</v>
      </c>
      <c r="AM19" t="s">
        <v>10890</v>
      </c>
      <c r="AN19" t="s">
        <v>10916</v>
      </c>
      <c r="AO19" t="s">
        <v>11009</v>
      </c>
      <c r="AP19" t="s">
        <v>11053</v>
      </c>
      <c r="AR19" t="s">
        <v>11265</v>
      </c>
      <c r="AS19" t="s">
        <v>11594</v>
      </c>
      <c r="AT19" t="s">
        <v>11641</v>
      </c>
      <c r="AX19" t="s">
        <v>10838</v>
      </c>
      <c r="AZ19" t="s">
        <v>11682</v>
      </c>
      <c r="BA19" t="s">
        <v>11740</v>
      </c>
      <c r="BB19">
        <v>0</v>
      </c>
      <c r="BC19">
        <v>0</v>
      </c>
      <c r="BD19">
        <v>0</v>
      </c>
      <c r="BE19">
        <v>0</v>
      </c>
      <c r="BF19">
        <v>2</v>
      </c>
      <c r="BG19">
        <v>0</v>
      </c>
    </row>
    <row r="20" spans="1:59">
      <c r="A20" s="1">
        <f>HYPERLINK("https://lsnyc.legalserver.org/matter/dynamic-profile/view/1899373","19-1899373")</f>
        <v>0</v>
      </c>
      <c r="B20" t="s">
        <v>77</v>
      </c>
      <c r="C20" t="s">
        <v>5018</v>
      </c>
      <c r="D20" t="s">
        <v>9929</v>
      </c>
      <c r="E20" t="s">
        <v>10075</v>
      </c>
      <c r="F20">
        <v>10304</v>
      </c>
      <c r="G20" t="s">
        <v>10088</v>
      </c>
      <c r="H20" t="s">
        <v>10109</v>
      </c>
      <c r="I20" t="s">
        <v>10168</v>
      </c>
      <c r="J20" t="s">
        <v>10208</v>
      </c>
      <c r="K20" t="s">
        <v>10218</v>
      </c>
      <c r="L20" t="s">
        <v>10109</v>
      </c>
      <c r="M20" t="s">
        <v>10243</v>
      </c>
      <c r="N20" t="s">
        <v>10650</v>
      </c>
      <c r="P20" t="s">
        <v>10749</v>
      </c>
      <c r="Q20" t="s">
        <v>10765</v>
      </c>
      <c r="R20" t="s">
        <v>10824</v>
      </c>
      <c r="T20">
        <v>10440</v>
      </c>
      <c r="U20">
        <v>870</v>
      </c>
      <c r="V20">
        <v>65</v>
      </c>
      <c r="W20">
        <v>1</v>
      </c>
      <c r="X20">
        <v>0</v>
      </c>
      <c r="Y20" t="s">
        <v>10829</v>
      </c>
      <c r="Z20">
        <v>83.59</v>
      </c>
      <c r="AA20">
        <v>40.623662</v>
      </c>
      <c r="AB20">
        <v>-74.080727</v>
      </c>
      <c r="AD20" t="s">
        <v>10840</v>
      </c>
      <c r="AG20" t="s">
        <v>10858</v>
      </c>
      <c r="AH20" t="s">
        <v>10862</v>
      </c>
      <c r="AI20">
        <v>285</v>
      </c>
      <c r="AJ20" t="s">
        <v>10208</v>
      </c>
      <c r="AK20" t="s">
        <v>10838</v>
      </c>
      <c r="AL20">
        <v>0.5</v>
      </c>
      <c r="AM20" t="s">
        <v>10883</v>
      </c>
      <c r="AN20" t="s">
        <v>10913</v>
      </c>
      <c r="AO20" t="s">
        <v>11006</v>
      </c>
      <c r="AP20" t="s">
        <v>11051</v>
      </c>
      <c r="AR20" t="s">
        <v>11263</v>
      </c>
      <c r="AS20" t="s">
        <v>11593</v>
      </c>
      <c r="AY20" t="s">
        <v>10829</v>
      </c>
      <c r="AZ20" t="s">
        <v>11681</v>
      </c>
      <c r="BA20" t="s">
        <v>11741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</row>
    <row r="21" spans="1:59">
      <c r="A21" s="1">
        <f>HYPERLINK("https://lsnyc.legalserver.org/matter/dynamic-profile/view/1899775","19-1899775")</f>
        <v>0</v>
      </c>
      <c r="B21" t="s">
        <v>78</v>
      </c>
      <c r="C21" t="s">
        <v>5019</v>
      </c>
      <c r="D21" t="s">
        <v>9928</v>
      </c>
      <c r="E21" t="s">
        <v>10075</v>
      </c>
      <c r="F21">
        <v>11217</v>
      </c>
      <c r="G21" t="s">
        <v>10093</v>
      </c>
      <c r="H21" t="s">
        <v>10110</v>
      </c>
      <c r="I21" t="s">
        <v>10168</v>
      </c>
      <c r="J21" t="s">
        <v>10213</v>
      </c>
      <c r="K21" t="s">
        <v>10217</v>
      </c>
      <c r="M21" t="s">
        <v>10239</v>
      </c>
      <c r="N21" t="s">
        <v>10650</v>
      </c>
      <c r="P21" t="s">
        <v>10749</v>
      </c>
      <c r="Q21" t="s">
        <v>10765</v>
      </c>
      <c r="R21" t="s">
        <v>10820</v>
      </c>
      <c r="T21">
        <v>0</v>
      </c>
      <c r="U21">
        <v>0</v>
      </c>
      <c r="V21">
        <v>47</v>
      </c>
      <c r="W21">
        <v>1</v>
      </c>
      <c r="X21">
        <v>0</v>
      </c>
      <c r="Z21">
        <v>0</v>
      </c>
      <c r="AA21">
        <v>40.685143</v>
      </c>
      <c r="AB21">
        <v>-73.981877</v>
      </c>
      <c r="AD21" t="s">
        <v>10839</v>
      </c>
      <c r="AG21" t="s">
        <v>10858</v>
      </c>
      <c r="AH21" t="s">
        <v>10862</v>
      </c>
      <c r="AI21">
        <v>239</v>
      </c>
      <c r="AJ21" t="s">
        <v>10213</v>
      </c>
      <c r="AL21">
        <v>6.8</v>
      </c>
      <c r="AM21" t="s">
        <v>10889</v>
      </c>
      <c r="AN21" t="s">
        <v>10917</v>
      </c>
      <c r="AO21" t="s">
        <v>11007</v>
      </c>
      <c r="AP21" t="s">
        <v>11054</v>
      </c>
      <c r="AR21" t="s">
        <v>11266</v>
      </c>
      <c r="AS21" t="s">
        <v>11595</v>
      </c>
      <c r="BA21" t="s">
        <v>11738</v>
      </c>
      <c r="BB21">
        <v>0</v>
      </c>
      <c r="BC21">
        <v>0</v>
      </c>
      <c r="BD21">
        <v>0</v>
      </c>
      <c r="BE21">
        <v>0</v>
      </c>
      <c r="BF21">
        <v>5</v>
      </c>
      <c r="BG21">
        <v>0</v>
      </c>
    </row>
    <row r="22" spans="1:59">
      <c r="A22" s="1">
        <f>HYPERLINK("https://lsnyc.legalserver.org/matter/dynamic-profile/view/1899781","19-1899781")</f>
        <v>0</v>
      </c>
      <c r="B22" t="s">
        <v>78</v>
      </c>
      <c r="C22" t="s">
        <v>5019</v>
      </c>
      <c r="D22" t="s">
        <v>9928</v>
      </c>
      <c r="E22" t="s">
        <v>10075</v>
      </c>
      <c r="F22">
        <v>11217</v>
      </c>
      <c r="G22" t="s">
        <v>10093</v>
      </c>
      <c r="H22" t="s">
        <v>10110</v>
      </c>
      <c r="I22" t="s">
        <v>10168</v>
      </c>
      <c r="J22" t="s">
        <v>10213</v>
      </c>
      <c r="K22" t="s">
        <v>10217</v>
      </c>
      <c r="M22" t="s">
        <v>10239</v>
      </c>
      <c r="N22" t="s">
        <v>10650</v>
      </c>
      <c r="P22" t="s">
        <v>10749</v>
      </c>
      <c r="Q22" t="s">
        <v>10765</v>
      </c>
      <c r="R22" t="s">
        <v>10820</v>
      </c>
      <c r="T22">
        <v>0</v>
      </c>
      <c r="U22">
        <v>0</v>
      </c>
      <c r="V22">
        <v>47</v>
      </c>
      <c r="W22">
        <v>1</v>
      </c>
      <c r="X22">
        <v>0</v>
      </c>
      <c r="Z22">
        <v>0</v>
      </c>
      <c r="AA22">
        <v>40.685143</v>
      </c>
      <c r="AB22">
        <v>-73.981877</v>
      </c>
      <c r="AD22" t="s">
        <v>10839</v>
      </c>
      <c r="AG22" t="s">
        <v>10858</v>
      </c>
      <c r="AH22" t="s">
        <v>10862</v>
      </c>
      <c r="AI22">
        <v>239</v>
      </c>
      <c r="AJ22" t="s">
        <v>10213</v>
      </c>
      <c r="AL22">
        <v>0</v>
      </c>
      <c r="AM22" t="s">
        <v>10889</v>
      </c>
      <c r="AN22" t="s">
        <v>10917</v>
      </c>
      <c r="AO22" t="s">
        <v>11007</v>
      </c>
      <c r="AP22" t="s">
        <v>11054</v>
      </c>
      <c r="AR22" t="s">
        <v>11266</v>
      </c>
      <c r="AS22" t="s">
        <v>11595</v>
      </c>
      <c r="BA22" t="s">
        <v>11739</v>
      </c>
      <c r="BB22">
        <v>0</v>
      </c>
      <c r="BC22">
        <v>0</v>
      </c>
      <c r="BD22">
        <v>0</v>
      </c>
      <c r="BE22">
        <v>0</v>
      </c>
      <c r="BF22">
        <v>4</v>
      </c>
      <c r="BG22">
        <v>0</v>
      </c>
    </row>
    <row r="23" spans="1:59">
      <c r="A23" s="1">
        <f>HYPERLINK("https://lsnyc.legalserver.org/matter/dynamic-profile/view/1899784","19-1899784")</f>
        <v>0</v>
      </c>
      <c r="B23" t="s">
        <v>79</v>
      </c>
      <c r="C23" t="s">
        <v>5019</v>
      </c>
      <c r="D23" t="s">
        <v>9928</v>
      </c>
      <c r="E23" t="s">
        <v>10075</v>
      </c>
      <c r="F23">
        <v>11217</v>
      </c>
      <c r="G23" t="s">
        <v>10093</v>
      </c>
      <c r="H23" t="s">
        <v>10110</v>
      </c>
      <c r="I23" t="s">
        <v>10168</v>
      </c>
      <c r="J23" t="s">
        <v>10213</v>
      </c>
      <c r="K23" t="s">
        <v>10217</v>
      </c>
      <c r="M23" t="s">
        <v>10239</v>
      </c>
      <c r="N23" t="s">
        <v>10650</v>
      </c>
      <c r="P23" t="s">
        <v>10749</v>
      </c>
      <c r="Q23" t="s">
        <v>10765</v>
      </c>
      <c r="R23" t="s">
        <v>10821</v>
      </c>
      <c r="T23">
        <v>0</v>
      </c>
      <c r="U23">
        <v>0</v>
      </c>
      <c r="V23">
        <v>45</v>
      </c>
      <c r="W23">
        <v>1</v>
      </c>
      <c r="X23">
        <v>0</v>
      </c>
      <c r="Z23">
        <v>0</v>
      </c>
      <c r="AA23">
        <v>40.685143</v>
      </c>
      <c r="AB23">
        <v>-73.981877</v>
      </c>
      <c r="AD23" t="s">
        <v>10839</v>
      </c>
      <c r="AG23" t="s">
        <v>10858</v>
      </c>
      <c r="AH23" t="s">
        <v>10862</v>
      </c>
      <c r="AI23">
        <v>239</v>
      </c>
      <c r="AJ23" t="s">
        <v>10213</v>
      </c>
      <c r="AL23">
        <v>50.7</v>
      </c>
      <c r="AM23" t="s">
        <v>10889</v>
      </c>
      <c r="AN23" t="s">
        <v>10917</v>
      </c>
      <c r="AO23" t="s">
        <v>11007</v>
      </c>
      <c r="AP23" t="s">
        <v>11054</v>
      </c>
      <c r="AR23" t="s">
        <v>11267</v>
      </c>
      <c r="AS23" t="s">
        <v>11595</v>
      </c>
      <c r="BA23" t="s">
        <v>11739</v>
      </c>
      <c r="BB23">
        <v>0</v>
      </c>
      <c r="BC23">
        <v>0</v>
      </c>
      <c r="BD23">
        <v>0</v>
      </c>
      <c r="BE23">
        <v>0</v>
      </c>
      <c r="BF23">
        <v>4</v>
      </c>
      <c r="BG23">
        <v>0</v>
      </c>
    </row>
    <row r="24" spans="1:59">
      <c r="A24" s="1">
        <f>HYPERLINK("https://lsnyc.legalserver.org/matter/dynamic-profile/view/1899835","19-1899835")</f>
        <v>0</v>
      </c>
      <c r="B24" t="s">
        <v>80</v>
      </c>
      <c r="C24" t="s">
        <v>5019</v>
      </c>
      <c r="D24" t="s">
        <v>9928</v>
      </c>
      <c r="E24" t="s">
        <v>10075</v>
      </c>
      <c r="F24">
        <v>11217</v>
      </c>
      <c r="G24" t="s">
        <v>10093</v>
      </c>
      <c r="H24" t="s">
        <v>10110</v>
      </c>
      <c r="I24" t="s">
        <v>10168</v>
      </c>
      <c r="J24" t="s">
        <v>10213</v>
      </c>
      <c r="K24" t="s">
        <v>10217</v>
      </c>
      <c r="M24" t="s">
        <v>10239</v>
      </c>
      <c r="N24" t="s">
        <v>10650</v>
      </c>
      <c r="P24" t="s">
        <v>10749</v>
      </c>
      <c r="Q24" t="s">
        <v>10765</v>
      </c>
      <c r="R24" t="s">
        <v>10825</v>
      </c>
      <c r="T24">
        <v>0</v>
      </c>
      <c r="U24">
        <v>0</v>
      </c>
      <c r="V24">
        <v>55</v>
      </c>
      <c r="W24">
        <v>1</v>
      </c>
      <c r="X24">
        <v>0</v>
      </c>
      <c r="Z24">
        <v>0</v>
      </c>
      <c r="AA24">
        <v>40.685143</v>
      </c>
      <c r="AB24">
        <v>-73.981877</v>
      </c>
      <c r="AD24" t="s">
        <v>10840</v>
      </c>
      <c r="AG24" t="s">
        <v>10858</v>
      </c>
      <c r="AH24" t="s">
        <v>10862</v>
      </c>
      <c r="AI24">
        <v>239</v>
      </c>
      <c r="AJ24" t="s">
        <v>10213</v>
      </c>
      <c r="AL24">
        <v>8.199999999999999</v>
      </c>
      <c r="AM24" t="s">
        <v>10889</v>
      </c>
      <c r="AN24" t="s">
        <v>10917</v>
      </c>
      <c r="AO24" t="s">
        <v>11007</v>
      </c>
      <c r="AP24" t="s">
        <v>11054</v>
      </c>
      <c r="AR24" t="s">
        <v>11267</v>
      </c>
      <c r="AS24" t="s">
        <v>11595</v>
      </c>
      <c r="BA24" t="s">
        <v>11738</v>
      </c>
      <c r="BB24">
        <v>0</v>
      </c>
      <c r="BC24">
        <v>0</v>
      </c>
      <c r="BD24">
        <v>0</v>
      </c>
      <c r="BE24">
        <v>0</v>
      </c>
      <c r="BF24">
        <v>5</v>
      </c>
      <c r="BG24">
        <v>0</v>
      </c>
    </row>
    <row r="25" spans="1:59">
      <c r="A25" s="1">
        <f>HYPERLINK("https://lsnyc.legalserver.org/matter/dynamic-profile/view/1899861","19-1899861")</f>
        <v>0</v>
      </c>
      <c r="B25" t="s">
        <v>80</v>
      </c>
      <c r="C25" t="s">
        <v>5019</v>
      </c>
      <c r="D25" t="s">
        <v>9928</v>
      </c>
      <c r="E25" t="s">
        <v>10075</v>
      </c>
      <c r="F25">
        <v>11217</v>
      </c>
      <c r="G25" t="s">
        <v>10093</v>
      </c>
      <c r="H25" t="s">
        <v>10110</v>
      </c>
      <c r="I25" t="s">
        <v>10168</v>
      </c>
      <c r="J25" t="s">
        <v>10213</v>
      </c>
      <c r="K25" t="s">
        <v>10217</v>
      </c>
      <c r="M25" t="s">
        <v>10239</v>
      </c>
      <c r="N25" t="s">
        <v>10650</v>
      </c>
      <c r="P25" t="s">
        <v>10749</v>
      </c>
      <c r="Q25" t="s">
        <v>10765</v>
      </c>
      <c r="R25" t="s">
        <v>10825</v>
      </c>
      <c r="T25">
        <v>0</v>
      </c>
      <c r="U25">
        <v>0</v>
      </c>
      <c r="V25">
        <v>55</v>
      </c>
      <c r="W25">
        <v>1</v>
      </c>
      <c r="X25">
        <v>0</v>
      </c>
      <c r="Z25">
        <v>0</v>
      </c>
      <c r="AA25">
        <v>40.685143</v>
      </c>
      <c r="AB25">
        <v>-73.981877</v>
      </c>
      <c r="AD25" t="s">
        <v>10840</v>
      </c>
      <c r="AG25" t="s">
        <v>10858</v>
      </c>
      <c r="AH25" t="s">
        <v>10862</v>
      </c>
      <c r="AI25">
        <v>239</v>
      </c>
      <c r="AJ25" t="s">
        <v>10213</v>
      </c>
      <c r="AL25">
        <v>0</v>
      </c>
      <c r="AM25" t="s">
        <v>10889</v>
      </c>
      <c r="AN25" t="s">
        <v>10917</v>
      </c>
      <c r="AO25" t="s">
        <v>11007</v>
      </c>
      <c r="AP25" t="s">
        <v>11054</v>
      </c>
      <c r="AR25" t="s">
        <v>11267</v>
      </c>
      <c r="AS25" t="s">
        <v>11595</v>
      </c>
      <c r="BA25" t="s">
        <v>11739</v>
      </c>
      <c r="BB25">
        <v>0</v>
      </c>
      <c r="BC25">
        <v>0</v>
      </c>
      <c r="BD25">
        <v>0</v>
      </c>
      <c r="BE25">
        <v>0</v>
      </c>
      <c r="BF25">
        <v>4</v>
      </c>
      <c r="BG25">
        <v>0</v>
      </c>
    </row>
    <row r="26" spans="1:59">
      <c r="A26" s="1">
        <f>HYPERLINK("https://lsnyc.legalserver.org/matter/dynamic-profile/view/1900046","19-1900046")</f>
        <v>0</v>
      </c>
      <c r="B26" t="s">
        <v>81</v>
      </c>
      <c r="C26" t="s">
        <v>5020</v>
      </c>
      <c r="D26" t="s">
        <v>9926</v>
      </c>
      <c r="E26" t="s">
        <v>10075</v>
      </c>
      <c r="F26">
        <v>10456</v>
      </c>
      <c r="G26" t="s">
        <v>10090</v>
      </c>
      <c r="H26" t="s">
        <v>10111</v>
      </c>
      <c r="I26" t="s">
        <v>10170</v>
      </c>
      <c r="J26" t="s">
        <v>10210</v>
      </c>
      <c r="K26" t="s">
        <v>10218</v>
      </c>
      <c r="L26" t="s">
        <v>10111</v>
      </c>
      <c r="M26" t="s">
        <v>10244</v>
      </c>
      <c r="N26" t="s">
        <v>10650</v>
      </c>
      <c r="P26" t="s">
        <v>10749</v>
      </c>
      <c r="Q26" t="s">
        <v>10765</v>
      </c>
      <c r="R26" t="s">
        <v>10824</v>
      </c>
      <c r="T26">
        <v>25000</v>
      </c>
      <c r="U26">
        <v>2083.33</v>
      </c>
      <c r="V26">
        <v>42</v>
      </c>
      <c r="W26">
        <v>3</v>
      </c>
      <c r="X26">
        <v>0</v>
      </c>
      <c r="Y26" t="s">
        <v>10829</v>
      </c>
      <c r="Z26">
        <v>117.21</v>
      </c>
      <c r="AA26">
        <v>40.82942</v>
      </c>
      <c r="AB26">
        <v>-73.91876499999999</v>
      </c>
      <c r="AD26" t="s">
        <v>10840</v>
      </c>
      <c r="AG26" t="s">
        <v>10858</v>
      </c>
      <c r="AH26" t="s">
        <v>10862</v>
      </c>
      <c r="AI26">
        <v>230</v>
      </c>
      <c r="AJ26" t="s">
        <v>10210</v>
      </c>
      <c r="AK26" t="s">
        <v>10838</v>
      </c>
      <c r="AL26">
        <v>0.5</v>
      </c>
      <c r="AM26" t="s">
        <v>10884</v>
      </c>
      <c r="AN26" t="s">
        <v>10918</v>
      </c>
      <c r="AO26" t="s">
        <v>11001</v>
      </c>
      <c r="AP26" t="s">
        <v>11055</v>
      </c>
      <c r="AR26" t="s">
        <v>11257</v>
      </c>
      <c r="AS26" t="s">
        <v>9926</v>
      </c>
      <c r="AV26" t="s">
        <v>11655</v>
      </c>
      <c r="AW26" t="s">
        <v>11666</v>
      </c>
      <c r="AX26" t="s">
        <v>10838</v>
      </c>
      <c r="AY26" t="s">
        <v>10829</v>
      </c>
      <c r="AZ26" t="s">
        <v>11681</v>
      </c>
      <c r="BA26" t="s">
        <v>11741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0</v>
      </c>
    </row>
    <row r="27" spans="1:59">
      <c r="A27" s="1">
        <f>HYPERLINK("https://lsnyc.legalserver.org/matter/dynamic-profile/view/1900059","19-1900059")</f>
        <v>0</v>
      </c>
      <c r="B27" t="s">
        <v>82</v>
      </c>
      <c r="C27" t="s">
        <v>5021</v>
      </c>
      <c r="D27" t="s">
        <v>9926</v>
      </c>
      <c r="E27" t="s">
        <v>10075</v>
      </c>
      <c r="F27">
        <v>10458</v>
      </c>
      <c r="G27" t="s">
        <v>10090</v>
      </c>
      <c r="H27" t="s">
        <v>10111</v>
      </c>
      <c r="I27" t="s">
        <v>10168</v>
      </c>
      <c r="J27" t="s">
        <v>10210</v>
      </c>
      <c r="K27" t="s">
        <v>10218</v>
      </c>
      <c r="L27" t="s">
        <v>10111</v>
      </c>
      <c r="M27" t="s">
        <v>10244</v>
      </c>
      <c r="N27" t="s">
        <v>10650</v>
      </c>
      <c r="P27" t="s">
        <v>10749</v>
      </c>
      <c r="Q27" t="s">
        <v>10765</v>
      </c>
      <c r="R27" t="s">
        <v>10824</v>
      </c>
      <c r="T27">
        <v>8460</v>
      </c>
      <c r="U27">
        <v>705</v>
      </c>
      <c r="V27">
        <v>70</v>
      </c>
      <c r="W27">
        <v>1</v>
      </c>
      <c r="X27">
        <v>0</v>
      </c>
      <c r="Y27" t="s">
        <v>10829</v>
      </c>
      <c r="Z27">
        <v>67.73</v>
      </c>
      <c r="AA27">
        <v>40.865761</v>
      </c>
      <c r="AB27">
        <v>-73.88969</v>
      </c>
      <c r="AD27" t="s">
        <v>10840</v>
      </c>
      <c r="AG27" t="s">
        <v>10858</v>
      </c>
      <c r="AH27" t="s">
        <v>10862</v>
      </c>
      <c r="AI27">
        <v>230</v>
      </c>
      <c r="AJ27" t="s">
        <v>10210</v>
      </c>
      <c r="AK27" t="s">
        <v>10838</v>
      </c>
      <c r="AL27">
        <v>0.5</v>
      </c>
      <c r="AM27" t="s">
        <v>10887</v>
      </c>
      <c r="AN27" t="s">
        <v>10907</v>
      </c>
      <c r="AO27" t="s">
        <v>11000</v>
      </c>
      <c r="AP27" t="s">
        <v>11056</v>
      </c>
      <c r="AQ27" t="s">
        <v>11099</v>
      </c>
      <c r="AR27" t="s">
        <v>11268</v>
      </c>
      <c r="AS27" t="s">
        <v>9926</v>
      </c>
      <c r="AT27" t="s">
        <v>11642</v>
      </c>
      <c r="AX27" t="s">
        <v>10838</v>
      </c>
      <c r="AY27" t="s">
        <v>10829</v>
      </c>
      <c r="AZ27" t="s">
        <v>11681</v>
      </c>
      <c r="BA27" t="s">
        <v>11741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0</v>
      </c>
    </row>
    <row r="28" spans="1:59">
      <c r="A28" s="1">
        <f>HYPERLINK("https://lsnyc.legalserver.org/matter/dynamic-profile/view/1900068","19-1900068")</f>
        <v>0</v>
      </c>
      <c r="B28" t="s">
        <v>83</v>
      </c>
      <c r="C28" t="s">
        <v>5022</v>
      </c>
      <c r="D28" t="s">
        <v>9926</v>
      </c>
      <c r="E28" t="s">
        <v>10075</v>
      </c>
      <c r="F28">
        <v>10467</v>
      </c>
      <c r="G28" t="s">
        <v>10090</v>
      </c>
      <c r="H28" t="s">
        <v>10111</v>
      </c>
      <c r="J28" t="s">
        <v>10210</v>
      </c>
      <c r="K28" t="s">
        <v>10218</v>
      </c>
      <c r="L28" t="s">
        <v>10111</v>
      </c>
      <c r="M28" t="s">
        <v>10244</v>
      </c>
      <c r="N28" t="s">
        <v>10650</v>
      </c>
      <c r="P28" t="s">
        <v>10749</v>
      </c>
      <c r="Q28" t="s">
        <v>10765</v>
      </c>
      <c r="R28" t="s">
        <v>10823</v>
      </c>
      <c r="T28">
        <v>13000</v>
      </c>
      <c r="U28">
        <v>1083.33</v>
      </c>
      <c r="V28">
        <v>41</v>
      </c>
      <c r="W28">
        <v>1</v>
      </c>
      <c r="X28">
        <v>1</v>
      </c>
      <c r="Y28" t="s">
        <v>10829</v>
      </c>
      <c r="Z28">
        <v>76.88</v>
      </c>
      <c r="AA28">
        <v>40.879483</v>
      </c>
      <c r="AB28">
        <v>-73.874644</v>
      </c>
      <c r="AD28" t="s">
        <v>10839</v>
      </c>
      <c r="AG28" t="s">
        <v>10858</v>
      </c>
      <c r="AH28" t="s">
        <v>10862</v>
      </c>
      <c r="AI28">
        <v>230</v>
      </c>
      <c r="AJ28" t="s">
        <v>10210</v>
      </c>
      <c r="AK28" t="s">
        <v>10838</v>
      </c>
      <c r="AL28">
        <v>0.5</v>
      </c>
      <c r="AM28" t="s">
        <v>10887</v>
      </c>
      <c r="AN28" t="s">
        <v>10919</v>
      </c>
      <c r="AO28" t="s">
        <v>11010</v>
      </c>
      <c r="AP28" t="s">
        <v>11057</v>
      </c>
      <c r="AR28" t="s">
        <v>11257</v>
      </c>
      <c r="AS28" t="s">
        <v>9926</v>
      </c>
      <c r="AT28" t="s">
        <v>11641</v>
      </c>
      <c r="AW28" t="s">
        <v>11645</v>
      </c>
      <c r="AX28" t="s">
        <v>10838</v>
      </c>
      <c r="AY28" t="s">
        <v>10829</v>
      </c>
      <c r="AZ28" t="s">
        <v>11681</v>
      </c>
      <c r="BA28" t="s">
        <v>11741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0</v>
      </c>
    </row>
    <row r="29" spans="1:59">
      <c r="A29" s="1">
        <f>HYPERLINK("https://lsnyc.legalserver.org/matter/dynamic-profile/view/1900072","19-1900072")</f>
        <v>0</v>
      </c>
      <c r="B29" t="s">
        <v>84</v>
      </c>
      <c r="C29" t="s">
        <v>5023</v>
      </c>
      <c r="D29" t="s">
        <v>9926</v>
      </c>
      <c r="E29" t="s">
        <v>10075</v>
      </c>
      <c r="F29">
        <v>10461</v>
      </c>
      <c r="G29" t="s">
        <v>10090</v>
      </c>
      <c r="H29" t="s">
        <v>10111</v>
      </c>
      <c r="I29" t="s">
        <v>10169</v>
      </c>
      <c r="J29" t="s">
        <v>10210</v>
      </c>
      <c r="K29" t="s">
        <v>10218</v>
      </c>
      <c r="L29" t="s">
        <v>10111</v>
      </c>
      <c r="M29" t="s">
        <v>10244</v>
      </c>
      <c r="N29" t="s">
        <v>10650</v>
      </c>
      <c r="P29" t="s">
        <v>10749</v>
      </c>
      <c r="Q29" t="s">
        <v>10765</v>
      </c>
      <c r="R29" t="s">
        <v>10821</v>
      </c>
      <c r="T29">
        <v>11000</v>
      </c>
      <c r="U29">
        <v>916.67</v>
      </c>
      <c r="V29">
        <v>48</v>
      </c>
      <c r="W29">
        <v>1</v>
      </c>
      <c r="X29">
        <v>1</v>
      </c>
      <c r="Y29" t="s">
        <v>10829</v>
      </c>
      <c r="Z29">
        <v>65.05</v>
      </c>
      <c r="AA29">
        <v>40.847884</v>
      </c>
      <c r="AB29">
        <v>-73.830557</v>
      </c>
      <c r="AD29" t="s">
        <v>10840</v>
      </c>
      <c r="AF29" t="s">
        <v>10845</v>
      </c>
      <c r="AG29" t="s">
        <v>10859</v>
      </c>
      <c r="AH29" t="s">
        <v>10862</v>
      </c>
      <c r="AI29">
        <v>230</v>
      </c>
      <c r="AJ29" t="s">
        <v>10210</v>
      </c>
      <c r="AK29" t="s">
        <v>10838</v>
      </c>
      <c r="AL29">
        <v>0.5</v>
      </c>
      <c r="AM29" t="s">
        <v>10885</v>
      </c>
      <c r="AN29" t="s">
        <v>10911</v>
      </c>
      <c r="AO29" t="s">
        <v>11002</v>
      </c>
      <c r="AP29" t="s">
        <v>11049</v>
      </c>
      <c r="AR29" t="s">
        <v>11257</v>
      </c>
      <c r="AS29" t="s">
        <v>9926</v>
      </c>
      <c r="AT29" t="s">
        <v>11642</v>
      </c>
      <c r="AV29" t="s">
        <v>11655</v>
      </c>
      <c r="AW29" t="s">
        <v>11666</v>
      </c>
      <c r="AX29" t="s">
        <v>10838</v>
      </c>
      <c r="AY29" t="s">
        <v>10829</v>
      </c>
      <c r="AZ29" t="s">
        <v>11681</v>
      </c>
      <c r="BA29" t="s">
        <v>11741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0</v>
      </c>
    </row>
    <row r="30" spans="1:59">
      <c r="A30" s="1">
        <f>HYPERLINK("https://lsnyc.legalserver.org/matter/dynamic-profile/view/1900329","19-1900329")</f>
        <v>0</v>
      </c>
      <c r="B30" t="s">
        <v>85</v>
      </c>
      <c r="C30" t="s">
        <v>5024</v>
      </c>
      <c r="D30" t="s">
        <v>9928</v>
      </c>
      <c r="E30" t="s">
        <v>10075</v>
      </c>
      <c r="F30">
        <v>11207</v>
      </c>
      <c r="G30" t="s">
        <v>10093</v>
      </c>
      <c r="H30" t="s">
        <v>10102</v>
      </c>
      <c r="I30" t="s">
        <v>10168</v>
      </c>
      <c r="J30" t="s">
        <v>10213</v>
      </c>
      <c r="K30" t="s">
        <v>10218</v>
      </c>
      <c r="L30" t="s">
        <v>10102</v>
      </c>
      <c r="M30" t="s">
        <v>10245</v>
      </c>
      <c r="N30" t="s">
        <v>10657</v>
      </c>
      <c r="P30" t="s">
        <v>10749</v>
      </c>
      <c r="Q30" t="s">
        <v>10765</v>
      </c>
      <c r="R30" t="s">
        <v>10824</v>
      </c>
      <c r="T30">
        <v>10800</v>
      </c>
      <c r="U30">
        <v>900</v>
      </c>
      <c r="V30">
        <v>54</v>
      </c>
      <c r="W30">
        <v>1</v>
      </c>
      <c r="X30">
        <v>0</v>
      </c>
      <c r="Y30" t="s">
        <v>10829</v>
      </c>
      <c r="Z30">
        <v>86.47</v>
      </c>
      <c r="AA30">
        <v>40.688948</v>
      </c>
      <c r="AB30">
        <v>-73.90528500000001</v>
      </c>
      <c r="AD30" t="s">
        <v>10840</v>
      </c>
      <c r="AG30" t="s">
        <v>10858</v>
      </c>
      <c r="AH30" t="s">
        <v>10865</v>
      </c>
      <c r="AI30">
        <v>239</v>
      </c>
      <c r="AJ30" t="s">
        <v>10213</v>
      </c>
      <c r="AK30" t="s">
        <v>10882</v>
      </c>
      <c r="AL30">
        <v>1.05</v>
      </c>
      <c r="AM30" t="s">
        <v>10886</v>
      </c>
      <c r="AN30" t="s">
        <v>10920</v>
      </c>
      <c r="AO30" t="s">
        <v>11011</v>
      </c>
      <c r="AP30" t="s">
        <v>11058</v>
      </c>
      <c r="AQ30" t="s">
        <v>11100</v>
      </c>
      <c r="AR30" t="s">
        <v>11257</v>
      </c>
      <c r="AS30" t="s">
        <v>11595</v>
      </c>
      <c r="AY30" t="s">
        <v>10829</v>
      </c>
      <c r="AZ30" t="s">
        <v>11681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</row>
    <row r="31" spans="1:59">
      <c r="A31" s="1">
        <f>HYPERLINK("https://lsnyc.legalserver.org/matter/dynamic-profile/view/1900556","19-1900556")</f>
        <v>0</v>
      </c>
      <c r="B31" t="s">
        <v>86</v>
      </c>
      <c r="C31" t="s">
        <v>5025</v>
      </c>
      <c r="D31" t="s">
        <v>9926</v>
      </c>
      <c r="E31" t="s">
        <v>10075</v>
      </c>
      <c r="F31">
        <v>10462</v>
      </c>
      <c r="G31" t="s">
        <v>10090</v>
      </c>
      <c r="H31" t="s">
        <v>10112</v>
      </c>
      <c r="I31" t="s">
        <v>10168</v>
      </c>
      <c r="J31" t="s">
        <v>10210</v>
      </c>
      <c r="K31" t="s">
        <v>10217</v>
      </c>
      <c r="M31" t="s">
        <v>10246</v>
      </c>
      <c r="N31" t="s">
        <v>10658</v>
      </c>
      <c r="P31" t="s">
        <v>10749</v>
      </c>
      <c r="Q31" t="s">
        <v>10769</v>
      </c>
      <c r="R31" t="s">
        <v>10826</v>
      </c>
      <c r="T31">
        <v>30820</v>
      </c>
      <c r="U31">
        <v>2568.33</v>
      </c>
      <c r="V31">
        <v>33</v>
      </c>
      <c r="W31">
        <v>2</v>
      </c>
      <c r="X31">
        <v>2</v>
      </c>
      <c r="Z31">
        <v>119.69</v>
      </c>
      <c r="AA31">
        <v>40.835103</v>
      </c>
      <c r="AB31">
        <v>-73.85852800000001</v>
      </c>
      <c r="AD31" t="s">
        <v>10839</v>
      </c>
      <c r="AG31" t="s">
        <v>10858</v>
      </c>
      <c r="AH31" t="s">
        <v>10860</v>
      </c>
      <c r="AI31">
        <v>230</v>
      </c>
      <c r="AJ31" t="s">
        <v>10210</v>
      </c>
      <c r="AL31">
        <v>7.25</v>
      </c>
      <c r="AM31" t="s">
        <v>10885</v>
      </c>
      <c r="AN31" t="s">
        <v>10908</v>
      </c>
      <c r="AO31" t="s">
        <v>11001</v>
      </c>
      <c r="AP31" t="s">
        <v>11046</v>
      </c>
      <c r="AR31" t="s">
        <v>11269</v>
      </c>
      <c r="AS31" t="s">
        <v>9926</v>
      </c>
      <c r="AT31" t="s">
        <v>11641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</row>
    <row r="32" spans="1:59">
      <c r="A32" s="1">
        <f>HYPERLINK("https://lsnyc.legalserver.org/matter/dynamic-profile/view/1900625","19-1900625")</f>
        <v>0</v>
      </c>
      <c r="B32" t="s">
        <v>87</v>
      </c>
      <c r="C32" t="s">
        <v>5026</v>
      </c>
      <c r="D32" t="s">
        <v>9928</v>
      </c>
      <c r="E32" t="s">
        <v>10075</v>
      </c>
      <c r="F32">
        <v>11219</v>
      </c>
      <c r="G32" t="s">
        <v>10093</v>
      </c>
      <c r="H32" t="s">
        <v>10113</v>
      </c>
      <c r="I32" t="s">
        <v>10169</v>
      </c>
      <c r="J32" t="s">
        <v>10213</v>
      </c>
      <c r="K32" t="s">
        <v>10218</v>
      </c>
      <c r="L32" t="s">
        <v>10108</v>
      </c>
      <c r="M32" t="s">
        <v>10247</v>
      </c>
      <c r="N32" t="s">
        <v>10659</v>
      </c>
      <c r="P32" t="s">
        <v>10754</v>
      </c>
      <c r="Q32" t="s">
        <v>10770</v>
      </c>
      <c r="R32" t="s">
        <v>10821</v>
      </c>
      <c r="T32">
        <v>13000</v>
      </c>
      <c r="U32">
        <v>1083.33</v>
      </c>
      <c r="V32">
        <v>31</v>
      </c>
      <c r="W32">
        <v>1</v>
      </c>
      <c r="X32">
        <v>2</v>
      </c>
      <c r="Y32" t="s">
        <v>10829</v>
      </c>
      <c r="Z32">
        <v>60.95</v>
      </c>
      <c r="AA32">
        <v>40.64356</v>
      </c>
      <c r="AB32">
        <v>-73.99157700000001</v>
      </c>
      <c r="AD32" t="s">
        <v>10839</v>
      </c>
      <c r="AF32" t="s">
        <v>10842</v>
      </c>
      <c r="AG32" t="s">
        <v>10859</v>
      </c>
      <c r="AH32" t="s">
        <v>10867</v>
      </c>
      <c r="AI32">
        <v>239</v>
      </c>
      <c r="AJ32" t="s">
        <v>10213</v>
      </c>
      <c r="AK32" t="s">
        <v>10837</v>
      </c>
      <c r="AL32">
        <v>2</v>
      </c>
      <c r="AM32" t="s">
        <v>10886</v>
      </c>
      <c r="AN32" t="s">
        <v>10921</v>
      </c>
      <c r="AO32" t="s">
        <v>11008</v>
      </c>
      <c r="AP32" t="s">
        <v>11059</v>
      </c>
      <c r="AR32" t="s">
        <v>11257</v>
      </c>
      <c r="AS32" t="s">
        <v>11595</v>
      </c>
      <c r="AY32" t="s">
        <v>10829</v>
      </c>
      <c r="AZ32" t="s">
        <v>11683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</row>
    <row r="33" spans="1:59">
      <c r="A33" s="1">
        <f>HYPERLINK("https://lsnyc.legalserver.org/matter/dynamic-profile/view/1901389","19-1901389")</f>
        <v>0</v>
      </c>
      <c r="B33" t="s">
        <v>88</v>
      </c>
      <c r="C33" t="s">
        <v>5027</v>
      </c>
      <c r="D33" t="s">
        <v>9928</v>
      </c>
      <c r="E33" t="s">
        <v>10075</v>
      </c>
      <c r="F33">
        <v>11212</v>
      </c>
      <c r="G33" t="s">
        <v>10093</v>
      </c>
      <c r="H33" t="s">
        <v>10097</v>
      </c>
      <c r="J33" t="s">
        <v>10213</v>
      </c>
      <c r="K33" t="s">
        <v>10218</v>
      </c>
      <c r="L33" t="s">
        <v>10220</v>
      </c>
      <c r="M33" t="s">
        <v>10248</v>
      </c>
      <c r="N33" t="s">
        <v>10653</v>
      </c>
      <c r="P33" t="s">
        <v>10749</v>
      </c>
      <c r="Q33" t="s">
        <v>10759</v>
      </c>
      <c r="R33" t="s">
        <v>10824</v>
      </c>
      <c r="T33">
        <v>9168</v>
      </c>
      <c r="U33">
        <v>764</v>
      </c>
      <c r="V33">
        <v>58</v>
      </c>
      <c r="W33">
        <v>1</v>
      </c>
      <c r="X33">
        <v>0</v>
      </c>
      <c r="Y33" t="s">
        <v>10830</v>
      </c>
      <c r="Z33">
        <v>73.40000000000001</v>
      </c>
      <c r="AA33">
        <v>40.662757</v>
      </c>
      <c r="AB33">
        <v>-73.901501</v>
      </c>
      <c r="AC33" t="s">
        <v>10838</v>
      </c>
      <c r="AD33" t="s">
        <v>10839</v>
      </c>
      <c r="AG33" t="s">
        <v>10858</v>
      </c>
      <c r="AH33" t="s">
        <v>10860</v>
      </c>
      <c r="AI33">
        <v>239</v>
      </c>
      <c r="AJ33" t="s">
        <v>10213</v>
      </c>
      <c r="AK33" t="s">
        <v>10838</v>
      </c>
      <c r="AL33">
        <v>8.6</v>
      </c>
      <c r="AM33" t="s">
        <v>10889</v>
      </c>
      <c r="AN33" t="s">
        <v>10922</v>
      </c>
      <c r="AO33" t="s">
        <v>11012</v>
      </c>
      <c r="AP33" t="s">
        <v>11060</v>
      </c>
      <c r="AQ33" t="s">
        <v>11098</v>
      </c>
      <c r="AR33" t="s">
        <v>11270</v>
      </c>
      <c r="AS33" t="s">
        <v>11595</v>
      </c>
      <c r="AY33" t="s">
        <v>10830</v>
      </c>
      <c r="AZ33" t="s">
        <v>11684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</row>
    <row r="34" spans="1:59">
      <c r="A34" s="1">
        <f>HYPERLINK("https://lsnyc.legalserver.org/matter/dynamic-profile/view/1901530","19-1901530")</f>
        <v>0</v>
      </c>
      <c r="B34" t="s">
        <v>89</v>
      </c>
      <c r="C34" t="s">
        <v>5028</v>
      </c>
      <c r="D34" t="s">
        <v>9928</v>
      </c>
      <c r="E34" t="s">
        <v>10075</v>
      </c>
      <c r="F34">
        <v>11238</v>
      </c>
      <c r="G34" t="s">
        <v>10093</v>
      </c>
      <c r="H34" t="s">
        <v>10114</v>
      </c>
      <c r="I34" t="s">
        <v>10168</v>
      </c>
      <c r="J34" t="s">
        <v>10213</v>
      </c>
      <c r="K34" t="s">
        <v>10217</v>
      </c>
      <c r="M34" t="s">
        <v>10249</v>
      </c>
      <c r="N34" t="s">
        <v>10660</v>
      </c>
      <c r="P34" t="s">
        <v>10749</v>
      </c>
      <c r="Q34" t="s">
        <v>10769</v>
      </c>
      <c r="R34" t="s">
        <v>10824</v>
      </c>
      <c r="T34">
        <v>393175</v>
      </c>
      <c r="U34">
        <v>32764.58</v>
      </c>
      <c r="V34">
        <v>64</v>
      </c>
      <c r="W34">
        <v>7</v>
      </c>
      <c r="X34">
        <v>3</v>
      </c>
      <c r="Z34">
        <v>752.2</v>
      </c>
      <c r="AA34">
        <v>40.681938</v>
      </c>
      <c r="AB34">
        <v>-73.964935</v>
      </c>
      <c r="AC34" t="s">
        <v>10837</v>
      </c>
      <c r="AD34" t="s">
        <v>10839</v>
      </c>
      <c r="AG34" t="s">
        <v>10858</v>
      </c>
      <c r="AH34" t="s">
        <v>10860</v>
      </c>
      <c r="AI34">
        <v>239</v>
      </c>
      <c r="AJ34" t="s">
        <v>10213</v>
      </c>
      <c r="AL34">
        <v>6.95</v>
      </c>
      <c r="AM34" t="s">
        <v>10889</v>
      </c>
      <c r="AN34" t="s">
        <v>10923</v>
      </c>
      <c r="AO34" t="s">
        <v>11007</v>
      </c>
      <c r="AP34" t="s">
        <v>11061</v>
      </c>
      <c r="AQ34" t="s">
        <v>11098</v>
      </c>
      <c r="AR34" t="s">
        <v>11271</v>
      </c>
      <c r="AS34" t="s">
        <v>11595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</row>
    <row r="35" spans="1:59">
      <c r="A35" s="1">
        <f>HYPERLINK("https://lsnyc.legalserver.org/matter/dynamic-profile/view/1901811","19-1901811")</f>
        <v>0</v>
      </c>
      <c r="B35" t="s">
        <v>90</v>
      </c>
      <c r="C35" t="s">
        <v>5029</v>
      </c>
      <c r="D35" t="s">
        <v>9926</v>
      </c>
      <c r="E35" t="s">
        <v>10075</v>
      </c>
      <c r="F35">
        <v>10452</v>
      </c>
      <c r="G35" t="s">
        <v>10090</v>
      </c>
      <c r="H35" t="s">
        <v>10115</v>
      </c>
      <c r="I35" t="s">
        <v>10169</v>
      </c>
      <c r="J35" t="s">
        <v>10210</v>
      </c>
      <c r="K35" t="s">
        <v>10218</v>
      </c>
      <c r="L35" t="s">
        <v>10115</v>
      </c>
      <c r="M35" t="s">
        <v>10250</v>
      </c>
      <c r="N35" t="s">
        <v>10650</v>
      </c>
      <c r="P35" t="s">
        <v>10749</v>
      </c>
      <c r="Q35" t="s">
        <v>10765</v>
      </c>
      <c r="R35" t="s">
        <v>10823</v>
      </c>
      <c r="T35">
        <v>37920</v>
      </c>
      <c r="U35">
        <v>3160</v>
      </c>
      <c r="V35">
        <v>28</v>
      </c>
      <c r="W35">
        <v>2</v>
      </c>
      <c r="X35">
        <v>0</v>
      </c>
      <c r="Y35" t="s">
        <v>10829</v>
      </c>
      <c r="Z35">
        <v>224.25</v>
      </c>
      <c r="AA35">
        <v>40.837749</v>
      </c>
      <c r="AB35">
        <v>-73.91495999999999</v>
      </c>
      <c r="AD35" t="s">
        <v>10839</v>
      </c>
      <c r="AG35" t="s">
        <v>10858</v>
      </c>
      <c r="AH35" t="s">
        <v>10862</v>
      </c>
      <c r="AI35">
        <v>230</v>
      </c>
      <c r="AJ35" t="s">
        <v>10210</v>
      </c>
      <c r="AK35" t="s">
        <v>10882</v>
      </c>
      <c r="AL35">
        <v>0.2</v>
      </c>
      <c r="AM35" t="s">
        <v>10884</v>
      </c>
      <c r="AN35" t="s">
        <v>10924</v>
      </c>
      <c r="AO35" t="s">
        <v>11013</v>
      </c>
      <c r="AP35" t="s">
        <v>11055</v>
      </c>
      <c r="AR35" t="s">
        <v>11272</v>
      </c>
      <c r="AS35" t="s">
        <v>9926</v>
      </c>
      <c r="AY35" t="s">
        <v>10829</v>
      </c>
      <c r="AZ35" t="s">
        <v>11681</v>
      </c>
      <c r="BA35" t="s">
        <v>11741</v>
      </c>
      <c r="BB35">
        <v>0</v>
      </c>
      <c r="BC35">
        <v>0</v>
      </c>
      <c r="BD35">
        <v>0</v>
      </c>
      <c r="BE35">
        <v>0</v>
      </c>
      <c r="BF35">
        <v>1</v>
      </c>
      <c r="BG35">
        <v>0</v>
      </c>
    </row>
    <row r="36" spans="1:59">
      <c r="A36" s="1">
        <f>HYPERLINK("https://lsnyc.legalserver.org/matter/dynamic-profile/view/1901843","19-1901843")</f>
        <v>0</v>
      </c>
      <c r="B36" t="s">
        <v>91</v>
      </c>
      <c r="C36" t="s">
        <v>5030</v>
      </c>
      <c r="D36" t="s">
        <v>9926</v>
      </c>
      <c r="E36" t="s">
        <v>10075</v>
      </c>
      <c r="F36">
        <v>10460</v>
      </c>
      <c r="G36" t="s">
        <v>10090</v>
      </c>
      <c r="H36" t="s">
        <v>10116</v>
      </c>
      <c r="I36" t="s">
        <v>10168</v>
      </c>
      <c r="J36" t="s">
        <v>10210</v>
      </c>
      <c r="K36" t="s">
        <v>10218</v>
      </c>
      <c r="L36" t="s">
        <v>10116</v>
      </c>
      <c r="M36" t="s">
        <v>10250</v>
      </c>
      <c r="N36" t="s">
        <v>10650</v>
      </c>
      <c r="P36" t="s">
        <v>10749</v>
      </c>
      <c r="Q36" t="s">
        <v>10765</v>
      </c>
      <c r="R36" t="s">
        <v>10824</v>
      </c>
      <c r="T36">
        <v>0</v>
      </c>
      <c r="U36">
        <v>0</v>
      </c>
      <c r="V36">
        <v>44</v>
      </c>
      <c r="W36">
        <v>2</v>
      </c>
      <c r="X36">
        <v>0</v>
      </c>
      <c r="Y36" t="s">
        <v>10829</v>
      </c>
      <c r="Z36">
        <v>0</v>
      </c>
      <c r="AA36">
        <v>40.84276</v>
      </c>
      <c r="AB36">
        <v>-73.886906</v>
      </c>
      <c r="AD36" t="s">
        <v>10839</v>
      </c>
      <c r="AG36" t="s">
        <v>10858</v>
      </c>
      <c r="AH36" t="s">
        <v>10862</v>
      </c>
      <c r="AI36">
        <v>230</v>
      </c>
      <c r="AJ36" t="s">
        <v>10210</v>
      </c>
      <c r="AK36" t="s">
        <v>10882</v>
      </c>
      <c r="AL36">
        <v>0.1</v>
      </c>
      <c r="AM36" t="s">
        <v>10884</v>
      </c>
      <c r="AN36" t="s">
        <v>10918</v>
      </c>
      <c r="AO36" t="s">
        <v>11001</v>
      </c>
      <c r="AP36" t="s">
        <v>11062</v>
      </c>
      <c r="AQ36" t="s">
        <v>11101</v>
      </c>
      <c r="AR36" t="s">
        <v>11267</v>
      </c>
      <c r="AS36" t="s">
        <v>9926</v>
      </c>
      <c r="AY36" t="s">
        <v>10829</v>
      </c>
      <c r="AZ36" t="s">
        <v>11681</v>
      </c>
      <c r="BA36" t="s">
        <v>11741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0</v>
      </c>
    </row>
    <row r="37" spans="1:59">
      <c r="A37" s="1">
        <f>HYPERLINK("https://lsnyc.legalserver.org/matter/dynamic-profile/view/1901849","19-1901849")</f>
        <v>0</v>
      </c>
      <c r="B37" t="s">
        <v>92</v>
      </c>
      <c r="C37" t="s">
        <v>5031</v>
      </c>
      <c r="D37" t="s">
        <v>9926</v>
      </c>
      <c r="E37" t="s">
        <v>10075</v>
      </c>
      <c r="F37">
        <v>10458</v>
      </c>
      <c r="G37" t="s">
        <v>10090</v>
      </c>
      <c r="H37" t="s">
        <v>10116</v>
      </c>
      <c r="I37" t="s">
        <v>10168</v>
      </c>
      <c r="J37" t="s">
        <v>10210</v>
      </c>
      <c r="K37" t="s">
        <v>10218</v>
      </c>
      <c r="L37" t="s">
        <v>10116</v>
      </c>
      <c r="M37" t="s">
        <v>10250</v>
      </c>
      <c r="N37" t="s">
        <v>10650</v>
      </c>
      <c r="P37" t="s">
        <v>10749</v>
      </c>
      <c r="Q37" t="s">
        <v>10765</v>
      </c>
      <c r="R37" t="s">
        <v>10824</v>
      </c>
      <c r="T37">
        <v>3000</v>
      </c>
      <c r="U37">
        <v>250</v>
      </c>
      <c r="V37">
        <v>50</v>
      </c>
      <c r="W37">
        <v>1</v>
      </c>
      <c r="X37">
        <v>0</v>
      </c>
      <c r="Y37" t="s">
        <v>10829</v>
      </c>
      <c r="Z37">
        <v>24.02</v>
      </c>
      <c r="AA37">
        <v>40.865876</v>
      </c>
      <c r="AB37">
        <v>-73.88565800000001</v>
      </c>
      <c r="AD37" t="s">
        <v>10839</v>
      </c>
      <c r="AG37" t="s">
        <v>10858</v>
      </c>
      <c r="AH37" t="s">
        <v>10862</v>
      </c>
      <c r="AI37">
        <v>231</v>
      </c>
      <c r="AJ37" t="s">
        <v>10215</v>
      </c>
      <c r="AK37" t="s">
        <v>10882</v>
      </c>
      <c r="AL37">
        <v>0.1</v>
      </c>
      <c r="AM37" t="s">
        <v>10884</v>
      </c>
      <c r="AN37" t="s">
        <v>10907</v>
      </c>
      <c r="AO37" t="s">
        <v>11002</v>
      </c>
      <c r="AP37" t="s">
        <v>11056</v>
      </c>
      <c r="AR37" t="s">
        <v>11273</v>
      </c>
      <c r="AS37" t="s">
        <v>9926</v>
      </c>
      <c r="AY37" t="s">
        <v>10829</v>
      </c>
      <c r="AZ37" t="s">
        <v>11681</v>
      </c>
      <c r="BA37" t="s">
        <v>11741</v>
      </c>
      <c r="BB37">
        <v>0</v>
      </c>
      <c r="BC37">
        <v>0</v>
      </c>
      <c r="BD37">
        <v>0</v>
      </c>
      <c r="BE37">
        <v>0</v>
      </c>
      <c r="BF37">
        <v>1</v>
      </c>
      <c r="BG37">
        <v>0</v>
      </c>
    </row>
    <row r="38" spans="1:59">
      <c r="A38" s="1">
        <f>HYPERLINK("https://lsnyc.legalserver.org/matter/dynamic-profile/view/1902174","19-1902174")</f>
        <v>0</v>
      </c>
      <c r="B38" t="s">
        <v>93</v>
      </c>
      <c r="C38" t="s">
        <v>5032</v>
      </c>
      <c r="D38" t="s">
        <v>9929</v>
      </c>
      <c r="E38" t="s">
        <v>10075</v>
      </c>
      <c r="F38">
        <v>10305</v>
      </c>
      <c r="G38" t="s">
        <v>10088</v>
      </c>
      <c r="H38" t="s">
        <v>10114</v>
      </c>
      <c r="I38" t="s">
        <v>10168</v>
      </c>
      <c r="J38" t="s">
        <v>10208</v>
      </c>
      <c r="K38" t="s">
        <v>10217</v>
      </c>
      <c r="M38" t="s">
        <v>10251</v>
      </c>
      <c r="N38" t="s">
        <v>10661</v>
      </c>
      <c r="P38" t="s">
        <v>10749</v>
      </c>
      <c r="Q38" t="s">
        <v>10759</v>
      </c>
      <c r="R38" t="s">
        <v>10825</v>
      </c>
      <c r="T38">
        <v>15000</v>
      </c>
      <c r="U38">
        <v>1250</v>
      </c>
      <c r="V38">
        <v>54</v>
      </c>
      <c r="W38">
        <v>1</v>
      </c>
      <c r="X38">
        <v>1</v>
      </c>
      <c r="Z38">
        <v>88.7</v>
      </c>
      <c r="AA38">
        <v>40.593773</v>
      </c>
      <c r="AB38">
        <v>-74.06429799999999</v>
      </c>
      <c r="AC38" t="s">
        <v>10837</v>
      </c>
      <c r="AD38" t="s">
        <v>10840</v>
      </c>
      <c r="AF38" t="s">
        <v>10843</v>
      </c>
      <c r="AG38" t="s">
        <v>10859</v>
      </c>
      <c r="AH38" t="s">
        <v>10860</v>
      </c>
      <c r="AI38">
        <v>285</v>
      </c>
      <c r="AJ38" t="s">
        <v>10208</v>
      </c>
      <c r="AL38">
        <v>9.1</v>
      </c>
      <c r="AM38" t="s">
        <v>10883</v>
      </c>
      <c r="AN38" t="s">
        <v>10915</v>
      </c>
      <c r="AO38" t="s">
        <v>11006</v>
      </c>
      <c r="AP38" t="s">
        <v>11063</v>
      </c>
      <c r="AR38" t="s">
        <v>11257</v>
      </c>
      <c r="AS38" t="s">
        <v>11593</v>
      </c>
      <c r="AT38" t="s">
        <v>11642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</row>
    <row r="39" spans="1:59">
      <c r="A39" s="1">
        <f>HYPERLINK("https://lsnyc.legalserver.org/matter/dynamic-profile/view/1902264","19-1902264")</f>
        <v>0</v>
      </c>
      <c r="B39" t="s">
        <v>94</v>
      </c>
      <c r="C39" t="s">
        <v>5033</v>
      </c>
      <c r="D39" t="s">
        <v>9928</v>
      </c>
      <c r="E39" t="s">
        <v>10075</v>
      </c>
      <c r="F39">
        <v>11212</v>
      </c>
      <c r="G39" t="s">
        <v>10093</v>
      </c>
      <c r="H39" t="s">
        <v>10113</v>
      </c>
      <c r="I39" t="s">
        <v>10169</v>
      </c>
      <c r="J39" t="s">
        <v>10213</v>
      </c>
      <c r="K39" t="s">
        <v>10218</v>
      </c>
      <c r="L39" t="s">
        <v>10108</v>
      </c>
      <c r="M39" t="s">
        <v>10247</v>
      </c>
      <c r="N39" t="s">
        <v>10657</v>
      </c>
      <c r="P39" t="s">
        <v>10754</v>
      </c>
      <c r="Q39" t="s">
        <v>10771</v>
      </c>
      <c r="R39" t="s">
        <v>10823</v>
      </c>
      <c r="T39">
        <v>16812</v>
      </c>
      <c r="U39">
        <v>1401</v>
      </c>
      <c r="V39">
        <v>41</v>
      </c>
      <c r="W39">
        <v>2</v>
      </c>
      <c r="X39">
        <v>2</v>
      </c>
      <c r="Y39" t="s">
        <v>10829</v>
      </c>
      <c r="Z39">
        <v>65.29000000000001</v>
      </c>
      <c r="AA39">
        <v>40.666198</v>
      </c>
      <c r="AB39">
        <v>-73.90762100000001</v>
      </c>
      <c r="AD39" t="s">
        <v>10839</v>
      </c>
      <c r="AG39" t="s">
        <v>10858</v>
      </c>
      <c r="AH39" t="s">
        <v>10860</v>
      </c>
      <c r="AI39">
        <v>239</v>
      </c>
      <c r="AJ39" t="s">
        <v>10213</v>
      </c>
      <c r="AK39" t="s">
        <v>10837</v>
      </c>
      <c r="AL39">
        <v>1.4</v>
      </c>
      <c r="AM39" t="s">
        <v>10888</v>
      </c>
      <c r="AN39" t="s">
        <v>10922</v>
      </c>
      <c r="AO39" t="s">
        <v>11005</v>
      </c>
      <c r="AP39" t="s">
        <v>11064</v>
      </c>
      <c r="AQ39" t="s">
        <v>11102</v>
      </c>
      <c r="AR39" t="s">
        <v>11274</v>
      </c>
      <c r="AS39" t="s">
        <v>11595</v>
      </c>
      <c r="AT39" t="s">
        <v>11641</v>
      </c>
      <c r="AX39" t="s">
        <v>10838</v>
      </c>
      <c r="AY39" t="s">
        <v>10829</v>
      </c>
      <c r="AZ39" t="s">
        <v>11683</v>
      </c>
      <c r="BA39" t="s">
        <v>11741</v>
      </c>
      <c r="BB39">
        <v>0</v>
      </c>
      <c r="BC39">
        <v>0</v>
      </c>
      <c r="BD39">
        <v>0</v>
      </c>
      <c r="BE39">
        <v>0</v>
      </c>
      <c r="BF39">
        <v>1</v>
      </c>
      <c r="BG39">
        <v>0</v>
      </c>
    </row>
    <row r="40" spans="1:59">
      <c r="A40" s="1">
        <f>HYPERLINK("https://lsnyc.legalserver.org/matter/dynamic-profile/view/1902328","19-1902328")</f>
        <v>0</v>
      </c>
      <c r="B40" t="s">
        <v>95</v>
      </c>
      <c r="C40" t="s">
        <v>5034</v>
      </c>
      <c r="D40" t="s">
        <v>9928</v>
      </c>
      <c r="E40" t="s">
        <v>10075</v>
      </c>
      <c r="F40">
        <v>11210</v>
      </c>
      <c r="G40" t="s">
        <v>10093</v>
      </c>
      <c r="H40" t="s">
        <v>10117</v>
      </c>
      <c r="I40" t="s">
        <v>10171</v>
      </c>
      <c r="J40" t="s">
        <v>10213</v>
      </c>
      <c r="K40" t="s">
        <v>10218</v>
      </c>
      <c r="L40" t="s">
        <v>10117</v>
      </c>
      <c r="M40" t="s">
        <v>10252</v>
      </c>
      <c r="N40" t="s">
        <v>10662</v>
      </c>
      <c r="P40" t="s">
        <v>10751</v>
      </c>
      <c r="Q40" t="s">
        <v>10761</v>
      </c>
      <c r="R40" t="s">
        <v>10820</v>
      </c>
      <c r="T40">
        <v>4512</v>
      </c>
      <c r="U40">
        <v>376</v>
      </c>
      <c r="V40">
        <v>43</v>
      </c>
      <c r="W40">
        <v>1</v>
      </c>
      <c r="X40">
        <v>0</v>
      </c>
      <c r="Y40" t="s">
        <v>10829</v>
      </c>
      <c r="Z40">
        <v>36.12</v>
      </c>
      <c r="AA40">
        <v>40.638378</v>
      </c>
      <c r="AB40">
        <v>-73.943557</v>
      </c>
      <c r="AD40" t="s">
        <v>10840</v>
      </c>
      <c r="AF40" t="s">
        <v>10846</v>
      </c>
      <c r="AG40" t="s">
        <v>10859</v>
      </c>
      <c r="AH40" t="s">
        <v>10868</v>
      </c>
      <c r="AI40">
        <v>239</v>
      </c>
      <c r="AJ40" t="s">
        <v>10213</v>
      </c>
      <c r="AK40" t="s">
        <v>10838</v>
      </c>
      <c r="AL40">
        <v>0.7</v>
      </c>
      <c r="AM40" t="s">
        <v>10888</v>
      </c>
      <c r="AN40" t="s">
        <v>10925</v>
      </c>
      <c r="AO40" t="s">
        <v>11008</v>
      </c>
      <c r="AP40" t="s">
        <v>11065</v>
      </c>
      <c r="AR40" t="s">
        <v>10180</v>
      </c>
      <c r="AS40" t="s">
        <v>11595</v>
      </c>
      <c r="AT40" t="s">
        <v>11642</v>
      </c>
      <c r="AX40" t="s">
        <v>10837</v>
      </c>
      <c r="AY40" t="s">
        <v>10829</v>
      </c>
      <c r="AZ40" t="s">
        <v>11682</v>
      </c>
      <c r="BA40" t="s">
        <v>11742</v>
      </c>
      <c r="BB40">
        <v>0</v>
      </c>
      <c r="BC40">
        <v>0</v>
      </c>
      <c r="BD40">
        <v>0</v>
      </c>
      <c r="BE40">
        <v>0</v>
      </c>
      <c r="BF40">
        <v>7</v>
      </c>
      <c r="BG40">
        <v>0</v>
      </c>
    </row>
    <row r="41" spans="1:59">
      <c r="A41" s="1">
        <f>HYPERLINK("https://lsnyc.legalserver.org/matter/dynamic-profile/view/1902334","19-1902334")</f>
        <v>0</v>
      </c>
      <c r="B41" t="s">
        <v>96</v>
      </c>
      <c r="C41" t="s">
        <v>5035</v>
      </c>
      <c r="D41" t="s">
        <v>9929</v>
      </c>
      <c r="E41" t="s">
        <v>10075</v>
      </c>
      <c r="F41">
        <v>10301</v>
      </c>
      <c r="G41" t="s">
        <v>10088</v>
      </c>
      <c r="H41" t="s">
        <v>10112</v>
      </c>
      <c r="I41" t="s">
        <v>10172</v>
      </c>
      <c r="J41" t="s">
        <v>10208</v>
      </c>
      <c r="K41" t="s">
        <v>10218</v>
      </c>
      <c r="L41" t="s">
        <v>10103</v>
      </c>
      <c r="M41" t="s">
        <v>10240</v>
      </c>
      <c r="N41" t="s">
        <v>10650</v>
      </c>
      <c r="P41" t="s">
        <v>10749</v>
      </c>
      <c r="Q41" t="s">
        <v>10765</v>
      </c>
      <c r="R41" t="s">
        <v>10820</v>
      </c>
      <c r="T41">
        <v>10080</v>
      </c>
      <c r="U41">
        <v>840</v>
      </c>
      <c r="V41">
        <v>36</v>
      </c>
      <c r="W41">
        <v>1</v>
      </c>
      <c r="X41">
        <v>0</v>
      </c>
      <c r="Y41" t="s">
        <v>10829</v>
      </c>
      <c r="Z41">
        <v>80.7</v>
      </c>
      <c r="AA41">
        <v>40.641482</v>
      </c>
      <c r="AB41">
        <v>-74.086989</v>
      </c>
      <c r="AD41" t="s">
        <v>10839</v>
      </c>
      <c r="AG41" t="s">
        <v>10858</v>
      </c>
      <c r="AH41" t="s">
        <v>10862</v>
      </c>
      <c r="AI41">
        <v>285</v>
      </c>
      <c r="AJ41" t="s">
        <v>10208</v>
      </c>
      <c r="AK41" t="s">
        <v>10838</v>
      </c>
      <c r="AL41">
        <v>2.1</v>
      </c>
      <c r="AM41" t="s">
        <v>10883</v>
      </c>
      <c r="AN41" t="s">
        <v>10913</v>
      </c>
      <c r="AO41" t="s">
        <v>11006</v>
      </c>
      <c r="AP41" t="s">
        <v>11051</v>
      </c>
      <c r="AR41" t="s">
        <v>11274</v>
      </c>
      <c r="AS41" t="s">
        <v>11593</v>
      </c>
      <c r="AY41" t="s">
        <v>10829</v>
      </c>
      <c r="AZ41" t="s">
        <v>11681</v>
      </c>
      <c r="BA41" t="s">
        <v>11741</v>
      </c>
      <c r="BB41">
        <v>0</v>
      </c>
      <c r="BC41">
        <v>0</v>
      </c>
      <c r="BD41">
        <v>0</v>
      </c>
      <c r="BE41">
        <v>0</v>
      </c>
      <c r="BF41">
        <v>1</v>
      </c>
      <c r="BG41">
        <v>0</v>
      </c>
    </row>
    <row r="42" spans="1:59">
      <c r="A42" s="1">
        <f>HYPERLINK("https://lsnyc.legalserver.org/matter/dynamic-profile/view/1902366","19-1902366")</f>
        <v>0</v>
      </c>
      <c r="B42" t="s">
        <v>97</v>
      </c>
      <c r="C42" t="s">
        <v>5036</v>
      </c>
      <c r="D42" t="s">
        <v>9928</v>
      </c>
      <c r="E42" t="s">
        <v>10075</v>
      </c>
      <c r="F42">
        <v>11215</v>
      </c>
      <c r="G42" t="s">
        <v>10093</v>
      </c>
      <c r="H42" t="s">
        <v>10103</v>
      </c>
      <c r="I42" t="s">
        <v>10169</v>
      </c>
      <c r="J42" t="s">
        <v>10213</v>
      </c>
      <c r="K42" t="s">
        <v>10217</v>
      </c>
      <c r="M42" t="s">
        <v>10253</v>
      </c>
      <c r="N42" t="s">
        <v>10649</v>
      </c>
      <c r="P42" t="s">
        <v>10753</v>
      </c>
      <c r="Q42" t="s">
        <v>10763</v>
      </c>
      <c r="R42" t="s">
        <v>10823</v>
      </c>
      <c r="T42">
        <v>6756</v>
      </c>
      <c r="U42">
        <v>563</v>
      </c>
      <c r="V42">
        <v>38</v>
      </c>
      <c r="W42">
        <v>1</v>
      </c>
      <c r="X42">
        <v>2</v>
      </c>
      <c r="Z42">
        <v>31.67</v>
      </c>
      <c r="AA42">
        <v>40.67213</v>
      </c>
      <c r="AB42">
        <v>-73.991845</v>
      </c>
      <c r="AD42" t="s">
        <v>10839</v>
      </c>
      <c r="AF42" t="s">
        <v>10844</v>
      </c>
      <c r="AG42" t="s">
        <v>10859</v>
      </c>
      <c r="AH42" t="s">
        <v>10864</v>
      </c>
      <c r="AI42">
        <v>239</v>
      </c>
      <c r="AJ42" t="s">
        <v>10213</v>
      </c>
      <c r="AL42">
        <v>2.95</v>
      </c>
      <c r="AM42" t="s">
        <v>10886</v>
      </c>
      <c r="AN42" t="s">
        <v>10917</v>
      </c>
      <c r="AO42" t="s">
        <v>11007</v>
      </c>
      <c r="AP42" t="s">
        <v>11059</v>
      </c>
      <c r="AQ42" t="s">
        <v>11096</v>
      </c>
      <c r="AR42" t="s">
        <v>11257</v>
      </c>
      <c r="AS42" t="s">
        <v>11595</v>
      </c>
      <c r="BA42" t="s">
        <v>11739</v>
      </c>
      <c r="BB42">
        <v>0</v>
      </c>
      <c r="BC42">
        <v>0</v>
      </c>
      <c r="BD42">
        <v>0</v>
      </c>
      <c r="BE42">
        <v>0</v>
      </c>
      <c r="BF42">
        <v>4</v>
      </c>
      <c r="BG42">
        <v>0</v>
      </c>
    </row>
    <row r="43" spans="1:59">
      <c r="A43" s="1">
        <f>HYPERLINK("https://lsnyc.legalserver.org/matter/dynamic-profile/view/1902689","19-1902689")</f>
        <v>0</v>
      </c>
      <c r="B43" t="s">
        <v>98</v>
      </c>
      <c r="C43" t="s">
        <v>5037</v>
      </c>
      <c r="D43" t="s">
        <v>9929</v>
      </c>
      <c r="E43" t="s">
        <v>10075</v>
      </c>
      <c r="F43">
        <v>10301</v>
      </c>
      <c r="G43" t="s">
        <v>10088</v>
      </c>
      <c r="H43" t="s">
        <v>10097</v>
      </c>
      <c r="I43" t="s">
        <v>10168</v>
      </c>
      <c r="J43" t="s">
        <v>10208</v>
      </c>
      <c r="K43" t="s">
        <v>10217</v>
      </c>
      <c r="M43" t="s">
        <v>10254</v>
      </c>
      <c r="N43" t="s">
        <v>10650</v>
      </c>
      <c r="P43" t="s">
        <v>10749</v>
      </c>
      <c r="Q43" t="s">
        <v>10765</v>
      </c>
      <c r="R43" t="s">
        <v>10820</v>
      </c>
      <c r="T43">
        <v>19760</v>
      </c>
      <c r="U43">
        <v>1646.67</v>
      </c>
      <c r="V43">
        <v>63</v>
      </c>
      <c r="W43">
        <v>1</v>
      </c>
      <c r="X43">
        <v>0</v>
      </c>
      <c r="Z43">
        <v>158.21</v>
      </c>
      <c r="AA43">
        <v>40.641017</v>
      </c>
      <c r="AB43">
        <v>-74.082953</v>
      </c>
      <c r="AD43" t="s">
        <v>10840</v>
      </c>
      <c r="AG43" t="s">
        <v>10858</v>
      </c>
      <c r="AH43" t="s">
        <v>10862</v>
      </c>
      <c r="AI43">
        <v>285</v>
      </c>
      <c r="AJ43" t="s">
        <v>10208</v>
      </c>
      <c r="AL43">
        <v>23.4</v>
      </c>
      <c r="AM43" t="s">
        <v>10883</v>
      </c>
      <c r="AN43" t="s">
        <v>10913</v>
      </c>
      <c r="AO43" t="s">
        <v>11006</v>
      </c>
      <c r="AP43" t="s">
        <v>11051</v>
      </c>
      <c r="AR43" t="s">
        <v>11275</v>
      </c>
      <c r="AS43" t="s">
        <v>11593</v>
      </c>
      <c r="BA43" t="s">
        <v>11738</v>
      </c>
      <c r="BB43">
        <v>0</v>
      </c>
      <c r="BC43">
        <v>0</v>
      </c>
      <c r="BD43">
        <v>0</v>
      </c>
      <c r="BE43">
        <v>0</v>
      </c>
      <c r="BF43">
        <v>5</v>
      </c>
      <c r="BG43">
        <v>0</v>
      </c>
    </row>
    <row r="44" spans="1:59">
      <c r="A44" s="1">
        <f>HYPERLINK("https://lsnyc.legalserver.org/matter/dynamic-profile/view/1902962","19-1902962")</f>
        <v>0</v>
      </c>
      <c r="B44" t="s">
        <v>99</v>
      </c>
      <c r="C44" t="s">
        <v>5038</v>
      </c>
      <c r="D44" t="s">
        <v>9929</v>
      </c>
      <c r="E44" t="s">
        <v>10075</v>
      </c>
      <c r="F44">
        <v>10304</v>
      </c>
      <c r="G44" t="s">
        <v>10088</v>
      </c>
      <c r="H44" t="s">
        <v>10118</v>
      </c>
      <c r="I44" t="s">
        <v>10168</v>
      </c>
      <c r="J44" t="s">
        <v>10208</v>
      </c>
      <c r="K44" t="s">
        <v>10217</v>
      </c>
      <c r="M44" t="s">
        <v>10255</v>
      </c>
      <c r="N44" t="s">
        <v>10663</v>
      </c>
      <c r="P44" t="s">
        <v>10755</v>
      </c>
      <c r="Q44" t="s">
        <v>10772</v>
      </c>
      <c r="R44" t="s">
        <v>10824</v>
      </c>
      <c r="T44">
        <v>86000</v>
      </c>
      <c r="U44">
        <v>7166.67</v>
      </c>
      <c r="V44">
        <v>8</v>
      </c>
      <c r="W44">
        <v>2</v>
      </c>
      <c r="X44">
        <v>2</v>
      </c>
      <c r="Z44">
        <v>333.98</v>
      </c>
      <c r="AA44">
        <v>40.62847</v>
      </c>
      <c r="AB44">
        <v>-74.075863</v>
      </c>
      <c r="AD44" t="s">
        <v>10840</v>
      </c>
      <c r="AG44" t="s">
        <v>10858</v>
      </c>
      <c r="AH44" t="s">
        <v>10861</v>
      </c>
      <c r="AI44">
        <v>285</v>
      </c>
      <c r="AJ44" t="s">
        <v>10208</v>
      </c>
      <c r="AL44">
        <v>8.449999999999999</v>
      </c>
      <c r="AM44" t="s">
        <v>10883</v>
      </c>
      <c r="AN44" t="s">
        <v>10913</v>
      </c>
      <c r="AO44" t="s">
        <v>11006</v>
      </c>
      <c r="AP44" t="s">
        <v>11051</v>
      </c>
      <c r="AR44" t="s">
        <v>11257</v>
      </c>
      <c r="AS44" t="s">
        <v>11593</v>
      </c>
      <c r="AT44" t="s">
        <v>11642</v>
      </c>
      <c r="AX44" t="s">
        <v>10838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</row>
    <row r="45" spans="1:59">
      <c r="A45" s="1">
        <f>HYPERLINK("https://lsnyc.legalserver.org/matter/dynamic-profile/view/1903102","19-1903102")</f>
        <v>0</v>
      </c>
      <c r="B45" t="s">
        <v>100</v>
      </c>
      <c r="C45" t="s">
        <v>5039</v>
      </c>
      <c r="D45" t="s">
        <v>9929</v>
      </c>
      <c r="E45" t="s">
        <v>10075</v>
      </c>
      <c r="F45">
        <v>10301</v>
      </c>
      <c r="G45" t="s">
        <v>10088</v>
      </c>
      <c r="H45" t="s">
        <v>10119</v>
      </c>
      <c r="I45" t="s">
        <v>10168</v>
      </c>
      <c r="J45" t="s">
        <v>10208</v>
      </c>
      <c r="K45" t="s">
        <v>10217</v>
      </c>
      <c r="M45" t="s">
        <v>10243</v>
      </c>
      <c r="N45" t="s">
        <v>10650</v>
      </c>
      <c r="P45" t="s">
        <v>10749</v>
      </c>
      <c r="Q45" t="s">
        <v>10765</v>
      </c>
      <c r="R45" t="s">
        <v>10824</v>
      </c>
      <c r="T45">
        <v>31200</v>
      </c>
      <c r="U45">
        <v>2600</v>
      </c>
      <c r="V45">
        <v>43</v>
      </c>
      <c r="W45">
        <v>1</v>
      </c>
      <c r="X45">
        <v>1</v>
      </c>
      <c r="Z45">
        <v>184.51</v>
      </c>
      <c r="AA45">
        <v>40.646254</v>
      </c>
      <c r="AB45">
        <v>-74.080727</v>
      </c>
      <c r="AD45" t="s">
        <v>10839</v>
      </c>
      <c r="AG45" t="s">
        <v>10858</v>
      </c>
      <c r="AH45" t="s">
        <v>10862</v>
      </c>
      <c r="AI45">
        <v>285</v>
      </c>
      <c r="AJ45" t="s">
        <v>10208</v>
      </c>
      <c r="AL45">
        <v>35.65</v>
      </c>
      <c r="AM45" t="s">
        <v>10883</v>
      </c>
      <c r="AN45" t="s">
        <v>10913</v>
      </c>
      <c r="AO45" t="s">
        <v>11006</v>
      </c>
      <c r="AP45" t="s">
        <v>11051</v>
      </c>
      <c r="AR45" t="s">
        <v>11257</v>
      </c>
      <c r="AS45" t="s">
        <v>11593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</row>
    <row r="46" spans="1:59">
      <c r="A46" s="1">
        <f>HYPERLINK("https://lsnyc.legalserver.org/matter/dynamic-profile/view/1903177","19-1903177")</f>
        <v>0</v>
      </c>
      <c r="B46" t="s">
        <v>89</v>
      </c>
      <c r="C46" t="s">
        <v>5040</v>
      </c>
      <c r="D46" t="s">
        <v>9928</v>
      </c>
      <c r="E46" t="s">
        <v>10075</v>
      </c>
      <c r="F46">
        <v>11225</v>
      </c>
      <c r="G46" t="s">
        <v>10093</v>
      </c>
      <c r="H46" t="s">
        <v>10102</v>
      </c>
      <c r="I46" t="s">
        <v>10168</v>
      </c>
      <c r="J46" t="s">
        <v>10213</v>
      </c>
      <c r="K46" t="s">
        <v>10218</v>
      </c>
      <c r="L46" t="s">
        <v>10102</v>
      </c>
      <c r="M46" t="s">
        <v>10256</v>
      </c>
      <c r="N46" t="s">
        <v>10644</v>
      </c>
      <c r="P46" t="s">
        <v>10749</v>
      </c>
      <c r="Q46" t="s">
        <v>10765</v>
      </c>
      <c r="R46" t="s">
        <v>10820</v>
      </c>
      <c r="T46">
        <v>720</v>
      </c>
      <c r="U46">
        <v>60</v>
      </c>
      <c r="V46">
        <v>64</v>
      </c>
      <c r="W46">
        <v>2</v>
      </c>
      <c r="X46">
        <v>0</v>
      </c>
      <c r="Y46" t="s">
        <v>10829</v>
      </c>
      <c r="Z46">
        <v>4.26</v>
      </c>
      <c r="AA46">
        <v>40.66333</v>
      </c>
      <c r="AB46">
        <v>-73.942911</v>
      </c>
      <c r="AD46" t="s">
        <v>10839</v>
      </c>
      <c r="AG46" t="s">
        <v>10858</v>
      </c>
      <c r="AH46" t="s">
        <v>10869</v>
      </c>
      <c r="AI46">
        <v>239</v>
      </c>
      <c r="AJ46" t="s">
        <v>10213</v>
      </c>
      <c r="AK46" t="s">
        <v>10882</v>
      </c>
      <c r="AL46">
        <v>2.75</v>
      </c>
      <c r="AM46" t="s">
        <v>10888</v>
      </c>
      <c r="AN46" t="s">
        <v>10912</v>
      </c>
      <c r="AO46" t="s">
        <v>11005</v>
      </c>
      <c r="AP46" t="s">
        <v>11050</v>
      </c>
      <c r="AR46" t="s">
        <v>11262</v>
      </c>
      <c r="AS46" t="s">
        <v>11595</v>
      </c>
      <c r="AW46" t="s">
        <v>11645</v>
      </c>
      <c r="AY46" t="s">
        <v>10829</v>
      </c>
      <c r="AZ46" t="s">
        <v>11681</v>
      </c>
      <c r="BA46" t="s">
        <v>11742</v>
      </c>
      <c r="BB46">
        <v>0</v>
      </c>
      <c r="BC46">
        <v>0</v>
      </c>
      <c r="BD46">
        <v>0</v>
      </c>
      <c r="BE46">
        <v>0</v>
      </c>
      <c r="BF46">
        <v>7</v>
      </c>
      <c r="BG46">
        <v>0</v>
      </c>
    </row>
    <row r="47" spans="1:59">
      <c r="A47" s="1">
        <f>HYPERLINK("https://lsnyc.legalserver.org/matter/dynamic-profile/view/1903223","19-1903223")</f>
        <v>0</v>
      </c>
      <c r="B47" t="s">
        <v>101</v>
      </c>
      <c r="C47" t="s">
        <v>5041</v>
      </c>
      <c r="D47" t="s">
        <v>9928</v>
      </c>
      <c r="E47" t="s">
        <v>10075</v>
      </c>
      <c r="F47">
        <v>11233</v>
      </c>
      <c r="G47" t="s">
        <v>10093</v>
      </c>
      <c r="H47" t="s">
        <v>10119</v>
      </c>
      <c r="I47" t="s">
        <v>10168</v>
      </c>
      <c r="J47" t="s">
        <v>10213</v>
      </c>
      <c r="K47" t="s">
        <v>10218</v>
      </c>
      <c r="L47" t="s">
        <v>10119</v>
      </c>
      <c r="M47" t="s">
        <v>10245</v>
      </c>
      <c r="N47" t="s">
        <v>10664</v>
      </c>
      <c r="P47" t="s">
        <v>10749</v>
      </c>
      <c r="Q47" t="s">
        <v>10767</v>
      </c>
      <c r="R47" t="s">
        <v>10824</v>
      </c>
      <c r="T47">
        <v>0</v>
      </c>
      <c r="U47">
        <v>0</v>
      </c>
      <c r="V47">
        <v>29</v>
      </c>
      <c r="W47">
        <v>1</v>
      </c>
      <c r="X47">
        <v>0</v>
      </c>
      <c r="Y47" t="s">
        <v>10831</v>
      </c>
      <c r="Z47">
        <v>0</v>
      </c>
      <c r="AA47">
        <v>40.681572</v>
      </c>
      <c r="AB47">
        <v>-73.923626</v>
      </c>
      <c r="AD47" t="s">
        <v>10839</v>
      </c>
      <c r="AG47" t="s">
        <v>10858</v>
      </c>
      <c r="AH47" t="s">
        <v>10862</v>
      </c>
      <c r="AI47">
        <v>239</v>
      </c>
      <c r="AJ47" t="s">
        <v>10213</v>
      </c>
      <c r="AK47" t="s">
        <v>10838</v>
      </c>
      <c r="AL47">
        <v>1.9</v>
      </c>
      <c r="AM47" t="s">
        <v>10889</v>
      </c>
      <c r="AN47" t="s">
        <v>10922</v>
      </c>
      <c r="AO47" t="s">
        <v>11007</v>
      </c>
      <c r="AP47" t="s">
        <v>11064</v>
      </c>
      <c r="AR47" t="s">
        <v>11267</v>
      </c>
      <c r="AS47" t="s">
        <v>11595</v>
      </c>
      <c r="AY47" t="s">
        <v>10831</v>
      </c>
      <c r="AZ47" t="s">
        <v>11685</v>
      </c>
      <c r="BA47" t="s">
        <v>11738</v>
      </c>
      <c r="BB47">
        <v>0</v>
      </c>
      <c r="BC47">
        <v>0</v>
      </c>
      <c r="BD47">
        <v>0</v>
      </c>
      <c r="BE47">
        <v>0</v>
      </c>
      <c r="BF47">
        <v>5</v>
      </c>
      <c r="BG47">
        <v>0</v>
      </c>
    </row>
    <row r="48" spans="1:59">
      <c r="A48" s="1">
        <f>HYPERLINK("https://lsnyc.legalserver.org/matter/dynamic-profile/view/1903243","19-1903243")</f>
        <v>0</v>
      </c>
      <c r="B48" t="s">
        <v>102</v>
      </c>
      <c r="C48" t="s">
        <v>5042</v>
      </c>
      <c r="D48" t="s">
        <v>9929</v>
      </c>
      <c r="E48" t="s">
        <v>10075</v>
      </c>
      <c r="F48">
        <v>10301</v>
      </c>
      <c r="G48" t="s">
        <v>10088</v>
      </c>
      <c r="H48" t="s">
        <v>10105</v>
      </c>
      <c r="I48" t="s">
        <v>10168</v>
      </c>
      <c r="J48" t="s">
        <v>10208</v>
      </c>
      <c r="K48" t="s">
        <v>10217</v>
      </c>
      <c r="M48" t="s">
        <v>10257</v>
      </c>
      <c r="N48" t="s">
        <v>10650</v>
      </c>
      <c r="P48" t="s">
        <v>10749</v>
      </c>
      <c r="Q48" t="s">
        <v>10765</v>
      </c>
      <c r="R48" t="s">
        <v>10824</v>
      </c>
      <c r="T48">
        <v>40384</v>
      </c>
      <c r="U48">
        <v>3365.33</v>
      </c>
      <c r="V48">
        <v>44</v>
      </c>
      <c r="W48">
        <v>2</v>
      </c>
      <c r="X48">
        <v>0</v>
      </c>
      <c r="Z48">
        <v>238.82</v>
      </c>
      <c r="AA48">
        <v>40.642192</v>
      </c>
      <c r="AB48">
        <v>-74.086394</v>
      </c>
      <c r="AD48" t="s">
        <v>10839</v>
      </c>
      <c r="AG48" t="s">
        <v>10858</v>
      </c>
      <c r="AH48" t="s">
        <v>10862</v>
      </c>
      <c r="AI48">
        <v>285</v>
      </c>
      <c r="AJ48" t="s">
        <v>10208</v>
      </c>
      <c r="AL48">
        <v>28.75</v>
      </c>
      <c r="AM48" t="s">
        <v>10883</v>
      </c>
      <c r="AN48" t="s">
        <v>10913</v>
      </c>
      <c r="AO48" t="s">
        <v>11006</v>
      </c>
      <c r="AP48" t="s">
        <v>11051</v>
      </c>
      <c r="AR48" t="s">
        <v>11257</v>
      </c>
      <c r="AS48" t="s">
        <v>11593</v>
      </c>
      <c r="BA48" t="s">
        <v>11738</v>
      </c>
      <c r="BB48">
        <v>0</v>
      </c>
      <c r="BC48">
        <v>0</v>
      </c>
      <c r="BD48">
        <v>0</v>
      </c>
      <c r="BE48">
        <v>0</v>
      </c>
      <c r="BF48">
        <v>5</v>
      </c>
      <c r="BG48">
        <v>0</v>
      </c>
    </row>
    <row r="49" spans="1:59">
      <c r="A49" s="1">
        <f>HYPERLINK("https://lsnyc.legalserver.org/matter/dynamic-profile/view/1903291","19-1903291")</f>
        <v>0</v>
      </c>
      <c r="B49" t="s">
        <v>103</v>
      </c>
      <c r="C49" t="s">
        <v>5043</v>
      </c>
      <c r="D49" t="s">
        <v>9929</v>
      </c>
      <c r="E49" t="s">
        <v>10075</v>
      </c>
      <c r="F49">
        <v>10307</v>
      </c>
      <c r="G49" t="s">
        <v>10088</v>
      </c>
      <c r="H49" t="s">
        <v>10117</v>
      </c>
      <c r="I49" t="s">
        <v>10168</v>
      </c>
      <c r="J49" t="s">
        <v>10208</v>
      </c>
      <c r="K49" t="s">
        <v>10218</v>
      </c>
      <c r="L49" t="s">
        <v>10120</v>
      </c>
      <c r="M49" t="s">
        <v>10254</v>
      </c>
      <c r="N49" t="s">
        <v>10654</v>
      </c>
      <c r="P49" t="s">
        <v>10749</v>
      </c>
      <c r="Q49" t="s">
        <v>10765</v>
      </c>
      <c r="R49" t="s">
        <v>10820</v>
      </c>
      <c r="T49">
        <v>12408</v>
      </c>
      <c r="U49">
        <v>1034</v>
      </c>
      <c r="V49">
        <v>68</v>
      </c>
      <c r="W49">
        <v>1</v>
      </c>
      <c r="X49">
        <v>0</v>
      </c>
      <c r="Y49" t="s">
        <v>10831</v>
      </c>
      <c r="Z49">
        <v>99.34</v>
      </c>
      <c r="AA49">
        <v>40.517051</v>
      </c>
      <c r="AB49">
        <v>-74.240011</v>
      </c>
      <c r="AD49" t="s">
        <v>10840</v>
      </c>
      <c r="AG49" t="s">
        <v>10858</v>
      </c>
      <c r="AH49" t="s">
        <v>10862</v>
      </c>
      <c r="AI49">
        <v>285</v>
      </c>
      <c r="AJ49" t="s">
        <v>10208</v>
      </c>
      <c r="AK49" t="s">
        <v>10838</v>
      </c>
      <c r="AL49">
        <v>4.7</v>
      </c>
      <c r="AM49" t="s">
        <v>10883</v>
      </c>
      <c r="AN49" t="s">
        <v>10906</v>
      </c>
      <c r="AO49" t="s">
        <v>10999</v>
      </c>
      <c r="AP49" t="s">
        <v>11044</v>
      </c>
      <c r="AR49" t="s">
        <v>11274</v>
      </c>
      <c r="AS49" t="s">
        <v>11593</v>
      </c>
      <c r="AY49" t="s">
        <v>10831</v>
      </c>
      <c r="AZ49" t="s">
        <v>11686</v>
      </c>
      <c r="BA49" t="s">
        <v>11738</v>
      </c>
      <c r="BB49">
        <v>0</v>
      </c>
      <c r="BC49">
        <v>0</v>
      </c>
      <c r="BD49">
        <v>0</v>
      </c>
      <c r="BE49">
        <v>0</v>
      </c>
      <c r="BF49">
        <v>5</v>
      </c>
      <c r="BG49">
        <v>0</v>
      </c>
    </row>
    <row r="50" spans="1:59">
      <c r="A50" s="1">
        <f>HYPERLINK("https://lsnyc.legalserver.org/matter/dynamic-profile/view/1903338","19-1903338")</f>
        <v>0</v>
      </c>
      <c r="B50" t="s">
        <v>104</v>
      </c>
      <c r="C50" t="s">
        <v>5044</v>
      </c>
      <c r="D50" t="s">
        <v>9929</v>
      </c>
      <c r="E50" t="s">
        <v>10075</v>
      </c>
      <c r="F50">
        <v>10304</v>
      </c>
      <c r="G50" t="s">
        <v>10088</v>
      </c>
      <c r="H50" t="s">
        <v>10117</v>
      </c>
      <c r="I50" t="s">
        <v>10168</v>
      </c>
      <c r="J50" t="s">
        <v>10208</v>
      </c>
      <c r="K50" t="s">
        <v>10218</v>
      </c>
      <c r="L50" t="s">
        <v>10113</v>
      </c>
      <c r="M50" t="s">
        <v>10254</v>
      </c>
      <c r="N50" t="s">
        <v>10650</v>
      </c>
      <c r="P50" t="s">
        <v>10749</v>
      </c>
      <c r="Q50" t="s">
        <v>10765</v>
      </c>
      <c r="R50" t="s">
        <v>10820</v>
      </c>
      <c r="T50">
        <v>51000</v>
      </c>
      <c r="U50">
        <v>4250</v>
      </c>
      <c r="V50">
        <v>47</v>
      </c>
      <c r="W50">
        <v>4</v>
      </c>
      <c r="X50">
        <v>2</v>
      </c>
      <c r="Y50" t="s">
        <v>10829</v>
      </c>
      <c r="Z50">
        <v>147.44</v>
      </c>
      <c r="AA50">
        <v>40.624965</v>
      </c>
      <c r="AB50">
        <v>-74.07446299999999</v>
      </c>
      <c r="AD50" t="s">
        <v>10840</v>
      </c>
      <c r="AG50" t="s">
        <v>10858</v>
      </c>
      <c r="AH50" t="s">
        <v>10862</v>
      </c>
      <c r="AI50">
        <v>285</v>
      </c>
      <c r="AJ50" t="s">
        <v>10208</v>
      </c>
      <c r="AK50" t="s">
        <v>10838</v>
      </c>
      <c r="AL50">
        <v>2.6</v>
      </c>
      <c r="AM50" t="s">
        <v>10883</v>
      </c>
      <c r="AN50" t="s">
        <v>10913</v>
      </c>
      <c r="AO50" t="s">
        <v>11006</v>
      </c>
      <c r="AP50" t="s">
        <v>11051</v>
      </c>
      <c r="AR50" t="s">
        <v>11276</v>
      </c>
      <c r="AS50" t="s">
        <v>11593</v>
      </c>
      <c r="AY50" t="s">
        <v>10829</v>
      </c>
      <c r="AZ50" t="s">
        <v>11681</v>
      </c>
      <c r="BA50" t="s">
        <v>11741</v>
      </c>
      <c r="BB50">
        <v>0</v>
      </c>
      <c r="BC50">
        <v>0</v>
      </c>
      <c r="BD50">
        <v>0</v>
      </c>
      <c r="BE50">
        <v>0</v>
      </c>
      <c r="BF50">
        <v>1</v>
      </c>
      <c r="BG50">
        <v>0</v>
      </c>
    </row>
    <row r="51" spans="1:59">
      <c r="A51" s="1">
        <f>HYPERLINK("https://lsnyc.legalserver.org/matter/dynamic-profile/view/1903413","19-1903413")</f>
        <v>0</v>
      </c>
      <c r="B51" t="s">
        <v>105</v>
      </c>
      <c r="C51" t="s">
        <v>5045</v>
      </c>
      <c r="D51" t="s">
        <v>9925</v>
      </c>
      <c r="E51" t="s">
        <v>10075</v>
      </c>
      <c r="F51">
        <v>10029</v>
      </c>
      <c r="G51" t="s">
        <v>10091</v>
      </c>
      <c r="H51" t="s">
        <v>10120</v>
      </c>
      <c r="I51" t="s">
        <v>10168</v>
      </c>
      <c r="J51" t="s">
        <v>10211</v>
      </c>
      <c r="K51" t="s">
        <v>10217</v>
      </c>
      <c r="M51" t="s">
        <v>10231</v>
      </c>
      <c r="N51" t="s">
        <v>10647</v>
      </c>
      <c r="P51" t="s">
        <v>10752</v>
      </c>
      <c r="Q51" t="s">
        <v>10762</v>
      </c>
      <c r="R51" t="s">
        <v>10824</v>
      </c>
      <c r="T51">
        <v>14400</v>
      </c>
      <c r="U51">
        <v>1200</v>
      </c>
      <c r="V51">
        <v>58</v>
      </c>
      <c r="W51">
        <v>1</v>
      </c>
      <c r="X51">
        <v>0</v>
      </c>
      <c r="Z51">
        <v>115.29</v>
      </c>
      <c r="AA51">
        <v>40.786198</v>
      </c>
      <c r="AB51">
        <v>-73.94537</v>
      </c>
      <c r="AD51" t="s">
        <v>10840</v>
      </c>
      <c r="AG51" t="s">
        <v>10858</v>
      </c>
      <c r="AH51" t="s">
        <v>10863</v>
      </c>
      <c r="AI51">
        <v>235</v>
      </c>
      <c r="AJ51" t="s">
        <v>10211</v>
      </c>
      <c r="AL51">
        <v>0.25</v>
      </c>
      <c r="AM51" t="s">
        <v>10887</v>
      </c>
      <c r="AN51" t="s">
        <v>10926</v>
      </c>
      <c r="AO51" t="s">
        <v>11013</v>
      </c>
      <c r="AP51" t="s">
        <v>11066</v>
      </c>
      <c r="AR51" t="s">
        <v>11254</v>
      </c>
      <c r="AS51" t="s">
        <v>9925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</row>
    <row r="52" spans="1:59">
      <c r="A52" s="1">
        <f>HYPERLINK("https://lsnyc.legalserver.org/matter/dynamic-profile/view/1903468","19-1903468")</f>
        <v>0</v>
      </c>
      <c r="B52" t="s">
        <v>106</v>
      </c>
      <c r="C52" t="s">
        <v>5046</v>
      </c>
      <c r="D52" t="s">
        <v>9929</v>
      </c>
      <c r="E52" t="s">
        <v>10075</v>
      </c>
      <c r="F52">
        <v>10304</v>
      </c>
      <c r="G52" t="s">
        <v>10088</v>
      </c>
      <c r="H52" t="s">
        <v>10121</v>
      </c>
      <c r="I52" t="s">
        <v>10168</v>
      </c>
      <c r="J52" t="s">
        <v>10208</v>
      </c>
      <c r="K52" t="s">
        <v>10217</v>
      </c>
      <c r="M52" t="s">
        <v>10240</v>
      </c>
      <c r="N52" t="s">
        <v>10650</v>
      </c>
      <c r="P52" t="s">
        <v>10749</v>
      </c>
      <c r="Q52" t="s">
        <v>10765</v>
      </c>
      <c r="R52" t="s">
        <v>10824</v>
      </c>
      <c r="T52">
        <v>20000</v>
      </c>
      <c r="U52">
        <v>1666.67</v>
      </c>
      <c r="V52">
        <v>52</v>
      </c>
      <c r="W52">
        <v>1</v>
      </c>
      <c r="X52">
        <v>0</v>
      </c>
      <c r="Z52">
        <v>160.13</v>
      </c>
      <c r="AA52">
        <v>40.614232</v>
      </c>
      <c r="AB52">
        <v>-74.078065</v>
      </c>
      <c r="AD52" t="s">
        <v>10840</v>
      </c>
      <c r="AG52" t="s">
        <v>10858</v>
      </c>
      <c r="AH52" t="s">
        <v>10862</v>
      </c>
      <c r="AI52">
        <v>285</v>
      </c>
      <c r="AJ52" t="s">
        <v>10208</v>
      </c>
      <c r="AL52">
        <v>3.3</v>
      </c>
      <c r="AM52" t="s">
        <v>10883</v>
      </c>
      <c r="AN52" t="s">
        <v>10913</v>
      </c>
      <c r="AO52" t="s">
        <v>11006</v>
      </c>
      <c r="AP52" t="s">
        <v>11051</v>
      </c>
      <c r="AR52" t="s">
        <v>11276</v>
      </c>
      <c r="AS52" t="s">
        <v>11593</v>
      </c>
      <c r="BA52" t="s">
        <v>11738</v>
      </c>
      <c r="BB52">
        <v>0</v>
      </c>
      <c r="BC52">
        <v>0</v>
      </c>
      <c r="BD52">
        <v>0</v>
      </c>
      <c r="BE52">
        <v>0</v>
      </c>
      <c r="BF52">
        <v>5</v>
      </c>
      <c r="BG52">
        <v>0</v>
      </c>
    </row>
    <row r="53" spans="1:59">
      <c r="A53" s="1">
        <f>HYPERLINK("https://lsnyc.legalserver.org/matter/dynamic-profile/view/1903497","19-1903497")</f>
        <v>0</v>
      </c>
      <c r="B53" t="s">
        <v>107</v>
      </c>
      <c r="C53" t="s">
        <v>5047</v>
      </c>
      <c r="D53" t="s">
        <v>9931</v>
      </c>
      <c r="E53" t="s">
        <v>10075</v>
      </c>
      <c r="F53">
        <v>11354</v>
      </c>
      <c r="G53" t="s">
        <v>10092</v>
      </c>
      <c r="H53" t="s">
        <v>10114</v>
      </c>
      <c r="I53" t="s">
        <v>10169</v>
      </c>
      <c r="J53" t="s">
        <v>10212</v>
      </c>
      <c r="K53" t="s">
        <v>10217</v>
      </c>
      <c r="M53" t="s">
        <v>10258</v>
      </c>
      <c r="N53" t="s">
        <v>10650</v>
      </c>
      <c r="P53" t="s">
        <v>10749</v>
      </c>
      <c r="Q53" t="s">
        <v>10765</v>
      </c>
      <c r="R53" t="s">
        <v>10821</v>
      </c>
      <c r="T53">
        <v>25000</v>
      </c>
      <c r="U53">
        <v>2083.33</v>
      </c>
      <c r="V53">
        <v>76</v>
      </c>
      <c r="W53">
        <v>2</v>
      </c>
      <c r="X53">
        <v>0</v>
      </c>
      <c r="Z53">
        <v>147.84</v>
      </c>
      <c r="AA53">
        <v>40.766192</v>
      </c>
      <c r="AB53">
        <v>-73.828405</v>
      </c>
      <c r="AD53" t="s">
        <v>10839</v>
      </c>
      <c r="AG53" t="s">
        <v>10858</v>
      </c>
      <c r="AH53" t="s">
        <v>10862</v>
      </c>
      <c r="AI53">
        <v>237</v>
      </c>
      <c r="AJ53" t="s">
        <v>10212</v>
      </c>
      <c r="AL53">
        <v>0.15</v>
      </c>
      <c r="AM53" t="s">
        <v>10890</v>
      </c>
      <c r="AN53" t="s">
        <v>10927</v>
      </c>
      <c r="AO53" t="s">
        <v>11009</v>
      </c>
      <c r="AP53" t="s">
        <v>11067</v>
      </c>
      <c r="AR53" t="s">
        <v>11268</v>
      </c>
      <c r="AS53" t="s">
        <v>11594</v>
      </c>
      <c r="AT53" t="s">
        <v>11641</v>
      </c>
      <c r="BA53" t="s">
        <v>11739</v>
      </c>
      <c r="BB53">
        <v>0</v>
      </c>
      <c r="BC53">
        <v>0</v>
      </c>
      <c r="BD53">
        <v>0</v>
      </c>
      <c r="BE53">
        <v>0</v>
      </c>
      <c r="BF53">
        <v>4</v>
      </c>
      <c r="BG53">
        <v>0</v>
      </c>
    </row>
    <row r="54" spans="1:59">
      <c r="A54" s="1">
        <f>HYPERLINK("https://lsnyc.legalserver.org/matter/dynamic-profile/view/1903503","19-1903503")</f>
        <v>0</v>
      </c>
      <c r="B54" t="s">
        <v>108</v>
      </c>
      <c r="C54" t="s">
        <v>5048</v>
      </c>
      <c r="D54" t="s">
        <v>9929</v>
      </c>
      <c r="E54" t="s">
        <v>10075</v>
      </c>
      <c r="F54">
        <v>10314</v>
      </c>
      <c r="G54" t="s">
        <v>10088</v>
      </c>
      <c r="H54" t="s">
        <v>10097</v>
      </c>
      <c r="I54" t="s">
        <v>10168</v>
      </c>
      <c r="J54" t="s">
        <v>10208</v>
      </c>
      <c r="K54" t="s">
        <v>10217</v>
      </c>
      <c r="M54" t="s">
        <v>10259</v>
      </c>
      <c r="N54" t="s">
        <v>10655</v>
      </c>
      <c r="P54" t="s">
        <v>10749</v>
      </c>
      <c r="Q54" t="s">
        <v>10765</v>
      </c>
      <c r="R54" t="s">
        <v>10820</v>
      </c>
      <c r="T54">
        <v>40435.2</v>
      </c>
      <c r="U54">
        <v>3369.6</v>
      </c>
      <c r="V54">
        <v>35</v>
      </c>
      <c r="W54">
        <v>2</v>
      </c>
      <c r="X54">
        <v>1</v>
      </c>
      <c r="Z54">
        <v>189.57</v>
      </c>
      <c r="AA54">
        <v>40.620078</v>
      </c>
      <c r="AB54">
        <v>-74.14617699999999</v>
      </c>
      <c r="AD54" t="s">
        <v>10840</v>
      </c>
      <c r="AG54" t="s">
        <v>10858</v>
      </c>
      <c r="AH54" t="s">
        <v>10862</v>
      </c>
      <c r="AI54">
        <v>285</v>
      </c>
      <c r="AJ54" t="s">
        <v>10208</v>
      </c>
      <c r="AL54">
        <v>7.25</v>
      </c>
      <c r="AM54" t="s">
        <v>10883</v>
      </c>
      <c r="AN54" t="s">
        <v>10913</v>
      </c>
      <c r="AO54" t="s">
        <v>10999</v>
      </c>
      <c r="AP54" t="s">
        <v>11063</v>
      </c>
      <c r="AR54" t="s">
        <v>11257</v>
      </c>
      <c r="AS54" t="s">
        <v>11593</v>
      </c>
      <c r="BA54" t="s">
        <v>11738</v>
      </c>
      <c r="BB54">
        <v>0</v>
      </c>
      <c r="BC54">
        <v>0</v>
      </c>
      <c r="BD54">
        <v>0</v>
      </c>
      <c r="BE54">
        <v>0</v>
      </c>
      <c r="BF54">
        <v>5</v>
      </c>
      <c r="BG54">
        <v>0</v>
      </c>
    </row>
    <row r="55" spans="1:59">
      <c r="A55" s="1">
        <f>HYPERLINK("https://lsnyc.legalserver.org/matter/dynamic-profile/view/1903505","19-1903505")</f>
        <v>0</v>
      </c>
      <c r="B55" t="s">
        <v>109</v>
      </c>
      <c r="C55" t="s">
        <v>5049</v>
      </c>
      <c r="D55" t="s">
        <v>9929</v>
      </c>
      <c r="E55" t="s">
        <v>10075</v>
      </c>
      <c r="F55">
        <v>10312</v>
      </c>
      <c r="G55" t="s">
        <v>10088</v>
      </c>
      <c r="H55" t="s">
        <v>10119</v>
      </c>
      <c r="I55" t="s">
        <v>10168</v>
      </c>
      <c r="J55" t="s">
        <v>10208</v>
      </c>
      <c r="K55" t="s">
        <v>10217</v>
      </c>
      <c r="M55" t="s">
        <v>10228</v>
      </c>
      <c r="N55" t="s">
        <v>10661</v>
      </c>
      <c r="P55" t="s">
        <v>10749</v>
      </c>
      <c r="Q55" t="s">
        <v>10759</v>
      </c>
      <c r="R55" t="s">
        <v>10821</v>
      </c>
      <c r="T55">
        <v>96000</v>
      </c>
      <c r="U55">
        <v>8000</v>
      </c>
      <c r="V55">
        <v>49</v>
      </c>
      <c r="W55">
        <v>4</v>
      </c>
      <c r="X55">
        <v>1</v>
      </c>
      <c r="Z55">
        <v>318.2</v>
      </c>
      <c r="AA55">
        <v>40.558069</v>
      </c>
      <c r="AB55">
        <v>-74.176222</v>
      </c>
      <c r="AD55" t="s">
        <v>10840</v>
      </c>
      <c r="AF55" t="s">
        <v>10847</v>
      </c>
      <c r="AG55" t="s">
        <v>10859</v>
      </c>
      <c r="AH55" t="s">
        <v>10860</v>
      </c>
      <c r="AI55">
        <v>285</v>
      </c>
      <c r="AJ55" t="s">
        <v>10208</v>
      </c>
      <c r="AL55">
        <v>8.9</v>
      </c>
      <c r="AM55" t="s">
        <v>10883</v>
      </c>
      <c r="AN55" t="s">
        <v>10906</v>
      </c>
      <c r="AO55" t="s">
        <v>10999</v>
      </c>
      <c r="AP55" t="s">
        <v>11044</v>
      </c>
      <c r="AR55" t="s">
        <v>11276</v>
      </c>
      <c r="AS55" t="s">
        <v>11593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</row>
    <row r="56" spans="1:59">
      <c r="A56" s="1">
        <f>HYPERLINK("https://lsnyc.legalserver.org/matter/dynamic-profile/view/1903509","19-1903509")</f>
        <v>0</v>
      </c>
      <c r="B56" t="s">
        <v>110</v>
      </c>
      <c r="C56" t="s">
        <v>5050</v>
      </c>
      <c r="D56" t="s">
        <v>9926</v>
      </c>
      <c r="E56" t="s">
        <v>10075</v>
      </c>
      <c r="F56">
        <v>10458</v>
      </c>
      <c r="G56" t="s">
        <v>10090</v>
      </c>
      <c r="H56" t="s">
        <v>10111</v>
      </c>
      <c r="I56" t="s">
        <v>10169</v>
      </c>
      <c r="J56" t="s">
        <v>10210</v>
      </c>
      <c r="K56" t="s">
        <v>10218</v>
      </c>
      <c r="L56" t="s">
        <v>10111</v>
      </c>
      <c r="M56" t="s">
        <v>10244</v>
      </c>
      <c r="N56" t="s">
        <v>10650</v>
      </c>
      <c r="P56" t="s">
        <v>10749</v>
      </c>
      <c r="Q56" t="s">
        <v>10765</v>
      </c>
      <c r="R56" t="s">
        <v>10821</v>
      </c>
      <c r="T56">
        <v>4920</v>
      </c>
      <c r="U56">
        <v>410</v>
      </c>
      <c r="V56">
        <v>61</v>
      </c>
      <c r="W56">
        <v>3</v>
      </c>
      <c r="X56">
        <v>3</v>
      </c>
      <c r="Y56" t="s">
        <v>10829</v>
      </c>
      <c r="Z56">
        <v>14.22</v>
      </c>
      <c r="AA56">
        <v>40.863929</v>
      </c>
      <c r="AB56">
        <v>-73.891903</v>
      </c>
      <c r="AD56" t="s">
        <v>10839</v>
      </c>
      <c r="AF56" t="s">
        <v>10843</v>
      </c>
      <c r="AG56" t="s">
        <v>10858</v>
      </c>
      <c r="AH56" t="s">
        <v>10862</v>
      </c>
      <c r="AI56">
        <v>230</v>
      </c>
      <c r="AJ56" t="s">
        <v>10210</v>
      </c>
      <c r="AK56" t="s">
        <v>10838</v>
      </c>
      <c r="AL56">
        <v>0.5</v>
      </c>
      <c r="AM56" t="s">
        <v>10887</v>
      </c>
      <c r="AN56" t="s">
        <v>10907</v>
      </c>
      <c r="AO56" t="s">
        <v>11000</v>
      </c>
      <c r="AP56" t="s">
        <v>11056</v>
      </c>
      <c r="AR56" t="s">
        <v>11257</v>
      </c>
      <c r="AS56" t="s">
        <v>9926</v>
      </c>
      <c r="AY56" t="s">
        <v>10829</v>
      </c>
      <c r="AZ56" t="s">
        <v>11681</v>
      </c>
      <c r="BA56" t="s">
        <v>11741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0</v>
      </c>
    </row>
    <row r="57" spans="1:59">
      <c r="A57" s="1">
        <f>HYPERLINK("https://lsnyc.legalserver.org/matter/dynamic-profile/view/1903520","19-1903520")</f>
        <v>0</v>
      </c>
      <c r="B57" t="s">
        <v>111</v>
      </c>
      <c r="C57" t="s">
        <v>5051</v>
      </c>
      <c r="D57" t="s">
        <v>9932</v>
      </c>
      <c r="E57" t="s">
        <v>10075</v>
      </c>
      <c r="F57">
        <v>11368</v>
      </c>
      <c r="G57" t="s">
        <v>10092</v>
      </c>
      <c r="H57" t="s">
        <v>10114</v>
      </c>
      <c r="I57" t="s">
        <v>10168</v>
      </c>
      <c r="J57" t="s">
        <v>10212</v>
      </c>
      <c r="K57" t="s">
        <v>10218</v>
      </c>
      <c r="L57" t="s">
        <v>10151</v>
      </c>
      <c r="M57" t="s">
        <v>10260</v>
      </c>
      <c r="N57" t="s">
        <v>10665</v>
      </c>
      <c r="P57" t="s">
        <v>10751</v>
      </c>
      <c r="Q57" t="s">
        <v>10773</v>
      </c>
      <c r="R57" t="s">
        <v>10827</v>
      </c>
      <c r="T57">
        <v>0</v>
      </c>
      <c r="U57">
        <v>0</v>
      </c>
      <c r="V57">
        <v>52</v>
      </c>
      <c r="W57">
        <v>1</v>
      </c>
      <c r="X57">
        <v>0</v>
      </c>
      <c r="Y57" t="s">
        <v>10829</v>
      </c>
      <c r="Z57">
        <v>0</v>
      </c>
      <c r="AA57">
        <v>40.756455</v>
      </c>
      <c r="AB57">
        <v>-73.864637</v>
      </c>
      <c r="AD57" t="s">
        <v>10840</v>
      </c>
      <c r="AF57" t="s">
        <v>10843</v>
      </c>
      <c r="AG57" t="s">
        <v>10859</v>
      </c>
      <c r="AH57" t="s">
        <v>10861</v>
      </c>
      <c r="AI57">
        <v>234</v>
      </c>
      <c r="AJ57" t="s">
        <v>10214</v>
      </c>
      <c r="AK57" t="s">
        <v>10838</v>
      </c>
      <c r="AL57">
        <v>6.35</v>
      </c>
      <c r="AM57" t="s">
        <v>10885</v>
      </c>
      <c r="AN57" t="s">
        <v>10916</v>
      </c>
      <c r="AO57" t="s">
        <v>11014</v>
      </c>
      <c r="AP57" t="s">
        <v>11068</v>
      </c>
      <c r="AR57" t="s">
        <v>11267</v>
      </c>
      <c r="AS57" t="s">
        <v>11594</v>
      </c>
      <c r="AT57" t="s">
        <v>11642</v>
      </c>
      <c r="AX57" t="s">
        <v>10838</v>
      </c>
      <c r="AY57" t="s">
        <v>10829</v>
      </c>
      <c r="AZ57" t="s">
        <v>11682</v>
      </c>
      <c r="BA57" t="s">
        <v>11741</v>
      </c>
      <c r="BB57">
        <v>0</v>
      </c>
      <c r="BC57">
        <v>0</v>
      </c>
      <c r="BD57">
        <v>0</v>
      </c>
      <c r="BE57">
        <v>0</v>
      </c>
      <c r="BF57">
        <v>1</v>
      </c>
      <c r="BG57">
        <v>0</v>
      </c>
    </row>
    <row r="58" spans="1:59">
      <c r="A58" s="1">
        <f>HYPERLINK("https://lsnyc.legalserver.org/matter/dynamic-profile/view/1903527","19-1903527")</f>
        <v>0</v>
      </c>
      <c r="B58" t="s">
        <v>112</v>
      </c>
      <c r="C58" t="s">
        <v>5052</v>
      </c>
      <c r="D58" t="s">
        <v>9926</v>
      </c>
      <c r="E58" t="s">
        <v>10075</v>
      </c>
      <c r="F58">
        <v>10462</v>
      </c>
      <c r="G58" t="s">
        <v>10090</v>
      </c>
      <c r="H58" t="s">
        <v>10113</v>
      </c>
      <c r="I58" t="s">
        <v>10168</v>
      </c>
      <c r="J58" t="s">
        <v>10210</v>
      </c>
      <c r="K58" t="s">
        <v>10217</v>
      </c>
      <c r="M58" t="s">
        <v>10261</v>
      </c>
      <c r="N58" t="s">
        <v>10650</v>
      </c>
      <c r="P58" t="s">
        <v>10749</v>
      </c>
      <c r="Q58" t="s">
        <v>10765</v>
      </c>
      <c r="R58" t="s">
        <v>10824</v>
      </c>
      <c r="T58">
        <v>12010.68</v>
      </c>
      <c r="U58">
        <v>1000.89</v>
      </c>
      <c r="V58">
        <v>60</v>
      </c>
      <c r="W58">
        <v>1</v>
      </c>
      <c r="X58">
        <v>0</v>
      </c>
      <c r="Z58">
        <v>96.16</v>
      </c>
      <c r="AA58">
        <v>40.834675</v>
      </c>
      <c r="AB58">
        <v>-73.85920400000001</v>
      </c>
      <c r="AD58" t="s">
        <v>10840</v>
      </c>
      <c r="AG58" t="s">
        <v>10858</v>
      </c>
      <c r="AH58" t="s">
        <v>10862</v>
      </c>
      <c r="AI58">
        <v>230</v>
      </c>
      <c r="AJ58" t="s">
        <v>10210</v>
      </c>
      <c r="AL58">
        <v>2.1</v>
      </c>
      <c r="AM58" t="s">
        <v>10885</v>
      </c>
      <c r="AN58" t="s">
        <v>10908</v>
      </c>
      <c r="AO58" t="s">
        <v>11001</v>
      </c>
      <c r="AP58" t="s">
        <v>11046</v>
      </c>
      <c r="AR58" t="s">
        <v>11258</v>
      </c>
      <c r="AS58" t="s">
        <v>9926</v>
      </c>
      <c r="BA58" t="s">
        <v>11741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0</v>
      </c>
    </row>
    <row r="59" spans="1:59">
      <c r="A59" s="1">
        <f>HYPERLINK("https://lsnyc.legalserver.org/matter/dynamic-profile/view/1903556","19-1903556")</f>
        <v>0</v>
      </c>
      <c r="B59" t="s">
        <v>113</v>
      </c>
      <c r="C59" t="s">
        <v>5053</v>
      </c>
      <c r="D59" t="s">
        <v>9929</v>
      </c>
      <c r="E59" t="s">
        <v>10075</v>
      </c>
      <c r="F59">
        <v>10303</v>
      </c>
      <c r="G59" t="s">
        <v>10088</v>
      </c>
      <c r="H59" t="s">
        <v>10122</v>
      </c>
      <c r="I59" t="s">
        <v>10168</v>
      </c>
      <c r="J59" t="s">
        <v>10208</v>
      </c>
      <c r="K59" t="s">
        <v>10217</v>
      </c>
      <c r="M59" t="s">
        <v>10240</v>
      </c>
      <c r="N59" t="s">
        <v>10654</v>
      </c>
      <c r="P59" t="s">
        <v>10749</v>
      </c>
      <c r="Q59" t="s">
        <v>10774</v>
      </c>
      <c r="R59" t="s">
        <v>10823</v>
      </c>
      <c r="T59">
        <v>27300</v>
      </c>
      <c r="U59">
        <v>2275</v>
      </c>
      <c r="V59">
        <v>32</v>
      </c>
      <c r="W59">
        <v>1</v>
      </c>
      <c r="X59">
        <v>2</v>
      </c>
      <c r="Z59">
        <v>127.99</v>
      </c>
      <c r="AA59">
        <v>40.638912</v>
      </c>
      <c r="AB59">
        <v>-74.17009400000001</v>
      </c>
      <c r="AD59" t="s">
        <v>10839</v>
      </c>
      <c r="AG59" t="s">
        <v>10858</v>
      </c>
      <c r="AH59" t="s">
        <v>10862</v>
      </c>
      <c r="AI59">
        <v>285</v>
      </c>
      <c r="AJ59" t="s">
        <v>10208</v>
      </c>
      <c r="AL59">
        <v>5.65</v>
      </c>
      <c r="AM59" t="s">
        <v>10883</v>
      </c>
      <c r="AN59" t="s">
        <v>10928</v>
      </c>
      <c r="AO59" t="s">
        <v>11006</v>
      </c>
      <c r="AP59" t="s">
        <v>11051</v>
      </c>
      <c r="AR59" t="s">
        <v>11262</v>
      </c>
      <c r="AS59" t="s">
        <v>11593</v>
      </c>
      <c r="BA59" t="s">
        <v>11739</v>
      </c>
      <c r="BB59">
        <v>0</v>
      </c>
      <c r="BC59">
        <v>0</v>
      </c>
      <c r="BD59">
        <v>0</v>
      </c>
      <c r="BE59">
        <v>0</v>
      </c>
      <c r="BF59">
        <v>4</v>
      </c>
      <c r="BG59">
        <v>0</v>
      </c>
    </row>
    <row r="60" spans="1:59">
      <c r="A60" s="1">
        <f>HYPERLINK("https://lsnyc.legalserver.org/matter/dynamic-profile/view/1903574","19-1903574")</f>
        <v>0</v>
      </c>
      <c r="B60" t="s">
        <v>114</v>
      </c>
      <c r="C60" t="s">
        <v>5054</v>
      </c>
      <c r="D60" t="s">
        <v>9926</v>
      </c>
      <c r="E60" t="s">
        <v>10075</v>
      </c>
      <c r="F60">
        <v>10458</v>
      </c>
      <c r="G60" t="s">
        <v>10090</v>
      </c>
      <c r="H60" t="s">
        <v>10105</v>
      </c>
      <c r="I60" t="s">
        <v>10168</v>
      </c>
      <c r="J60" t="s">
        <v>10210</v>
      </c>
      <c r="K60" t="s">
        <v>10218</v>
      </c>
      <c r="L60" t="s">
        <v>10147</v>
      </c>
      <c r="M60" t="s">
        <v>10262</v>
      </c>
      <c r="N60" t="s">
        <v>10666</v>
      </c>
      <c r="P60" t="s">
        <v>10749</v>
      </c>
      <c r="Q60" t="s">
        <v>10765</v>
      </c>
      <c r="R60" t="s">
        <v>10824</v>
      </c>
      <c r="T60">
        <v>9000</v>
      </c>
      <c r="U60">
        <v>750</v>
      </c>
      <c r="V60">
        <v>30</v>
      </c>
      <c r="W60">
        <v>0</v>
      </c>
      <c r="X60">
        <v>3</v>
      </c>
      <c r="Y60" t="s">
        <v>10829</v>
      </c>
      <c r="Z60">
        <v>42.19</v>
      </c>
      <c r="AA60">
        <v>40.868188</v>
      </c>
      <c r="AB60">
        <v>-73.882723</v>
      </c>
      <c r="AD60" t="s">
        <v>10839</v>
      </c>
      <c r="AG60" t="s">
        <v>10858</v>
      </c>
      <c r="AH60" t="s">
        <v>10862</v>
      </c>
      <c r="AI60">
        <v>230</v>
      </c>
      <c r="AJ60" t="s">
        <v>10210</v>
      </c>
      <c r="AK60" t="s">
        <v>10882</v>
      </c>
      <c r="AL60">
        <v>0.6</v>
      </c>
      <c r="AM60" t="s">
        <v>10887</v>
      </c>
      <c r="AN60" t="s">
        <v>10907</v>
      </c>
      <c r="AO60" t="s">
        <v>11002</v>
      </c>
      <c r="AP60" t="s">
        <v>11057</v>
      </c>
      <c r="AR60" t="s">
        <v>11254</v>
      </c>
      <c r="AS60" t="s">
        <v>9926</v>
      </c>
      <c r="AT60" t="s">
        <v>11641</v>
      </c>
      <c r="AU60" t="s">
        <v>10838</v>
      </c>
      <c r="AV60" t="s">
        <v>10838</v>
      </c>
      <c r="AX60" t="s">
        <v>10838</v>
      </c>
      <c r="AY60" t="s">
        <v>10829</v>
      </c>
      <c r="AZ60" t="s">
        <v>11681</v>
      </c>
      <c r="BA60" t="s">
        <v>11741</v>
      </c>
      <c r="BB60">
        <v>0</v>
      </c>
      <c r="BC60">
        <v>0</v>
      </c>
      <c r="BD60">
        <v>0</v>
      </c>
      <c r="BE60">
        <v>0</v>
      </c>
      <c r="BF60">
        <v>1</v>
      </c>
      <c r="BG60">
        <v>0</v>
      </c>
    </row>
    <row r="61" spans="1:59">
      <c r="A61" s="1">
        <f>HYPERLINK("https://lsnyc.legalserver.org/matter/dynamic-profile/view/1903591","19-1903591")</f>
        <v>0</v>
      </c>
      <c r="B61" t="s">
        <v>115</v>
      </c>
      <c r="D61" t="s">
        <v>9926</v>
      </c>
      <c r="E61" t="s">
        <v>10075</v>
      </c>
      <c r="F61">
        <v>10465</v>
      </c>
      <c r="G61" t="s">
        <v>10093</v>
      </c>
      <c r="H61" t="s">
        <v>10104</v>
      </c>
      <c r="I61" t="s">
        <v>10168</v>
      </c>
      <c r="J61" t="s">
        <v>10213</v>
      </c>
      <c r="K61" t="s">
        <v>10218</v>
      </c>
      <c r="L61" t="s">
        <v>10096</v>
      </c>
      <c r="M61" t="s">
        <v>10247</v>
      </c>
      <c r="N61" t="s">
        <v>10657</v>
      </c>
      <c r="O61" t="s">
        <v>10659</v>
      </c>
      <c r="P61" t="s">
        <v>10754</v>
      </c>
      <c r="Q61" t="s">
        <v>10775</v>
      </c>
      <c r="R61" t="s">
        <v>10824</v>
      </c>
      <c r="T61">
        <v>0</v>
      </c>
      <c r="U61">
        <v>0</v>
      </c>
      <c r="V61">
        <v>39</v>
      </c>
      <c r="W61">
        <v>1</v>
      </c>
      <c r="X61">
        <v>4</v>
      </c>
      <c r="Y61" t="s">
        <v>10829</v>
      </c>
      <c r="Z61">
        <v>0</v>
      </c>
      <c r="AA61">
        <v>0</v>
      </c>
      <c r="AB61">
        <v>0</v>
      </c>
      <c r="AD61" t="s">
        <v>10839</v>
      </c>
      <c r="AF61" t="s">
        <v>10848</v>
      </c>
      <c r="AG61" t="s">
        <v>10859</v>
      </c>
      <c r="AH61" t="s">
        <v>10869</v>
      </c>
      <c r="AI61">
        <v>239</v>
      </c>
      <c r="AJ61" t="s">
        <v>10213</v>
      </c>
      <c r="AK61" t="s">
        <v>10837</v>
      </c>
      <c r="AL61">
        <v>2.25</v>
      </c>
      <c r="AQ61" t="s">
        <v>11103</v>
      </c>
      <c r="AR61" t="s">
        <v>11267</v>
      </c>
      <c r="AS61" t="s">
        <v>9926</v>
      </c>
      <c r="AT61" t="s">
        <v>11641</v>
      </c>
      <c r="AX61" t="s">
        <v>10838</v>
      </c>
      <c r="AY61" t="s">
        <v>10829</v>
      </c>
      <c r="AZ61" t="s">
        <v>11683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</row>
    <row r="62" spans="1:59">
      <c r="A62" s="1">
        <f>HYPERLINK("https://lsnyc.legalserver.org/matter/dynamic-profile/view/1903610","19-1903610")</f>
        <v>0</v>
      </c>
      <c r="B62" t="s">
        <v>116</v>
      </c>
      <c r="C62" t="s">
        <v>5055</v>
      </c>
      <c r="D62" t="s">
        <v>9926</v>
      </c>
      <c r="E62" t="s">
        <v>10075</v>
      </c>
      <c r="F62">
        <v>10452</v>
      </c>
      <c r="G62" t="s">
        <v>10090</v>
      </c>
      <c r="H62" t="s">
        <v>10111</v>
      </c>
      <c r="I62" t="s">
        <v>10169</v>
      </c>
      <c r="J62" t="s">
        <v>10210</v>
      </c>
      <c r="K62" t="s">
        <v>10218</v>
      </c>
      <c r="L62" t="s">
        <v>10111</v>
      </c>
      <c r="M62" t="s">
        <v>10244</v>
      </c>
      <c r="N62" t="s">
        <v>10650</v>
      </c>
      <c r="P62" t="s">
        <v>10749</v>
      </c>
      <c r="Q62" t="s">
        <v>10765</v>
      </c>
      <c r="R62" t="s">
        <v>10823</v>
      </c>
      <c r="T62">
        <v>30000</v>
      </c>
      <c r="U62">
        <v>2500</v>
      </c>
      <c r="V62">
        <v>43</v>
      </c>
      <c r="W62">
        <v>2</v>
      </c>
      <c r="X62">
        <v>2</v>
      </c>
      <c r="Y62" t="s">
        <v>10829</v>
      </c>
      <c r="Z62">
        <v>116.5</v>
      </c>
      <c r="AA62">
        <v>40.833394</v>
      </c>
      <c r="AB62">
        <v>-73.919403</v>
      </c>
      <c r="AD62" t="s">
        <v>10840</v>
      </c>
      <c r="AG62" t="s">
        <v>10858</v>
      </c>
      <c r="AH62" t="s">
        <v>10862</v>
      </c>
      <c r="AI62">
        <v>230</v>
      </c>
      <c r="AJ62" t="s">
        <v>10210</v>
      </c>
      <c r="AK62" t="s">
        <v>10838</v>
      </c>
      <c r="AL62">
        <v>0.5</v>
      </c>
      <c r="AM62" t="s">
        <v>10884</v>
      </c>
      <c r="AN62" t="s">
        <v>10929</v>
      </c>
      <c r="AO62" t="s">
        <v>11013</v>
      </c>
      <c r="AP62" t="s">
        <v>11055</v>
      </c>
      <c r="AR62" t="s">
        <v>11257</v>
      </c>
      <c r="AS62" t="s">
        <v>9926</v>
      </c>
      <c r="AT62" t="s">
        <v>11642</v>
      </c>
      <c r="AX62" t="s">
        <v>10838</v>
      </c>
      <c r="AY62" t="s">
        <v>10829</v>
      </c>
      <c r="AZ62" t="s">
        <v>11681</v>
      </c>
      <c r="BA62" t="s">
        <v>11741</v>
      </c>
      <c r="BB62">
        <v>0</v>
      </c>
      <c r="BC62">
        <v>0</v>
      </c>
      <c r="BD62">
        <v>0</v>
      </c>
      <c r="BE62">
        <v>0</v>
      </c>
      <c r="BF62">
        <v>1</v>
      </c>
      <c r="BG62">
        <v>0</v>
      </c>
    </row>
    <row r="63" spans="1:59">
      <c r="A63" s="1">
        <f>HYPERLINK("https://lsnyc.legalserver.org/matter/dynamic-profile/view/1903611","19-1903611")</f>
        <v>0</v>
      </c>
      <c r="B63" t="s">
        <v>117</v>
      </c>
      <c r="C63" t="s">
        <v>5056</v>
      </c>
      <c r="D63" t="s">
        <v>9926</v>
      </c>
      <c r="E63" t="s">
        <v>10075</v>
      </c>
      <c r="F63">
        <v>10453</v>
      </c>
      <c r="G63" t="s">
        <v>10090</v>
      </c>
      <c r="H63" t="s">
        <v>10111</v>
      </c>
      <c r="I63" t="s">
        <v>10168</v>
      </c>
      <c r="J63" t="s">
        <v>10210</v>
      </c>
      <c r="K63" t="s">
        <v>10218</v>
      </c>
      <c r="L63" t="s">
        <v>10111</v>
      </c>
      <c r="M63" t="s">
        <v>10244</v>
      </c>
      <c r="N63" t="s">
        <v>10650</v>
      </c>
      <c r="P63" t="s">
        <v>10749</v>
      </c>
      <c r="Q63" t="s">
        <v>10765</v>
      </c>
      <c r="R63" t="s">
        <v>10823</v>
      </c>
      <c r="T63">
        <v>13056</v>
      </c>
      <c r="U63">
        <v>1088</v>
      </c>
      <c r="V63">
        <v>63</v>
      </c>
      <c r="W63">
        <v>2</v>
      </c>
      <c r="X63">
        <v>0</v>
      </c>
      <c r="Y63" t="s">
        <v>10829</v>
      </c>
      <c r="Z63">
        <v>77.20999999999999</v>
      </c>
      <c r="AA63">
        <v>40.852101</v>
      </c>
      <c r="AB63">
        <v>-73.91765700000001</v>
      </c>
      <c r="AD63" t="s">
        <v>10840</v>
      </c>
      <c r="AG63" t="s">
        <v>10858</v>
      </c>
      <c r="AH63" t="s">
        <v>10862</v>
      </c>
      <c r="AI63">
        <v>230</v>
      </c>
      <c r="AJ63" t="s">
        <v>10210</v>
      </c>
      <c r="AK63" t="s">
        <v>10838</v>
      </c>
      <c r="AL63">
        <v>0.5</v>
      </c>
      <c r="AM63" t="s">
        <v>10884</v>
      </c>
      <c r="AN63" t="s">
        <v>10929</v>
      </c>
      <c r="AO63" t="s">
        <v>11013</v>
      </c>
      <c r="AP63" t="s">
        <v>11045</v>
      </c>
      <c r="AR63" t="s">
        <v>11277</v>
      </c>
      <c r="AS63" t="s">
        <v>9926</v>
      </c>
      <c r="AT63" t="s">
        <v>11642</v>
      </c>
      <c r="AX63" t="s">
        <v>10838</v>
      </c>
      <c r="AY63" t="s">
        <v>10829</v>
      </c>
      <c r="AZ63" t="s">
        <v>11681</v>
      </c>
      <c r="BA63" t="s">
        <v>11741</v>
      </c>
      <c r="BB63">
        <v>0</v>
      </c>
      <c r="BC63">
        <v>0</v>
      </c>
      <c r="BD63">
        <v>0</v>
      </c>
      <c r="BE63">
        <v>0</v>
      </c>
      <c r="BF63">
        <v>1</v>
      </c>
      <c r="BG63">
        <v>0</v>
      </c>
    </row>
    <row r="64" spans="1:59">
      <c r="A64" s="1">
        <f>HYPERLINK("https://lsnyc.legalserver.org/matter/dynamic-profile/view/1903619","19-1903619")</f>
        <v>0</v>
      </c>
      <c r="B64" t="s">
        <v>118</v>
      </c>
      <c r="C64" t="s">
        <v>5057</v>
      </c>
      <c r="D64" t="s">
        <v>9929</v>
      </c>
      <c r="E64" t="s">
        <v>10075</v>
      </c>
      <c r="F64">
        <v>10301</v>
      </c>
      <c r="G64" t="s">
        <v>10088</v>
      </c>
      <c r="H64" t="s">
        <v>10121</v>
      </c>
      <c r="I64" t="s">
        <v>10168</v>
      </c>
      <c r="J64" t="s">
        <v>10208</v>
      </c>
      <c r="K64" t="s">
        <v>10217</v>
      </c>
      <c r="M64" t="s">
        <v>10241</v>
      </c>
      <c r="N64" t="s">
        <v>10650</v>
      </c>
      <c r="P64" t="s">
        <v>10749</v>
      </c>
      <c r="Q64" t="s">
        <v>10765</v>
      </c>
      <c r="R64" t="s">
        <v>10821</v>
      </c>
      <c r="T64">
        <v>13200</v>
      </c>
      <c r="U64">
        <v>1100</v>
      </c>
      <c r="V64">
        <v>71</v>
      </c>
      <c r="W64">
        <v>1</v>
      </c>
      <c r="X64">
        <v>0</v>
      </c>
      <c r="Z64">
        <v>105.68</v>
      </c>
      <c r="AA64">
        <v>40.643378</v>
      </c>
      <c r="AB64">
        <v>-74.07898299999999</v>
      </c>
      <c r="AC64" t="s">
        <v>10837</v>
      </c>
      <c r="AD64" t="s">
        <v>10840</v>
      </c>
      <c r="AG64" t="s">
        <v>10858</v>
      </c>
      <c r="AH64" t="s">
        <v>10862</v>
      </c>
      <c r="AI64">
        <v>285</v>
      </c>
      <c r="AJ64" t="s">
        <v>10208</v>
      </c>
      <c r="AL64">
        <v>12.9</v>
      </c>
      <c r="AM64" t="s">
        <v>10883</v>
      </c>
      <c r="AN64" t="s">
        <v>10913</v>
      </c>
      <c r="AO64" t="s">
        <v>11006</v>
      </c>
      <c r="AP64" t="s">
        <v>11051</v>
      </c>
      <c r="AR64" t="s">
        <v>11263</v>
      </c>
      <c r="AS64" t="s">
        <v>11593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</row>
    <row r="65" spans="1:59">
      <c r="A65" s="1">
        <f>HYPERLINK("https://lsnyc.legalserver.org/matter/dynamic-profile/view/1903641","19-1903641")</f>
        <v>0</v>
      </c>
      <c r="B65" t="s">
        <v>119</v>
      </c>
      <c r="C65" t="s">
        <v>5058</v>
      </c>
      <c r="D65" t="s">
        <v>9929</v>
      </c>
      <c r="E65" t="s">
        <v>10075</v>
      </c>
      <c r="F65">
        <v>10309</v>
      </c>
      <c r="G65" t="s">
        <v>10088</v>
      </c>
      <c r="H65" t="s">
        <v>10123</v>
      </c>
      <c r="I65" t="s">
        <v>10168</v>
      </c>
      <c r="J65" t="s">
        <v>10208</v>
      </c>
      <c r="K65" t="s">
        <v>10217</v>
      </c>
      <c r="M65" t="s">
        <v>10254</v>
      </c>
      <c r="N65" t="s">
        <v>10654</v>
      </c>
      <c r="P65" t="s">
        <v>10749</v>
      </c>
      <c r="Q65" t="s">
        <v>10765</v>
      </c>
      <c r="R65" t="s">
        <v>10820</v>
      </c>
      <c r="T65">
        <v>39217</v>
      </c>
      <c r="U65">
        <v>3268.08</v>
      </c>
      <c r="V65">
        <v>32</v>
      </c>
      <c r="W65">
        <v>2</v>
      </c>
      <c r="X65">
        <v>2</v>
      </c>
      <c r="Z65">
        <v>152.3</v>
      </c>
      <c r="AA65">
        <v>40.535112</v>
      </c>
      <c r="AB65">
        <v>-74.237168</v>
      </c>
      <c r="AD65" t="s">
        <v>10840</v>
      </c>
      <c r="AG65" t="s">
        <v>10858</v>
      </c>
      <c r="AH65" t="s">
        <v>10862</v>
      </c>
      <c r="AI65">
        <v>285</v>
      </c>
      <c r="AJ65" t="s">
        <v>10208</v>
      </c>
      <c r="AL65">
        <v>4.3</v>
      </c>
      <c r="AM65" t="s">
        <v>10883</v>
      </c>
      <c r="AN65" t="s">
        <v>10906</v>
      </c>
      <c r="AO65" t="s">
        <v>10999</v>
      </c>
      <c r="AP65" t="s">
        <v>11044</v>
      </c>
      <c r="AR65" t="s">
        <v>11278</v>
      </c>
      <c r="AS65" t="s">
        <v>11593</v>
      </c>
      <c r="BA65" t="s">
        <v>11738</v>
      </c>
      <c r="BB65">
        <v>0</v>
      </c>
      <c r="BC65">
        <v>0</v>
      </c>
      <c r="BD65">
        <v>0</v>
      </c>
      <c r="BE65">
        <v>0</v>
      </c>
      <c r="BF65">
        <v>5</v>
      </c>
      <c r="BG65">
        <v>0</v>
      </c>
    </row>
    <row r="66" spans="1:59">
      <c r="A66" s="1">
        <f>HYPERLINK("https://lsnyc.legalserver.org/matter/dynamic-profile/view/1903642","19-1903642")</f>
        <v>0</v>
      </c>
      <c r="B66" t="s">
        <v>120</v>
      </c>
      <c r="C66" t="s">
        <v>5059</v>
      </c>
      <c r="D66" t="s">
        <v>9928</v>
      </c>
      <c r="E66" t="s">
        <v>10075</v>
      </c>
      <c r="F66">
        <v>11220</v>
      </c>
      <c r="G66" t="s">
        <v>10093</v>
      </c>
      <c r="H66" t="s">
        <v>10114</v>
      </c>
      <c r="I66" t="s">
        <v>10168</v>
      </c>
      <c r="J66" t="s">
        <v>10213</v>
      </c>
      <c r="K66" t="s">
        <v>10217</v>
      </c>
      <c r="M66" t="s">
        <v>10263</v>
      </c>
      <c r="N66" t="s">
        <v>10650</v>
      </c>
      <c r="O66" t="s">
        <v>10653</v>
      </c>
      <c r="P66" t="s">
        <v>10749</v>
      </c>
      <c r="Q66" t="s">
        <v>10765</v>
      </c>
      <c r="R66" t="s">
        <v>10823</v>
      </c>
      <c r="T66">
        <v>41760</v>
      </c>
      <c r="U66">
        <v>3480</v>
      </c>
      <c r="V66">
        <v>70</v>
      </c>
      <c r="W66">
        <v>3</v>
      </c>
      <c r="X66">
        <v>3</v>
      </c>
      <c r="Z66">
        <v>120.73</v>
      </c>
      <c r="AA66">
        <v>40.645461</v>
      </c>
      <c r="AB66">
        <v>-74.002331</v>
      </c>
      <c r="AD66" t="s">
        <v>10839</v>
      </c>
      <c r="AG66" t="s">
        <v>10858</v>
      </c>
      <c r="AH66" t="s">
        <v>10862</v>
      </c>
      <c r="AI66">
        <v>239</v>
      </c>
      <c r="AJ66" t="s">
        <v>10213</v>
      </c>
      <c r="AL66">
        <v>0</v>
      </c>
      <c r="AM66" t="s">
        <v>10886</v>
      </c>
      <c r="AN66" t="s">
        <v>10921</v>
      </c>
      <c r="AO66" t="s">
        <v>11015</v>
      </c>
      <c r="AP66" t="s">
        <v>11069</v>
      </c>
      <c r="AR66" t="s">
        <v>11268</v>
      </c>
      <c r="AS66" t="s">
        <v>11595</v>
      </c>
      <c r="BA66" t="s">
        <v>11738</v>
      </c>
      <c r="BB66">
        <v>0</v>
      </c>
      <c r="BC66">
        <v>0</v>
      </c>
      <c r="BD66">
        <v>0</v>
      </c>
      <c r="BE66">
        <v>0</v>
      </c>
      <c r="BF66">
        <v>5</v>
      </c>
      <c r="BG66">
        <v>0</v>
      </c>
    </row>
    <row r="67" spans="1:59">
      <c r="A67" s="1">
        <f>HYPERLINK("https://lsnyc.legalserver.org/matter/dynamic-profile/view/1903677","19-1903677")</f>
        <v>0</v>
      </c>
      <c r="B67" t="s">
        <v>121</v>
      </c>
      <c r="C67" t="s">
        <v>5060</v>
      </c>
      <c r="D67" t="s">
        <v>9929</v>
      </c>
      <c r="E67" t="s">
        <v>10075</v>
      </c>
      <c r="F67">
        <v>10301</v>
      </c>
      <c r="G67" t="s">
        <v>10088</v>
      </c>
      <c r="H67" t="s">
        <v>10097</v>
      </c>
      <c r="I67" t="s">
        <v>10168</v>
      </c>
      <c r="J67" t="s">
        <v>10208</v>
      </c>
      <c r="K67" t="s">
        <v>10217</v>
      </c>
      <c r="M67" t="s">
        <v>10259</v>
      </c>
      <c r="N67" t="s">
        <v>10650</v>
      </c>
      <c r="P67" t="s">
        <v>10749</v>
      </c>
      <c r="Q67" t="s">
        <v>10765</v>
      </c>
      <c r="R67" t="s">
        <v>10824</v>
      </c>
      <c r="T67">
        <v>15000</v>
      </c>
      <c r="U67">
        <v>1250</v>
      </c>
      <c r="V67">
        <v>35</v>
      </c>
      <c r="W67">
        <v>1</v>
      </c>
      <c r="X67">
        <v>2</v>
      </c>
      <c r="Z67">
        <v>70.31999999999999</v>
      </c>
      <c r="AA67">
        <v>40.639763</v>
      </c>
      <c r="AB67">
        <v>-74.086529</v>
      </c>
      <c r="AD67" t="s">
        <v>10839</v>
      </c>
      <c r="AG67" t="s">
        <v>10858</v>
      </c>
      <c r="AH67" t="s">
        <v>10862</v>
      </c>
      <c r="AI67">
        <v>285</v>
      </c>
      <c r="AJ67" t="s">
        <v>10208</v>
      </c>
      <c r="AL67">
        <v>12.95</v>
      </c>
      <c r="AM67" t="s">
        <v>10883</v>
      </c>
      <c r="AN67" t="s">
        <v>10913</v>
      </c>
      <c r="AO67" t="s">
        <v>11006</v>
      </c>
      <c r="AP67" t="s">
        <v>11051</v>
      </c>
      <c r="AR67" t="s">
        <v>11257</v>
      </c>
      <c r="AS67" t="s">
        <v>11593</v>
      </c>
      <c r="BA67" t="s">
        <v>11738</v>
      </c>
      <c r="BB67">
        <v>0</v>
      </c>
      <c r="BC67">
        <v>0</v>
      </c>
      <c r="BD67">
        <v>0</v>
      </c>
      <c r="BE67">
        <v>0</v>
      </c>
      <c r="BF67">
        <v>5</v>
      </c>
      <c r="BG67">
        <v>0</v>
      </c>
    </row>
    <row r="68" spans="1:59">
      <c r="A68" s="1">
        <f>HYPERLINK("https://lsnyc.legalserver.org/matter/dynamic-profile/view/1903698","19-1903698")</f>
        <v>0</v>
      </c>
      <c r="B68" t="s">
        <v>122</v>
      </c>
      <c r="C68" t="s">
        <v>5061</v>
      </c>
      <c r="D68" t="s">
        <v>9928</v>
      </c>
      <c r="E68" t="s">
        <v>10075</v>
      </c>
      <c r="F68">
        <v>11216</v>
      </c>
      <c r="G68" t="s">
        <v>10093</v>
      </c>
      <c r="H68" t="s">
        <v>10114</v>
      </c>
      <c r="I68" t="s">
        <v>10168</v>
      </c>
      <c r="J68" t="s">
        <v>10213</v>
      </c>
      <c r="K68" t="s">
        <v>10218</v>
      </c>
      <c r="L68" t="s">
        <v>10135</v>
      </c>
      <c r="M68" t="s">
        <v>10264</v>
      </c>
      <c r="N68" t="s">
        <v>10667</v>
      </c>
      <c r="P68" t="s">
        <v>10749</v>
      </c>
      <c r="Q68" t="s">
        <v>10765</v>
      </c>
      <c r="R68" t="s">
        <v>10824</v>
      </c>
      <c r="T68">
        <v>8400</v>
      </c>
      <c r="U68">
        <v>700</v>
      </c>
      <c r="V68">
        <v>73</v>
      </c>
      <c r="W68">
        <v>1</v>
      </c>
      <c r="X68">
        <v>0</v>
      </c>
      <c r="Y68" t="s">
        <v>10831</v>
      </c>
      <c r="Z68">
        <v>67.25</v>
      </c>
      <c r="AA68">
        <v>40.687362</v>
      </c>
      <c r="AB68">
        <v>-73.949529</v>
      </c>
      <c r="AD68" t="s">
        <v>10839</v>
      </c>
      <c r="AG68" t="s">
        <v>10858</v>
      </c>
      <c r="AH68" t="s">
        <v>10862</v>
      </c>
      <c r="AI68">
        <v>239</v>
      </c>
      <c r="AJ68" t="s">
        <v>10213</v>
      </c>
      <c r="AK68" t="s">
        <v>10838</v>
      </c>
      <c r="AL68">
        <v>4.8</v>
      </c>
      <c r="AM68" t="s">
        <v>10889</v>
      </c>
      <c r="AN68" t="s">
        <v>10914</v>
      </c>
      <c r="AO68" t="s">
        <v>11007</v>
      </c>
      <c r="AP68" t="s">
        <v>11052</v>
      </c>
      <c r="AQ68" t="s">
        <v>11101</v>
      </c>
      <c r="AR68" t="s">
        <v>11253</v>
      </c>
      <c r="AS68" t="s">
        <v>11595</v>
      </c>
      <c r="AY68" t="s">
        <v>10831</v>
      </c>
      <c r="AZ68" t="s">
        <v>11687</v>
      </c>
      <c r="BA68" t="s">
        <v>11738</v>
      </c>
      <c r="BB68">
        <v>1065.56</v>
      </c>
      <c r="BC68">
        <v>0</v>
      </c>
      <c r="BD68">
        <v>0</v>
      </c>
      <c r="BE68">
        <v>0</v>
      </c>
      <c r="BF68">
        <v>5</v>
      </c>
      <c r="BG68">
        <v>0</v>
      </c>
    </row>
    <row r="69" spans="1:59">
      <c r="A69" s="1">
        <f>HYPERLINK("https://lsnyc.legalserver.org/matter/dynamic-profile/view/1903699","19-1903699")</f>
        <v>0</v>
      </c>
      <c r="B69" t="s">
        <v>122</v>
      </c>
      <c r="C69" t="s">
        <v>5061</v>
      </c>
      <c r="D69" t="s">
        <v>9928</v>
      </c>
      <c r="E69" t="s">
        <v>10075</v>
      </c>
      <c r="F69">
        <v>11216</v>
      </c>
      <c r="G69" t="s">
        <v>10093</v>
      </c>
      <c r="H69" t="s">
        <v>10114</v>
      </c>
      <c r="I69" t="s">
        <v>10168</v>
      </c>
      <c r="J69" t="s">
        <v>10213</v>
      </c>
      <c r="K69" t="s">
        <v>10218</v>
      </c>
      <c r="L69" t="s">
        <v>10146</v>
      </c>
      <c r="M69" t="s">
        <v>10265</v>
      </c>
      <c r="N69" t="s">
        <v>10668</v>
      </c>
      <c r="P69" t="s">
        <v>10751</v>
      </c>
      <c r="Q69" t="s">
        <v>10761</v>
      </c>
      <c r="R69" t="s">
        <v>10824</v>
      </c>
      <c r="T69">
        <v>8400</v>
      </c>
      <c r="U69">
        <v>700</v>
      </c>
      <c r="V69">
        <v>73</v>
      </c>
      <c r="W69">
        <v>1</v>
      </c>
      <c r="X69">
        <v>0</v>
      </c>
      <c r="Y69" t="s">
        <v>10832</v>
      </c>
      <c r="Z69">
        <v>67.25</v>
      </c>
      <c r="AA69">
        <v>40.687362</v>
      </c>
      <c r="AB69">
        <v>-73.949529</v>
      </c>
      <c r="AD69" t="s">
        <v>10839</v>
      </c>
      <c r="AG69" t="s">
        <v>10858</v>
      </c>
      <c r="AH69" t="s">
        <v>10862</v>
      </c>
      <c r="AI69">
        <v>239</v>
      </c>
      <c r="AJ69" t="s">
        <v>10213</v>
      </c>
      <c r="AK69" t="s">
        <v>10838</v>
      </c>
      <c r="AL69">
        <v>1.9</v>
      </c>
      <c r="AM69" t="s">
        <v>10889</v>
      </c>
      <c r="AN69" t="s">
        <v>10914</v>
      </c>
      <c r="AO69" t="s">
        <v>11007</v>
      </c>
      <c r="AP69" t="s">
        <v>11052</v>
      </c>
      <c r="AR69" t="s">
        <v>11253</v>
      </c>
      <c r="AS69" t="s">
        <v>11595</v>
      </c>
      <c r="AY69" t="s">
        <v>10832</v>
      </c>
      <c r="AZ69" t="s">
        <v>11688</v>
      </c>
      <c r="BA69" t="s">
        <v>11737</v>
      </c>
      <c r="BB69">
        <v>0</v>
      </c>
      <c r="BC69">
        <v>0</v>
      </c>
      <c r="BD69">
        <v>0</v>
      </c>
      <c r="BE69">
        <v>0</v>
      </c>
      <c r="BF69">
        <v>3</v>
      </c>
      <c r="BG69">
        <v>0</v>
      </c>
    </row>
    <row r="70" spans="1:59">
      <c r="A70" s="1">
        <f>HYPERLINK("https://lsnyc.legalserver.org/matter/dynamic-profile/view/1903700","19-1903700")</f>
        <v>0</v>
      </c>
      <c r="B70" t="s">
        <v>123</v>
      </c>
      <c r="C70" t="s">
        <v>5062</v>
      </c>
      <c r="D70" t="s">
        <v>9928</v>
      </c>
      <c r="E70" t="s">
        <v>10075</v>
      </c>
      <c r="F70">
        <v>11221</v>
      </c>
      <c r="G70" t="s">
        <v>10093</v>
      </c>
      <c r="H70" t="s">
        <v>10114</v>
      </c>
      <c r="I70" t="s">
        <v>10168</v>
      </c>
      <c r="J70" t="s">
        <v>10213</v>
      </c>
      <c r="K70" t="s">
        <v>10218</v>
      </c>
      <c r="L70" t="s">
        <v>10129</v>
      </c>
      <c r="M70" t="s">
        <v>10264</v>
      </c>
      <c r="N70" t="s">
        <v>10667</v>
      </c>
      <c r="P70" t="s">
        <v>10749</v>
      </c>
      <c r="Q70" t="s">
        <v>10765</v>
      </c>
      <c r="R70" t="s">
        <v>10824</v>
      </c>
      <c r="T70">
        <v>0</v>
      </c>
      <c r="U70">
        <v>0</v>
      </c>
      <c r="V70">
        <v>37</v>
      </c>
      <c r="W70">
        <v>1</v>
      </c>
      <c r="X70">
        <v>2</v>
      </c>
      <c r="Y70" t="s">
        <v>10831</v>
      </c>
      <c r="Z70">
        <v>0</v>
      </c>
      <c r="AA70">
        <v>40.687716</v>
      </c>
      <c r="AB70">
        <v>-73.919933</v>
      </c>
      <c r="AD70" t="s">
        <v>10839</v>
      </c>
      <c r="AG70" t="s">
        <v>10858</v>
      </c>
      <c r="AH70" t="s">
        <v>10862</v>
      </c>
      <c r="AI70">
        <v>239</v>
      </c>
      <c r="AJ70" t="s">
        <v>10213</v>
      </c>
      <c r="AK70" t="s">
        <v>10838</v>
      </c>
      <c r="AL70">
        <v>9.300000000000001</v>
      </c>
      <c r="AM70" t="s">
        <v>10889</v>
      </c>
      <c r="AN70" t="s">
        <v>10922</v>
      </c>
      <c r="AO70" t="s">
        <v>11011</v>
      </c>
      <c r="AP70" t="s">
        <v>11064</v>
      </c>
      <c r="AQ70" t="s">
        <v>11101</v>
      </c>
      <c r="AR70" t="s">
        <v>11279</v>
      </c>
      <c r="AS70" t="s">
        <v>11595</v>
      </c>
      <c r="AY70" t="s">
        <v>10831</v>
      </c>
      <c r="AZ70" t="s">
        <v>11687</v>
      </c>
      <c r="BA70" t="s">
        <v>11738</v>
      </c>
      <c r="BB70">
        <v>3865.54</v>
      </c>
      <c r="BC70">
        <v>553.8</v>
      </c>
      <c r="BD70">
        <v>0</v>
      </c>
      <c r="BE70">
        <v>0</v>
      </c>
      <c r="BF70">
        <v>5</v>
      </c>
      <c r="BG70">
        <v>0</v>
      </c>
    </row>
    <row r="71" spans="1:59">
      <c r="A71" s="1">
        <f>HYPERLINK("https://lsnyc.legalserver.org/matter/dynamic-profile/view/1903701","19-1903701")</f>
        <v>0</v>
      </c>
      <c r="B71" t="s">
        <v>123</v>
      </c>
      <c r="C71" t="s">
        <v>5062</v>
      </c>
      <c r="D71" t="s">
        <v>9928</v>
      </c>
      <c r="E71" t="s">
        <v>10075</v>
      </c>
      <c r="F71">
        <v>11221</v>
      </c>
      <c r="G71" t="s">
        <v>10093</v>
      </c>
      <c r="H71" t="s">
        <v>10114</v>
      </c>
      <c r="I71" t="s">
        <v>10168</v>
      </c>
      <c r="J71" t="s">
        <v>10213</v>
      </c>
      <c r="K71" t="s">
        <v>10218</v>
      </c>
      <c r="L71" t="s">
        <v>10096</v>
      </c>
      <c r="M71" t="s">
        <v>10265</v>
      </c>
      <c r="N71" t="s">
        <v>10668</v>
      </c>
      <c r="P71" t="s">
        <v>10751</v>
      </c>
      <c r="Q71" t="s">
        <v>10761</v>
      </c>
      <c r="R71" t="s">
        <v>10824</v>
      </c>
      <c r="T71">
        <v>0</v>
      </c>
      <c r="U71">
        <v>0</v>
      </c>
      <c r="V71">
        <v>37</v>
      </c>
      <c r="W71">
        <v>1</v>
      </c>
      <c r="X71">
        <v>2</v>
      </c>
      <c r="Y71" t="s">
        <v>10832</v>
      </c>
      <c r="Z71">
        <v>0</v>
      </c>
      <c r="AA71">
        <v>40.687716</v>
      </c>
      <c r="AB71">
        <v>-73.919933</v>
      </c>
      <c r="AD71" t="s">
        <v>10839</v>
      </c>
      <c r="AG71" t="s">
        <v>10858</v>
      </c>
      <c r="AH71" t="s">
        <v>10862</v>
      </c>
      <c r="AI71">
        <v>239</v>
      </c>
      <c r="AJ71" t="s">
        <v>10213</v>
      </c>
      <c r="AK71" t="s">
        <v>10838</v>
      </c>
      <c r="AL71">
        <v>7.6</v>
      </c>
      <c r="AM71" t="s">
        <v>10889</v>
      </c>
      <c r="AN71" t="s">
        <v>10922</v>
      </c>
      <c r="AO71" t="s">
        <v>11011</v>
      </c>
      <c r="AP71" t="s">
        <v>11064</v>
      </c>
      <c r="AR71" t="s">
        <v>11279</v>
      </c>
      <c r="AS71" t="s">
        <v>11595</v>
      </c>
      <c r="AY71" t="s">
        <v>10832</v>
      </c>
      <c r="AZ71" t="s">
        <v>11688</v>
      </c>
      <c r="BA71" t="s">
        <v>11737</v>
      </c>
      <c r="BB71">
        <v>0</v>
      </c>
      <c r="BC71">
        <v>0</v>
      </c>
      <c r="BD71">
        <v>0</v>
      </c>
      <c r="BE71">
        <v>0</v>
      </c>
      <c r="BF71">
        <v>3</v>
      </c>
      <c r="BG71">
        <v>0</v>
      </c>
    </row>
    <row r="72" spans="1:59">
      <c r="A72" s="1">
        <f>HYPERLINK("https://lsnyc.legalserver.org/matter/dynamic-profile/view/1903702","19-1903702")</f>
        <v>0</v>
      </c>
      <c r="B72" t="s">
        <v>124</v>
      </c>
      <c r="C72" t="s">
        <v>5063</v>
      </c>
      <c r="D72" t="s">
        <v>9925</v>
      </c>
      <c r="E72" t="s">
        <v>10075</v>
      </c>
      <c r="F72">
        <v>10009</v>
      </c>
      <c r="G72" t="s">
        <v>10089</v>
      </c>
      <c r="H72" t="s">
        <v>10114</v>
      </c>
      <c r="I72" t="s">
        <v>10169</v>
      </c>
      <c r="J72" t="s">
        <v>10209</v>
      </c>
      <c r="K72" t="s">
        <v>10218</v>
      </c>
      <c r="L72" t="s">
        <v>10099</v>
      </c>
      <c r="M72" t="s">
        <v>10266</v>
      </c>
      <c r="N72" t="s">
        <v>10649</v>
      </c>
      <c r="P72" t="s">
        <v>10753</v>
      </c>
      <c r="Q72" t="s">
        <v>10763</v>
      </c>
      <c r="R72" t="s">
        <v>10823</v>
      </c>
      <c r="T72">
        <v>9252</v>
      </c>
      <c r="U72">
        <v>771</v>
      </c>
      <c r="V72">
        <v>60</v>
      </c>
      <c r="W72">
        <v>3</v>
      </c>
      <c r="X72">
        <v>0</v>
      </c>
      <c r="Y72" t="s">
        <v>10833</v>
      </c>
      <c r="Z72">
        <v>43.38</v>
      </c>
      <c r="AA72">
        <v>40.722119</v>
      </c>
      <c r="AB72">
        <v>-73.981284</v>
      </c>
      <c r="AD72" t="s">
        <v>10840</v>
      </c>
      <c r="AF72" t="s">
        <v>10843</v>
      </c>
      <c r="AG72" t="s">
        <v>10859</v>
      </c>
      <c r="AH72" t="s">
        <v>10864</v>
      </c>
      <c r="AI72">
        <v>236</v>
      </c>
      <c r="AJ72" t="s">
        <v>10209</v>
      </c>
      <c r="AK72" t="s">
        <v>10882</v>
      </c>
      <c r="AL72">
        <v>0.3</v>
      </c>
      <c r="AM72" t="s">
        <v>10891</v>
      </c>
      <c r="AN72" t="s">
        <v>10910</v>
      </c>
      <c r="AO72" t="s">
        <v>11004</v>
      </c>
      <c r="AP72" t="s">
        <v>11048</v>
      </c>
      <c r="AQ72" t="s">
        <v>11104</v>
      </c>
      <c r="AR72" t="s">
        <v>11268</v>
      </c>
      <c r="AS72" t="s">
        <v>9925</v>
      </c>
      <c r="AY72" t="s">
        <v>10833</v>
      </c>
      <c r="AZ72" t="s">
        <v>11689</v>
      </c>
      <c r="BA72" t="s">
        <v>11739</v>
      </c>
      <c r="BB72">
        <v>0</v>
      </c>
      <c r="BC72">
        <v>0</v>
      </c>
      <c r="BD72">
        <v>0</v>
      </c>
      <c r="BE72">
        <v>0</v>
      </c>
      <c r="BF72">
        <v>4</v>
      </c>
      <c r="BG72">
        <v>0</v>
      </c>
    </row>
    <row r="73" spans="1:59">
      <c r="A73" s="1">
        <f>HYPERLINK("https://lsnyc.legalserver.org/matter/dynamic-profile/view/1903703","19-1903703")</f>
        <v>0</v>
      </c>
      <c r="B73" t="s">
        <v>125</v>
      </c>
      <c r="C73" t="s">
        <v>5064</v>
      </c>
      <c r="D73" t="s">
        <v>9925</v>
      </c>
      <c r="E73" t="s">
        <v>10075</v>
      </c>
      <c r="F73">
        <v>10035</v>
      </c>
      <c r="G73" t="s">
        <v>10089</v>
      </c>
      <c r="H73" t="s">
        <v>10114</v>
      </c>
      <c r="I73" t="s">
        <v>10169</v>
      </c>
      <c r="J73" t="s">
        <v>10209</v>
      </c>
      <c r="K73" t="s">
        <v>10218</v>
      </c>
      <c r="L73" t="s">
        <v>10107</v>
      </c>
      <c r="M73" t="s">
        <v>10267</v>
      </c>
      <c r="N73" t="s">
        <v>10650</v>
      </c>
      <c r="P73" t="s">
        <v>10751</v>
      </c>
      <c r="Q73" t="s">
        <v>10776</v>
      </c>
      <c r="R73" t="s">
        <v>10823</v>
      </c>
      <c r="T73">
        <v>7200</v>
      </c>
      <c r="U73">
        <v>600</v>
      </c>
      <c r="V73">
        <v>55</v>
      </c>
      <c r="W73">
        <v>2</v>
      </c>
      <c r="X73">
        <v>0</v>
      </c>
      <c r="Y73" t="s">
        <v>10834</v>
      </c>
      <c r="Z73">
        <v>42.58</v>
      </c>
      <c r="AA73">
        <v>40.799429</v>
      </c>
      <c r="AB73">
        <v>-73.94181399999999</v>
      </c>
      <c r="AD73" t="s">
        <v>10839</v>
      </c>
      <c r="AG73" t="s">
        <v>10858</v>
      </c>
      <c r="AH73" t="s">
        <v>10862</v>
      </c>
      <c r="AI73">
        <v>236</v>
      </c>
      <c r="AJ73" t="s">
        <v>10209</v>
      </c>
      <c r="AK73" t="s">
        <v>10838</v>
      </c>
      <c r="AL73">
        <v>10.75</v>
      </c>
      <c r="AM73" t="s">
        <v>10887</v>
      </c>
      <c r="AN73" t="s">
        <v>10926</v>
      </c>
      <c r="AO73" t="s">
        <v>11016</v>
      </c>
      <c r="AP73" t="s">
        <v>11066</v>
      </c>
      <c r="AQ73" t="s">
        <v>11105</v>
      </c>
      <c r="AR73" t="s">
        <v>11263</v>
      </c>
      <c r="AS73" t="s">
        <v>9925</v>
      </c>
      <c r="AT73" t="s">
        <v>11641</v>
      </c>
      <c r="AX73" t="s">
        <v>10838</v>
      </c>
      <c r="AY73" t="s">
        <v>10834</v>
      </c>
      <c r="AZ73" t="s">
        <v>11688</v>
      </c>
      <c r="BA73" t="s">
        <v>11737</v>
      </c>
      <c r="BB73">
        <v>0</v>
      </c>
      <c r="BC73">
        <v>0</v>
      </c>
      <c r="BD73">
        <v>3911.28</v>
      </c>
      <c r="BE73">
        <v>0</v>
      </c>
      <c r="BF73">
        <v>3</v>
      </c>
      <c r="BG73">
        <v>0</v>
      </c>
    </row>
    <row r="74" spans="1:59">
      <c r="A74" s="1">
        <f>HYPERLINK("https://lsnyc.legalserver.org/matter/dynamic-profile/view/1903704","19-1903704")</f>
        <v>0</v>
      </c>
      <c r="B74" t="s">
        <v>126</v>
      </c>
      <c r="C74" t="s">
        <v>5065</v>
      </c>
      <c r="D74" t="s">
        <v>9931</v>
      </c>
      <c r="E74" t="s">
        <v>10075</v>
      </c>
      <c r="F74">
        <v>11354</v>
      </c>
      <c r="G74" t="s">
        <v>10092</v>
      </c>
      <c r="H74" t="s">
        <v>10114</v>
      </c>
      <c r="I74" t="s">
        <v>10168</v>
      </c>
      <c r="J74" t="s">
        <v>10212</v>
      </c>
      <c r="K74" t="s">
        <v>10217</v>
      </c>
      <c r="M74" t="s">
        <v>10258</v>
      </c>
      <c r="N74" t="s">
        <v>10650</v>
      </c>
      <c r="P74" t="s">
        <v>10749</v>
      </c>
      <c r="Q74" t="s">
        <v>10765</v>
      </c>
      <c r="R74" t="s">
        <v>10821</v>
      </c>
      <c r="T74">
        <v>40200</v>
      </c>
      <c r="U74">
        <v>3350</v>
      </c>
      <c r="V74">
        <v>30</v>
      </c>
      <c r="W74">
        <v>3</v>
      </c>
      <c r="X74">
        <v>0</v>
      </c>
      <c r="Z74">
        <v>188.47</v>
      </c>
      <c r="AA74">
        <v>40.766083</v>
      </c>
      <c r="AB74">
        <v>-73.82862</v>
      </c>
      <c r="AD74" t="s">
        <v>10840</v>
      </c>
      <c r="AG74" t="s">
        <v>10858</v>
      </c>
      <c r="AH74" t="s">
        <v>10862</v>
      </c>
      <c r="AI74">
        <v>237</v>
      </c>
      <c r="AJ74" t="s">
        <v>10212</v>
      </c>
      <c r="AL74">
        <v>0</v>
      </c>
      <c r="AM74" t="s">
        <v>10890</v>
      </c>
      <c r="AN74" t="s">
        <v>10927</v>
      </c>
      <c r="AO74" t="s">
        <v>11009</v>
      </c>
      <c r="AP74" t="s">
        <v>11067</v>
      </c>
      <c r="AR74" t="s">
        <v>11280</v>
      </c>
      <c r="AS74" t="s">
        <v>11594</v>
      </c>
      <c r="AT74" t="s">
        <v>11642</v>
      </c>
      <c r="BA74" t="s">
        <v>11739</v>
      </c>
      <c r="BB74">
        <v>0</v>
      </c>
      <c r="BC74">
        <v>0</v>
      </c>
      <c r="BD74">
        <v>0</v>
      </c>
      <c r="BE74">
        <v>0</v>
      </c>
      <c r="BF74">
        <v>4</v>
      </c>
      <c r="BG74">
        <v>0</v>
      </c>
    </row>
    <row r="75" spans="1:59">
      <c r="A75" s="1">
        <f>HYPERLINK("https://lsnyc.legalserver.org/matter/dynamic-profile/view/1903705","19-1903705")</f>
        <v>0</v>
      </c>
      <c r="B75" t="s">
        <v>127</v>
      </c>
      <c r="C75" t="s">
        <v>5066</v>
      </c>
      <c r="D75" t="s">
        <v>9928</v>
      </c>
      <c r="E75" t="s">
        <v>10075</v>
      </c>
      <c r="F75">
        <v>11221</v>
      </c>
      <c r="G75" t="s">
        <v>10093</v>
      </c>
      <c r="H75" t="s">
        <v>10114</v>
      </c>
      <c r="I75" t="s">
        <v>10168</v>
      </c>
      <c r="J75" t="s">
        <v>10213</v>
      </c>
      <c r="K75" t="s">
        <v>10217</v>
      </c>
      <c r="M75" t="s">
        <v>10268</v>
      </c>
      <c r="N75" t="s">
        <v>10667</v>
      </c>
      <c r="P75" t="s">
        <v>10749</v>
      </c>
      <c r="Q75" t="s">
        <v>10765</v>
      </c>
      <c r="R75" t="s">
        <v>10823</v>
      </c>
      <c r="T75">
        <v>14916</v>
      </c>
      <c r="U75">
        <v>1243</v>
      </c>
      <c r="V75">
        <v>69</v>
      </c>
      <c r="W75">
        <v>3</v>
      </c>
      <c r="X75">
        <v>0</v>
      </c>
      <c r="Z75">
        <v>69.93000000000001</v>
      </c>
      <c r="AA75">
        <v>40.688257</v>
      </c>
      <c r="AB75">
        <v>-73.91545000000001</v>
      </c>
      <c r="AD75" t="s">
        <v>10840</v>
      </c>
      <c r="AF75" t="s">
        <v>10843</v>
      </c>
      <c r="AG75" t="s">
        <v>10859</v>
      </c>
      <c r="AH75" t="s">
        <v>10862</v>
      </c>
      <c r="AI75">
        <v>239</v>
      </c>
      <c r="AJ75" t="s">
        <v>10213</v>
      </c>
      <c r="AL75">
        <v>6.3</v>
      </c>
      <c r="AM75" t="s">
        <v>10889</v>
      </c>
      <c r="AN75" t="s">
        <v>10920</v>
      </c>
      <c r="AO75" t="s">
        <v>11011</v>
      </c>
      <c r="AP75" t="s">
        <v>11058</v>
      </c>
      <c r="AQ75" t="s">
        <v>11101</v>
      </c>
      <c r="AR75" t="s">
        <v>11253</v>
      </c>
      <c r="AS75" t="s">
        <v>11595</v>
      </c>
      <c r="BA75" t="s">
        <v>11738</v>
      </c>
      <c r="BB75">
        <v>0</v>
      </c>
      <c r="BC75">
        <v>0</v>
      </c>
      <c r="BD75">
        <v>0</v>
      </c>
      <c r="BE75">
        <v>0</v>
      </c>
      <c r="BF75">
        <v>5</v>
      </c>
      <c r="BG75">
        <v>0</v>
      </c>
    </row>
    <row r="76" spans="1:59">
      <c r="A76" s="1">
        <f>HYPERLINK("https://lsnyc.legalserver.org/matter/dynamic-profile/view/1903706","19-1903706")</f>
        <v>0</v>
      </c>
      <c r="B76" t="s">
        <v>128</v>
      </c>
      <c r="C76" t="s">
        <v>5067</v>
      </c>
      <c r="D76" t="s">
        <v>9933</v>
      </c>
      <c r="E76" t="s">
        <v>10075</v>
      </c>
      <c r="F76">
        <v>11420</v>
      </c>
      <c r="G76" t="s">
        <v>10092</v>
      </c>
      <c r="H76" t="s">
        <v>10114</v>
      </c>
      <c r="I76" t="s">
        <v>10168</v>
      </c>
      <c r="J76" t="s">
        <v>10212</v>
      </c>
      <c r="K76" t="s">
        <v>10218</v>
      </c>
      <c r="L76" t="s">
        <v>10160</v>
      </c>
      <c r="M76" t="s">
        <v>10269</v>
      </c>
      <c r="N76" t="s">
        <v>10669</v>
      </c>
      <c r="P76" t="s">
        <v>10754</v>
      </c>
      <c r="Q76" t="s">
        <v>10775</v>
      </c>
      <c r="R76" t="s">
        <v>10824</v>
      </c>
      <c r="T76">
        <v>0</v>
      </c>
      <c r="U76">
        <v>0</v>
      </c>
      <c r="V76">
        <v>37</v>
      </c>
      <c r="W76">
        <v>1</v>
      </c>
      <c r="X76">
        <v>3</v>
      </c>
      <c r="Y76" t="s">
        <v>10829</v>
      </c>
      <c r="Z76">
        <v>0</v>
      </c>
      <c r="AA76">
        <v>40.680583</v>
      </c>
      <c r="AB76">
        <v>-73.82263500000001</v>
      </c>
      <c r="AD76" t="s">
        <v>10839</v>
      </c>
      <c r="AF76" t="s">
        <v>10843</v>
      </c>
      <c r="AG76" t="s">
        <v>10859</v>
      </c>
      <c r="AH76" t="s">
        <v>10865</v>
      </c>
      <c r="AI76">
        <v>237</v>
      </c>
      <c r="AJ76" t="s">
        <v>10212</v>
      </c>
      <c r="AK76" t="s">
        <v>10837</v>
      </c>
      <c r="AL76">
        <v>3.8</v>
      </c>
      <c r="AM76" t="s">
        <v>10892</v>
      </c>
      <c r="AN76" t="s">
        <v>10930</v>
      </c>
      <c r="AO76" t="s">
        <v>11017</v>
      </c>
      <c r="AP76" t="s">
        <v>11070</v>
      </c>
      <c r="AQ76" t="s">
        <v>11106</v>
      </c>
      <c r="AR76" t="s">
        <v>11279</v>
      </c>
      <c r="AS76" t="s">
        <v>11594</v>
      </c>
      <c r="AT76" t="s">
        <v>11641</v>
      </c>
      <c r="AX76" t="s">
        <v>10838</v>
      </c>
      <c r="AY76" t="s">
        <v>10829</v>
      </c>
      <c r="AZ76" t="s">
        <v>11683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</row>
    <row r="77" spans="1:59">
      <c r="A77" s="1">
        <f>HYPERLINK("https://lsnyc.legalserver.org/matter/dynamic-profile/view/1903707","19-1903707")</f>
        <v>0</v>
      </c>
      <c r="B77" t="s">
        <v>127</v>
      </c>
      <c r="C77" t="s">
        <v>5066</v>
      </c>
      <c r="D77" t="s">
        <v>9928</v>
      </c>
      <c r="E77" t="s">
        <v>10075</v>
      </c>
      <c r="F77">
        <v>11221</v>
      </c>
      <c r="G77" t="s">
        <v>10093</v>
      </c>
      <c r="H77" t="s">
        <v>10114</v>
      </c>
      <c r="I77" t="s">
        <v>10168</v>
      </c>
      <c r="J77" t="s">
        <v>10213</v>
      </c>
      <c r="K77" t="s">
        <v>10217</v>
      </c>
      <c r="M77" t="s">
        <v>10265</v>
      </c>
      <c r="N77" t="s">
        <v>10668</v>
      </c>
      <c r="P77" t="s">
        <v>10751</v>
      </c>
      <c r="Q77" t="s">
        <v>10761</v>
      </c>
      <c r="R77" t="s">
        <v>10823</v>
      </c>
      <c r="T77">
        <v>14916</v>
      </c>
      <c r="U77">
        <v>1243</v>
      </c>
      <c r="V77">
        <v>69</v>
      </c>
      <c r="W77">
        <v>3</v>
      </c>
      <c r="X77">
        <v>0</v>
      </c>
      <c r="Z77">
        <v>69.93000000000001</v>
      </c>
      <c r="AA77">
        <v>40.688257</v>
      </c>
      <c r="AB77">
        <v>-73.91545000000001</v>
      </c>
      <c r="AD77" t="s">
        <v>10840</v>
      </c>
      <c r="AF77" t="s">
        <v>10843</v>
      </c>
      <c r="AG77" t="s">
        <v>10859</v>
      </c>
      <c r="AH77" t="s">
        <v>10862</v>
      </c>
      <c r="AI77">
        <v>239</v>
      </c>
      <c r="AJ77" t="s">
        <v>10213</v>
      </c>
      <c r="AK77" t="s">
        <v>10838</v>
      </c>
      <c r="AL77">
        <v>3.3</v>
      </c>
      <c r="AM77" t="s">
        <v>10889</v>
      </c>
      <c r="AN77" t="s">
        <v>10920</v>
      </c>
      <c r="AO77" t="s">
        <v>11011</v>
      </c>
      <c r="AP77" t="s">
        <v>11058</v>
      </c>
      <c r="AR77" t="s">
        <v>11253</v>
      </c>
      <c r="AS77" t="s">
        <v>11595</v>
      </c>
      <c r="AZ77" t="s">
        <v>11688</v>
      </c>
      <c r="BA77" t="s">
        <v>11737</v>
      </c>
      <c r="BB77">
        <v>0</v>
      </c>
      <c r="BC77">
        <v>0</v>
      </c>
      <c r="BD77">
        <v>0</v>
      </c>
      <c r="BE77">
        <v>0</v>
      </c>
      <c r="BF77">
        <v>3</v>
      </c>
      <c r="BG77">
        <v>0</v>
      </c>
    </row>
    <row r="78" spans="1:59">
      <c r="A78" s="1">
        <f>HYPERLINK("https://lsnyc.legalserver.org/matter/dynamic-profile/view/1903708","19-1903708")</f>
        <v>0</v>
      </c>
      <c r="B78" t="s">
        <v>129</v>
      </c>
      <c r="C78" t="s">
        <v>5068</v>
      </c>
      <c r="D78" t="s">
        <v>9925</v>
      </c>
      <c r="E78" t="s">
        <v>10075</v>
      </c>
      <c r="F78">
        <v>10031</v>
      </c>
      <c r="G78" t="s">
        <v>10089</v>
      </c>
      <c r="H78" t="s">
        <v>10114</v>
      </c>
      <c r="I78" t="s">
        <v>10169</v>
      </c>
      <c r="J78" t="s">
        <v>10209</v>
      </c>
      <c r="K78" t="s">
        <v>10218</v>
      </c>
      <c r="L78" t="s">
        <v>10105</v>
      </c>
      <c r="M78" t="s">
        <v>10270</v>
      </c>
      <c r="N78" t="s">
        <v>10670</v>
      </c>
      <c r="O78" t="s">
        <v>10670</v>
      </c>
      <c r="P78" t="s">
        <v>10754</v>
      </c>
      <c r="Q78" t="s">
        <v>10770</v>
      </c>
      <c r="R78" t="s">
        <v>10821</v>
      </c>
      <c r="T78">
        <v>0</v>
      </c>
      <c r="U78">
        <v>0</v>
      </c>
      <c r="V78">
        <v>21</v>
      </c>
      <c r="W78">
        <v>1</v>
      </c>
      <c r="X78">
        <v>1</v>
      </c>
      <c r="Y78" t="s">
        <v>10829</v>
      </c>
      <c r="Z78">
        <v>0</v>
      </c>
      <c r="AA78">
        <v>40.830763</v>
      </c>
      <c r="AB78">
        <v>-73.948404</v>
      </c>
      <c r="AD78" t="s">
        <v>10839</v>
      </c>
      <c r="AF78" t="s">
        <v>10843</v>
      </c>
      <c r="AG78" t="s">
        <v>10859</v>
      </c>
      <c r="AH78" t="s">
        <v>10861</v>
      </c>
      <c r="AI78">
        <v>234</v>
      </c>
      <c r="AJ78" t="s">
        <v>10214</v>
      </c>
      <c r="AK78" t="s">
        <v>10837</v>
      </c>
      <c r="AL78">
        <v>1</v>
      </c>
      <c r="AR78" t="s">
        <v>11267</v>
      </c>
      <c r="AS78" t="s">
        <v>9925</v>
      </c>
      <c r="AY78" t="s">
        <v>10829</v>
      </c>
      <c r="AZ78" t="s">
        <v>11683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</row>
    <row r="79" spans="1:59">
      <c r="A79" s="1">
        <f>HYPERLINK("https://lsnyc.legalserver.org/matter/dynamic-profile/view/1903709","19-1903709")</f>
        <v>0</v>
      </c>
      <c r="B79" t="s">
        <v>130</v>
      </c>
      <c r="C79" t="s">
        <v>5069</v>
      </c>
      <c r="D79" t="s">
        <v>9926</v>
      </c>
      <c r="E79" t="s">
        <v>10075</v>
      </c>
      <c r="F79">
        <v>10468</v>
      </c>
      <c r="G79" t="s">
        <v>10090</v>
      </c>
      <c r="H79" t="s">
        <v>10114</v>
      </c>
      <c r="I79" t="s">
        <v>10169</v>
      </c>
      <c r="J79" t="s">
        <v>10210</v>
      </c>
      <c r="K79" t="s">
        <v>10217</v>
      </c>
      <c r="M79" t="s">
        <v>10271</v>
      </c>
      <c r="N79" t="s">
        <v>10651</v>
      </c>
      <c r="P79" t="s">
        <v>10749</v>
      </c>
      <c r="Q79" t="s">
        <v>10765</v>
      </c>
      <c r="R79" t="s">
        <v>10821</v>
      </c>
      <c r="T79">
        <v>11460</v>
      </c>
      <c r="U79">
        <v>955</v>
      </c>
      <c r="V79">
        <v>68</v>
      </c>
      <c r="W79">
        <v>1</v>
      </c>
      <c r="X79">
        <v>1</v>
      </c>
      <c r="Z79">
        <v>67.77</v>
      </c>
      <c r="AA79">
        <v>40.860682</v>
      </c>
      <c r="AB79">
        <v>-73.907144</v>
      </c>
      <c r="AD79" t="s">
        <v>10839</v>
      </c>
      <c r="AF79" t="s">
        <v>10843</v>
      </c>
      <c r="AG79" t="s">
        <v>10859</v>
      </c>
      <c r="AH79" t="s">
        <v>10862</v>
      </c>
      <c r="AI79">
        <v>230</v>
      </c>
      <c r="AJ79" t="s">
        <v>10210</v>
      </c>
      <c r="AL79">
        <v>8</v>
      </c>
      <c r="AM79" t="s">
        <v>10884</v>
      </c>
      <c r="AN79" t="s">
        <v>10931</v>
      </c>
      <c r="AO79" t="s">
        <v>11000</v>
      </c>
      <c r="AP79" t="s">
        <v>11045</v>
      </c>
      <c r="AR79" t="s">
        <v>11253</v>
      </c>
      <c r="AS79" t="s">
        <v>9926</v>
      </c>
      <c r="BA79" t="s">
        <v>11738</v>
      </c>
      <c r="BB79">
        <v>0</v>
      </c>
      <c r="BC79">
        <v>0</v>
      </c>
      <c r="BD79">
        <v>0</v>
      </c>
      <c r="BE79">
        <v>0</v>
      </c>
      <c r="BF79">
        <v>5</v>
      </c>
      <c r="BG79">
        <v>0</v>
      </c>
    </row>
    <row r="80" spans="1:59">
      <c r="A80" s="1">
        <f>HYPERLINK("https://lsnyc.legalserver.org/matter/dynamic-profile/view/1903711","19-1903711")</f>
        <v>0</v>
      </c>
      <c r="B80" t="s">
        <v>129</v>
      </c>
      <c r="C80" t="s">
        <v>5068</v>
      </c>
      <c r="D80" t="s">
        <v>9925</v>
      </c>
      <c r="E80" t="s">
        <v>10075</v>
      </c>
      <c r="F80">
        <v>10031</v>
      </c>
      <c r="G80" t="s">
        <v>10089</v>
      </c>
      <c r="H80" t="s">
        <v>10114</v>
      </c>
      <c r="I80" t="s">
        <v>10169</v>
      </c>
      <c r="J80" t="s">
        <v>10209</v>
      </c>
      <c r="K80" t="s">
        <v>10218</v>
      </c>
      <c r="L80" t="s">
        <v>10105</v>
      </c>
      <c r="M80" t="s">
        <v>10270</v>
      </c>
      <c r="N80" t="s">
        <v>10670</v>
      </c>
      <c r="P80" t="s">
        <v>10754</v>
      </c>
      <c r="Q80" t="s">
        <v>10777</v>
      </c>
      <c r="R80" t="s">
        <v>10821</v>
      </c>
      <c r="T80">
        <v>0</v>
      </c>
      <c r="U80">
        <v>0</v>
      </c>
      <c r="V80">
        <v>21</v>
      </c>
      <c r="W80">
        <v>1</v>
      </c>
      <c r="X80">
        <v>1</v>
      </c>
      <c r="Y80" t="s">
        <v>10829</v>
      </c>
      <c r="Z80">
        <v>0</v>
      </c>
      <c r="AA80">
        <v>40.830763</v>
      </c>
      <c r="AB80">
        <v>-73.948404</v>
      </c>
      <c r="AD80" t="s">
        <v>10839</v>
      </c>
      <c r="AF80" t="s">
        <v>10843</v>
      </c>
      <c r="AG80" t="s">
        <v>10859</v>
      </c>
      <c r="AH80" t="s">
        <v>10861</v>
      </c>
      <c r="AI80">
        <v>234</v>
      </c>
      <c r="AJ80" t="s">
        <v>10214</v>
      </c>
      <c r="AK80" t="s">
        <v>10837</v>
      </c>
      <c r="AL80">
        <v>1.2</v>
      </c>
      <c r="AR80" t="s">
        <v>11267</v>
      </c>
      <c r="AS80" t="s">
        <v>9925</v>
      </c>
      <c r="AY80" t="s">
        <v>10829</v>
      </c>
      <c r="AZ80" t="s">
        <v>11683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</row>
    <row r="81" spans="1:59">
      <c r="A81" s="1">
        <f>HYPERLINK("https://lsnyc.legalserver.org/matter/dynamic-profile/view/1903713","19-1903713")</f>
        <v>0</v>
      </c>
      <c r="B81" t="s">
        <v>131</v>
      </c>
      <c r="C81" t="s">
        <v>5070</v>
      </c>
      <c r="D81" t="s">
        <v>9928</v>
      </c>
      <c r="E81" t="s">
        <v>10075</v>
      </c>
      <c r="F81">
        <v>11226</v>
      </c>
      <c r="G81" t="s">
        <v>10093</v>
      </c>
      <c r="H81" t="s">
        <v>10114</v>
      </c>
      <c r="I81" t="s">
        <v>10168</v>
      </c>
      <c r="J81" t="s">
        <v>10213</v>
      </c>
      <c r="K81" t="s">
        <v>10217</v>
      </c>
      <c r="M81" t="s">
        <v>10268</v>
      </c>
      <c r="N81" t="s">
        <v>10667</v>
      </c>
      <c r="P81" t="s">
        <v>10749</v>
      </c>
      <c r="Q81" t="s">
        <v>10765</v>
      </c>
      <c r="R81" t="s">
        <v>10824</v>
      </c>
      <c r="T81">
        <v>26000</v>
      </c>
      <c r="U81">
        <v>2166.67</v>
      </c>
      <c r="V81">
        <v>58</v>
      </c>
      <c r="W81">
        <v>2</v>
      </c>
      <c r="X81">
        <v>0</v>
      </c>
      <c r="Z81">
        <v>153.76</v>
      </c>
      <c r="AA81">
        <v>40.652154</v>
      </c>
      <c r="AB81">
        <v>-73.962846</v>
      </c>
      <c r="AD81" t="s">
        <v>10840</v>
      </c>
      <c r="AG81" t="s">
        <v>10858</v>
      </c>
      <c r="AH81" t="s">
        <v>10862</v>
      </c>
      <c r="AI81">
        <v>239</v>
      </c>
      <c r="AJ81" t="s">
        <v>10213</v>
      </c>
      <c r="AL81">
        <v>11.5</v>
      </c>
      <c r="AM81" t="s">
        <v>10888</v>
      </c>
      <c r="AN81" t="s">
        <v>10932</v>
      </c>
      <c r="AO81" t="s">
        <v>11008</v>
      </c>
      <c r="AP81" t="s">
        <v>11050</v>
      </c>
      <c r="AR81" t="s">
        <v>11257</v>
      </c>
      <c r="AS81" t="s">
        <v>11595</v>
      </c>
      <c r="BA81" t="s">
        <v>11738</v>
      </c>
      <c r="BB81">
        <v>0</v>
      </c>
      <c r="BC81">
        <v>0</v>
      </c>
      <c r="BD81">
        <v>0</v>
      </c>
      <c r="BE81">
        <v>0</v>
      </c>
      <c r="BF81">
        <v>5</v>
      </c>
      <c r="BG81">
        <v>0</v>
      </c>
    </row>
    <row r="82" spans="1:59">
      <c r="A82" s="1">
        <f>HYPERLINK("https://lsnyc.legalserver.org/matter/dynamic-profile/view/1903715","19-1903715")</f>
        <v>0</v>
      </c>
      <c r="B82" t="s">
        <v>132</v>
      </c>
      <c r="C82" t="s">
        <v>5071</v>
      </c>
      <c r="D82" t="s">
        <v>9926</v>
      </c>
      <c r="E82" t="s">
        <v>10075</v>
      </c>
      <c r="F82">
        <v>10452</v>
      </c>
      <c r="G82" t="s">
        <v>10090</v>
      </c>
      <c r="H82" t="s">
        <v>10114</v>
      </c>
      <c r="I82" t="s">
        <v>10168</v>
      </c>
      <c r="J82" t="s">
        <v>10210</v>
      </c>
      <c r="K82" t="s">
        <v>10217</v>
      </c>
      <c r="M82" t="s">
        <v>10272</v>
      </c>
      <c r="N82" t="s">
        <v>10671</v>
      </c>
      <c r="P82" t="s">
        <v>10749</v>
      </c>
      <c r="Q82" t="s">
        <v>10765</v>
      </c>
      <c r="R82" t="s">
        <v>10824</v>
      </c>
      <c r="T82">
        <v>19776</v>
      </c>
      <c r="U82">
        <v>1648</v>
      </c>
      <c r="V82">
        <v>31</v>
      </c>
      <c r="W82">
        <v>2</v>
      </c>
      <c r="X82">
        <v>0</v>
      </c>
      <c r="Z82">
        <v>116.95</v>
      </c>
      <c r="AA82">
        <v>40.840311</v>
      </c>
      <c r="AB82">
        <v>-73.913494</v>
      </c>
      <c r="AD82" t="s">
        <v>10840</v>
      </c>
      <c r="AG82" t="s">
        <v>10858</v>
      </c>
      <c r="AH82" t="s">
        <v>10861</v>
      </c>
      <c r="AI82">
        <v>234</v>
      </c>
      <c r="AJ82" t="s">
        <v>10214</v>
      </c>
      <c r="AL82">
        <v>1</v>
      </c>
      <c r="AM82" t="s">
        <v>10884</v>
      </c>
      <c r="AN82" t="s">
        <v>10929</v>
      </c>
      <c r="AO82" t="s">
        <v>11013</v>
      </c>
      <c r="AP82" t="s">
        <v>11045</v>
      </c>
      <c r="AR82" t="s">
        <v>11281</v>
      </c>
      <c r="AS82" t="s">
        <v>9926</v>
      </c>
      <c r="AT82" t="s">
        <v>11642</v>
      </c>
      <c r="AX82" t="s">
        <v>10838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</row>
    <row r="83" spans="1:59">
      <c r="A83" s="1">
        <f>HYPERLINK("https://lsnyc.legalserver.org/matter/dynamic-profile/view/1903716","19-1903716")</f>
        <v>0</v>
      </c>
      <c r="B83" t="s">
        <v>133</v>
      </c>
      <c r="C83" t="s">
        <v>5072</v>
      </c>
      <c r="D83" t="s">
        <v>9934</v>
      </c>
      <c r="E83" t="s">
        <v>10075</v>
      </c>
      <c r="F83">
        <v>10538</v>
      </c>
      <c r="G83" t="s">
        <v>10092</v>
      </c>
      <c r="H83" t="s">
        <v>10114</v>
      </c>
      <c r="I83" t="s">
        <v>10173</v>
      </c>
      <c r="J83" t="s">
        <v>10212</v>
      </c>
      <c r="K83" t="s">
        <v>10217</v>
      </c>
      <c r="M83" t="s">
        <v>10273</v>
      </c>
      <c r="N83" t="s">
        <v>10672</v>
      </c>
      <c r="P83" t="s">
        <v>10750</v>
      </c>
      <c r="Q83" t="s">
        <v>10778</v>
      </c>
      <c r="R83" t="s">
        <v>10827</v>
      </c>
      <c r="T83">
        <v>39996</v>
      </c>
      <c r="U83">
        <v>3333</v>
      </c>
      <c r="V83">
        <v>42</v>
      </c>
      <c r="W83">
        <v>2</v>
      </c>
      <c r="X83">
        <v>2</v>
      </c>
      <c r="Z83">
        <v>155.32</v>
      </c>
      <c r="AA83">
        <v>40.928899</v>
      </c>
      <c r="AB83">
        <v>-73.752796</v>
      </c>
      <c r="AD83" t="s">
        <v>10840</v>
      </c>
      <c r="AG83" t="s">
        <v>10858</v>
      </c>
      <c r="AH83" t="s">
        <v>10870</v>
      </c>
      <c r="AI83">
        <v>237</v>
      </c>
      <c r="AJ83" t="s">
        <v>10212</v>
      </c>
      <c r="AL83">
        <v>11.85</v>
      </c>
      <c r="AM83" t="s">
        <v>10893</v>
      </c>
      <c r="AN83" t="s">
        <v>10933</v>
      </c>
      <c r="AO83" t="s">
        <v>11018</v>
      </c>
      <c r="AR83" t="s">
        <v>11257</v>
      </c>
      <c r="AS83" t="s">
        <v>9926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</row>
    <row r="84" spans="1:59">
      <c r="A84" s="1">
        <f>HYPERLINK("https://lsnyc.legalserver.org/matter/dynamic-profile/view/1903717","19-1903717")</f>
        <v>0</v>
      </c>
      <c r="B84" t="s">
        <v>134</v>
      </c>
      <c r="C84" t="s">
        <v>5073</v>
      </c>
      <c r="D84" t="s">
        <v>9929</v>
      </c>
      <c r="E84" t="s">
        <v>10075</v>
      </c>
      <c r="F84">
        <v>10303</v>
      </c>
      <c r="G84" t="s">
        <v>10088</v>
      </c>
      <c r="H84" t="s">
        <v>10114</v>
      </c>
      <c r="I84" t="s">
        <v>10168</v>
      </c>
      <c r="J84" t="s">
        <v>10208</v>
      </c>
      <c r="K84" t="s">
        <v>10217</v>
      </c>
      <c r="M84" t="s">
        <v>10240</v>
      </c>
      <c r="N84" t="s">
        <v>10655</v>
      </c>
      <c r="P84" t="s">
        <v>10749</v>
      </c>
      <c r="Q84" t="s">
        <v>10765</v>
      </c>
      <c r="R84" t="s">
        <v>10821</v>
      </c>
      <c r="T84">
        <v>30400</v>
      </c>
      <c r="U84">
        <v>2533.33</v>
      </c>
      <c r="V84">
        <v>40</v>
      </c>
      <c r="W84">
        <v>2</v>
      </c>
      <c r="X84">
        <v>1</v>
      </c>
      <c r="Z84">
        <v>142.52</v>
      </c>
      <c r="AA84">
        <v>40.635593</v>
      </c>
      <c r="AB84">
        <v>-74.16216900000001</v>
      </c>
      <c r="AD84" t="s">
        <v>10839</v>
      </c>
      <c r="AG84" t="s">
        <v>10858</v>
      </c>
      <c r="AH84" t="s">
        <v>10862</v>
      </c>
      <c r="AI84">
        <v>285</v>
      </c>
      <c r="AJ84" t="s">
        <v>10208</v>
      </c>
      <c r="AL84">
        <v>3.6</v>
      </c>
      <c r="AM84" t="s">
        <v>10883</v>
      </c>
      <c r="AN84" t="s">
        <v>10928</v>
      </c>
      <c r="AO84" t="s">
        <v>11006</v>
      </c>
      <c r="AP84" t="s">
        <v>11051</v>
      </c>
      <c r="AR84" t="s">
        <v>11282</v>
      </c>
      <c r="AS84" t="s">
        <v>11593</v>
      </c>
      <c r="BA84" t="s">
        <v>11738</v>
      </c>
      <c r="BB84">
        <v>0</v>
      </c>
      <c r="BC84">
        <v>0</v>
      </c>
      <c r="BD84">
        <v>0</v>
      </c>
      <c r="BE84">
        <v>0</v>
      </c>
      <c r="BF84">
        <v>5</v>
      </c>
      <c r="BG84">
        <v>0</v>
      </c>
    </row>
    <row r="85" spans="1:59">
      <c r="A85" s="1">
        <f>HYPERLINK("https://lsnyc.legalserver.org/matter/dynamic-profile/view/1903718","19-1903718")</f>
        <v>0</v>
      </c>
      <c r="B85" t="s">
        <v>135</v>
      </c>
      <c r="C85" t="s">
        <v>5074</v>
      </c>
      <c r="D85" t="s">
        <v>9935</v>
      </c>
      <c r="E85" t="s">
        <v>10075</v>
      </c>
      <c r="F85">
        <v>11369</v>
      </c>
      <c r="G85" t="s">
        <v>10091</v>
      </c>
      <c r="H85" t="s">
        <v>10114</v>
      </c>
      <c r="I85" t="s">
        <v>10168</v>
      </c>
      <c r="J85" t="s">
        <v>10214</v>
      </c>
      <c r="K85" t="s">
        <v>10217</v>
      </c>
      <c r="M85" t="s">
        <v>10274</v>
      </c>
      <c r="N85" t="s">
        <v>10665</v>
      </c>
      <c r="P85" t="s">
        <v>10750</v>
      </c>
      <c r="Q85" t="s">
        <v>10779</v>
      </c>
      <c r="R85" t="s">
        <v>10824</v>
      </c>
      <c r="T85">
        <v>22152</v>
      </c>
      <c r="U85">
        <v>1846</v>
      </c>
      <c r="V85">
        <v>36</v>
      </c>
      <c r="W85">
        <v>1</v>
      </c>
      <c r="X85">
        <v>0</v>
      </c>
      <c r="Z85">
        <v>177.36</v>
      </c>
      <c r="AA85">
        <v>40.757144</v>
      </c>
      <c r="AB85">
        <v>-73.875485</v>
      </c>
      <c r="AD85" t="s">
        <v>10839</v>
      </c>
      <c r="AG85" t="s">
        <v>10858</v>
      </c>
      <c r="AH85" t="s">
        <v>10867</v>
      </c>
      <c r="AI85">
        <v>234</v>
      </c>
      <c r="AJ85" t="s">
        <v>10214</v>
      </c>
      <c r="AL85">
        <v>4.2</v>
      </c>
      <c r="AM85" t="s">
        <v>10885</v>
      </c>
      <c r="AN85" t="s">
        <v>10909</v>
      </c>
      <c r="AO85" t="s">
        <v>11014</v>
      </c>
      <c r="AP85" t="s">
        <v>11068</v>
      </c>
      <c r="AQ85" t="s">
        <v>11107</v>
      </c>
      <c r="AR85" t="s">
        <v>11283</v>
      </c>
      <c r="AS85" t="s">
        <v>11594</v>
      </c>
      <c r="AT85" t="s">
        <v>11641</v>
      </c>
      <c r="AX85" t="s">
        <v>10837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</row>
    <row r="86" spans="1:59">
      <c r="A86" s="1">
        <f>HYPERLINK("https://lsnyc.legalserver.org/matter/dynamic-profile/view/1903720","19-1903720")</f>
        <v>0</v>
      </c>
      <c r="B86" t="s">
        <v>136</v>
      </c>
      <c r="C86" t="s">
        <v>5075</v>
      </c>
      <c r="D86" t="s">
        <v>9928</v>
      </c>
      <c r="E86" t="s">
        <v>10075</v>
      </c>
      <c r="F86">
        <v>11216</v>
      </c>
      <c r="G86" t="s">
        <v>10093</v>
      </c>
      <c r="H86" t="s">
        <v>10114</v>
      </c>
      <c r="I86" t="s">
        <v>10168</v>
      </c>
      <c r="J86" t="s">
        <v>10213</v>
      </c>
      <c r="K86" t="s">
        <v>10217</v>
      </c>
      <c r="M86" t="s">
        <v>10275</v>
      </c>
      <c r="N86" t="s">
        <v>10667</v>
      </c>
      <c r="P86" t="s">
        <v>10749</v>
      </c>
      <c r="Q86" t="s">
        <v>10765</v>
      </c>
      <c r="R86" t="s">
        <v>10821</v>
      </c>
      <c r="T86">
        <v>24000</v>
      </c>
      <c r="U86">
        <v>2000</v>
      </c>
      <c r="V86">
        <v>33</v>
      </c>
      <c r="W86">
        <v>1</v>
      </c>
      <c r="X86">
        <v>0</v>
      </c>
      <c r="Z86">
        <v>192.15</v>
      </c>
      <c r="AA86">
        <v>40.67095</v>
      </c>
      <c r="AB86">
        <v>-73.950594</v>
      </c>
      <c r="AD86" t="s">
        <v>10840</v>
      </c>
      <c r="AG86" t="s">
        <v>10858</v>
      </c>
      <c r="AH86" t="s">
        <v>10862</v>
      </c>
      <c r="AI86">
        <v>239</v>
      </c>
      <c r="AJ86" t="s">
        <v>10213</v>
      </c>
      <c r="AL86">
        <v>7</v>
      </c>
      <c r="AM86" t="s">
        <v>10888</v>
      </c>
      <c r="AN86" t="s">
        <v>10912</v>
      </c>
      <c r="AO86" t="s">
        <v>11005</v>
      </c>
      <c r="AP86" t="s">
        <v>11061</v>
      </c>
      <c r="AQ86" t="s">
        <v>11101</v>
      </c>
      <c r="AR86" t="s">
        <v>11257</v>
      </c>
      <c r="AS86" t="s">
        <v>11595</v>
      </c>
      <c r="BA86" t="s">
        <v>11738</v>
      </c>
      <c r="BB86">
        <v>0</v>
      </c>
      <c r="BC86">
        <v>0</v>
      </c>
      <c r="BD86">
        <v>0</v>
      </c>
      <c r="BE86">
        <v>0</v>
      </c>
      <c r="BF86">
        <v>5</v>
      </c>
      <c r="BG86">
        <v>0</v>
      </c>
    </row>
    <row r="87" spans="1:59">
      <c r="A87" s="1">
        <f>HYPERLINK("https://lsnyc.legalserver.org/matter/dynamic-profile/view/1903722","19-1903722")</f>
        <v>0</v>
      </c>
      <c r="B87" t="s">
        <v>137</v>
      </c>
      <c r="C87" t="s">
        <v>5076</v>
      </c>
      <c r="D87" t="s">
        <v>9926</v>
      </c>
      <c r="E87" t="s">
        <v>10075</v>
      </c>
      <c r="F87">
        <v>10463</v>
      </c>
      <c r="G87" t="s">
        <v>10090</v>
      </c>
      <c r="H87" t="s">
        <v>10114</v>
      </c>
      <c r="I87" t="s">
        <v>10169</v>
      </c>
      <c r="J87" t="s">
        <v>10210</v>
      </c>
      <c r="K87" t="s">
        <v>10217</v>
      </c>
      <c r="M87" t="s">
        <v>10276</v>
      </c>
      <c r="N87" t="s">
        <v>10666</v>
      </c>
      <c r="P87" t="s">
        <v>10749</v>
      </c>
      <c r="Q87" t="s">
        <v>10765</v>
      </c>
      <c r="R87" t="s">
        <v>10821</v>
      </c>
      <c r="T87">
        <v>26000</v>
      </c>
      <c r="U87">
        <v>2166.67</v>
      </c>
      <c r="V87">
        <v>47</v>
      </c>
      <c r="W87">
        <v>3</v>
      </c>
      <c r="X87">
        <v>0</v>
      </c>
      <c r="Z87">
        <v>121.89</v>
      </c>
      <c r="AA87">
        <v>40.881387</v>
      </c>
      <c r="AB87">
        <v>-73.903999</v>
      </c>
      <c r="AD87" t="s">
        <v>10840</v>
      </c>
      <c r="AF87" t="s">
        <v>10843</v>
      </c>
      <c r="AG87" t="s">
        <v>10859</v>
      </c>
      <c r="AH87" t="s">
        <v>10862</v>
      </c>
      <c r="AI87">
        <v>230</v>
      </c>
      <c r="AJ87" t="s">
        <v>10210</v>
      </c>
      <c r="AL87">
        <v>14.85</v>
      </c>
      <c r="AM87" t="s">
        <v>10887</v>
      </c>
      <c r="AN87" t="s">
        <v>10919</v>
      </c>
      <c r="AO87" t="s">
        <v>11000</v>
      </c>
      <c r="AP87" t="s">
        <v>11057</v>
      </c>
      <c r="AR87" t="s">
        <v>11257</v>
      </c>
      <c r="AS87" t="s">
        <v>9926</v>
      </c>
      <c r="BA87" t="s">
        <v>11738</v>
      </c>
      <c r="BB87">
        <v>0</v>
      </c>
      <c r="BC87">
        <v>0</v>
      </c>
      <c r="BD87">
        <v>0</v>
      </c>
      <c r="BE87">
        <v>0</v>
      </c>
      <c r="BF87">
        <v>5</v>
      </c>
      <c r="BG87">
        <v>0</v>
      </c>
    </row>
    <row r="88" spans="1:59">
      <c r="A88" s="1">
        <f>HYPERLINK("https://lsnyc.legalserver.org/matter/dynamic-profile/view/1903723","19-1903723")</f>
        <v>0</v>
      </c>
      <c r="B88" t="s">
        <v>138</v>
      </c>
      <c r="C88" t="s">
        <v>5077</v>
      </c>
      <c r="D88" t="s">
        <v>9928</v>
      </c>
      <c r="E88" t="s">
        <v>10075</v>
      </c>
      <c r="F88">
        <v>11238</v>
      </c>
      <c r="G88" t="s">
        <v>10093</v>
      </c>
      <c r="H88" t="s">
        <v>10114</v>
      </c>
      <c r="I88" t="s">
        <v>10168</v>
      </c>
      <c r="J88" t="s">
        <v>10213</v>
      </c>
      <c r="K88" t="s">
        <v>10218</v>
      </c>
      <c r="L88" t="s">
        <v>10094</v>
      </c>
      <c r="M88" t="s">
        <v>10277</v>
      </c>
      <c r="N88" t="s">
        <v>10646</v>
      </c>
      <c r="P88" t="s">
        <v>10749</v>
      </c>
      <c r="Q88" t="s">
        <v>10765</v>
      </c>
      <c r="R88" t="s">
        <v>10821</v>
      </c>
      <c r="T88">
        <v>62000</v>
      </c>
      <c r="U88">
        <v>5166.67</v>
      </c>
      <c r="V88">
        <v>50</v>
      </c>
      <c r="W88">
        <v>2</v>
      </c>
      <c r="X88">
        <v>0</v>
      </c>
      <c r="Y88" t="s">
        <v>10829</v>
      </c>
      <c r="Z88">
        <v>366.65</v>
      </c>
      <c r="AA88">
        <v>40.676389</v>
      </c>
      <c r="AB88">
        <v>-73.961354</v>
      </c>
      <c r="AD88" t="s">
        <v>10839</v>
      </c>
      <c r="AG88" t="s">
        <v>10858</v>
      </c>
      <c r="AH88" t="s">
        <v>10862</v>
      </c>
      <c r="AI88">
        <v>239</v>
      </c>
      <c r="AJ88" t="s">
        <v>10213</v>
      </c>
      <c r="AK88" t="s">
        <v>10838</v>
      </c>
      <c r="AL88">
        <v>3</v>
      </c>
      <c r="AM88" t="s">
        <v>10888</v>
      </c>
      <c r="AN88" t="s">
        <v>10923</v>
      </c>
      <c r="AO88" t="s">
        <v>11005</v>
      </c>
      <c r="AP88" t="s">
        <v>11061</v>
      </c>
      <c r="AR88" t="s">
        <v>11257</v>
      </c>
      <c r="AS88" t="s">
        <v>11595</v>
      </c>
      <c r="AX88" t="s">
        <v>10838</v>
      </c>
      <c r="AY88" t="s">
        <v>10829</v>
      </c>
      <c r="AZ88" t="s">
        <v>11681</v>
      </c>
      <c r="BA88" t="s">
        <v>11741</v>
      </c>
      <c r="BB88">
        <v>0</v>
      </c>
      <c r="BC88">
        <v>0</v>
      </c>
      <c r="BD88">
        <v>0</v>
      </c>
      <c r="BE88">
        <v>0</v>
      </c>
      <c r="BF88">
        <v>1</v>
      </c>
      <c r="BG88">
        <v>0</v>
      </c>
    </row>
    <row r="89" spans="1:59">
      <c r="A89" s="1">
        <f>HYPERLINK("https://lsnyc.legalserver.org/matter/dynamic-profile/view/1903724","19-1903724")</f>
        <v>0</v>
      </c>
      <c r="B89" t="s">
        <v>139</v>
      </c>
      <c r="C89" t="s">
        <v>5078</v>
      </c>
      <c r="D89" t="s">
        <v>9926</v>
      </c>
      <c r="E89" t="s">
        <v>10075</v>
      </c>
      <c r="F89">
        <v>10453</v>
      </c>
      <c r="G89" t="s">
        <v>10089</v>
      </c>
      <c r="H89" t="s">
        <v>10114</v>
      </c>
      <c r="I89" t="s">
        <v>10169</v>
      </c>
      <c r="J89" t="s">
        <v>10209</v>
      </c>
      <c r="K89" t="s">
        <v>10217</v>
      </c>
      <c r="M89" t="s">
        <v>10278</v>
      </c>
      <c r="N89" t="s">
        <v>10673</v>
      </c>
      <c r="P89" t="s">
        <v>10753</v>
      </c>
      <c r="Q89" t="s">
        <v>10763</v>
      </c>
      <c r="R89" t="s">
        <v>10821</v>
      </c>
      <c r="T89">
        <v>30512</v>
      </c>
      <c r="U89">
        <v>2542.67</v>
      </c>
      <c r="V89">
        <v>37</v>
      </c>
      <c r="W89">
        <v>4</v>
      </c>
      <c r="X89">
        <v>0</v>
      </c>
      <c r="Z89">
        <v>118.49</v>
      </c>
      <c r="AA89">
        <v>40.849619</v>
      </c>
      <c r="AB89">
        <v>-73.90656300000001</v>
      </c>
      <c r="AD89" t="s">
        <v>10839</v>
      </c>
      <c r="AF89" t="s">
        <v>10845</v>
      </c>
      <c r="AG89" t="s">
        <v>10859</v>
      </c>
      <c r="AH89" t="s">
        <v>10864</v>
      </c>
      <c r="AI89">
        <v>236</v>
      </c>
      <c r="AJ89" t="s">
        <v>10209</v>
      </c>
      <c r="AL89">
        <v>0</v>
      </c>
      <c r="AM89" t="s">
        <v>10884</v>
      </c>
      <c r="AN89" t="s">
        <v>10931</v>
      </c>
      <c r="AO89" t="s">
        <v>11000</v>
      </c>
      <c r="AP89" t="s">
        <v>11045</v>
      </c>
      <c r="AQ89" t="s">
        <v>11108</v>
      </c>
      <c r="AR89" t="s">
        <v>11284</v>
      </c>
      <c r="AS89" t="s">
        <v>9926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</row>
    <row r="90" spans="1:59">
      <c r="A90" s="1">
        <f>HYPERLINK("https://lsnyc.legalserver.org/matter/dynamic-profile/view/1903726","19-1903726")</f>
        <v>0</v>
      </c>
      <c r="B90" t="s">
        <v>140</v>
      </c>
      <c r="C90" t="s">
        <v>5079</v>
      </c>
      <c r="D90" t="s">
        <v>9929</v>
      </c>
      <c r="E90" t="s">
        <v>10075</v>
      </c>
      <c r="F90">
        <v>10303</v>
      </c>
      <c r="G90" t="s">
        <v>10088</v>
      </c>
      <c r="H90" t="s">
        <v>10114</v>
      </c>
      <c r="I90" t="s">
        <v>10168</v>
      </c>
      <c r="J90" t="s">
        <v>10208</v>
      </c>
      <c r="K90" t="s">
        <v>10217</v>
      </c>
      <c r="M90" t="s">
        <v>10241</v>
      </c>
      <c r="N90" t="s">
        <v>10655</v>
      </c>
      <c r="P90" t="s">
        <v>10749</v>
      </c>
      <c r="Q90" t="s">
        <v>10765</v>
      </c>
      <c r="R90" t="s">
        <v>10823</v>
      </c>
      <c r="T90">
        <v>11700</v>
      </c>
      <c r="U90">
        <v>975</v>
      </c>
      <c r="V90">
        <v>43</v>
      </c>
      <c r="W90">
        <v>2</v>
      </c>
      <c r="X90">
        <v>0</v>
      </c>
      <c r="Z90">
        <v>69.19</v>
      </c>
      <c r="AA90">
        <v>40.629577</v>
      </c>
      <c r="AB90">
        <v>-74.16199400000001</v>
      </c>
      <c r="AD90" t="s">
        <v>10839</v>
      </c>
      <c r="AG90" t="s">
        <v>10858</v>
      </c>
      <c r="AH90" t="s">
        <v>10862</v>
      </c>
      <c r="AI90">
        <v>285</v>
      </c>
      <c r="AJ90" t="s">
        <v>10208</v>
      </c>
      <c r="AL90">
        <v>2.3</v>
      </c>
      <c r="AM90" t="s">
        <v>10883</v>
      </c>
      <c r="AN90" t="s">
        <v>10928</v>
      </c>
      <c r="AO90" t="s">
        <v>11006</v>
      </c>
      <c r="AP90" t="s">
        <v>11051</v>
      </c>
      <c r="AR90" t="s">
        <v>11257</v>
      </c>
      <c r="AS90" t="s">
        <v>11593</v>
      </c>
      <c r="BA90" t="s">
        <v>11738</v>
      </c>
      <c r="BB90">
        <v>0</v>
      </c>
      <c r="BC90">
        <v>0</v>
      </c>
      <c r="BD90">
        <v>0</v>
      </c>
      <c r="BE90">
        <v>0</v>
      </c>
      <c r="BF90">
        <v>5</v>
      </c>
      <c r="BG90">
        <v>0</v>
      </c>
    </row>
    <row r="91" spans="1:59">
      <c r="A91" s="1">
        <f>HYPERLINK("https://lsnyc.legalserver.org/matter/dynamic-profile/view/1903727","19-1903727")</f>
        <v>0</v>
      </c>
      <c r="B91" t="s">
        <v>141</v>
      </c>
      <c r="C91" t="s">
        <v>5080</v>
      </c>
      <c r="D91" t="s">
        <v>9926</v>
      </c>
      <c r="E91" t="s">
        <v>10075</v>
      </c>
      <c r="F91">
        <v>10453</v>
      </c>
      <c r="G91" t="s">
        <v>10090</v>
      </c>
      <c r="H91" t="s">
        <v>10114</v>
      </c>
      <c r="I91" t="s">
        <v>10168</v>
      </c>
      <c r="J91" t="s">
        <v>10210</v>
      </c>
      <c r="K91" t="s">
        <v>10217</v>
      </c>
      <c r="M91" t="s">
        <v>10279</v>
      </c>
      <c r="N91" t="s">
        <v>10666</v>
      </c>
      <c r="P91" t="s">
        <v>10749</v>
      </c>
      <c r="Q91" t="s">
        <v>10765</v>
      </c>
      <c r="R91" t="s">
        <v>10821</v>
      </c>
      <c r="T91">
        <v>23172</v>
      </c>
      <c r="U91">
        <v>1931</v>
      </c>
      <c r="V91">
        <v>55</v>
      </c>
      <c r="W91">
        <v>2</v>
      </c>
      <c r="X91">
        <v>0</v>
      </c>
      <c r="Z91">
        <v>137.03</v>
      </c>
      <c r="AA91">
        <v>40.848105</v>
      </c>
      <c r="AB91">
        <v>-73.92245699999999</v>
      </c>
      <c r="AD91" t="s">
        <v>10839</v>
      </c>
      <c r="AG91" t="s">
        <v>10858</v>
      </c>
      <c r="AH91" t="s">
        <v>10862</v>
      </c>
      <c r="AI91">
        <v>230</v>
      </c>
      <c r="AJ91" t="s">
        <v>10210</v>
      </c>
      <c r="AL91">
        <v>19.8</v>
      </c>
      <c r="AM91" t="s">
        <v>10887</v>
      </c>
      <c r="AN91" t="s">
        <v>10929</v>
      </c>
      <c r="AO91" t="s">
        <v>11013</v>
      </c>
      <c r="AP91" t="s">
        <v>11055</v>
      </c>
      <c r="AR91" t="s">
        <v>11285</v>
      </c>
      <c r="AS91" t="s">
        <v>9926</v>
      </c>
      <c r="BA91" t="s">
        <v>11738</v>
      </c>
      <c r="BB91">
        <v>0</v>
      </c>
      <c r="BC91">
        <v>0</v>
      </c>
      <c r="BD91">
        <v>0</v>
      </c>
      <c r="BE91">
        <v>0</v>
      </c>
      <c r="BF91">
        <v>5</v>
      </c>
      <c r="BG91">
        <v>0</v>
      </c>
    </row>
    <row r="92" spans="1:59">
      <c r="A92" s="1">
        <f>HYPERLINK("https://lsnyc.legalserver.org/matter/dynamic-profile/view/1903728","19-1903728")</f>
        <v>0</v>
      </c>
      <c r="B92" t="s">
        <v>142</v>
      </c>
      <c r="C92" t="s">
        <v>5081</v>
      </c>
      <c r="D92" t="s">
        <v>9928</v>
      </c>
      <c r="E92" t="s">
        <v>10075</v>
      </c>
      <c r="F92">
        <v>11221</v>
      </c>
      <c r="G92" t="s">
        <v>10093</v>
      </c>
      <c r="H92" t="s">
        <v>10114</v>
      </c>
      <c r="I92" t="s">
        <v>10169</v>
      </c>
      <c r="J92" t="s">
        <v>10213</v>
      </c>
      <c r="K92" t="s">
        <v>10217</v>
      </c>
      <c r="M92" t="s">
        <v>10280</v>
      </c>
      <c r="N92" t="s">
        <v>10671</v>
      </c>
      <c r="P92" t="s">
        <v>10751</v>
      </c>
      <c r="Q92" t="s">
        <v>10780</v>
      </c>
      <c r="R92" t="s">
        <v>10821</v>
      </c>
      <c r="T92">
        <v>20800</v>
      </c>
      <c r="U92">
        <v>1733.33</v>
      </c>
      <c r="V92">
        <v>60</v>
      </c>
      <c r="W92">
        <v>1</v>
      </c>
      <c r="X92">
        <v>0</v>
      </c>
      <c r="Z92">
        <v>166.53</v>
      </c>
      <c r="AA92">
        <v>40.691292</v>
      </c>
      <c r="AB92">
        <v>-73.920689</v>
      </c>
      <c r="AD92" t="s">
        <v>10839</v>
      </c>
      <c r="AG92" t="s">
        <v>10858</v>
      </c>
      <c r="AH92" t="s">
        <v>10861</v>
      </c>
      <c r="AI92">
        <v>234</v>
      </c>
      <c r="AJ92" t="s">
        <v>10214</v>
      </c>
      <c r="AL92">
        <v>0.7</v>
      </c>
      <c r="AM92" t="s">
        <v>10886</v>
      </c>
      <c r="AN92" t="s">
        <v>10920</v>
      </c>
      <c r="AO92" t="s">
        <v>11011</v>
      </c>
      <c r="AP92" t="s">
        <v>11071</v>
      </c>
      <c r="AR92" t="s">
        <v>11257</v>
      </c>
      <c r="AS92" t="s">
        <v>11595</v>
      </c>
      <c r="AT92" t="s">
        <v>11641</v>
      </c>
      <c r="AX92" t="s">
        <v>11678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</row>
    <row r="93" spans="1:59">
      <c r="A93" s="1">
        <f>HYPERLINK("https://lsnyc.legalserver.org/matter/dynamic-profile/view/1903729","19-1903729")</f>
        <v>0</v>
      </c>
      <c r="B93" t="s">
        <v>143</v>
      </c>
      <c r="C93" t="s">
        <v>5082</v>
      </c>
      <c r="D93" t="s">
        <v>9926</v>
      </c>
      <c r="E93" t="s">
        <v>10075</v>
      </c>
      <c r="F93">
        <v>10451</v>
      </c>
      <c r="G93" t="s">
        <v>10090</v>
      </c>
      <c r="H93" t="s">
        <v>10114</v>
      </c>
      <c r="I93" t="s">
        <v>10169</v>
      </c>
      <c r="J93" t="s">
        <v>10210</v>
      </c>
      <c r="K93" t="s">
        <v>10218</v>
      </c>
      <c r="L93" t="s">
        <v>10162</v>
      </c>
      <c r="M93" t="s">
        <v>10281</v>
      </c>
      <c r="N93" t="s">
        <v>10666</v>
      </c>
      <c r="P93" t="s">
        <v>10749</v>
      </c>
      <c r="Q93" t="s">
        <v>10765</v>
      </c>
      <c r="R93" t="s">
        <v>10823</v>
      </c>
      <c r="T93">
        <v>0</v>
      </c>
      <c r="U93">
        <v>0</v>
      </c>
      <c r="V93">
        <v>54</v>
      </c>
      <c r="W93">
        <v>1</v>
      </c>
      <c r="X93">
        <v>0</v>
      </c>
      <c r="Y93" t="s">
        <v>10830</v>
      </c>
      <c r="Z93">
        <v>0</v>
      </c>
      <c r="AA93">
        <v>40.822695</v>
      </c>
      <c r="AB93">
        <v>-73.916394</v>
      </c>
      <c r="AD93" t="s">
        <v>10840</v>
      </c>
      <c r="AG93" t="s">
        <v>10858</v>
      </c>
      <c r="AH93" t="s">
        <v>10862</v>
      </c>
      <c r="AI93">
        <v>230</v>
      </c>
      <c r="AJ93" t="s">
        <v>10210</v>
      </c>
      <c r="AK93" t="s">
        <v>10838</v>
      </c>
      <c r="AL93">
        <v>4.9</v>
      </c>
      <c r="AM93" t="s">
        <v>10884</v>
      </c>
      <c r="AN93" t="s">
        <v>10918</v>
      </c>
      <c r="AO93" t="s">
        <v>11001</v>
      </c>
      <c r="AP93" t="s">
        <v>11062</v>
      </c>
      <c r="AR93" t="s">
        <v>11279</v>
      </c>
      <c r="AS93" t="s">
        <v>9926</v>
      </c>
      <c r="AT93" t="s">
        <v>11642</v>
      </c>
      <c r="AY93" t="s">
        <v>10830</v>
      </c>
      <c r="AZ93" t="s">
        <v>11681</v>
      </c>
      <c r="BA93" t="s">
        <v>11740</v>
      </c>
      <c r="BB93">
        <v>0</v>
      </c>
      <c r="BC93">
        <v>0</v>
      </c>
      <c r="BD93">
        <v>0</v>
      </c>
      <c r="BE93">
        <v>0</v>
      </c>
      <c r="BF93">
        <v>2</v>
      </c>
      <c r="BG93">
        <v>0</v>
      </c>
    </row>
    <row r="94" spans="1:59">
      <c r="A94" s="1">
        <f>HYPERLINK("https://lsnyc.legalserver.org/matter/dynamic-profile/view/1903730","19-1903730")</f>
        <v>0</v>
      </c>
      <c r="B94" t="s">
        <v>144</v>
      </c>
      <c r="C94" t="s">
        <v>5083</v>
      </c>
      <c r="D94" t="s">
        <v>9931</v>
      </c>
      <c r="E94" t="s">
        <v>10075</v>
      </c>
      <c r="F94">
        <v>11355</v>
      </c>
      <c r="G94" t="s">
        <v>10092</v>
      </c>
      <c r="H94" t="s">
        <v>10114</v>
      </c>
      <c r="I94" t="s">
        <v>10174</v>
      </c>
      <c r="J94" t="s">
        <v>10212</v>
      </c>
      <c r="K94" t="s">
        <v>10217</v>
      </c>
      <c r="M94" t="s">
        <v>10282</v>
      </c>
      <c r="N94" t="s">
        <v>10674</v>
      </c>
      <c r="P94" t="s">
        <v>10753</v>
      </c>
      <c r="Q94" t="s">
        <v>10763</v>
      </c>
      <c r="R94" t="s">
        <v>10828</v>
      </c>
      <c r="T94">
        <v>0</v>
      </c>
      <c r="U94">
        <v>0</v>
      </c>
      <c r="V94">
        <v>35</v>
      </c>
      <c r="W94">
        <v>1</v>
      </c>
      <c r="X94">
        <v>2</v>
      </c>
      <c r="Z94">
        <v>0</v>
      </c>
      <c r="AA94">
        <v>40.745752</v>
      </c>
      <c r="AB94">
        <v>-73.828473</v>
      </c>
      <c r="AD94" t="s">
        <v>10839</v>
      </c>
      <c r="AF94" t="s">
        <v>10842</v>
      </c>
      <c r="AG94" t="s">
        <v>10859</v>
      </c>
      <c r="AH94" t="s">
        <v>10864</v>
      </c>
      <c r="AI94">
        <v>237</v>
      </c>
      <c r="AJ94" t="s">
        <v>10212</v>
      </c>
      <c r="AL94">
        <v>2.9</v>
      </c>
      <c r="AM94" t="s">
        <v>10890</v>
      </c>
      <c r="AN94" t="s">
        <v>10934</v>
      </c>
      <c r="AO94" t="s">
        <v>11009</v>
      </c>
      <c r="AP94" t="s">
        <v>11067</v>
      </c>
      <c r="AQ94" t="s">
        <v>11096</v>
      </c>
      <c r="AR94" t="s">
        <v>11267</v>
      </c>
      <c r="AS94" t="s">
        <v>11594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</row>
    <row r="95" spans="1:59">
      <c r="A95" s="1">
        <f>HYPERLINK("https://lsnyc.legalserver.org/matter/dynamic-profile/view/1903731","19-1903731")</f>
        <v>0</v>
      </c>
      <c r="B95" t="s">
        <v>145</v>
      </c>
      <c r="C95" t="s">
        <v>5084</v>
      </c>
      <c r="D95" t="s">
        <v>9926</v>
      </c>
      <c r="E95" t="s">
        <v>10075</v>
      </c>
      <c r="F95">
        <v>10467</v>
      </c>
      <c r="G95" t="s">
        <v>10090</v>
      </c>
      <c r="H95" t="s">
        <v>10114</v>
      </c>
      <c r="I95" t="s">
        <v>10169</v>
      </c>
      <c r="J95" t="s">
        <v>10210</v>
      </c>
      <c r="K95" t="s">
        <v>10218</v>
      </c>
      <c r="L95" t="s">
        <v>10159</v>
      </c>
      <c r="M95" t="s">
        <v>10283</v>
      </c>
      <c r="N95" t="s">
        <v>10671</v>
      </c>
      <c r="P95" t="s">
        <v>10751</v>
      </c>
      <c r="Q95" t="s">
        <v>10761</v>
      </c>
      <c r="R95" t="s">
        <v>10823</v>
      </c>
      <c r="T95">
        <v>15600</v>
      </c>
      <c r="U95">
        <v>1300</v>
      </c>
      <c r="V95">
        <v>42</v>
      </c>
      <c r="W95">
        <v>2</v>
      </c>
      <c r="X95">
        <v>1</v>
      </c>
      <c r="Y95" t="s">
        <v>10833</v>
      </c>
      <c r="Z95">
        <v>73.14</v>
      </c>
      <c r="AA95">
        <v>40.881405</v>
      </c>
      <c r="AB95">
        <v>-73.878146</v>
      </c>
      <c r="AD95" t="s">
        <v>10839</v>
      </c>
      <c r="AF95" t="s">
        <v>10843</v>
      </c>
      <c r="AG95" t="s">
        <v>10859</v>
      </c>
      <c r="AH95" t="s">
        <v>10862</v>
      </c>
      <c r="AI95">
        <v>230</v>
      </c>
      <c r="AJ95" t="s">
        <v>10210</v>
      </c>
      <c r="AK95" t="s">
        <v>10838</v>
      </c>
      <c r="AL95">
        <v>8.65</v>
      </c>
      <c r="AM95" t="s">
        <v>10887</v>
      </c>
      <c r="AN95" t="s">
        <v>10919</v>
      </c>
      <c r="AO95" t="s">
        <v>11010</v>
      </c>
      <c r="AP95" t="s">
        <v>11057</v>
      </c>
      <c r="AR95" t="s">
        <v>11257</v>
      </c>
      <c r="AS95" t="s">
        <v>9926</v>
      </c>
      <c r="AT95" t="s">
        <v>11641</v>
      </c>
      <c r="AX95" t="s">
        <v>10838</v>
      </c>
      <c r="AY95" t="s">
        <v>10833</v>
      </c>
      <c r="AZ95" t="s">
        <v>11688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</row>
    <row r="96" spans="1:59">
      <c r="A96" s="1">
        <f>HYPERLINK("https://lsnyc.legalserver.org/matter/dynamic-profile/view/1903732","19-1903732")</f>
        <v>0</v>
      </c>
      <c r="B96" t="s">
        <v>146</v>
      </c>
      <c r="C96" t="s">
        <v>5085</v>
      </c>
      <c r="D96" t="s">
        <v>9929</v>
      </c>
      <c r="E96" t="s">
        <v>10075</v>
      </c>
      <c r="F96">
        <v>10302</v>
      </c>
      <c r="G96" t="s">
        <v>10088</v>
      </c>
      <c r="H96" t="s">
        <v>10114</v>
      </c>
      <c r="I96" t="s">
        <v>10168</v>
      </c>
      <c r="J96" t="s">
        <v>10208</v>
      </c>
      <c r="K96" t="s">
        <v>10217</v>
      </c>
      <c r="M96" t="s">
        <v>10284</v>
      </c>
      <c r="N96" t="s">
        <v>10655</v>
      </c>
      <c r="P96" t="s">
        <v>10749</v>
      </c>
      <c r="Q96" t="s">
        <v>10765</v>
      </c>
      <c r="R96" t="s">
        <v>10825</v>
      </c>
      <c r="T96">
        <v>24000</v>
      </c>
      <c r="U96">
        <v>2000</v>
      </c>
      <c r="V96">
        <v>62</v>
      </c>
      <c r="W96">
        <v>2</v>
      </c>
      <c r="X96">
        <v>0</v>
      </c>
      <c r="Z96">
        <v>141.93</v>
      </c>
      <c r="AA96">
        <v>40.629395</v>
      </c>
      <c r="AB96">
        <v>-74.14404399999999</v>
      </c>
      <c r="AD96" t="s">
        <v>10839</v>
      </c>
      <c r="AG96" t="s">
        <v>10858</v>
      </c>
      <c r="AH96" t="s">
        <v>10862</v>
      </c>
      <c r="AI96">
        <v>285</v>
      </c>
      <c r="AJ96" t="s">
        <v>10208</v>
      </c>
      <c r="AL96">
        <v>0.3</v>
      </c>
      <c r="AM96" t="s">
        <v>10883</v>
      </c>
      <c r="AN96" t="s">
        <v>10913</v>
      </c>
      <c r="AO96" t="s">
        <v>11006</v>
      </c>
      <c r="AP96" t="s">
        <v>11051</v>
      </c>
      <c r="AR96" t="s">
        <v>11257</v>
      </c>
      <c r="AS96" t="s">
        <v>11593</v>
      </c>
      <c r="BA96" t="s">
        <v>11738</v>
      </c>
      <c r="BB96">
        <v>0</v>
      </c>
      <c r="BC96">
        <v>0</v>
      </c>
      <c r="BD96">
        <v>0</v>
      </c>
      <c r="BE96">
        <v>0</v>
      </c>
      <c r="BF96">
        <v>5</v>
      </c>
      <c r="BG96">
        <v>0</v>
      </c>
    </row>
    <row r="97" spans="1:59">
      <c r="A97" s="1">
        <f>HYPERLINK("https://lsnyc.legalserver.org/matter/dynamic-profile/view/1903733","19-1903733")</f>
        <v>0</v>
      </c>
      <c r="B97" t="s">
        <v>139</v>
      </c>
      <c r="C97" t="s">
        <v>5078</v>
      </c>
      <c r="D97" t="s">
        <v>9926</v>
      </c>
      <c r="E97" t="s">
        <v>10075</v>
      </c>
      <c r="F97">
        <v>10453</v>
      </c>
      <c r="G97" t="s">
        <v>10089</v>
      </c>
      <c r="H97" t="s">
        <v>10112</v>
      </c>
      <c r="I97" t="s">
        <v>10169</v>
      </c>
      <c r="J97" t="s">
        <v>10209</v>
      </c>
      <c r="K97" t="s">
        <v>10217</v>
      </c>
      <c r="M97" t="s">
        <v>10278</v>
      </c>
      <c r="N97" t="s">
        <v>10673</v>
      </c>
      <c r="P97" t="s">
        <v>10753</v>
      </c>
      <c r="Q97" t="s">
        <v>10763</v>
      </c>
      <c r="R97" t="s">
        <v>10821</v>
      </c>
      <c r="T97">
        <v>42512</v>
      </c>
      <c r="U97">
        <v>3542.67</v>
      </c>
      <c r="V97">
        <v>37</v>
      </c>
      <c r="W97">
        <v>4</v>
      </c>
      <c r="X97">
        <v>0</v>
      </c>
      <c r="Z97">
        <v>165.1</v>
      </c>
      <c r="AA97">
        <v>40.849619</v>
      </c>
      <c r="AB97">
        <v>-73.90656300000001</v>
      </c>
      <c r="AD97" t="s">
        <v>10839</v>
      </c>
      <c r="AF97" t="s">
        <v>10845</v>
      </c>
      <c r="AG97" t="s">
        <v>10859</v>
      </c>
      <c r="AH97" t="s">
        <v>10864</v>
      </c>
      <c r="AI97">
        <v>236</v>
      </c>
      <c r="AJ97" t="s">
        <v>10209</v>
      </c>
      <c r="AL97">
        <v>0</v>
      </c>
      <c r="AM97" t="s">
        <v>10884</v>
      </c>
      <c r="AN97" t="s">
        <v>10931</v>
      </c>
      <c r="AO97" t="s">
        <v>11000</v>
      </c>
      <c r="AP97" t="s">
        <v>11045</v>
      </c>
      <c r="AQ97" t="s">
        <v>11109</v>
      </c>
      <c r="AR97" t="s">
        <v>11284</v>
      </c>
      <c r="AS97" t="s">
        <v>9926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</row>
    <row r="98" spans="1:59">
      <c r="A98" s="1">
        <f>HYPERLINK("https://lsnyc.legalserver.org/matter/dynamic-profile/view/1903734","19-1903734")</f>
        <v>0</v>
      </c>
      <c r="B98" t="s">
        <v>136</v>
      </c>
      <c r="C98" t="s">
        <v>5075</v>
      </c>
      <c r="D98" t="s">
        <v>9928</v>
      </c>
      <c r="E98" t="s">
        <v>10075</v>
      </c>
      <c r="F98">
        <v>11216</v>
      </c>
      <c r="G98" t="s">
        <v>10093</v>
      </c>
      <c r="H98" t="s">
        <v>10114</v>
      </c>
      <c r="I98" t="s">
        <v>10168</v>
      </c>
      <c r="J98" t="s">
        <v>10213</v>
      </c>
      <c r="K98" t="s">
        <v>10217</v>
      </c>
      <c r="M98" t="s">
        <v>10275</v>
      </c>
      <c r="N98" t="s">
        <v>10668</v>
      </c>
      <c r="P98" t="s">
        <v>10751</v>
      </c>
      <c r="Q98" t="s">
        <v>10761</v>
      </c>
      <c r="R98" t="s">
        <v>10821</v>
      </c>
      <c r="T98">
        <v>24000</v>
      </c>
      <c r="U98">
        <v>2000</v>
      </c>
      <c r="V98">
        <v>33</v>
      </c>
      <c r="W98">
        <v>1</v>
      </c>
      <c r="X98">
        <v>0</v>
      </c>
      <c r="Z98">
        <v>192.15</v>
      </c>
      <c r="AA98">
        <v>40.67095</v>
      </c>
      <c r="AB98">
        <v>-73.950594</v>
      </c>
      <c r="AD98" t="s">
        <v>10840</v>
      </c>
      <c r="AG98" t="s">
        <v>10858</v>
      </c>
      <c r="AH98" t="s">
        <v>10862</v>
      </c>
      <c r="AI98">
        <v>239</v>
      </c>
      <c r="AJ98" t="s">
        <v>10213</v>
      </c>
      <c r="AL98">
        <v>0.2</v>
      </c>
      <c r="AM98" t="s">
        <v>10888</v>
      </c>
      <c r="AN98" t="s">
        <v>10912</v>
      </c>
      <c r="AO98" t="s">
        <v>11005</v>
      </c>
      <c r="AP98" t="s">
        <v>11061</v>
      </c>
      <c r="AR98" t="s">
        <v>11257</v>
      </c>
      <c r="AS98" t="s">
        <v>11595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</row>
    <row r="99" spans="1:59">
      <c r="A99" s="1">
        <f>HYPERLINK("https://lsnyc.legalserver.org/matter/dynamic-profile/view/1903735","19-1903735")</f>
        <v>0</v>
      </c>
      <c r="B99" t="s">
        <v>147</v>
      </c>
      <c r="C99" t="s">
        <v>5086</v>
      </c>
      <c r="D99" t="s">
        <v>9936</v>
      </c>
      <c r="E99" t="s">
        <v>10075</v>
      </c>
      <c r="F99">
        <v>11106</v>
      </c>
      <c r="G99" t="s">
        <v>10092</v>
      </c>
      <c r="H99" t="s">
        <v>10114</v>
      </c>
      <c r="I99" t="s">
        <v>10168</v>
      </c>
      <c r="J99" t="s">
        <v>10212</v>
      </c>
      <c r="K99" t="s">
        <v>10217</v>
      </c>
      <c r="M99" t="s">
        <v>10285</v>
      </c>
      <c r="N99" t="s">
        <v>10675</v>
      </c>
      <c r="P99" t="s">
        <v>10749</v>
      </c>
      <c r="Q99" t="s">
        <v>10765</v>
      </c>
      <c r="R99" t="s">
        <v>10820</v>
      </c>
      <c r="T99">
        <v>74296</v>
      </c>
      <c r="U99">
        <v>6191.33</v>
      </c>
      <c r="V99">
        <v>50</v>
      </c>
      <c r="W99">
        <v>4</v>
      </c>
      <c r="X99">
        <v>0</v>
      </c>
      <c r="Z99">
        <v>288.53</v>
      </c>
      <c r="AA99">
        <v>40.756676</v>
      </c>
      <c r="AB99">
        <v>-73.926131</v>
      </c>
      <c r="AC99" t="s">
        <v>10837</v>
      </c>
      <c r="AD99" t="s">
        <v>10839</v>
      </c>
      <c r="AG99" t="s">
        <v>10858</v>
      </c>
      <c r="AH99" t="s">
        <v>10861</v>
      </c>
      <c r="AI99">
        <v>234</v>
      </c>
      <c r="AJ99" t="s">
        <v>10214</v>
      </c>
      <c r="AL99">
        <v>8.199999999999999</v>
      </c>
      <c r="AM99" t="s">
        <v>10891</v>
      </c>
      <c r="AN99" t="s">
        <v>10935</v>
      </c>
      <c r="AO99" t="s">
        <v>11003</v>
      </c>
      <c r="AP99" t="s">
        <v>11047</v>
      </c>
      <c r="AR99" t="s">
        <v>11286</v>
      </c>
      <c r="AS99" t="s">
        <v>11594</v>
      </c>
      <c r="AT99" t="s">
        <v>11641</v>
      </c>
      <c r="AX99" t="s">
        <v>10838</v>
      </c>
      <c r="BA99" t="s">
        <v>11742</v>
      </c>
      <c r="BB99">
        <v>0</v>
      </c>
      <c r="BC99">
        <v>0</v>
      </c>
      <c r="BD99">
        <v>0</v>
      </c>
      <c r="BE99">
        <v>0</v>
      </c>
      <c r="BF99">
        <v>7</v>
      </c>
      <c r="BG99">
        <v>0</v>
      </c>
    </row>
    <row r="100" spans="1:59">
      <c r="A100" s="1">
        <f>HYPERLINK("https://lsnyc.legalserver.org/matter/dynamic-profile/view/1903737","19-1903737")</f>
        <v>0</v>
      </c>
      <c r="B100" t="s">
        <v>148</v>
      </c>
      <c r="C100" t="s">
        <v>5087</v>
      </c>
      <c r="D100" t="s">
        <v>9929</v>
      </c>
      <c r="E100" t="s">
        <v>10075</v>
      </c>
      <c r="F100">
        <v>10310</v>
      </c>
      <c r="G100" t="s">
        <v>10091</v>
      </c>
      <c r="H100" t="s">
        <v>10114</v>
      </c>
      <c r="I100" t="s">
        <v>10169</v>
      </c>
      <c r="J100" t="s">
        <v>10214</v>
      </c>
      <c r="K100" t="s">
        <v>10217</v>
      </c>
      <c r="M100" t="s">
        <v>10286</v>
      </c>
      <c r="N100" t="s">
        <v>10671</v>
      </c>
      <c r="P100" t="s">
        <v>10752</v>
      </c>
      <c r="Q100" t="s">
        <v>10762</v>
      </c>
      <c r="R100" t="s">
        <v>10821</v>
      </c>
      <c r="T100">
        <v>9600</v>
      </c>
      <c r="U100">
        <v>800</v>
      </c>
      <c r="V100">
        <v>67</v>
      </c>
      <c r="W100">
        <v>1</v>
      </c>
      <c r="X100">
        <v>0</v>
      </c>
      <c r="Z100">
        <v>76.86</v>
      </c>
      <c r="AA100">
        <v>40.634675</v>
      </c>
      <c r="AB100">
        <v>-74.118109</v>
      </c>
      <c r="AD100" t="s">
        <v>10839</v>
      </c>
      <c r="AG100" t="s">
        <v>10858</v>
      </c>
      <c r="AH100" t="s">
        <v>10871</v>
      </c>
      <c r="AI100">
        <v>234</v>
      </c>
      <c r="AJ100" t="s">
        <v>10214</v>
      </c>
      <c r="AL100">
        <v>0.34</v>
      </c>
      <c r="AM100" t="s">
        <v>10883</v>
      </c>
      <c r="AN100" t="s">
        <v>10913</v>
      </c>
      <c r="AO100" t="s">
        <v>11006</v>
      </c>
      <c r="AP100" t="s">
        <v>11051</v>
      </c>
      <c r="AR100" t="s">
        <v>11253</v>
      </c>
      <c r="AS100" t="s">
        <v>11593</v>
      </c>
      <c r="AT100" t="s">
        <v>11641</v>
      </c>
      <c r="AX100" t="s">
        <v>10838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</row>
    <row r="101" spans="1:59">
      <c r="A101" s="1">
        <f>HYPERLINK("https://lsnyc.legalserver.org/matter/dynamic-profile/view/1903738","19-1903738")</f>
        <v>0</v>
      </c>
      <c r="B101" t="s">
        <v>137</v>
      </c>
      <c r="C101" t="s">
        <v>5076</v>
      </c>
      <c r="D101" t="s">
        <v>9926</v>
      </c>
      <c r="E101" t="s">
        <v>10075</v>
      </c>
      <c r="F101">
        <v>10463</v>
      </c>
      <c r="G101" t="s">
        <v>10090</v>
      </c>
      <c r="H101" t="s">
        <v>10114</v>
      </c>
      <c r="I101" t="s">
        <v>10169</v>
      </c>
      <c r="J101" t="s">
        <v>10210</v>
      </c>
      <c r="K101" t="s">
        <v>10217</v>
      </c>
      <c r="M101" t="s">
        <v>10287</v>
      </c>
      <c r="N101" t="s">
        <v>10671</v>
      </c>
      <c r="P101" t="s">
        <v>10751</v>
      </c>
      <c r="Q101" t="s">
        <v>10761</v>
      </c>
      <c r="R101" t="s">
        <v>10821</v>
      </c>
      <c r="T101">
        <v>26000</v>
      </c>
      <c r="U101">
        <v>2166.67</v>
      </c>
      <c r="V101">
        <v>47</v>
      </c>
      <c r="W101">
        <v>3</v>
      </c>
      <c r="X101">
        <v>1</v>
      </c>
      <c r="Z101">
        <v>100.97</v>
      </c>
      <c r="AA101">
        <v>40.881387</v>
      </c>
      <c r="AB101">
        <v>-73.903999</v>
      </c>
      <c r="AD101" t="s">
        <v>10840</v>
      </c>
      <c r="AF101" t="s">
        <v>10843</v>
      </c>
      <c r="AG101" t="s">
        <v>10859</v>
      </c>
      <c r="AH101" t="s">
        <v>10862</v>
      </c>
      <c r="AI101">
        <v>230</v>
      </c>
      <c r="AJ101" t="s">
        <v>10210</v>
      </c>
      <c r="AL101">
        <v>1.75</v>
      </c>
      <c r="AM101" t="s">
        <v>10887</v>
      </c>
      <c r="AN101" t="s">
        <v>10919</v>
      </c>
      <c r="AO101" t="s">
        <v>11000</v>
      </c>
      <c r="AP101" t="s">
        <v>11057</v>
      </c>
      <c r="AR101" t="s">
        <v>11257</v>
      </c>
      <c r="AS101" t="s">
        <v>9926</v>
      </c>
      <c r="BA101" t="s">
        <v>11737</v>
      </c>
      <c r="BB101">
        <v>0</v>
      </c>
      <c r="BC101">
        <v>0</v>
      </c>
      <c r="BD101">
        <v>0</v>
      </c>
      <c r="BE101">
        <v>0</v>
      </c>
      <c r="BF101">
        <v>3</v>
      </c>
      <c r="BG101">
        <v>0</v>
      </c>
    </row>
    <row r="102" spans="1:59">
      <c r="A102" s="1">
        <f>HYPERLINK("https://lsnyc.legalserver.org/matter/dynamic-profile/view/1903739","19-1903739")</f>
        <v>0</v>
      </c>
      <c r="B102" t="s">
        <v>149</v>
      </c>
      <c r="C102" t="s">
        <v>5088</v>
      </c>
      <c r="D102" t="s">
        <v>9926</v>
      </c>
      <c r="E102" t="s">
        <v>10075</v>
      </c>
      <c r="F102">
        <v>10460</v>
      </c>
      <c r="G102" t="s">
        <v>10090</v>
      </c>
      <c r="H102" t="s">
        <v>10114</v>
      </c>
      <c r="I102" t="s">
        <v>10168</v>
      </c>
      <c r="J102" t="s">
        <v>10210</v>
      </c>
      <c r="K102" t="s">
        <v>10218</v>
      </c>
      <c r="L102" t="s">
        <v>10119</v>
      </c>
      <c r="M102" t="s">
        <v>10281</v>
      </c>
      <c r="N102" t="s">
        <v>10666</v>
      </c>
      <c r="P102" t="s">
        <v>10749</v>
      </c>
      <c r="Q102" t="s">
        <v>10765</v>
      </c>
      <c r="R102" t="s">
        <v>10823</v>
      </c>
      <c r="T102">
        <v>5044</v>
      </c>
      <c r="U102">
        <v>420.33</v>
      </c>
      <c r="V102">
        <v>47</v>
      </c>
      <c r="W102">
        <v>1</v>
      </c>
      <c r="X102">
        <v>2</v>
      </c>
      <c r="Y102" t="s">
        <v>10830</v>
      </c>
      <c r="Z102">
        <v>23.65</v>
      </c>
      <c r="AA102">
        <v>40.846284</v>
      </c>
      <c r="AB102">
        <v>-73.884609</v>
      </c>
      <c r="AD102" t="s">
        <v>10839</v>
      </c>
      <c r="AG102" t="s">
        <v>10858</v>
      </c>
      <c r="AH102" t="s">
        <v>10862</v>
      </c>
      <c r="AI102">
        <v>230</v>
      </c>
      <c r="AJ102" t="s">
        <v>10210</v>
      </c>
      <c r="AK102" t="s">
        <v>10838</v>
      </c>
      <c r="AL102">
        <v>3.1</v>
      </c>
      <c r="AM102" t="s">
        <v>10884</v>
      </c>
      <c r="AN102" t="s">
        <v>10918</v>
      </c>
      <c r="AO102" t="s">
        <v>11000</v>
      </c>
      <c r="AP102" t="s">
        <v>11056</v>
      </c>
      <c r="AR102" t="s">
        <v>11255</v>
      </c>
      <c r="AS102" t="s">
        <v>9926</v>
      </c>
      <c r="AT102" t="s">
        <v>11641</v>
      </c>
      <c r="AY102" t="s">
        <v>10830</v>
      </c>
      <c r="AZ102" t="s">
        <v>11681</v>
      </c>
      <c r="BA102" t="s">
        <v>11740</v>
      </c>
      <c r="BB102">
        <v>0</v>
      </c>
      <c r="BC102">
        <v>0</v>
      </c>
      <c r="BD102">
        <v>0</v>
      </c>
      <c r="BE102">
        <v>0</v>
      </c>
      <c r="BF102">
        <v>2</v>
      </c>
      <c r="BG102">
        <v>0</v>
      </c>
    </row>
    <row r="103" spans="1:59">
      <c r="A103" s="1">
        <f>HYPERLINK("https://lsnyc.legalserver.org/matter/dynamic-profile/view/1903740","19-1903740")</f>
        <v>0</v>
      </c>
      <c r="B103" t="s">
        <v>150</v>
      </c>
      <c r="C103" t="s">
        <v>5089</v>
      </c>
      <c r="D103" t="s">
        <v>9928</v>
      </c>
      <c r="E103" t="s">
        <v>10075</v>
      </c>
      <c r="F103">
        <v>11236</v>
      </c>
      <c r="G103" t="s">
        <v>10093</v>
      </c>
      <c r="H103" t="s">
        <v>10114</v>
      </c>
      <c r="J103" t="s">
        <v>10213</v>
      </c>
      <c r="K103" t="s">
        <v>10218</v>
      </c>
      <c r="L103" t="s">
        <v>10123</v>
      </c>
      <c r="M103" t="s">
        <v>10247</v>
      </c>
      <c r="N103" t="s">
        <v>10676</v>
      </c>
      <c r="P103" t="s">
        <v>10754</v>
      </c>
      <c r="Q103" t="s">
        <v>10775</v>
      </c>
      <c r="R103" t="s">
        <v>10824</v>
      </c>
      <c r="T103">
        <v>27040</v>
      </c>
      <c r="U103">
        <v>2253.33</v>
      </c>
      <c r="V103">
        <v>53</v>
      </c>
      <c r="W103">
        <v>3</v>
      </c>
      <c r="X103">
        <v>0</v>
      </c>
      <c r="Y103" t="s">
        <v>10829</v>
      </c>
      <c r="Z103">
        <v>126.77</v>
      </c>
      <c r="AA103">
        <v>40.644791</v>
      </c>
      <c r="AB103">
        <v>-73.89502</v>
      </c>
      <c r="AD103" t="s">
        <v>10839</v>
      </c>
      <c r="AG103" t="s">
        <v>10858</v>
      </c>
      <c r="AH103" t="s">
        <v>10865</v>
      </c>
      <c r="AI103">
        <v>239</v>
      </c>
      <c r="AJ103" t="s">
        <v>10213</v>
      </c>
      <c r="AK103" t="s">
        <v>10837</v>
      </c>
      <c r="AL103">
        <v>1</v>
      </c>
      <c r="AM103" t="s">
        <v>10889</v>
      </c>
      <c r="AN103" t="s">
        <v>10925</v>
      </c>
      <c r="AO103" t="s">
        <v>11012</v>
      </c>
      <c r="AP103" t="s">
        <v>11072</v>
      </c>
      <c r="AR103" t="s">
        <v>11257</v>
      </c>
      <c r="AS103" t="s">
        <v>11595</v>
      </c>
      <c r="AY103" t="s">
        <v>10829</v>
      </c>
      <c r="AZ103" t="s">
        <v>11683</v>
      </c>
      <c r="BA103" t="s">
        <v>11741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0</v>
      </c>
    </row>
    <row r="104" spans="1:59">
      <c r="A104" s="1">
        <f>HYPERLINK("https://lsnyc.legalserver.org/matter/dynamic-profile/view/1903741","19-1903741")</f>
        <v>0</v>
      </c>
      <c r="B104" t="s">
        <v>151</v>
      </c>
      <c r="C104" t="s">
        <v>5090</v>
      </c>
      <c r="D104" t="s">
        <v>9928</v>
      </c>
      <c r="E104" t="s">
        <v>10075</v>
      </c>
      <c r="F104">
        <v>11226</v>
      </c>
      <c r="G104" t="s">
        <v>10093</v>
      </c>
      <c r="H104" t="s">
        <v>10114</v>
      </c>
      <c r="I104" t="s">
        <v>10168</v>
      </c>
      <c r="J104" t="s">
        <v>10213</v>
      </c>
      <c r="K104" t="s">
        <v>10218</v>
      </c>
      <c r="L104" t="s">
        <v>10129</v>
      </c>
      <c r="M104" t="s">
        <v>10264</v>
      </c>
      <c r="N104" t="s">
        <v>10667</v>
      </c>
      <c r="P104" t="s">
        <v>10749</v>
      </c>
      <c r="Q104" t="s">
        <v>10765</v>
      </c>
      <c r="R104" t="s">
        <v>10822</v>
      </c>
      <c r="T104">
        <v>27000</v>
      </c>
      <c r="U104">
        <v>2250</v>
      </c>
      <c r="V104">
        <v>31</v>
      </c>
      <c r="W104">
        <v>2</v>
      </c>
      <c r="X104">
        <v>2</v>
      </c>
      <c r="Y104" t="s">
        <v>10829</v>
      </c>
      <c r="Z104">
        <v>104.85</v>
      </c>
      <c r="AA104">
        <v>40.652427</v>
      </c>
      <c r="AB104">
        <v>-73.948115</v>
      </c>
      <c r="AD104" t="s">
        <v>10822</v>
      </c>
      <c r="AG104" t="s">
        <v>10858</v>
      </c>
      <c r="AH104" t="s">
        <v>10862</v>
      </c>
      <c r="AI104">
        <v>239</v>
      </c>
      <c r="AJ104" t="s">
        <v>10213</v>
      </c>
      <c r="AK104" t="s">
        <v>10838</v>
      </c>
      <c r="AL104">
        <v>4</v>
      </c>
      <c r="AM104" t="s">
        <v>10888</v>
      </c>
      <c r="AN104" t="s">
        <v>10912</v>
      </c>
      <c r="AO104" t="s">
        <v>11005</v>
      </c>
      <c r="AP104" t="s">
        <v>11050</v>
      </c>
      <c r="AR104" t="s">
        <v>11287</v>
      </c>
      <c r="AS104" t="s">
        <v>11595</v>
      </c>
      <c r="AY104" t="s">
        <v>10829</v>
      </c>
      <c r="AZ104" t="s">
        <v>11681</v>
      </c>
      <c r="BA104" t="s">
        <v>11741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0</v>
      </c>
    </row>
    <row r="105" spans="1:59">
      <c r="A105" s="1">
        <f>HYPERLINK("https://lsnyc.legalserver.org/matter/dynamic-profile/view/1903742","19-1903742")</f>
        <v>0</v>
      </c>
      <c r="B105" t="s">
        <v>152</v>
      </c>
      <c r="C105" t="s">
        <v>5091</v>
      </c>
      <c r="D105" t="s">
        <v>9928</v>
      </c>
      <c r="E105" t="s">
        <v>10075</v>
      </c>
      <c r="F105">
        <v>11216</v>
      </c>
      <c r="G105" t="s">
        <v>10093</v>
      </c>
      <c r="H105" t="s">
        <v>10114</v>
      </c>
      <c r="I105" t="s">
        <v>10168</v>
      </c>
      <c r="J105" t="s">
        <v>10213</v>
      </c>
      <c r="K105" t="s">
        <v>10217</v>
      </c>
      <c r="M105" t="s">
        <v>10275</v>
      </c>
      <c r="N105" t="s">
        <v>10667</v>
      </c>
      <c r="P105" t="s">
        <v>10749</v>
      </c>
      <c r="Q105" t="s">
        <v>10765</v>
      </c>
      <c r="R105" t="s">
        <v>10824</v>
      </c>
      <c r="T105">
        <v>13368</v>
      </c>
      <c r="U105">
        <v>1114</v>
      </c>
      <c r="V105">
        <v>60</v>
      </c>
      <c r="W105">
        <v>1</v>
      </c>
      <c r="X105">
        <v>0</v>
      </c>
      <c r="Z105">
        <v>107.03</v>
      </c>
      <c r="AA105">
        <v>40.677349</v>
      </c>
      <c r="AB105">
        <v>-73.953019</v>
      </c>
      <c r="AD105" t="s">
        <v>10839</v>
      </c>
      <c r="AG105" t="s">
        <v>10858</v>
      </c>
      <c r="AH105" t="s">
        <v>10862</v>
      </c>
      <c r="AI105">
        <v>239</v>
      </c>
      <c r="AJ105" t="s">
        <v>10213</v>
      </c>
      <c r="AL105">
        <v>5.7</v>
      </c>
      <c r="AM105" t="s">
        <v>10889</v>
      </c>
      <c r="AN105" t="s">
        <v>10923</v>
      </c>
      <c r="AO105" t="s">
        <v>11007</v>
      </c>
      <c r="AP105" t="s">
        <v>11061</v>
      </c>
      <c r="AQ105" t="s">
        <v>11101</v>
      </c>
      <c r="AR105" t="s">
        <v>11253</v>
      </c>
      <c r="AS105" t="s">
        <v>11595</v>
      </c>
      <c r="BA105" t="s">
        <v>11738</v>
      </c>
      <c r="BB105">
        <v>0</v>
      </c>
      <c r="BC105">
        <v>0</v>
      </c>
      <c r="BD105">
        <v>0</v>
      </c>
      <c r="BE105">
        <v>0</v>
      </c>
      <c r="BF105">
        <v>5</v>
      </c>
      <c r="BG105">
        <v>0</v>
      </c>
    </row>
    <row r="106" spans="1:59">
      <c r="A106" s="1">
        <f>HYPERLINK("https://lsnyc.legalserver.org/matter/dynamic-profile/view/1903743","19-1903743")</f>
        <v>0</v>
      </c>
      <c r="B106" t="s">
        <v>153</v>
      </c>
      <c r="C106" t="s">
        <v>5092</v>
      </c>
      <c r="D106" t="s">
        <v>9928</v>
      </c>
      <c r="E106" t="s">
        <v>10075</v>
      </c>
      <c r="F106">
        <v>11216</v>
      </c>
      <c r="G106" t="s">
        <v>10091</v>
      </c>
      <c r="H106" t="s">
        <v>10114</v>
      </c>
      <c r="I106" t="s">
        <v>10168</v>
      </c>
      <c r="J106" t="s">
        <v>10211</v>
      </c>
      <c r="K106" t="s">
        <v>10217</v>
      </c>
      <c r="M106" t="s">
        <v>10231</v>
      </c>
      <c r="N106" t="s">
        <v>10647</v>
      </c>
      <c r="P106" t="s">
        <v>10752</v>
      </c>
      <c r="Q106" t="s">
        <v>10762</v>
      </c>
      <c r="R106" t="s">
        <v>10823</v>
      </c>
      <c r="T106">
        <v>10092</v>
      </c>
      <c r="U106">
        <v>841</v>
      </c>
      <c r="V106">
        <v>41</v>
      </c>
      <c r="W106">
        <v>1</v>
      </c>
      <c r="X106">
        <v>3</v>
      </c>
      <c r="Z106">
        <v>39.19</v>
      </c>
      <c r="AA106">
        <v>40.687844</v>
      </c>
      <c r="AB106">
        <v>-73.948666</v>
      </c>
      <c r="AD106" t="s">
        <v>10839</v>
      </c>
      <c r="AG106" t="s">
        <v>10858</v>
      </c>
      <c r="AH106" t="s">
        <v>10861</v>
      </c>
      <c r="AI106">
        <v>234</v>
      </c>
      <c r="AJ106" t="s">
        <v>10214</v>
      </c>
      <c r="AL106">
        <v>4</v>
      </c>
      <c r="AM106" t="s">
        <v>10889</v>
      </c>
      <c r="AN106" t="s">
        <v>10914</v>
      </c>
      <c r="AO106" t="s">
        <v>11007</v>
      </c>
      <c r="AP106" t="s">
        <v>11052</v>
      </c>
      <c r="AQ106" t="s">
        <v>11110</v>
      </c>
      <c r="AR106" t="s">
        <v>11255</v>
      </c>
      <c r="AS106" t="s">
        <v>11595</v>
      </c>
      <c r="AT106" t="s">
        <v>11641</v>
      </c>
      <c r="AX106" t="s">
        <v>10838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</row>
    <row r="107" spans="1:59">
      <c r="A107" s="1">
        <f>HYPERLINK("https://lsnyc.legalserver.org/matter/dynamic-profile/view/1903745","19-1903745")</f>
        <v>0</v>
      </c>
      <c r="B107" t="s">
        <v>130</v>
      </c>
      <c r="C107" t="s">
        <v>5069</v>
      </c>
      <c r="D107" t="s">
        <v>9926</v>
      </c>
      <c r="E107" t="s">
        <v>10075</v>
      </c>
      <c r="F107">
        <v>10468</v>
      </c>
      <c r="G107" t="s">
        <v>10090</v>
      </c>
      <c r="H107" t="s">
        <v>10114</v>
      </c>
      <c r="I107" t="s">
        <v>10169</v>
      </c>
      <c r="J107" t="s">
        <v>10210</v>
      </c>
      <c r="K107" t="s">
        <v>10217</v>
      </c>
      <c r="M107" t="s">
        <v>10287</v>
      </c>
      <c r="N107" t="s">
        <v>10677</v>
      </c>
      <c r="P107" t="s">
        <v>10751</v>
      </c>
      <c r="Q107" t="s">
        <v>10761</v>
      </c>
      <c r="R107" t="s">
        <v>10821</v>
      </c>
      <c r="T107">
        <v>955</v>
      </c>
      <c r="U107">
        <v>79.58</v>
      </c>
      <c r="V107">
        <v>68</v>
      </c>
      <c r="W107">
        <v>1</v>
      </c>
      <c r="X107">
        <v>1</v>
      </c>
      <c r="Z107">
        <v>5.65</v>
      </c>
      <c r="AA107">
        <v>40.860682</v>
      </c>
      <c r="AB107">
        <v>-73.907144</v>
      </c>
      <c r="AD107" t="s">
        <v>10839</v>
      </c>
      <c r="AF107" t="s">
        <v>10843</v>
      </c>
      <c r="AG107" t="s">
        <v>10859</v>
      </c>
      <c r="AH107" t="s">
        <v>10862</v>
      </c>
      <c r="AI107">
        <v>230</v>
      </c>
      <c r="AJ107" t="s">
        <v>10210</v>
      </c>
      <c r="AL107">
        <v>1</v>
      </c>
      <c r="AM107" t="s">
        <v>10884</v>
      </c>
      <c r="AN107" t="s">
        <v>10931</v>
      </c>
      <c r="AO107" t="s">
        <v>11000</v>
      </c>
      <c r="AP107" t="s">
        <v>11045</v>
      </c>
      <c r="AR107" t="s">
        <v>11253</v>
      </c>
      <c r="AS107" t="s">
        <v>9926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</row>
    <row r="108" spans="1:59">
      <c r="A108" s="1">
        <f>HYPERLINK("https://lsnyc.legalserver.org/matter/dynamic-profile/view/1903746","19-1903746")</f>
        <v>0</v>
      </c>
      <c r="B108" t="s">
        <v>152</v>
      </c>
      <c r="C108" t="s">
        <v>5091</v>
      </c>
      <c r="D108" t="s">
        <v>9928</v>
      </c>
      <c r="E108" t="s">
        <v>10075</v>
      </c>
      <c r="F108">
        <v>11216</v>
      </c>
      <c r="G108" t="s">
        <v>10093</v>
      </c>
      <c r="H108" t="s">
        <v>10114</v>
      </c>
      <c r="I108" t="s">
        <v>10168</v>
      </c>
      <c r="J108" t="s">
        <v>10213</v>
      </c>
      <c r="K108" t="s">
        <v>10217</v>
      </c>
      <c r="M108" t="s">
        <v>10275</v>
      </c>
      <c r="N108" t="s">
        <v>10668</v>
      </c>
      <c r="P108" t="s">
        <v>10751</v>
      </c>
      <c r="Q108" t="s">
        <v>10761</v>
      </c>
      <c r="R108" t="s">
        <v>10824</v>
      </c>
      <c r="T108">
        <v>13368</v>
      </c>
      <c r="U108">
        <v>1114</v>
      </c>
      <c r="V108">
        <v>60</v>
      </c>
      <c r="W108">
        <v>1</v>
      </c>
      <c r="X108">
        <v>0</v>
      </c>
      <c r="Z108">
        <v>107.03</v>
      </c>
      <c r="AA108">
        <v>40.677349</v>
      </c>
      <c r="AB108">
        <v>-73.953019</v>
      </c>
      <c r="AD108" t="s">
        <v>10839</v>
      </c>
      <c r="AG108" t="s">
        <v>10858</v>
      </c>
      <c r="AH108" t="s">
        <v>10862</v>
      </c>
      <c r="AI108">
        <v>239</v>
      </c>
      <c r="AJ108" t="s">
        <v>10213</v>
      </c>
      <c r="AL108">
        <v>3.9</v>
      </c>
      <c r="AM108" t="s">
        <v>10889</v>
      </c>
      <c r="AN108" t="s">
        <v>10923</v>
      </c>
      <c r="AO108" t="s">
        <v>11007</v>
      </c>
      <c r="AP108" t="s">
        <v>11061</v>
      </c>
      <c r="AR108" t="s">
        <v>11253</v>
      </c>
      <c r="AS108" t="s">
        <v>11595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</row>
    <row r="109" spans="1:59">
      <c r="A109" s="1">
        <f>HYPERLINK("https://lsnyc.legalserver.org/matter/dynamic-profile/view/1903747","19-1903747")</f>
        <v>0</v>
      </c>
      <c r="B109" t="s">
        <v>154</v>
      </c>
      <c r="C109" t="s">
        <v>5093</v>
      </c>
      <c r="D109" t="s">
        <v>9925</v>
      </c>
      <c r="E109" t="s">
        <v>10075</v>
      </c>
      <c r="F109">
        <v>10031</v>
      </c>
      <c r="G109" t="s">
        <v>10089</v>
      </c>
      <c r="H109" t="s">
        <v>10114</v>
      </c>
      <c r="I109" t="s">
        <v>10169</v>
      </c>
      <c r="J109" t="s">
        <v>10209</v>
      </c>
      <c r="K109" t="s">
        <v>10217</v>
      </c>
      <c r="M109" t="s">
        <v>10288</v>
      </c>
      <c r="N109" t="s">
        <v>10665</v>
      </c>
      <c r="P109" t="s">
        <v>10750</v>
      </c>
      <c r="Q109" t="s">
        <v>10781</v>
      </c>
      <c r="R109" t="s">
        <v>10821</v>
      </c>
      <c r="T109">
        <v>7020</v>
      </c>
      <c r="U109">
        <v>585</v>
      </c>
      <c r="V109">
        <v>49</v>
      </c>
      <c r="W109">
        <v>1</v>
      </c>
      <c r="X109">
        <v>0</v>
      </c>
      <c r="Z109">
        <v>56.2</v>
      </c>
      <c r="AA109">
        <v>40.823131</v>
      </c>
      <c r="AB109">
        <v>-73.95184399999999</v>
      </c>
      <c r="AD109" t="s">
        <v>10840</v>
      </c>
      <c r="AF109" t="s">
        <v>10843</v>
      </c>
      <c r="AG109" t="s">
        <v>10859</v>
      </c>
      <c r="AH109" t="s">
        <v>10861</v>
      </c>
      <c r="AI109">
        <v>234</v>
      </c>
      <c r="AJ109" t="s">
        <v>10214</v>
      </c>
      <c r="AL109">
        <v>3.75</v>
      </c>
      <c r="AM109" t="s">
        <v>10887</v>
      </c>
      <c r="AN109" t="s">
        <v>10936</v>
      </c>
      <c r="AO109" t="s">
        <v>11019</v>
      </c>
      <c r="AP109" t="s">
        <v>11073</v>
      </c>
      <c r="AR109" t="s">
        <v>11257</v>
      </c>
      <c r="AS109" t="s">
        <v>9925</v>
      </c>
      <c r="AT109" t="s">
        <v>11642</v>
      </c>
      <c r="AX109" t="s">
        <v>10838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</row>
    <row r="110" spans="1:59">
      <c r="A110" s="1">
        <f>HYPERLINK("https://lsnyc.legalserver.org/matter/dynamic-profile/view/1903748","19-1903748")</f>
        <v>0</v>
      </c>
      <c r="B110" t="s">
        <v>155</v>
      </c>
      <c r="C110" t="s">
        <v>5094</v>
      </c>
      <c r="D110" t="s">
        <v>9929</v>
      </c>
      <c r="E110" t="s">
        <v>10075</v>
      </c>
      <c r="F110">
        <v>10302</v>
      </c>
      <c r="G110" t="s">
        <v>10093</v>
      </c>
      <c r="H110" t="s">
        <v>10114</v>
      </c>
      <c r="I110" t="s">
        <v>10168</v>
      </c>
      <c r="J110" t="s">
        <v>10213</v>
      </c>
      <c r="K110" t="s">
        <v>10218</v>
      </c>
      <c r="L110" t="s">
        <v>10102</v>
      </c>
      <c r="M110" t="s">
        <v>10289</v>
      </c>
      <c r="N110" t="s">
        <v>10671</v>
      </c>
      <c r="P110" t="s">
        <v>10751</v>
      </c>
      <c r="Q110" t="s">
        <v>10761</v>
      </c>
      <c r="R110" t="s">
        <v>10824</v>
      </c>
      <c r="T110">
        <v>4776</v>
      </c>
      <c r="U110">
        <v>398</v>
      </c>
      <c r="V110">
        <v>33</v>
      </c>
      <c r="W110">
        <v>1</v>
      </c>
      <c r="X110">
        <v>0</v>
      </c>
      <c r="Y110" t="s">
        <v>10830</v>
      </c>
      <c r="Z110">
        <v>38.24</v>
      </c>
      <c r="AA110">
        <v>40.62892</v>
      </c>
      <c r="AB110">
        <v>-74.144662</v>
      </c>
      <c r="AD110" t="s">
        <v>10840</v>
      </c>
      <c r="AG110" t="s">
        <v>10858</v>
      </c>
      <c r="AH110" t="s">
        <v>10861</v>
      </c>
      <c r="AI110">
        <v>234</v>
      </c>
      <c r="AJ110" t="s">
        <v>10214</v>
      </c>
      <c r="AK110" t="s">
        <v>10838</v>
      </c>
      <c r="AL110">
        <v>1.75</v>
      </c>
      <c r="AM110" t="s">
        <v>10883</v>
      </c>
      <c r="AN110" t="s">
        <v>10913</v>
      </c>
      <c r="AO110" t="s">
        <v>11006</v>
      </c>
      <c r="AP110" t="s">
        <v>11051</v>
      </c>
      <c r="AR110" t="s">
        <v>11255</v>
      </c>
      <c r="AS110" t="s">
        <v>11593</v>
      </c>
      <c r="AT110" t="s">
        <v>11642</v>
      </c>
      <c r="AX110" t="s">
        <v>10838</v>
      </c>
      <c r="AY110" t="s">
        <v>10830</v>
      </c>
      <c r="AZ110" t="s">
        <v>11682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</row>
    <row r="111" spans="1:59">
      <c r="A111" s="1">
        <f>HYPERLINK("https://lsnyc.legalserver.org/matter/dynamic-profile/view/1903749","19-1903749")</f>
        <v>0</v>
      </c>
      <c r="B111" t="s">
        <v>156</v>
      </c>
      <c r="C111" t="s">
        <v>5059</v>
      </c>
      <c r="D111" t="s">
        <v>9928</v>
      </c>
      <c r="E111" t="s">
        <v>10075</v>
      </c>
      <c r="F111">
        <v>11220</v>
      </c>
      <c r="G111" t="s">
        <v>10093</v>
      </c>
      <c r="H111" t="s">
        <v>10114</v>
      </c>
      <c r="I111" t="s">
        <v>10168</v>
      </c>
      <c r="J111" t="s">
        <v>10213</v>
      </c>
      <c r="K111" t="s">
        <v>10217</v>
      </c>
      <c r="M111" t="s">
        <v>10263</v>
      </c>
      <c r="N111" t="s">
        <v>10650</v>
      </c>
      <c r="O111" t="s">
        <v>10653</v>
      </c>
      <c r="P111" t="s">
        <v>10749</v>
      </c>
      <c r="Q111" t="s">
        <v>10765</v>
      </c>
      <c r="R111" t="s">
        <v>10821</v>
      </c>
      <c r="T111">
        <v>16800</v>
      </c>
      <c r="U111">
        <v>1400</v>
      </c>
      <c r="V111">
        <v>39</v>
      </c>
      <c r="W111">
        <v>2</v>
      </c>
      <c r="X111">
        <v>0</v>
      </c>
      <c r="Z111">
        <v>99.34999999999999</v>
      </c>
      <c r="AA111">
        <v>40.645461</v>
      </c>
      <c r="AB111">
        <v>-74.002331</v>
      </c>
      <c r="AD111" t="s">
        <v>10840</v>
      </c>
      <c r="AG111" t="s">
        <v>10858</v>
      </c>
      <c r="AH111" t="s">
        <v>10862</v>
      </c>
      <c r="AI111">
        <v>239</v>
      </c>
      <c r="AJ111" t="s">
        <v>10213</v>
      </c>
      <c r="AL111">
        <v>0.7</v>
      </c>
      <c r="AM111" t="s">
        <v>10886</v>
      </c>
      <c r="AN111" t="s">
        <v>10921</v>
      </c>
      <c r="AO111" t="s">
        <v>11015</v>
      </c>
      <c r="AP111" t="s">
        <v>11069</v>
      </c>
      <c r="AR111" t="s">
        <v>11288</v>
      </c>
      <c r="AS111" t="s">
        <v>11595</v>
      </c>
      <c r="BA111" t="s">
        <v>11738</v>
      </c>
      <c r="BB111">
        <v>0</v>
      </c>
      <c r="BC111">
        <v>0</v>
      </c>
      <c r="BD111">
        <v>0</v>
      </c>
      <c r="BE111">
        <v>0</v>
      </c>
      <c r="BF111">
        <v>5</v>
      </c>
      <c r="BG111">
        <v>0</v>
      </c>
    </row>
    <row r="112" spans="1:59">
      <c r="A112" s="1">
        <f>HYPERLINK("https://lsnyc.legalserver.org/matter/dynamic-profile/view/1903750","19-1903750")</f>
        <v>0</v>
      </c>
      <c r="B112" t="s">
        <v>157</v>
      </c>
      <c r="C112" t="s">
        <v>5095</v>
      </c>
      <c r="D112" t="s">
        <v>9925</v>
      </c>
      <c r="E112" t="s">
        <v>10075</v>
      </c>
      <c r="F112">
        <v>10034</v>
      </c>
      <c r="G112" t="s">
        <v>10091</v>
      </c>
      <c r="H112" t="s">
        <v>10114</v>
      </c>
      <c r="I112" t="s">
        <v>10169</v>
      </c>
      <c r="J112" t="s">
        <v>10211</v>
      </c>
      <c r="K112" t="s">
        <v>10217</v>
      </c>
      <c r="M112" t="s">
        <v>10231</v>
      </c>
      <c r="N112" t="s">
        <v>10647</v>
      </c>
      <c r="P112" t="s">
        <v>10752</v>
      </c>
      <c r="Q112" t="s">
        <v>10762</v>
      </c>
      <c r="R112" t="s">
        <v>10821</v>
      </c>
      <c r="T112">
        <v>2736</v>
      </c>
      <c r="U112">
        <v>228</v>
      </c>
      <c r="V112">
        <v>45</v>
      </c>
      <c r="W112">
        <v>1</v>
      </c>
      <c r="X112">
        <v>0</v>
      </c>
      <c r="Z112">
        <v>21.91</v>
      </c>
      <c r="AA112">
        <v>40.866048</v>
      </c>
      <c r="AB112">
        <v>-73.92362799999999</v>
      </c>
      <c r="AD112" t="s">
        <v>10839</v>
      </c>
      <c r="AG112" t="s">
        <v>10858</v>
      </c>
      <c r="AH112" t="s">
        <v>10861</v>
      </c>
      <c r="AI112">
        <v>234</v>
      </c>
      <c r="AJ112" t="s">
        <v>10214</v>
      </c>
      <c r="AL112">
        <v>0.7</v>
      </c>
      <c r="AM112" t="s">
        <v>10887</v>
      </c>
      <c r="AN112" t="s">
        <v>10937</v>
      </c>
      <c r="AO112" t="s">
        <v>11019</v>
      </c>
      <c r="AP112" t="s">
        <v>11074</v>
      </c>
      <c r="AR112" t="s">
        <v>11257</v>
      </c>
      <c r="AS112" t="s">
        <v>9925</v>
      </c>
      <c r="AT112" t="s">
        <v>11641</v>
      </c>
      <c r="AX112" t="s">
        <v>10838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</row>
    <row r="113" spans="1:59">
      <c r="A113" s="1">
        <f>HYPERLINK("https://lsnyc.legalserver.org/matter/dynamic-profile/view/1903751","19-1903751")</f>
        <v>0</v>
      </c>
      <c r="B113" t="s">
        <v>158</v>
      </c>
      <c r="C113" t="s">
        <v>5096</v>
      </c>
      <c r="D113" t="s">
        <v>9928</v>
      </c>
      <c r="E113" t="s">
        <v>10075</v>
      </c>
      <c r="F113">
        <v>11212</v>
      </c>
      <c r="G113" t="s">
        <v>10093</v>
      </c>
      <c r="H113" t="s">
        <v>10114</v>
      </c>
      <c r="I113" t="s">
        <v>10168</v>
      </c>
      <c r="J113" t="s">
        <v>10213</v>
      </c>
      <c r="K113" t="s">
        <v>10217</v>
      </c>
      <c r="M113" t="s">
        <v>10290</v>
      </c>
      <c r="N113" t="s">
        <v>10665</v>
      </c>
      <c r="P113" t="s">
        <v>10751</v>
      </c>
      <c r="Q113" t="s">
        <v>10773</v>
      </c>
      <c r="R113" t="s">
        <v>10824</v>
      </c>
      <c r="T113">
        <v>0</v>
      </c>
      <c r="U113">
        <v>0</v>
      </c>
      <c r="V113">
        <v>42</v>
      </c>
      <c r="W113">
        <v>1</v>
      </c>
      <c r="X113">
        <v>0</v>
      </c>
      <c r="Z113">
        <v>0</v>
      </c>
      <c r="AA113">
        <v>40.662716</v>
      </c>
      <c r="AB113">
        <v>-73.903415</v>
      </c>
      <c r="AD113" t="s">
        <v>10840</v>
      </c>
      <c r="AG113" t="s">
        <v>10858</v>
      </c>
      <c r="AH113" t="s">
        <v>10861</v>
      </c>
      <c r="AI113">
        <v>234</v>
      </c>
      <c r="AJ113" t="s">
        <v>10214</v>
      </c>
      <c r="AL113">
        <v>2.85</v>
      </c>
      <c r="AM113" t="s">
        <v>10888</v>
      </c>
      <c r="AN113" t="s">
        <v>10922</v>
      </c>
      <c r="AO113" t="s">
        <v>11012</v>
      </c>
      <c r="AP113" t="s">
        <v>11060</v>
      </c>
      <c r="AR113" t="s">
        <v>11267</v>
      </c>
      <c r="AS113" t="s">
        <v>11595</v>
      </c>
      <c r="AT113" t="s">
        <v>11642</v>
      </c>
      <c r="AX113" t="s">
        <v>10838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</row>
    <row r="114" spans="1:59">
      <c r="A114" s="1">
        <f>HYPERLINK("https://lsnyc.legalserver.org/matter/dynamic-profile/view/1903752","19-1903752")</f>
        <v>0</v>
      </c>
      <c r="B114" t="s">
        <v>159</v>
      </c>
      <c r="C114" t="s">
        <v>5097</v>
      </c>
      <c r="D114" t="s">
        <v>9928</v>
      </c>
      <c r="E114" t="s">
        <v>10075</v>
      </c>
      <c r="F114">
        <v>11226</v>
      </c>
      <c r="G114" t="s">
        <v>10093</v>
      </c>
      <c r="H114" t="s">
        <v>10114</v>
      </c>
      <c r="I114" t="s">
        <v>10168</v>
      </c>
      <c r="J114" t="s">
        <v>10213</v>
      </c>
      <c r="K114" t="s">
        <v>10217</v>
      </c>
      <c r="M114" t="s">
        <v>10291</v>
      </c>
      <c r="N114" t="s">
        <v>10667</v>
      </c>
      <c r="P114" t="s">
        <v>10749</v>
      </c>
      <c r="Q114" t="s">
        <v>10765</v>
      </c>
      <c r="R114" t="s">
        <v>10823</v>
      </c>
      <c r="T114">
        <v>10400</v>
      </c>
      <c r="U114">
        <v>866.67</v>
      </c>
      <c r="V114">
        <v>23</v>
      </c>
      <c r="W114">
        <v>1</v>
      </c>
      <c r="X114">
        <v>0</v>
      </c>
      <c r="Z114">
        <v>83.27</v>
      </c>
      <c r="AA114">
        <v>40.643464</v>
      </c>
      <c r="AB114">
        <v>-73.95338700000001</v>
      </c>
      <c r="AD114" t="s">
        <v>10839</v>
      </c>
      <c r="AG114" t="s">
        <v>10858</v>
      </c>
      <c r="AH114" t="s">
        <v>10862</v>
      </c>
      <c r="AI114">
        <v>239</v>
      </c>
      <c r="AJ114" t="s">
        <v>10213</v>
      </c>
      <c r="AL114">
        <v>7.6</v>
      </c>
      <c r="AM114" t="s">
        <v>10888</v>
      </c>
      <c r="AN114" t="s">
        <v>10932</v>
      </c>
      <c r="AO114" t="s">
        <v>11008</v>
      </c>
      <c r="AP114" t="s">
        <v>11050</v>
      </c>
      <c r="AR114" t="s">
        <v>11257</v>
      </c>
      <c r="AS114" t="s">
        <v>11595</v>
      </c>
      <c r="BA114" t="s">
        <v>11738</v>
      </c>
      <c r="BB114">
        <v>0</v>
      </c>
      <c r="BC114">
        <v>0</v>
      </c>
      <c r="BD114">
        <v>0</v>
      </c>
      <c r="BE114">
        <v>0</v>
      </c>
      <c r="BF114">
        <v>5</v>
      </c>
      <c r="BG114">
        <v>0</v>
      </c>
    </row>
    <row r="115" spans="1:59">
      <c r="A115" s="1">
        <f>HYPERLINK("https://lsnyc.legalserver.org/matter/dynamic-profile/view/1903753","19-1903753")</f>
        <v>0</v>
      </c>
      <c r="B115" t="s">
        <v>160</v>
      </c>
      <c r="C115" t="s">
        <v>5098</v>
      </c>
      <c r="D115" t="s">
        <v>9926</v>
      </c>
      <c r="E115" t="s">
        <v>10075</v>
      </c>
      <c r="F115">
        <v>10467</v>
      </c>
      <c r="G115" t="s">
        <v>10091</v>
      </c>
      <c r="H115" t="s">
        <v>10114</v>
      </c>
      <c r="I115" t="s">
        <v>10168</v>
      </c>
      <c r="J115" t="s">
        <v>10214</v>
      </c>
      <c r="K115" t="s">
        <v>10218</v>
      </c>
      <c r="L115" t="s">
        <v>10124</v>
      </c>
      <c r="M115" t="s">
        <v>10292</v>
      </c>
      <c r="N115" t="s">
        <v>10675</v>
      </c>
      <c r="P115" t="s">
        <v>10754</v>
      </c>
      <c r="Q115" t="s">
        <v>10770</v>
      </c>
      <c r="R115" t="s">
        <v>10821</v>
      </c>
      <c r="T115">
        <v>44400</v>
      </c>
      <c r="U115">
        <v>3700</v>
      </c>
      <c r="V115">
        <v>29</v>
      </c>
      <c r="W115">
        <v>1</v>
      </c>
      <c r="X115">
        <v>0</v>
      </c>
      <c r="Y115" t="s">
        <v>10829</v>
      </c>
      <c r="Z115">
        <v>355.48</v>
      </c>
      <c r="AA115">
        <v>40.873035</v>
      </c>
      <c r="AB115">
        <v>-73.879853</v>
      </c>
      <c r="AC115" t="s">
        <v>10837</v>
      </c>
      <c r="AD115" t="s">
        <v>10840</v>
      </c>
      <c r="AG115" t="s">
        <v>10858</v>
      </c>
      <c r="AH115" t="s">
        <v>10872</v>
      </c>
      <c r="AI115">
        <v>234</v>
      </c>
      <c r="AJ115" t="s">
        <v>10214</v>
      </c>
      <c r="AK115" t="s">
        <v>10882</v>
      </c>
      <c r="AL115">
        <v>0.1</v>
      </c>
      <c r="AM115" t="s">
        <v>10887</v>
      </c>
      <c r="AN115" t="s">
        <v>10938</v>
      </c>
      <c r="AO115" t="s">
        <v>11010</v>
      </c>
      <c r="AP115" t="s">
        <v>11057</v>
      </c>
      <c r="AQ115" t="s">
        <v>11111</v>
      </c>
      <c r="AR115" t="s">
        <v>11257</v>
      </c>
      <c r="AS115" t="s">
        <v>9926</v>
      </c>
      <c r="AT115" t="s">
        <v>11642</v>
      </c>
      <c r="AX115" t="s">
        <v>10838</v>
      </c>
      <c r="AY115" t="s">
        <v>10829</v>
      </c>
      <c r="AZ115" t="s">
        <v>11683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</row>
    <row r="116" spans="1:59">
      <c r="A116" s="1">
        <f>HYPERLINK("https://lsnyc.legalserver.org/matter/dynamic-profile/view/1903754","19-1903754")</f>
        <v>0</v>
      </c>
      <c r="B116" t="s">
        <v>161</v>
      </c>
      <c r="C116" t="s">
        <v>5099</v>
      </c>
      <c r="D116" t="s">
        <v>9928</v>
      </c>
      <c r="E116" t="s">
        <v>10075</v>
      </c>
      <c r="F116">
        <v>11206</v>
      </c>
      <c r="G116" t="s">
        <v>10093</v>
      </c>
      <c r="H116" t="s">
        <v>10114</v>
      </c>
      <c r="I116" t="s">
        <v>10168</v>
      </c>
      <c r="J116" t="s">
        <v>10213</v>
      </c>
      <c r="K116" t="s">
        <v>10217</v>
      </c>
      <c r="M116" t="s">
        <v>10293</v>
      </c>
      <c r="N116" t="s">
        <v>10644</v>
      </c>
      <c r="P116" t="s">
        <v>10749</v>
      </c>
      <c r="Q116" t="s">
        <v>10767</v>
      </c>
      <c r="R116" t="s">
        <v>10824</v>
      </c>
      <c r="T116">
        <v>8934.6</v>
      </c>
      <c r="U116">
        <v>744.55</v>
      </c>
      <c r="V116">
        <v>68</v>
      </c>
      <c r="W116">
        <v>1</v>
      </c>
      <c r="X116">
        <v>0</v>
      </c>
      <c r="Z116">
        <v>71.53</v>
      </c>
      <c r="AA116">
        <v>40.693466</v>
      </c>
      <c r="AB116">
        <v>-73.936553</v>
      </c>
      <c r="AD116" t="s">
        <v>10839</v>
      </c>
      <c r="AG116" t="s">
        <v>10858</v>
      </c>
      <c r="AH116" t="s">
        <v>10869</v>
      </c>
      <c r="AI116">
        <v>239</v>
      </c>
      <c r="AJ116" t="s">
        <v>10213</v>
      </c>
      <c r="AL116">
        <v>1.25</v>
      </c>
      <c r="AM116" t="s">
        <v>10889</v>
      </c>
      <c r="AN116" t="s">
        <v>10920</v>
      </c>
      <c r="AO116" t="s">
        <v>11011</v>
      </c>
      <c r="AP116" t="s">
        <v>11052</v>
      </c>
      <c r="AR116" t="s">
        <v>11289</v>
      </c>
      <c r="AS116" t="s">
        <v>11595</v>
      </c>
      <c r="AT116" t="s">
        <v>11641</v>
      </c>
      <c r="AW116" t="s">
        <v>11645</v>
      </c>
      <c r="BA116" t="s">
        <v>11742</v>
      </c>
      <c r="BB116">
        <v>0</v>
      </c>
      <c r="BC116">
        <v>0</v>
      </c>
      <c r="BD116">
        <v>0</v>
      </c>
      <c r="BE116">
        <v>0</v>
      </c>
      <c r="BF116">
        <v>7</v>
      </c>
      <c r="BG116">
        <v>0</v>
      </c>
    </row>
    <row r="117" spans="1:59">
      <c r="A117" s="1">
        <f>HYPERLINK("https://lsnyc.legalserver.org/matter/dynamic-profile/view/1903757","19-1903757")</f>
        <v>0</v>
      </c>
      <c r="B117" t="s">
        <v>162</v>
      </c>
      <c r="C117" t="s">
        <v>5100</v>
      </c>
      <c r="D117" t="s">
        <v>9928</v>
      </c>
      <c r="E117" t="s">
        <v>10075</v>
      </c>
      <c r="F117">
        <v>11222</v>
      </c>
      <c r="G117" t="s">
        <v>10093</v>
      </c>
      <c r="H117" t="s">
        <v>10114</v>
      </c>
      <c r="I117" t="s">
        <v>10168</v>
      </c>
      <c r="J117" t="s">
        <v>10213</v>
      </c>
      <c r="K117" t="s">
        <v>10217</v>
      </c>
      <c r="M117" t="s">
        <v>10256</v>
      </c>
      <c r="N117" t="s">
        <v>10644</v>
      </c>
      <c r="P117" t="s">
        <v>10749</v>
      </c>
      <c r="Q117" t="s">
        <v>10765</v>
      </c>
      <c r="R117" t="s">
        <v>10820</v>
      </c>
      <c r="T117">
        <v>12144</v>
      </c>
      <c r="U117">
        <v>1012</v>
      </c>
      <c r="V117">
        <v>71</v>
      </c>
      <c r="W117">
        <v>1</v>
      </c>
      <c r="X117">
        <v>0</v>
      </c>
      <c r="Z117">
        <v>97.23</v>
      </c>
      <c r="AA117">
        <v>40.724396</v>
      </c>
      <c r="AB117">
        <v>-73.941187</v>
      </c>
      <c r="AD117" t="s">
        <v>10840</v>
      </c>
      <c r="AG117" t="s">
        <v>10858</v>
      </c>
      <c r="AH117" t="s">
        <v>10869</v>
      </c>
      <c r="AI117">
        <v>239</v>
      </c>
      <c r="AJ117" t="s">
        <v>10213</v>
      </c>
      <c r="AL117">
        <v>1</v>
      </c>
      <c r="AM117" t="s">
        <v>10891</v>
      </c>
      <c r="AN117" t="s">
        <v>10939</v>
      </c>
      <c r="AO117" t="s">
        <v>11004</v>
      </c>
      <c r="AP117" t="s">
        <v>11054</v>
      </c>
      <c r="AR117" t="s">
        <v>11253</v>
      </c>
      <c r="AS117" t="s">
        <v>11595</v>
      </c>
      <c r="AT117" t="s">
        <v>11642</v>
      </c>
      <c r="AW117" t="s">
        <v>11666</v>
      </c>
      <c r="BA117" t="s">
        <v>11740</v>
      </c>
      <c r="BB117">
        <v>0</v>
      </c>
      <c r="BC117">
        <v>0</v>
      </c>
      <c r="BD117">
        <v>0</v>
      </c>
      <c r="BE117">
        <v>0</v>
      </c>
      <c r="BF117">
        <v>2</v>
      </c>
      <c r="BG117">
        <v>0</v>
      </c>
    </row>
    <row r="118" spans="1:59">
      <c r="A118" s="1">
        <f>HYPERLINK("https://lsnyc.legalserver.org/matter/dynamic-profile/view/1903758","19-1903758")</f>
        <v>0</v>
      </c>
      <c r="B118" t="s">
        <v>163</v>
      </c>
      <c r="C118" t="s">
        <v>5101</v>
      </c>
      <c r="D118" t="s">
        <v>9937</v>
      </c>
      <c r="E118" t="s">
        <v>10075</v>
      </c>
      <c r="F118">
        <v>11412</v>
      </c>
      <c r="G118" t="s">
        <v>10092</v>
      </c>
      <c r="H118" t="s">
        <v>10114</v>
      </c>
      <c r="I118" t="s">
        <v>10168</v>
      </c>
      <c r="J118" t="s">
        <v>10212</v>
      </c>
      <c r="K118" t="s">
        <v>10217</v>
      </c>
      <c r="M118" t="s">
        <v>10294</v>
      </c>
      <c r="N118" t="s">
        <v>10678</v>
      </c>
      <c r="P118" t="s">
        <v>10749</v>
      </c>
      <c r="Q118" t="s">
        <v>10769</v>
      </c>
      <c r="R118" t="s">
        <v>10824</v>
      </c>
      <c r="T118">
        <v>14400</v>
      </c>
      <c r="U118">
        <v>1200</v>
      </c>
      <c r="V118">
        <v>73</v>
      </c>
      <c r="W118">
        <v>4</v>
      </c>
      <c r="X118">
        <v>1</v>
      </c>
      <c r="Z118">
        <v>47.73</v>
      </c>
      <c r="AA118">
        <v>40.702552</v>
      </c>
      <c r="AB118">
        <v>-73.75911000000001</v>
      </c>
      <c r="AD118" t="s">
        <v>10840</v>
      </c>
      <c r="AF118" t="s">
        <v>10843</v>
      </c>
      <c r="AG118" t="s">
        <v>10859</v>
      </c>
      <c r="AH118" t="s">
        <v>10860</v>
      </c>
      <c r="AI118">
        <v>237</v>
      </c>
      <c r="AJ118" t="s">
        <v>10212</v>
      </c>
      <c r="AL118">
        <v>11</v>
      </c>
      <c r="AM118" t="s">
        <v>10892</v>
      </c>
      <c r="AN118" t="s">
        <v>10940</v>
      </c>
      <c r="AO118" t="s">
        <v>11020</v>
      </c>
      <c r="AP118" t="s">
        <v>11075</v>
      </c>
      <c r="AR118" t="s">
        <v>11268</v>
      </c>
      <c r="AS118" t="s">
        <v>11594</v>
      </c>
      <c r="AT118" t="s">
        <v>11642</v>
      </c>
      <c r="AV118" t="s">
        <v>11655</v>
      </c>
      <c r="AX118" t="s">
        <v>10838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</row>
    <row r="119" spans="1:59">
      <c r="A119" s="1">
        <f>HYPERLINK("https://lsnyc.legalserver.org/matter/dynamic-profile/view/1903760","19-1903760")</f>
        <v>0</v>
      </c>
      <c r="B119" t="s">
        <v>164</v>
      </c>
      <c r="C119" t="s">
        <v>5102</v>
      </c>
      <c r="D119" t="s">
        <v>9928</v>
      </c>
      <c r="E119" t="s">
        <v>10075</v>
      </c>
      <c r="F119">
        <v>11218</v>
      </c>
      <c r="G119" t="s">
        <v>10093</v>
      </c>
      <c r="H119" t="s">
        <v>10114</v>
      </c>
      <c r="I119" t="s">
        <v>10169</v>
      </c>
      <c r="J119" t="s">
        <v>10213</v>
      </c>
      <c r="K119" t="s">
        <v>10218</v>
      </c>
      <c r="L119" t="s">
        <v>10114</v>
      </c>
      <c r="M119" t="s">
        <v>10293</v>
      </c>
      <c r="N119" t="s">
        <v>10644</v>
      </c>
      <c r="P119" t="s">
        <v>10749</v>
      </c>
      <c r="Q119" t="s">
        <v>10765</v>
      </c>
      <c r="R119" t="s">
        <v>10823</v>
      </c>
      <c r="T119">
        <v>8640</v>
      </c>
      <c r="U119">
        <v>720</v>
      </c>
      <c r="V119">
        <v>71</v>
      </c>
      <c r="W119">
        <v>1</v>
      </c>
      <c r="X119">
        <v>0</v>
      </c>
      <c r="Y119" t="s">
        <v>10830</v>
      </c>
      <c r="Z119">
        <v>69.18000000000001</v>
      </c>
      <c r="AA119">
        <v>40.649222</v>
      </c>
      <c r="AB119">
        <v>-73.967978</v>
      </c>
      <c r="AD119" t="s">
        <v>10839</v>
      </c>
      <c r="AG119" t="s">
        <v>10858</v>
      </c>
      <c r="AH119" t="s">
        <v>10869</v>
      </c>
      <c r="AI119">
        <v>239</v>
      </c>
      <c r="AJ119" t="s">
        <v>10213</v>
      </c>
      <c r="AK119" t="s">
        <v>10838</v>
      </c>
      <c r="AL119">
        <v>1.25</v>
      </c>
      <c r="AM119" t="s">
        <v>10888</v>
      </c>
      <c r="AN119" t="s">
        <v>10932</v>
      </c>
      <c r="AO119" t="s">
        <v>11008</v>
      </c>
      <c r="AP119" t="s">
        <v>11050</v>
      </c>
      <c r="AR119" t="s">
        <v>11290</v>
      </c>
      <c r="AS119" t="s">
        <v>11595</v>
      </c>
      <c r="AT119" t="s">
        <v>11641</v>
      </c>
      <c r="AW119" t="s">
        <v>11645</v>
      </c>
      <c r="AY119" t="s">
        <v>10830</v>
      </c>
      <c r="AZ119" t="s">
        <v>11690</v>
      </c>
      <c r="BA119" t="s">
        <v>11740</v>
      </c>
      <c r="BB119">
        <v>0</v>
      </c>
      <c r="BC119">
        <v>0</v>
      </c>
      <c r="BD119">
        <v>0</v>
      </c>
      <c r="BE119">
        <v>0</v>
      </c>
      <c r="BF119">
        <v>2</v>
      </c>
      <c r="BG119">
        <v>0</v>
      </c>
    </row>
    <row r="120" spans="1:59">
      <c r="A120" s="1">
        <f>HYPERLINK("https://lsnyc.legalserver.org/matter/dynamic-profile/view/1903761","19-1903761")</f>
        <v>0</v>
      </c>
      <c r="B120" t="s">
        <v>165</v>
      </c>
      <c r="C120" t="s">
        <v>5103</v>
      </c>
      <c r="D120" t="s">
        <v>9938</v>
      </c>
      <c r="E120" t="s">
        <v>10075</v>
      </c>
      <c r="F120">
        <v>11432</v>
      </c>
      <c r="G120" t="s">
        <v>10092</v>
      </c>
      <c r="H120" t="s">
        <v>10114</v>
      </c>
      <c r="J120" t="s">
        <v>10212</v>
      </c>
      <c r="K120" t="s">
        <v>10217</v>
      </c>
      <c r="M120" t="s">
        <v>10295</v>
      </c>
      <c r="N120" t="s">
        <v>10669</v>
      </c>
      <c r="P120" t="s">
        <v>10754</v>
      </c>
      <c r="Q120" t="s">
        <v>10766</v>
      </c>
      <c r="R120" t="s">
        <v>10820</v>
      </c>
      <c r="T120">
        <v>24000</v>
      </c>
      <c r="U120">
        <v>2000</v>
      </c>
      <c r="V120">
        <v>51</v>
      </c>
      <c r="W120">
        <v>7</v>
      </c>
      <c r="X120">
        <v>2</v>
      </c>
      <c r="Z120">
        <v>50.16</v>
      </c>
      <c r="AA120">
        <v>0</v>
      </c>
      <c r="AB120">
        <v>0</v>
      </c>
      <c r="AD120" t="s">
        <v>10839</v>
      </c>
      <c r="AG120" t="s">
        <v>10858</v>
      </c>
      <c r="AH120" t="s">
        <v>10865</v>
      </c>
      <c r="AI120">
        <v>237</v>
      </c>
      <c r="AJ120" t="s">
        <v>10212</v>
      </c>
      <c r="AL120">
        <v>57.25</v>
      </c>
      <c r="AQ120" t="s">
        <v>11112</v>
      </c>
      <c r="AR120" t="s">
        <v>11257</v>
      </c>
      <c r="AS120" t="s">
        <v>11594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</row>
    <row r="121" spans="1:59">
      <c r="A121" s="1">
        <f>HYPERLINK("https://lsnyc.legalserver.org/matter/dynamic-profile/view/1903762","19-1903762")</f>
        <v>0</v>
      </c>
      <c r="B121" t="s">
        <v>166</v>
      </c>
      <c r="C121" t="s">
        <v>5104</v>
      </c>
      <c r="D121" t="s">
        <v>9926</v>
      </c>
      <c r="E121" t="s">
        <v>10075</v>
      </c>
      <c r="F121">
        <v>10456</v>
      </c>
      <c r="G121" t="s">
        <v>10090</v>
      </c>
      <c r="H121" t="s">
        <v>10114</v>
      </c>
      <c r="I121" t="s">
        <v>10169</v>
      </c>
      <c r="J121" t="s">
        <v>10210</v>
      </c>
      <c r="K121" t="s">
        <v>10217</v>
      </c>
      <c r="M121" t="s">
        <v>10296</v>
      </c>
      <c r="N121" t="s">
        <v>10679</v>
      </c>
      <c r="P121" t="s">
        <v>10754</v>
      </c>
      <c r="Q121" t="s">
        <v>10782</v>
      </c>
      <c r="R121" t="s">
        <v>10823</v>
      </c>
      <c r="T121">
        <v>15600</v>
      </c>
      <c r="U121">
        <v>1300</v>
      </c>
      <c r="V121">
        <v>16</v>
      </c>
      <c r="W121">
        <v>1</v>
      </c>
      <c r="X121">
        <v>1</v>
      </c>
      <c r="Z121">
        <v>92.25</v>
      </c>
      <c r="AA121">
        <v>40.834063</v>
      </c>
      <c r="AB121">
        <v>-73.91329</v>
      </c>
      <c r="AD121" t="s">
        <v>10840</v>
      </c>
      <c r="AF121" t="s">
        <v>10844</v>
      </c>
      <c r="AG121" t="s">
        <v>10859</v>
      </c>
      <c r="AH121" t="s">
        <v>10864</v>
      </c>
      <c r="AI121">
        <v>230</v>
      </c>
      <c r="AJ121" t="s">
        <v>10210</v>
      </c>
      <c r="AL121">
        <v>1.75</v>
      </c>
      <c r="AM121" t="s">
        <v>10884</v>
      </c>
      <c r="AN121" t="s">
        <v>10929</v>
      </c>
      <c r="AO121" t="s">
        <v>11001</v>
      </c>
      <c r="AP121" t="s">
        <v>11055</v>
      </c>
      <c r="AQ121" t="s">
        <v>11113</v>
      </c>
      <c r="AR121" t="s">
        <v>11257</v>
      </c>
      <c r="AS121" t="s">
        <v>9926</v>
      </c>
      <c r="AT121" t="s">
        <v>11642</v>
      </c>
      <c r="AV121" t="s">
        <v>11655</v>
      </c>
      <c r="AW121" t="s">
        <v>11666</v>
      </c>
      <c r="AX121" t="s">
        <v>10838</v>
      </c>
      <c r="BA121" t="s">
        <v>11742</v>
      </c>
      <c r="BB121">
        <v>0</v>
      </c>
      <c r="BC121">
        <v>0</v>
      </c>
      <c r="BD121">
        <v>0</v>
      </c>
      <c r="BE121">
        <v>0</v>
      </c>
      <c r="BF121">
        <v>7</v>
      </c>
      <c r="BG121">
        <v>0</v>
      </c>
    </row>
    <row r="122" spans="1:59">
      <c r="A122" s="1">
        <f>HYPERLINK("https://lsnyc.legalserver.org/matter/dynamic-profile/view/1903765","19-1903765")</f>
        <v>0</v>
      </c>
      <c r="B122" t="s">
        <v>167</v>
      </c>
      <c r="C122" t="s">
        <v>5105</v>
      </c>
      <c r="D122" t="s">
        <v>9928</v>
      </c>
      <c r="E122" t="s">
        <v>10075</v>
      </c>
      <c r="F122">
        <v>11210</v>
      </c>
      <c r="G122" t="s">
        <v>10093</v>
      </c>
      <c r="H122" t="s">
        <v>10114</v>
      </c>
      <c r="I122" t="s">
        <v>10168</v>
      </c>
      <c r="J122" t="s">
        <v>10213</v>
      </c>
      <c r="K122" t="s">
        <v>10217</v>
      </c>
      <c r="M122" t="s">
        <v>10256</v>
      </c>
      <c r="N122" t="s">
        <v>10680</v>
      </c>
      <c r="P122" t="s">
        <v>10749</v>
      </c>
      <c r="Q122" t="s">
        <v>10765</v>
      </c>
      <c r="R122" t="s">
        <v>10824</v>
      </c>
      <c r="T122">
        <v>9396</v>
      </c>
      <c r="U122">
        <v>783</v>
      </c>
      <c r="V122">
        <v>83</v>
      </c>
      <c r="W122">
        <v>1</v>
      </c>
      <c r="X122">
        <v>0</v>
      </c>
      <c r="Z122">
        <v>75.23</v>
      </c>
      <c r="AA122">
        <v>40.638261</v>
      </c>
      <c r="AB122">
        <v>-73.946167</v>
      </c>
      <c r="AD122" t="s">
        <v>10840</v>
      </c>
      <c r="AG122" t="s">
        <v>10858</v>
      </c>
      <c r="AH122" t="s">
        <v>10862</v>
      </c>
      <c r="AI122">
        <v>239</v>
      </c>
      <c r="AJ122" t="s">
        <v>10213</v>
      </c>
      <c r="AL122">
        <v>4</v>
      </c>
      <c r="AM122" t="s">
        <v>10888</v>
      </c>
      <c r="AN122" t="s">
        <v>10925</v>
      </c>
      <c r="AO122" t="s">
        <v>11008</v>
      </c>
      <c r="AP122" t="s">
        <v>11065</v>
      </c>
      <c r="AR122" t="s">
        <v>11268</v>
      </c>
      <c r="AS122" t="s">
        <v>11595</v>
      </c>
      <c r="BA122" t="s">
        <v>11738</v>
      </c>
      <c r="BB122">
        <v>0</v>
      </c>
      <c r="BC122">
        <v>0</v>
      </c>
      <c r="BD122">
        <v>0</v>
      </c>
      <c r="BE122">
        <v>0</v>
      </c>
      <c r="BF122">
        <v>5</v>
      </c>
      <c r="BG122">
        <v>0</v>
      </c>
    </row>
    <row r="123" spans="1:59">
      <c r="A123" s="1">
        <f>HYPERLINK("https://lsnyc.legalserver.org/matter/dynamic-profile/view/1903766","19-1903766")</f>
        <v>0</v>
      </c>
      <c r="B123" t="s">
        <v>168</v>
      </c>
      <c r="C123" t="s">
        <v>5106</v>
      </c>
      <c r="D123" t="s">
        <v>9926</v>
      </c>
      <c r="E123" t="s">
        <v>10075</v>
      </c>
      <c r="F123">
        <v>10453</v>
      </c>
      <c r="G123" t="s">
        <v>10090</v>
      </c>
      <c r="H123" t="s">
        <v>10114</v>
      </c>
      <c r="I123" t="s">
        <v>10168</v>
      </c>
      <c r="J123" t="s">
        <v>10210</v>
      </c>
      <c r="K123" t="s">
        <v>10217</v>
      </c>
      <c r="M123" t="s">
        <v>10297</v>
      </c>
      <c r="N123" t="s">
        <v>10666</v>
      </c>
      <c r="P123" t="s">
        <v>10749</v>
      </c>
      <c r="Q123" t="s">
        <v>10765</v>
      </c>
      <c r="R123" t="s">
        <v>10822</v>
      </c>
      <c r="T123">
        <v>10296</v>
      </c>
      <c r="U123">
        <v>858</v>
      </c>
      <c r="V123">
        <v>65</v>
      </c>
      <c r="W123">
        <v>1</v>
      </c>
      <c r="X123">
        <v>0</v>
      </c>
      <c r="Z123">
        <v>82.43000000000001</v>
      </c>
      <c r="AA123">
        <v>40.853437</v>
      </c>
      <c r="AB123">
        <v>-73.91014800000001</v>
      </c>
      <c r="AC123" t="s">
        <v>10837</v>
      </c>
      <c r="AD123" t="s">
        <v>10840</v>
      </c>
      <c r="AF123" t="s">
        <v>10843</v>
      </c>
      <c r="AG123" t="s">
        <v>10859</v>
      </c>
      <c r="AH123" t="s">
        <v>10862</v>
      </c>
      <c r="AI123">
        <v>230</v>
      </c>
      <c r="AJ123" t="s">
        <v>10210</v>
      </c>
      <c r="AL123">
        <v>16.3</v>
      </c>
      <c r="AM123" t="s">
        <v>10884</v>
      </c>
      <c r="AN123" t="s">
        <v>10931</v>
      </c>
      <c r="AO123" t="s">
        <v>11013</v>
      </c>
      <c r="AP123" t="s">
        <v>11045</v>
      </c>
      <c r="AR123" t="s">
        <v>11274</v>
      </c>
      <c r="AS123" t="s">
        <v>9926</v>
      </c>
      <c r="AX123" t="s">
        <v>10838</v>
      </c>
      <c r="BA123" t="s">
        <v>11738</v>
      </c>
      <c r="BB123">
        <v>0</v>
      </c>
      <c r="BC123">
        <v>0</v>
      </c>
      <c r="BD123">
        <v>0</v>
      </c>
      <c r="BE123">
        <v>0</v>
      </c>
      <c r="BF123">
        <v>5</v>
      </c>
      <c r="BG123">
        <v>0</v>
      </c>
    </row>
    <row r="124" spans="1:59">
      <c r="A124" s="1">
        <f>HYPERLINK("https://lsnyc.legalserver.org/matter/dynamic-profile/view/1903767","19-1903767")</f>
        <v>0</v>
      </c>
      <c r="B124" t="s">
        <v>169</v>
      </c>
      <c r="C124" t="s">
        <v>5107</v>
      </c>
      <c r="D124" t="s">
        <v>9928</v>
      </c>
      <c r="E124" t="s">
        <v>10075</v>
      </c>
      <c r="F124">
        <v>11218</v>
      </c>
      <c r="G124" t="s">
        <v>10093</v>
      </c>
      <c r="H124" t="s">
        <v>10114</v>
      </c>
      <c r="I124" t="s">
        <v>10168</v>
      </c>
      <c r="J124" t="s">
        <v>10213</v>
      </c>
      <c r="K124" t="s">
        <v>10217</v>
      </c>
      <c r="M124" t="s">
        <v>10293</v>
      </c>
      <c r="N124" t="s">
        <v>10644</v>
      </c>
      <c r="P124" t="s">
        <v>10749</v>
      </c>
      <c r="Q124" t="s">
        <v>10765</v>
      </c>
      <c r="R124" t="s">
        <v>10820</v>
      </c>
      <c r="T124">
        <v>2379</v>
      </c>
      <c r="U124">
        <v>198.25</v>
      </c>
      <c r="V124">
        <v>60</v>
      </c>
      <c r="W124">
        <v>1</v>
      </c>
      <c r="X124">
        <v>0</v>
      </c>
      <c r="Z124">
        <v>19.05</v>
      </c>
      <c r="AA124">
        <v>40.640914</v>
      </c>
      <c r="AB124">
        <v>-73.982739</v>
      </c>
      <c r="AD124" t="s">
        <v>10839</v>
      </c>
      <c r="AG124" t="s">
        <v>10858</v>
      </c>
      <c r="AH124" t="s">
        <v>10869</v>
      </c>
      <c r="AI124">
        <v>239</v>
      </c>
      <c r="AJ124" t="s">
        <v>10213</v>
      </c>
      <c r="AL124">
        <v>1.5</v>
      </c>
      <c r="AM124" t="s">
        <v>10894</v>
      </c>
      <c r="AN124" t="s">
        <v>10941</v>
      </c>
      <c r="AO124" t="s">
        <v>11008</v>
      </c>
      <c r="AP124" t="s">
        <v>11059</v>
      </c>
      <c r="AR124" t="s">
        <v>11291</v>
      </c>
      <c r="AS124" t="s">
        <v>11595</v>
      </c>
      <c r="AT124" t="s">
        <v>11641</v>
      </c>
      <c r="AW124" t="s">
        <v>11645</v>
      </c>
      <c r="BA124" t="s">
        <v>11742</v>
      </c>
      <c r="BB124">
        <v>0</v>
      </c>
      <c r="BC124">
        <v>0</v>
      </c>
      <c r="BD124">
        <v>0</v>
      </c>
      <c r="BE124">
        <v>0</v>
      </c>
      <c r="BF124">
        <v>7</v>
      </c>
      <c r="BG124">
        <v>0</v>
      </c>
    </row>
    <row r="125" spans="1:59">
      <c r="A125" s="1">
        <f>HYPERLINK("https://lsnyc.legalserver.org/matter/dynamic-profile/view/1903768","19-1903768")</f>
        <v>0</v>
      </c>
      <c r="B125" t="s">
        <v>170</v>
      </c>
      <c r="C125" t="s">
        <v>5108</v>
      </c>
      <c r="D125" t="s">
        <v>9928</v>
      </c>
      <c r="E125" t="s">
        <v>10075</v>
      </c>
      <c r="F125">
        <v>11207</v>
      </c>
      <c r="G125" t="s">
        <v>10093</v>
      </c>
      <c r="H125" t="s">
        <v>10114</v>
      </c>
      <c r="I125" t="s">
        <v>10168</v>
      </c>
      <c r="J125" t="s">
        <v>10213</v>
      </c>
      <c r="K125" t="s">
        <v>10217</v>
      </c>
      <c r="M125" t="s">
        <v>10298</v>
      </c>
      <c r="N125" t="s">
        <v>10650</v>
      </c>
      <c r="P125" t="s">
        <v>10749</v>
      </c>
      <c r="Q125" t="s">
        <v>10765</v>
      </c>
      <c r="R125" t="s">
        <v>10824</v>
      </c>
      <c r="T125">
        <v>24000</v>
      </c>
      <c r="U125">
        <v>2000</v>
      </c>
      <c r="V125">
        <v>28</v>
      </c>
      <c r="W125">
        <v>1</v>
      </c>
      <c r="X125">
        <v>2</v>
      </c>
      <c r="Z125">
        <v>112.52</v>
      </c>
      <c r="AA125">
        <v>40.672959</v>
      </c>
      <c r="AB125">
        <v>-73.897066</v>
      </c>
      <c r="AD125" t="s">
        <v>10839</v>
      </c>
      <c r="AG125" t="s">
        <v>10858</v>
      </c>
      <c r="AH125" t="s">
        <v>10862</v>
      </c>
      <c r="AI125">
        <v>239</v>
      </c>
      <c r="AJ125" t="s">
        <v>10213</v>
      </c>
      <c r="AL125">
        <v>7.05</v>
      </c>
      <c r="AM125" t="s">
        <v>10889</v>
      </c>
      <c r="AN125" t="s">
        <v>10922</v>
      </c>
      <c r="AO125" t="s">
        <v>11011</v>
      </c>
      <c r="AP125" t="s">
        <v>11058</v>
      </c>
      <c r="AQ125" t="s">
        <v>11101</v>
      </c>
      <c r="AR125" t="s">
        <v>11257</v>
      </c>
      <c r="AS125" t="s">
        <v>11595</v>
      </c>
      <c r="BA125" t="s">
        <v>11740</v>
      </c>
      <c r="BB125">
        <v>0</v>
      </c>
      <c r="BC125">
        <v>0</v>
      </c>
      <c r="BD125">
        <v>0</v>
      </c>
      <c r="BE125">
        <v>0</v>
      </c>
      <c r="BF125">
        <v>2</v>
      </c>
      <c r="BG125">
        <v>0</v>
      </c>
    </row>
    <row r="126" spans="1:59">
      <c r="A126" s="1">
        <f>HYPERLINK("https://lsnyc.legalserver.org/matter/dynamic-profile/view/1903769","19-1903769")</f>
        <v>0</v>
      </c>
      <c r="B126" t="s">
        <v>171</v>
      </c>
      <c r="C126" t="s">
        <v>5109</v>
      </c>
      <c r="D126" t="s">
        <v>9926</v>
      </c>
      <c r="E126" t="s">
        <v>10075</v>
      </c>
      <c r="F126">
        <v>10455</v>
      </c>
      <c r="G126" t="s">
        <v>10093</v>
      </c>
      <c r="H126" t="s">
        <v>10114</v>
      </c>
      <c r="I126" t="s">
        <v>10169</v>
      </c>
      <c r="J126" t="s">
        <v>10213</v>
      </c>
      <c r="K126" t="s">
        <v>10217</v>
      </c>
      <c r="M126" t="s">
        <v>10299</v>
      </c>
      <c r="N126" t="s">
        <v>10656</v>
      </c>
      <c r="P126" t="s">
        <v>10751</v>
      </c>
      <c r="Q126" t="s">
        <v>10768</v>
      </c>
      <c r="R126" t="s">
        <v>10821</v>
      </c>
      <c r="T126">
        <v>6302.66</v>
      </c>
      <c r="U126">
        <v>525.22</v>
      </c>
      <c r="V126">
        <v>55</v>
      </c>
      <c r="W126">
        <v>1</v>
      </c>
      <c r="X126">
        <v>0</v>
      </c>
      <c r="Z126">
        <v>50.46</v>
      </c>
      <c r="AA126">
        <v>40.813638</v>
      </c>
      <c r="AB126">
        <v>-73.906267</v>
      </c>
      <c r="AD126" t="s">
        <v>10839</v>
      </c>
      <c r="AG126" t="s">
        <v>10858</v>
      </c>
      <c r="AH126" t="s">
        <v>10866</v>
      </c>
      <c r="AI126">
        <v>234</v>
      </c>
      <c r="AJ126" t="s">
        <v>10214</v>
      </c>
      <c r="AL126">
        <v>28.55</v>
      </c>
      <c r="AM126" t="s">
        <v>10884</v>
      </c>
      <c r="AN126" t="s">
        <v>10924</v>
      </c>
      <c r="AO126" t="s">
        <v>11013</v>
      </c>
      <c r="AP126" t="s">
        <v>11066</v>
      </c>
      <c r="AR126" t="s">
        <v>11255</v>
      </c>
      <c r="AS126" t="s">
        <v>9926</v>
      </c>
      <c r="AT126" t="s">
        <v>11641</v>
      </c>
      <c r="AX126" t="s">
        <v>10838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</row>
    <row r="127" spans="1:59">
      <c r="A127" s="1">
        <f>HYPERLINK("https://lsnyc.legalserver.org/matter/dynamic-profile/view/1903770","19-1903770")</f>
        <v>0</v>
      </c>
      <c r="B127" t="s">
        <v>172</v>
      </c>
      <c r="C127" t="s">
        <v>5110</v>
      </c>
      <c r="D127" t="s">
        <v>9925</v>
      </c>
      <c r="E127" t="s">
        <v>10075</v>
      </c>
      <c r="F127">
        <v>10009</v>
      </c>
      <c r="G127" t="s">
        <v>10089</v>
      </c>
      <c r="H127" t="s">
        <v>10114</v>
      </c>
      <c r="I127" t="s">
        <v>10168</v>
      </c>
      <c r="J127" t="s">
        <v>10209</v>
      </c>
      <c r="K127" t="s">
        <v>10218</v>
      </c>
      <c r="L127" t="s">
        <v>10102</v>
      </c>
      <c r="M127" t="s">
        <v>10300</v>
      </c>
      <c r="N127" t="s">
        <v>10670</v>
      </c>
      <c r="P127" t="s">
        <v>10754</v>
      </c>
      <c r="Q127" t="s">
        <v>10775</v>
      </c>
      <c r="R127" t="s">
        <v>10825</v>
      </c>
      <c r="T127">
        <v>2196</v>
      </c>
      <c r="U127">
        <v>183</v>
      </c>
      <c r="V127">
        <v>47</v>
      </c>
      <c r="W127">
        <v>1</v>
      </c>
      <c r="X127">
        <v>0</v>
      </c>
      <c r="Y127" t="s">
        <v>10830</v>
      </c>
      <c r="Z127">
        <v>17.58</v>
      </c>
      <c r="AA127">
        <v>40.72454</v>
      </c>
      <c r="AB127">
        <v>-73.97669500000001</v>
      </c>
      <c r="AD127" t="s">
        <v>10839</v>
      </c>
      <c r="AG127" t="s">
        <v>10858</v>
      </c>
      <c r="AH127" t="s">
        <v>10866</v>
      </c>
      <c r="AI127">
        <v>236</v>
      </c>
      <c r="AJ127" t="s">
        <v>10209</v>
      </c>
      <c r="AK127" t="s">
        <v>10837</v>
      </c>
      <c r="AL127">
        <v>3.1</v>
      </c>
      <c r="AM127" t="s">
        <v>10891</v>
      </c>
      <c r="AN127" t="s">
        <v>10910</v>
      </c>
      <c r="AO127" t="s">
        <v>11021</v>
      </c>
      <c r="AP127" t="s">
        <v>11048</v>
      </c>
      <c r="AQ127" t="s">
        <v>11114</v>
      </c>
      <c r="AR127" t="s">
        <v>11292</v>
      </c>
      <c r="AS127" t="s">
        <v>9925</v>
      </c>
      <c r="AT127" t="s">
        <v>11641</v>
      </c>
      <c r="AY127" t="s">
        <v>10830</v>
      </c>
      <c r="AZ127" t="s">
        <v>11691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</row>
    <row r="128" spans="1:59">
      <c r="A128" s="1">
        <f>HYPERLINK("https://lsnyc.legalserver.org/matter/dynamic-profile/view/1903771","19-1903771")</f>
        <v>0</v>
      </c>
      <c r="B128" t="s">
        <v>173</v>
      </c>
      <c r="C128" t="s">
        <v>5111</v>
      </c>
      <c r="D128" t="s">
        <v>9926</v>
      </c>
      <c r="E128" t="s">
        <v>10075</v>
      </c>
      <c r="F128">
        <v>10471</v>
      </c>
      <c r="G128" t="s">
        <v>10089</v>
      </c>
      <c r="H128" t="s">
        <v>10114</v>
      </c>
      <c r="I128" t="s">
        <v>10168</v>
      </c>
      <c r="J128" t="s">
        <v>10209</v>
      </c>
      <c r="K128" t="s">
        <v>10217</v>
      </c>
      <c r="M128" t="s">
        <v>10301</v>
      </c>
      <c r="N128" t="s">
        <v>10665</v>
      </c>
      <c r="P128" t="s">
        <v>10751</v>
      </c>
      <c r="Q128" t="s">
        <v>10773</v>
      </c>
      <c r="R128" t="s">
        <v>10823</v>
      </c>
      <c r="T128">
        <v>23400</v>
      </c>
      <c r="U128">
        <v>1950</v>
      </c>
      <c r="V128">
        <v>49</v>
      </c>
      <c r="W128">
        <v>1</v>
      </c>
      <c r="X128">
        <v>0</v>
      </c>
      <c r="Z128">
        <v>187.35</v>
      </c>
      <c r="AA128">
        <v>40.902297</v>
      </c>
      <c r="AB128">
        <v>-73.900847</v>
      </c>
      <c r="AD128" t="s">
        <v>10839</v>
      </c>
      <c r="AG128" t="s">
        <v>10858</v>
      </c>
      <c r="AH128" t="s">
        <v>10861</v>
      </c>
      <c r="AI128">
        <v>234</v>
      </c>
      <c r="AJ128" t="s">
        <v>10214</v>
      </c>
      <c r="AL128">
        <v>2.5</v>
      </c>
      <c r="AM128" t="s">
        <v>10893</v>
      </c>
      <c r="AN128" t="s">
        <v>10919</v>
      </c>
      <c r="AO128" t="s">
        <v>11002</v>
      </c>
      <c r="AP128" t="s">
        <v>11057</v>
      </c>
      <c r="AQ128" t="s">
        <v>11115</v>
      </c>
      <c r="AR128" t="s">
        <v>11293</v>
      </c>
      <c r="AS128" t="s">
        <v>9926</v>
      </c>
      <c r="AT128" t="s">
        <v>11641</v>
      </c>
      <c r="AX128" t="s">
        <v>10838</v>
      </c>
      <c r="BA128" t="s">
        <v>11741</v>
      </c>
      <c r="BB128">
        <v>0</v>
      </c>
      <c r="BC128">
        <v>0</v>
      </c>
      <c r="BD128">
        <v>0</v>
      </c>
      <c r="BE128">
        <v>0</v>
      </c>
      <c r="BF128">
        <v>1</v>
      </c>
      <c r="BG128">
        <v>0</v>
      </c>
    </row>
    <row r="129" spans="1:59">
      <c r="A129" s="1">
        <f>HYPERLINK("https://lsnyc.legalserver.org/matter/dynamic-profile/view/1903773","19-1903773")</f>
        <v>0</v>
      </c>
      <c r="B129" t="s">
        <v>174</v>
      </c>
      <c r="C129" t="s">
        <v>5112</v>
      </c>
      <c r="D129" t="s">
        <v>9926</v>
      </c>
      <c r="E129" t="s">
        <v>10075</v>
      </c>
      <c r="F129">
        <v>10457</v>
      </c>
      <c r="G129" t="s">
        <v>10090</v>
      </c>
      <c r="H129" t="s">
        <v>10114</v>
      </c>
      <c r="I129" t="s">
        <v>10168</v>
      </c>
      <c r="J129" t="s">
        <v>10210</v>
      </c>
      <c r="K129" t="s">
        <v>10217</v>
      </c>
      <c r="M129" t="s">
        <v>10272</v>
      </c>
      <c r="N129" t="s">
        <v>10671</v>
      </c>
      <c r="P129" t="s">
        <v>10749</v>
      </c>
      <c r="Q129" t="s">
        <v>10765</v>
      </c>
      <c r="R129" t="s">
        <v>10821</v>
      </c>
      <c r="T129">
        <v>24500</v>
      </c>
      <c r="U129">
        <v>2041.67</v>
      </c>
      <c r="V129">
        <v>48</v>
      </c>
      <c r="W129">
        <v>1</v>
      </c>
      <c r="X129">
        <v>0</v>
      </c>
      <c r="Z129">
        <v>196.16</v>
      </c>
      <c r="AA129">
        <v>40.846813</v>
      </c>
      <c r="AB129">
        <v>-73.889523</v>
      </c>
      <c r="AD129" t="s">
        <v>10840</v>
      </c>
      <c r="AG129" t="s">
        <v>10858</v>
      </c>
      <c r="AH129" t="s">
        <v>10871</v>
      </c>
      <c r="AI129">
        <v>234</v>
      </c>
      <c r="AJ129" t="s">
        <v>10214</v>
      </c>
      <c r="AL129">
        <v>0.84</v>
      </c>
      <c r="AM129" t="s">
        <v>10884</v>
      </c>
      <c r="AN129" t="s">
        <v>10918</v>
      </c>
      <c r="AO129" t="s">
        <v>11000</v>
      </c>
      <c r="AP129" t="s">
        <v>11062</v>
      </c>
      <c r="AR129" t="s">
        <v>11257</v>
      </c>
      <c r="AS129" t="s">
        <v>9926</v>
      </c>
      <c r="AT129" t="s">
        <v>11642</v>
      </c>
      <c r="AX129" t="s">
        <v>10838</v>
      </c>
      <c r="BA129" t="s">
        <v>11741</v>
      </c>
      <c r="BB129">
        <v>0</v>
      </c>
      <c r="BC129">
        <v>0</v>
      </c>
      <c r="BD129">
        <v>0</v>
      </c>
      <c r="BE129">
        <v>0</v>
      </c>
      <c r="BF129">
        <v>1</v>
      </c>
      <c r="BG129">
        <v>0</v>
      </c>
    </row>
    <row r="130" spans="1:59">
      <c r="A130" s="1">
        <f>HYPERLINK("https://lsnyc.legalserver.org/matter/dynamic-profile/view/1903775","19-1903775")</f>
        <v>0</v>
      </c>
      <c r="B130" t="s">
        <v>175</v>
      </c>
      <c r="C130" t="s">
        <v>5113</v>
      </c>
      <c r="D130" t="s">
        <v>9926</v>
      </c>
      <c r="E130" t="s">
        <v>10075</v>
      </c>
      <c r="F130">
        <v>10456</v>
      </c>
      <c r="G130" t="s">
        <v>10089</v>
      </c>
      <c r="H130" t="s">
        <v>10114</v>
      </c>
      <c r="I130" t="s">
        <v>10168</v>
      </c>
      <c r="J130" t="s">
        <v>10209</v>
      </c>
      <c r="K130" t="s">
        <v>10217</v>
      </c>
      <c r="M130" t="s">
        <v>10302</v>
      </c>
      <c r="N130" t="s">
        <v>10681</v>
      </c>
      <c r="P130" t="s">
        <v>10754</v>
      </c>
      <c r="Q130" t="s">
        <v>10771</v>
      </c>
      <c r="R130" t="s">
        <v>10824</v>
      </c>
      <c r="T130">
        <v>15600</v>
      </c>
      <c r="U130">
        <v>1300</v>
      </c>
      <c r="V130">
        <v>27</v>
      </c>
      <c r="W130">
        <v>1</v>
      </c>
      <c r="X130">
        <v>1</v>
      </c>
      <c r="Z130">
        <v>92.25</v>
      </c>
      <c r="AA130">
        <v>40.835628</v>
      </c>
      <c r="AB130">
        <v>-73.907158</v>
      </c>
      <c r="AD130" t="s">
        <v>10839</v>
      </c>
      <c r="AG130" t="s">
        <v>10858</v>
      </c>
      <c r="AH130" t="s">
        <v>10865</v>
      </c>
      <c r="AI130">
        <v>236</v>
      </c>
      <c r="AJ130" t="s">
        <v>10209</v>
      </c>
      <c r="AL130">
        <v>6</v>
      </c>
      <c r="AM130" t="s">
        <v>10884</v>
      </c>
      <c r="AN130" t="s">
        <v>10918</v>
      </c>
      <c r="AO130" t="s">
        <v>11000</v>
      </c>
      <c r="AP130" t="s">
        <v>11055</v>
      </c>
      <c r="AQ130" t="s">
        <v>11102</v>
      </c>
      <c r="AR130" t="s">
        <v>11257</v>
      </c>
      <c r="AS130" t="s">
        <v>9926</v>
      </c>
      <c r="AT130" t="s">
        <v>11641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</row>
    <row r="131" spans="1:59">
      <c r="A131" s="1">
        <f>HYPERLINK("https://lsnyc.legalserver.org/matter/dynamic-profile/view/1903776","19-1903776")</f>
        <v>0</v>
      </c>
      <c r="B131" t="s">
        <v>176</v>
      </c>
      <c r="C131" t="s">
        <v>5114</v>
      </c>
      <c r="D131" t="s">
        <v>9926</v>
      </c>
      <c r="E131" t="s">
        <v>10075</v>
      </c>
      <c r="F131">
        <v>10468</v>
      </c>
      <c r="G131" t="s">
        <v>10090</v>
      </c>
      <c r="H131" t="s">
        <v>10114</v>
      </c>
      <c r="I131" t="s">
        <v>10169</v>
      </c>
      <c r="J131" t="s">
        <v>10210</v>
      </c>
      <c r="K131" t="s">
        <v>10217</v>
      </c>
      <c r="M131" t="s">
        <v>10303</v>
      </c>
      <c r="N131" t="s">
        <v>10682</v>
      </c>
      <c r="P131" t="s">
        <v>10751</v>
      </c>
      <c r="Q131" t="s">
        <v>10776</v>
      </c>
      <c r="R131" t="s">
        <v>10821</v>
      </c>
      <c r="T131">
        <v>9252</v>
      </c>
      <c r="U131">
        <v>771</v>
      </c>
      <c r="V131">
        <v>34</v>
      </c>
      <c r="W131">
        <v>1</v>
      </c>
      <c r="X131">
        <v>1</v>
      </c>
      <c r="Z131">
        <v>54.71</v>
      </c>
      <c r="AA131">
        <v>40.861213</v>
      </c>
      <c r="AB131">
        <v>-73.90127699999999</v>
      </c>
      <c r="AD131" t="s">
        <v>10839</v>
      </c>
      <c r="AG131" t="s">
        <v>10858</v>
      </c>
      <c r="AH131" t="s">
        <v>10861</v>
      </c>
      <c r="AI131">
        <v>230</v>
      </c>
      <c r="AJ131" t="s">
        <v>10210</v>
      </c>
      <c r="AL131">
        <v>1.25</v>
      </c>
      <c r="AM131" t="s">
        <v>10884</v>
      </c>
      <c r="AN131" t="s">
        <v>10931</v>
      </c>
      <c r="AO131" t="s">
        <v>11000</v>
      </c>
      <c r="AP131" t="s">
        <v>11045</v>
      </c>
      <c r="AR131" t="s">
        <v>11258</v>
      </c>
      <c r="AS131" t="s">
        <v>9926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</row>
    <row r="132" spans="1:59">
      <c r="A132" s="1">
        <f>HYPERLINK("https://lsnyc.legalserver.org/matter/dynamic-profile/view/1903778","19-1903778")</f>
        <v>0</v>
      </c>
      <c r="B132" t="s">
        <v>177</v>
      </c>
      <c r="C132" t="s">
        <v>5115</v>
      </c>
      <c r="D132" t="s">
        <v>9928</v>
      </c>
      <c r="E132" t="s">
        <v>10075</v>
      </c>
      <c r="F132">
        <v>11206</v>
      </c>
      <c r="G132" t="s">
        <v>10093</v>
      </c>
      <c r="H132" t="s">
        <v>10114</v>
      </c>
      <c r="I132" t="s">
        <v>10169</v>
      </c>
      <c r="J132" t="s">
        <v>10213</v>
      </c>
      <c r="K132" t="s">
        <v>10217</v>
      </c>
      <c r="M132" t="s">
        <v>10304</v>
      </c>
      <c r="N132" t="s">
        <v>10671</v>
      </c>
      <c r="P132" t="s">
        <v>10749</v>
      </c>
      <c r="Q132" t="s">
        <v>10765</v>
      </c>
      <c r="R132" t="s">
        <v>10821</v>
      </c>
      <c r="T132">
        <v>9492</v>
      </c>
      <c r="U132">
        <v>791</v>
      </c>
      <c r="V132">
        <v>62</v>
      </c>
      <c r="W132">
        <v>1</v>
      </c>
      <c r="X132">
        <v>0</v>
      </c>
      <c r="Z132">
        <v>76</v>
      </c>
      <c r="AA132">
        <v>40.707429</v>
      </c>
      <c r="AB132">
        <v>-73.944322</v>
      </c>
      <c r="AD132" t="s">
        <v>10839</v>
      </c>
      <c r="AG132" t="s">
        <v>10858</v>
      </c>
      <c r="AH132" t="s">
        <v>10861</v>
      </c>
      <c r="AI132">
        <v>234</v>
      </c>
      <c r="AJ132" t="s">
        <v>10214</v>
      </c>
      <c r="AL132">
        <v>0.9</v>
      </c>
      <c r="AM132" t="s">
        <v>10886</v>
      </c>
      <c r="AN132" t="s">
        <v>10942</v>
      </c>
      <c r="AO132" t="s">
        <v>11011</v>
      </c>
      <c r="AP132" t="s">
        <v>11071</v>
      </c>
      <c r="AR132" t="s">
        <v>11294</v>
      </c>
      <c r="AS132" t="s">
        <v>11595</v>
      </c>
      <c r="AT132" t="s">
        <v>11641</v>
      </c>
      <c r="AX132" t="s">
        <v>10838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</row>
    <row r="133" spans="1:59">
      <c r="A133" s="1">
        <f>HYPERLINK("https://lsnyc.legalserver.org/matter/dynamic-profile/view/1903779","19-1903779")</f>
        <v>0</v>
      </c>
      <c r="B133" t="s">
        <v>178</v>
      </c>
      <c r="C133" t="s">
        <v>5116</v>
      </c>
      <c r="D133" t="s">
        <v>9925</v>
      </c>
      <c r="E133" t="s">
        <v>10075</v>
      </c>
      <c r="F133">
        <v>10027</v>
      </c>
      <c r="G133" t="s">
        <v>10089</v>
      </c>
      <c r="H133" t="s">
        <v>10114</v>
      </c>
      <c r="I133" t="s">
        <v>10168</v>
      </c>
      <c r="J133" t="s">
        <v>10209</v>
      </c>
      <c r="K133" t="s">
        <v>10217</v>
      </c>
      <c r="M133" t="s">
        <v>10305</v>
      </c>
      <c r="N133" t="s">
        <v>10650</v>
      </c>
      <c r="P133" t="s">
        <v>10752</v>
      </c>
      <c r="Q133" t="s">
        <v>10783</v>
      </c>
      <c r="R133" t="s">
        <v>10824</v>
      </c>
      <c r="T133">
        <v>70000</v>
      </c>
      <c r="U133">
        <v>5833.33</v>
      </c>
      <c r="V133">
        <v>56</v>
      </c>
      <c r="W133">
        <v>7</v>
      </c>
      <c r="X133">
        <v>1</v>
      </c>
      <c r="Z133">
        <v>161.18</v>
      </c>
      <c r="AA133">
        <v>40.808671</v>
      </c>
      <c r="AB133">
        <v>-73.955074</v>
      </c>
      <c r="AD133" t="s">
        <v>10839</v>
      </c>
      <c r="AG133" t="s">
        <v>10858</v>
      </c>
      <c r="AH133" t="s">
        <v>10863</v>
      </c>
      <c r="AI133">
        <v>236</v>
      </c>
      <c r="AJ133" t="s">
        <v>10209</v>
      </c>
      <c r="AL133">
        <v>7.9</v>
      </c>
      <c r="AM133" t="s">
        <v>10887</v>
      </c>
      <c r="AN133" t="s">
        <v>10936</v>
      </c>
      <c r="AO133" t="s">
        <v>11016</v>
      </c>
      <c r="AP133" t="s">
        <v>11076</v>
      </c>
      <c r="AQ133" t="s">
        <v>11116</v>
      </c>
      <c r="AR133" t="s">
        <v>11257</v>
      </c>
      <c r="AS133" t="s">
        <v>9925</v>
      </c>
      <c r="AT133" t="s">
        <v>11641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</row>
    <row r="134" spans="1:59">
      <c r="A134" s="1">
        <f>HYPERLINK("https://lsnyc.legalserver.org/matter/dynamic-profile/view/1903780","19-1903780")</f>
        <v>0</v>
      </c>
      <c r="B134" t="s">
        <v>179</v>
      </c>
      <c r="C134" t="s">
        <v>5117</v>
      </c>
      <c r="D134" t="s">
        <v>9926</v>
      </c>
      <c r="E134" t="s">
        <v>10075</v>
      </c>
      <c r="F134">
        <v>10470</v>
      </c>
      <c r="G134" t="s">
        <v>10090</v>
      </c>
      <c r="H134" t="s">
        <v>10114</v>
      </c>
      <c r="I134" t="s">
        <v>10168</v>
      </c>
      <c r="J134" t="s">
        <v>10210</v>
      </c>
      <c r="K134" t="s">
        <v>10217</v>
      </c>
      <c r="M134" t="s">
        <v>10306</v>
      </c>
      <c r="N134" t="s">
        <v>10666</v>
      </c>
      <c r="P134" t="s">
        <v>10749</v>
      </c>
      <c r="Q134" t="s">
        <v>10765</v>
      </c>
      <c r="R134" t="s">
        <v>10824</v>
      </c>
      <c r="T134">
        <v>36174</v>
      </c>
      <c r="U134">
        <v>3014.5</v>
      </c>
      <c r="V134">
        <v>55</v>
      </c>
      <c r="W134">
        <v>4</v>
      </c>
      <c r="X134">
        <v>0</v>
      </c>
      <c r="Z134">
        <v>140.48</v>
      </c>
      <c r="AA134">
        <v>40.905617</v>
      </c>
      <c r="AB134">
        <v>-73.85290999999999</v>
      </c>
      <c r="AD134" t="s">
        <v>10839</v>
      </c>
      <c r="AG134" t="s">
        <v>10858</v>
      </c>
      <c r="AH134" t="s">
        <v>10862</v>
      </c>
      <c r="AI134">
        <v>230</v>
      </c>
      <c r="AJ134" t="s">
        <v>10210</v>
      </c>
      <c r="AL134">
        <v>20.01</v>
      </c>
      <c r="AM134" t="s">
        <v>10893</v>
      </c>
      <c r="AN134" t="s">
        <v>10919</v>
      </c>
      <c r="AO134" t="s">
        <v>11010</v>
      </c>
      <c r="AP134" t="s">
        <v>11057</v>
      </c>
      <c r="AR134" t="s">
        <v>11295</v>
      </c>
      <c r="AS134" t="s">
        <v>9926</v>
      </c>
      <c r="BA134" t="s">
        <v>11741</v>
      </c>
      <c r="BB134">
        <v>0</v>
      </c>
      <c r="BC134">
        <v>0</v>
      </c>
      <c r="BD134">
        <v>0</v>
      </c>
      <c r="BE134">
        <v>0</v>
      </c>
      <c r="BF134">
        <v>1</v>
      </c>
      <c r="BG134">
        <v>0</v>
      </c>
    </row>
    <row r="135" spans="1:59">
      <c r="A135" s="1">
        <f>HYPERLINK("https://lsnyc.legalserver.org/matter/dynamic-profile/view/1903781","19-1903781")</f>
        <v>0</v>
      </c>
      <c r="B135" t="s">
        <v>180</v>
      </c>
      <c r="C135" t="s">
        <v>5118</v>
      </c>
      <c r="D135" t="s">
        <v>9925</v>
      </c>
      <c r="E135" t="s">
        <v>10075</v>
      </c>
      <c r="F135">
        <v>10030</v>
      </c>
      <c r="G135" t="s">
        <v>10091</v>
      </c>
      <c r="H135" t="s">
        <v>10114</v>
      </c>
      <c r="I135" t="s">
        <v>10168</v>
      </c>
      <c r="J135" t="s">
        <v>10211</v>
      </c>
      <c r="K135" t="s">
        <v>10217</v>
      </c>
      <c r="M135" t="s">
        <v>10307</v>
      </c>
      <c r="N135" t="s">
        <v>10671</v>
      </c>
      <c r="P135" t="s">
        <v>10752</v>
      </c>
      <c r="Q135" t="s">
        <v>10762</v>
      </c>
      <c r="R135" t="s">
        <v>10824</v>
      </c>
      <c r="T135">
        <v>1920</v>
      </c>
      <c r="U135">
        <v>160</v>
      </c>
      <c r="V135">
        <v>55</v>
      </c>
      <c r="W135">
        <v>2</v>
      </c>
      <c r="X135">
        <v>0</v>
      </c>
      <c r="Z135">
        <v>11.35</v>
      </c>
      <c r="AA135">
        <v>40.819841</v>
      </c>
      <c r="AB135">
        <v>-73.939909</v>
      </c>
      <c r="AD135" t="s">
        <v>10839</v>
      </c>
      <c r="AG135" t="s">
        <v>10858</v>
      </c>
      <c r="AH135" t="s">
        <v>10861</v>
      </c>
      <c r="AI135">
        <v>234</v>
      </c>
      <c r="AJ135" t="s">
        <v>10214</v>
      </c>
      <c r="AL135">
        <v>1</v>
      </c>
      <c r="AM135" t="s">
        <v>10887</v>
      </c>
      <c r="AN135" t="s">
        <v>10943</v>
      </c>
      <c r="AO135" t="s">
        <v>11016</v>
      </c>
      <c r="AP135" t="s">
        <v>11076</v>
      </c>
      <c r="AR135" t="s">
        <v>11255</v>
      </c>
      <c r="AS135" t="s">
        <v>9925</v>
      </c>
      <c r="AT135" t="s">
        <v>11641</v>
      </c>
      <c r="AX135" t="s">
        <v>10838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</row>
    <row r="136" spans="1:59">
      <c r="A136" s="1">
        <f>HYPERLINK("https://lsnyc.legalserver.org/matter/dynamic-profile/view/1903782","19-1903782")</f>
        <v>0</v>
      </c>
      <c r="B136" t="s">
        <v>181</v>
      </c>
      <c r="C136" t="s">
        <v>5119</v>
      </c>
      <c r="D136" t="s">
        <v>9929</v>
      </c>
      <c r="E136" t="s">
        <v>10075</v>
      </c>
      <c r="F136">
        <v>10301</v>
      </c>
      <c r="G136" t="s">
        <v>10088</v>
      </c>
      <c r="H136" t="s">
        <v>10117</v>
      </c>
      <c r="I136" t="s">
        <v>10168</v>
      </c>
      <c r="J136" t="s">
        <v>10208</v>
      </c>
      <c r="K136" t="s">
        <v>10217</v>
      </c>
      <c r="M136" t="s">
        <v>10254</v>
      </c>
      <c r="N136" t="s">
        <v>10650</v>
      </c>
      <c r="P136" t="s">
        <v>10749</v>
      </c>
      <c r="Q136" t="s">
        <v>10765</v>
      </c>
      <c r="R136" t="s">
        <v>10824</v>
      </c>
      <c r="T136">
        <v>12000</v>
      </c>
      <c r="U136">
        <v>1000</v>
      </c>
      <c r="V136">
        <v>50</v>
      </c>
      <c r="W136">
        <v>1</v>
      </c>
      <c r="X136">
        <v>0</v>
      </c>
      <c r="Z136">
        <v>96.08</v>
      </c>
      <c r="AA136">
        <v>40.642451</v>
      </c>
      <c r="AB136">
        <v>-74.080635</v>
      </c>
      <c r="AD136" t="s">
        <v>10839</v>
      </c>
      <c r="AF136" t="s">
        <v>10846</v>
      </c>
      <c r="AG136" t="s">
        <v>10859</v>
      </c>
      <c r="AH136" t="s">
        <v>10862</v>
      </c>
      <c r="AI136">
        <v>285</v>
      </c>
      <c r="AJ136" t="s">
        <v>10208</v>
      </c>
      <c r="AL136">
        <v>9.300000000000001</v>
      </c>
      <c r="AM136" t="s">
        <v>10883</v>
      </c>
      <c r="AN136" t="s">
        <v>10913</v>
      </c>
      <c r="AO136" t="s">
        <v>11006</v>
      </c>
      <c r="AP136" t="s">
        <v>11051</v>
      </c>
      <c r="AR136" t="s">
        <v>11257</v>
      </c>
      <c r="AS136" t="s">
        <v>11593</v>
      </c>
      <c r="BA136" t="s">
        <v>11738</v>
      </c>
      <c r="BB136">
        <v>0</v>
      </c>
      <c r="BC136">
        <v>0</v>
      </c>
      <c r="BD136">
        <v>0</v>
      </c>
      <c r="BE136">
        <v>0</v>
      </c>
      <c r="BF136">
        <v>5</v>
      </c>
      <c r="BG136">
        <v>0</v>
      </c>
    </row>
    <row r="137" spans="1:59">
      <c r="A137" s="1">
        <f>HYPERLINK("https://lsnyc.legalserver.org/matter/dynamic-profile/view/1903783","19-1903783")</f>
        <v>0</v>
      </c>
      <c r="B137" t="s">
        <v>182</v>
      </c>
      <c r="C137" t="s">
        <v>5120</v>
      </c>
      <c r="D137" t="s">
        <v>9928</v>
      </c>
      <c r="E137" t="s">
        <v>10075</v>
      </c>
      <c r="F137">
        <v>11208</v>
      </c>
      <c r="G137" t="s">
        <v>10093</v>
      </c>
      <c r="H137" t="s">
        <v>10114</v>
      </c>
      <c r="I137" t="s">
        <v>10168</v>
      </c>
      <c r="J137" t="s">
        <v>10213</v>
      </c>
      <c r="K137" t="s">
        <v>10217</v>
      </c>
      <c r="M137" t="s">
        <v>10308</v>
      </c>
      <c r="N137" t="s">
        <v>10650</v>
      </c>
      <c r="P137" t="s">
        <v>10749</v>
      </c>
      <c r="Q137" t="s">
        <v>10765</v>
      </c>
      <c r="R137" t="s">
        <v>10827</v>
      </c>
      <c r="T137">
        <v>50024</v>
      </c>
      <c r="U137">
        <v>4168.67</v>
      </c>
      <c r="V137">
        <v>36</v>
      </c>
      <c r="W137">
        <v>2</v>
      </c>
      <c r="X137">
        <v>3</v>
      </c>
      <c r="Z137">
        <v>165.81</v>
      </c>
      <c r="AA137">
        <v>40.67759</v>
      </c>
      <c r="AB137">
        <v>-73.873788</v>
      </c>
      <c r="AD137" t="s">
        <v>10840</v>
      </c>
      <c r="AG137" t="s">
        <v>10858</v>
      </c>
      <c r="AH137" t="s">
        <v>10862</v>
      </c>
      <c r="AI137">
        <v>239</v>
      </c>
      <c r="AJ137" t="s">
        <v>10213</v>
      </c>
      <c r="AL137">
        <v>0.1</v>
      </c>
      <c r="AM137" t="s">
        <v>10889</v>
      </c>
      <c r="AN137" t="s">
        <v>10920</v>
      </c>
      <c r="AO137" t="s">
        <v>11012</v>
      </c>
      <c r="AP137" t="s">
        <v>11058</v>
      </c>
      <c r="AR137" t="s">
        <v>11257</v>
      </c>
      <c r="AS137" t="s">
        <v>11595</v>
      </c>
      <c r="AT137" t="s">
        <v>11642</v>
      </c>
      <c r="AX137" t="s">
        <v>10838</v>
      </c>
      <c r="BA137" t="s">
        <v>11740</v>
      </c>
      <c r="BB137">
        <v>0</v>
      </c>
      <c r="BC137">
        <v>0</v>
      </c>
      <c r="BD137">
        <v>0</v>
      </c>
      <c r="BE137">
        <v>0</v>
      </c>
      <c r="BF137">
        <v>2</v>
      </c>
      <c r="BG137">
        <v>0</v>
      </c>
    </row>
    <row r="138" spans="1:59">
      <c r="A138" s="1">
        <f>HYPERLINK("https://lsnyc.legalserver.org/matter/dynamic-profile/view/1903784","19-1903784")</f>
        <v>0</v>
      </c>
      <c r="B138" t="s">
        <v>183</v>
      </c>
      <c r="C138" t="s">
        <v>5121</v>
      </c>
      <c r="D138" t="s">
        <v>9926</v>
      </c>
      <c r="E138" t="s">
        <v>10075</v>
      </c>
      <c r="F138">
        <v>10472</v>
      </c>
      <c r="G138" t="s">
        <v>10090</v>
      </c>
      <c r="H138" t="s">
        <v>10097</v>
      </c>
      <c r="I138" t="s">
        <v>10168</v>
      </c>
      <c r="J138" t="s">
        <v>10210</v>
      </c>
      <c r="K138" t="s">
        <v>10218</v>
      </c>
      <c r="L138" t="s">
        <v>10123</v>
      </c>
      <c r="M138" t="s">
        <v>10262</v>
      </c>
      <c r="N138" t="s">
        <v>10666</v>
      </c>
      <c r="P138" t="s">
        <v>10749</v>
      </c>
      <c r="Q138" t="s">
        <v>10765</v>
      </c>
      <c r="R138" t="s">
        <v>10823</v>
      </c>
      <c r="T138">
        <v>40000</v>
      </c>
      <c r="U138">
        <v>3333.33</v>
      </c>
      <c r="V138">
        <v>51</v>
      </c>
      <c r="W138">
        <v>2</v>
      </c>
      <c r="X138">
        <v>2</v>
      </c>
      <c r="Y138" t="s">
        <v>10829</v>
      </c>
      <c r="Z138">
        <v>155.34</v>
      </c>
      <c r="AA138">
        <v>40.829616</v>
      </c>
      <c r="AB138">
        <v>-73.869437</v>
      </c>
      <c r="AD138" t="s">
        <v>10839</v>
      </c>
      <c r="AG138" t="s">
        <v>10858</v>
      </c>
      <c r="AH138" t="s">
        <v>10862</v>
      </c>
      <c r="AI138">
        <v>230</v>
      </c>
      <c r="AJ138" t="s">
        <v>10210</v>
      </c>
      <c r="AK138" t="s">
        <v>10882</v>
      </c>
      <c r="AL138">
        <v>1.1</v>
      </c>
      <c r="AM138" t="s">
        <v>10884</v>
      </c>
      <c r="AN138" t="s">
        <v>10908</v>
      </c>
      <c r="AO138" t="s">
        <v>11001</v>
      </c>
      <c r="AP138" t="s">
        <v>11046</v>
      </c>
      <c r="AR138" t="s">
        <v>11257</v>
      </c>
      <c r="AS138" t="s">
        <v>9926</v>
      </c>
      <c r="AY138" t="s">
        <v>10829</v>
      </c>
      <c r="AZ138" t="s">
        <v>11681</v>
      </c>
      <c r="BA138" t="s">
        <v>11741</v>
      </c>
      <c r="BB138">
        <v>0</v>
      </c>
      <c r="BC138">
        <v>0</v>
      </c>
      <c r="BD138">
        <v>0</v>
      </c>
      <c r="BE138">
        <v>0</v>
      </c>
      <c r="BF138">
        <v>1</v>
      </c>
      <c r="BG138">
        <v>0</v>
      </c>
    </row>
    <row r="139" spans="1:59">
      <c r="A139" s="1">
        <f>HYPERLINK("https://lsnyc.legalserver.org/matter/dynamic-profile/view/1903785","19-1903785")</f>
        <v>0</v>
      </c>
      <c r="B139" t="s">
        <v>184</v>
      </c>
      <c r="C139" t="s">
        <v>5122</v>
      </c>
      <c r="D139" t="s">
        <v>9928</v>
      </c>
      <c r="E139" t="s">
        <v>10075</v>
      </c>
      <c r="F139">
        <v>11207</v>
      </c>
      <c r="G139" t="s">
        <v>10093</v>
      </c>
      <c r="H139" t="s">
        <v>10114</v>
      </c>
      <c r="I139" t="s">
        <v>10168</v>
      </c>
      <c r="J139" t="s">
        <v>10213</v>
      </c>
      <c r="K139" t="s">
        <v>10217</v>
      </c>
      <c r="M139" t="s">
        <v>10309</v>
      </c>
      <c r="N139" t="s">
        <v>10662</v>
      </c>
      <c r="P139" t="s">
        <v>10754</v>
      </c>
      <c r="Q139" t="s">
        <v>10784</v>
      </c>
      <c r="R139" t="s">
        <v>10820</v>
      </c>
      <c r="T139">
        <v>2366</v>
      </c>
      <c r="U139">
        <v>197.17</v>
      </c>
      <c r="V139">
        <v>24</v>
      </c>
      <c r="W139">
        <v>1</v>
      </c>
      <c r="X139">
        <v>0</v>
      </c>
      <c r="Z139">
        <v>18.94</v>
      </c>
      <c r="AA139">
        <v>40.662682</v>
      </c>
      <c r="AB139">
        <v>-73.88475699999999</v>
      </c>
      <c r="AD139" t="s">
        <v>10839</v>
      </c>
      <c r="AG139" t="s">
        <v>10858</v>
      </c>
      <c r="AH139" t="s">
        <v>10860</v>
      </c>
      <c r="AI139">
        <v>237</v>
      </c>
      <c r="AJ139" t="s">
        <v>10212</v>
      </c>
      <c r="AL139">
        <v>0.75</v>
      </c>
      <c r="AQ139" t="s">
        <v>11117</v>
      </c>
      <c r="AR139" t="s">
        <v>11255</v>
      </c>
      <c r="AS139" t="s">
        <v>11595</v>
      </c>
      <c r="AX139" t="s">
        <v>10837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</row>
    <row r="140" spans="1:59">
      <c r="A140" s="1">
        <f>HYPERLINK("https://lsnyc.legalserver.org/matter/dynamic-profile/view/1903786","19-1903786")</f>
        <v>0</v>
      </c>
      <c r="B140" t="s">
        <v>184</v>
      </c>
      <c r="C140" t="s">
        <v>5122</v>
      </c>
      <c r="D140" t="s">
        <v>9928</v>
      </c>
      <c r="E140" t="s">
        <v>10075</v>
      </c>
      <c r="F140">
        <v>11207</v>
      </c>
      <c r="G140" t="s">
        <v>10093</v>
      </c>
      <c r="H140" t="s">
        <v>10114</v>
      </c>
      <c r="I140" t="s">
        <v>10168</v>
      </c>
      <c r="J140" t="s">
        <v>10213</v>
      </c>
      <c r="K140" t="s">
        <v>10217</v>
      </c>
      <c r="M140" t="s">
        <v>10309</v>
      </c>
      <c r="N140" t="s">
        <v>10662</v>
      </c>
      <c r="P140" t="s">
        <v>10753</v>
      </c>
      <c r="Q140" t="s">
        <v>10785</v>
      </c>
      <c r="R140" t="s">
        <v>10820</v>
      </c>
      <c r="T140">
        <v>2366</v>
      </c>
      <c r="U140">
        <v>197.17</v>
      </c>
      <c r="V140">
        <v>24</v>
      </c>
      <c r="W140">
        <v>1</v>
      </c>
      <c r="X140">
        <v>0</v>
      </c>
      <c r="Z140">
        <v>18.94</v>
      </c>
      <c r="AA140">
        <v>40.662682</v>
      </c>
      <c r="AB140">
        <v>-73.88475699999999</v>
      </c>
      <c r="AD140" t="s">
        <v>10839</v>
      </c>
      <c r="AG140" t="s">
        <v>10858</v>
      </c>
      <c r="AH140" t="s">
        <v>10860</v>
      </c>
      <c r="AI140">
        <v>237</v>
      </c>
      <c r="AJ140" t="s">
        <v>10212</v>
      </c>
      <c r="AL140">
        <v>1.6</v>
      </c>
      <c r="AR140" t="s">
        <v>11255</v>
      </c>
      <c r="AS140" t="s">
        <v>11595</v>
      </c>
      <c r="AX140" t="s">
        <v>10837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</row>
    <row r="141" spans="1:59">
      <c r="A141" s="1">
        <f>HYPERLINK("https://lsnyc.legalserver.org/matter/dynamic-profile/view/1903787","19-1903787")</f>
        <v>0</v>
      </c>
      <c r="B141" t="s">
        <v>185</v>
      </c>
      <c r="C141" t="s">
        <v>5123</v>
      </c>
      <c r="D141" t="s">
        <v>9926</v>
      </c>
      <c r="E141" t="s">
        <v>10075</v>
      </c>
      <c r="F141">
        <v>10463</v>
      </c>
      <c r="G141" t="s">
        <v>10090</v>
      </c>
      <c r="H141" t="s">
        <v>10114</v>
      </c>
      <c r="I141" t="s">
        <v>10175</v>
      </c>
      <c r="J141" t="s">
        <v>10210</v>
      </c>
      <c r="K141" t="s">
        <v>10217</v>
      </c>
      <c r="M141" t="s">
        <v>10310</v>
      </c>
      <c r="N141" t="s">
        <v>10683</v>
      </c>
      <c r="P141" t="s">
        <v>10754</v>
      </c>
      <c r="Q141" t="s">
        <v>10777</v>
      </c>
      <c r="R141" t="s">
        <v>10820</v>
      </c>
      <c r="T141">
        <v>0</v>
      </c>
      <c r="U141">
        <v>0</v>
      </c>
      <c r="V141">
        <v>40</v>
      </c>
      <c r="W141">
        <v>1</v>
      </c>
      <c r="X141">
        <v>2</v>
      </c>
      <c r="Z141">
        <v>0</v>
      </c>
      <c r="AA141">
        <v>40.88369</v>
      </c>
      <c r="AB141">
        <v>-73.89638600000001</v>
      </c>
      <c r="AD141" t="s">
        <v>10839</v>
      </c>
      <c r="AF141" t="s">
        <v>10842</v>
      </c>
      <c r="AG141" t="s">
        <v>10859</v>
      </c>
      <c r="AH141" t="s">
        <v>10865</v>
      </c>
      <c r="AI141">
        <v>230</v>
      </c>
      <c r="AJ141" t="s">
        <v>10210</v>
      </c>
      <c r="AL141">
        <v>17.75</v>
      </c>
      <c r="AM141" t="s">
        <v>10887</v>
      </c>
      <c r="AN141" t="s">
        <v>10919</v>
      </c>
      <c r="AO141" t="s">
        <v>11002</v>
      </c>
      <c r="AP141" t="s">
        <v>11057</v>
      </c>
      <c r="AR141" t="s">
        <v>11255</v>
      </c>
      <c r="AS141" t="s">
        <v>9926</v>
      </c>
      <c r="AT141" t="s">
        <v>11641</v>
      </c>
      <c r="AX141" t="s">
        <v>10838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</row>
    <row r="142" spans="1:59">
      <c r="A142" s="1">
        <f>HYPERLINK("https://lsnyc.legalserver.org/matter/dynamic-profile/view/1903788","19-1903788")</f>
        <v>0</v>
      </c>
      <c r="B142" t="s">
        <v>186</v>
      </c>
      <c r="C142" t="s">
        <v>5047</v>
      </c>
      <c r="D142" t="s">
        <v>9931</v>
      </c>
      <c r="E142" t="s">
        <v>10075</v>
      </c>
      <c r="F142">
        <v>11354</v>
      </c>
      <c r="G142" t="s">
        <v>10092</v>
      </c>
      <c r="H142" t="s">
        <v>10114</v>
      </c>
      <c r="I142" t="s">
        <v>10168</v>
      </c>
      <c r="J142" t="s">
        <v>10212</v>
      </c>
      <c r="K142" t="s">
        <v>10217</v>
      </c>
      <c r="M142" t="s">
        <v>10258</v>
      </c>
      <c r="N142" t="s">
        <v>10650</v>
      </c>
      <c r="P142" t="s">
        <v>10749</v>
      </c>
      <c r="Q142" t="s">
        <v>10765</v>
      </c>
      <c r="R142" t="s">
        <v>10824</v>
      </c>
      <c r="T142">
        <v>12000</v>
      </c>
      <c r="U142">
        <v>1000</v>
      </c>
      <c r="V142">
        <v>86</v>
      </c>
      <c r="W142">
        <v>1</v>
      </c>
      <c r="X142">
        <v>0</v>
      </c>
      <c r="Z142">
        <v>96.08</v>
      </c>
      <c r="AA142">
        <v>40.766192</v>
      </c>
      <c r="AB142">
        <v>-73.828405</v>
      </c>
      <c r="AD142" t="s">
        <v>10840</v>
      </c>
      <c r="AG142" t="s">
        <v>10858</v>
      </c>
      <c r="AH142" t="s">
        <v>10862</v>
      </c>
      <c r="AI142">
        <v>237</v>
      </c>
      <c r="AJ142" t="s">
        <v>10212</v>
      </c>
      <c r="AL142">
        <v>0.15</v>
      </c>
      <c r="AM142" t="s">
        <v>10890</v>
      </c>
      <c r="AN142" t="s">
        <v>10927</v>
      </c>
      <c r="AO142" t="s">
        <v>11009</v>
      </c>
      <c r="AP142" t="s">
        <v>11067</v>
      </c>
      <c r="AR142" t="s">
        <v>11263</v>
      </c>
      <c r="AS142" t="s">
        <v>11594</v>
      </c>
      <c r="AT142" t="s">
        <v>11642</v>
      </c>
      <c r="BA142" t="s">
        <v>11739</v>
      </c>
      <c r="BB142">
        <v>0</v>
      </c>
      <c r="BC142">
        <v>0</v>
      </c>
      <c r="BD142">
        <v>0</v>
      </c>
      <c r="BE142">
        <v>0</v>
      </c>
      <c r="BF142">
        <v>4</v>
      </c>
      <c r="BG142">
        <v>0</v>
      </c>
    </row>
    <row r="143" spans="1:59">
      <c r="A143" s="1">
        <f>HYPERLINK("https://lsnyc.legalserver.org/matter/dynamic-profile/view/1903789","19-1903789")</f>
        <v>0</v>
      </c>
      <c r="B143" t="s">
        <v>187</v>
      </c>
      <c r="C143" t="s">
        <v>5047</v>
      </c>
      <c r="D143" t="s">
        <v>9931</v>
      </c>
      <c r="E143" t="s">
        <v>10075</v>
      </c>
      <c r="F143">
        <v>11354</v>
      </c>
      <c r="G143" t="s">
        <v>10092</v>
      </c>
      <c r="H143" t="s">
        <v>10114</v>
      </c>
      <c r="I143" t="s">
        <v>10169</v>
      </c>
      <c r="J143" t="s">
        <v>10212</v>
      </c>
      <c r="K143" t="s">
        <v>10217</v>
      </c>
      <c r="M143" t="s">
        <v>10258</v>
      </c>
      <c r="N143" t="s">
        <v>10650</v>
      </c>
      <c r="P143" t="s">
        <v>10749</v>
      </c>
      <c r="Q143" t="s">
        <v>10765</v>
      </c>
      <c r="R143" t="s">
        <v>10821</v>
      </c>
      <c r="T143">
        <v>12000</v>
      </c>
      <c r="U143">
        <v>1000</v>
      </c>
      <c r="V143">
        <v>77</v>
      </c>
      <c r="W143">
        <v>4</v>
      </c>
      <c r="X143">
        <v>0</v>
      </c>
      <c r="Z143">
        <v>46.6</v>
      </c>
      <c r="AA143">
        <v>40.766192</v>
      </c>
      <c r="AB143">
        <v>-73.828405</v>
      </c>
      <c r="AD143" t="s">
        <v>10839</v>
      </c>
      <c r="AG143" t="s">
        <v>10858</v>
      </c>
      <c r="AH143" t="s">
        <v>10862</v>
      </c>
      <c r="AI143">
        <v>237</v>
      </c>
      <c r="AJ143" t="s">
        <v>10212</v>
      </c>
      <c r="AL143">
        <v>0.15</v>
      </c>
      <c r="AM143" t="s">
        <v>10890</v>
      </c>
      <c r="AN143" t="s">
        <v>10927</v>
      </c>
      <c r="AO143" t="s">
        <v>11009</v>
      </c>
      <c r="AP143" t="s">
        <v>11067</v>
      </c>
      <c r="AR143" t="s">
        <v>11263</v>
      </c>
      <c r="AS143" t="s">
        <v>11594</v>
      </c>
      <c r="AT143" t="s">
        <v>11641</v>
      </c>
      <c r="BA143" t="s">
        <v>11739</v>
      </c>
      <c r="BB143">
        <v>0</v>
      </c>
      <c r="BC143">
        <v>0</v>
      </c>
      <c r="BD143">
        <v>0</v>
      </c>
      <c r="BE143">
        <v>0</v>
      </c>
      <c r="BF143">
        <v>4</v>
      </c>
      <c r="BG143">
        <v>0</v>
      </c>
    </row>
    <row r="144" spans="1:59">
      <c r="A144" s="1">
        <f>HYPERLINK("https://lsnyc.legalserver.org/matter/dynamic-profile/view/1903790","19-1903790")</f>
        <v>0</v>
      </c>
      <c r="B144" t="s">
        <v>188</v>
      </c>
      <c r="C144" t="s">
        <v>5124</v>
      </c>
      <c r="D144" t="s">
        <v>9939</v>
      </c>
      <c r="E144" t="s">
        <v>10075</v>
      </c>
      <c r="F144">
        <v>11419</v>
      </c>
      <c r="G144" t="s">
        <v>10092</v>
      </c>
      <c r="H144" t="s">
        <v>10114</v>
      </c>
      <c r="I144" t="s">
        <v>10168</v>
      </c>
      <c r="J144" t="s">
        <v>10212</v>
      </c>
      <c r="K144" t="s">
        <v>10217</v>
      </c>
      <c r="M144" t="s">
        <v>10311</v>
      </c>
      <c r="N144" t="s">
        <v>10684</v>
      </c>
      <c r="P144" t="s">
        <v>10751</v>
      </c>
      <c r="Q144" t="s">
        <v>10786</v>
      </c>
      <c r="R144" t="s">
        <v>10827</v>
      </c>
      <c r="T144">
        <v>6000</v>
      </c>
      <c r="U144">
        <v>500</v>
      </c>
      <c r="V144">
        <v>82</v>
      </c>
      <c r="W144">
        <v>1</v>
      </c>
      <c r="X144">
        <v>0</v>
      </c>
      <c r="Z144">
        <v>48.04</v>
      </c>
      <c r="AA144">
        <v>40.685224</v>
      </c>
      <c r="AB144">
        <v>-73.827778</v>
      </c>
      <c r="AD144" t="s">
        <v>10840</v>
      </c>
      <c r="AG144" t="s">
        <v>10858</v>
      </c>
      <c r="AH144" t="s">
        <v>10873</v>
      </c>
      <c r="AI144">
        <v>237</v>
      </c>
      <c r="AJ144" t="s">
        <v>10212</v>
      </c>
      <c r="AL144">
        <v>2</v>
      </c>
      <c r="AM144" t="s">
        <v>10892</v>
      </c>
      <c r="AN144" t="s">
        <v>10944</v>
      </c>
      <c r="AO144" t="s">
        <v>11017</v>
      </c>
      <c r="AP144" t="s">
        <v>11070</v>
      </c>
      <c r="AR144" t="s">
        <v>11268</v>
      </c>
      <c r="AS144" t="s">
        <v>11594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</row>
    <row r="145" spans="1:59">
      <c r="A145" s="1">
        <f>HYPERLINK("https://lsnyc.legalserver.org/matter/dynamic-profile/view/1903791","19-1903791")</f>
        <v>0</v>
      </c>
      <c r="B145" t="s">
        <v>189</v>
      </c>
      <c r="C145" t="s">
        <v>5125</v>
      </c>
      <c r="D145" t="s">
        <v>9940</v>
      </c>
      <c r="E145" t="s">
        <v>10075</v>
      </c>
      <c r="F145">
        <v>11421</v>
      </c>
      <c r="G145" t="s">
        <v>10092</v>
      </c>
      <c r="H145" t="s">
        <v>10114</v>
      </c>
      <c r="I145" t="s">
        <v>10168</v>
      </c>
      <c r="J145" t="s">
        <v>10212</v>
      </c>
      <c r="K145" t="s">
        <v>10217</v>
      </c>
      <c r="M145" t="s">
        <v>10311</v>
      </c>
      <c r="N145" t="s">
        <v>10684</v>
      </c>
      <c r="P145" t="s">
        <v>10751</v>
      </c>
      <c r="Q145" t="s">
        <v>10786</v>
      </c>
      <c r="R145" t="s">
        <v>10827</v>
      </c>
      <c r="T145">
        <v>26694</v>
      </c>
      <c r="U145">
        <v>2224.5</v>
      </c>
      <c r="V145">
        <v>64</v>
      </c>
      <c r="W145">
        <v>2</v>
      </c>
      <c r="X145">
        <v>0</v>
      </c>
      <c r="Z145">
        <v>157.86</v>
      </c>
      <c r="AA145">
        <v>40.691947</v>
      </c>
      <c r="AB145">
        <v>-73.86523800000001</v>
      </c>
      <c r="AD145" t="s">
        <v>10839</v>
      </c>
      <c r="AG145" t="s">
        <v>10858</v>
      </c>
      <c r="AH145" t="s">
        <v>10873</v>
      </c>
      <c r="AI145">
        <v>237</v>
      </c>
      <c r="AJ145" t="s">
        <v>10212</v>
      </c>
      <c r="AL145">
        <v>3.25</v>
      </c>
      <c r="AM145" t="s">
        <v>10886</v>
      </c>
      <c r="AN145" t="s">
        <v>10945</v>
      </c>
      <c r="AO145" t="s">
        <v>11003</v>
      </c>
      <c r="AP145" t="s">
        <v>11077</v>
      </c>
      <c r="AR145" t="s">
        <v>11268</v>
      </c>
      <c r="AS145" t="s">
        <v>11594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</row>
    <row r="146" spans="1:59">
      <c r="A146" s="1">
        <f>HYPERLINK("https://lsnyc.legalserver.org/matter/dynamic-profile/view/1903792","19-1903792")</f>
        <v>0</v>
      </c>
      <c r="B146" t="s">
        <v>190</v>
      </c>
      <c r="C146" t="s">
        <v>5126</v>
      </c>
      <c r="D146" t="s">
        <v>9937</v>
      </c>
      <c r="E146" t="s">
        <v>10075</v>
      </c>
      <c r="F146">
        <v>11412</v>
      </c>
      <c r="G146" t="s">
        <v>10092</v>
      </c>
      <c r="H146" t="s">
        <v>10114</v>
      </c>
      <c r="I146" t="s">
        <v>10168</v>
      </c>
      <c r="J146" t="s">
        <v>10212</v>
      </c>
      <c r="K146" t="s">
        <v>10217</v>
      </c>
      <c r="M146" t="s">
        <v>10312</v>
      </c>
      <c r="N146" t="s">
        <v>10685</v>
      </c>
      <c r="P146" t="s">
        <v>10749</v>
      </c>
      <c r="Q146" t="s">
        <v>10765</v>
      </c>
      <c r="R146" t="s">
        <v>10824</v>
      </c>
      <c r="T146">
        <v>9000</v>
      </c>
      <c r="U146">
        <v>750</v>
      </c>
      <c r="V146">
        <v>40</v>
      </c>
      <c r="W146">
        <v>1</v>
      </c>
      <c r="X146">
        <v>0</v>
      </c>
      <c r="Z146">
        <v>72.06</v>
      </c>
      <c r="AA146">
        <v>40.706224</v>
      </c>
      <c r="AB146">
        <v>-73.754965</v>
      </c>
      <c r="AD146" t="s">
        <v>10839</v>
      </c>
      <c r="AG146" t="s">
        <v>10858</v>
      </c>
      <c r="AH146" t="s">
        <v>10862</v>
      </c>
      <c r="AI146">
        <v>237</v>
      </c>
      <c r="AJ146" t="s">
        <v>10212</v>
      </c>
      <c r="AL146">
        <v>21.35</v>
      </c>
      <c r="AM146" t="s">
        <v>10892</v>
      </c>
      <c r="AN146" t="s">
        <v>10940</v>
      </c>
      <c r="AO146" t="s">
        <v>11020</v>
      </c>
      <c r="AP146" t="s">
        <v>11075</v>
      </c>
      <c r="AQ146" t="s">
        <v>11101</v>
      </c>
      <c r="AR146" t="s">
        <v>11296</v>
      </c>
      <c r="AS146" t="s">
        <v>11594</v>
      </c>
      <c r="AT146" t="s">
        <v>11641</v>
      </c>
      <c r="AX146" t="s">
        <v>10838</v>
      </c>
      <c r="BA146" t="s">
        <v>11738</v>
      </c>
      <c r="BB146">
        <v>0</v>
      </c>
      <c r="BC146">
        <v>0</v>
      </c>
      <c r="BD146">
        <v>0</v>
      </c>
      <c r="BE146">
        <v>0</v>
      </c>
      <c r="BF146">
        <v>5</v>
      </c>
      <c r="BG146">
        <v>0</v>
      </c>
    </row>
    <row r="147" spans="1:59">
      <c r="A147" s="1">
        <f>HYPERLINK("https://lsnyc.legalserver.org/matter/dynamic-profile/view/1903793","19-1903793")</f>
        <v>0</v>
      </c>
      <c r="B147" t="s">
        <v>191</v>
      </c>
      <c r="C147" t="s">
        <v>5127</v>
      </c>
      <c r="D147" t="s">
        <v>9928</v>
      </c>
      <c r="E147" t="s">
        <v>10075</v>
      </c>
      <c r="F147">
        <v>11212</v>
      </c>
      <c r="G147" t="s">
        <v>10093</v>
      </c>
      <c r="H147" t="s">
        <v>10097</v>
      </c>
      <c r="J147" t="s">
        <v>10213</v>
      </c>
      <c r="K147" t="s">
        <v>10217</v>
      </c>
      <c r="M147" t="s">
        <v>10313</v>
      </c>
      <c r="N147" t="s">
        <v>10649</v>
      </c>
      <c r="P147" t="s">
        <v>10753</v>
      </c>
      <c r="Q147" t="s">
        <v>10763</v>
      </c>
      <c r="R147" t="s">
        <v>10821</v>
      </c>
      <c r="T147">
        <v>20488</v>
      </c>
      <c r="U147">
        <v>1707.33</v>
      </c>
      <c r="V147">
        <v>68</v>
      </c>
      <c r="W147">
        <v>1</v>
      </c>
      <c r="X147">
        <v>0</v>
      </c>
      <c r="Z147">
        <v>164.04</v>
      </c>
      <c r="AA147">
        <v>40.655779</v>
      </c>
      <c r="AB147">
        <v>-73.917438</v>
      </c>
      <c r="AD147" t="s">
        <v>10840</v>
      </c>
      <c r="AF147" t="s">
        <v>10842</v>
      </c>
      <c r="AG147" t="s">
        <v>10859</v>
      </c>
      <c r="AH147" t="s">
        <v>10868</v>
      </c>
      <c r="AI147">
        <v>239</v>
      </c>
      <c r="AJ147" t="s">
        <v>10213</v>
      </c>
      <c r="AL147">
        <v>3</v>
      </c>
      <c r="AR147" t="s">
        <v>11254</v>
      </c>
      <c r="AS147" t="s">
        <v>11595</v>
      </c>
      <c r="AT147" t="s">
        <v>11642</v>
      </c>
      <c r="AX147" t="s">
        <v>10837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</row>
    <row r="148" spans="1:59">
      <c r="A148" s="1">
        <f>HYPERLINK("https://lsnyc.legalserver.org/matter/dynamic-profile/view/1903794","19-1903794")</f>
        <v>0</v>
      </c>
      <c r="B148" t="s">
        <v>192</v>
      </c>
      <c r="C148" t="s">
        <v>5128</v>
      </c>
      <c r="D148" t="s">
        <v>9928</v>
      </c>
      <c r="E148" t="s">
        <v>10075</v>
      </c>
      <c r="F148">
        <v>11225</v>
      </c>
      <c r="G148" t="s">
        <v>10093</v>
      </c>
      <c r="H148" t="s">
        <v>10097</v>
      </c>
      <c r="I148" t="s">
        <v>10168</v>
      </c>
      <c r="J148" t="s">
        <v>10213</v>
      </c>
      <c r="K148" t="s">
        <v>10217</v>
      </c>
      <c r="M148" t="s">
        <v>10314</v>
      </c>
      <c r="N148" t="s">
        <v>10667</v>
      </c>
      <c r="P148" t="s">
        <v>10749</v>
      </c>
      <c r="Q148" t="s">
        <v>10765</v>
      </c>
      <c r="R148" t="s">
        <v>10824</v>
      </c>
      <c r="T148">
        <v>12000</v>
      </c>
      <c r="U148">
        <v>1000</v>
      </c>
      <c r="V148">
        <v>65</v>
      </c>
      <c r="W148">
        <v>1</v>
      </c>
      <c r="X148">
        <v>0</v>
      </c>
      <c r="Z148">
        <v>96.08</v>
      </c>
      <c r="AA148">
        <v>40.666646</v>
      </c>
      <c r="AB148">
        <v>-73.953846</v>
      </c>
      <c r="AD148" t="s">
        <v>10839</v>
      </c>
      <c r="AF148" t="s">
        <v>10842</v>
      </c>
      <c r="AG148" t="s">
        <v>10859</v>
      </c>
      <c r="AH148" t="s">
        <v>10862</v>
      </c>
      <c r="AI148">
        <v>239</v>
      </c>
      <c r="AJ148" t="s">
        <v>10213</v>
      </c>
      <c r="AL148">
        <v>6.75</v>
      </c>
      <c r="AM148" t="s">
        <v>10888</v>
      </c>
      <c r="AN148" t="s">
        <v>10923</v>
      </c>
      <c r="AO148" t="s">
        <v>11005</v>
      </c>
      <c r="AP148" t="s">
        <v>11061</v>
      </c>
      <c r="AQ148" t="s">
        <v>11101</v>
      </c>
      <c r="AR148" t="s">
        <v>11257</v>
      </c>
      <c r="AS148" t="s">
        <v>11595</v>
      </c>
      <c r="BA148" t="s">
        <v>11738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</row>
    <row r="149" spans="1:59">
      <c r="A149" s="1">
        <f>HYPERLINK("https://lsnyc.legalserver.org/matter/dynamic-profile/view/1903795","19-1903795")</f>
        <v>0</v>
      </c>
      <c r="B149" t="s">
        <v>193</v>
      </c>
      <c r="C149" t="s">
        <v>5129</v>
      </c>
      <c r="D149" t="s">
        <v>9929</v>
      </c>
      <c r="E149" t="s">
        <v>10075</v>
      </c>
      <c r="F149">
        <v>10306</v>
      </c>
      <c r="G149" t="s">
        <v>10088</v>
      </c>
      <c r="H149" t="s">
        <v>10119</v>
      </c>
      <c r="J149" t="s">
        <v>10208</v>
      </c>
      <c r="K149" t="s">
        <v>10217</v>
      </c>
      <c r="M149" t="s">
        <v>10259</v>
      </c>
      <c r="N149" t="s">
        <v>10644</v>
      </c>
      <c r="P149" t="s">
        <v>10749</v>
      </c>
      <c r="Q149" t="s">
        <v>10765</v>
      </c>
      <c r="R149" t="s">
        <v>10820</v>
      </c>
      <c r="T149">
        <v>32400</v>
      </c>
      <c r="U149">
        <v>2700</v>
      </c>
      <c r="V149">
        <v>73</v>
      </c>
      <c r="W149">
        <v>1</v>
      </c>
      <c r="X149">
        <v>0</v>
      </c>
      <c r="Z149">
        <v>259.41</v>
      </c>
      <c r="AA149">
        <v>40.55669</v>
      </c>
      <c r="AB149">
        <v>-74.140715</v>
      </c>
      <c r="AD149" t="s">
        <v>10840</v>
      </c>
      <c r="AG149" t="s">
        <v>10858</v>
      </c>
      <c r="AH149" t="s">
        <v>10862</v>
      </c>
      <c r="AI149">
        <v>285</v>
      </c>
      <c r="AJ149" t="s">
        <v>10208</v>
      </c>
      <c r="AL149">
        <v>3.3</v>
      </c>
      <c r="AM149" t="s">
        <v>10883</v>
      </c>
      <c r="AN149" t="s">
        <v>10906</v>
      </c>
      <c r="AO149" t="s">
        <v>10999</v>
      </c>
      <c r="AP149" t="s">
        <v>11044</v>
      </c>
      <c r="AR149" t="s">
        <v>11264</v>
      </c>
      <c r="AS149" t="s">
        <v>11593</v>
      </c>
      <c r="BA149" t="s">
        <v>11738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</row>
    <row r="150" spans="1:59">
      <c r="A150" s="1">
        <f>HYPERLINK("https://lsnyc.legalserver.org/matter/dynamic-profile/view/1903796","19-1903796")</f>
        <v>0</v>
      </c>
      <c r="B150" t="s">
        <v>194</v>
      </c>
      <c r="C150" t="s">
        <v>5130</v>
      </c>
      <c r="D150" t="s">
        <v>9925</v>
      </c>
      <c r="E150" t="s">
        <v>10075</v>
      </c>
      <c r="F150">
        <v>10009</v>
      </c>
      <c r="G150" t="s">
        <v>10089</v>
      </c>
      <c r="H150" t="s">
        <v>10097</v>
      </c>
      <c r="I150" t="s">
        <v>10169</v>
      </c>
      <c r="J150" t="s">
        <v>10209</v>
      </c>
      <c r="K150" t="s">
        <v>10218</v>
      </c>
      <c r="L150" t="s">
        <v>10162</v>
      </c>
      <c r="M150" t="s">
        <v>10266</v>
      </c>
      <c r="N150" t="s">
        <v>10649</v>
      </c>
      <c r="P150" t="s">
        <v>10753</v>
      </c>
      <c r="Q150" t="s">
        <v>10763</v>
      </c>
      <c r="R150" t="s">
        <v>10823</v>
      </c>
      <c r="T150">
        <v>3600</v>
      </c>
      <c r="U150">
        <v>300</v>
      </c>
      <c r="V150">
        <v>43</v>
      </c>
      <c r="W150">
        <v>1</v>
      </c>
      <c r="X150">
        <v>0</v>
      </c>
      <c r="Y150" t="s">
        <v>10833</v>
      </c>
      <c r="Z150">
        <v>28.82</v>
      </c>
      <c r="AA150">
        <v>40.724832</v>
      </c>
      <c r="AB150">
        <v>-73.975466</v>
      </c>
      <c r="AD150" t="s">
        <v>10839</v>
      </c>
      <c r="AF150" t="s">
        <v>10843</v>
      </c>
      <c r="AG150" t="s">
        <v>10859</v>
      </c>
      <c r="AH150" t="s">
        <v>10864</v>
      </c>
      <c r="AI150">
        <v>236</v>
      </c>
      <c r="AJ150" t="s">
        <v>10209</v>
      </c>
      <c r="AK150" t="s">
        <v>10882</v>
      </c>
      <c r="AL150">
        <v>0.35</v>
      </c>
      <c r="AM150" t="s">
        <v>10891</v>
      </c>
      <c r="AN150" t="s">
        <v>10910</v>
      </c>
      <c r="AO150" t="s">
        <v>11021</v>
      </c>
      <c r="AP150" t="s">
        <v>11048</v>
      </c>
      <c r="AQ150" t="s">
        <v>11104</v>
      </c>
      <c r="AR150" t="s">
        <v>11257</v>
      </c>
      <c r="AS150" t="s">
        <v>9925</v>
      </c>
      <c r="AY150" t="s">
        <v>10833</v>
      </c>
      <c r="AZ150" t="s">
        <v>11689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</row>
    <row r="151" spans="1:59">
      <c r="A151" s="1">
        <f>HYPERLINK("https://lsnyc.legalserver.org/matter/dynamic-profile/view/1903797","19-1903797")</f>
        <v>0</v>
      </c>
      <c r="B151" t="s">
        <v>195</v>
      </c>
      <c r="C151" t="s">
        <v>5131</v>
      </c>
      <c r="D151" t="s">
        <v>9928</v>
      </c>
      <c r="E151" t="s">
        <v>10075</v>
      </c>
      <c r="F151">
        <v>11220</v>
      </c>
      <c r="G151" t="s">
        <v>10093</v>
      </c>
      <c r="H151" t="s">
        <v>10097</v>
      </c>
      <c r="I151" t="s">
        <v>10171</v>
      </c>
      <c r="J151" t="s">
        <v>10213</v>
      </c>
      <c r="K151" t="s">
        <v>10217</v>
      </c>
      <c r="M151" t="s">
        <v>10315</v>
      </c>
      <c r="N151" t="s">
        <v>10686</v>
      </c>
      <c r="P151" t="s">
        <v>10750</v>
      </c>
      <c r="Q151" t="s">
        <v>10778</v>
      </c>
      <c r="R151" t="s">
        <v>10820</v>
      </c>
      <c r="T151">
        <v>31200</v>
      </c>
      <c r="U151">
        <v>2600</v>
      </c>
      <c r="V151">
        <v>25</v>
      </c>
      <c r="W151">
        <v>1</v>
      </c>
      <c r="X151">
        <v>0</v>
      </c>
      <c r="Z151">
        <v>249.8</v>
      </c>
      <c r="AA151">
        <v>40.642392</v>
      </c>
      <c r="AB151">
        <v>-74.000254</v>
      </c>
      <c r="AD151" t="s">
        <v>10839</v>
      </c>
      <c r="AF151" t="s">
        <v>10842</v>
      </c>
      <c r="AG151" t="s">
        <v>10859</v>
      </c>
      <c r="AH151" t="s">
        <v>10870</v>
      </c>
      <c r="AI151">
        <v>239</v>
      </c>
      <c r="AJ151" t="s">
        <v>10213</v>
      </c>
      <c r="AL151">
        <v>0.75</v>
      </c>
      <c r="AM151" t="s">
        <v>10886</v>
      </c>
      <c r="AN151" t="s">
        <v>10921</v>
      </c>
      <c r="AO151" t="s">
        <v>11015</v>
      </c>
      <c r="AP151" t="s">
        <v>11069</v>
      </c>
      <c r="AR151" t="s">
        <v>11257</v>
      </c>
      <c r="AS151" t="s">
        <v>11595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</row>
    <row r="152" spans="1:59">
      <c r="A152" s="1">
        <f>HYPERLINK("https://lsnyc.legalserver.org/matter/dynamic-profile/view/1903798","19-1903798")</f>
        <v>0</v>
      </c>
      <c r="B152" t="s">
        <v>196</v>
      </c>
      <c r="C152" t="s">
        <v>5132</v>
      </c>
      <c r="D152" t="s">
        <v>9926</v>
      </c>
      <c r="E152" t="s">
        <v>10075</v>
      </c>
      <c r="F152">
        <v>10457</v>
      </c>
      <c r="G152" t="s">
        <v>10090</v>
      </c>
      <c r="H152" t="s">
        <v>10097</v>
      </c>
      <c r="I152" t="s">
        <v>10168</v>
      </c>
      <c r="J152" t="s">
        <v>10210</v>
      </c>
      <c r="K152" t="s">
        <v>10218</v>
      </c>
      <c r="L152" t="s">
        <v>10156</v>
      </c>
      <c r="M152" t="s">
        <v>10316</v>
      </c>
      <c r="N152" t="s">
        <v>10651</v>
      </c>
      <c r="P152" t="s">
        <v>10749</v>
      </c>
      <c r="Q152" t="s">
        <v>10765</v>
      </c>
      <c r="R152" t="s">
        <v>10824</v>
      </c>
      <c r="T152">
        <v>14976</v>
      </c>
      <c r="U152">
        <v>1248</v>
      </c>
      <c r="V152">
        <v>53</v>
      </c>
      <c r="W152">
        <v>1</v>
      </c>
      <c r="X152">
        <v>0</v>
      </c>
      <c r="Y152" t="s">
        <v>10831</v>
      </c>
      <c r="Z152">
        <v>119.9</v>
      </c>
      <c r="AA152">
        <v>40.846988</v>
      </c>
      <c r="AB152">
        <v>-73.894081</v>
      </c>
      <c r="AD152" t="s">
        <v>10840</v>
      </c>
      <c r="AG152" t="s">
        <v>10858</v>
      </c>
      <c r="AH152" t="s">
        <v>10861</v>
      </c>
      <c r="AI152">
        <v>230</v>
      </c>
      <c r="AJ152" t="s">
        <v>10210</v>
      </c>
      <c r="AK152" t="s">
        <v>10882</v>
      </c>
      <c r="AL152">
        <v>7.2</v>
      </c>
      <c r="AM152" t="s">
        <v>10884</v>
      </c>
      <c r="AN152" t="s">
        <v>10931</v>
      </c>
      <c r="AO152" t="s">
        <v>11000</v>
      </c>
      <c r="AP152" t="s">
        <v>11056</v>
      </c>
      <c r="AR152" t="s">
        <v>11296</v>
      </c>
      <c r="AS152" t="s">
        <v>9926</v>
      </c>
      <c r="AT152" t="s">
        <v>11642</v>
      </c>
      <c r="AX152" t="s">
        <v>10838</v>
      </c>
      <c r="AY152" t="s">
        <v>10831</v>
      </c>
      <c r="AZ152" t="s">
        <v>11687</v>
      </c>
      <c r="BA152" t="s">
        <v>11738</v>
      </c>
      <c r="BB152">
        <v>0</v>
      </c>
      <c r="BC152">
        <v>0</v>
      </c>
      <c r="BD152">
        <v>0</v>
      </c>
      <c r="BE152">
        <v>0</v>
      </c>
      <c r="BF152">
        <v>5</v>
      </c>
      <c r="BG152">
        <v>0</v>
      </c>
    </row>
    <row r="153" spans="1:59">
      <c r="A153" s="1">
        <f>HYPERLINK("https://lsnyc.legalserver.org/matter/dynamic-profile/view/1903800","19-1903800")</f>
        <v>0</v>
      </c>
      <c r="B153" t="s">
        <v>197</v>
      </c>
      <c r="C153" t="s">
        <v>5133</v>
      </c>
      <c r="D153" t="s">
        <v>9928</v>
      </c>
      <c r="E153" t="s">
        <v>10075</v>
      </c>
      <c r="F153">
        <v>11208</v>
      </c>
      <c r="G153" t="s">
        <v>10093</v>
      </c>
      <c r="H153" t="s">
        <v>10097</v>
      </c>
      <c r="I153" t="s">
        <v>10168</v>
      </c>
      <c r="J153" t="s">
        <v>10213</v>
      </c>
      <c r="K153" t="s">
        <v>10218</v>
      </c>
      <c r="L153" t="s">
        <v>10124</v>
      </c>
      <c r="M153" t="s">
        <v>10317</v>
      </c>
      <c r="N153" t="s">
        <v>10671</v>
      </c>
      <c r="P153" t="s">
        <v>10751</v>
      </c>
      <c r="Q153" t="s">
        <v>10786</v>
      </c>
      <c r="R153" t="s">
        <v>10824</v>
      </c>
      <c r="T153">
        <v>0</v>
      </c>
      <c r="U153">
        <v>0</v>
      </c>
      <c r="V153">
        <v>26</v>
      </c>
      <c r="W153">
        <v>1</v>
      </c>
      <c r="X153">
        <v>0</v>
      </c>
      <c r="Y153" t="s">
        <v>10829</v>
      </c>
      <c r="Z153">
        <v>0</v>
      </c>
      <c r="AA153">
        <v>40.6702</v>
      </c>
      <c r="AB153">
        <v>-73.863207</v>
      </c>
      <c r="AD153" t="s">
        <v>10839</v>
      </c>
      <c r="AG153" t="s">
        <v>10858</v>
      </c>
      <c r="AH153" t="s">
        <v>10871</v>
      </c>
      <c r="AI153">
        <v>234</v>
      </c>
      <c r="AJ153" t="s">
        <v>10214</v>
      </c>
      <c r="AK153" t="s">
        <v>10838</v>
      </c>
      <c r="AL153">
        <v>3.85</v>
      </c>
      <c r="AM153" t="s">
        <v>10889</v>
      </c>
      <c r="AN153" t="s">
        <v>10946</v>
      </c>
      <c r="AO153" t="s">
        <v>11012</v>
      </c>
      <c r="AP153" t="s">
        <v>11060</v>
      </c>
      <c r="AR153" t="s">
        <v>11267</v>
      </c>
      <c r="AS153" t="s">
        <v>11595</v>
      </c>
      <c r="AT153" t="s">
        <v>11641</v>
      </c>
      <c r="AX153" t="s">
        <v>10838</v>
      </c>
      <c r="AY153" t="s">
        <v>10829</v>
      </c>
      <c r="AZ153" t="s">
        <v>11682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</row>
    <row r="154" spans="1:59">
      <c r="A154" s="1">
        <f>HYPERLINK("https://lsnyc.legalserver.org/matter/dynamic-profile/view/1903802","19-1903802")</f>
        <v>0</v>
      </c>
      <c r="C154" t="s">
        <v>5132</v>
      </c>
      <c r="D154" t="s">
        <v>9926</v>
      </c>
      <c r="E154" t="s">
        <v>10075</v>
      </c>
      <c r="F154">
        <v>10457</v>
      </c>
      <c r="G154" t="s">
        <v>10090</v>
      </c>
      <c r="H154" t="s">
        <v>10097</v>
      </c>
      <c r="I154" t="s">
        <v>10168</v>
      </c>
      <c r="J154" t="s">
        <v>10210</v>
      </c>
      <c r="K154" t="s">
        <v>10218</v>
      </c>
      <c r="L154" t="s">
        <v>10156</v>
      </c>
      <c r="M154" t="s">
        <v>10316</v>
      </c>
      <c r="N154" t="s">
        <v>10671</v>
      </c>
      <c r="P154" t="s">
        <v>10751</v>
      </c>
      <c r="Q154" t="s">
        <v>10761</v>
      </c>
      <c r="R154" t="s">
        <v>10824</v>
      </c>
      <c r="T154">
        <v>14976</v>
      </c>
      <c r="U154">
        <v>1248</v>
      </c>
      <c r="V154">
        <v>0</v>
      </c>
      <c r="W154">
        <v>1</v>
      </c>
      <c r="X154">
        <v>0</v>
      </c>
      <c r="Y154" t="s">
        <v>10830</v>
      </c>
      <c r="Z154">
        <v>119.9</v>
      </c>
      <c r="AA154">
        <v>40.846988</v>
      </c>
      <c r="AB154">
        <v>-73.894081</v>
      </c>
      <c r="AD154" t="s">
        <v>10840</v>
      </c>
      <c r="AG154" t="s">
        <v>10858</v>
      </c>
      <c r="AH154" t="s">
        <v>10861</v>
      </c>
      <c r="AI154">
        <v>230</v>
      </c>
      <c r="AJ154" t="s">
        <v>10210</v>
      </c>
      <c r="AK154" t="s">
        <v>10882</v>
      </c>
      <c r="AL154">
        <v>2.5</v>
      </c>
      <c r="AM154" t="s">
        <v>10884</v>
      </c>
      <c r="AN154" t="s">
        <v>10931</v>
      </c>
      <c r="AO154" t="s">
        <v>11000</v>
      </c>
      <c r="AP154" t="s">
        <v>11056</v>
      </c>
      <c r="AR154" t="s">
        <v>11296</v>
      </c>
      <c r="AS154" t="s">
        <v>9926</v>
      </c>
      <c r="AY154" t="s">
        <v>10830</v>
      </c>
      <c r="AZ154" t="s">
        <v>11692</v>
      </c>
      <c r="BA154" t="s">
        <v>11738</v>
      </c>
      <c r="BB154">
        <v>0</v>
      </c>
      <c r="BC154">
        <v>0</v>
      </c>
      <c r="BD154">
        <v>0</v>
      </c>
      <c r="BE154">
        <v>0</v>
      </c>
      <c r="BF154">
        <v>5</v>
      </c>
      <c r="BG154">
        <v>0</v>
      </c>
    </row>
    <row r="155" spans="1:59">
      <c r="A155" s="1">
        <f>HYPERLINK("https://lsnyc.legalserver.org/matter/dynamic-profile/view/1903803","19-1903803")</f>
        <v>0</v>
      </c>
      <c r="B155" t="s">
        <v>198</v>
      </c>
      <c r="C155" t="s">
        <v>5134</v>
      </c>
      <c r="D155" t="s">
        <v>9928</v>
      </c>
      <c r="E155" t="s">
        <v>10075</v>
      </c>
      <c r="F155">
        <v>11221</v>
      </c>
      <c r="G155" t="s">
        <v>10093</v>
      </c>
      <c r="H155" t="s">
        <v>10097</v>
      </c>
      <c r="I155" t="s">
        <v>10168</v>
      </c>
      <c r="J155" t="s">
        <v>10213</v>
      </c>
      <c r="K155" t="s">
        <v>10217</v>
      </c>
      <c r="M155" t="s">
        <v>10280</v>
      </c>
      <c r="N155" t="s">
        <v>10656</v>
      </c>
      <c r="P155" t="s">
        <v>10751</v>
      </c>
      <c r="Q155" t="s">
        <v>10780</v>
      </c>
      <c r="R155" t="s">
        <v>10821</v>
      </c>
      <c r="T155">
        <v>9660</v>
      </c>
      <c r="U155">
        <v>805</v>
      </c>
      <c r="V155">
        <v>32</v>
      </c>
      <c r="W155">
        <v>1</v>
      </c>
      <c r="X155">
        <v>2</v>
      </c>
      <c r="Z155">
        <v>45.29</v>
      </c>
      <c r="AA155">
        <v>40.688396</v>
      </c>
      <c r="AB155">
        <v>-73.914603</v>
      </c>
      <c r="AD155" t="s">
        <v>10839</v>
      </c>
      <c r="AG155" t="s">
        <v>10858</v>
      </c>
      <c r="AH155" t="s">
        <v>10861</v>
      </c>
      <c r="AI155">
        <v>234</v>
      </c>
      <c r="AJ155" t="s">
        <v>10214</v>
      </c>
      <c r="AL155">
        <v>3.1</v>
      </c>
      <c r="AM155" t="s">
        <v>10889</v>
      </c>
      <c r="AN155" t="s">
        <v>10920</v>
      </c>
      <c r="AO155" t="s">
        <v>11011</v>
      </c>
      <c r="AP155" t="s">
        <v>11058</v>
      </c>
      <c r="AQ155" t="s">
        <v>11118</v>
      </c>
      <c r="AR155" t="s">
        <v>11297</v>
      </c>
      <c r="AS155" t="s">
        <v>11595</v>
      </c>
      <c r="AT155" t="s">
        <v>11641</v>
      </c>
      <c r="AX155" t="s">
        <v>10838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</row>
    <row r="156" spans="1:59">
      <c r="A156" s="1">
        <f>HYPERLINK("https://lsnyc.legalserver.org/matter/dynamic-profile/view/1903805","19-1903805")</f>
        <v>0</v>
      </c>
      <c r="B156" t="s">
        <v>199</v>
      </c>
      <c r="C156" t="s">
        <v>5135</v>
      </c>
      <c r="D156" t="s">
        <v>9939</v>
      </c>
      <c r="E156" t="s">
        <v>10075</v>
      </c>
      <c r="F156">
        <v>11419</v>
      </c>
      <c r="G156" t="s">
        <v>10092</v>
      </c>
      <c r="H156" t="s">
        <v>10097</v>
      </c>
      <c r="I156" t="s">
        <v>10168</v>
      </c>
      <c r="J156" t="s">
        <v>10212</v>
      </c>
      <c r="K156" t="s">
        <v>10218</v>
      </c>
      <c r="L156" t="s">
        <v>10134</v>
      </c>
      <c r="M156" t="s">
        <v>10318</v>
      </c>
      <c r="N156" t="s">
        <v>10684</v>
      </c>
      <c r="P156" t="s">
        <v>10751</v>
      </c>
      <c r="Q156" t="s">
        <v>10786</v>
      </c>
      <c r="R156" t="s">
        <v>10827</v>
      </c>
      <c r="T156">
        <v>13932</v>
      </c>
      <c r="U156">
        <v>1161</v>
      </c>
      <c r="V156">
        <v>55</v>
      </c>
      <c r="W156">
        <v>1</v>
      </c>
      <c r="X156">
        <v>1</v>
      </c>
      <c r="Y156" t="s">
        <v>10833</v>
      </c>
      <c r="Z156">
        <v>82.39</v>
      </c>
      <c r="AA156">
        <v>40.685785</v>
      </c>
      <c r="AB156">
        <v>-73.829982</v>
      </c>
      <c r="AD156" t="s">
        <v>10840</v>
      </c>
      <c r="AG156" t="s">
        <v>10858</v>
      </c>
      <c r="AH156" t="s">
        <v>10873</v>
      </c>
      <c r="AI156">
        <v>237</v>
      </c>
      <c r="AJ156" t="s">
        <v>10212</v>
      </c>
      <c r="AK156" t="s">
        <v>10838</v>
      </c>
      <c r="AL156">
        <v>4.25</v>
      </c>
      <c r="AM156" t="s">
        <v>10892</v>
      </c>
      <c r="AN156" t="s">
        <v>10945</v>
      </c>
      <c r="AO156" t="s">
        <v>11017</v>
      </c>
      <c r="AP156" t="s">
        <v>11070</v>
      </c>
      <c r="AR156" t="s">
        <v>11276</v>
      </c>
      <c r="AS156" t="s">
        <v>11594</v>
      </c>
      <c r="AT156" t="s">
        <v>11642</v>
      </c>
      <c r="AX156" t="s">
        <v>10838</v>
      </c>
      <c r="AY156" t="s">
        <v>10833</v>
      </c>
      <c r="AZ156" t="s">
        <v>11693</v>
      </c>
      <c r="BB156">
        <v>0</v>
      </c>
      <c r="BC156">
        <v>0</v>
      </c>
      <c r="BD156">
        <v>255</v>
      </c>
      <c r="BE156">
        <v>255</v>
      </c>
      <c r="BF156">
        <v>0</v>
      </c>
      <c r="BG156">
        <v>0</v>
      </c>
    </row>
    <row r="157" spans="1:59">
      <c r="A157" s="1">
        <f>HYPERLINK("https://lsnyc.legalserver.org/matter/dynamic-profile/view/1903807","19-1903807")</f>
        <v>0</v>
      </c>
      <c r="B157" t="s">
        <v>200</v>
      </c>
      <c r="C157" t="s">
        <v>5136</v>
      </c>
      <c r="D157" t="s">
        <v>9926</v>
      </c>
      <c r="E157" t="s">
        <v>10075</v>
      </c>
      <c r="F157">
        <v>10467</v>
      </c>
      <c r="G157" t="s">
        <v>10090</v>
      </c>
      <c r="H157" t="s">
        <v>10097</v>
      </c>
      <c r="I157" t="s">
        <v>10168</v>
      </c>
      <c r="J157" t="s">
        <v>10210</v>
      </c>
      <c r="K157" t="s">
        <v>10217</v>
      </c>
      <c r="M157" t="s">
        <v>10319</v>
      </c>
      <c r="N157" t="s">
        <v>10651</v>
      </c>
      <c r="P157" t="s">
        <v>10749</v>
      </c>
      <c r="Q157" t="s">
        <v>10765</v>
      </c>
      <c r="R157" t="s">
        <v>10821</v>
      </c>
      <c r="T157">
        <v>21252</v>
      </c>
      <c r="U157">
        <v>1771</v>
      </c>
      <c r="V157">
        <v>58</v>
      </c>
      <c r="W157">
        <v>2</v>
      </c>
      <c r="X157">
        <v>0</v>
      </c>
      <c r="Z157">
        <v>125.68</v>
      </c>
      <c r="AA157">
        <v>40.864145</v>
      </c>
      <c r="AB157">
        <v>-73.870001</v>
      </c>
      <c r="AC157" t="s">
        <v>10837</v>
      </c>
      <c r="AD157" t="s">
        <v>10840</v>
      </c>
      <c r="AG157" t="s">
        <v>10858</v>
      </c>
      <c r="AH157" t="s">
        <v>10861</v>
      </c>
      <c r="AI157">
        <v>230</v>
      </c>
      <c r="AJ157" t="s">
        <v>10210</v>
      </c>
      <c r="AL157">
        <v>10.55</v>
      </c>
      <c r="AM157" t="s">
        <v>10885</v>
      </c>
      <c r="AN157" t="s">
        <v>10938</v>
      </c>
      <c r="AO157" t="s">
        <v>11002</v>
      </c>
      <c r="AP157" t="s">
        <v>11056</v>
      </c>
      <c r="AR157" t="s">
        <v>11298</v>
      </c>
      <c r="AS157" t="s">
        <v>9926</v>
      </c>
      <c r="AT157" t="s">
        <v>11642</v>
      </c>
      <c r="AX157" t="s">
        <v>10838</v>
      </c>
      <c r="BA157" t="s">
        <v>11738</v>
      </c>
      <c r="BB157">
        <v>0</v>
      </c>
      <c r="BC157">
        <v>0</v>
      </c>
      <c r="BD157">
        <v>0</v>
      </c>
      <c r="BE157">
        <v>0</v>
      </c>
      <c r="BF157">
        <v>5</v>
      </c>
      <c r="BG157">
        <v>0</v>
      </c>
    </row>
    <row r="158" spans="1:59">
      <c r="A158" s="1">
        <f>HYPERLINK("https://lsnyc.legalserver.org/matter/dynamic-profile/view/1903809","19-1903809")</f>
        <v>0</v>
      </c>
      <c r="B158" t="s">
        <v>201</v>
      </c>
      <c r="C158" t="s">
        <v>5137</v>
      </c>
      <c r="D158" t="s">
        <v>9928</v>
      </c>
      <c r="E158" t="s">
        <v>10075</v>
      </c>
      <c r="F158">
        <v>11226</v>
      </c>
      <c r="G158" t="s">
        <v>10093</v>
      </c>
      <c r="H158" t="s">
        <v>10097</v>
      </c>
      <c r="I158" t="s">
        <v>10168</v>
      </c>
      <c r="J158" t="s">
        <v>10213</v>
      </c>
      <c r="K158" t="s">
        <v>10218</v>
      </c>
      <c r="L158" t="s">
        <v>10158</v>
      </c>
      <c r="M158" t="s">
        <v>10291</v>
      </c>
      <c r="N158" t="s">
        <v>10667</v>
      </c>
      <c r="P158" t="s">
        <v>10749</v>
      </c>
      <c r="Q158" t="s">
        <v>10765</v>
      </c>
      <c r="R158" t="s">
        <v>10822</v>
      </c>
      <c r="T158">
        <v>0</v>
      </c>
      <c r="U158">
        <v>0</v>
      </c>
      <c r="V158">
        <v>36</v>
      </c>
      <c r="W158">
        <v>1</v>
      </c>
      <c r="X158">
        <v>0</v>
      </c>
      <c r="Y158" t="s">
        <v>10831</v>
      </c>
      <c r="Z158">
        <v>0</v>
      </c>
      <c r="AA158">
        <v>40.638295</v>
      </c>
      <c r="AB158">
        <v>-73.958231</v>
      </c>
      <c r="AD158" t="s">
        <v>10840</v>
      </c>
      <c r="AG158" t="s">
        <v>10858</v>
      </c>
      <c r="AH158" t="s">
        <v>10862</v>
      </c>
      <c r="AI158">
        <v>239</v>
      </c>
      <c r="AJ158" t="s">
        <v>10213</v>
      </c>
      <c r="AK158" t="s">
        <v>10838</v>
      </c>
      <c r="AL158">
        <v>9.5</v>
      </c>
      <c r="AM158" t="s">
        <v>10888</v>
      </c>
      <c r="AN158" t="s">
        <v>10932</v>
      </c>
      <c r="AO158" t="s">
        <v>11008</v>
      </c>
      <c r="AP158" t="s">
        <v>11050</v>
      </c>
      <c r="AR158" t="s">
        <v>11279</v>
      </c>
      <c r="AS158" t="s">
        <v>11595</v>
      </c>
      <c r="AX158" t="s">
        <v>10837</v>
      </c>
      <c r="AY158" t="s">
        <v>10831</v>
      </c>
      <c r="AZ158" t="s">
        <v>11687</v>
      </c>
      <c r="BA158" t="s">
        <v>11738</v>
      </c>
      <c r="BB158">
        <v>6270.6</v>
      </c>
      <c r="BC158">
        <v>0</v>
      </c>
      <c r="BD158">
        <v>0</v>
      </c>
      <c r="BE158">
        <v>0</v>
      </c>
      <c r="BF158">
        <v>5</v>
      </c>
      <c r="BG158">
        <v>0</v>
      </c>
    </row>
    <row r="159" spans="1:59">
      <c r="A159" s="1">
        <f>HYPERLINK("https://lsnyc.legalserver.org/matter/dynamic-profile/view/1903811","19-1903811")</f>
        <v>0</v>
      </c>
      <c r="B159" t="s">
        <v>202</v>
      </c>
      <c r="C159" t="s">
        <v>5138</v>
      </c>
      <c r="D159" t="s">
        <v>9941</v>
      </c>
      <c r="E159" t="s">
        <v>10075</v>
      </c>
      <c r="F159">
        <v>11428</v>
      </c>
      <c r="G159" t="s">
        <v>10092</v>
      </c>
      <c r="H159" t="s">
        <v>10097</v>
      </c>
      <c r="I159" t="s">
        <v>10169</v>
      </c>
      <c r="J159" t="s">
        <v>10212</v>
      </c>
      <c r="K159" t="s">
        <v>10217</v>
      </c>
      <c r="M159" t="s">
        <v>10320</v>
      </c>
      <c r="N159" t="s">
        <v>10679</v>
      </c>
      <c r="P159" t="s">
        <v>10753</v>
      </c>
      <c r="Q159" t="s">
        <v>10763</v>
      </c>
      <c r="R159" t="s">
        <v>10823</v>
      </c>
      <c r="T159">
        <v>15600</v>
      </c>
      <c r="U159">
        <v>1300</v>
      </c>
      <c r="V159">
        <v>16</v>
      </c>
      <c r="W159">
        <v>2</v>
      </c>
      <c r="X159">
        <v>0</v>
      </c>
      <c r="Z159">
        <v>92.25</v>
      </c>
      <c r="AA159">
        <v>40.718574</v>
      </c>
      <c r="AB159">
        <v>-73.737604</v>
      </c>
      <c r="AD159" t="s">
        <v>10840</v>
      </c>
      <c r="AF159" t="s">
        <v>10842</v>
      </c>
      <c r="AG159" t="s">
        <v>10859</v>
      </c>
      <c r="AH159" t="s">
        <v>10861</v>
      </c>
      <c r="AI159">
        <v>234</v>
      </c>
      <c r="AJ159" t="s">
        <v>10214</v>
      </c>
      <c r="AL159">
        <v>8.050000000000001</v>
      </c>
      <c r="AM159" t="s">
        <v>10892</v>
      </c>
      <c r="AN159" t="s">
        <v>10940</v>
      </c>
      <c r="AO159" t="s">
        <v>11020</v>
      </c>
      <c r="AP159" t="s">
        <v>11078</v>
      </c>
      <c r="AQ159" t="s">
        <v>11119</v>
      </c>
      <c r="AR159" t="s">
        <v>11296</v>
      </c>
      <c r="AS159" t="s">
        <v>11594</v>
      </c>
      <c r="AT159" t="s">
        <v>11642</v>
      </c>
      <c r="AX159" t="s">
        <v>10838</v>
      </c>
      <c r="BA159" t="s">
        <v>11743</v>
      </c>
      <c r="BB159">
        <v>0</v>
      </c>
      <c r="BC159">
        <v>0</v>
      </c>
      <c r="BD159">
        <v>0</v>
      </c>
      <c r="BE159">
        <v>0</v>
      </c>
      <c r="BF159">
        <v>40</v>
      </c>
      <c r="BG159">
        <v>0</v>
      </c>
    </row>
    <row r="160" spans="1:59">
      <c r="A160" s="1">
        <f>HYPERLINK("https://lsnyc.legalserver.org/matter/dynamic-profile/view/1903812","19-1903812")</f>
        <v>0</v>
      </c>
      <c r="B160" t="s">
        <v>203</v>
      </c>
      <c r="C160" t="s">
        <v>5139</v>
      </c>
      <c r="D160" t="s">
        <v>9928</v>
      </c>
      <c r="E160" t="s">
        <v>10075</v>
      </c>
      <c r="F160">
        <v>11226</v>
      </c>
      <c r="G160" t="s">
        <v>10093</v>
      </c>
      <c r="H160" t="s">
        <v>10097</v>
      </c>
      <c r="I160" t="s">
        <v>10168</v>
      </c>
      <c r="J160" t="s">
        <v>10213</v>
      </c>
      <c r="K160" t="s">
        <v>10218</v>
      </c>
      <c r="L160" t="s">
        <v>10097</v>
      </c>
      <c r="M160" t="s">
        <v>10321</v>
      </c>
      <c r="N160" t="s">
        <v>10671</v>
      </c>
      <c r="P160" t="s">
        <v>10750</v>
      </c>
      <c r="Q160" t="s">
        <v>10760</v>
      </c>
      <c r="R160" t="s">
        <v>10822</v>
      </c>
      <c r="T160">
        <v>0</v>
      </c>
      <c r="U160">
        <v>0</v>
      </c>
      <c r="V160">
        <v>59</v>
      </c>
      <c r="W160">
        <v>1</v>
      </c>
      <c r="X160">
        <v>0</v>
      </c>
      <c r="Y160" t="s">
        <v>10829</v>
      </c>
      <c r="Z160">
        <v>0</v>
      </c>
      <c r="AA160">
        <v>40.655673</v>
      </c>
      <c r="AB160">
        <v>-73.955586</v>
      </c>
      <c r="AD160" t="s">
        <v>10840</v>
      </c>
      <c r="AG160" t="s">
        <v>10858</v>
      </c>
      <c r="AH160" t="s">
        <v>10861</v>
      </c>
      <c r="AI160">
        <v>239</v>
      </c>
      <c r="AJ160" t="s">
        <v>10213</v>
      </c>
      <c r="AK160" t="s">
        <v>10838</v>
      </c>
      <c r="AL160">
        <v>0.9</v>
      </c>
      <c r="AM160" t="s">
        <v>10888</v>
      </c>
      <c r="AN160" t="s">
        <v>10912</v>
      </c>
      <c r="AO160" t="s">
        <v>11005</v>
      </c>
      <c r="AP160" t="s">
        <v>11050</v>
      </c>
      <c r="AR160" t="s">
        <v>11267</v>
      </c>
      <c r="AS160" t="s">
        <v>11595</v>
      </c>
      <c r="AY160" t="s">
        <v>10829</v>
      </c>
      <c r="AZ160" t="s">
        <v>11679</v>
      </c>
      <c r="BA160" t="s">
        <v>11741</v>
      </c>
      <c r="BB160">
        <v>0</v>
      </c>
      <c r="BC160">
        <v>0</v>
      </c>
      <c r="BD160">
        <v>0</v>
      </c>
      <c r="BE160">
        <v>0</v>
      </c>
      <c r="BF160">
        <v>1</v>
      </c>
      <c r="BG160">
        <v>0</v>
      </c>
    </row>
    <row r="161" spans="1:59">
      <c r="A161" s="1">
        <f>HYPERLINK("https://lsnyc.legalserver.org/matter/dynamic-profile/view/1903813","19-1903813")</f>
        <v>0</v>
      </c>
      <c r="B161" t="s">
        <v>204</v>
      </c>
      <c r="C161" t="s">
        <v>5059</v>
      </c>
      <c r="D161" t="s">
        <v>9928</v>
      </c>
      <c r="E161" t="s">
        <v>10075</v>
      </c>
      <c r="F161">
        <v>11220</v>
      </c>
      <c r="G161" t="s">
        <v>10093</v>
      </c>
      <c r="H161" t="s">
        <v>10097</v>
      </c>
      <c r="I161" t="s">
        <v>10168</v>
      </c>
      <c r="J161" t="s">
        <v>10213</v>
      </c>
      <c r="K161" t="s">
        <v>10217</v>
      </c>
      <c r="M161" t="s">
        <v>10263</v>
      </c>
      <c r="N161" t="s">
        <v>10650</v>
      </c>
      <c r="O161" t="s">
        <v>10653</v>
      </c>
      <c r="P161" t="s">
        <v>10749</v>
      </c>
      <c r="Q161" t="s">
        <v>10765</v>
      </c>
      <c r="R161" t="s">
        <v>10821</v>
      </c>
      <c r="T161">
        <v>19020</v>
      </c>
      <c r="U161">
        <v>1585</v>
      </c>
      <c r="V161">
        <v>64</v>
      </c>
      <c r="W161">
        <v>2</v>
      </c>
      <c r="X161">
        <v>0</v>
      </c>
      <c r="Z161">
        <v>112.48</v>
      </c>
      <c r="AA161">
        <v>40.645461</v>
      </c>
      <c r="AB161">
        <v>-74.002331</v>
      </c>
      <c r="AD161" t="s">
        <v>10839</v>
      </c>
      <c r="AG161" t="s">
        <v>10858</v>
      </c>
      <c r="AH161" t="s">
        <v>10862</v>
      </c>
      <c r="AI161">
        <v>239</v>
      </c>
      <c r="AJ161" t="s">
        <v>10213</v>
      </c>
      <c r="AL161">
        <v>0.3</v>
      </c>
      <c r="AM161" t="s">
        <v>10886</v>
      </c>
      <c r="AN161" t="s">
        <v>10921</v>
      </c>
      <c r="AO161" t="s">
        <v>11015</v>
      </c>
      <c r="AP161" t="s">
        <v>11069</v>
      </c>
      <c r="AQ161" t="s">
        <v>11120</v>
      </c>
      <c r="AR161" t="s">
        <v>11268</v>
      </c>
      <c r="AS161" t="s">
        <v>11595</v>
      </c>
      <c r="BA161" t="s">
        <v>11738</v>
      </c>
      <c r="BB161">
        <v>0</v>
      </c>
      <c r="BC161">
        <v>0</v>
      </c>
      <c r="BD161">
        <v>0</v>
      </c>
      <c r="BE161">
        <v>0</v>
      </c>
      <c r="BF161">
        <v>5</v>
      </c>
      <c r="BG161">
        <v>0</v>
      </c>
    </row>
    <row r="162" spans="1:59">
      <c r="A162" s="1">
        <f>HYPERLINK("https://lsnyc.legalserver.org/matter/dynamic-profile/view/1903814","19-1903814")</f>
        <v>0</v>
      </c>
      <c r="B162" t="s">
        <v>200</v>
      </c>
      <c r="C162" t="s">
        <v>5136</v>
      </c>
      <c r="D162" t="s">
        <v>9926</v>
      </c>
      <c r="E162" t="s">
        <v>10075</v>
      </c>
      <c r="F162">
        <v>10467</v>
      </c>
      <c r="G162" t="s">
        <v>10090</v>
      </c>
      <c r="H162" t="s">
        <v>10097</v>
      </c>
      <c r="I162" t="s">
        <v>10168</v>
      </c>
      <c r="J162" t="s">
        <v>10210</v>
      </c>
      <c r="K162" t="s">
        <v>10217</v>
      </c>
      <c r="M162" t="s">
        <v>10230</v>
      </c>
      <c r="N162" t="s">
        <v>10687</v>
      </c>
      <c r="P162" t="s">
        <v>10751</v>
      </c>
      <c r="Q162" t="s">
        <v>10761</v>
      </c>
      <c r="R162" t="s">
        <v>10821</v>
      </c>
      <c r="T162">
        <v>21252</v>
      </c>
      <c r="U162">
        <v>1771</v>
      </c>
      <c r="V162">
        <v>58</v>
      </c>
      <c r="W162">
        <v>2</v>
      </c>
      <c r="X162">
        <v>0</v>
      </c>
      <c r="Z162">
        <v>125.68</v>
      </c>
      <c r="AA162">
        <v>40.864145</v>
      </c>
      <c r="AB162">
        <v>-73.870001</v>
      </c>
      <c r="AC162" t="s">
        <v>10837</v>
      </c>
      <c r="AD162" t="s">
        <v>10840</v>
      </c>
      <c r="AG162" t="s">
        <v>10858</v>
      </c>
      <c r="AH162" t="s">
        <v>10861</v>
      </c>
      <c r="AI162">
        <v>230</v>
      </c>
      <c r="AJ162" t="s">
        <v>10210</v>
      </c>
      <c r="AL162">
        <v>0.25</v>
      </c>
      <c r="AM162" t="s">
        <v>10885</v>
      </c>
      <c r="AN162" t="s">
        <v>10938</v>
      </c>
      <c r="AO162" t="s">
        <v>11002</v>
      </c>
      <c r="AP162" t="s">
        <v>11056</v>
      </c>
      <c r="AR162" t="s">
        <v>11298</v>
      </c>
      <c r="AS162" t="s">
        <v>9926</v>
      </c>
      <c r="AT162" t="s">
        <v>11642</v>
      </c>
      <c r="AX162" t="s">
        <v>10838</v>
      </c>
      <c r="BA162" t="s">
        <v>11737</v>
      </c>
      <c r="BB162">
        <v>0</v>
      </c>
      <c r="BC162">
        <v>0</v>
      </c>
      <c r="BD162">
        <v>0</v>
      </c>
      <c r="BE162">
        <v>0</v>
      </c>
      <c r="BF162">
        <v>3</v>
      </c>
      <c r="BG162">
        <v>0</v>
      </c>
    </row>
    <row r="163" spans="1:59">
      <c r="A163" s="1">
        <f>HYPERLINK("https://lsnyc.legalserver.org/matter/dynamic-profile/view/1903815","19-1903815")</f>
        <v>0</v>
      </c>
      <c r="B163" t="s">
        <v>205</v>
      </c>
      <c r="C163" t="s">
        <v>5140</v>
      </c>
      <c r="D163" t="s">
        <v>9926</v>
      </c>
      <c r="E163" t="s">
        <v>10075</v>
      </c>
      <c r="F163">
        <v>10460</v>
      </c>
      <c r="G163" t="s">
        <v>10090</v>
      </c>
      <c r="H163" t="s">
        <v>10097</v>
      </c>
      <c r="I163" t="s">
        <v>10169</v>
      </c>
      <c r="J163" t="s">
        <v>10210</v>
      </c>
      <c r="K163" t="s">
        <v>10217</v>
      </c>
      <c r="M163" t="s">
        <v>10272</v>
      </c>
      <c r="N163" t="s">
        <v>10671</v>
      </c>
      <c r="P163" t="s">
        <v>10749</v>
      </c>
      <c r="Q163" t="s">
        <v>10765</v>
      </c>
      <c r="R163" t="s">
        <v>10821</v>
      </c>
      <c r="T163">
        <v>10620</v>
      </c>
      <c r="U163">
        <v>885</v>
      </c>
      <c r="V163">
        <v>77</v>
      </c>
      <c r="W163">
        <v>1</v>
      </c>
      <c r="X163">
        <v>0</v>
      </c>
      <c r="Z163">
        <v>85.03</v>
      </c>
      <c r="AA163">
        <v>40.844631</v>
      </c>
      <c r="AB163">
        <v>-73.884541</v>
      </c>
      <c r="AD163" t="s">
        <v>10839</v>
      </c>
      <c r="AG163" t="s">
        <v>10858</v>
      </c>
      <c r="AH163" t="s">
        <v>10871</v>
      </c>
      <c r="AI163">
        <v>234</v>
      </c>
      <c r="AJ163" t="s">
        <v>10214</v>
      </c>
      <c r="AL163">
        <v>0.84</v>
      </c>
      <c r="AM163" t="s">
        <v>10884</v>
      </c>
      <c r="AN163" t="s">
        <v>10908</v>
      </c>
      <c r="AO163" t="s">
        <v>11001</v>
      </c>
      <c r="AP163" t="s">
        <v>11062</v>
      </c>
      <c r="AR163" t="s">
        <v>11253</v>
      </c>
      <c r="AS163" t="s">
        <v>9926</v>
      </c>
      <c r="AT163" t="s">
        <v>11641</v>
      </c>
      <c r="AX163" t="s">
        <v>10838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</row>
    <row r="164" spans="1:59">
      <c r="A164" s="1">
        <f>HYPERLINK("https://lsnyc.legalserver.org/matter/dynamic-profile/view/1903816","19-1903816")</f>
        <v>0</v>
      </c>
      <c r="B164" t="s">
        <v>206</v>
      </c>
      <c r="C164" t="s">
        <v>5141</v>
      </c>
      <c r="D164" t="s">
        <v>9928</v>
      </c>
      <c r="E164" t="s">
        <v>10075</v>
      </c>
      <c r="F164">
        <v>11230</v>
      </c>
      <c r="G164" t="s">
        <v>10090</v>
      </c>
      <c r="H164" t="s">
        <v>10097</v>
      </c>
      <c r="I164" t="s">
        <v>10168</v>
      </c>
      <c r="J164" t="s">
        <v>10210</v>
      </c>
      <c r="K164" t="s">
        <v>10217</v>
      </c>
      <c r="M164" t="s">
        <v>10322</v>
      </c>
      <c r="N164" t="s">
        <v>10646</v>
      </c>
      <c r="P164" t="s">
        <v>10751</v>
      </c>
      <c r="Q164" t="s">
        <v>10761</v>
      </c>
      <c r="R164" t="s">
        <v>10824</v>
      </c>
      <c r="T164">
        <v>56000</v>
      </c>
      <c r="U164">
        <v>4666.67</v>
      </c>
      <c r="V164">
        <v>39</v>
      </c>
      <c r="W164">
        <v>3</v>
      </c>
      <c r="X164">
        <v>0</v>
      </c>
      <c r="Z164">
        <v>262.54</v>
      </c>
      <c r="AA164">
        <v>40.626093</v>
      </c>
      <c r="AB164">
        <v>-73.965638</v>
      </c>
      <c r="AD164" t="s">
        <v>10839</v>
      </c>
      <c r="AG164" t="s">
        <v>10858</v>
      </c>
      <c r="AH164" t="s">
        <v>10874</v>
      </c>
      <c r="AI164">
        <v>230</v>
      </c>
      <c r="AJ164" t="s">
        <v>10210</v>
      </c>
      <c r="AL164">
        <v>0</v>
      </c>
      <c r="AM164" t="s">
        <v>10888</v>
      </c>
      <c r="AN164" t="s">
        <v>10947</v>
      </c>
      <c r="AO164" t="s">
        <v>11015</v>
      </c>
      <c r="AP164" t="s">
        <v>11079</v>
      </c>
      <c r="AR164" t="s">
        <v>11262</v>
      </c>
      <c r="AS164" t="s">
        <v>11595</v>
      </c>
      <c r="AX164" t="s">
        <v>10838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</row>
    <row r="165" spans="1:59">
      <c r="A165" s="1">
        <f>HYPERLINK("https://lsnyc.legalserver.org/matter/dynamic-profile/view/1903817","19-1903817")</f>
        <v>0</v>
      </c>
      <c r="B165" t="s">
        <v>203</v>
      </c>
      <c r="C165" t="s">
        <v>5139</v>
      </c>
      <c r="D165" t="s">
        <v>9928</v>
      </c>
      <c r="E165" t="s">
        <v>10075</v>
      </c>
      <c r="F165">
        <v>11226</v>
      </c>
      <c r="G165" t="s">
        <v>10093</v>
      </c>
      <c r="H165" t="s">
        <v>10097</v>
      </c>
      <c r="I165" t="s">
        <v>10168</v>
      </c>
      <c r="J165" t="s">
        <v>10213</v>
      </c>
      <c r="K165" t="s">
        <v>10218</v>
      </c>
      <c r="L165" t="s">
        <v>10097</v>
      </c>
      <c r="M165" t="s">
        <v>10321</v>
      </c>
      <c r="N165" t="s">
        <v>10671</v>
      </c>
      <c r="P165" t="s">
        <v>10756</v>
      </c>
      <c r="Q165" t="s">
        <v>10787</v>
      </c>
      <c r="R165" t="s">
        <v>10822</v>
      </c>
      <c r="T165">
        <v>0</v>
      </c>
      <c r="U165">
        <v>0</v>
      </c>
      <c r="V165">
        <v>59</v>
      </c>
      <c r="W165">
        <v>1</v>
      </c>
      <c r="X165">
        <v>0</v>
      </c>
      <c r="Y165" t="s">
        <v>10829</v>
      </c>
      <c r="Z165">
        <v>0</v>
      </c>
      <c r="AA165">
        <v>40.655673</v>
      </c>
      <c r="AB165">
        <v>-73.955586</v>
      </c>
      <c r="AD165" t="s">
        <v>10840</v>
      </c>
      <c r="AG165" t="s">
        <v>10858</v>
      </c>
      <c r="AH165" t="s">
        <v>10871</v>
      </c>
      <c r="AI165">
        <v>239</v>
      </c>
      <c r="AJ165" t="s">
        <v>10213</v>
      </c>
      <c r="AK165" t="s">
        <v>10838</v>
      </c>
      <c r="AL165">
        <v>1.4</v>
      </c>
      <c r="AM165" t="s">
        <v>10888</v>
      </c>
      <c r="AN165" t="s">
        <v>10912</v>
      </c>
      <c r="AO165" t="s">
        <v>11005</v>
      </c>
      <c r="AP165" t="s">
        <v>11050</v>
      </c>
      <c r="AR165" t="s">
        <v>11267</v>
      </c>
      <c r="AS165" t="s">
        <v>11595</v>
      </c>
      <c r="AY165" t="s">
        <v>10829</v>
      </c>
      <c r="AZ165" t="s">
        <v>11694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</row>
    <row r="166" spans="1:59">
      <c r="A166" s="1">
        <f>HYPERLINK("https://lsnyc.legalserver.org/matter/dynamic-profile/view/1903818","19-1903818")</f>
        <v>0</v>
      </c>
      <c r="B166" t="s">
        <v>207</v>
      </c>
      <c r="C166" t="s">
        <v>5059</v>
      </c>
      <c r="D166" t="s">
        <v>9928</v>
      </c>
      <c r="E166" t="s">
        <v>10075</v>
      </c>
      <c r="F166">
        <v>11220</v>
      </c>
      <c r="G166" t="s">
        <v>10093</v>
      </c>
      <c r="H166" t="s">
        <v>10097</v>
      </c>
      <c r="I166" t="s">
        <v>10168</v>
      </c>
      <c r="J166" t="s">
        <v>10213</v>
      </c>
      <c r="K166" t="s">
        <v>10217</v>
      </c>
      <c r="M166" t="s">
        <v>10263</v>
      </c>
      <c r="N166" t="s">
        <v>10650</v>
      </c>
      <c r="O166" t="s">
        <v>10653</v>
      </c>
      <c r="P166" t="s">
        <v>10749</v>
      </c>
      <c r="Q166" t="s">
        <v>10765</v>
      </c>
      <c r="R166" t="s">
        <v>10823</v>
      </c>
      <c r="T166">
        <v>133510</v>
      </c>
      <c r="U166">
        <v>11125.83</v>
      </c>
      <c r="V166">
        <v>65</v>
      </c>
      <c r="W166">
        <v>3</v>
      </c>
      <c r="X166">
        <v>0</v>
      </c>
      <c r="Z166">
        <v>625.9299999999999</v>
      </c>
      <c r="AA166">
        <v>40.645461</v>
      </c>
      <c r="AB166">
        <v>-74.002331</v>
      </c>
      <c r="AD166" t="s">
        <v>10839</v>
      </c>
      <c r="AG166" t="s">
        <v>10858</v>
      </c>
      <c r="AH166" t="s">
        <v>10862</v>
      </c>
      <c r="AI166">
        <v>239</v>
      </c>
      <c r="AJ166" t="s">
        <v>10213</v>
      </c>
      <c r="AL166">
        <v>0.3</v>
      </c>
      <c r="AM166" t="s">
        <v>10886</v>
      </c>
      <c r="AN166" t="s">
        <v>10921</v>
      </c>
      <c r="AO166" t="s">
        <v>11015</v>
      </c>
      <c r="AP166" t="s">
        <v>11069</v>
      </c>
      <c r="AQ166" t="s">
        <v>11120</v>
      </c>
      <c r="AR166" t="s">
        <v>11257</v>
      </c>
      <c r="AS166" t="s">
        <v>11595</v>
      </c>
      <c r="BA166" t="s">
        <v>11738</v>
      </c>
      <c r="BB166">
        <v>0</v>
      </c>
      <c r="BC166">
        <v>0</v>
      </c>
      <c r="BD166">
        <v>0</v>
      </c>
      <c r="BE166">
        <v>0</v>
      </c>
      <c r="BF166">
        <v>5</v>
      </c>
      <c r="BG166">
        <v>0</v>
      </c>
    </row>
    <row r="167" spans="1:59">
      <c r="A167" s="1">
        <f>HYPERLINK("https://lsnyc.legalserver.org/matter/dynamic-profile/view/1903819","19-1903819")</f>
        <v>0</v>
      </c>
      <c r="B167" t="s">
        <v>208</v>
      </c>
      <c r="C167" t="s">
        <v>5142</v>
      </c>
      <c r="D167" t="s">
        <v>9941</v>
      </c>
      <c r="E167" t="s">
        <v>10075</v>
      </c>
      <c r="F167">
        <v>11429</v>
      </c>
      <c r="G167" t="s">
        <v>10092</v>
      </c>
      <c r="H167" t="s">
        <v>10097</v>
      </c>
      <c r="I167" t="s">
        <v>10168</v>
      </c>
      <c r="J167" t="s">
        <v>10212</v>
      </c>
      <c r="K167" t="s">
        <v>10217</v>
      </c>
      <c r="M167" t="s">
        <v>10323</v>
      </c>
      <c r="N167" t="s">
        <v>10675</v>
      </c>
      <c r="P167" t="s">
        <v>10756</v>
      </c>
      <c r="Q167" t="s">
        <v>10787</v>
      </c>
      <c r="R167" t="s">
        <v>10825</v>
      </c>
      <c r="T167">
        <v>23244</v>
      </c>
      <c r="U167">
        <v>1937</v>
      </c>
      <c r="V167">
        <v>41</v>
      </c>
      <c r="W167">
        <v>1</v>
      </c>
      <c r="X167">
        <v>0</v>
      </c>
      <c r="Z167">
        <v>186.1</v>
      </c>
      <c r="AA167">
        <v>40.709096</v>
      </c>
      <c r="AB167">
        <v>-73.74689499999999</v>
      </c>
      <c r="AC167" t="s">
        <v>10837</v>
      </c>
      <c r="AD167" t="s">
        <v>10840</v>
      </c>
      <c r="AG167" t="s">
        <v>10858</v>
      </c>
      <c r="AH167" t="s">
        <v>10861</v>
      </c>
      <c r="AI167">
        <v>234</v>
      </c>
      <c r="AJ167" t="s">
        <v>10214</v>
      </c>
      <c r="AL167">
        <v>0.6</v>
      </c>
      <c r="AM167" t="s">
        <v>10892</v>
      </c>
      <c r="AN167" t="s">
        <v>10940</v>
      </c>
      <c r="AO167" t="s">
        <v>11020</v>
      </c>
      <c r="AP167" t="s">
        <v>11075</v>
      </c>
      <c r="AR167" t="s">
        <v>11299</v>
      </c>
      <c r="AS167" t="s">
        <v>11594</v>
      </c>
      <c r="AT167" t="s">
        <v>11642</v>
      </c>
      <c r="AX167" t="s">
        <v>10838</v>
      </c>
      <c r="BA167" t="s">
        <v>11742</v>
      </c>
      <c r="BB167">
        <v>0</v>
      </c>
      <c r="BC167">
        <v>0</v>
      </c>
      <c r="BD167">
        <v>0</v>
      </c>
      <c r="BE167">
        <v>0</v>
      </c>
      <c r="BF167">
        <v>7</v>
      </c>
      <c r="BG167">
        <v>0</v>
      </c>
    </row>
    <row r="168" spans="1:59">
      <c r="A168" s="1">
        <f>HYPERLINK("https://lsnyc.legalserver.org/matter/dynamic-profile/view/1903820","19-1903820")</f>
        <v>0</v>
      </c>
      <c r="B168" t="s">
        <v>209</v>
      </c>
      <c r="C168" t="s">
        <v>5143</v>
      </c>
      <c r="D168" t="s">
        <v>9925</v>
      </c>
      <c r="E168" t="s">
        <v>10075</v>
      </c>
      <c r="F168">
        <v>10027</v>
      </c>
      <c r="G168" t="s">
        <v>10089</v>
      </c>
      <c r="H168" t="s">
        <v>10097</v>
      </c>
      <c r="I168" t="s">
        <v>10169</v>
      </c>
      <c r="J168" t="s">
        <v>10209</v>
      </c>
      <c r="K168" t="s">
        <v>10217</v>
      </c>
      <c r="M168" t="s">
        <v>10324</v>
      </c>
      <c r="N168" t="s">
        <v>10673</v>
      </c>
      <c r="P168" t="s">
        <v>10753</v>
      </c>
      <c r="Q168" t="s">
        <v>10763</v>
      </c>
      <c r="R168" t="s">
        <v>10821</v>
      </c>
      <c r="T168">
        <v>0</v>
      </c>
      <c r="U168">
        <v>0</v>
      </c>
      <c r="V168">
        <v>52</v>
      </c>
      <c r="W168">
        <v>1</v>
      </c>
      <c r="X168">
        <v>1</v>
      </c>
      <c r="Z168">
        <v>0</v>
      </c>
      <c r="AA168">
        <v>40.81383</v>
      </c>
      <c r="AB168">
        <v>-73.945291</v>
      </c>
      <c r="AD168" t="s">
        <v>10840</v>
      </c>
      <c r="AF168" t="s">
        <v>10844</v>
      </c>
      <c r="AG168" t="s">
        <v>10859</v>
      </c>
      <c r="AH168" t="s">
        <v>10864</v>
      </c>
      <c r="AI168">
        <v>236</v>
      </c>
      <c r="AJ168" t="s">
        <v>10209</v>
      </c>
      <c r="AL168">
        <v>1</v>
      </c>
      <c r="AM168" t="s">
        <v>10887</v>
      </c>
      <c r="AN168" t="s">
        <v>10936</v>
      </c>
      <c r="AO168" t="s">
        <v>11016</v>
      </c>
      <c r="AP168" t="s">
        <v>11076</v>
      </c>
      <c r="AQ168" t="s">
        <v>11109</v>
      </c>
      <c r="AR168" t="s">
        <v>11267</v>
      </c>
      <c r="AS168" t="s">
        <v>9925</v>
      </c>
      <c r="AX168" t="s">
        <v>10838</v>
      </c>
      <c r="BA168" t="s">
        <v>11739</v>
      </c>
      <c r="BB168">
        <v>0</v>
      </c>
      <c r="BC168">
        <v>0</v>
      </c>
      <c r="BD168">
        <v>0</v>
      </c>
      <c r="BE168">
        <v>0</v>
      </c>
      <c r="BF168">
        <v>4</v>
      </c>
      <c r="BG168">
        <v>0</v>
      </c>
    </row>
    <row r="169" spans="1:59">
      <c r="A169" s="1">
        <f>HYPERLINK("https://lsnyc.legalserver.org/matter/dynamic-profile/view/1903821","19-1903821")</f>
        <v>0</v>
      </c>
      <c r="B169" t="s">
        <v>210</v>
      </c>
      <c r="C169" t="s">
        <v>5059</v>
      </c>
      <c r="D169" t="s">
        <v>9928</v>
      </c>
      <c r="E169" t="s">
        <v>10075</v>
      </c>
      <c r="F169">
        <v>11220</v>
      </c>
      <c r="G169" t="s">
        <v>10093</v>
      </c>
      <c r="H169" t="s">
        <v>10097</v>
      </c>
      <c r="I169" t="s">
        <v>10168</v>
      </c>
      <c r="J169" t="s">
        <v>10213</v>
      </c>
      <c r="K169" t="s">
        <v>10217</v>
      </c>
      <c r="M169" t="s">
        <v>10263</v>
      </c>
      <c r="N169" t="s">
        <v>10650</v>
      </c>
      <c r="O169" t="s">
        <v>10653</v>
      </c>
      <c r="P169" t="s">
        <v>10749</v>
      </c>
      <c r="Q169" t="s">
        <v>10765</v>
      </c>
      <c r="R169" t="s">
        <v>10822</v>
      </c>
      <c r="T169">
        <v>30000</v>
      </c>
      <c r="U169">
        <v>2500</v>
      </c>
      <c r="V169">
        <v>68</v>
      </c>
      <c r="W169">
        <v>1</v>
      </c>
      <c r="X169">
        <v>0</v>
      </c>
      <c r="Z169">
        <v>240.19</v>
      </c>
      <c r="AA169">
        <v>40.645461</v>
      </c>
      <c r="AB169">
        <v>-74.002331</v>
      </c>
      <c r="AD169" t="s">
        <v>10839</v>
      </c>
      <c r="AG169" t="s">
        <v>10858</v>
      </c>
      <c r="AH169" t="s">
        <v>10862</v>
      </c>
      <c r="AI169">
        <v>239</v>
      </c>
      <c r="AJ169" t="s">
        <v>10213</v>
      </c>
      <c r="AL169">
        <v>0.3</v>
      </c>
      <c r="AM169" t="s">
        <v>10886</v>
      </c>
      <c r="AN169" t="s">
        <v>10921</v>
      </c>
      <c r="AO169" t="s">
        <v>11015</v>
      </c>
      <c r="AP169" t="s">
        <v>11069</v>
      </c>
      <c r="AQ169" t="s">
        <v>11120</v>
      </c>
      <c r="AR169" t="s">
        <v>11300</v>
      </c>
      <c r="AS169" t="s">
        <v>11595</v>
      </c>
      <c r="BA169" t="s">
        <v>11738</v>
      </c>
      <c r="BB169">
        <v>0</v>
      </c>
      <c r="BC169">
        <v>0</v>
      </c>
      <c r="BD169">
        <v>0</v>
      </c>
      <c r="BE169">
        <v>0</v>
      </c>
      <c r="BF169">
        <v>5</v>
      </c>
      <c r="BG169">
        <v>0</v>
      </c>
    </row>
    <row r="170" spans="1:59">
      <c r="A170" s="1">
        <f>HYPERLINK("https://lsnyc.legalserver.org/matter/dynamic-profile/view/1903822","19-1903822")</f>
        <v>0</v>
      </c>
      <c r="B170" t="s">
        <v>211</v>
      </c>
      <c r="C170" t="s">
        <v>5059</v>
      </c>
      <c r="D170" t="s">
        <v>9928</v>
      </c>
      <c r="E170" t="s">
        <v>10075</v>
      </c>
      <c r="F170">
        <v>11220</v>
      </c>
      <c r="G170" t="s">
        <v>10093</v>
      </c>
      <c r="H170" t="s">
        <v>10097</v>
      </c>
      <c r="I170" t="s">
        <v>10169</v>
      </c>
      <c r="J170" t="s">
        <v>10213</v>
      </c>
      <c r="K170" t="s">
        <v>10217</v>
      </c>
      <c r="M170" t="s">
        <v>10263</v>
      </c>
      <c r="N170" t="s">
        <v>10650</v>
      </c>
      <c r="O170" t="s">
        <v>10653</v>
      </c>
      <c r="P170" t="s">
        <v>10749</v>
      </c>
      <c r="Q170" t="s">
        <v>10765</v>
      </c>
      <c r="R170" t="s">
        <v>10821</v>
      </c>
      <c r="T170">
        <v>30000</v>
      </c>
      <c r="U170">
        <v>2500</v>
      </c>
      <c r="V170">
        <v>40</v>
      </c>
      <c r="W170">
        <v>1</v>
      </c>
      <c r="X170">
        <v>0</v>
      </c>
      <c r="Z170">
        <v>240.19</v>
      </c>
      <c r="AA170">
        <v>40.645461</v>
      </c>
      <c r="AB170">
        <v>-74.002331</v>
      </c>
      <c r="AD170" t="s">
        <v>10839</v>
      </c>
      <c r="AG170" t="s">
        <v>10858</v>
      </c>
      <c r="AH170" t="s">
        <v>10862</v>
      </c>
      <c r="AI170">
        <v>239</v>
      </c>
      <c r="AJ170" t="s">
        <v>10213</v>
      </c>
      <c r="AL170">
        <v>0.3</v>
      </c>
      <c r="AM170" t="s">
        <v>10886</v>
      </c>
      <c r="AN170" t="s">
        <v>10921</v>
      </c>
      <c r="AO170" t="s">
        <v>11015</v>
      </c>
      <c r="AP170" t="s">
        <v>11069</v>
      </c>
      <c r="AQ170" t="s">
        <v>11120</v>
      </c>
      <c r="AR170" t="s">
        <v>11300</v>
      </c>
      <c r="AS170" t="s">
        <v>11595</v>
      </c>
      <c r="BA170" t="s">
        <v>11738</v>
      </c>
      <c r="BB170">
        <v>0</v>
      </c>
      <c r="BC170">
        <v>0</v>
      </c>
      <c r="BD170">
        <v>0</v>
      </c>
      <c r="BE170">
        <v>0</v>
      </c>
      <c r="BF170">
        <v>5</v>
      </c>
      <c r="BG170">
        <v>0</v>
      </c>
    </row>
    <row r="171" spans="1:59">
      <c r="A171" s="1">
        <f>HYPERLINK("https://lsnyc.legalserver.org/matter/dynamic-profile/view/1903823","19-1903823")</f>
        <v>0</v>
      </c>
      <c r="B171" t="s">
        <v>212</v>
      </c>
      <c r="C171" t="s">
        <v>5144</v>
      </c>
      <c r="D171" t="s">
        <v>9935</v>
      </c>
      <c r="E171" t="s">
        <v>10075</v>
      </c>
      <c r="F171">
        <v>11369</v>
      </c>
      <c r="G171" t="s">
        <v>10092</v>
      </c>
      <c r="H171" t="s">
        <v>10097</v>
      </c>
      <c r="I171" t="s">
        <v>10168</v>
      </c>
      <c r="J171" t="s">
        <v>10212</v>
      </c>
      <c r="K171" t="s">
        <v>10218</v>
      </c>
      <c r="L171" t="s">
        <v>10151</v>
      </c>
      <c r="M171" t="s">
        <v>10273</v>
      </c>
      <c r="N171" t="s">
        <v>10672</v>
      </c>
      <c r="P171" t="s">
        <v>10750</v>
      </c>
      <c r="Q171" t="s">
        <v>10788</v>
      </c>
      <c r="R171" t="s">
        <v>10820</v>
      </c>
      <c r="T171">
        <v>9600</v>
      </c>
      <c r="U171">
        <v>800</v>
      </c>
      <c r="V171">
        <v>61</v>
      </c>
      <c r="W171">
        <v>1</v>
      </c>
      <c r="X171">
        <v>0</v>
      </c>
      <c r="Y171" t="s">
        <v>10833</v>
      </c>
      <c r="Z171">
        <v>76.86</v>
      </c>
      <c r="AA171">
        <v>40.757497</v>
      </c>
      <c r="AB171">
        <v>-73.87975400000001</v>
      </c>
      <c r="AD171" t="s">
        <v>10840</v>
      </c>
      <c r="AG171" t="s">
        <v>10858</v>
      </c>
      <c r="AH171" t="s">
        <v>10870</v>
      </c>
      <c r="AI171">
        <v>237</v>
      </c>
      <c r="AJ171" t="s">
        <v>10212</v>
      </c>
      <c r="AK171" t="s">
        <v>10838</v>
      </c>
      <c r="AL171">
        <v>11.6</v>
      </c>
      <c r="AM171" t="s">
        <v>10885</v>
      </c>
      <c r="AN171" t="s">
        <v>10909</v>
      </c>
      <c r="AO171" t="s">
        <v>11014</v>
      </c>
      <c r="AP171" t="s">
        <v>11053</v>
      </c>
      <c r="AR171" t="s">
        <v>11257</v>
      </c>
      <c r="AS171" t="s">
        <v>11594</v>
      </c>
      <c r="AX171" t="s">
        <v>10837</v>
      </c>
      <c r="AY171" t="s">
        <v>10833</v>
      </c>
      <c r="AZ171" t="s">
        <v>11695</v>
      </c>
      <c r="BB171">
        <v>1428</v>
      </c>
      <c r="BC171">
        <v>0</v>
      </c>
      <c r="BD171">
        <v>100</v>
      </c>
      <c r="BE171">
        <v>0</v>
      </c>
      <c r="BF171">
        <v>0</v>
      </c>
      <c r="BG171">
        <v>0</v>
      </c>
    </row>
    <row r="172" spans="1:59">
      <c r="A172" s="1">
        <f>HYPERLINK("https://lsnyc.legalserver.org/matter/dynamic-profile/view/1903824","19-1903824")</f>
        <v>0</v>
      </c>
      <c r="B172" t="s">
        <v>213</v>
      </c>
      <c r="C172" t="s">
        <v>5145</v>
      </c>
      <c r="D172" t="s">
        <v>9928</v>
      </c>
      <c r="E172" t="s">
        <v>10075</v>
      </c>
      <c r="F172">
        <v>11212</v>
      </c>
      <c r="G172" t="s">
        <v>10089</v>
      </c>
      <c r="H172" t="s">
        <v>10097</v>
      </c>
      <c r="I172" t="s">
        <v>10168</v>
      </c>
      <c r="J172" t="s">
        <v>10209</v>
      </c>
      <c r="K172" t="s">
        <v>10218</v>
      </c>
      <c r="L172" t="s">
        <v>10107</v>
      </c>
      <c r="M172" t="s">
        <v>10229</v>
      </c>
      <c r="N172" t="s">
        <v>10645</v>
      </c>
      <c r="O172" t="s">
        <v>10645</v>
      </c>
      <c r="P172" t="s">
        <v>10750</v>
      </c>
      <c r="Q172" t="s">
        <v>10779</v>
      </c>
      <c r="R172" t="s">
        <v>10824</v>
      </c>
      <c r="T172">
        <v>528</v>
      </c>
      <c r="U172">
        <v>44</v>
      </c>
      <c r="V172">
        <v>57</v>
      </c>
      <c r="W172">
        <v>1</v>
      </c>
      <c r="X172">
        <v>0</v>
      </c>
      <c r="Y172" t="s">
        <v>10829</v>
      </c>
      <c r="Z172">
        <v>4.23</v>
      </c>
      <c r="AA172">
        <v>40.662788</v>
      </c>
      <c r="AB172">
        <v>-73.901888</v>
      </c>
      <c r="AD172" t="s">
        <v>10840</v>
      </c>
      <c r="AG172" t="s">
        <v>10858</v>
      </c>
      <c r="AH172" t="s">
        <v>10861</v>
      </c>
      <c r="AI172">
        <v>236</v>
      </c>
      <c r="AJ172" t="s">
        <v>10209</v>
      </c>
      <c r="AK172" t="s">
        <v>10838</v>
      </c>
      <c r="AL172">
        <v>10.8</v>
      </c>
      <c r="AM172" t="s">
        <v>10889</v>
      </c>
      <c r="AN172" t="s">
        <v>10922</v>
      </c>
      <c r="AO172" t="s">
        <v>11012</v>
      </c>
      <c r="AP172" t="s">
        <v>11060</v>
      </c>
      <c r="AQ172" t="s">
        <v>11095</v>
      </c>
      <c r="AR172" t="s">
        <v>11255</v>
      </c>
      <c r="AS172" t="s">
        <v>11595</v>
      </c>
      <c r="AT172" t="s">
        <v>11642</v>
      </c>
      <c r="AY172" t="s">
        <v>10829</v>
      </c>
      <c r="AZ172" t="s">
        <v>11679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</row>
    <row r="173" spans="1:59">
      <c r="A173" s="1">
        <f>HYPERLINK("https://lsnyc.legalserver.org/matter/dynamic-profile/view/1903825","19-1903825")</f>
        <v>0</v>
      </c>
      <c r="B173" t="s">
        <v>214</v>
      </c>
      <c r="C173" t="s">
        <v>5146</v>
      </c>
      <c r="D173" t="s">
        <v>9926</v>
      </c>
      <c r="E173" t="s">
        <v>10075</v>
      </c>
      <c r="F173">
        <v>10453</v>
      </c>
      <c r="G173" t="s">
        <v>10093</v>
      </c>
      <c r="H173" t="s">
        <v>10097</v>
      </c>
      <c r="I173" t="s">
        <v>10168</v>
      </c>
      <c r="J173" t="s">
        <v>10213</v>
      </c>
      <c r="K173" t="s">
        <v>10217</v>
      </c>
      <c r="M173" t="s">
        <v>10280</v>
      </c>
      <c r="N173" t="s">
        <v>10656</v>
      </c>
      <c r="P173" t="s">
        <v>10751</v>
      </c>
      <c r="Q173" t="s">
        <v>10780</v>
      </c>
      <c r="R173" t="s">
        <v>10824</v>
      </c>
      <c r="T173">
        <v>2304</v>
      </c>
      <c r="U173">
        <v>192</v>
      </c>
      <c r="V173">
        <v>40</v>
      </c>
      <c r="W173">
        <v>1</v>
      </c>
      <c r="X173">
        <v>0</v>
      </c>
      <c r="Z173">
        <v>18.45</v>
      </c>
      <c r="AA173">
        <v>40.857689</v>
      </c>
      <c r="AB173">
        <v>-73.902434</v>
      </c>
      <c r="AD173" t="s">
        <v>10840</v>
      </c>
      <c r="AG173" t="s">
        <v>10858</v>
      </c>
      <c r="AH173" t="s">
        <v>10861</v>
      </c>
      <c r="AI173">
        <v>234</v>
      </c>
      <c r="AJ173" t="s">
        <v>10214</v>
      </c>
      <c r="AL173">
        <v>3</v>
      </c>
      <c r="AM173" t="s">
        <v>10884</v>
      </c>
      <c r="AN173" t="s">
        <v>10931</v>
      </c>
      <c r="AO173" t="s">
        <v>11000</v>
      </c>
      <c r="AP173" t="s">
        <v>11045</v>
      </c>
      <c r="AQ173" t="s">
        <v>11118</v>
      </c>
      <c r="AR173" t="s">
        <v>11279</v>
      </c>
      <c r="AS173" t="s">
        <v>9926</v>
      </c>
      <c r="AT173" t="s">
        <v>11642</v>
      </c>
      <c r="AX173" t="s">
        <v>10838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</row>
    <row r="174" spans="1:59">
      <c r="A174" s="1">
        <f>HYPERLINK("https://lsnyc.legalserver.org/matter/dynamic-profile/view/1903826","19-1903826")</f>
        <v>0</v>
      </c>
      <c r="B174" t="s">
        <v>215</v>
      </c>
      <c r="C174" t="s">
        <v>5059</v>
      </c>
      <c r="D174" t="s">
        <v>9928</v>
      </c>
      <c r="E174" t="s">
        <v>10075</v>
      </c>
      <c r="F174">
        <v>11220</v>
      </c>
      <c r="G174" t="s">
        <v>10093</v>
      </c>
      <c r="H174" t="s">
        <v>10097</v>
      </c>
      <c r="J174" t="s">
        <v>10213</v>
      </c>
      <c r="K174" t="s">
        <v>10217</v>
      </c>
      <c r="M174" t="s">
        <v>10263</v>
      </c>
      <c r="N174" t="s">
        <v>10650</v>
      </c>
      <c r="O174" t="s">
        <v>10653</v>
      </c>
      <c r="P174" t="s">
        <v>10749</v>
      </c>
      <c r="Q174" t="s">
        <v>10765</v>
      </c>
      <c r="R174" t="s">
        <v>10821</v>
      </c>
      <c r="T174">
        <v>78000</v>
      </c>
      <c r="U174">
        <v>6500</v>
      </c>
      <c r="V174">
        <v>49</v>
      </c>
      <c r="W174">
        <v>3</v>
      </c>
      <c r="X174">
        <v>0</v>
      </c>
      <c r="Z174">
        <v>365.68</v>
      </c>
      <c r="AA174">
        <v>40.645461</v>
      </c>
      <c r="AB174">
        <v>-74.002331</v>
      </c>
      <c r="AD174" t="s">
        <v>10839</v>
      </c>
      <c r="AG174" t="s">
        <v>10858</v>
      </c>
      <c r="AH174" t="s">
        <v>10862</v>
      </c>
      <c r="AI174">
        <v>239</v>
      </c>
      <c r="AJ174" t="s">
        <v>10213</v>
      </c>
      <c r="AL174">
        <v>5.3</v>
      </c>
      <c r="AM174" t="s">
        <v>10886</v>
      </c>
      <c r="AN174" t="s">
        <v>10921</v>
      </c>
      <c r="AO174" t="s">
        <v>11015</v>
      </c>
      <c r="AP174" t="s">
        <v>11069</v>
      </c>
      <c r="AQ174" t="s">
        <v>11120</v>
      </c>
      <c r="AR174" t="s">
        <v>11257</v>
      </c>
      <c r="AS174" t="s">
        <v>11595</v>
      </c>
      <c r="BA174" t="s">
        <v>11738</v>
      </c>
      <c r="BB174">
        <v>0</v>
      </c>
      <c r="BC174">
        <v>0</v>
      </c>
      <c r="BD174">
        <v>0</v>
      </c>
      <c r="BE174">
        <v>0</v>
      </c>
      <c r="BF174">
        <v>5</v>
      </c>
      <c r="BG174">
        <v>0</v>
      </c>
    </row>
    <row r="175" spans="1:59">
      <c r="A175" s="1">
        <f>HYPERLINK("https://lsnyc.legalserver.org/matter/dynamic-profile/view/1903827","19-1903827")</f>
        <v>0</v>
      </c>
      <c r="B175" t="s">
        <v>216</v>
      </c>
      <c r="C175" t="s">
        <v>5147</v>
      </c>
      <c r="D175" t="s">
        <v>9929</v>
      </c>
      <c r="E175" t="s">
        <v>10075</v>
      </c>
      <c r="F175">
        <v>10301</v>
      </c>
      <c r="G175" t="s">
        <v>10088</v>
      </c>
      <c r="H175" t="s">
        <v>10097</v>
      </c>
      <c r="I175" t="s">
        <v>10168</v>
      </c>
      <c r="J175" t="s">
        <v>10208</v>
      </c>
      <c r="K175" t="s">
        <v>10218</v>
      </c>
      <c r="L175" t="s">
        <v>10141</v>
      </c>
      <c r="M175" t="s">
        <v>10257</v>
      </c>
      <c r="N175" t="s">
        <v>10650</v>
      </c>
      <c r="P175" t="s">
        <v>10749</v>
      </c>
      <c r="Q175" t="s">
        <v>10765</v>
      </c>
      <c r="R175" t="s">
        <v>10822</v>
      </c>
      <c r="T175">
        <v>21060</v>
      </c>
      <c r="U175">
        <v>1755</v>
      </c>
      <c r="V175">
        <v>32</v>
      </c>
      <c r="W175">
        <v>2</v>
      </c>
      <c r="X175">
        <v>2</v>
      </c>
      <c r="Y175" t="s">
        <v>10831</v>
      </c>
      <c r="Z175">
        <v>81.79000000000001</v>
      </c>
      <c r="AA175">
        <v>40.64267</v>
      </c>
      <c r="AB175">
        <v>-74.079993</v>
      </c>
      <c r="AD175" t="s">
        <v>10839</v>
      </c>
      <c r="AG175" t="s">
        <v>10858</v>
      </c>
      <c r="AH175" t="s">
        <v>10862</v>
      </c>
      <c r="AI175">
        <v>285</v>
      </c>
      <c r="AJ175" t="s">
        <v>10208</v>
      </c>
      <c r="AK175" t="s">
        <v>10838</v>
      </c>
      <c r="AL175">
        <v>19.75</v>
      </c>
      <c r="AM175" t="s">
        <v>10883</v>
      </c>
      <c r="AN175" t="s">
        <v>10913</v>
      </c>
      <c r="AO175" t="s">
        <v>11006</v>
      </c>
      <c r="AP175" t="s">
        <v>11051</v>
      </c>
      <c r="AR175" t="s">
        <v>11262</v>
      </c>
      <c r="AS175" t="s">
        <v>11593</v>
      </c>
      <c r="AY175" t="s">
        <v>10831</v>
      </c>
      <c r="AZ175" t="s">
        <v>11687</v>
      </c>
      <c r="BA175" t="s">
        <v>11738</v>
      </c>
      <c r="BB175">
        <v>0</v>
      </c>
      <c r="BC175">
        <v>0</v>
      </c>
      <c r="BD175">
        <v>0</v>
      </c>
      <c r="BE175">
        <v>0</v>
      </c>
      <c r="BF175">
        <v>5</v>
      </c>
      <c r="BG175">
        <v>0</v>
      </c>
    </row>
    <row r="176" spans="1:59">
      <c r="A176" s="1">
        <f>HYPERLINK("https://lsnyc.legalserver.org/matter/dynamic-profile/view/1903828","19-1903828")</f>
        <v>0</v>
      </c>
      <c r="B176" t="s">
        <v>217</v>
      </c>
      <c r="C176" t="s">
        <v>5148</v>
      </c>
      <c r="D176" t="s">
        <v>9942</v>
      </c>
      <c r="E176" t="s">
        <v>10075</v>
      </c>
      <c r="F176">
        <v>11357</v>
      </c>
      <c r="G176" t="s">
        <v>10092</v>
      </c>
      <c r="H176" t="s">
        <v>10097</v>
      </c>
      <c r="I176" t="s">
        <v>10168</v>
      </c>
      <c r="J176" t="s">
        <v>10212</v>
      </c>
      <c r="K176" t="s">
        <v>10217</v>
      </c>
      <c r="M176" t="s">
        <v>10325</v>
      </c>
      <c r="N176" t="s">
        <v>10688</v>
      </c>
      <c r="P176" t="s">
        <v>10757</v>
      </c>
      <c r="Q176" t="s">
        <v>10789</v>
      </c>
      <c r="R176" t="s">
        <v>10820</v>
      </c>
      <c r="T176">
        <v>7824</v>
      </c>
      <c r="U176">
        <v>652</v>
      </c>
      <c r="V176">
        <v>74</v>
      </c>
      <c r="W176">
        <v>1</v>
      </c>
      <c r="X176">
        <v>0</v>
      </c>
      <c r="Z176">
        <v>62.64</v>
      </c>
      <c r="AA176">
        <v>40.782702</v>
      </c>
      <c r="AB176">
        <v>-73.797487</v>
      </c>
      <c r="AC176" t="s">
        <v>10837</v>
      </c>
      <c r="AD176" t="s">
        <v>10840</v>
      </c>
      <c r="AG176" t="s">
        <v>10858</v>
      </c>
      <c r="AH176" t="s">
        <v>10874</v>
      </c>
      <c r="AI176">
        <v>237</v>
      </c>
      <c r="AJ176" t="s">
        <v>10212</v>
      </c>
      <c r="AL176">
        <v>5.5</v>
      </c>
      <c r="AM176" t="s">
        <v>10895</v>
      </c>
      <c r="AN176" t="s">
        <v>10948</v>
      </c>
      <c r="AO176" t="s">
        <v>11022</v>
      </c>
      <c r="AP176" t="s">
        <v>11080</v>
      </c>
      <c r="AQ176" t="s">
        <v>11121</v>
      </c>
      <c r="AR176" t="s">
        <v>11301</v>
      </c>
      <c r="AS176" t="s">
        <v>11594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</row>
    <row r="177" spans="1:59">
      <c r="A177" s="1">
        <f>HYPERLINK("https://lsnyc.legalserver.org/matter/dynamic-profile/view/1903829","19-1903829")</f>
        <v>0</v>
      </c>
      <c r="B177" t="s">
        <v>218</v>
      </c>
      <c r="C177" t="s">
        <v>5149</v>
      </c>
      <c r="D177" t="s">
        <v>9925</v>
      </c>
      <c r="E177" t="s">
        <v>10075</v>
      </c>
      <c r="F177">
        <v>10027</v>
      </c>
      <c r="G177" t="s">
        <v>10091</v>
      </c>
      <c r="H177" t="s">
        <v>10097</v>
      </c>
      <c r="I177" t="s">
        <v>10168</v>
      </c>
      <c r="J177" t="s">
        <v>10211</v>
      </c>
      <c r="K177" t="s">
        <v>10217</v>
      </c>
      <c r="M177" t="s">
        <v>10231</v>
      </c>
      <c r="N177" t="s">
        <v>10647</v>
      </c>
      <c r="P177" t="s">
        <v>10752</v>
      </c>
      <c r="Q177" t="s">
        <v>10762</v>
      </c>
      <c r="R177" t="s">
        <v>10824</v>
      </c>
      <c r="T177">
        <v>31200</v>
      </c>
      <c r="U177">
        <v>2600</v>
      </c>
      <c r="V177">
        <v>53</v>
      </c>
      <c r="W177">
        <v>2</v>
      </c>
      <c r="X177">
        <v>1</v>
      </c>
      <c r="Z177">
        <v>146.27</v>
      </c>
      <c r="AA177">
        <v>40.808366</v>
      </c>
      <c r="AB177">
        <v>-73.95155</v>
      </c>
      <c r="AD177" t="s">
        <v>10839</v>
      </c>
      <c r="AG177" t="s">
        <v>10858</v>
      </c>
      <c r="AH177" t="s">
        <v>10871</v>
      </c>
      <c r="AI177">
        <v>234</v>
      </c>
      <c r="AJ177" t="s">
        <v>10214</v>
      </c>
      <c r="AL177">
        <v>3.9</v>
      </c>
      <c r="AM177" t="s">
        <v>10887</v>
      </c>
      <c r="AN177" t="s">
        <v>10936</v>
      </c>
      <c r="AO177" t="s">
        <v>11016</v>
      </c>
      <c r="AP177" t="s">
        <v>11076</v>
      </c>
      <c r="AR177" t="s">
        <v>11262</v>
      </c>
      <c r="AS177" t="s">
        <v>9925</v>
      </c>
      <c r="AT177" t="s">
        <v>11641</v>
      </c>
      <c r="AX177" t="s">
        <v>10838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</row>
    <row r="178" spans="1:59">
      <c r="A178" s="1">
        <f>HYPERLINK("https://lsnyc.legalserver.org/matter/dynamic-profile/view/1903831","19-1903831")</f>
        <v>0</v>
      </c>
      <c r="B178" t="s">
        <v>219</v>
      </c>
      <c r="C178" t="s">
        <v>5150</v>
      </c>
      <c r="D178" t="s">
        <v>9938</v>
      </c>
      <c r="E178" t="s">
        <v>10075</v>
      </c>
      <c r="F178">
        <v>11432</v>
      </c>
      <c r="G178" t="s">
        <v>10092</v>
      </c>
      <c r="H178" t="s">
        <v>10097</v>
      </c>
      <c r="I178" t="s">
        <v>10168</v>
      </c>
      <c r="J178" t="s">
        <v>10212</v>
      </c>
      <c r="K178" t="s">
        <v>10218</v>
      </c>
      <c r="L178" t="s">
        <v>4843</v>
      </c>
      <c r="M178" t="s">
        <v>10326</v>
      </c>
      <c r="N178" t="s">
        <v>10689</v>
      </c>
      <c r="O178" t="s">
        <v>10699</v>
      </c>
      <c r="P178" t="s">
        <v>10754</v>
      </c>
      <c r="Q178" t="s">
        <v>10770</v>
      </c>
      <c r="R178" t="s">
        <v>10825</v>
      </c>
      <c r="T178">
        <v>16900</v>
      </c>
      <c r="U178">
        <v>1408.33</v>
      </c>
      <c r="V178">
        <v>48</v>
      </c>
      <c r="W178">
        <v>1</v>
      </c>
      <c r="X178">
        <v>0</v>
      </c>
      <c r="Y178" t="s">
        <v>10829</v>
      </c>
      <c r="Z178">
        <v>135.31</v>
      </c>
      <c r="AA178">
        <v>40.720376</v>
      </c>
      <c r="AB178">
        <v>-73.78536200000001</v>
      </c>
      <c r="AD178" t="s">
        <v>10839</v>
      </c>
      <c r="AF178" t="s">
        <v>10842</v>
      </c>
      <c r="AG178" t="s">
        <v>10859</v>
      </c>
      <c r="AH178" t="s">
        <v>10865</v>
      </c>
      <c r="AI178">
        <v>237</v>
      </c>
      <c r="AJ178" t="s">
        <v>10212</v>
      </c>
      <c r="AK178" t="s">
        <v>10837</v>
      </c>
      <c r="AL178">
        <v>2.8</v>
      </c>
      <c r="AM178" t="s">
        <v>10892</v>
      </c>
      <c r="AN178" t="s">
        <v>10944</v>
      </c>
      <c r="AO178" t="s">
        <v>11022</v>
      </c>
      <c r="AP178" t="s">
        <v>11081</v>
      </c>
      <c r="AQ178" t="s">
        <v>11122</v>
      </c>
      <c r="AR178" t="s">
        <v>11257</v>
      </c>
      <c r="AS178" t="s">
        <v>11594</v>
      </c>
      <c r="AY178" t="s">
        <v>10829</v>
      </c>
      <c r="AZ178" t="s">
        <v>11683</v>
      </c>
      <c r="BA178" t="s">
        <v>11741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0</v>
      </c>
    </row>
    <row r="179" spans="1:59">
      <c r="A179" s="1">
        <f>HYPERLINK("https://lsnyc.legalserver.org/matter/dynamic-profile/view/1903832","19-1903832")</f>
        <v>0</v>
      </c>
      <c r="B179" t="s">
        <v>220</v>
      </c>
      <c r="C179" t="s">
        <v>5151</v>
      </c>
      <c r="D179" t="s">
        <v>9928</v>
      </c>
      <c r="E179" t="s">
        <v>10075</v>
      </c>
      <c r="F179">
        <v>11208</v>
      </c>
      <c r="G179" t="s">
        <v>10093</v>
      </c>
      <c r="H179" t="s">
        <v>10097</v>
      </c>
      <c r="I179" t="s">
        <v>10168</v>
      </c>
      <c r="J179" t="s">
        <v>10213</v>
      </c>
      <c r="K179" t="s">
        <v>10217</v>
      </c>
      <c r="M179" t="s">
        <v>10327</v>
      </c>
      <c r="N179" t="s">
        <v>10650</v>
      </c>
      <c r="P179" t="s">
        <v>10749</v>
      </c>
      <c r="Q179" t="s">
        <v>10765</v>
      </c>
      <c r="R179" t="s">
        <v>10825</v>
      </c>
      <c r="T179">
        <v>20676</v>
      </c>
      <c r="U179">
        <v>1723</v>
      </c>
      <c r="V179">
        <v>40</v>
      </c>
      <c r="W179">
        <v>1</v>
      </c>
      <c r="X179">
        <v>1</v>
      </c>
      <c r="Z179">
        <v>122.27</v>
      </c>
      <c r="AA179">
        <v>40.675282</v>
      </c>
      <c r="AB179">
        <v>-73.876947</v>
      </c>
      <c r="AC179" t="s">
        <v>10837</v>
      </c>
      <c r="AD179" t="s">
        <v>10839</v>
      </c>
      <c r="AG179" t="s">
        <v>10858</v>
      </c>
      <c r="AH179" t="s">
        <v>10861</v>
      </c>
      <c r="AI179">
        <v>234</v>
      </c>
      <c r="AJ179" t="s">
        <v>10214</v>
      </c>
      <c r="AL179">
        <v>3.4</v>
      </c>
      <c r="AM179" t="s">
        <v>10889</v>
      </c>
      <c r="AN179" t="s">
        <v>10920</v>
      </c>
      <c r="AO179" t="s">
        <v>11011</v>
      </c>
      <c r="AP179" t="s">
        <v>11058</v>
      </c>
      <c r="AR179" t="s">
        <v>11302</v>
      </c>
      <c r="AS179" t="s">
        <v>11595</v>
      </c>
      <c r="AT179" t="s">
        <v>11641</v>
      </c>
      <c r="AX179" t="s">
        <v>10838</v>
      </c>
      <c r="BA179" t="s">
        <v>11741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0</v>
      </c>
    </row>
    <row r="180" spans="1:59">
      <c r="A180" s="1">
        <f>HYPERLINK("https://lsnyc.legalserver.org/matter/dynamic-profile/view/1903834","19-1903834")</f>
        <v>0</v>
      </c>
      <c r="B180" t="s">
        <v>221</v>
      </c>
      <c r="C180" t="s">
        <v>5152</v>
      </c>
      <c r="D180" t="s">
        <v>9926</v>
      </c>
      <c r="E180" t="s">
        <v>10075</v>
      </c>
      <c r="F180">
        <v>10451</v>
      </c>
      <c r="G180" t="s">
        <v>10090</v>
      </c>
      <c r="H180" t="s">
        <v>10097</v>
      </c>
      <c r="I180" t="s">
        <v>10169</v>
      </c>
      <c r="J180" t="s">
        <v>10210</v>
      </c>
      <c r="K180" t="s">
        <v>10217</v>
      </c>
      <c r="M180" t="s">
        <v>10328</v>
      </c>
      <c r="N180" t="s">
        <v>10649</v>
      </c>
      <c r="P180" t="s">
        <v>10753</v>
      </c>
      <c r="Q180" t="s">
        <v>10763</v>
      </c>
      <c r="R180" t="s">
        <v>10823</v>
      </c>
      <c r="T180">
        <v>0</v>
      </c>
      <c r="U180">
        <v>0</v>
      </c>
      <c r="V180">
        <v>20</v>
      </c>
      <c r="W180">
        <v>1</v>
      </c>
      <c r="X180">
        <v>0</v>
      </c>
      <c r="Z180">
        <v>0</v>
      </c>
      <c r="AA180">
        <v>40.820229</v>
      </c>
      <c r="AB180">
        <v>-73.92008</v>
      </c>
      <c r="AD180" t="s">
        <v>10840</v>
      </c>
      <c r="AF180" t="s">
        <v>10846</v>
      </c>
      <c r="AG180" t="s">
        <v>10859</v>
      </c>
      <c r="AH180" t="s">
        <v>10861</v>
      </c>
      <c r="AI180">
        <v>234</v>
      </c>
      <c r="AJ180" t="s">
        <v>10214</v>
      </c>
      <c r="AL180">
        <v>2</v>
      </c>
      <c r="AM180" t="s">
        <v>10884</v>
      </c>
      <c r="AN180" t="s">
        <v>10924</v>
      </c>
      <c r="AO180" t="s">
        <v>11001</v>
      </c>
      <c r="AP180" t="s">
        <v>11062</v>
      </c>
      <c r="AR180" t="s">
        <v>11267</v>
      </c>
      <c r="AS180" t="s">
        <v>9926</v>
      </c>
      <c r="AT180" t="s">
        <v>11642</v>
      </c>
      <c r="AX180" t="s">
        <v>10837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</row>
    <row r="181" spans="1:59">
      <c r="A181" s="1">
        <f>HYPERLINK("https://lsnyc.legalserver.org/matter/dynamic-profile/view/1903835","19-1903835")</f>
        <v>0</v>
      </c>
      <c r="B181" t="s">
        <v>222</v>
      </c>
      <c r="C181" t="s">
        <v>5153</v>
      </c>
      <c r="D181" t="s">
        <v>9943</v>
      </c>
      <c r="E181" t="s">
        <v>10075</v>
      </c>
      <c r="F181">
        <v>11372</v>
      </c>
      <c r="G181" t="s">
        <v>10092</v>
      </c>
      <c r="H181" t="s">
        <v>10097</v>
      </c>
      <c r="I181" t="s">
        <v>10169</v>
      </c>
      <c r="J181" t="s">
        <v>10212</v>
      </c>
      <c r="K181" t="s">
        <v>10217</v>
      </c>
      <c r="M181" t="s">
        <v>10329</v>
      </c>
      <c r="N181" t="s">
        <v>10650</v>
      </c>
      <c r="P181" t="s">
        <v>10749</v>
      </c>
      <c r="Q181" t="s">
        <v>10765</v>
      </c>
      <c r="R181" t="s">
        <v>10821</v>
      </c>
      <c r="T181">
        <v>20643.96</v>
      </c>
      <c r="U181">
        <v>1720.33</v>
      </c>
      <c r="V181">
        <v>56</v>
      </c>
      <c r="W181">
        <v>4</v>
      </c>
      <c r="X181">
        <v>2</v>
      </c>
      <c r="Z181">
        <v>59.68</v>
      </c>
      <c r="AA181">
        <v>40.752042</v>
      </c>
      <c r="AB181">
        <v>-73.873582</v>
      </c>
      <c r="AD181" t="s">
        <v>10839</v>
      </c>
      <c r="AG181" t="s">
        <v>10858</v>
      </c>
      <c r="AH181" t="s">
        <v>10862</v>
      </c>
      <c r="AI181">
        <v>237</v>
      </c>
      <c r="AJ181" t="s">
        <v>10212</v>
      </c>
      <c r="AL181">
        <v>21.05</v>
      </c>
      <c r="AM181" t="s">
        <v>10885</v>
      </c>
      <c r="AN181" t="s">
        <v>10909</v>
      </c>
      <c r="AO181" t="s">
        <v>11014</v>
      </c>
      <c r="AP181" t="s">
        <v>11053</v>
      </c>
      <c r="AQ181" t="s">
        <v>11123</v>
      </c>
      <c r="AR181" t="s">
        <v>11257</v>
      </c>
      <c r="AS181" t="s">
        <v>11594</v>
      </c>
      <c r="BA181" t="s">
        <v>11738</v>
      </c>
      <c r="BB181">
        <v>0</v>
      </c>
      <c r="BC181">
        <v>0</v>
      </c>
      <c r="BD181">
        <v>0</v>
      </c>
      <c r="BE181">
        <v>0</v>
      </c>
      <c r="BF181">
        <v>5</v>
      </c>
      <c r="BG181">
        <v>0</v>
      </c>
    </row>
    <row r="182" spans="1:59">
      <c r="A182" s="1">
        <f>HYPERLINK("https://lsnyc.legalserver.org/matter/dynamic-profile/view/1903836","19-1903836")</f>
        <v>0</v>
      </c>
      <c r="B182" t="s">
        <v>223</v>
      </c>
      <c r="C182" t="s">
        <v>5154</v>
      </c>
      <c r="D182" t="s">
        <v>9928</v>
      </c>
      <c r="E182" t="s">
        <v>10075</v>
      </c>
      <c r="F182">
        <v>11221</v>
      </c>
      <c r="G182" t="s">
        <v>10093</v>
      </c>
      <c r="H182" t="s">
        <v>10097</v>
      </c>
      <c r="I182" t="s">
        <v>10168</v>
      </c>
      <c r="J182" t="s">
        <v>10213</v>
      </c>
      <c r="K182" t="s">
        <v>10217</v>
      </c>
      <c r="M182" t="s">
        <v>10314</v>
      </c>
      <c r="N182" t="s">
        <v>10667</v>
      </c>
      <c r="P182" t="s">
        <v>10749</v>
      </c>
      <c r="Q182" t="s">
        <v>10765</v>
      </c>
      <c r="R182" t="s">
        <v>10822</v>
      </c>
      <c r="T182">
        <v>29000</v>
      </c>
      <c r="U182">
        <v>2416.67</v>
      </c>
      <c r="V182">
        <v>62</v>
      </c>
      <c r="W182">
        <v>2</v>
      </c>
      <c r="X182">
        <v>0</v>
      </c>
      <c r="Z182">
        <v>171.5</v>
      </c>
      <c r="AA182">
        <v>40.690249</v>
      </c>
      <c r="AB182">
        <v>-73.93694000000001</v>
      </c>
      <c r="AD182" t="s">
        <v>10840</v>
      </c>
      <c r="AG182" t="s">
        <v>10858</v>
      </c>
      <c r="AH182" t="s">
        <v>10862</v>
      </c>
      <c r="AI182">
        <v>239</v>
      </c>
      <c r="AJ182" t="s">
        <v>10213</v>
      </c>
      <c r="AL182">
        <v>9.25</v>
      </c>
      <c r="AM182" t="s">
        <v>10889</v>
      </c>
      <c r="AN182" t="s">
        <v>10914</v>
      </c>
      <c r="AO182" t="s">
        <v>11007</v>
      </c>
      <c r="AP182" t="s">
        <v>11052</v>
      </c>
      <c r="AR182" t="s">
        <v>11257</v>
      </c>
      <c r="AS182" t="s">
        <v>11595</v>
      </c>
      <c r="BA182" t="s">
        <v>11738</v>
      </c>
      <c r="BB182">
        <v>0</v>
      </c>
      <c r="BC182">
        <v>0</v>
      </c>
      <c r="BD182">
        <v>0</v>
      </c>
      <c r="BE182">
        <v>0</v>
      </c>
      <c r="BF182">
        <v>5</v>
      </c>
      <c r="BG182">
        <v>0</v>
      </c>
    </row>
    <row r="183" spans="1:59">
      <c r="A183" s="1">
        <f>HYPERLINK("https://lsnyc.legalserver.org/matter/dynamic-profile/view/1903837","19-1903837")</f>
        <v>0</v>
      </c>
      <c r="B183" t="s">
        <v>224</v>
      </c>
      <c r="C183" t="s">
        <v>5155</v>
      </c>
      <c r="D183" t="s">
        <v>9944</v>
      </c>
      <c r="E183" t="s">
        <v>10076</v>
      </c>
      <c r="F183">
        <v>7074</v>
      </c>
      <c r="G183" t="s">
        <v>10093</v>
      </c>
      <c r="H183" t="s">
        <v>10097</v>
      </c>
      <c r="I183" t="s">
        <v>10168</v>
      </c>
      <c r="J183" t="s">
        <v>10213</v>
      </c>
      <c r="K183" t="s">
        <v>10218</v>
      </c>
      <c r="L183" t="s">
        <v>10105</v>
      </c>
      <c r="M183" t="s">
        <v>10330</v>
      </c>
      <c r="N183" t="s">
        <v>10690</v>
      </c>
      <c r="O183" t="s">
        <v>10710</v>
      </c>
      <c r="P183" t="s">
        <v>10750</v>
      </c>
      <c r="Q183" t="s">
        <v>10760</v>
      </c>
      <c r="R183" t="s">
        <v>10820</v>
      </c>
      <c r="T183">
        <v>73200</v>
      </c>
      <c r="U183">
        <v>6100</v>
      </c>
      <c r="V183">
        <v>67</v>
      </c>
      <c r="W183">
        <v>2</v>
      </c>
      <c r="X183">
        <v>0</v>
      </c>
      <c r="Y183" t="s">
        <v>10829</v>
      </c>
      <c r="Z183">
        <v>432.88</v>
      </c>
      <c r="AA183">
        <v>40.842781</v>
      </c>
      <c r="AB183">
        <v>-74.04532</v>
      </c>
      <c r="AC183" t="s">
        <v>10837</v>
      </c>
      <c r="AD183" t="s">
        <v>10840</v>
      </c>
      <c r="AG183" t="s">
        <v>10858</v>
      </c>
      <c r="AH183" t="s">
        <v>10861</v>
      </c>
      <c r="AI183">
        <v>234</v>
      </c>
      <c r="AJ183" t="s">
        <v>10214</v>
      </c>
      <c r="AK183" t="s">
        <v>10838</v>
      </c>
      <c r="AL183">
        <v>1.6</v>
      </c>
      <c r="AR183" t="s">
        <v>11265</v>
      </c>
      <c r="AS183" t="s">
        <v>11596</v>
      </c>
      <c r="AT183" t="s">
        <v>11642</v>
      </c>
      <c r="AX183" t="s">
        <v>10838</v>
      </c>
      <c r="AY183" t="s">
        <v>10829</v>
      </c>
      <c r="AZ183" t="s">
        <v>11679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</row>
    <row r="184" spans="1:59">
      <c r="A184" s="1">
        <f>HYPERLINK("https://lsnyc.legalserver.org/matter/dynamic-profile/view/1903838","19-1903838")</f>
        <v>0</v>
      </c>
      <c r="B184" t="s">
        <v>225</v>
      </c>
      <c r="C184" t="s">
        <v>5156</v>
      </c>
      <c r="D184" t="s">
        <v>9925</v>
      </c>
      <c r="E184" t="s">
        <v>10075</v>
      </c>
      <c r="F184">
        <v>10037</v>
      </c>
      <c r="G184" t="s">
        <v>10089</v>
      </c>
      <c r="H184" t="s">
        <v>10097</v>
      </c>
      <c r="I184" t="s">
        <v>10168</v>
      </c>
      <c r="J184" t="s">
        <v>10209</v>
      </c>
      <c r="K184" t="s">
        <v>10217</v>
      </c>
      <c r="M184" t="s">
        <v>10270</v>
      </c>
      <c r="N184" t="s">
        <v>10691</v>
      </c>
      <c r="P184" t="s">
        <v>10754</v>
      </c>
      <c r="Q184" t="s">
        <v>10770</v>
      </c>
      <c r="R184" t="s">
        <v>10824</v>
      </c>
      <c r="T184">
        <v>3360</v>
      </c>
      <c r="U184">
        <v>280</v>
      </c>
      <c r="V184">
        <v>36</v>
      </c>
      <c r="W184">
        <v>1</v>
      </c>
      <c r="X184">
        <v>1</v>
      </c>
      <c r="Z184">
        <v>19.87</v>
      </c>
      <c r="AA184">
        <v>40.817918</v>
      </c>
      <c r="AB184">
        <v>-73.93758</v>
      </c>
      <c r="AD184" t="s">
        <v>10840</v>
      </c>
      <c r="AG184" t="s">
        <v>10858</v>
      </c>
      <c r="AH184" t="s">
        <v>10861</v>
      </c>
      <c r="AI184">
        <v>234</v>
      </c>
      <c r="AJ184" t="s">
        <v>10214</v>
      </c>
      <c r="AL184">
        <v>1</v>
      </c>
      <c r="AM184" t="s">
        <v>10887</v>
      </c>
      <c r="AN184" t="s">
        <v>10936</v>
      </c>
      <c r="AO184" t="s">
        <v>11016</v>
      </c>
      <c r="AP184" t="s">
        <v>11076</v>
      </c>
      <c r="AR184" t="s">
        <v>11292</v>
      </c>
      <c r="AS184" t="s">
        <v>9925</v>
      </c>
      <c r="AT184" t="s">
        <v>11642</v>
      </c>
      <c r="AX184" t="s">
        <v>10838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</row>
    <row r="185" spans="1:59">
      <c r="A185" s="1">
        <f>HYPERLINK("https://lsnyc.legalserver.org/matter/dynamic-profile/view/1903839","19-1903839")</f>
        <v>0</v>
      </c>
      <c r="B185" t="s">
        <v>226</v>
      </c>
      <c r="C185" t="s">
        <v>5157</v>
      </c>
      <c r="D185" t="s">
        <v>9932</v>
      </c>
      <c r="E185" t="s">
        <v>10075</v>
      </c>
      <c r="F185">
        <v>11368</v>
      </c>
      <c r="G185" t="s">
        <v>10092</v>
      </c>
      <c r="H185" t="s">
        <v>10097</v>
      </c>
      <c r="I185" t="s">
        <v>10169</v>
      </c>
      <c r="J185" t="s">
        <v>10212</v>
      </c>
      <c r="K185" t="s">
        <v>10217</v>
      </c>
      <c r="M185" t="s">
        <v>10326</v>
      </c>
      <c r="N185" t="s">
        <v>10692</v>
      </c>
      <c r="O185" t="s">
        <v>10699</v>
      </c>
      <c r="P185" t="s">
        <v>10754</v>
      </c>
      <c r="Q185" t="s">
        <v>10775</v>
      </c>
      <c r="R185" t="s">
        <v>10821</v>
      </c>
      <c r="T185">
        <v>20800</v>
      </c>
      <c r="U185">
        <v>1733.33</v>
      </c>
      <c r="V185">
        <v>37</v>
      </c>
      <c r="W185">
        <v>1</v>
      </c>
      <c r="X185">
        <v>0</v>
      </c>
      <c r="Z185">
        <v>166.53</v>
      </c>
      <c r="AA185">
        <v>40.74767</v>
      </c>
      <c r="AB185">
        <v>-73.861704</v>
      </c>
      <c r="AD185" t="s">
        <v>10839</v>
      </c>
      <c r="AF185" t="s">
        <v>10842</v>
      </c>
      <c r="AG185" t="s">
        <v>10859</v>
      </c>
      <c r="AH185" t="s">
        <v>10865</v>
      </c>
      <c r="AI185">
        <v>237</v>
      </c>
      <c r="AJ185" t="s">
        <v>10212</v>
      </c>
      <c r="AK185" t="s">
        <v>10837</v>
      </c>
      <c r="AL185">
        <v>7.77</v>
      </c>
      <c r="AM185" t="s">
        <v>10885</v>
      </c>
      <c r="AN185" t="s">
        <v>10949</v>
      </c>
      <c r="AO185" t="s">
        <v>11014</v>
      </c>
      <c r="AP185" t="s">
        <v>11068</v>
      </c>
      <c r="AQ185" t="s">
        <v>11124</v>
      </c>
      <c r="AR185" t="s">
        <v>11257</v>
      </c>
      <c r="AS185" t="s">
        <v>11594</v>
      </c>
      <c r="BA185" t="s">
        <v>11740</v>
      </c>
      <c r="BB185">
        <v>0</v>
      </c>
      <c r="BC185">
        <v>0</v>
      </c>
      <c r="BD185">
        <v>0</v>
      </c>
      <c r="BE185">
        <v>0</v>
      </c>
      <c r="BF185">
        <v>2</v>
      </c>
      <c r="BG185">
        <v>0</v>
      </c>
    </row>
    <row r="186" spans="1:59">
      <c r="A186" s="1">
        <f>HYPERLINK("https://lsnyc.legalserver.org/matter/dynamic-profile/view/1903840","19-1903840")</f>
        <v>0</v>
      </c>
      <c r="B186" t="s">
        <v>227</v>
      </c>
      <c r="C186" t="s">
        <v>5158</v>
      </c>
      <c r="D186" t="s">
        <v>9926</v>
      </c>
      <c r="E186" t="s">
        <v>10075</v>
      </c>
      <c r="F186">
        <v>10457</v>
      </c>
      <c r="G186" t="s">
        <v>10090</v>
      </c>
      <c r="H186" t="s">
        <v>10097</v>
      </c>
      <c r="I186" t="s">
        <v>10168</v>
      </c>
      <c r="J186" t="s">
        <v>10210</v>
      </c>
      <c r="K186" t="s">
        <v>10217</v>
      </c>
      <c r="M186" t="s">
        <v>10297</v>
      </c>
      <c r="N186" t="s">
        <v>10651</v>
      </c>
      <c r="P186" t="s">
        <v>10749</v>
      </c>
      <c r="Q186" t="s">
        <v>10765</v>
      </c>
      <c r="R186" t="s">
        <v>10824</v>
      </c>
      <c r="T186">
        <v>15964</v>
      </c>
      <c r="U186">
        <v>1330.33</v>
      </c>
      <c r="V186">
        <v>36</v>
      </c>
      <c r="W186">
        <v>1</v>
      </c>
      <c r="X186">
        <v>0</v>
      </c>
      <c r="Z186">
        <v>127.81</v>
      </c>
      <c r="AA186">
        <v>40.854945</v>
      </c>
      <c r="AB186">
        <v>-73.89606499999999</v>
      </c>
      <c r="AD186" t="s">
        <v>10840</v>
      </c>
      <c r="AG186" t="s">
        <v>10858</v>
      </c>
      <c r="AH186" t="s">
        <v>10861</v>
      </c>
      <c r="AI186">
        <v>230</v>
      </c>
      <c r="AJ186" t="s">
        <v>10210</v>
      </c>
      <c r="AL186">
        <v>9.300000000000001</v>
      </c>
      <c r="AM186" t="s">
        <v>10884</v>
      </c>
      <c r="AN186" t="s">
        <v>10931</v>
      </c>
      <c r="AO186" t="s">
        <v>11000</v>
      </c>
      <c r="AP186" t="s">
        <v>11056</v>
      </c>
      <c r="AR186" t="s">
        <v>11275</v>
      </c>
      <c r="AS186" t="s">
        <v>9926</v>
      </c>
      <c r="AT186" t="s">
        <v>11642</v>
      </c>
      <c r="AX186" t="s">
        <v>10837</v>
      </c>
      <c r="BA186" t="s">
        <v>11738</v>
      </c>
      <c r="BB186">
        <v>0</v>
      </c>
      <c r="BC186">
        <v>0</v>
      </c>
      <c r="BD186">
        <v>0</v>
      </c>
      <c r="BE186">
        <v>0</v>
      </c>
      <c r="BF186">
        <v>5</v>
      </c>
      <c r="BG186">
        <v>0</v>
      </c>
    </row>
    <row r="187" spans="1:59">
      <c r="A187" s="1">
        <f>HYPERLINK("https://lsnyc.legalserver.org/matter/dynamic-profile/view/1903842","19-1903842")</f>
        <v>0</v>
      </c>
      <c r="B187" t="s">
        <v>228</v>
      </c>
      <c r="C187" t="s">
        <v>5159</v>
      </c>
      <c r="D187" t="s">
        <v>9940</v>
      </c>
      <c r="E187" t="s">
        <v>10075</v>
      </c>
      <c r="F187">
        <v>11421</v>
      </c>
      <c r="G187" t="s">
        <v>10092</v>
      </c>
      <c r="H187" t="s">
        <v>10097</v>
      </c>
      <c r="I187" t="s">
        <v>10168</v>
      </c>
      <c r="J187" t="s">
        <v>10212</v>
      </c>
      <c r="K187" t="s">
        <v>10218</v>
      </c>
      <c r="L187" t="s">
        <v>10137</v>
      </c>
      <c r="M187" t="s">
        <v>10331</v>
      </c>
      <c r="N187" t="s">
        <v>10675</v>
      </c>
      <c r="P187" t="s">
        <v>10749</v>
      </c>
      <c r="Q187" t="s">
        <v>10765</v>
      </c>
      <c r="R187" t="s">
        <v>10824</v>
      </c>
      <c r="T187">
        <v>45760</v>
      </c>
      <c r="U187">
        <v>3813.33</v>
      </c>
      <c r="V187">
        <v>35</v>
      </c>
      <c r="W187">
        <v>2</v>
      </c>
      <c r="X187">
        <v>3</v>
      </c>
      <c r="Y187" t="s">
        <v>10829</v>
      </c>
      <c r="Z187">
        <v>151.67</v>
      </c>
      <c r="AA187">
        <v>40.685991</v>
      </c>
      <c r="AB187">
        <v>-73.86653200000001</v>
      </c>
      <c r="AC187" t="s">
        <v>10837</v>
      </c>
      <c r="AD187" t="s">
        <v>10840</v>
      </c>
      <c r="AG187" t="s">
        <v>10858</v>
      </c>
      <c r="AH187" t="s">
        <v>10861</v>
      </c>
      <c r="AI187">
        <v>234</v>
      </c>
      <c r="AJ187" t="s">
        <v>10214</v>
      </c>
      <c r="AK187" t="s">
        <v>10838</v>
      </c>
      <c r="AL187">
        <v>2</v>
      </c>
      <c r="AM187" t="s">
        <v>10886</v>
      </c>
      <c r="AN187" t="s">
        <v>10945</v>
      </c>
      <c r="AO187" t="s">
        <v>11003</v>
      </c>
      <c r="AP187" t="s">
        <v>11077</v>
      </c>
      <c r="AR187" t="s">
        <v>11257</v>
      </c>
      <c r="AS187" t="s">
        <v>11594</v>
      </c>
      <c r="AT187" t="s">
        <v>11642</v>
      </c>
      <c r="AX187" t="s">
        <v>10838</v>
      </c>
      <c r="AY187" t="s">
        <v>10829</v>
      </c>
      <c r="AZ187" t="s">
        <v>11681</v>
      </c>
      <c r="BA187" t="s">
        <v>11741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0</v>
      </c>
    </row>
    <row r="188" spans="1:59">
      <c r="A188" s="1">
        <f>HYPERLINK("https://lsnyc.legalserver.org/matter/dynamic-profile/view/1903843","19-1903843")</f>
        <v>0</v>
      </c>
      <c r="B188" t="s">
        <v>229</v>
      </c>
      <c r="C188" t="s">
        <v>5160</v>
      </c>
      <c r="D188" t="s">
        <v>9925</v>
      </c>
      <c r="E188" t="s">
        <v>10075</v>
      </c>
      <c r="F188">
        <v>10003</v>
      </c>
      <c r="G188" t="s">
        <v>10089</v>
      </c>
      <c r="H188" t="s">
        <v>10097</v>
      </c>
      <c r="I188" t="s">
        <v>10168</v>
      </c>
      <c r="J188" t="s">
        <v>10209</v>
      </c>
      <c r="K188" t="s">
        <v>10218</v>
      </c>
      <c r="L188" t="s">
        <v>10128</v>
      </c>
      <c r="M188" t="s">
        <v>10332</v>
      </c>
      <c r="N188" t="s">
        <v>10691</v>
      </c>
      <c r="P188" t="s">
        <v>10749</v>
      </c>
      <c r="Q188" t="s">
        <v>10765</v>
      </c>
      <c r="R188" t="s">
        <v>10824</v>
      </c>
      <c r="T188">
        <v>40800</v>
      </c>
      <c r="U188">
        <v>3400</v>
      </c>
      <c r="V188">
        <v>67</v>
      </c>
      <c r="W188">
        <v>1</v>
      </c>
      <c r="X188">
        <v>0</v>
      </c>
      <c r="Y188" t="s">
        <v>10829</v>
      </c>
      <c r="Z188">
        <v>326.66</v>
      </c>
      <c r="AA188">
        <v>40.733371</v>
      </c>
      <c r="AB188">
        <v>-73.989014</v>
      </c>
      <c r="AC188" t="s">
        <v>10837</v>
      </c>
      <c r="AD188" t="s">
        <v>10840</v>
      </c>
      <c r="AG188" t="s">
        <v>10858</v>
      </c>
      <c r="AH188" t="s">
        <v>10861</v>
      </c>
      <c r="AI188">
        <v>234</v>
      </c>
      <c r="AJ188" t="s">
        <v>10214</v>
      </c>
      <c r="AK188" t="s">
        <v>10882</v>
      </c>
      <c r="AL188">
        <v>3.1</v>
      </c>
      <c r="AM188" t="s">
        <v>10891</v>
      </c>
      <c r="AN188" t="s">
        <v>10950</v>
      </c>
      <c r="AO188" t="s">
        <v>11021</v>
      </c>
      <c r="AP188" t="s">
        <v>11048</v>
      </c>
      <c r="AR188" t="s">
        <v>11303</v>
      </c>
      <c r="AS188" t="s">
        <v>9925</v>
      </c>
      <c r="AT188" t="s">
        <v>11642</v>
      </c>
      <c r="AX188" t="s">
        <v>10838</v>
      </c>
      <c r="AY188" t="s">
        <v>10829</v>
      </c>
      <c r="AZ188" t="s">
        <v>11681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</row>
    <row r="189" spans="1:59">
      <c r="A189" s="1">
        <f>HYPERLINK("https://lsnyc.legalserver.org/matter/dynamic-profile/view/1903844","19-1903844")</f>
        <v>0</v>
      </c>
      <c r="B189" t="s">
        <v>230</v>
      </c>
      <c r="C189" t="s">
        <v>5161</v>
      </c>
      <c r="D189" t="s">
        <v>9928</v>
      </c>
      <c r="E189" t="s">
        <v>10075</v>
      </c>
      <c r="F189">
        <v>11207</v>
      </c>
      <c r="G189" t="s">
        <v>10091</v>
      </c>
      <c r="H189" t="s">
        <v>10097</v>
      </c>
      <c r="I189" t="s">
        <v>10168</v>
      </c>
      <c r="J189" t="s">
        <v>10214</v>
      </c>
      <c r="K189" t="s">
        <v>10217</v>
      </c>
      <c r="M189" t="s">
        <v>10286</v>
      </c>
      <c r="N189" t="s">
        <v>10671</v>
      </c>
      <c r="P189" t="s">
        <v>10752</v>
      </c>
      <c r="Q189" t="s">
        <v>10762</v>
      </c>
      <c r="R189" t="s">
        <v>10824</v>
      </c>
      <c r="T189">
        <v>12960</v>
      </c>
      <c r="U189">
        <v>1080</v>
      </c>
      <c r="V189">
        <v>74</v>
      </c>
      <c r="W189">
        <v>1</v>
      </c>
      <c r="X189">
        <v>0</v>
      </c>
      <c r="Z189">
        <v>103.76</v>
      </c>
      <c r="AA189">
        <v>40.672797</v>
      </c>
      <c r="AB189">
        <v>-73.89062199999999</v>
      </c>
      <c r="AD189" t="s">
        <v>10840</v>
      </c>
      <c r="AG189" t="s">
        <v>10858</v>
      </c>
      <c r="AH189" t="s">
        <v>10861</v>
      </c>
      <c r="AI189">
        <v>234</v>
      </c>
      <c r="AJ189" t="s">
        <v>10214</v>
      </c>
      <c r="AL189">
        <v>0.5</v>
      </c>
      <c r="AM189" t="s">
        <v>10889</v>
      </c>
      <c r="AN189" t="s">
        <v>10922</v>
      </c>
      <c r="AO189" t="s">
        <v>11012</v>
      </c>
      <c r="AP189" t="s">
        <v>11058</v>
      </c>
      <c r="AR189" t="s">
        <v>11304</v>
      </c>
      <c r="AS189" t="s">
        <v>11595</v>
      </c>
      <c r="AT189" t="s">
        <v>11642</v>
      </c>
      <c r="AX189" t="s">
        <v>10838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</row>
    <row r="190" spans="1:59">
      <c r="A190" s="1">
        <f>HYPERLINK("https://lsnyc.legalserver.org/matter/dynamic-profile/view/1903845","19-1903845")</f>
        <v>0</v>
      </c>
      <c r="B190" t="s">
        <v>231</v>
      </c>
      <c r="C190" t="s">
        <v>5162</v>
      </c>
      <c r="D190" t="s">
        <v>9926</v>
      </c>
      <c r="E190" t="s">
        <v>10075</v>
      </c>
      <c r="F190">
        <v>10452</v>
      </c>
      <c r="G190" t="s">
        <v>10090</v>
      </c>
      <c r="H190" t="s">
        <v>10097</v>
      </c>
      <c r="I190" t="s">
        <v>10168</v>
      </c>
      <c r="J190" t="s">
        <v>10210</v>
      </c>
      <c r="K190" t="s">
        <v>10218</v>
      </c>
      <c r="L190" t="s">
        <v>10120</v>
      </c>
      <c r="M190" t="s">
        <v>10333</v>
      </c>
      <c r="N190" t="s">
        <v>10683</v>
      </c>
      <c r="P190" t="s">
        <v>10753</v>
      </c>
      <c r="Q190" t="s">
        <v>10790</v>
      </c>
      <c r="R190" t="s">
        <v>10821</v>
      </c>
      <c r="T190">
        <v>6020.4</v>
      </c>
      <c r="U190">
        <v>501.7</v>
      </c>
      <c r="V190">
        <v>44</v>
      </c>
      <c r="W190">
        <v>1</v>
      </c>
      <c r="X190">
        <v>3</v>
      </c>
      <c r="Y190" t="s">
        <v>10832</v>
      </c>
      <c r="Z190">
        <v>23.38</v>
      </c>
      <c r="AA190">
        <v>40.833545</v>
      </c>
      <c r="AB190">
        <v>-73.919242</v>
      </c>
      <c r="AD190" t="s">
        <v>10839</v>
      </c>
      <c r="AG190" t="s">
        <v>10858</v>
      </c>
      <c r="AH190" t="s">
        <v>10874</v>
      </c>
      <c r="AI190">
        <v>230</v>
      </c>
      <c r="AJ190" t="s">
        <v>10210</v>
      </c>
      <c r="AK190" t="s">
        <v>10882</v>
      </c>
      <c r="AL190">
        <v>1.3</v>
      </c>
      <c r="AM190" t="s">
        <v>10884</v>
      </c>
      <c r="AN190" t="s">
        <v>10929</v>
      </c>
      <c r="AO190" t="s">
        <v>11013</v>
      </c>
      <c r="AP190" t="s">
        <v>11055</v>
      </c>
      <c r="AQ190" t="s">
        <v>11125</v>
      </c>
      <c r="AR190" t="s">
        <v>11305</v>
      </c>
      <c r="AS190" t="s">
        <v>9926</v>
      </c>
      <c r="AY190" t="s">
        <v>10832</v>
      </c>
      <c r="AZ190" t="s">
        <v>11696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</row>
    <row r="191" spans="1:59">
      <c r="A191" s="1">
        <f>HYPERLINK("https://lsnyc.legalserver.org/matter/dynamic-profile/view/1903846","19-1903846")</f>
        <v>0</v>
      </c>
      <c r="B191" t="s">
        <v>232</v>
      </c>
      <c r="C191" t="s">
        <v>5163</v>
      </c>
      <c r="D191" t="s">
        <v>9928</v>
      </c>
      <c r="E191" t="s">
        <v>10075</v>
      </c>
      <c r="F191">
        <v>11216</v>
      </c>
      <c r="G191" t="s">
        <v>10093</v>
      </c>
      <c r="H191" t="s">
        <v>10097</v>
      </c>
      <c r="I191" t="s">
        <v>10168</v>
      </c>
      <c r="J191" t="s">
        <v>10213</v>
      </c>
      <c r="K191" t="s">
        <v>10218</v>
      </c>
      <c r="L191" t="s">
        <v>10166</v>
      </c>
      <c r="M191" t="s">
        <v>10315</v>
      </c>
      <c r="N191" t="s">
        <v>10671</v>
      </c>
      <c r="P191" t="s">
        <v>10750</v>
      </c>
      <c r="Q191" t="s">
        <v>10778</v>
      </c>
      <c r="R191" t="s">
        <v>10824</v>
      </c>
      <c r="T191">
        <v>0</v>
      </c>
      <c r="U191">
        <v>0</v>
      </c>
      <c r="V191">
        <v>34</v>
      </c>
      <c r="W191">
        <v>1</v>
      </c>
      <c r="X191">
        <v>0</v>
      </c>
      <c r="Y191" t="s">
        <v>10829</v>
      </c>
      <c r="Z191">
        <v>0</v>
      </c>
      <c r="AA191">
        <v>40.671313</v>
      </c>
      <c r="AB191">
        <v>-73.95745100000001</v>
      </c>
      <c r="AD191" t="s">
        <v>10840</v>
      </c>
      <c r="AG191" t="s">
        <v>10858</v>
      </c>
      <c r="AH191" t="s">
        <v>10871</v>
      </c>
      <c r="AI191">
        <v>234</v>
      </c>
      <c r="AJ191" t="s">
        <v>10214</v>
      </c>
      <c r="AK191" t="s">
        <v>10838</v>
      </c>
      <c r="AL191">
        <v>2</v>
      </c>
      <c r="AM191" t="s">
        <v>10888</v>
      </c>
      <c r="AN191" t="s">
        <v>10923</v>
      </c>
      <c r="AO191" t="s">
        <v>11005</v>
      </c>
      <c r="AP191" t="s">
        <v>11061</v>
      </c>
      <c r="AR191" t="s">
        <v>11267</v>
      </c>
      <c r="AS191" t="s">
        <v>11595</v>
      </c>
      <c r="AT191" t="s">
        <v>11642</v>
      </c>
      <c r="AX191" t="s">
        <v>10838</v>
      </c>
      <c r="AY191" t="s">
        <v>10829</v>
      </c>
      <c r="AZ191" t="s">
        <v>11679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</row>
    <row r="192" spans="1:59">
      <c r="A192" s="1">
        <f>HYPERLINK("https://lsnyc.legalserver.org/matter/dynamic-profile/view/1903847","19-1903847")</f>
        <v>0</v>
      </c>
      <c r="B192" t="s">
        <v>227</v>
      </c>
      <c r="C192" t="s">
        <v>5158</v>
      </c>
      <c r="D192" t="s">
        <v>9926</v>
      </c>
      <c r="E192" t="s">
        <v>10075</v>
      </c>
      <c r="F192">
        <v>10457</v>
      </c>
      <c r="G192" t="s">
        <v>10090</v>
      </c>
      <c r="H192" t="s">
        <v>10097</v>
      </c>
      <c r="I192" t="s">
        <v>10168</v>
      </c>
      <c r="J192" t="s">
        <v>10210</v>
      </c>
      <c r="K192" t="s">
        <v>10217</v>
      </c>
      <c r="M192" t="s">
        <v>10334</v>
      </c>
      <c r="N192" t="s">
        <v>10671</v>
      </c>
      <c r="P192" t="s">
        <v>10751</v>
      </c>
      <c r="Q192" t="s">
        <v>10761</v>
      </c>
      <c r="R192" t="s">
        <v>10824</v>
      </c>
      <c r="T192">
        <v>15964</v>
      </c>
      <c r="U192">
        <v>1330.33</v>
      </c>
      <c r="V192">
        <v>36</v>
      </c>
      <c r="W192">
        <v>1</v>
      </c>
      <c r="X192">
        <v>0</v>
      </c>
      <c r="Z192">
        <v>127.81</v>
      </c>
      <c r="AA192">
        <v>40.854945</v>
      </c>
      <c r="AB192">
        <v>-73.89606499999999</v>
      </c>
      <c r="AD192" t="s">
        <v>10840</v>
      </c>
      <c r="AG192" t="s">
        <v>10858</v>
      </c>
      <c r="AH192" t="s">
        <v>10862</v>
      </c>
      <c r="AI192">
        <v>230</v>
      </c>
      <c r="AJ192" t="s">
        <v>10210</v>
      </c>
      <c r="AL192">
        <v>0.25</v>
      </c>
      <c r="AM192" t="s">
        <v>10884</v>
      </c>
      <c r="AN192" t="s">
        <v>10931</v>
      </c>
      <c r="AO192" t="s">
        <v>11000</v>
      </c>
      <c r="AP192" t="s">
        <v>11056</v>
      </c>
      <c r="AR192" t="s">
        <v>11275</v>
      </c>
      <c r="AS192" t="s">
        <v>9926</v>
      </c>
      <c r="AT192" t="s">
        <v>11642</v>
      </c>
      <c r="AX192" t="s">
        <v>10837</v>
      </c>
      <c r="BA192" t="s">
        <v>11737</v>
      </c>
      <c r="BB192">
        <v>0</v>
      </c>
      <c r="BC192">
        <v>0</v>
      </c>
      <c r="BD192">
        <v>0</v>
      </c>
      <c r="BE192">
        <v>0</v>
      </c>
      <c r="BF192">
        <v>3</v>
      </c>
      <c r="BG192">
        <v>0</v>
      </c>
    </row>
    <row r="193" spans="1:59">
      <c r="A193" s="1">
        <f>HYPERLINK("https://lsnyc.legalserver.org/matter/dynamic-profile/view/1903848","19-1903848")</f>
        <v>0</v>
      </c>
      <c r="B193" t="s">
        <v>233</v>
      </c>
      <c r="C193" t="s">
        <v>5164</v>
      </c>
      <c r="D193" t="s">
        <v>9938</v>
      </c>
      <c r="E193" t="s">
        <v>10075</v>
      </c>
      <c r="F193">
        <v>11434</v>
      </c>
      <c r="G193" t="s">
        <v>10092</v>
      </c>
      <c r="H193" t="s">
        <v>10097</v>
      </c>
      <c r="I193" t="s">
        <v>10169</v>
      </c>
      <c r="J193" t="s">
        <v>10212</v>
      </c>
      <c r="K193" t="s">
        <v>10217</v>
      </c>
      <c r="M193" t="s">
        <v>10335</v>
      </c>
      <c r="N193" t="s">
        <v>10693</v>
      </c>
      <c r="P193" t="s">
        <v>10749</v>
      </c>
      <c r="Q193" t="s">
        <v>10765</v>
      </c>
      <c r="R193" t="s">
        <v>10821</v>
      </c>
      <c r="T193">
        <v>6422</v>
      </c>
      <c r="U193">
        <v>535.17</v>
      </c>
      <c r="V193">
        <v>31</v>
      </c>
      <c r="W193">
        <v>1</v>
      </c>
      <c r="X193">
        <v>4</v>
      </c>
      <c r="Z193">
        <v>21.29</v>
      </c>
      <c r="AA193">
        <v>40.680929</v>
      </c>
      <c r="AB193">
        <v>-73.77623800000001</v>
      </c>
      <c r="AD193" t="s">
        <v>10839</v>
      </c>
      <c r="AF193" t="s">
        <v>10843</v>
      </c>
      <c r="AG193" t="s">
        <v>10859</v>
      </c>
      <c r="AH193" t="s">
        <v>10862</v>
      </c>
      <c r="AI193">
        <v>237</v>
      </c>
      <c r="AJ193" t="s">
        <v>10212</v>
      </c>
      <c r="AL193">
        <v>10.95</v>
      </c>
      <c r="AM193" t="s">
        <v>10892</v>
      </c>
      <c r="AN193" t="s">
        <v>10951</v>
      </c>
      <c r="AO193" t="s">
        <v>11017</v>
      </c>
      <c r="AP193" t="s">
        <v>11075</v>
      </c>
      <c r="AR193" t="s">
        <v>11306</v>
      </c>
      <c r="AS193" t="s">
        <v>11594</v>
      </c>
      <c r="BA193" t="s">
        <v>11738</v>
      </c>
      <c r="BB193">
        <v>0</v>
      </c>
      <c r="BC193">
        <v>0</v>
      </c>
      <c r="BD193">
        <v>0</v>
      </c>
      <c r="BE193">
        <v>0</v>
      </c>
      <c r="BF193">
        <v>5</v>
      </c>
      <c r="BG193">
        <v>0</v>
      </c>
    </row>
    <row r="194" spans="1:59">
      <c r="A194" s="1">
        <f>HYPERLINK("https://lsnyc.legalserver.org/matter/dynamic-profile/view/1903849","19-1903849")</f>
        <v>0</v>
      </c>
      <c r="B194" t="s">
        <v>234</v>
      </c>
      <c r="C194" t="s">
        <v>5165</v>
      </c>
      <c r="D194" t="s">
        <v>9945</v>
      </c>
      <c r="E194" t="s">
        <v>10075</v>
      </c>
      <c r="F194">
        <v>11422</v>
      </c>
      <c r="G194" t="s">
        <v>10090</v>
      </c>
      <c r="H194" t="s">
        <v>10097</v>
      </c>
      <c r="I194" t="s">
        <v>10168</v>
      </c>
      <c r="J194" t="s">
        <v>10210</v>
      </c>
      <c r="K194" t="s">
        <v>10218</v>
      </c>
      <c r="L194" t="s">
        <v>10124</v>
      </c>
      <c r="M194" t="s">
        <v>10336</v>
      </c>
      <c r="N194" t="s">
        <v>10671</v>
      </c>
      <c r="P194" t="s">
        <v>10754</v>
      </c>
      <c r="Q194" t="s">
        <v>10770</v>
      </c>
      <c r="R194" t="s">
        <v>10824</v>
      </c>
      <c r="T194">
        <v>520</v>
      </c>
      <c r="U194">
        <v>43.33</v>
      </c>
      <c r="V194">
        <v>51</v>
      </c>
      <c r="W194">
        <v>1</v>
      </c>
      <c r="X194">
        <v>0</v>
      </c>
      <c r="Y194" t="s">
        <v>10829</v>
      </c>
      <c r="Z194">
        <v>4.16</v>
      </c>
      <c r="AA194">
        <v>40.639637</v>
      </c>
      <c r="AB194">
        <v>-73.743397</v>
      </c>
      <c r="AD194" t="s">
        <v>10840</v>
      </c>
      <c r="AG194" t="s">
        <v>10858</v>
      </c>
      <c r="AH194" t="s">
        <v>10861</v>
      </c>
      <c r="AI194">
        <v>234</v>
      </c>
      <c r="AJ194" t="s">
        <v>10214</v>
      </c>
      <c r="AK194" t="s">
        <v>10882</v>
      </c>
      <c r="AL194">
        <v>1.25</v>
      </c>
      <c r="AM194" t="s">
        <v>10892</v>
      </c>
      <c r="AN194" t="s">
        <v>10930</v>
      </c>
      <c r="AO194" t="s">
        <v>11017</v>
      </c>
      <c r="AP194" t="s">
        <v>11082</v>
      </c>
      <c r="AR194" t="s">
        <v>11255</v>
      </c>
      <c r="AS194" t="s">
        <v>11594</v>
      </c>
      <c r="AT194" t="s">
        <v>11642</v>
      </c>
      <c r="AX194" t="s">
        <v>10838</v>
      </c>
      <c r="AY194" t="s">
        <v>10829</v>
      </c>
      <c r="AZ194" t="s">
        <v>11683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</row>
    <row r="195" spans="1:59">
      <c r="A195" s="1">
        <f>HYPERLINK("https://lsnyc.legalserver.org/matter/dynamic-profile/view/1903850","19-1903850")</f>
        <v>0</v>
      </c>
      <c r="B195" t="s">
        <v>235</v>
      </c>
      <c r="C195" t="s">
        <v>5166</v>
      </c>
      <c r="D195" t="s">
        <v>9946</v>
      </c>
      <c r="E195" t="s">
        <v>10075</v>
      </c>
      <c r="F195">
        <v>11385</v>
      </c>
      <c r="G195" t="s">
        <v>10092</v>
      </c>
      <c r="H195" t="s">
        <v>10097</v>
      </c>
      <c r="I195" t="s">
        <v>10169</v>
      </c>
      <c r="J195" t="s">
        <v>10212</v>
      </c>
      <c r="K195" t="s">
        <v>10217</v>
      </c>
      <c r="M195" t="s">
        <v>10335</v>
      </c>
      <c r="N195" t="s">
        <v>10693</v>
      </c>
      <c r="O195" t="s">
        <v>10693</v>
      </c>
      <c r="P195" t="s">
        <v>10749</v>
      </c>
      <c r="Q195" t="s">
        <v>10765</v>
      </c>
      <c r="R195" t="s">
        <v>10821</v>
      </c>
      <c r="T195">
        <v>0</v>
      </c>
      <c r="U195">
        <v>0</v>
      </c>
      <c r="V195">
        <v>49</v>
      </c>
      <c r="W195">
        <v>1</v>
      </c>
      <c r="X195">
        <v>0</v>
      </c>
      <c r="Z195">
        <v>0</v>
      </c>
      <c r="AA195">
        <v>40.702723</v>
      </c>
      <c r="AB195">
        <v>-73.90925799999999</v>
      </c>
      <c r="AD195" t="s">
        <v>10839</v>
      </c>
      <c r="AF195" t="s">
        <v>10843</v>
      </c>
      <c r="AG195" t="s">
        <v>10859</v>
      </c>
      <c r="AH195" t="s">
        <v>10862</v>
      </c>
      <c r="AI195">
        <v>237</v>
      </c>
      <c r="AJ195" t="s">
        <v>10212</v>
      </c>
      <c r="AL195">
        <v>23.8</v>
      </c>
      <c r="AM195" t="s">
        <v>10886</v>
      </c>
      <c r="AN195" t="s">
        <v>10945</v>
      </c>
      <c r="AO195" t="s">
        <v>11003</v>
      </c>
      <c r="AP195" t="s">
        <v>11071</v>
      </c>
      <c r="AR195" t="s">
        <v>11267</v>
      </c>
      <c r="AS195" t="s">
        <v>11594</v>
      </c>
      <c r="BA195" t="s">
        <v>11738</v>
      </c>
      <c r="BB195">
        <v>0</v>
      </c>
      <c r="BC195">
        <v>0</v>
      </c>
      <c r="BD195">
        <v>0</v>
      </c>
      <c r="BE195">
        <v>0</v>
      </c>
      <c r="BF195">
        <v>5</v>
      </c>
      <c r="BG195">
        <v>0</v>
      </c>
    </row>
    <row r="196" spans="1:59">
      <c r="A196" s="1">
        <f>HYPERLINK("https://lsnyc.legalserver.org/matter/dynamic-profile/view/1903851","19-1903851")</f>
        <v>0</v>
      </c>
      <c r="B196" t="s">
        <v>223</v>
      </c>
      <c r="C196" t="s">
        <v>5154</v>
      </c>
      <c r="D196" t="s">
        <v>9928</v>
      </c>
      <c r="E196" t="s">
        <v>10075</v>
      </c>
      <c r="F196">
        <v>11221</v>
      </c>
      <c r="G196" t="s">
        <v>10093</v>
      </c>
      <c r="H196" t="s">
        <v>10097</v>
      </c>
      <c r="I196" t="s">
        <v>10168</v>
      </c>
      <c r="J196" t="s">
        <v>10213</v>
      </c>
      <c r="K196" t="s">
        <v>10217</v>
      </c>
      <c r="M196" t="s">
        <v>10314</v>
      </c>
      <c r="N196" t="s">
        <v>10668</v>
      </c>
      <c r="P196" t="s">
        <v>10751</v>
      </c>
      <c r="Q196" t="s">
        <v>10761</v>
      </c>
      <c r="R196" t="s">
        <v>10822</v>
      </c>
      <c r="T196">
        <v>29000</v>
      </c>
      <c r="U196">
        <v>2416.67</v>
      </c>
      <c r="V196">
        <v>62</v>
      </c>
      <c r="W196">
        <v>2</v>
      </c>
      <c r="X196">
        <v>0</v>
      </c>
      <c r="Z196">
        <v>171.5</v>
      </c>
      <c r="AA196">
        <v>40.690249</v>
      </c>
      <c r="AB196">
        <v>-73.93694000000001</v>
      </c>
      <c r="AD196" t="s">
        <v>10840</v>
      </c>
      <c r="AG196" t="s">
        <v>10858</v>
      </c>
      <c r="AH196" t="s">
        <v>10862</v>
      </c>
      <c r="AI196">
        <v>239</v>
      </c>
      <c r="AJ196" t="s">
        <v>10213</v>
      </c>
      <c r="AL196">
        <v>0.1</v>
      </c>
      <c r="AM196" t="s">
        <v>10889</v>
      </c>
      <c r="AN196" t="s">
        <v>10914</v>
      </c>
      <c r="AO196" t="s">
        <v>11007</v>
      </c>
      <c r="AP196" t="s">
        <v>11052</v>
      </c>
      <c r="AR196" t="s">
        <v>11257</v>
      </c>
      <c r="AS196" t="s">
        <v>11595</v>
      </c>
      <c r="BA196" t="s">
        <v>11738</v>
      </c>
      <c r="BB196">
        <v>0</v>
      </c>
      <c r="BC196">
        <v>0</v>
      </c>
      <c r="BD196">
        <v>0</v>
      </c>
      <c r="BE196">
        <v>0</v>
      </c>
      <c r="BF196">
        <v>5</v>
      </c>
      <c r="BG196">
        <v>0</v>
      </c>
    </row>
    <row r="197" spans="1:59">
      <c r="A197" s="1">
        <f>HYPERLINK("https://lsnyc.legalserver.org/matter/dynamic-profile/view/1903853","19-1903853")</f>
        <v>0</v>
      </c>
      <c r="B197" t="s">
        <v>236</v>
      </c>
      <c r="C197" t="s">
        <v>5167</v>
      </c>
      <c r="D197" t="s">
        <v>9928</v>
      </c>
      <c r="E197" t="s">
        <v>10075</v>
      </c>
      <c r="F197">
        <v>11233</v>
      </c>
      <c r="G197" t="s">
        <v>10093</v>
      </c>
      <c r="H197" t="s">
        <v>10097</v>
      </c>
      <c r="I197" t="s">
        <v>10168</v>
      </c>
      <c r="J197" t="s">
        <v>10213</v>
      </c>
      <c r="K197" t="s">
        <v>10218</v>
      </c>
      <c r="L197" t="s">
        <v>10146</v>
      </c>
      <c r="M197" t="s">
        <v>10337</v>
      </c>
      <c r="N197" t="s">
        <v>10650</v>
      </c>
      <c r="P197" t="s">
        <v>10749</v>
      </c>
      <c r="Q197" t="s">
        <v>10791</v>
      </c>
      <c r="R197" t="s">
        <v>10824</v>
      </c>
      <c r="T197">
        <v>9984</v>
      </c>
      <c r="U197">
        <v>832</v>
      </c>
      <c r="V197">
        <v>60</v>
      </c>
      <c r="W197">
        <v>2</v>
      </c>
      <c r="X197">
        <v>0</v>
      </c>
      <c r="Y197" t="s">
        <v>10830</v>
      </c>
      <c r="Z197">
        <v>59.04</v>
      </c>
      <c r="AA197">
        <v>40.677291</v>
      </c>
      <c r="AB197">
        <v>-73.90928099999999</v>
      </c>
      <c r="AD197" t="s">
        <v>10840</v>
      </c>
      <c r="AG197" t="s">
        <v>10858</v>
      </c>
      <c r="AH197" t="s">
        <v>10871</v>
      </c>
      <c r="AI197">
        <v>234</v>
      </c>
      <c r="AJ197" t="s">
        <v>10214</v>
      </c>
      <c r="AK197" t="s">
        <v>10882</v>
      </c>
      <c r="AL197">
        <v>1.2</v>
      </c>
      <c r="AM197" t="s">
        <v>10889</v>
      </c>
      <c r="AN197" t="s">
        <v>10922</v>
      </c>
      <c r="AO197" t="s">
        <v>11007</v>
      </c>
      <c r="AP197" t="s">
        <v>11058</v>
      </c>
      <c r="AR197" t="s">
        <v>11307</v>
      </c>
      <c r="AS197" t="s">
        <v>11595</v>
      </c>
      <c r="AT197" t="s">
        <v>11642</v>
      </c>
      <c r="AX197" t="s">
        <v>10838</v>
      </c>
      <c r="AY197" t="s">
        <v>10830</v>
      </c>
      <c r="AZ197" t="s">
        <v>11697</v>
      </c>
      <c r="BA197" t="s">
        <v>11740</v>
      </c>
      <c r="BB197">
        <v>0</v>
      </c>
      <c r="BC197">
        <v>0</v>
      </c>
      <c r="BD197">
        <v>0</v>
      </c>
      <c r="BE197">
        <v>0</v>
      </c>
      <c r="BF197">
        <v>2</v>
      </c>
      <c r="BG197">
        <v>0</v>
      </c>
    </row>
    <row r="198" spans="1:59">
      <c r="A198" s="1">
        <f>HYPERLINK("https://lsnyc.legalserver.org/matter/dynamic-profile/view/1903854","19-1903854")</f>
        <v>0</v>
      </c>
      <c r="B198" t="s">
        <v>237</v>
      </c>
      <c r="C198" t="s">
        <v>5168</v>
      </c>
      <c r="D198" t="s">
        <v>9926</v>
      </c>
      <c r="E198" t="s">
        <v>10075</v>
      </c>
      <c r="F198">
        <v>10473</v>
      </c>
      <c r="G198" t="s">
        <v>10090</v>
      </c>
      <c r="H198" t="s">
        <v>10097</v>
      </c>
      <c r="I198" t="s">
        <v>10169</v>
      </c>
      <c r="J198" t="s">
        <v>10210</v>
      </c>
      <c r="K198" t="s">
        <v>10218</v>
      </c>
      <c r="L198" t="s">
        <v>10141</v>
      </c>
      <c r="M198" t="s">
        <v>10338</v>
      </c>
      <c r="N198" t="s">
        <v>10677</v>
      </c>
      <c r="P198" t="s">
        <v>10756</v>
      </c>
      <c r="Q198" t="s">
        <v>10792</v>
      </c>
      <c r="R198" t="s">
        <v>10823</v>
      </c>
      <c r="T198">
        <v>14244</v>
      </c>
      <c r="U198">
        <v>1187</v>
      </c>
      <c r="V198">
        <v>81</v>
      </c>
      <c r="W198">
        <v>1</v>
      </c>
      <c r="X198">
        <v>0</v>
      </c>
      <c r="Y198" t="s">
        <v>10830</v>
      </c>
      <c r="Z198">
        <v>114.04</v>
      </c>
      <c r="AA198">
        <v>40.822514</v>
      </c>
      <c r="AB198">
        <v>-73.856747</v>
      </c>
      <c r="AD198" t="s">
        <v>10839</v>
      </c>
      <c r="AG198" t="s">
        <v>10858</v>
      </c>
      <c r="AH198" t="s">
        <v>10874</v>
      </c>
      <c r="AI198">
        <v>230</v>
      </c>
      <c r="AJ198" t="s">
        <v>10210</v>
      </c>
      <c r="AK198" t="s">
        <v>10838</v>
      </c>
      <c r="AL198">
        <v>6.1</v>
      </c>
      <c r="AM198" t="s">
        <v>10884</v>
      </c>
      <c r="AN198" t="s">
        <v>10908</v>
      </c>
      <c r="AO198" t="s">
        <v>11001</v>
      </c>
      <c r="AP198" t="s">
        <v>11046</v>
      </c>
      <c r="AR198" t="s">
        <v>11289</v>
      </c>
      <c r="AS198" t="s">
        <v>9926</v>
      </c>
      <c r="AY198" t="s">
        <v>10830</v>
      </c>
      <c r="AZ198" t="s">
        <v>11698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</row>
    <row r="199" spans="1:59">
      <c r="A199" s="1">
        <f>HYPERLINK("https://lsnyc.legalserver.org/matter/dynamic-profile/view/1903855","19-1903855")</f>
        <v>0</v>
      </c>
      <c r="B199" t="s">
        <v>238</v>
      </c>
      <c r="C199" t="s">
        <v>5169</v>
      </c>
      <c r="D199" t="s">
        <v>9928</v>
      </c>
      <c r="E199" t="s">
        <v>10075</v>
      </c>
      <c r="F199">
        <v>11225</v>
      </c>
      <c r="G199" t="s">
        <v>10093</v>
      </c>
      <c r="H199" t="s">
        <v>10097</v>
      </c>
      <c r="I199" t="s">
        <v>10168</v>
      </c>
      <c r="J199" t="s">
        <v>10213</v>
      </c>
      <c r="K199" t="s">
        <v>10217</v>
      </c>
      <c r="M199" t="s">
        <v>10327</v>
      </c>
      <c r="N199" t="s">
        <v>10667</v>
      </c>
      <c r="P199" t="s">
        <v>10749</v>
      </c>
      <c r="Q199" t="s">
        <v>10765</v>
      </c>
      <c r="R199" t="s">
        <v>10827</v>
      </c>
      <c r="T199">
        <v>4200</v>
      </c>
      <c r="U199">
        <v>350</v>
      </c>
      <c r="V199">
        <v>75</v>
      </c>
      <c r="W199">
        <v>1</v>
      </c>
      <c r="X199">
        <v>0</v>
      </c>
      <c r="Z199">
        <v>33.63</v>
      </c>
      <c r="AA199">
        <v>40.663879</v>
      </c>
      <c r="AB199">
        <v>-73.94702599999999</v>
      </c>
      <c r="AD199" t="s">
        <v>10839</v>
      </c>
      <c r="AF199" t="s">
        <v>10843</v>
      </c>
      <c r="AG199" t="s">
        <v>10859</v>
      </c>
      <c r="AH199" t="s">
        <v>10862</v>
      </c>
      <c r="AI199">
        <v>239</v>
      </c>
      <c r="AJ199" t="s">
        <v>10213</v>
      </c>
      <c r="AL199">
        <v>17.75</v>
      </c>
      <c r="AM199" t="s">
        <v>10888</v>
      </c>
      <c r="AN199" t="s">
        <v>10912</v>
      </c>
      <c r="AO199" t="s">
        <v>11005</v>
      </c>
      <c r="AP199" t="s">
        <v>11050</v>
      </c>
      <c r="AR199" t="s">
        <v>11274</v>
      </c>
      <c r="AS199" t="s">
        <v>11595</v>
      </c>
      <c r="BA199" t="s">
        <v>11741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0</v>
      </c>
    </row>
    <row r="200" spans="1:59">
      <c r="A200" s="1">
        <f>HYPERLINK("https://lsnyc.legalserver.org/matter/dynamic-profile/view/1903856","19-1903856")</f>
        <v>0</v>
      </c>
      <c r="B200" t="s">
        <v>239</v>
      </c>
      <c r="C200" t="s">
        <v>5170</v>
      </c>
      <c r="D200" t="s">
        <v>9926</v>
      </c>
      <c r="E200" t="s">
        <v>10075</v>
      </c>
      <c r="F200">
        <v>10467</v>
      </c>
      <c r="G200" t="s">
        <v>10090</v>
      </c>
      <c r="H200" t="s">
        <v>10097</v>
      </c>
      <c r="I200" t="s">
        <v>10168</v>
      </c>
      <c r="J200" t="s">
        <v>10210</v>
      </c>
      <c r="K200" t="s">
        <v>10218</v>
      </c>
      <c r="L200" t="s">
        <v>10143</v>
      </c>
      <c r="M200" t="s">
        <v>10339</v>
      </c>
      <c r="N200" t="s">
        <v>10651</v>
      </c>
      <c r="P200" t="s">
        <v>10749</v>
      </c>
      <c r="Q200" t="s">
        <v>10765</v>
      </c>
      <c r="R200" t="s">
        <v>10823</v>
      </c>
      <c r="T200">
        <v>4888</v>
      </c>
      <c r="U200">
        <v>407.33</v>
      </c>
      <c r="V200">
        <v>39</v>
      </c>
      <c r="W200">
        <v>1</v>
      </c>
      <c r="X200">
        <v>0</v>
      </c>
      <c r="Y200" t="s">
        <v>10831</v>
      </c>
      <c r="Z200">
        <v>39.14</v>
      </c>
      <c r="AA200">
        <v>40.871282</v>
      </c>
      <c r="AB200">
        <v>-73.879786</v>
      </c>
      <c r="AD200" t="s">
        <v>10840</v>
      </c>
      <c r="AF200" t="s">
        <v>10846</v>
      </c>
      <c r="AG200" t="s">
        <v>10859</v>
      </c>
      <c r="AH200" t="s">
        <v>10861</v>
      </c>
      <c r="AI200">
        <v>230</v>
      </c>
      <c r="AJ200" t="s">
        <v>10210</v>
      </c>
      <c r="AK200" t="s">
        <v>10838</v>
      </c>
      <c r="AL200">
        <v>3</v>
      </c>
      <c r="AM200" t="s">
        <v>10887</v>
      </c>
      <c r="AN200" t="s">
        <v>10938</v>
      </c>
      <c r="AO200" t="s">
        <v>11010</v>
      </c>
      <c r="AP200" t="s">
        <v>11057</v>
      </c>
      <c r="AR200" t="s">
        <v>11255</v>
      </c>
      <c r="AS200" t="s">
        <v>9926</v>
      </c>
      <c r="AT200" t="s">
        <v>11642</v>
      </c>
      <c r="AX200" t="s">
        <v>10837</v>
      </c>
      <c r="AY200" t="s">
        <v>10831</v>
      </c>
      <c r="AZ200" t="s">
        <v>11687</v>
      </c>
      <c r="BA200" t="s">
        <v>11738</v>
      </c>
      <c r="BB200">
        <v>0</v>
      </c>
      <c r="BC200">
        <v>0</v>
      </c>
      <c r="BD200">
        <v>0</v>
      </c>
      <c r="BE200">
        <v>0</v>
      </c>
      <c r="BF200">
        <v>5</v>
      </c>
      <c r="BG200">
        <v>0</v>
      </c>
    </row>
    <row r="201" spans="1:59">
      <c r="A201" s="1">
        <f>HYPERLINK("https://lsnyc.legalserver.org/matter/dynamic-profile/view/1903857","19-1903857")</f>
        <v>0</v>
      </c>
      <c r="B201" t="s">
        <v>240</v>
      </c>
      <c r="C201" t="s">
        <v>5171</v>
      </c>
      <c r="D201" t="s">
        <v>9947</v>
      </c>
      <c r="E201" t="s">
        <v>10075</v>
      </c>
      <c r="F201">
        <v>11374</v>
      </c>
      <c r="G201" t="s">
        <v>10092</v>
      </c>
      <c r="H201" t="s">
        <v>10097</v>
      </c>
      <c r="I201" t="s">
        <v>10168</v>
      </c>
      <c r="J201" t="s">
        <v>10212</v>
      </c>
      <c r="K201" t="s">
        <v>10218</v>
      </c>
      <c r="L201" t="s">
        <v>10094</v>
      </c>
      <c r="M201" t="s">
        <v>10340</v>
      </c>
      <c r="N201" t="s">
        <v>10694</v>
      </c>
      <c r="P201" t="s">
        <v>10751</v>
      </c>
      <c r="Q201" t="s">
        <v>10768</v>
      </c>
      <c r="R201" t="s">
        <v>10821</v>
      </c>
      <c r="T201">
        <v>0</v>
      </c>
      <c r="U201">
        <v>0</v>
      </c>
      <c r="V201">
        <v>66</v>
      </c>
      <c r="W201">
        <v>2</v>
      </c>
      <c r="X201">
        <v>0</v>
      </c>
      <c r="Y201" t="s">
        <v>10829</v>
      </c>
      <c r="Z201">
        <v>0</v>
      </c>
      <c r="AA201">
        <v>40.724845</v>
      </c>
      <c r="AB201">
        <v>-73.858217</v>
      </c>
      <c r="AD201" t="s">
        <v>10839</v>
      </c>
      <c r="AG201" t="s">
        <v>10858</v>
      </c>
      <c r="AH201" t="s">
        <v>10861</v>
      </c>
      <c r="AI201">
        <v>237</v>
      </c>
      <c r="AJ201" t="s">
        <v>10212</v>
      </c>
      <c r="AK201" t="s">
        <v>10838</v>
      </c>
      <c r="AL201">
        <v>1.6</v>
      </c>
      <c r="AM201" t="s">
        <v>10890</v>
      </c>
      <c r="AN201" t="s">
        <v>10952</v>
      </c>
      <c r="AO201" t="s">
        <v>11009</v>
      </c>
      <c r="AP201" t="s">
        <v>11083</v>
      </c>
      <c r="AR201" t="s">
        <v>11267</v>
      </c>
      <c r="AS201" t="s">
        <v>11594</v>
      </c>
      <c r="AY201" t="s">
        <v>10829</v>
      </c>
      <c r="AZ201" t="s">
        <v>11682</v>
      </c>
      <c r="BA201" t="s">
        <v>11741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0</v>
      </c>
    </row>
    <row r="202" spans="1:59">
      <c r="A202" s="1">
        <f>HYPERLINK("https://lsnyc.legalserver.org/matter/dynamic-profile/view/1903858","19-1903858")</f>
        <v>0</v>
      </c>
      <c r="B202" t="s">
        <v>241</v>
      </c>
      <c r="C202" t="s">
        <v>5172</v>
      </c>
      <c r="D202" t="s">
        <v>9937</v>
      </c>
      <c r="E202" t="s">
        <v>10075</v>
      </c>
      <c r="F202">
        <v>11412</v>
      </c>
      <c r="G202" t="s">
        <v>10092</v>
      </c>
      <c r="H202" t="s">
        <v>10097</v>
      </c>
      <c r="I202" t="s">
        <v>10168</v>
      </c>
      <c r="J202" t="s">
        <v>10212</v>
      </c>
      <c r="K202" t="s">
        <v>10218</v>
      </c>
      <c r="L202" t="s">
        <v>4843</v>
      </c>
      <c r="M202" t="s">
        <v>10326</v>
      </c>
      <c r="N202" t="s">
        <v>10669</v>
      </c>
      <c r="O202" t="s">
        <v>10699</v>
      </c>
      <c r="P202" t="s">
        <v>10754</v>
      </c>
      <c r="Q202" t="s">
        <v>10775</v>
      </c>
      <c r="R202" t="s">
        <v>10824</v>
      </c>
      <c r="T202">
        <v>23400</v>
      </c>
      <c r="U202">
        <v>1950</v>
      </c>
      <c r="V202">
        <v>29</v>
      </c>
      <c r="W202">
        <v>1</v>
      </c>
      <c r="X202">
        <v>0</v>
      </c>
      <c r="Y202" t="s">
        <v>10829</v>
      </c>
      <c r="Z202">
        <v>187.35</v>
      </c>
      <c r="AA202">
        <v>40.696915</v>
      </c>
      <c r="AB202">
        <v>-73.758692</v>
      </c>
      <c r="AD202" t="s">
        <v>10839</v>
      </c>
      <c r="AG202" t="s">
        <v>10858</v>
      </c>
      <c r="AH202" t="s">
        <v>10865</v>
      </c>
      <c r="AI202">
        <v>237</v>
      </c>
      <c r="AJ202" t="s">
        <v>10212</v>
      </c>
      <c r="AK202" t="s">
        <v>10837</v>
      </c>
      <c r="AL202">
        <v>4</v>
      </c>
      <c r="AM202" t="s">
        <v>10892</v>
      </c>
      <c r="AN202" t="s">
        <v>10940</v>
      </c>
      <c r="AO202" t="s">
        <v>11020</v>
      </c>
      <c r="AP202" t="s">
        <v>11075</v>
      </c>
      <c r="AQ202" t="s">
        <v>11124</v>
      </c>
      <c r="AR202" t="s">
        <v>11293</v>
      </c>
      <c r="AS202" t="s">
        <v>11594</v>
      </c>
      <c r="AY202" t="s">
        <v>10829</v>
      </c>
      <c r="AZ202" t="s">
        <v>11683</v>
      </c>
      <c r="BA202" t="s">
        <v>11741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0</v>
      </c>
    </row>
    <row r="203" spans="1:59">
      <c r="A203" s="1">
        <f>HYPERLINK("https://lsnyc.legalserver.org/matter/dynamic-profile/view/1903859","19-1903859")</f>
        <v>0</v>
      </c>
      <c r="B203" t="s">
        <v>242</v>
      </c>
      <c r="C203" t="s">
        <v>5173</v>
      </c>
      <c r="D203" t="s">
        <v>9925</v>
      </c>
      <c r="E203" t="s">
        <v>10075</v>
      </c>
      <c r="F203">
        <v>10025</v>
      </c>
      <c r="G203" t="s">
        <v>10089</v>
      </c>
      <c r="H203" t="s">
        <v>10097</v>
      </c>
      <c r="I203" t="s">
        <v>10169</v>
      </c>
      <c r="J203" t="s">
        <v>10209</v>
      </c>
      <c r="K203" t="s">
        <v>10217</v>
      </c>
      <c r="M203" t="s">
        <v>10341</v>
      </c>
      <c r="N203" t="s">
        <v>10650</v>
      </c>
      <c r="P203" t="s">
        <v>10749</v>
      </c>
      <c r="Q203" t="s">
        <v>10765</v>
      </c>
      <c r="R203" t="s">
        <v>10821</v>
      </c>
      <c r="T203">
        <v>20098.56</v>
      </c>
      <c r="U203">
        <v>1674.88</v>
      </c>
      <c r="V203">
        <v>63</v>
      </c>
      <c r="W203">
        <v>1</v>
      </c>
      <c r="X203">
        <v>0</v>
      </c>
      <c r="Z203">
        <v>160.92</v>
      </c>
      <c r="AA203">
        <v>40.799831</v>
      </c>
      <c r="AB203">
        <v>-73.961573</v>
      </c>
      <c r="AD203" t="s">
        <v>10839</v>
      </c>
      <c r="AG203" t="s">
        <v>10858</v>
      </c>
      <c r="AH203" t="s">
        <v>10862</v>
      </c>
      <c r="AI203">
        <v>236</v>
      </c>
      <c r="AJ203" t="s">
        <v>10209</v>
      </c>
      <c r="AL203">
        <v>3</v>
      </c>
      <c r="AM203" t="s">
        <v>10887</v>
      </c>
      <c r="AN203" t="s">
        <v>10953</v>
      </c>
      <c r="AO203" t="s">
        <v>11016</v>
      </c>
      <c r="AP203" t="s">
        <v>11073</v>
      </c>
      <c r="AR203" t="s">
        <v>11257</v>
      </c>
      <c r="AS203" t="s">
        <v>9925</v>
      </c>
      <c r="AT203" t="s">
        <v>11641</v>
      </c>
      <c r="AX203" t="s">
        <v>10838</v>
      </c>
      <c r="BA203" t="s">
        <v>11737</v>
      </c>
      <c r="BB203">
        <v>0</v>
      </c>
      <c r="BC203">
        <v>0</v>
      </c>
      <c r="BD203">
        <v>0</v>
      </c>
      <c r="BE203">
        <v>0</v>
      </c>
      <c r="BF203">
        <v>3</v>
      </c>
      <c r="BG203">
        <v>0</v>
      </c>
    </row>
    <row r="204" spans="1:59">
      <c r="A204" s="1">
        <f>HYPERLINK("https://lsnyc.legalserver.org/matter/dynamic-profile/view/1903860","19-1903860")</f>
        <v>0</v>
      </c>
      <c r="B204" t="s">
        <v>243</v>
      </c>
      <c r="C204" t="s">
        <v>5174</v>
      </c>
      <c r="D204" t="s">
        <v>9928</v>
      </c>
      <c r="E204" t="s">
        <v>10075</v>
      </c>
      <c r="F204">
        <v>11221</v>
      </c>
      <c r="G204" t="s">
        <v>10091</v>
      </c>
      <c r="H204" t="s">
        <v>10097</v>
      </c>
      <c r="I204" t="s">
        <v>10168</v>
      </c>
      <c r="J204" t="s">
        <v>10214</v>
      </c>
      <c r="K204" t="s">
        <v>10217</v>
      </c>
      <c r="M204" t="s">
        <v>10286</v>
      </c>
      <c r="N204" t="s">
        <v>10671</v>
      </c>
      <c r="P204" t="s">
        <v>10751</v>
      </c>
      <c r="Q204" t="s">
        <v>10761</v>
      </c>
      <c r="R204" t="s">
        <v>10821</v>
      </c>
      <c r="T204">
        <v>10968</v>
      </c>
      <c r="U204">
        <v>914</v>
      </c>
      <c r="V204">
        <v>35</v>
      </c>
      <c r="W204">
        <v>1</v>
      </c>
      <c r="X204">
        <v>1</v>
      </c>
      <c r="Z204">
        <v>64.86</v>
      </c>
      <c r="AA204">
        <v>40.689746</v>
      </c>
      <c r="AB204">
        <v>-73.91738599999999</v>
      </c>
      <c r="AD204" t="s">
        <v>10839</v>
      </c>
      <c r="AG204" t="s">
        <v>10858</v>
      </c>
      <c r="AH204" t="s">
        <v>10861</v>
      </c>
      <c r="AI204">
        <v>234</v>
      </c>
      <c r="AJ204" t="s">
        <v>10214</v>
      </c>
      <c r="AL204">
        <v>0.7</v>
      </c>
      <c r="AM204" t="s">
        <v>10889</v>
      </c>
      <c r="AN204" t="s">
        <v>10920</v>
      </c>
      <c r="AO204" t="s">
        <v>11011</v>
      </c>
      <c r="AP204" t="s">
        <v>11071</v>
      </c>
      <c r="AR204" t="s">
        <v>11274</v>
      </c>
      <c r="AS204" t="s">
        <v>11595</v>
      </c>
      <c r="AT204" t="s">
        <v>11641</v>
      </c>
      <c r="AX204" t="s">
        <v>10838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</row>
    <row r="205" spans="1:59">
      <c r="A205" s="1">
        <f>HYPERLINK("https://lsnyc.legalserver.org/matter/dynamic-profile/view/1903861","19-1903861")</f>
        <v>0</v>
      </c>
      <c r="B205" t="s">
        <v>244</v>
      </c>
      <c r="C205" t="s">
        <v>5175</v>
      </c>
      <c r="D205" t="s">
        <v>9948</v>
      </c>
      <c r="E205" t="s">
        <v>10075</v>
      </c>
      <c r="F205">
        <v>11691</v>
      </c>
      <c r="G205" t="s">
        <v>10092</v>
      </c>
      <c r="H205" t="s">
        <v>10097</v>
      </c>
      <c r="I205" t="s">
        <v>10168</v>
      </c>
      <c r="J205" t="s">
        <v>10212</v>
      </c>
      <c r="K205" t="s">
        <v>10218</v>
      </c>
      <c r="L205" t="s">
        <v>10157</v>
      </c>
      <c r="M205" t="s">
        <v>10342</v>
      </c>
      <c r="N205" t="s">
        <v>10650</v>
      </c>
      <c r="P205" t="s">
        <v>10749</v>
      </c>
      <c r="Q205" t="s">
        <v>10765</v>
      </c>
      <c r="R205" t="s">
        <v>10821</v>
      </c>
      <c r="T205">
        <v>35000</v>
      </c>
      <c r="U205">
        <v>2916.67</v>
      </c>
      <c r="V205">
        <v>31</v>
      </c>
      <c r="W205">
        <v>1</v>
      </c>
      <c r="X205">
        <v>1</v>
      </c>
      <c r="Y205" t="s">
        <v>10829</v>
      </c>
      <c r="Z205">
        <v>206.98</v>
      </c>
      <c r="AA205">
        <v>40.598568</v>
      </c>
      <c r="AB205">
        <v>-73.760867</v>
      </c>
      <c r="AD205" t="s">
        <v>10839</v>
      </c>
      <c r="AG205" t="s">
        <v>10858</v>
      </c>
      <c r="AH205" t="s">
        <v>10861</v>
      </c>
      <c r="AI205">
        <v>234</v>
      </c>
      <c r="AJ205" t="s">
        <v>10214</v>
      </c>
      <c r="AK205" t="s">
        <v>10838</v>
      </c>
      <c r="AL205">
        <v>3.35</v>
      </c>
      <c r="AM205" t="s">
        <v>10892</v>
      </c>
      <c r="AN205" t="s">
        <v>10930</v>
      </c>
      <c r="AO205" t="s">
        <v>11017</v>
      </c>
      <c r="AP205" t="s">
        <v>11082</v>
      </c>
      <c r="AR205" t="s">
        <v>11257</v>
      </c>
      <c r="AS205" t="s">
        <v>11594</v>
      </c>
      <c r="AT205" t="s">
        <v>11641</v>
      </c>
      <c r="AX205" t="s">
        <v>10838</v>
      </c>
      <c r="AY205" t="s">
        <v>10829</v>
      </c>
      <c r="AZ205" t="s">
        <v>11681</v>
      </c>
      <c r="BA205" t="s">
        <v>11741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0</v>
      </c>
    </row>
    <row r="206" spans="1:59">
      <c r="A206" s="1">
        <f>HYPERLINK("https://lsnyc.legalserver.org/matter/dynamic-profile/view/1903862","19-1903862")</f>
        <v>0</v>
      </c>
      <c r="B206" t="s">
        <v>189</v>
      </c>
      <c r="C206" t="s">
        <v>5176</v>
      </c>
      <c r="D206" t="s">
        <v>9936</v>
      </c>
      <c r="E206" t="s">
        <v>10075</v>
      </c>
      <c r="F206">
        <v>11105</v>
      </c>
      <c r="G206" t="s">
        <v>10092</v>
      </c>
      <c r="H206" t="s">
        <v>10097</v>
      </c>
      <c r="J206" t="s">
        <v>10212</v>
      </c>
      <c r="K206" t="s">
        <v>10217</v>
      </c>
      <c r="M206" t="s">
        <v>10343</v>
      </c>
      <c r="N206" t="s">
        <v>10671</v>
      </c>
      <c r="P206" t="s">
        <v>10749</v>
      </c>
      <c r="Q206" t="s">
        <v>10765</v>
      </c>
      <c r="R206" t="s">
        <v>10821</v>
      </c>
      <c r="T206">
        <v>12144</v>
      </c>
      <c r="U206">
        <v>1012</v>
      </c>
      <c r="V206">
        <v>64</v>
      </c>
      <c r="W206">
        <v>1</v>
      </c>
      <c r="X206">
        <v>0</v>
      </c>
      <c r="Z206">
        <v>97.23</v>
      </c>
      <c r="AA206">
        <v>40.77325</v>
      </c>
      <c r="AB206">
        <v>-73.910447</v>
      </c>
      <c r="AD206" t="s">
        <v>10840</v>
      </c>
      <c r="AG206" t="s">
        <v>10858</v>
      </c>
      <c r="AH206" t="s">
        <v>10862</v>
      </c>
      <c r="AI206">
        <v>237</v>
      </c>
      <c r="AJ206" t="s">
        <v>10212</v>
      </c>
      <c r="AL206">
        <v>11</v>
      </c>
      <c r="AM206" t="s">
        <v>10885</v>
      </c>
      <c r="AN206" t="s">
        <v>10954</v>
      </c>
      <c r="AO206" t="s">
        <v>11014</v>
      </c>
      <c r="AP206" t="s">
        <v>11084</v>
      </c>
      <c r="AR206" t="s">
        <v>11296</v>
      </c>
      <c r="AS206" t="s">
        <v>11594</v>
      </c>
      <c r="BA206" t="s">
        <v>11740</v>
      </c>
      <c r="BB206">
        <v>0</v>
      </c>
      <c r="BC206">
        <v>0</v>
      </c>
      <c r="BD206">
        <v>0</v>
      </c>
      <c r="BE206">
        <v>0</v>
      </c>
      <c r="BF206">
        <v>2</v>
      </c>
      <c r="BG206">
        <v>0</v>
      </c>
    </row>
    <row r="207" spans="1:59">
      <c r="A207" s="1">
        <f>HYPERLINK("https://lsnyc.legalserver.org/matter/dynamic-profile/view/1903863","19-1903863")</f>
        <v>0</v>
      </c>
      <c r="B207" t="s">
        <v>245</v>
      </c>
      <c r="C207" t="s">
        <v>5177</v>
      </c>
      <c r="D207" t="s">
        <v>9928</v>
      </c>
      <c r="E207" t="s">
        <v>10075</v>
      </c>
      <c r="F207">
        <v>11225</v>
      </c>
      <c r="G207" t="s">
        <v>10091</v>
      </c>
      <c r="H207" t="s">
        <v>10097</v>
      </c>
      <c r="I207" t="s">
        <v>10168</v>
      </c>
      <c r="J207" t="s">
        <v>10214</v>
      </c>
      <c r="K207" t="s">
        <v>10217</v>
      </c>
      <c r="M207" t="s">
        <v>10286</v>
      </c>
      <c r="N207" t="s">
        <v>10671</v>
      </c>
      <c r="P207" t="s">
        <v>10749</v>
      </c>
      <c r="Q207" t="s">
        <v>10765</v>
      </c>
      <c r="R207" t="s">
        <v>10824</v>
      </c>
      <c r="T207">
        <v>23400</v>
      </c>
      <c r="U207">
        <v>1950</v>
      </c>
      <c r="V207">
        <v>28</v>
      </c>
      <c r="W207">
        <v>1</v>
      </c>
      <c r="X207">
        <v>0</v>
      </c>
      <c r="Z207">
        <v>187.35</v>
      </c>
      <c r="AA207">
        <v>40.662683</v>
      </c>
      <c r="AB207">
        <v>-73.951053</v>
      </c>
      <c r="AD207" t="s">
        <v>10839</v>
      </c>
      <c r="AG207" t="s">
        <v>10858</v>
      </c>
      <c r="AH207" t="s">
        <v>10871</v>
      </c>
      <c r="AI207">
        <v>234</v>
      </c>
      <c r="AJ207" t="s">
        <v>10214</v>
      </c>
      <c r="AL207">
        <v>1</v>
      </c>
      <c r="AM207" t="s">
        <v>10888</v>
      </c>
      <c r="AN207" t="s">
        <v>10912</v>
      </c>
      <c r="AO207" t="s">
        <v>11005</v>
      </c>
      <c r="AP207" t="s">
        <v>11050</v>
      </c>
      <c r="AR207" t="s">
        <v>11276</v>
      </c>
      <c r="AS207" t="s">
        <v>11595</v>
      </c>
      <c r="AT207" t="s">
        <v>11641</v>
      </c>
      <c r="AX207" t="s">
        <v>10838</v>
      </c>
      <c r="BA207" t="s">
        <v>11741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0</v>
      </c>
    </row>
    <row r="208" spans="1:59">
      <c r="A208" s="1">
        <f>HYPERLINK("https://lsnyc.legalserver.org/matter/dynamic-profile/view/1903864","19-1903864")</f>
        <v>0</v>
      </c>
      <c r="B208" t="s">
        <v>246</v>
      </c>
      <c r="C208" t="s">
        <v>5178</v>
      </c>
      <c r="D208" t="s">
        <v>9928</v>
      </c>
      <c r="E208" t="s">
        <v>10075</v>
      </c>
      <c r="F208">
        <v>11226</v>
      </c>
      <c r="G208" t="s">
        <v>10093</v>
      </c>
      <c r="H208" t="s">
        <v>10097</v>
      </c>
      <c r="I208" t="s">
        <v>10168</v>
      </c>
      <c r="J208" t="s">
        <v>10213</v>
      </c>
      <c r="K208" t="s">
        <v>10217</v>
      </c>
      <c r="M208" t="s">
        <v>10344</v>
      </c>
      <c r="N208" t="s">
        <v>10667</v>
      </c>
      <c r="P208" t="s">
        <v>10749</v>
      </c>
      <c r="Q208" t="s">
        <v>10765</v>
      </c>
      <c r="R208" t="s">
        <v>10824</v>
      </c>
      <c r="T208">
        <v>32604</v>
      </c>
      <c r="U208">
        <v>2717</v>
      </c>
      <c r="V208">
        <v>55</v>
      </c>
      <c r="W208">
        <v>1</v>
      </c>
      <c r="X208">
        <v>0</v>
      </c>
      <c r="Z208">
        <v>261.04</v>
      </c>
      <c r="AA208">
        <v>40.641693</v>
      </c>
      <c r="AB208">
        <v>-73.95473</v>
      </c>
      <c r="AD208" t="s">
        <v>10839</v>
      </c>
      <c r="AG208" t="s">
        <v>10858</v>
      </c>
      <c r="AH208" t="s">
        <v>10862</v>
      </c>
      <c r="AI208">
        <v>239</v>
      </c>
      <c r="AJ208" t="s">
        <v>10213</v>
      </c>
      <c r="AL208">
        <v>39</v>
      </c>
      <c r="AM208" t="s">
        <v>10888</v>
      </c>
      <c r="AN208" t="s">
        <v>10932</v>
      </c>
      <c r="AO208" t="s">
        <v>11008</v>
      </c>
      <c r="AP208" t="s">
        <v>11065</v>
      </c>
      <c r="AR208" t="s">
        <v>11257</v>
      </c>
      <c r="AS208" t="s">
        <v>11595</v>
      </c>
      <c r="BA208" t="s">
        <v>11738</v>
      </c>
      <c r="BB208">
        <v>0</v>
      </c>
      <c r="BC208">
        <v>0</v>
      </c>
      <c r="BD208">
        <v>0</v>
      </c>
      <c r="BE208">
        <v>0</v>
      </c>
      <c r="BF208">
        <v>5</v>
      </c>
      <c r="BG208">
        <v>0</v>
      </c>
    </row>
    <row r="209" spans="1:59">
      <c r="A209" s="1">
        <f>HYPERLINK("https://lsnyc.legalserver.org/matter/dynamic-profile/view/1903865","19-1903865")</f>
        <v>0</v>
      </c>
      <c r="B209" t="s">
        <v>247</v>
      </c>
      <c r="C209" t="s">
        <v>5179</v>
      </c>
      <c r="D209" t="s">
        <v>9928</v>
      </c>
      <c r="E209" t="s">
        <v>10075</v>
      </c>
      <c r="F209">
        <v>11233</v>
      </c>
      <c r="G209" t="s">
        <v>10093</v>
      </c>
      <c r="H209" t="s">
        <v>10097</v>
      </c>
      <c r="I209" t="s">
        <v>10168</v>
      </c>
      <c r="J209" t="s">
        <v>10213</v>
      </c>
      <c r="K209" t="s">
        <v>10217</v>
      </c>
      <c r="M209" t="s">
        <v>10345</v>
      </c>
      <c r="N209" t="s">
        <v>10650</v>
      </c>
      <c r="P209" t="s">
        <v>10749</v>
      </c>
      <c r="Q209" t="s">
        <v>10765</v>
      </c>
      <c r="R209" t="s">
        <v>10822</v>
      </c>
      <c r="T209">
        <v>5070</v>
      </c>
      <c r="U209">
        <v>422.5</v>
      </c>
      <c r="V209">
        <v>49</v>
      </c>
      <c r="W209">
        <v>2</v>
      </c>
      <c r="X209">
        <v>2</v>
      </c>
      <c r="Z209">
        <v>19.69</v>
      </c>
      <c r="AA209">
        <v>40.674445</v>
      </c>
      <c r="AB209">
        <v>-73.91566</v>
      </c>
      <c r="AD209" t="s">
        <v>10840</v>
      </c>
      <c r="AG209" t="s">
        <v>10858</v>
      </c>
      <c r="AH209" t="s">
        <v>10862</v>
      </c>
      <c r="AI209">
        <v>239</v>
      </c>
      <c r="AJ209" t="s">
        <v>10213</v>
      </c>
      <c r="AL209">
        <v>6.5</v>
      </c>
      <c r="AM209" t="s">
        <v>10889</v>
      </c>
      <c r="AN209" t="s">
        <v>10922</v>
      </c>
      <c r="AO209" t="s">
        <v>11007</v>
      </c>
      <c r="AP209" t="s">
        <v>11064</v>
      </c>
      <c r="AQ209" t="s">
        <v>11101</v>
      </c>
      <c r="AR209" t="s">
        <v>11260</v>
      </c>
      <c r="AS209" t="s">
        <v>11595</v>
      </c>
      <c r="AT209" t="s">
        <v>11642</v>
      </c>
      <c r="AX209" t="s">
        <v>10838</v>
      </c>
      <c r="BA209" t="s">
        <v>11740</v>
      </c>
      <c r="BB209">
        <v>0</v>
      </c>
      <c r="BC209">
        <v>0</v>
      </c>
      <c r="BD209">
        <v>0</v>
      </c>
      <c r="BE209">
        <v>0</v>
      </c>
      <c r="BF209">
        <v>2</v>
      </c>
      <c r="BG209">
        <v>0</v>
      </c>
    </row>
    <row r="210" spans="1:59">
      <c r="A210" s="1">
        <f>HYPERLINK("https://lsnyc.legalserver.org/matter/dynamic-profile/view/1903866","19-1903866")</f>
        <v>0</v>
      </c>
      <c r="B210" t="s">
        <v>239</v>
      </c>
      <c r="C210" t="s">
        <v>5170</v>
      </c>
      <c r="D210" t="s">
        <v>9926</v>
      </c>
      <c r="E210" t="s">
        <v>10075</v>
      </c>
      <c r="F210">
        <v>10467</v>
      </c>
      <c r="G210" t="s">
        <v>10090</v>
      </c>
      <c r="H210" t="s">
        <v>10097</v>
      </c>
      <c r="I210" t="s">
        <v>10168</v>
      </c>
      <c r="J210" t="s">
        <v>10210</v>
      </c>
      <c r="K210" t="s">
        <v>10218</v>
      </c>
      <c r="L210" t="s">
        <v>10158</v>
      </c>
      <c r="M210" t="s">
        <v>10346</v>
      </c>
      <c r="N210" t="s">
        <v>10671</v>
      </c>
      <c r="P210" t="s">
        <v>10751</v>
      </c>
      <c r="Q210" t="s">
        <v>10761</v>
      </c>
      <c r="R210" t="s">
        <v>10823</v>
      </c>
      <c r="T210">
        <v>4888</v>
      </c>
      <c r="U210">
        <v>407.33</v>
      </c>
      <c r="V210">
        <v>39</v>
      </c>
      <c r="W210">
        <v>1</v>
      </c>
      <c r="X210">
        <v>0</v>
      </c>
      <c r="Y210" t="s">
        <v>10829</v>
      </c>
      <c r="Z210">
        <v>39.14</v>
      </c>
      <c r="AA210">
        <v>40.871282</v>
      </c>
      <c r="AB210">
        <v>-73.879786</v>
      </c>
      <c r="AD210" t="s">
        <v>10840</v>
      </c>
      <c r="AF210" t="s">
        <v>10846</v>
      </c>
      <c r="AG210" t="s">
        <v>10859</v>
      </c>
      <c r="AH210" t="s">
        <v>10861</v>
      </c>
      <c r="AI210">
        <v>230</v>
      </c>
      <c r="AJ210" t="s">
        <v>10210</v>
      </c>
      <c r="AK210" t="s">
        <v>10838</v>
      </c>
      <c r="AL210">
        <v>1.15</v>
      </c>
      <c r="AM210" t="s">
        <v>10887</v>
      </c>
      <c r="AN210" t="s">
        <v>10938</v>
      </c>
      <c r="AO210" t="s">
        <v>11010</v>
      </c>
      <c r="AP210" t="s">
        <v>11057</v>
      </c>
      <c r="AR210" t="s">
        <v>11255</v>
      </c>
      <c r="AS210" t="s">
        <v>9926</v>
      </c>
      <c r="AT210" t="s">
        <v>11642</v>
      </c>
      <c r="AX210" t="s">
        <v>10837</v>
      </c>
      <c r="AY210" t="s">
        <v>10829</v>
      </c>
      <c r="AZ210" t="s">
        <v>11682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</row>
    <row r="211" spans="1:59">
      <c r="A211" s="1">
        <f>HYPERLINK("https://lsnyc.legalserver.org/matter/dynamic-profile/view/1903867","19-1903867")</f>
        <v>0</v>
      </c>
      <c r="B211" t="s">
        <v>203</v>
      </c>
      <c r="C211" t="s">
        <v>5180</v>
      </c>
      <c r="D211" t="s">
        <v>9949</v>
      </c>
      <c r="E211" t="s">
        <v>10075</v>
      </c>
      <c r="F211">
        <v>11413</v>
      </c>
      <c r="G211" t="s">
        <v>10092</v>
      </c>
      <c r="H211" t="s">
        <v>10097</v>
      </c>
      <c r="I211" t="s">
        <v>10168</v>
      </c>
      <c r="J211" t="s">
        <v>10212</v>
      </c>
      <c r="K211" t="s">
        <v>10217</v>
      </c>
      <c r="M211" t="s">
        <v>10347</v>
      </c>
      <c r="N211" t="s">
        <v>10695</v>
      </c>
      <c r="P211" t="s">
        <v>10749</v>
      </c>
      <c r="Q211" t="s">
        <v>10765</v>
      </c>
      <c r="R211" t="s">
        <v>10824</v>
      </c>
      <c r="T211">
        <v>45000</v>
      </c>
      <c r="U211">
        <v>3750</v>
      </c>
      <c r="V211">
        <v>59</v>
      </c>
      <c r="W211">
        <v>3</v>
      </c>
      <c r="X211">
        <v>2</v>
      </c>
      <c r="Z211">
        <v>149.15</v>
      </c>
      <c r="AA211">
        <v>40.671762</v>
      </c>
      <c r="AB211">
        <v>-73.761067</v>
      </c>
      <c r="AD211" t="s">
        <v>10839</v>
      </c>
      <c r="AG211" t="s">
        <v>10858</v>
      </c>
      <c r="AH211" t="s">
        <v>10862</v>
      </c>
      <c r="AI211">
        <v>237</v>
      </c>
      <c r="AJ211" t="s">
        <v>10212</v>
      </c>
      <c r="AL211">
        <v>19.5</v>
      </c>
      <c r="AM211" t="s">
        <v>10892</v>
      </c>
      <c r="AN211" t="s">
        <v>10955</v>
      </c>
      <c r="AO211" t="s">
        <v>11017</v>
      </c>
      <c r="AP211" t="s">
        <v>11082</v>
      </c>
      <c r="AR211" t="s">
        <v>11257</v>
      </c>
      <c r="AS211" t="s">
        <v>11594</v>
      </c>
      <c r="AX211" t="s">
        <v>10838</v>
      </c>
      <c r="BA211" t="s">
        <v>11738</v>
      </c>
      <c r="BB211">
        <v>0</v>
      </c>
      <c r="BC211">
        <v>0</v>
      </c>
      <c r="BD211">
        <v>0</v>
      </c>
      <c r="BE211">
        <v>0</v>
      </c>
      <c r="BF211">
        <v>5</v>
      </c>
      <c r="BG211">
        <v>0</v>
      </c>
    </row>
    <row r="212" spans="1:59">
      <c r="A212" s="1">
        <f>HYPERLINK("https://lsnyc.legalserver.org/matter/dynamic-profile/view/1903868","19-1903868")</f>
        <v>0</v>
      </c>
      <c r="B212" t="s">
        <v>248</v>
      </c>
      <c r="C212" t="s">
        <v>5181</v>
      </c>
      <c r="D212" t="s">
        <v>9937</v>
      </c>
      <c r="E212" t="s">
        <v>10075</v>
      </c>
      <c r="F212">
        <v>11412</v>
      </c>
      <c r="G212" t="s">
        <v>10092</v>
      </c>
      <c r="H212" t="s">
        <v>10097</v>
      </c>
      <c r="I212" t="s">
        <v>10168</v>
      </c>
      <c r="J212" t="s">
        <v>10212</v>
      </c>
      <c r="K212" t="s">
        <v>10218</v>
      </c>
      <c r="L212" t="s">
        <v>10158</v>
      </c>
      <c r="M212" t="s">
        <v>10325</v>
      </c>
      <c r="N212" t="s">
        <v>10671</v>
      </c>
      <c r="P212" t="s">
        <v>10751</v>
      </c>
      <c r="Q212" t="s">
        <v>10761</v>
      </c>
      <c r="R212" t="s">
        <v>10822</v>
      </c>
      <c r="T212">
        <v>14208</v>
      </c>
      <c r="U212">
        <v>1184</v>
      </c>
      <c r="V212">
        <v>61</v>
      </c>
      <c r="W212">
        <v>1</v>
      </c>
      <c r="X212">
        <v>0</v>
      </c>
      <c r="Y212" t="s">
        <v>10829</v>
      </c>
      <c r="Z212">
        <v>113.76</v>
      </c>
      <c r="AA212">
        <v>40.697026</v>
      </c>
      <c r="AB212">
        <v>-73.753058</v>
      </c>
      <c r="AD212" t="s">
        <v>10822</v>
      </c>
      <c r="AG212" t="s">
        <v>10858</v>
      </c>
      <c r="AH212" t="s">
        <v>10861</v>
      </c>
      <c r="AI212">
        <v>234</v>
      </c>
      <c r="AJ212" t="s">
        <v>10214</v>
      </c>
      <c r="AK212" t="s">
        <v>10838</v>
      </c>
      <c r="AL212">
        <v>2</v>
      </c>
      <c r="AM212" t="s">
        <v>10892</v>
      </c>
      <c r="AN212" t="s">
        <v>10940</v>
      </c>
      <c r="AO212" t="s">
        <v>11020</v>
      </c>
      <c r="AP212" t="s">
        <v>11075</v>
      </c>
      <c r="AR212" t="s">
        <v>11308</v>
      </c>
      <c r="AS212" t="s">
        <v>11594</v>
      </c>
      <c r="AT212" t="s">
        <v>11641</v>
      </c>
      <c r="AX212" t="s">
        <v>10838</v>
      </c>
      <c r="AY212" t="s">
        <v>10829</v>
      </c>
      <c r="AZ212" t="s">
        <v>11682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</row>
    <row r="213" spans="1:59">
      <c r="A213" s="1">
        <f>HYPERLINK("https://lsnyc.legalserver.org/matter/dynamic-profile/view/1903869","19-1903869")</f>
        <v>0</v>
      </c>
      <c r="B213" t="s">
        <v>249</v>
      </c>
      <c r="C213" t="s">
        <v>5182</v>
      </c>
      <c r="D213" t="s">
        <v>9925</v>
      </c>
      <c r="E213" t="s">
        <v>10075</v>
      </c>
      <c r="F213">
        <v>10035</v>
      </c>
      <c r="G213" t="s">
        <v>10089</v>
      </c>
      <c r="H213" t="s">
        <v>10097</v>
      </c>
      <c r="I213" t="s">
        <v>10169</v>
      </c>
      <c r="J213" t="s">
        <v>10209</v>
      </c>
      <c r="K213" t="s">
        <v>10217</v>
      </c>
      <c r="M213" t="s">
        <v>10270</v>
      </c>
      <c r="N213" t="s">
        <v>10671</v>
      </c>
      <c r="P213" t="s">
        <v>10754</v>
      </c>
      <c r="Q213" t="s">
        <v>10770</v>
      </c>
      <c r="R213" t="s">
        <v>10823</v>
      </c>
      <c r="T213">
        <v>4668</v>
      </c>
      <c r="U213">
        <v>389</v>
      </c>
      <c r="V213">
        <v>47</v>
      </c>
      <c r="W213">
        <v>2</v>
      </c>
      <c r="X213">
        <v>1</v>
      </c>
      <c r="Z213">
        <v>21.88</v>
      </c>
      <c r="AA213">
        <v>40.798961</v>
      </c>
      <c r="AB213">
        <v>-73.931031</v>
      </c>
      <c r="AD213" t="s">
        <v>10839</v>
      </c>
      <c r="AF213" t="s">
        <v>10843</v>
      </c>
      <c r="AG213" t="s">
        <v>10859</v>
      </c>
      <c r="AH213" t="s">
        <v>10871</v>
      </c>
      <c r="AI213">
        <v>234</v>
      </c>
      <c r="AJ213" t="s">
        <v>10214</v>
      </c>
      <c r="AL213">
        <v>1.11</v>
      </c>
      <c r="AM213" t="s">
        <v>10887</v>
      </c>
      <c r="AN213" t="s">
        <v>10926</v>
      </c>
      <c r="AO213" t="s">
        <v>11016</v>
      </c>
      <c r="AP213" t="s">
        <v>11066</v>
      </c>
      <c r="AR213" t="s">
        <v>11255</v>
      </c>
      <c r="AS213" t="s">
        <v>9925</v>
      </c>
      <c r="AT213" t="s">
        <v>11641</v>
      </c>
      <c r="AX213" t="s">
        <v>10838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</row>
    <row r="214" spans="1:59">
      <c r="A214" s="1">
        <f>HYPERLINK("https://lsnyc.legalserver.org/matter/dynamic-profile/view/1903871","19-1903871")</f>
        <v>0</v>
      </c>
      <c r="B214" t="s">
        <v>250</v>
      </c>
      <c r="C214" t="s">
        <v>5183</v>
      </c>
      <c r="D214" t="s">
        <v>9928</v>
      </c>
      <c r="E214" t="s">
        <v>10075</v>
      </c>
      <c r="F214">
        <v>11212</v>
      </c>
      <c r="G214" t="s">
        <v>10093</v>
      </c>
      <c r="H214" t="s">
        <v>10097</v>
      </c>
      <c r="I214" t="s">
        <v>10168</v>
      </c>
      <c r="J214" t="s">
        <v>10213</v>
      </c>
      <c r="K214" t="s">
        <v>10218</v>
      </c>
      <c r="L214" t="s">
        <v>10129</v>
      </c>
      <c r="M214" t="s">
        <v>10348</v>
      </c>
      <c r="N214" t="s">
        <v>10650</v>
      </c>
      <c r="P214" t="s">
        <v>10749</v>
      </c>
      <c r="Q214" t="s">
        <v>10765</v>
      </c>
      <c r="R214" t="s">
        <v>10824</v>
      </c>
      <c r="T214">
        <v>28656</v>
      </c>
      <c r="U214">
        <v>2388</v>
      </c>
      <c r="V214">
        <v>24</v>
      </c>
      <c r="W214">
        <v>1</v>
      </c>
      <c r="X214">
        <v>0</v>
      </c>
      <c r="Y214" t="s">
        <v>10829</v>
      </c>
      <c r="Z214">
        <v>229.43</v>
      </c>
      <c r="AA214">
        <v>40.663303</v>
      </c>
      <c r="AB214">
        <v>-73.922009</v>
      </c>
      <c r="AC214" t="s">
        <v>10838</v>
      </c>
      <c r="AD214" t="s">
        <v>10839</v>
      </c>
      <c r="AG214" t="s">
        <v>10858</v>
      </c>
      <c r="AH214" t="s">
        <v>10861</v>
      </c>
      <c r="AI214">
        <v>234</v>
      </c>
      <c r="AJ214" t="s">
        <v>10214</v>
      </c>
      <c r="AK214" t="s">
        <v>10838</v>
      </c>
      <c r="AL214">
        <v>4.25</v>
      </c>
      <c r="AM214" t="s">
        <v>10888</v>
      </c>
      <c r="AN214" t="s">
        <v>10922</v>
      </c>
      <c r="AO214" t="s">
        <v>11005</v>
      </c>
      <c r="AP214" t="s">
        <v>11064</v>
      </c>
      <c r="AR214" t="s">
        <v>11257</v>
      </c>
      <c r="AS214" t="s">
        <v>11595</v>
      </c>
      <c r="AT214" t="s">
        <v>11641</v>
      </c>
      <c r="AX214" t="s">
        <v>10838</v>
      </c>
      <c r="AY214" t="s">
        <v>10829</v>
      </c>
      <c r="AZ214" t="s">
        <v>11681</v>
      </c>
      <c r="BA214" t="s">
        <v>11741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0</v>
      </c>
    </row>
    <row r="215" spans="1:59">
      <c r="A215" s="1">
        <f>HYPERLINK("https://lsnyc.legalserver.org/matter/dynamic-profile/view/1903873","19-1903873")</f>
        <v>0</v>
      </c>
      <c r="B215" t="s">
        <v>251</v>
      </c>
      <c r="C215" t="s">
        <v>5184</v>
      </c>
      <c r="D215" t="s">
        <v>9926</v>
      </c>
      <c r="E215" t="s">
        <v>10075</v>
      </c>
      <c r="F215">
        <v>10457</v>
      </c>
      <c r="G215" t="s">
        <v>10090</v>
      </c>
      <c r="H215" t="s">
        <v>10097</v>
      </c>
      <c r="I215" t="s">
        <v>10168</v>
      </c>
      <c r="J215" t="s">
        <v>10210</v>
      </c>
      <c r="K215" t="s">
        <v>10217</v>
      </c>
      <c r="M215" t="s">
        <v>10336</v>
      </c>
      <c r="N215" t="s">
        <v>10671</v>
      </c>
      <c r="P215" t="s">
        <v>10758</v>
      </c>
      <c r="Q215" t="s">
        <v>10793</v>
      </c>
      <c r="R215" t="s">
        <v>10825</v>
      </c>
      <c r="T215">
        <v>16728</v>
      </c>
      <c r="U215">
        <v>1394</v>
      </c>
      <c r="V215">
        <v>51</v>
      </c>
      <c r="W215">
        <v>3</v>
      </c>
      <c r="X215">
        <v>4</v>
      </c>
      <c r="Z215">
        <v>42.88</v>
      </c>
      <c r="AA215">
        <v>40.842785</v>
      </c>
      <c r="AB215">
        <v>-73.893957</v>
      </c>
      <c r="AC215" t="s">
        <v>10837</v>
      </c>
      <c r="AD215" t="s">
        <v>10839</v>
      </c>
      <c r="AG215" t="s">
        <v>10858</v>
      </c>
      <c r="AH215" t="s">
        <v>10861</v>
      </c>
      <c r="AI215">
        <v>234</v>
      </c>
      <c r="AJ215" t="s">
        <v>10214</v>
      </c>
      <c r="AL215">
        <v>4.35</v>
      </c>
      <c r="AM215" t="s">
        <v>10884</v>
      </c>
      <c r="AN215" t="s">
        <v>10918</v>
      </c>
      <c r="AO215" t="s">
        <v>11000</v>
      </c>
      <c r="AP215" t="s">
        <v>11056</v>
      </c>
      <c r="AR215" t="s">
        <v>11309</v>
      </c>
      <c r="AS215" t="s">
        <v>9926</v>
      </c>
      <c r="AT215" t="s">
        <v>11641</v>
      </c>
      <c r="AX215" t="s">
        <v>10838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</row>
    <row r="216" spans="1:59">
      <c r="A216" s="1">
        <f>HYPERLINK("https://lsnyc.legalserver.org/matter/dynamic-profile/view/1903875","19-1903875")</f>
        <v>0</v>
      </c>
      <c r="B216" t="s">
        <v>252</v>
      </c>
      <c r="C216" t="s">
        <v>5185</v>
      </c>
      <c r="D216" t="s">
        <v>9926</v>
      </c>
      <c r="E216" t="s">
        <v>10075</v>
      </c>
      <c r="F216">
        <v>10467</v>
      </c>
      <c r="G216" t="s">
        <v>10090</v>
      </c>
      <c r="H216" t="s">
        <v>10097</v>
      </c>
      <c r="J216" t="s">
        <v>10210</v>
      </c>
      <c r="K216" t="s">
        <v>10217</v>
      </c>
      <c r="M216" t="s">
        <v>10349</v>
      </c>
      <c r="N216" t="s">
        <v>10651</v>
      </c>
      <c r="P216" t="s">
        <v>10749</v>
      </c>
      <c r="Q216" t="s">
        <v>10765</v>
      </c>
      <c r="R216" t="s">
        <v>10821</v>
      </c>
      <c r="T216">
        <v>5728</v>
      </c>
      <c r="U216">
        <v>477.33</v>
      </c>
      <c r="V216">
        <v>27</v>
      </c>
      <c r="W216">
        <v>1</v>
      </c>
      <c r="X216">
        <v>0</v>
      </c>
      <c r="Z216">
        <v>45.86</v>
      </c>
      <c r="AA216">
        <v>40.881117</v>
      </c>
      <c r="AB216">
        <v>-73.86736500000001</v>
      </c>
      <c r="AD216" t="s">
        <v>10839</v>
      </c>
      <c r="AG216" t="s">
        <v>10858</v>
      </c>
      <c r="AH216" t="s">
        <v>10861</v>
      </c>
      <c r="AI216">
        <v>230</v>
      </c>
      <c r="AJ216" t="s">
        <v>10210</v>
      </c>
      <c r="AL216">
        <v>2.5</v>
      </c>
      <c r="AM216" t="s">
        <v>10893</v>
      </c>
      <c r="AN216" t="s">
        <v>10956</v>
      </c>
      <c r="AO216" t="s">
        <v>11010</v>
      </c>
      <c r="AP216" t="s">
        <v>11085</v>
      </c>
      <c r="AR216" t="s">
        <v>11310</v>
      </c>
      <c r="AS216" t="s">
        <v>9926</v>
      </c>
      <c r="AT216" t="s">
        <v>11641</v>
      </c>
      <c r="AX216" t="s">
        <v>10838</v>
      </c>
      <c r="BA216" t="s">
        <v>11738</v>
      </c>
      <c r="BB216">
        <v>0</v>
      </c>
      <c r="BC216">
        <v>0</v>
      </c>
      <c r="BD216">
        <v>0</v>
      </c>
      <c r="BE216">
        <v>0</v>
      </c>
      <c r="BF216">
        <v>5</v>
      </c>
      <c r="BG216">
        <v>0</v>
      </c>
    </row>
    <row r="217" spans="1:59">
      <c r="A217" s="1">
        <f>HYPERLINK("https://lsnyc.legalserver.org/matter/dynamic-profile/view/1903876","19-1903876")</f>
        <v>0</v>
      </c>
      <c r="B217" t="s">
        <v>253</v>
      </c>
      <c r="C217" t="s">
        <v>5186</v>
      </c>
      <c r="D217" t="s">
        <v>9936</v>
      </c>
      <c r="E217" t="s">
        <v>10075</v>
      </c>
      <c r="F217">
        <v>11103</v>
      </c>
      <c r="G217" t="s">
        <v>10092</v>
      </c>
      <c r="H217" t="s">
        <v>10097</v>
      </c>
      <c r="J217" t="s">
        <v>10212</v>
      </c>
      <c r="K217" t="s">
        <v>10218</v>
      </c>
      <c r="L217" t="s">
        <v>10104</v>
      </c>
      <c r="M217" t="s">
        <v>10350</v>
      </c>
      <c r="N217" t="s">
        <v>10689</v>
      </c>
      <c r="P217" t="s">
        <v>10754</v>
      </c>
      <c r="Q217" t="s">
        <v>10775</v>
      </c>
      <c r="R217" t="s">
        <v>10820</v>
      </c>
      <c r="T217">
        <v>20000</v>
      </c>
      <c r="U217">
        <v>1666.67</v>
      </c>
      <c r="V217">
        <v>43</v>
      </c>
      <c r="W217">
        <v>1</v>
      </c>
      <c r="X217">
        <v>3</v>
      </c>
      <c r="Y217" t="s">
        <v>10829</v>
      </c>
      <c r="Z217">
        <v>77.67</v>
      </c>
      <c r="AA217">
        <v>40.761072</v>
      </c>
      <c r="AB217">
        <v>-73.912085</v>
      </c>
      <c r="AD217" t="s">
        <v>10839</v>
      </c>
      <c r="AG217" t="s">
        <v>10858</v>
      </c>
      <c r="AH217" t="s">
        <v>10865</v>
      </c>
      <c r="AI217">
        <v>237</v>
      </c>
      <c r="AJ217" t="s">
        <v>10212</v>
      </c>
      <c r="AK217" t="s">
        <v>10837</v>
      </c>
      <c r="AL217">
        <v>1.5</v>
      </c>
      <c r="AM217" t="s">
        <v>10885</v>
      </c>
      <c r="AN217" t="s">
        <v>10954</v>
      </c>
      <c r="AO217" t="s">
        <v>11003</v>
      </c>
      <c r="AP217" t="s">
        <v>11084</v>
      </c>
      <c r="AR217" t="s">
        <v>11257</v>
      </c>
      <c r="AS217" t="s">
        <v>11594</v>
      </c>
      <c r="AY217" t="s">
        <v>10829</v>
      </c>
      <c r="AZ217" t="s">
        <v>11683</v>
      </c>
      <c r="BA217" t="s">
        <v>11741</v>
      </c>
      <c r="BB217">
        <v>0</v>
      </c>
      <c r="BC217">
        <v>0</v>
      </c>
      <c r="BD217">
        <v>0</v>
      </c>
      <c r="BE217">
        <v>0</v>
      </c>
      <c r="BF217">
        <v>1</v>
      </c>
      <c r="BG217">
        <v>0</v>
      </c>
    </row>
    <row r="218" spans="1:59">
      <c r="A218" s="1">
        <f>HYPERLINK("https://lsnyc.legalserver.org/matter/dynamic-profile/view/1903877","19-1903877")</f>
        <v>0</v>
      </c>
      <c r="B218" t="s">
        <v>254</v>
      </c>
      <c r="C218" t="s">
        <v>5187</v>
      </c>
      <c r="D218" t="s">
        <v>9928</v>
      </c>
      <c r="E218" t="s">
        <v>10075</v>
      </c>
      <c r="F218">
        <v>11226</v>
      </c>
      <c r="G218" t="s">
        <v>10093</v>
      </c>
      <c r="H218" t="s">
        <v>10097</v>
      </c>
      <c r="I218" t="s">
        <v>10169</v>
      </c>
      <c r="J218" t="s">
        <v>10213</v>
      </c>
      <c r="K218" t="s">
        <v>10218</v>
      </c>
      <c r="L218" t="s">
        <v>10119</v>
      </c>
      <c r="M218" t="s">
        <v>10351</v>
      </c>
      <c r="N218" t="s">
        <v>10696</v>
      </c>
      <c r="P218" t="s">
        <v>10754</v>
      </c>
      <c r="Q218" t="s">
        <v>10775</v>
      </c>
      <c r="R218" t="s">
        <v>10823</v>
      </c>
      <c r="T218">
        <v>75000</v>
      </c>
      <c r="U218">
        <v>6250</v>
      </c>
      <c r="V218">
        <v>39</v>
      </c>
      <c r="W218">
        <v>1</v>
      </c>
      <c r="X218">
        <v>0</v>
      </c>
      <c r="Y218" t="s">
        <v>10829</v>
      </c>
      <c r="Z218">
        <v>600.48</v>
      </c>
      <c r="AA218">
        <v>40.639528</v>
      </c>
      <c r="AB218">
        <v>-73.957795</v>
      </c>
      <c r="AD218" t="s">
        <v>10839</v>
      </c>
      <c r="AG218" t="s">
        <v>10858</v>
      </c>
      <c r="AH218" t="s">
        <v>10865</v>
      </c>
      <c r="AI218">
        <v>239</v>
      </c>
      <c r="AJ218" t="s">
        <v>10213</v>
      </c>
      <c r="AK218" t="s">
        <v>10837</v>
      </c>
      <c r="AL218">
        <v>1.8</v>
      </c>
      <c r="AM218" t="s">
        <v>10888</v>
      </c>
      <c r="AN218" t="s">
        <v>10932</v>
      </c>
      <c r="AO218" t="s">
        <v>11008</v>
      </c>
      <c r="AP218" t="s">
        <v>11050</v>
      </c>
      <c r="AQ218" t="s">
        <v>11126</v>
      </c>
      <c r="AR218" t="s">
        <v>11257</v>
      </c>
      <c r="AS218" t="s">
        <v>11595</v>
      </c>
      <c r="AT218" t="s">
        <v>11641</v>
      </c>
      <c r="AX218" t="s">
        <v>10838</v>
      </c>
      <c r="AY218" t="s">
        <v>10829</v>
      </c>
      <c r="AZ218" t="s">
        <v>11683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</row>
    <row r="219" spans="1:59">
      <c r="A219" s="1">
        <f>HYPERLINK("https://lsnyc.legalserver.org/matter/dynamic-profile/view/1903879","19-1903879")</f>
        <v>0</v>
      </c>
      <c r="B219" t="s">
        <v>255</v>
      </c>
      <c r="C219" t="s">
        <v>5188</v>
      </c>
      <c r="D219" t="s">
        <v>9928</v>
      </c>
      <c r="E219" t="s">
        <v>10075</v>
      </c>
      <c r="F219">
        <v>11210</v>
      </c>
      <c r="G219" t="s">
        <v>10093</v>
      </c>
      <c r="H219" t="s">
        <v>10097</v>
      </c>
      <c r="I219" t="s">
        <v>10168</v>
      </c>
      <c r="J219" t="s">
        <v>10213</v>
      </c>
      <c r="K219" t="s">
        <v>10218</v>
      </c>
      <c r="L219" t="s">
        <v>4843</v>
      </c>
      <c r="M219" t="s">
        <v>10352</v>
      </c>
      <c r="N219" t="s">
        <v>10650</v>
      </c>
      <c r="P219" t="s">
        <v>10749</v>
      </c>
      <c r="Q219" t="s">
        <v>10765</v>
      </c>
      <c r="R219" t="s">
        <v>10824</v>
      </c>
      <c r="T219">
        <v>59000</v>
      </c>
      <c r="U219">
        <v>4916.67</v>
      </c>
      <c r="V219">
        <v>66</v>
      </c>
      <c r="W219">
        <v>5</v>
      </c>
      <c r="X219">
        <v>0</v>
      </c>
      <c r="Y219" t="s">
        <v>10830</v>
      </c>
      <c r="Z219">
        <v>195.56</v>
      </c>
      <c r="AA219">
        <v>40.625848</v>
      </c>
      <c r="AB219">
        <v>-73.94153900000001</v>
      </c>
      <c r="AD219" t="s">
        <v>10839</v>
      </c>
      <c r="AG219" t="s">
        <v>10858</v>
      </c>
      <c r="AH219" t="s">
        <v>10862</v>
      </c>
      <c r="AI219">
        <v>239</v>
      </c>
      <c r="AJ219" t="s">
        <v>10213</v>
      </c>
      <c r="AK219" t="s">
        <v>10838</v>
      </c>
      <c r="AL219">
        <v>7.6</v>
      </c>
      <c r="AM219" t="s">
        <v>10888</v>
      </c>
      <c r="AN219" t="s">
        <v>10957</v>
      </c>
      <c r="AO219" t="s">
        <v>11008</v>
      </c>
      <c r="AP219" t="s">
        <v>11065</v>
      </c>
      <c r="AQ219" t="s">
        <v>11101</v>
      </c>
      <c r="AR219" t="s">
        <v>11257</v>
      </c>
      <c r="AS219" t="s">
        <v>11595</v>
      </c>
      <c r="AY219" t="s">
        <v>10830</v>
      </c>
      <c r="AZ219" t="s">
        <v>11690</v>
      </c>
      <c r="BA219" t="s">
        <v>11740</v>
      </c>
      <c r="BB219">
        <v>0</v>
      </c>
      <c r="BC219">
        <v>0</v>
      </c>
      <c r="BD219">
        <v>0</v>
      </c>
      <c r="BE219">
        <v>0</v>
      </c>
      <c r="BF219">
        <v>2</v>
      </c>
      <c r="BG219">
        <v>0</v>
      </c>
    </row>
    <row r="220" spans="1:59">
      <c r="A220" s="1">
        <f>HYPERLINK("https://lsnyc.legalserver.org/matter/dynamic-profile/view/1903880","19-1903880")</f>
        <v>0</v>
      </c>
      <c r="B220" t="s">
        <v>252</v>
      </c>
      <c r="C220" t="s">
        <v>5185</v>
      </c>
      <c r="D220" t="s">
        <v>9926</v>
      </c>
      <c r="E220" t="s">
        <v>10075</v>
      </c>
      <c r="F220">
        <v>10467</v>
      </c>
      <c r="G220" t="s">
        <v>10090</v>
      </c>
      <c r="H220" t="s">
        <v>10097</v>
      </c>
      <c r="J220" t="s">
        <v>10210</v>
      </c>
      <c r="K220" t="s">
        <v>10217</v>
      </c>
      <c r="M220" t="s">
        <v>10353</v>
      </c>
      <c r="N220" t="s">
        <v>10671</v>
      </c>
      <c r="P220" t="s">
        <v>10751</v>
      </c>
      <c r="Q220" t="s">
        <v>10761</v>
      </c>
      <c r="R220" t="s">
        <v>10821</v>
      </c>
      <c r="T220">
        <v>7548</v>
      </c>
      <c r="U220">
        <v>629</v>
      </c>
      <c r="V220">
        <v>27</v>
      </c>
      <c r="W220">
        <v>1</v>
      </c>
      <c r="X220">
        <v>2</v>
      </c>
      <c r="Z220">
        <v>35.39</v>
      </c>
      <c r="AA220">
        <v>40.881117</v>
      </c>
      <c r="AB220">
        <v>-73.86736500000001</v>
      </c>
      <c r="AD220" t="s">
        <v>10839</v>
      </c>
      <c r="AG220" t="s">
        <v>10858</v>
      </c>
      <c r="AH220" t="s">
        <v>10861</v>
      </c>
      <c r="AI220">
        <v>230</v>
      </c>
      <c r="AJ220" t="s">
        <v>10210</v>
      </c>
      <c r="AL220">
        <v>1</v>
      </c>
      <c r="AM220" t="s">
        <v>10893</v>
      </c>
      <c r="AN220" t="s">
        <v>10956</v>
      </c>
      <c r="AO220" t="s">
        <v>11010</v>
      </c>
      <c r="AP220" t="s">
        <v>11085</v>
      </c>
      <c r="AR220" t="s">
        <v>11310</v>
      </c>
      <c r="AS220" t="s">
        <v>9926</v>
      </c>
      <c r="AT220" t="s">
        <v>11641</v>
      </c>
      <c r="AX220" t="s">
        <v>10838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</row>
    <row r="221" spans="1:59">
      <c r="A221" s="1">
        <f>HYPERLINK("https://lsnyc.legalserver.org/matter/dynamic-profile/view/1903881","19-1903881")</f>
        <v>0</v>
      </c>
      <c r="B221" t="s">
        <v>256</v>
      </c>
      <c r="C221" t="s">
        <v>5189</v>
      </c>
      <c r="D221" t="s">
        <v>9928</v>
      </c>
      <c r="E221" t="s">
        <v>10075</v>
      </c>
      <c r="F221">
        <v>11209</v>
      </c>
      <c r="G221" t="s">
        <v>10093</v>
      </c>
      <c r="H221" t="s">
        <v>10097</v>
      </c>
      <c r="J221" t="s">
        <v>10213</v>
      </c>
      <c r="K221" t="s">
        <v>10218</v>
      </c>
      <c r="L221" t="s">
        <v>10097</v>
      </c>
      <c r="M221" t="s">
        <v>10354</v>
      </c>
      <c r="N221" t="s">
        <v>10650</v>
      </c>
      <c r="P221" t="s">
        <v>10749</v>
      </c>
      <c r="Q221" t="s">
        <v>10765</v>
      </c>
      <c r="R221" t="s">
        <v>10820</v>
      </c>
      <c r="T221">
        <v>26220</v>
      </c>
      <c r="U221">
        <v>2185</v>
      </c>
      <c r="V221">
        <v>60</v>
      </c>
      <c r="W221">
        <v>4</v>
      </c>
      <c r="X221">
        <v>0</v>
      </c>
      <c r="Y221" t="s">
        <v>10835</v>
      </c>
      <c r="Z221">
        <v>101.83</v>
      </c>
      <c r="AA221">
        <v>40.632816</v>
      </c>
      <c r="AB221">
        <v>-74.024692</v>
      </c>
      <c r="AD221" t="s">
        <v>10839</v>
      </c>
      <c r="AG221" t="s">
        <v>10858</v>
      </c>
      <c r="AH221" t="s">
        <v>10862</v>
      </c>
      <c r="AI221">
        <v>239</v>
      </c>
      <c r="AJ221" t="s">
        <v>10213</v>
      </c>
      <c r="AK221" t="s">
        <v>10838</v>
      </c>
      <c r="AL221">
        <v>6</v>
      </c>
      <c r="AM221" t="s">
        <v>10883</v>
      </c>
      <c r="AN221" t="s">
        <v>10915</v>
      </c>
      <c r="AO221" t="s">
        <v>11023</v>
      </c>
      <c r="AP221" t="s">
        <v>11086</v>
      </c>
      <c r="AQ221" t="s">
        <v>11101</v>
      </c>
      <c r="AR221" t="s">
        <v>11258</v>
      </c>
      <c r="AS221" t="s">
        <v>11595</v>
      </c>
      <c r="AY221" t="s">
        <v>10835</v>
      </c>
      <c r="AZ221" t="s">
        <v>11687</v>
      </c>
      <c r="BA221" t="s">
        <v>11738</v>
      </c>
      <c r="BB221">
        <v>0</v>
      </c>
      <c r="BC221">
        <v>0</v>
      </c>
      <c r="BD221">
        <v>0</v>
      </c>
      <c r="BE221">
        <v>0</v>
      </c>
      <c r="BF221">
        <v>5</v>
      </c>
      <c r="BG221">
        <v>0</v>
      </c>
    </row>
    <row r="222" spans="1:59">
      <c r="A222" s="1">
        <f>HYPERLINK("https://lsnyc.legalserver.org/matter/dynamic-profile/view/1903882","19-1903882")</f>
        <v>0</v>
      </c>
      <c r="B222" t="s">
        <v>257</v>
      </c>
      <c r="C222" t="s">
        <v>5190</v>
      </c>
      <c r="D222" t="s">
        <v>9948</v>
      </c>
      <c r="E222" t="s">
        <v>10075</v>
      </c>
      <c r="F222">
        <v>11691</v>
      </c>
      <c r="G222" t="s">
        <v>10092</v>
      </c>
      <c r="H222" t="s">
        <v>10097</v>
      </c>
      <c r="I222" t="s">
        <v>10169</v>
      </c>
      <c r="J222" t="s">
        <v>10212</v>
      </c>
      <c r="K222" t="s">
        <v>10217</v>
      </c>
      <c r="M222" t="s">
        <v>10355</v>
      </c>
      <c r="N222" t="s">
        <v>10671</v>
      </c>
      <c r="P222" t="s">
        <v>10753</v>
      </c>
      <c r="Q222" t="s">
        <v>10763</v>
      </c>
      <c r="R222" t="s">
        <v>10823</v>
      </c>
      <c r="T222">
        <v>8320</v>
      </c>
      <c r="U222">
        <v>693.33</v>
      </c>
      <c r="V222">
        <v>8</v>
      </c>
      <c r="W222">
        <v>1</v>
      </c>
      <c r="X222">
        <v>2</v>
      </c>
      <c r="Z222">
        <v>39.01</v>
      </c>
      <c r="AA222">
        <v>40.599664</v>
      </c>
      <c r="AB222">
        <v>-73.75049799999999</v>
      </c>
      <c r="AD222" t="s">
        <v>10840</v>
      </c>
      <c r="AF222" t="s">
        <v>10842</v>
      </c>
      <c r="AG222" t="s">
        <v>10859</v>
      </c>
      <c r="AH222" t="s">
        <v>10861</v>
      </c>
      <c r="AI222">
        <v>234</v>
      </c>
      <c r="AJ222" t="s">
        <v>10214</v>
      </c>
      <c r="AL222">
        <v>0.5</v>
      </c>
      <c r="AM222" t="s">
        <v>10892</v>
      </c>
      <c r="AN222" t="s">
        <v>10958</v>
      </c>
      <c r="AO222" t="s">
        <v>11017</v>
      </c>
      <c r="AP222" t="s">
        <v>11082</v>
      </c>
      <c r="AR222" t="s">
        <v>11257</v>
      </c>
      <c r="AS222" t="s">
        <v>11594</v>
      </c>
      <c r="AT222" t="s">
        <v>11642</v>
      </c>
      <c r="AX222" t="s">
        <v>10838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</row>
    <row r="223" spans="1:59">
      <c r="A223" s="1">
        <f>HYPERLINK("https://lsnyc.legalserver.org/matter/dynamic-profile/view/1903884","19-1903884")</f>
        <v>0</v>
      </c>
      <c r="B223" t="s">
        <v>258</v>
      </c>
      <c r="C223" t="s">
        <v>5191</v>
      </c>
      <c r="D223" t="s">
        <v>9928</v>
      </c>
      <c r="E223" t="s">
        <v>10075</v>
      </c>
      <c r="F223">
        <v>11213</v>
      </c>
      <c r="G223" t="s">
        <v>10091</v>
      </c>
      <c r="H223" t="s">
        <v>10097</v>
      </c>
      <c r="I223" t="s">
        <v>10168</v>
      </c>
      <c r="J223" t="s">
        <v>10214</v>
      </c>
      <c r="K223" t="s">
        <v>10217</v>
      </c>
      <c r="M223" t="s">
        <v>10286</v>
      </c>
      <c r="N223" t="s">
        <v>10671</v>
      </c>
      <c r="P223" t="s">
        <v>10751</v>
      </c>
      <c r="Q223" t="s">
        <v>10768</v>
      </c>
      <c r="R223" t="s">
        <v>10824</v>
      </c>
      <c r="T223">
        <v>9828</v>
      </c>
      <c r="U223">
        <v>819</v>
      </c>
      <c r="V223">
        <v>33</v>
      </c>
      <c r="W223">
        <v>1</v>
      </c>
      <c r="X223">
        <v>0</v>
      </c>
      <c r="Z223">
        <v>78.69</v>
      </c>
      <c r="AA223">
        <v>40.674033</v>
      </c>
      <c r="AB223">
        <v>-73.93283599999999</v>
      </c>
      <c r="AD223" t="s">
        <v>10839</v>
      </c>
      <c r="AG223" t="s">
        <v>10858</v>
      </c>
      <c r="AH223" t="s">
        <v>10871</v>
      </c>
      <c r="AI223">
        <v>234</v>
      </c>
      <c r="AJ223" t="s">
        <v>10214</v>
      </c>
      <c r="AL223">
        <v>1</v>
      </c>
      <c r="AM223" t="s">
        <v>10888</v>
      </c>
      <c r="AN223" t="s">
        <v>10914</v>
      </c>
      <c r="AO223" t="s">
        <v>11007</v>
      </c>
      <c r="AP223" t="s">
        <v>11052</v>
      </c>
      <c r="AR223" t="s">
        <v>11293</v>
      </c>
      <c r="AS223" t="s">
        <v>11595</v>
      </c>
      <c r="AT223" t="s">
        <v>11641</v>
      </c>
      <c r="AX223" t="s">
        <v>10838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</row>
    <row r="224" spans="1:59">
      <c r="A224" s="1">
        <f>HYPERLINK("https://lsnyc.legalserver.org/matter/dynamic-profile/view/1903887","19-1903887")</f>
        <v>0</v>
      </c>
      <c r="B224" t="s">
        <v>259</v>
      </c>
      <c r="C224" t="s">
        <v>5192</v>
      </c>
      <c r="D224" t="s">
        <v>9929</v>
      </c>
      <c r="E224" t="s">
        <v>10075</v>
      </c>
      <c r="F224">
        <v>10308</v>
      </c>
      <c r="G224" t="s">
        <v>10088</v>
      </c>
      <c r="H224" t="s">
        <v>10097</v>
      </c>
      <c r="I224" t="s">
        <v>10168</v>
      </c>
      <c r="J224" t="s">
        <v>10208</v>
      </c>
      <c r="K224" t="s">
        <v>10218</v>
      </c>
      <c r="L224" t="s">
        <v>10097</v>
      </c>
      <c r="M224" t="s">
        <v>10228</v>
      </c>
      <c r="N224" t="s">
        <v>10661</v>
      </c>
      <c r="P224" t="s">
        <v>10749</v>
      </c>
      <c r="Q224" t="s">
        <v>10759</v>
      </c>
      <c r="R224" t="s">
        <v>10820</v>
      </c>
      <c r="T224">
        <v>195000</v>
      </c>
      <c r="U224">
        <v>16250</v>
      </c>
      <c r="V224">
        <v>49</v>
      </c>
      <c r="W224">
        <v>2</v>
      </c>
      <c r="X224">
        <v>3</v>
      </c>
      <c r="Y224" t="s">
        <v>10829</v>
      </c>
      <c r="Z224">
        <v>646.34</v>
      </c>
      <c r="AA224">
        <v>40.551405</v>
      </c>
      <c r="AB224">
        <v>-74.144434</v>
      </c>
      <c r="AD224" t="s">
        <v>10840</v>
      </c>
      <c r="AG224" t="s">
        <v>10858</v>
      </c>
      <c r="AH224" t="s">
        <v>10860</v>
      </c>
      <c r="AI224">
        <v>285</v>
      </c>
      <c r="AJ224" t="s">
        <v>10208</v>
      </c>
      <c r="AK224" t="s">
        <v>10838</v>
      </c>
      <c r="AL224">
        <v>0.6</v>
      </c>
      <c r="AM224" t="s">
        <v>10883</v>
      </c>
      <c r="AN224" t="s">
        <v>10915</v>
      </c>
      <c r="AO224" t="s">
        <v>10999</v>
      </c>
      <c r="AP224" t="s">
        <v>11044</v>
      </c>
      <c r="AR224" t="s">
        <v>11257</v>
      </c>
      <c r="AS224" t="s">
        <v>11593</v>
      </c>
      <c r="AY224" t="s">
        <v>10829</v>
      </c>
      <c r="AZ224" t="s">
        <v>11681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</row>
    <row r="225" spans="1:59">
      <c r="A225" s="1">
        <f>HYPERLINK("https://lsnyc.legalserver.org/matter/dynamic-profile/view/1903888","19-1903888")</f>
        <v>0</v>
      </c>
      <c r="B225" t="s">
        <v>260</v>
      </c>
      <c r="C225" t="s">
        <v>5193</v>
      </c>
      <c r="D225" t="s">
        <v>9928</v>
      </c>
      <c r="E225" t="s">
        <v>10075</v>
      </c>
      <c r="F225">
        <v>11236</v>
      </c>
      <c r="G225" t="s">
        <v>10093</v>
      </c>
      <c r="H225" t="s">
        <v>10097</v>
      </c>
      <c r="I225" t="s">
        <v>10176</v>
      </c>
      <c r="J225" t="s">
        <v>10213</v>
      </c>
      <c r="K225" t="s">
        <v>10217</v>
      </c>
      <c r="M225" t="s">
        <v>10356</v>
      </c>
      <c r="N225" t="s">
        <v>10657</v>
      </c>
      <c r="P225" t="s">
        <v>10753</v>
      </c>
      <c r="Q225" t="s">
        <v>10763</v>
      </c>
      <c r="R225" t="s">
        <v>10825</v>
      </c>
      <c r="T225">
        <v>42952</v>
      </c>
      <c r="U225">
        <v>3579.33</v>
      </c>
      <c r="V225">
        <v>51</v>
      </c>
      <c r="W225">
        <v>4</v>
      </c>
      <c r="X225">
        <v>1</v>
      </c>
      <c r="Z225">
        <v>142.37</v>
      </c>
      <c r="AA225">
        <v>40.636367</v>
      </c>
      <c r="AB225">
        <v>-73.88697999999999</v>
      </c>
      <c r="AD225" t="s">
        <v>10839</v>
      </c>
      <c r="AG225" t="s">
        <v>10858</v>
      </c>
      <c r="AH225" t="s">
        <v>10861</v>
      </c>
      <c r="AI225">
        <v>239</v>
      </c>
      <c r="AJ225" t="s">
        <v>10213</v>
      </c>
      <c r="AL225">
        <v>1.8</v>
      </c>
      <c r="AM225" t="s">
        <v>10889</v>
      </c>
      <c r="AN225" t="s">
        <v>10959</v>
      </c>
      <c r="AO225" t="s">
        <v>11012</v>
      </c>
      <c r="AP225" t="s">
        <v>11072</v>
      </c>
      <c r="AR225" t="s">
        <v>11257</v>
      </c>
      <c r="AS225" t="s">
        <v>11595</v>
      </c>
      <c r="AW225" t="s">
        <v>11645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</row>
    <row r="226" spans="1:59">
      <c r="A226" s="1">
        <f>HYPERLINK("https://lsnyc.legalserver.org/matter/dynamic-profile/view/1903889","19-1903889")</f>
        <v>0</v>
      </c>
      <c r="B226" t="s">
        <v>261</v>
      </c>
      <c r="C226" t="s">
        <v>5143</v>
      </c>
      <c r="D226" t="s">
        <v>9925</v>
      </c>
      <c r="E226" t="s">
        <v>10075</v>
      </c>
      <c r="F226">
        <v>10027</v>
      </c>
      <c r="G226" t="s">
        <v>10089</v>
      </c>
      <c r="H226" t="s">
        <v>10097</v>
      </c>
      <c r="I226" t="s">
        <v>10169</v>
      </c>
      <c r="J226" t="s">
        <v>10209</v>
      </c>
      <c r="K226" t="s">
        <v>10217</v>
      </c>
      <c r="M226" t="s">
        <v>10324</v>
      </c>
      <c r="N226" t="s">
        <v>10649</v>
      </c>
      <c r="P226" t="s">
        <v>10753</v>
      </c>
      <c r="Q226" t="s">
        <v>10763</v>
      </c>
      <c r="R226" t="s">
        <v>10821</v>
      </c>
      <c r="T226">
        <v>0</v>
      </c>
      <c r="U226">
        <v>0</v>
      </c>
      <c r="V226">
        <v>11</v>
      </c>
      <c r="W226">
        <v>1</v>
      </c>
      <c r="X226">
        <v>1</v>
      </c>
      <c r="Z226">
        <v>0</v>
      </c>
      <c r="AA226">
        <v>40.81383</v>
      </c>
      <c r="AB226">
        <v>-73.945291</v>
      </c>
      <c r="AD226" t="s">
        <v>10839</v>
      </c>
      <c r="AF226" t="s">
        <v>10842</v>
      </c>
      <c r="AG226" t="s">
        <v>10859</v>
      </c>
      <c r="AH226" t="s">
        <v>10864</v>
      </c>
      <c r="AI226">
        <v>236</v>
      </c>
      <c r="AJ226" t="s">
        <v>10209</v>
      </c>
      <c r="AL226">
        <v>1.5</v>
      </c>
      <c r="AM226" t="s">
        <v>10887</v>
      </c>
      <c r="AN226" t="s">
        <v>10936</v>
      </c>
      <c r="AO226" t="s">
        <v>11016</v>
      </c>
      <c r="AP226" t="s">
        <v>11076</v>
      </c>
      <c r="AQ226" t="s">
        <v>11109</v>
      </c>
      <c r="AR226" t="s">
        <v>11267</v>
      </c>
      <c r="AS226" t="s">
        <v>9925</v>
      </c>
      <c r="BA226" t="s">
        <v>11739</v>
      </c>
      <c r="BB226">
        <v>0</v>
      </c>
      <c r="BC226">
        <v>0</v>
      </c>
      <c r="BD226">
        <v>0</v>
      </c>
      <c r="BE226">
        <v>0</v>
      </c>
      <c r="BF226">
        <v>4</v>
      </c>
      <c r="BG226">
        <v>0</v>
      </c>
    </row>
    <row r="227" spans="1:59">
      <c r="A227" s="1">
        <f>HYPERLINK("https://lsnyc.legalserver.org/matter/dynamic-profile/view/1903890","19-1903890")</f>
        <v>0</v>
      </c>
      <c r="B227" t="s">
        <v>262</v>
      </c>
      <c r="C227" t="s">
        <v>5190</v>
      </c>
      <c r="D227" t="s">
        <v>9948</v>
      </c>
      <c r="E227" t="s">
        <v>10075</v>
      </c>
      <c r="F227">
        <v>11691</v>
      </c>
      <c r="G227" t="s">
        <v>10092</v>
      </c>
      <c r="H227" t="s">
        <v>10097</v>
      </c>
      <c r="I227" t="s">
        <v>10169</v>
      </c>
      <c r="J227" t="s">
        <v>10212</v>
      </c>
      <c r="K227" t="s">
        <v>10217</v>
      </c>
      <c r="M227" t="s">
        <v>10355</v>
      </c>
      <c r="N227" t="s">
        <v>10671</v>
      </c>
      <c r="P227" t="s">
        <v>10753</v>
      </c>
      <c r="Q227" t="s">
        <v>10763</v>
      </c>
      <c r="R227" t="s">
        <v>10823</v>
      </c>
      <c r="T227">
        <v>8320</v>
      </c>
      <c r="U227">
        <v>693.33</v>
      </c>
      <c r="V227">
        <v>13</v>
      </c>
      <c r="W227">
        <v>1</v>
      </c>
      <c r="X227">
        <v>2</v>
      </c>
      <c r="Z227">
        <v>39.01</v>
      </c>
      <c r="AA227">
        <v>40.599664</v>
      </c>
      <c r="AB227">
        <v>-73.75049799999999</v>
      </c>
      <c r="AD227" t="s">
        <v>10840</v>
      </c>
      <c r="AF227" t="s">
        <v>10842</v>
      </c>
      <c r="AG227" t="s">
        <v>10859</v>
      </c>
      <c r="AH227" t="s">
        <v>10861</v>
      </c>
      <c r="AI227">
        <v>234</v>
      </c>
      <c r="AJ227" t="s">
        <v>10214</v>
      </c>
      <c r="AL227">
        <v>0.2</v>
      </c>
      <c r="AM227" t="s">
        <v>10892</v>
      </c>
      <c r="AN227" t="s">
        <v>10958</v>
      </c>
      <c r="AO227" t="s">
        <v>11017</v>
      </c>
      <c r="AP227" t="s">
        <v>11082</v>
      </c>
      <c r="AR227" t="s">
        <v>11257</v>
      </c>
      <c r="AS227" t="s">
        <v>11594</v>
      </c>
      <c r="AT227" t="s">
        <v>11642</v>
      </c>
      <c r="AX227" t="s">
        <v>10838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</row>
    <row r="228" spans="1:59">
      <c r="A228" s="1">
        <f>HYPERLINK("https://lsnyc.legalserver.org/matter/dynamic-profile/view/1903891","19-1903891")</f>
        <v>0</v>
      </c>
      <c r="B228" t="s">
        <v>263</v>
      </c>
      <c r="C228" t="s">
        <v>5194</v>
      </c>
      <c r="D228" t="s">
        <v>9926</v>
      </c>
      <c r="E228" t="s">
        <v>10075</v>
      </c>
      <c r="F228">
        <v>10474</v>
      </c>
      <c r="G228" t="s">
        <v>10090</v>
      </c>
      <c r="H228" t="s">
        <v>10124</v>
      </c>
      <c r="I228" t="s">
        <v>10169</v>
      </c>
      <c r="J228" t="s">
        <v>10210</v>
      </c>
      <c r="K228" t="s">
        <v>10218</v>
      </c>
      <c r="L228" t="s">
        <v>10124</v>
      </c>
      <c r="M228" t="s">
        <v>10336</v>
      </c>
      <c r="N228" t="s">
        <v>10697</v>
      </c>
      <c r="P228" t="s">
        <v>10754</v>
      </c>
      <c r="Q228" t="s">
        <v>10777</v>
      </c>
      <c r="R228" t="s">
        <v>10821</v>
      </c>
      <c r="T228">
        <v>53000</v>
      </c>
      <c r="U228">
        <v>4416.67</v>
      </c>
      <c r="V228">
        <v>33</v>
      </c>
      <c r="W228">
        <v>2</v>
      </c>
      <c r="X228">
        <v>3</v>
      </c>
      <c r="Y228" t="s">
        <v>10829</v>
      </c>
      <c r="Z228">
        <v>175.67</v>
      </c>
      <c r="AA228">
        <v>40.814754</v>
      </c>
      <c r="AB228">
        <v>-73.886425</v>
      </c>
      <c r="AD228" t="s">
        <v>10839</v>
      </c>
      <c r="AF228" t="s">
        <v>10842</v>
      </c>
      <c r="AG228" t="s">
        <v>10859</v>
      </c>
      <c r="AH228" t="s">
        <v>10875</v>
      </c>
      <c r="AI228">
        <v>234</v>
      </c>
      <c r="AJ228" t="s">
        <v>10214</v>
      </c>
      <c r="AK228" t="s">
        <v>10882</v>
      </c>
      <c r="AL228">
        <v>0.6</v>
      </c>
      <c r="AM228" t="s">
        <v>10884</v>
      </c>
      <c r="AN228" t="s">
        <v>10924</v>
      </c>
      <c r="AO228" t="s">
        <v>11002</v>
      </c>
      <c r="AP228" t="s">
        <v>11062</v>
      </c>
      <c r="AR228" t="s">
        <v>11257</v>
      </c>
      <c r="AS228" t="s">
        <v>9926</v>
      </c>
      <c r="AY228" t="s">
        <v>10829</v>
      </c>
      <c r="AZ228" t="s">
        <v>11683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</row>
    <row r="229" spans="1:59">
      <c r="A229" s="1">
        <f>HYPERLINK("https://lsnyc.legalserver.org/matter/dynamic-profile/view/1903892","19-1903892")</f>
        <v>0</v>
      </c>
      <c r="B229" t="s">
        <v>264</v>
      </c>
      <c r="C229" t="s">
        <v>5195</v>
      </c>
      <c r="D229" t="s">
        <v>9926</v>
      </c>
      <c r="E229" t="s">
        <v>10075</v>
      </c>
      <c r="F229">
        <v>10453</v>
      </c>
      <c r="G229" t="s">
        <v>10090</v>
      </c>
      <c r="H229" t="s">
        <v>10097</v>
      </c>
      <c r="I229" t="s">
        <v>10168</v>
      </c>
      <c r="J229" t="s">
        <v>10210</v>
      </c>
      <c r="K229" t="s">
        <v>10218</v>
      </c>
      <c r="L229" t="s">
        <v>10163</v>
      </c>
      <c r="M229" t="s">
        <v>10297</v>
      </c>
      <c r="N229" t="s">
        <v>10666</v>
      </c>
      <c r="P229" t="s">
        <v>10749</v>
      </c>
      <c r="Q229" t="s">
        <v>10765</v>
      </c>
      <c r="R229" t="s">
        <v>10820</v>
      </c>
      <c r="T229">
        <v>13524</v>
      </c>
      <c r="U229">
        <v>1127</v>
      </c>
      <c r="V229">
        <v>69</v>
      </c>
      <c r="W229">
        <v>1</v>
      </c>
      <c r="X229">
        <v>0</v>
      </c>
      <c r="Y229" t="s">
        <v>10831</v>
      </c>
      <c r="Z229">
        <v>108.28</v>
      </c>
      <c r="AA229">
        <v>40.847156</v>
      </c>
      <c r="AB229">
        <v>-73.916073</v>
      </c>
      <c r="AC229" t="s">
        <v>10837</v>
      </c>
      <c r="AD229" t="s">
        <v>10840</v>
      </c>
      <c r="AG229" t="s">
        <v>10858</v>
      </c>
      <c r="AH229" t="s">
        <v>10861</v>
      </c>
      <c r="AI229">
        <v>234</v>
      </c>
      <c r="AJ229" t="s">
        <v>10214</v>
      </c>
      <c r="AK229" t="s">
        <v>10882</v>
      </c>
      <c r="AL229">
        <v>12.65</v>
      </c>
      <c r="AM229" t="s">
        <v>10884</v>
      </c>
      <c r="AN229" t="s">
        <v>10929</v>
      </c>
      <c r="AO229" t="s">
        <v>11013</v>
      </c>
      <c r="AP229" t="s">
        <v>11045</v>
      </c>
      <c r="AR229" t="s">
        <v>11302</v>
      </c>
      <c r="AS229" t="s">
        <v>9926</v>
      </c>
      <c r="AT229" t="s">
        <v>11642</v>
      </c>
      <c r="AX229" t="s">
        <v>10838</v>
      </c>
      <c r="AY229" t="s">
        <v>10831</v>
      </c>
      <c r="AZ229" t="s">
        <v>11687</v>
      </c>
      <c r="BA229" t="s">
        <v>11738</v>
      </c>
      <c r="BB229">
        <v>0</v>
      </c>
      <c r="BC229">
        <v>0</v>
      </c>
      <c r="BD229">
        <v>0</v>
      </c>
      <c r="BE229">
        <v>0</v>
      </c>
      <c r="BF229">
        <v>5</v>
      </c>
      <c r="BG229">
        <v>0</v>
      </c>
    </row>
    <row r="230" spans="1:59">
      <c r="A230" s="1">
        <f>HYPERLINK("https://lsnyc.legalserver.org/matter/dynamic-profile/view/1903894","19-1903894")</f>
        <v>0</v>
      </c>
      <c r="B230" t="s">
        <v>265</v>
      </c>
      <c r="C230" t="s">
        <v>5196</v>
      </c>
      <c r="D230" t="s">
        <v>9926</v>
      </c>
      <c r="E230" t="s">
        <v>10075</v>
      </c>
      <c r="F230">
        <v>10451</v>
      </c>
      <c r="G230" t="s">
        <v>10090</v>
      </c>
      <c r="H230" t="s">
        <v>10097</v>
      </c>
      <c r="I230" t="s">
        <v>10168</v>
      </c>
      <c r="J230" t="s">
        <v>10210</v>
      </c>
      <c r="K230" t="s">
        <v>10217</v>
      </c>
      <c r="M230" t="s">
        <v>10357</v>
      </c>
      <c r="N230" t="s">
        <v>10666</v>
      </c>
      <c r="P230" t="s">
        <v>10749</v>
      </c>
      <c r="Q230" t="s">
        <v>10765</v>
      </c>
      <c r="R230" t="s">
        <v>10824</v>
      </c>
      <c r="T230">
        <v>9108</v>
      </c>
      <c r="U230">
        <v>759</v>
      </c>
      <c r="V230">
        <v>32</v>
      </c>
      <c r="W230">
        <v>1</v>
      </c>
      <c r="X230">
        <v>0</v>
      </c>
      <c r="Z230">
        <v>72.92</v>
      </c>
      <c r="AA230">
        <v>40.81749</v>
      </c>
      <c r="AB230">
        <v>-73.91879299999999</v>
      </c>
      <c r="AD230" t="s">
        <v>10839</v>
      </c>
      <c r="AG230" t="s">
        <v>10858</v>
      </c>
      <c r="AH230" t="s">
        <v>10861</v>
      </c>
      <c r="AI230">
        <v>230</v>
      </c>
      <c r="AJ230" t="s">
        <v>10210</v>
      </c>
      <c r="AL230">
        <v>6.3</v>
      </c>
      <c r="AM230" t="s">
        <v>10884</v>
      </c>
      <c r="AN230" t="s">
        <v>10924</v>
      </c>
      <c r="AO230" t="s">
        <v>11001</v>
      </c>
      <c r="AP230" t="s">
        <v>11062</v>
      </c>
      <c r="AR230" t="s">
        <v>11263</v>
      </c>
      <c r="AS230" t="s">
        <v>9926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</row>
    <row r="231" spans="1:59">
      <c r="A231" s="1">
        <f>HYPERLINK("https://lsnyc.legalserver.org/matter/dynamic-profile/view/1903896","19-1903896")</f>
        <v>0</v>
      </c>
      <c r="B231" t="s">
        <v>266</v>
      </c>
      <c r="C231" t="s">
        <v>5197</v>
      </c>
      <c r="D231" t="s">
        <v>9926</v>
      </c>
      <c r="E231" t="s">
        <v>10075</v>
      </c>
      <c r="F231">
        <v>10468</v>
      </c>
      <c r="G231" t="s">
        <v>10090</v>
      </c>
      <c r="H231" t="s">
        <v>10097</v>
      </c>
      <c r="I231" t="s">
        <v>10169</v>
      </c>
      <c r="J231" t="s">
        <v>10210</v>
      </c>
      <c r="K231" t="s">
        <v>10217</v>
      </c>
      <c r="M231" t="s">
        <v>10353</v>
      </c>
      <c r="N231" t="s">
        <v>10677</v>
      </c>
      <c r="P231" t="s">
        <v>10757</v>
      </c>
      <c r="Q231" t="s">
        <v>10789</v>
      </c>
      <c r="R231" t="s">
        <v>10823</v>
      </c>
      <c r="T231">
        <v>10296</v>
      </c>
      <c r="U231">
        <v>858</v>
      </c>
      <c r="V231">
        <v>63</v>
      </c>
      <c r="W231">
        <v>2</v>
      </c>
      <c r="X231">
        <v>0</v>
      </c>
      <c r="Z231">
        <v>60.89</v>
      </c>
      <c r="AA231">
        <v>40.874146</v>
      </c>
      <c r="AB231">
        <v>-73.90199</v>
      </c>
      <c r="AD231" t="s">
        <v>10839</v>
      </c>
      <c r="AG231" t="s">
        <v>10858</v>
      </c>
      <c r="AH231" t="s">
        <v>10862</v>
      </c>
      <c r="AI231">
        <v>230</v>
      </c>
      <c r="AJ231" t="s">
        <v>10210</v>
      </c>
      <c r="AL231">
        <v>4.6</v>
      </c>
      <c r="AM231" t="s">
        <v>10887</v>
      </c>
      <c r="AN231" t="s">
        <v>10919</v>
      </c>
      <c r="AO231" t="s">
        <v>11000</v>
      </c>
      <c r="AP231" t="s">
        <v>11045</v>
      </c>
      <c r="AR231" t="s">
        <v>11258</v>
      </c>
      <c r="AS231" t="s">
        <v>9926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</row>
    <row r="232" spans="1:59">
      <c r="A232" s="1">
        <f>HYPERLINK("https://lsnyc.legalserver.org/matter/dynamic-profile/view/1903897","19-1903897")</f>
        <v>0</v>
      </c>
      <c r="B232" t="s">
        <v>261</v>
      </c>
      <c r="C232" t="s">
        <v>5143</v>
      </c>
      <c r="D232" t="s">
        <v>9925</v>
      </c>
      <c r="E232" t="s">
        <v>10075</v>
      </c>
      <c r="F232">
        <v>10027</v>
      </c>
      <c r="G232" t="s">
        <v>10089</v>
      </c>
      <c r="H232" t="s">
        <v>10097</v>
      </c>
      <c r="I232" t="s">
        <v>10169</v>
      </c>
      <c r="J232" t="s">
        <v>10209</v>
      </c>
      <c r="K232" t="s">
        <v>10218</v>
      </c>
      <c r="L232" t="s">
        <v>10104</v>
      </c>
      <c r="M232" t="s">
        <v>10324</v>
      </c>
      <c r="N232" t="s">
        <v>10649</v>
      </c>
      <c r="P232" t="s">
        <v>10753</v>
      </c>
      <c r="Q232" t="s">
        <v>10763</v>
      </c>
      <c r="R232" t="s">
        <v>10821</v>
      </c>
      <c r="T232">
        <v>0</v>
      </c>
      <c r="U232">
        <v>0</v>
      </c>
      <c r="V232">
        <v>11</v>
      </c>
      <c r="W232">
        <v>1</v>
      </c>
      <c r="X232">
        <v>1</v>
      </c>
      <c r="Y232" t="s">
        <v>10833</v>
      </c>
      <c r="Z232">
        <v>0</v>
      </c>
      <c r="AA232">
        <v>40.81383</v>
      </c>
      <c r="AB232">
        <v>-73.945291</v>
      </c>
      <c r="AD232" t="s">
        <v>10839</v>
      </c>
      <c r="AF232" t="s">
        <v>10842</v>
      </c>
      <c r="AG232" t="s">
        <v>10859</v>
      </c>
      <c r="AH232" t="s">
        <v>10864</v>
      </c>
      <c r="AI232">
        <v>236</v>
      </c>
      <c r="AJ232" t="s">
        <v>10209</v>
      </c>
      <c r="AK232" t="s">
        <v>10838</v>
      </c>
      <c r="AL232">
        <v>0.35</v>
      </c>
      <c r="AM232" t="s">
        <v>10887</v>
      </c>
      <c r="AN232" t="s">
        <v>10936</v>
      </c>
      <c r="AO232" t="s">
        <v>11016</v>
      </c>
      <c r="AP232" t="s">
        <v>11076</v>
      </c>
      <c r="AQ232" t="s">
        <v>11104</v>
      </c>
      <c r="AR232" t="s">
        <v>11267</v>
      </c>
      <c r="AS232" t="s">
        <v>9925</v>
      </c>
      <c r="AY232" t="s">
        <v>10833</v>
      </c>
      <c r="AZ232" t="s">
        <v>11699</v>
      </c>
      <c r="BA232" t="s">
        <v>11739</v>
      </c>
      <c r="BB232">
        <v>0</v>
      </c>
      <c r="BC232">
        <v>0</v>
      </c>
      <c r="BD232">
        <v>0</v>
      </c>
      <c r="BE232">
        <v>0</v>
      </c>
      <c r="BF232">
        <v>4</v>
      </c>
      <c r="BG232">
        <v>0</v>
      </c>
    </row>
    <row r="233" spans="1:59">
      <c r="A233" s="1">
        <f>HYPERLINK("https://lsnyc.legalserver.org/matter/dynamic-profile/view/1903899","19-1903899")</f>
        <v>0</v>
      </c>
      <c r="B233" t="s">
        <v>267</v>
      </c>
      <c r="C233" t="s">
        <v>5190</v>
      </c>
      <c r="D233" t="s">
        <v>9948</v>
      </c>
      <c r="E233" t="s">
        <v>10075</v>
      </c>
      <c r="F233">
        <v>11691</v>
      </c>
      <c r="G233" t="s">
        <v>10092</v>
      </c>
      <c r="H233" t="s">
        <v>10097</v>
      </c>
      <c r="I233" t="s">
        <v>10169</v>
      </c>
      <c r="J233" t="s">
        <v>10212</v>
      </c>
      <c r="K233" t="s">
        <v>10217</v>
      </c>
      <c r="M233" t="s">
        <v>10355</v>
      </c>
      <c r="N233" t="s">
        <v>10671</v>
      </c>
      <c r="P233" t="s">
        <v>10753</v>
      </c>
      <c r="Q233" t="s">
        <v>10763</v>
      </c>
      <c r="R233" t="s">
        <v>10823</v>
      </c>
      <c r="T233">
        <v>8320</v>
      </c>
      <c r="U233">
        <v>693.33</v>
      </c>
      <c r="V233">
        <v>32</v>
      </c>
      <c r="W233">
        <v>1</v>
      </c>
      <c r="X233">
        <v>2</v>
      </c>
      <c r="Z233">
        <v>39.01</v>
      </c>
      <c r="AA233">
        <v>40.599664</v>
      </c>
      <c r="AB233">
        <v>-73.75049799999999</v>
      </c>
      <c r="AD233" t="s">
        <v>10839</v>
      </c>
      <c r="AF233" t="s">
        <v>10842</v>
      </c>
      <c r="AG233" t="s">
        <v>10859</v>
      </c>
      <c r="AH233" t="s">
        <v>10861</v>
      </c>
      <c r="AI233">
        <v>234</v>
      </c>
      <c r="AJ233" t="s">
        <v>10214</v>
      </c>
      <c r="AL233">
        <v>2.55</v>
      </c>
      <c r="AM233" t="s">
        <v>10892</v>
      </c>
      <c r="AN233" t="s">
        <v>10958</v>
      </c>
      <c r="AO233" t="s">
        <v>11017</v>
      </c>
      <c r="AP233" t="s">
        <v>11082</v>
      </c>
      <c r="AR233" t="s">
        <v>11257</v>
      </c>
      <c r="AS233" t="s">
        <v>11594</v>
      </c>
      <c r="AT233" t="s">
        <v>11641</v>
      </c>
      <c r="AX233" t="s">
        <v>11678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</row>
    <row r="234" spans="1:59">
      <c r="A234" s="1">
        <f>HYPERLINK("https://lsnyc.legalserver.org/matter/dynamic-profile/view/1903900","19-1903900")</f>
        <v>0</v>
      </c>
      <c r="B234" t="s">
        <v>265</v>
      </c>
      <c r="C234" t="s">
        <v>5196</v>
      </c>
      <c r="D234" t="s">
        <v>9926</v>
      </c>
      <c r="E234" t="s">
        <v>10075</v>
      </c>
      <c r="F234">
        <v>10451</v>
      </c>
      <c r="G234" t="s">
        <v>10090</v>
      </c>
      <c r="H234" t="s">
        <v>10097</v>
      </c>
      <c r="I234" t="s">
        <v>10168</v>
      </c>
      <c r="J234" t="s">
        <v>10210</v>
      </c>
      <c r="K234" t="s">
        <v>10217</v>
      </c>
      <c r="M234" t="s">
        <v>10303</v>
      </c>
      <c r="N234" t="s">
        <v>10671</v>
      </c>
      <c r="P234" t="s">
        <v>10751</v>
      </c>
      <c r="Q234" t="s">
        <v>10761</v>
      </c>
      <c r="R234" t="s">
        <v>10824</v>
      </c>
      <c r="T234">
        <v>9108</v>
      </c>
      <c r="U234">
        <v>759</v>
      </c>
      <c r="V234">
        <v>32</v>
      </c>
      <c r="W234">
        <v>1</v>
      </c>
      <c r="X234">
        <v>0</v>
      </c>
      <c r="Z234">
        <v>72.92</v>
      </c>
      <c r="AA234">
        <v>40.81749</v>
      </c>
      <c r="AB234">
        <v>-73.91879299999999</v>
      </c>
      <c r="AD234" t="s">
        <v>10839</v>
      </c>
      <c r="AG234" t="s">
        <v>10858</v>
      </c>
      <c r="AH234" t="s">
        <v>10861</v>
      </c>
      <c r="AI234">
        <v>230</v>
      </c>
      <c r="AJ234" t="s">
        <v>10210</v>
      </c>
      <c r="AL234">
        <v>0</v>
      </c>
      <c r="AM234" t="s">
        <v>10884</v>
      </c>
      <c r="AN234" t="s">
        <v>10924</v>
      </c>
      <c r="AO234" t="s">
        <v>11001</v>
      </c>
      <c r="AP234" t="s">
        <v>11062</v>
      </c>
      <c r="AR234" t="s">
        <v>11263</v>
      </c>
      <c r="AS234" t="s">
        <v>9926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</row>
    <row r="235" spans="1:59">
      <c r="A235" s="1">
        <f>HYPERLINK("https://lsnyc.legalserver.org/matter/dynamic-profile/view/1903901","19-1903901")</f>
        <v>0</v>
      </c>
      <c r="B235" t="s">
        <v>209</v>
      </c>
      <c r="C235" t="s">
        <v>5143</v>
      </c>
      <c r="D235" t="s">
        <v>9925</v>
      </c>
      <c r="E235" t="s">
        <v>10075</v>
      </c>
      <c r="F235">
        <v>10027</v>
      </c>
      <c r="G235" t="s">
        <v>10089</v>
      </c>
      <c r="H235" t="s">
        <v>10097</v>
      </c>
      <c r="I235" t="s">
        <v>10169</v>
      </c>
      <c r="J235" t="s">
        <v>10209</v>
      </c>
      <c r="K235" t="s">
        <v>10218</v>
      </c>
      <c r="L235" t="s">
        <v>10104</v>
      </c>
      <c r="M235" t="s">
        <v>10324</v>
      </c>
      <c r="N235" t="s">
        <v>10649</v>
      </c>
      <c r="P235" t="s">
        <v>10753</v>
      </c>
      <c r="Q235" t="s">
        <v>10763</v>
      </c>
      <c r="R235" t="s">
        <v>10821</v>
      </c>
      <c r="T235">
        <v>0</v>
      </c>
      <c r="U235">
        <v>0</v>
      </c>
      <c r="V235">
        <v>52</v>
      </c>
      <c r="W235">
        <v>1</v>
      </c>
      <c r="X235">
        <v>1</v>
      </c>
      <c r="Y235" t="s">
        <v>10833</v>
      </c>
      <c r="Z235">
        <v>0</v>
      </c>
      <c r="AA235">
        <v>40.81383</v>
      </c>
      <c r="AB235">
        <v>-73.945291</v>
      </c>
      <c r="AD235" t="s">
        <v>10840</v>
      </c>
      <c r="AF235" t="s">
        <v>10844</v>
      </c>
      <c r="AG235" t="s">
        <v>10859</v>
      </c>
      <c r="AH235" t="s">
        <v>10864</v>
      </c>
      <c r="AI235">
        <v>236</v>
      </c>
      <c r="AJ235" t="s">
        <v>10209</v>
      </c>
      <c r="AK235" t="s">
        <v>10838</v>
      </c>
      <c r="AL235">
        <v>0.25</v>
      </c>
      <c r="AM235" t="s">
        <v>10887</v>
      </c>
      <c r="AN235" t="s">
        <v>10936</v>
      </c>
      <c r="AO235" t="s">
        <v>11016</v>
      </c>
      <c r="AP235" t="s">
        <v>11076</v>
      </c>
      <c r="AQ235" t="s">
        <v>11104</v>
      </c>
      <c r="AR235" t="s">
        <v>11267</v>
      </c>
      <c r="AS235" t="s">
        <v>9925</v>
      </c>
      <c r="AY235" t="s">
        <v>10833</v>
      </c>
      <c r="AZ235" t="s">
        <v>11699</v>
      </c>
      <c r="BA235" t="s">
        <v>11739</v>
      </c>
      <c r="BB235">
        <v>0</v>
      </c>
      <c r="BC235">
        <v>0</v>
      </c>
      <c r="BD235">
        <v>0</v>
      </c>
      <c r="BE235">
        <v>0</v>
      </c>
      <c r="BF235">
        <v>4</v>
      </c>
      <c r="BG235">
        <v>0</v>
      </c>
    </row>
    <row r="236" spans="1:59">
      <c r="A236" s="1">
        <f>HYPERLINK("https://lsnyc.legalserver.org/matter/dynamic-profile/view/1903903","19-1903903")</f>
        <v>0</v>
      </c>
      <c r="B236" t="s">
        <v>268</v>
      </c>
      <c r="C236" t="s">
        <v>5198</v>
      </c>
      <c r="D236" t="s">
        <v>9926</v>
      </c>
      <c r="E236" t="s">
        <v>10075</v>
      </c>
      <c r="F236">
        <v>10458</v>
      </c>
      <c r="G236" t="s">
        <v>10091</v>
      </c>
      <c r="H236" t="s">
        <v>10097</v>
      </c>
      <c r="I236" t="s">
        <v>10169</v>
      </c>
      <c r="J236" t="s">
        <v>10214</v>
      </c>
      <c r="K236" t="s">
        <v>10217</v>
      </c>
      <c r="M236" t="s">
        <v>10286</v>
      </c>
      <c r="N236" t="s">
        <v>10671</v>
      </c>
      <c r="P236" t="s">
        <v>10749</v>
      </c>
      <c r="Q236" t="s">
        <v>10765</v>
      </c>
      <c r="R236" t="s">
        <v>10821</v>
      </c>
      <c r="T236">
        <v>3640</v>
      </c>
      <c r="U236">
        <v>303.33</v>
      </c>
      <c r="V236">
        <v>47</v>
      </c>
      <c r="W236">
        <v>1</v>
      </c>
      <c r="X236">
        <v>0</v>
      </c>
      <c r="Z236">
        <v>29.14</v>
      </c>
      <c r="AA236">
        <v>40.868222</v>
      </c>
      <c r="AB236">
        <v>-73.88912000000001</v>
      </c>
      <c r="AD236" t="s">
        <v>10839</v>
      </c>
      <c r="AG236" t="s">
        <v>10858</v>
      </c>
      <c r="AH236" t="s">
        <v>10871</v>
      </c>
      <c r="AI236">
        <v>234</v>
      </c>
      <c r="AJ236" t="s">
        <v>10214</v>
      </c>
      <c r="AL236">
        <v>1</v>
      </c>
      <c r="AM236" t="s">
        <v>10887</v>
      </c>
      <c r="AN236" t="s">
        <v>10907</v>
      </c>
      <c r="AO236" t="s">
        <v>11000</v>
      </c>
      <c r="AP236" t="s">
        <v>11056</v>
      </c>
      <c r="AR236" t="s">
        <v>11311</v>
      </c>
      <c r="AS236" t="s">
        <v>9926</v>
      </c>
      <c r="AT236" t="s">
        <v>11641</v>
      </c>
      <c r="AX236" t="s">
        <v>10838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</row>
    <row r="237" spans="1:59">
      <c r="A237" s="1">
        <f>HYPERLINK("https://lsnyc.legalserver.org/matter/dynamic-profile/view/1903905","19-1903905")</f>
        <v>0</v>
      </c>
      <c r="B237" t="s">
        <v>269</v>
      </c>
      <c r="C237" t="s">
        <v>5199</v>
      </c>
      <c r="D237" t="s">
        <v>9928</v>
      </c>
      <c r="E237" t="s">
        <v>10075</v>
      </c>
      <c r="F237">
        <v>11206</v>
      </c>
      <c r="G237" t="s">
        <v>10093</v>
      </c>
      <c r="H237" t="s">
        <v>10097</v>
      </c>
      <c r="I237" t="s">
        <v>10168</v>
      </c>
      <c r="J237" t="s">
        <v>10213</v>
      </c>
      <c r="K237" t="s">
        <v>10217</v>
      </c>
      <c r="M237" t="s">
        <v>10290</v>
      </c>
      <c r="N237" t="s">
        <v>10665</v>
      </c>
      <c r="P237" t="s">
        <v>10751</v>
      </c>
      <c r="Q237" t="s">
        <v>10773</v>
      </c>
      <c r="R237" t="s">
        <v>10824</v>
      </c>
      <c r="T237">
        <v>0</v>
      </c>
      <c r="U237">
        <v>0</v>
      </c>
      <c r="V237">
        <v>36</v>
      </c>
      <c r="W237">
        <v>1</v>
      </c>
      <c r="X237">
        <v>0</v>
      </c>
      <c r="Z237">
        <v>0</v>
      </c>
      <c r="AA237">
        <v>40.692802</v>
      </c>
      <c r="AB237">
        <v>-73.943406</v>
      </c>
      <c r="AD237" t="s">
        <v>10840</v>
      </c>
      <c r="AG237" t="s">
        <v>10858</v>
      </c>
      <c r="AH237" t="s">
        <v>10861</v>
      </c>
      <c r="AI237">
        <v>234</v>
      </c>
      <c r="AJ237" t="s">
        <v>10214</v>
      </c>
      <c r="AL237">
        <v>2.15</v>
      </c>
      <c r="AM237" t="s">
        <v>10889</v>
      </c>
      <c r="AN237" t="s">
        <v>10914</v>
      </c>
      <c r="AO237" t="s">
        <v>11007</v>
      </c>
      <c r="AP237" t="s">
        <v>11052</v>
      </c>
      <c r="AR237" t="s">
        <v>11279</v>
      </c>
      <c r="AS237" t="s">
        <v>11595</v>
      </c>
      <c r="AT237" t="s">
        <v>11642</v>
      </c>
      <c r="AX237" t="s">
        <v>10838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</row>
    <row r="238" spans="1:59">
      <c r="A238" s="1">
        <f>HYPERLINK("https://lsnyc.legalserver.org/matter/dynamic-profile/view/1903906","19-1903906")</f>
        <v>0</v>
      </c>
      <c r="B238" t="s">
        <v>270</v>
      </c>
      <c r="C238" t="s">
        <v>5200</v>
      </c>
      <c r="D238" t="s">
        <v>9928</v>
      </c>
      <c r="E238" t="s">
        <v>10075</v>
      </c>
      <c r="F238">
        <v>11226</v>
      </c>
      <c r="G238" t="s">
        <v>10093</v>
      </c>
      <c r="H238" t="s">
        <v>10097</v>
      </c>
      <c r="I238" t="s">
        <v>10168</v>
      </c>
      <c r="J238" t="s">
        <v>10213</v>
      </c>
      <c r="K238" t="s">
        <v>10217</v>
      </c>
      <c r="M238" t="s">
        <v>10344</v>
      </c>
      <c r="N238" t="s">
        <v>10667</v>
      </c>
      <c r="P238" t="s">
        <v>10749</v>
      </c>
      <c r="Q238" t="s">
        <v>10765</v>
      </c>
      <c r="R238" t="s">
        <v>10824</v>
      </c>
      <c r="T238">
        <v>24672</v>
      </c>
      <c r="U238">
        <v>2056</v>
      </c>
      <c r="V238">
        <v>54</v>
      </c>
      <c r="W238">
        <v>1</v>
      </c>
      <c r="X238">
        <v>3</v>
      </c>
      <c r="Z238">
        <v>95.81</v>
      </c>
      <c r="AA238">
        <v>40.64936</v>
      </c>
      <c r="AB238">
        <v>-73.96032200000001</v>
      </c>
      <c r="AD238" t="s">
        <v>10839</v>
      </c>
      <c r="AG238" t="s">
        <v>10858</v>
      </c>
      <c r="AH238" t="s">
        <v>10862</v>
      </c>
      <c r="AI238">
        <v>239</v>
      </c>
      <c r="AJ238" t="s">
        <v>10213</v>
      </c>
      <c r="AL238">
        <v>11.7</v>
      </c>
      <c r="AM238" t="s">
        <v>10888</v>
      </c>
      <c r="AN238" t="s">
        <v>10932</v>
      </c>
      <c r="AO238" t="s">
        <v>11008</v>
      </c>
      <c r="AP238" t="s">
        <v>11050</v>
      </c>
      <c r="AR238" t="s">
        <v>11312</v>
      </c>
      <c r="AS238" t="s">
        <v>11595</v>
      </c>
      <c r="AX238" t="s">
        <v>10838</v>
      </c>
      <c r="BA238" t="s">
        <v>11742</v>
      </c>
      <c r="BB238">
        <v>0</v>
      </c>
      <c r="BC238">
        <v>0</v>
      </c>
      <c r="BD238">
        <v>0</v>
      </c>
      <c r="BE238">
        <v>0</v>
      </c>
      <c r="BF238">
        <v>7</v>
      </c>
      <c r="BG238">
        <v>0</v>
      </c>
    </row>
    <row r="239" spans="1:59">
      <c r="A239" s="1">
        <f>HYPERLINK("https://lsnyc.legalserver.org/matter/dynamic-profile/view/1903908","19-1903908")</f>
        <v>0</v>
      </c>
      <c r="B239" t="s">
        <v>135</v>
      </c>
      <c r="C239" t="s">
        <v>5201</v>
      </c>
      <c r="D239" t="s">
        <v>9926</v>
      </c>
      <c r="E239" t="s">
        <v>10075</v>
      </c>
      <c r="F239">
        <v>10456</v>
      </c>
      <c r="G239" t="s">
        <v>10090</v>
      </c>
      <c r="H239" t="s">
        <v>10097</v>
      </c>
      <c r="I239" t="s">
        <v>10168</v>
      </c>
      <c r="J239" t="s">
        <v>10210</v>
      </c>
      <c r="K239" t="s">
        <v>10218</v>
      </c>
      <c r="L239" t="s">
        <v>10109</v>
      </c>
      <c r="M239" t="s">
        <v>10262</v>
      </c>
      <c r="N239" t="s">
        <v>10666</v>
      </c>
      <c r="P239" t="s">
        <v>10749</v>
      </c>
      <c r="Q239" t="s">
        <v>10765</v>
      </c>
      <c r="R239" t="s">
        <v>10824</v>
      </c>
      <c r="T239">
        <v>23400</v>
      </c>
      <c r="U239">
        <v>1950</v>
      </c>
      <c r="V239">
        <v>36</v>
      </c>
      <c r="W239">
        <v>1</v>
      </c>
      <c r="X239">
        <v>0</v>
      </c>
      <c r="Y239" t="s">
        <v>10829</v>
      </c>
      <c r="Z239">
        <v>187.35</v>
      </c>
      <c r="AA239">
        <v>40.830624</v>
      </c>
      <c r="AB239">
        <v>-73.915277</v>
      </c>
      <c r="AD239" t="s">
        <v>10840</v>
      </c>
      <c r="AG239" t="s">
        <v>10858</v>
      </c>
      <c r="AH239" t="s">
        <v>10862</v>
      </c>
      <c r="AI239">
        <v>230</v>
      </c>
      <c r="AJ239" t="s">
        <v>10210</v>
      </c>
      <c r="AK239" t="s">
        <v>10838</v>
      </c>
      <c r="AL239">
        <v>1.45</v>
      </c>
      <c r="AM239" t="s">
        <v>10884</v>
      </c>
      <c r="AN239" t="s">
        <v>10929</v>
      </c>
      <c r="AO239" t="s">
        <v>11001</v>
      </c>
      <c r="AP239" t="s">
        <v>11055</v>
      </c>
      <c r="AR239" t="s">
        <v>11257</v>
      </c>
      <c r="AS239" t="s">
        <v>9926</v>
      </c>
      <c r="AY239" t="s">
        <v>10829</v>
      </c>
      <c r="AZ239" t="s">
        <v>11681</v>
      </c>
      <c r="BA239" t="s">
        <v>11741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0</v>
      </c>
    </row>
    <row r="240" spans="1:59">
      <c r="A240" s="1">
        <f>HYPERLINK("https://lsnyc.legalserver.org/matter/dynamic-profile/view/1903909","19-1903909")</f>
        <v>0</v>
      </c>
      <c r="B240" t="s">
        <v>271</v>
      </c>
      <c r="C240" t="s">
        <v>5202</v>
      </c>
      <c r="D240" t="s">
        <v>9925</v>
      </c>
      <c r="E240" t="s">
        <v>10075</v>
      </c>
      <c r="F240">
        <v>10026</v>
      </c>
      <c r="G240" t="s">
        <v>10093</v>
      </c>
      <c r="H240" t="s">
        <v>10097</v>
      </c>
      <c r="I240" t="s">
        <v>10168</v>
      </c>
      <c r="J240" t="s">
        <v>10213</v>
      </c>
      <c r="K240" t="s">
        <v>10218</v>
      </c>
      <c r="L240" t="s">
        <v>10110</v>
      </c>
      <c r="M240" t="s">
        <v>10358</v>
      </c>
      <c r="N240" t="s">
        <v>10671</v>
      </c>
      <c r="P240" t="s">
        <v>10752</v>
      </c>
      <c r="Q240" t="s">
        <v>10783</v>
      </c>
      <c r="R240" t="s">
        <v>10822</v>
      </c>
      <c r="T240">
        <v>7800</v>
      </c>
      <c r="U240">
        <v>650</v>
      </c>
      <c r="V240">
        <v>38</v>
      </c>
      <c r="W240">
        <v>1</v>
      </c>
      <c r="X240">
        <v>0</v>
      </c>
      <c r="Y240" t="s">
        <v>10829</v>
      </c>
      <c r="Z240">
        <v>62.45</v>
      </c>
      <c r="AA240">
        <v>40.803528</v>
      </c>
      <c r="AB240">
        <v>-73.957611</v>
      </c>
      <c r="AC240" t="s">
        <v>10837</v>
      </c>
      <c r="AD240" t="s">
        <v>10840</v>
      </c>
      <c r="AG240" t="s">
        <v>10858</v>
      </c>
      <c r="AH240" t="s">
        <v>10861</v>
      </c>
      <c r="AI240">
        <v>234</v>
      </c>
      <c r="AJ240" t="s">
        <v>10214</v>
      </c>
      <c r="AK240" t="s">
        <v>10838</v>
      </c>
      <c r="AL240">
        <v>2.3</v>
      </c>
      <c r="AM240" t="s">
        <v>10887</v>
      </c>
      <c r="AN240" t="s">
        <v>10936</v>
      </c>
      <c r="AO240" t="s">
        <v>11016</v>
      </c>
      <c r="AP240" t="s">
        <v>11076</v>
      </c>
      <c r="AR240" t="s">
        <v>11313</v>
      </c>
      <c r="AS240" t="s">
        <v>9925</v>
      </c>
      <c r="AT240" t="s">
        <v>11642</v>
      </c>
      <c r="AX240" t="s">
        <v>10838</v>
      </c>
      <c r="AY240" t="s">
        <v>10829</v>
      </c>
      <c r="AZ240" t="s">
        <v>11680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</row>
    <row r="241" spans="1:59">
      <c r="A241" s="1">
        <f>HYPERLINK("https://lsnyc.legalserver.org/matter/dynamic-profile/view/1903910","19-1903910")</f>
        <v>0</v>
      </c>
      <c r="B241" t="s">
        <v>272</v>
      </c>
      <c r="C241" t="s">
        <v>5203</v>
      </c>
      <c r="D241" t="s">
        <v>9928</v>
      </c>
      <c r="E241" t="s">
        <v>10075</v>
      </c>
      <c r="F241">
        <v>11218</v>
      </c>
      <c r="G241" t="s">
        <v>10093</v>
      </c>
      <c r="H241" t="s">
        <v>10097</v>
      </c>
      <c r="I241" t="s">
        <v>10168</v>
      </c>
      <c r="J241" t="s">
        <v>10213</v>
      </c>
      <c r="K241" t="s">
        <v>10217</v>
      </c>
      <c r="M241" t="s">
        <v>10359</v>
      </c>
      <c r="N241" t="s">
        <v>10664</v>
      </c>
      <c r="P241" t="s">
        <v>10749</v>
      </c>
      <c r="Q241" t="s">
        <v>10765</v>
      </c>
      <c r="R241" t="s">
        <v>10828</v>
      </c>
      <c r="T241">
        <v>7800</v>
      </c>
      <c r="U241">
        <v>650</v>
      </c>
      <c r="V241">
        <v>52</v>
      </c>
      <c r="W241">
        <v>1</v>
      </c>
      <c r="X241">
        <v>0</v>
      </c>
      <c r="Z241">
        <v>62.45</v>
      </c>
      <c r="AA241">
        <v>40.646172</v>
      </c>
      <c r="AB241">
        <v>-73.97975700000001</v>
      </c>
      <c r="AD241" t="s">
        <v>10839</v>
      </c>
      <c r="AG241" t="s">
        <v>10858</v>
      </c>
      <c r="AH241" t="s">
        <v>10862</v>
      </c>
      <c r="AI241">
        <v>239</v>
      </c>
      <c r="AJ241" t="s">
        <v>10213</v>
      </c>
      <c r="AL241">
        <v>0.7</v>
      </c>
      <c r="AM241" t="s">
        <v>10894</v>
      </c>
      <c r="AN241" t="s">
        <v>10941</v>
      </c>
      <c r="AO241" t="s">
        <v>11008</v>
      </c>
      <c r="AP241" t="s">
        <v>11059</v>
      </c>
      <c r="AR241" t="s">
        <v>11262</v>
      </c>
      <c r="AS241" t="s">
        <v>11595</v>
      </c>
      <c r="AT241" t="s">
        <v>11641</v>
      </c>
      <c r="BA241" t="s">
        <v>11741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0</v>
      </c>
    </row>
    <row r="242" spans="1:59">
      <c r="A242" s="1">
        <f>HYPERLINK("https://lsnyc.legalserver.org/matter/dynamic-profile/view/1903911","19-1903911")</f>
        <v>0</v>
      </c>
      <c r="B242" t="s">
        <v>273</v>
      </c>
      <c r="C242" t="s">
        <v>5204</v>
      </c>
      <c r="D242" t="s">
        <v>9930</v>
      </c>
      <c r="E242" t="s">
        <v>10075</v>
      </c>
      <c r="F242">
        <v>11373</v>
      </c>
      <c r="G242" t="s">
        <v>10092</v>
      </c>
      <c r="H242" t="s">
        <v>10097</v>
      </c>
      <c r="I242" t="s">
        <v>10168</v>
      </c>
      <c r="J242" t="s">
        <v>10212</v>
      </c>
      <c r="K242" t="s">
        <v>10218</v>
      </c>
      <c r="L242" t="s">
        <v>10108</v>
      </c>
      <c r="M242" t="s">
        <v>10360</v>
      </c>
      <c r="N242" t="s">
        <v>10671</v>
      </c>
      <c r="P242" t="s">
        <v>10749</v>
      </c>
      <c r="Q242" t="s">
        <v>10765</v>
      </c>
      <c r="R242" t="s">
        <v>10827</v>
      </c>
      <c r="T242">
        <v>8000</v>
      </c>
      <c r="U242">
        <v>666.67</v>
      </c>
      <c r="V242">
        <v>55</v>
      </c>
      <c r="W242">
        <v>2</v>
      </c>
      <c r="X242">
        <v>0</v>
      </c>
      <c r="Y242" t="s">
        <v>10829</v>
      </c>
      <c r="Z242">
        <v>47.31</v>
      </c>
      <c r="AA242">
        <v>40.730615</v>
      </c>
      <c r="AB242">
        <v>-73.873193</v>
      </c>
      <c r="AD242" t="s">
        <v>10840</v>
      </c>
      <c r="AG242" t="s">
        <v>10858</v>
      </c>
      <c r="AH242" t="s">
        <v>10862</v>
      </c>
      <c r="AI242">
        <v>237</v>
      </c>
      <c r="AJ242" t="s">
        <v>10212</v>
      </c>
      <c r="AK242" t="s">
        <v>10838</v>
      </c>
      <c r="AL242">
        <v>3.43</v>
      </c>
      <c r="AM242" t="s">
        <v>10890</v>
      </c>
      <c r="AN242" t="s">
        <v>10935</v>
      </c>
      <c r="AO242" t="s">
        <v>11009</v>
      </c>
      <c r="AP242" t="s">
        <v>11083</v>
      </c>
      <c r="AR242" t="s">
        <v>11314</v>
      </c>
      <c r="AS242" t="s">
        <v>11594</v>
      </c>
      <c r="AY242" t="s">
        <v>10829</v>
      </c>
      <c r="AZ242" t="s">
        <v>11681</v>
      </c>
      <c r="BA242" t="s">
        <v>11741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0</v>
      </c>
    </row>
    <row r="243" spans="1:59">
      <c r="A243" s="1">
        <f>HYPERLINK("https://lsnyc.legalserver.org/matter/dynamic-profile/view/1903912","19-1903912")</f>
        <v>0</v>
      </c>
      <c r="B243" t="s">
        <v>274</v>
      </c>
      <c r="C243" t="s">
        <v>5205</v>
      </c>
      <c r="D243" t="s">
        <v>9928</v>
      </c>
      <c r="E243" t="s">
        <v>10075</v>
      </c>
      <c r="F243">
        <v>11216</v>
      </c>
      <c r="G243" t="s">
        <v>10093</v>
      </c>
      <c r="H243" t="s">
        <v>10097</v>
      </c>
      <c r="I243" t="s">
        <v>10168</v>
      </c>
      <c r="J243" t="s">
        <v>10213</v>
      </c>
      <c r="K243" t="s">
        <v>10218</v>
      </c>
      <c r="L243" t="s">
        <v>10119</v>
      </c>
      <c r="M243" t="s">
        <v>10361</v>
      </c>
      <c r="N243" t="s">
        <v>10657</v>
      </c>
      <c r="P243" t="s">
        <v>10749</v>
      </c>
      <c r="Q243" t="s">
        <v>10791</v>
      </c>
      <c r="R243" t="s">
        <v>10824</v>
      </c>
      <c r="T243">
        <v>28600</v>
      </c>
      <c r="U243">
        <v>2383.33</v>
      </c>
      <c r="V243">
        <v>65</v>
      </c>
      <c r="W243">
        <v>2</v>
      </c>
      <c r="X243">
        <v>0</v>
      </c>
      <c r="Y243" t="s">
        <v>10829</v>
      </c>
      <c r="Z243">
        <v>169.13</v>
      </c>
      <c r="AA243">
        <v>40.681049</v>
      </c>
      <c r="AB243">
        <v>-73.94541700000001</v>
      </c>
      <c r="AD243" t="s">
        <v>10839</v>
      </c>
      <c r="AG243" t="s">
        <v>10858</v>
      </c>
      <c r="AH243" t="s">
        <v>10862</v>
      </c>
      <c r="AI243">
        <v>239</v>
      </c>
      <c r="AJ243" t="s">
        <v>10213</v>
      </c>
      <c r="AK243" t="s">
        <v>10838</v>
      </c>
      <c r="AL243">
        <v>1.5</v>
      </c>
      <c r="AM243" t="s">
        <v>10889</v>
      </c>
      <c r="AN243" t="s">
        <v>10914</v>
      </c>
      <c r="AO243" t="s">
        <v>11007</v>
      </c>
      <c r="AP243" t="s">
        <v>11052</v>
      </c>
      <c r="AQ243" t="s">
        <v>11120</v>
      </c>
      <c r="AR243" t="s">
        <v>11262</v>
      </c>
      <c r="AS243" t="s">
        <v>11595</v>
      </c>
      <c r="AT243" t="s">
        <v>11641</v>
      </c>
      <c r="AY243" t="s">
        <v>10829</v>
      </c>
      <c r="AZ243" t="s">
        <v>11681</v>
      </c>
      <c r="BA243" t="s">
        <v>11741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0</v>
      </c>
    </row>
    <row r="244" spans="1:59">
      <c r="A244" s="1">
        <f>HYPERLINK("https://lsnyc.legalserver.org/matter/dynamic-profile/view/1903913","19-1903913")</f>
        <v>0</v>
      </c>
      <c r="B244" t="s">
        <v>275</v>
      </c>
      <c r="C244" t="s">
        <v>5206</v>
      </c>
      <c r="D244" t="s">
        <v>9928</v>
      </c>
      <c r="E244" t="s">
        <v>10075</v>
      </c>
      <c r="F244">
        <v>11225</v>
      </c>
      <c r="G244" t="s">
        <v>10093</v>
      </c>
      <c r="H244" t="s">
        <v>10097</v>
      </c>
      <c r="I244" t="s">
        <v>10168</v>
      </c>
      <c r="J244" t="s">
        <v>10213</v>
      </c>
      <c r="K244" t="s">
        <v>10218</v>
      </c>
      <c r="L244" t="s">
        <v>10097</v>
      </c>
      <c r="M244" t="s">
        <v>10354</v>
      </c>
      <c r="N244" t="s">
        <v>10671</v>
      </c>
      <c r="P244" t="s">
        <v>10756</v>
      </c>
      <c r="Q244" t="s">
        <v>10794</v>
      </c>
      <c r="R244" t="s">
        <v>10824</v>
      </c>
      <c r="T244">
        <v>19200</v>
      </c>
      <c r="U244">
        <v>1600</v>
      </c>
      <c r="V244">
        <v>57</v>
      </c>
      <c r="W244">
        <v>3</v>
      </c>
      <c r="X244">
        <v>0</v>
      </c>
      <c r="Y244" t="s">
        <v>10835</v>
      </c>
      <c r="Z244">
        <v>90.01000000000001</v>
      </c>
      <c r="AA244">
        <v>40.67049</v>
      </c>
      <c r="AB244">
        <v>-73.959953</v>
      </c>
      <c r="AD244" t="s">
        <v>10839</v>
      </c>
      <c r="AG244" t="s">
        <v>10858</v>
      </c>
      <c r="AH244" t="s">
        <v>10862</v>
      </c>
      <c r="AI244">
        <v>239</v>
      </c>
      <c r="AJ244" t="s">
        <v>10213</v>
      </c>
      <c r="AK244" t="s">
        <v>10837</v>
      </c>
      <c r="AL244">
        <v>9</v>
      </c>
      <c r="AM244" t="s">
        <v>10888</v>
      </c>
      <c r="AN244" t="s">
        <v>10923</v>
      </c>
      <c r="AO244" t="s">
        <v>11008</v>
      </c>
      <c r="AP244" t="s">
        <v>11061</v>
      </c>
      <c r="AQ244" t="s">
        <v>11127</v>
      </c>
      <c r="AR244" t="s">
        <v>10180</v>
      </c>
      <c r="AS244" t="s">
        <v>11595</v>
      </c>
      <c r="AY244" t="s">
        <v>10835</v>
      </c>
      <c r="AZ244" t="s">
        <v>11700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</row>
    <row r="245" spans="1:59">
      <c r="A245" s="1">
        <f>HYPERLINK("https://lsnyc.legalserver.org/matter/dynamic-profile/view/1903914","19-1903914")</f>
        <v>0</v>
      </c>
      <c r="B245" t="s">
        <v>276</v>
      </c>
      <c r="C245" t="s">
        <v>5207</v>
      </c>
      <c r="D245" t="s">
        <v>9928</v>
      </c>
      <c r="E245" t="s">
        <v>10075</v>
      </c>
      <c r="F245">
        <v>11224</v>
      </c>
      <c r="G245" t="s">
        <v>10093</v>
      </c>
      <c r="H245" t="s">
        <v>10097</v>
      </c>
      <c r="I245" t="s">
        <v>10168</v>
      </c>
      <c r="J245" t="s">
        <v>10213</v>
      </c>
      <c r="K245" t="s">
        <v>10218</v>
      </c>
      <c r="L245" t="s">
        <v>10119</v>
      </c>
      <c r="M245" t="s">
        <v>10351</v>
      </c>
      <c r="N245" t="s">
        <v>10696</v>
      </c>
      <c r="P245" t="s">
        <v>10754</v>
      </c>
      <c r="Q245" t="s">
        <v>10777</v>
      </c>
      <c r="R245" t="s">
        <v>10824</v>
      </c>
      <c r="T245">
        <v>6876</v>
      </c>
      <c r="U245">
        <v>573</v>
      </c>
      <c r="V245">
        <v>26</v>
      </c>
      <c r="W245">
        <v>1</v>
      </c>
      <c r="X245">
        <v>1</v>
      </c>
      <c r="Y245" t="s">
        <v>10829</v>
      </c>
      <c r="Z245">
        <v>40.66</v>
      </c>
      <c r="AA245">
        <v>40.577365</v>
      </c>
      <c r="AB245">
        <v>-73.99082900000001</v>
      </c>
      <c r="AD245" t="s">
        <v>10839</v>
      </c>
      <c r="AG245" t="s">
        <v>10858</v>
      </c>
      <c r="AH245" t="s">
        <v>10865</v>
      </c>
      <c r="AI245">
        <v>239</v>
      </c>
      <c r="AJ245" t="s">
        <v>10213</v>
      </c>
      <c r="AK245" t="s">
        <v>10837</v>
      </c>
      <c r="AL245">
        <v>1.8</v>
      </c>
      <c r="AM245" t="s">
        <v>10889</v>
      </c>
      <c r="AN245" t="s">
        <v>10960</v>
      </c>
      <c r="AO245" t="s">
        <v>11006</v>
      </c>
      <c r="AP245" t="s">
        <v>11087</v>
      </c>
      <c r="AQ245" t="s">
        <v>11128</v>
      </c>
      <c r="AR245" t="s">
        <v>11315</v>
      </c>
      <c r="AS245" t="s">
        <v>11595</v>
      </c>
      <c r="AT245" t="s">
        <v>11641</v>
      </c>
      <c r="AX245" t="s">
        <v>10838</v>
      </c>
      <c r="AY245" t="s">
        <v>10829</v>
      </c>
      <c r="AZ245" t="s">
        <v>11683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</row>
    <row r="246" spans="1:59">
      <c r="A246" s="1">
        <f>HYPERLINK("https://lsnyc.legalserver.org/matter/dynamic-profile/view/1903915","19-1903915")</f>
        <v>0</v>
      </c>
      <c r="B246" t="s">
        <v>277</v>
      </c>
      <c r="C246" t="s">
        <v>5208</v>
      </c>
      <c r="D246" t="s">
        <v>9950</v>
      </c>
      <c r="E246" t="s">
        <v>10075</v>
      </c>
      <c r="F246">
        <v>11418</v>
      </c>
      <c r="G246" t="s">
        <v>10092</v>
      </c>
      <c r="H246" t="s">
        <v>10097</v>
      </c>
      <c r="I246" t="s">
        <v>10169</v>
      </c>
      <c r="J246" t="s">
        <v>10212</v>
      </c>
      <c r="K246" t="s">
        <v>10218</v>
      </c>
      <c r="L246" t="s">
        <v>4843</v>
      </c>
      <c r="M246" t="s">
        <v>10326</v>
      </c>
      <c r="N246" t="s">
        <v>10692</v>
      </c>
      <c r="O246" t="s">
        <v>10699</v>
      </c>
      <c r="P246" t="s">
        <v>10754</v>
      </c>
      <c r="Q246" t="s">
        <v>10775</v>
      </c>
      <c r="R246" t="s">
        <v>10823</v>
      </c>
      <c r="T246">
        <v>20800</v>
      </c>
      <c r="U246">
        <v>1733.33</v>
      </c>
      <c r="V246">
        <v>33</v>
      </c>
      <c r="W246">
        <v>1</v>
      </c>
      <c r="X246">
        <v>2</v>
      </c>
      <c r="Y246" t="s">
        <v>10829</v>
      </c>
      <c r="Z246">
        <v>97.52</v>
      </c>
      <c r="AA246">
        <v>40.699624</v>
      </c>
      <c r="AB246">
        <v>-73.841781</v>
      </c>
      <c r="AD246" t="s">
        <v>10839</v>
      </c>
      <c r="AF246" t="s">
        <v>10842</v>
      </c>
      <c r="AG246" t="s">
        <v>10859</v>
      </c>
      <c r="AH246" t="s">
        <v>10865</v>
      </c>
      <c r="AI246">
        <v>237</v>
      </c>
      <c r="AJ246" t="s">
        <v>10212</v>
      </c>
      <c r="AK246" t="s">
        <v>10837</v>
      </c>
      <c r="AL246">
        <v>9</v>
      </c>
      <c r="AM246" t="s">
        <v>10890</v>
      </c>
      <c r="AN246" t="s">
        <v>10952</v>
      </c>
      <c r="AO246" t="s">
        <v>11024</v>
      </c>
      <c r="AP246" t="s">
        <v>11088</v>
      </c>
      <c r="AQ246" t="s">
        <v>11129</v>
      </c>
      <c r="AR246" t="s">
        <v>11257</v>
      </c>
      <c r="AS246" t="s">
        <v>11594</v>
      </c>
      <c r="AY246" t="s">
        <v>10829</v>
      </c>
      <c r="AZ246" t="s">
        <v>11683</v>
      </c>
      <c r="BA246" t="s">
        <v>11741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0</v>
      </c>
    </row>
    <row r="247" spans="1:59">
      <c r="A247" s="1">
        <f>HYPERLINK("https://lsnyc.legalserver.org/matter/dynamic-profile/view/1903916","19-1903916")</f>
        <v>0</v>
      </c>
      <c r="B247" t="s">
        <v>278</v>
      </c>
      <c r="C247" t="s">
        <v>5209</v>
      </c>
      <c r="D247" t="s">
        <v>9926</v>
      </c>
      <c r="E247" t="s">
        <v>10075</v>
      </c>
      <c r="F247">
        <v>10457</v>
      </c>
      <c r="G247" t="s">
        <v>10090</v>
      </c>
      <c r="H247" t="s">
        <v>10097</v>
      </c>
      <c r="I247" t="s">
        <v>10168</v>
      </c>
      <c r="J247" t="s">
        <v>10215</v>
      </c>
      <c r="K247" t="s">
        <v>10217</v>
      </c>
      <c r="M247" t="s">
        <v>10362</v>
      </c>
      <c r="N247" t="s">
        <v>10651</v>
      </c>
      <c r="P247" t="s">
        <v>10749</v>
      </c>
      <c r="Q247" t="s">
        <v>10765</v>
      </c>
      <c r="R247" t="s">
        <v>10824</v>
      </c>
      <c r="T247">
        <v>1976</v>
      </c>
      <c r="U247">
        <v>164.67</v>
      </c>
      <c r="V247">
        <v>57</v>
      </c>
      <c r="W247">
        <v>3</v>
      </c>
      <c r="X247">
        <v>1</v>
      </c>
      <c r="Z247">
        <v>7.67</v>
      </c>
      <c r="AA247">
        <v>40.853822</v>
      </c>
      <c r="AB247">
        <v>-73.898065</v>
      </c>
      <c r="AD247" t="s">
        <v>10839</v>
      </c>
      <c r="AG247" t="s">
        <v>10858</v>
      </c>
      <c r="AH247" t="s">
        <v>10862</v>
      </c>
      <c r="AI247">
        <v>231</v>
      </c>
      <c r="AJ247" t="s">
        <v>10215</v>
      </c>
      <c r="AL247">
        <v>5.4</v>
      </c>
      <c r="AM247" t="s">
        <v>10884</v>
      </c>
      <c r="AN247" t="s">
        <v>10931</v>
      </c>
      <c r="AO247" t="s">
        <v>11000</v>
      </c>
      <c r="AP247" t="s">
        <v>11056</v>
      </c>
      <c r="AR247" t="s">
        <v>11255</v>
      </c>
      <c r="AS247" t="s">
        <v>9926</v>
      </c>
      <c r="AT247" t="s">
        <v>11641</v>
      </c>
      <c r="AX247" t="s">
        <v>10838</v>
      </c>
      <c r="BA247" t="s">
        <v>11738</v>
      </c>
      <c r="BB247">
        <v>0</v>
      </c>
      <c r="BC247">
        <v>0</v>
      </c>
      <c r="BD247">
        <v>0</v>
      </c>
      <c r="BE247">
        <v>0</v>
      </c>
      <c r="BF247">
        <v>5</v>
      </c>
      <c r="BG247">
        <v>0</v>
      </c>
    </row>
    <row r="248" spans="1:59">
      <c r="A248" s="1">
        <f>HYPERLINK("https://lsnyc.legalserver.org/matter/dynamic-profile/view/1903918","19-1903918")</f>
        <v>0</v>
      </c>
      <c r="B248" t="s">
        <v>279</v>
      </c>
      <c r="D248" t="s">
        <v>9950</v>
      </c>
      <c r="E248" t="s">
        <v>10075</v>
      </c>
      <c r="F248">
        <v>11418</v>
      </c>
      <c r="G248" t="s">
        <v>10092</v>
      </c>
      <c r="H248" t="s">
        <v>10097</v>
      </c>
      <c r="I248" t="s">
        <v>10168</v>
      </c>
      <c r="J248" t="s">
        <v>10212</v>
      </c>
      <c r="K248" t="s">
        <v>10218</v>
      </c>
      <c r="L248" t="s">
        <v>10147</v>
      </c>
      <c r="M248" t="s">
        <v>10363</v>
      </c>
      <c r="N248" t="s">
        <v>10671</v>
      </c>
      <c r="P248" t="s">
        <v>10750</v>
      </c>
      <c r="Q248" t="s">
        <v>10779</v>
      </c>
      <c r="R248" t="s">
        <v>10821</v>
      </c>
      <c r="T248">
        <v>0</v>
      </c>
      <c r="U248">
        <v>0</v>
      </c>
      <c r="V248">
        <v>21</v>
      </c>
      <c r="W248">
        <v>1</v>
      </c>
      <c r="X248">
        <v>0</v>
      </c>
      <c r="Y248" t="s">
        <v>10829</v>
      </c>
      <c r="Z248">
        <v>0</v>
      </c>
      <c r="AA248">
        <v>0</v>
      </c>
      <c r="AB248">
        <v>0</v>
      </c>
      <c r="AD248" t="s">
        <v>10841</v>
      </c>
      <c r="AG248" t="s">
        <v>10858</v>
      </c>
      <c r="AH248" t="s">
        <v>10871</v>
      </c>
      <c r="AI248">
        <v>234</v>
      </c>
      <c r="AJ248" t="s">
        <v>10214</v>
      </c>
      <c r="AK248" t="s">
        <v>10838</v>
      </c>
      <c r="AL248">
        <v>1.26</v>
      </c>
      <c r="AQ248" t="s">
        <v>11130</v>
      </c>
      <c r="AR248" t="s">
        <v>11267</v>
      </c>
      <c r="AS248" t="s">
        <v>11594</v>
      </c>
      <c r="AT248" t="s">
        <v>10841</v>
      </c>
      <c r="AX248" t="s">
        <v>10837</v>
      </c>
      <c r="AY248" t="s">
        <v>10829</v>
      </c>
      <c r="AZ248" t="s">
        <v>11679</v>
      </c>
      <c r="BA248" t="s">
        <v>11741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0</v>
      </c>
    </row>
    <row r="249" spans="1:59">
      <c r="A249" s="1">
        <f>HYPERLINK("https://lsnyc.legalserver.org/matter/dynamic-profile/view/1903919","19-1903919")</f>
        <v>0</v>
      </c>
      <c r="B249" t="s">
        <v>280</v>
      </c>
      <c r="C249" t="s">
        <v>5210</v>
      </c>
      <c r="D249" t="s">
        <v>9928</v>
      </c>
      <c r="E249" t="s">
        <v>10075</v>
      </c>
      <c r="F249">
        <v>11221</v>
      </c>
      <c r="G249" t="s">
        <v>10093</v>
      </c>
      <c r="H249" t="s">
        <v>10097</v>
      </c>
      <c r="I249" t="s">
        <v>10168</v>
      </c>
      <c r="J249" t="s">
        <v>10213</v>
      </c>
      <c r="K249" t="s">
        <v>10218</v>
      </c>
      <c r="L249" t="s">
        <v>10094</v>
      </c>
      <c r="M249" t="s">
        <v>10361</v>
      </c>
      <c r="N249" t="s">
        <v>10657</v>
      </c>
      <c r="P249" t="s">
        <v>10754</v>
      </c>
      <c r="Q249" t="s">
        <v>10775</v>
      </c>
      <c r="R249" t="s">
        <v>10825</v>
      </c>
      <c r="T249">
        <v>23400</v>
      </c>
      <c r="U249">
        <v>1950</v>
      </c>
      <c r="V249">
        <v>46</v>
      </c>
      <c r="W249">
        <v>2</v>
      </c>
      <c r="X249">
        <v>1</v>
      </c>
      <c r="Y249" t="s">
        <v>10829</v>
      </c>
      <c r="Z249">
        <v>109.7</v>
      </c>
      <c r="AA249">
        <v>40.684578</v>
      </c>
      <c r="AB249">
        <v>-73.943674</v>
      </c>
      <c r="AD249" t="s">
        <v>10839</v>
      </c>
      <c r="AF249" t="s">
        <v>10843</v>
      </c>
      <c r="AG249" t="s">
        <v>10859</v>
      </c>
      <c r="AH249" t="s">
        <v>10861</v>
      </c>
      <c r="AI249">
        <v>239</v>
      </c>
      <c r="AJ249" t="s">
        <v>10213</v>
      </c>
      <c r="AK249" t="s">
        <v>10882</v>
      </c>
      <c r="AL249">
        <v>0.4</v>
      </c>
      <c r="AM249" t="s">
        <v>10889</v>
      </c>
      <c r="AN249" t="s">
        <v>10914</v>
      </c>
      <c r="AO249" t="s">
        <v>11007</v>
      </c>
      <c r="AP249" t="s">
        <v>11052</v>
      </c>
      <c r="AR249" t="s">
        <v>11257</v>
      </c>
      <c r="AS249" t="s">
        <v>11595</v>
      </c>
      <c r="AV249" t="s">
        <v>11656</v>
      </c>
      <c r="AW249" t="s">
        <v>11645</v>
      </c>
      <c r="AY249" t="s">
        <v>10829</v>
      </c>
      <c r="AZ249" t="s">
        <v>11683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</row>
    <row r="250" spans="1:59">
      <c r="A250" s="1">
        <f>HYPERLINK("https://lsnyc.legalserver.org/matter/dynamic-profile/view/1903920","19-1903920")</f>
        <v>0</v>
      </c>
      <c r="B250" t="s">
        <v>281</v>
      </c>
      <c r="C250" t="s">
        <v>5204</v>
      </c>
      <c r="D250" t="s">
        <v>9930</v>
      </c>
      <c r="E250" t="s">
        <v>10075</v>
      </c>
      <c r="F250">
        <v>11373</v>
      </c>
      <c r="G250" t="s">
        <v>10092</v>
      </c>
      <c r="H250" t="s">
        <v>10097</v>
      </c>
      <c r="I250" t="s">
        <v>10168</v>
      </c>
      <c r="J250" t="s">
        <v>10212</v>
      </c>
      <c r="K250" t="s">
        <v>10218</v>
      </c>
      <c r="L250" t="s">
        <v>10116</v>
      </c>
      <c r="M250" t="s">
        <v>10364</v>
      </c>
      <c r="N250" t="s">
        <v>10693</v>
      </c>
      <c r="P250" t="s">
        <v>10749</v>
      </c>
      <c r="Q250" t="s">
        <v>10765</v>
      </c>
      <c r="R250" t="s">
        <v>10827</v>
      </c>
      <c r="T250">
        <v>0</v>
      </c>
      <c r="U250">
        <v>0</v>
      </c>
      <c r="V250">
        <v>65</v>
      </c>
      <c r="W250">
        <v>2</v>
      </c>
      <c r="X250">
        <v>0</v>
      </c>
      <c r="Y250" t="s">
        <v>10829</v>
      </c>
      <c r="Z250">
        <v>0</v>
      </c>
      <c r="AA250">
        <v>40.730615</v>
      </c>
      <c r="AB250">
        <v>-73.873193</v>
      </c>
      <c r="AD250" t="s">
        <v>10840</v>
      </c>
      <c r="AG250" t="s">
        <v>10858</v>
      </c>
      <c r="AH250" t="s">
        <v>10862</v>
      </c>
      <c r="AI250">
        <v>237</v>
      </c>
      <c r="AJ250" t="s">
        <v>10212</v>
      </c>
      <c r="AK250" t="s">
        <v>10838</v>
      </c>
      <c r="AL250">
        <v>2.85</v>
      </c>
      <c r="AM250" t="s">
        <v>10890</v>
      </c>
      <c r="AN250" t="s">
        <v>10935</v>
      </c>
      <c r="AO250" t="s">
        <v>11009</v>
      </c>
      <c r="AP250" t="s">
        <v>11083</v>
      </c>
      <c r="AR250" t="s">
        <v>11279</v>
      </c>
      <c r="AS250" t="s">
        <v>11594</v>
      </c>
      <c r="AY250" t="s">
        <v>10829</v>
      </c>
      <c r="AZ250" t="s">
        <v>11681</v>
      </c>
      <c r="BA250" t="s">
        <v>11741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0</v>
      </c>
    </row>
    <row r="251" spans="1:59">
      <c r="A251" s="1">
        <f>HYPERLINK("https://lsnyc.legalserver.org/matter/dynamic-profile/view/1903921","19-1903921")</f>
        <v>0</v>
      </c>
      <c r="B251" t="s">
        <v>282</v>
      </c>
      <c r="C251" t="s">
        <v>5211</v>
      </c>
      <c r="D251" t="s">
        <v>9951</v>
      </c>
      <c r="E251" t="s">
        <v>10075</v>
      </c>
      <c r="F251">
        <v>11416</v>
      </c>
      <c r="G251" t="s">
        <v>10092</v>
      </c>
      <c r="H251" t="s">
        <v>10097</v>
      </c>
      <c r="I251" t="s">
        <v>10168</v>
      </c>
      <c r="J251" t="s">
        <v>10212</v>
      </c>
      <c r="K251" t="s">
        <v>10217</v>
      </c>
      <c r="M251" t="s">
        <v>10365</v>
      </c>
      <c r="N251" t="s">
        <v>10695</v>
      </c>
      <c r="P251" t="s">
        <v>10749</v>
      </c>
      <c r="Q251" t="s">
        <v>10765</v>
      </c>
      <c r="R251" t="s">
        <v>10828</v>
      </c>
      <c r="T251">
        <v>21632</v>
      </c>
      <c r="U251">
        <v>1802.67</v>
      </c>
      <c r="V251">
        <v>41</v>
      </c>
      <c r="W251">
        <v>1</v>
      </c>
      <c r="X251">
        <v>3</v>
      </c>
      <c r="Z251">
        <v>84.01000000000001</v>
      </c>
      <c r="AA251">
        <v>40.686103</v>
      </c>
      <c r="AB251">
        <v>-73.850111</v>
      </c>
      <c r="AD251" t="s">
        <v>10839</v>
      </c>
      <c r="AF251" t="s">
        <v>10843</v>
      </c>
      <c r="AG251" t="s">
        <v>10859</v>
      </c>
      <c r="AH251" t="s">
        <v>10862</v>
      </c>
      <c r="AI251">
        <v>237</v>
      </c>
      <c r="AJ251" t="s">
        <v>10212</v>
      </c>
      <c r="AL251">
        <v>1.15</v>
      </c>
      <c r="AM251" t="s">
        <v>10886</v>
      </c>
      <c r="AN251" t="s">
        <v>10945</v>
      </c>
      <c r="AO251" t="s">
        <v>11024</v>
      </c>
      <c r="AP251" t="s">
        <v>11088</v>
      </c>
      <c r="AR251" t="s">
        <v>11257</v>
      </c>
      <c r="AS251" t="s">
        <v>11594</v>
      </c>
      <c r="BA251" t="s">
        <v>11741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0</v>
      </c>
    </row>
    <row r="252" spans="1:59">
      <c r="A252" s="1">
        <f>HYPERLINK("https://lsnyc.legalserver.org/matter/dynamic-profile/view/1903922","19-1903922")</f>
        <v>0</v>
      </c>
      <c r="B252" t="s">
        <v>283</v>
      </c>
      <c r="C252" t="s">
        <v>5212</v>
      </c>
      <c r="D252" t="s">
        <v>9930</v>
      </c>
      <c r="E252" t="s">
        <v>10075</v>
      </c>
      <c r="F252">
        <v>11373</v>
      </c>
      <c r="G252" t="s">
        <v>10092</v>
      </c>
      <c r="H252" t="s">
        <v>10097</v>
      </c>
      <c r="I252" t="s">
        <v>10176</v>
      </c>
      <c r="J252" t="s">
        <v>10212</v>
      </c>
      <c r="K252" t="s">
        <v>10217</v>
      </c>
      <c r="M252" t="s">
        <v>10285</v>
      </c>
      <c r="N252" t="s">
        <v>10693</v>
      </c>
      <c r="P252" t="s">
        <v>10749</v>
      </c>
      <c r="Q252" t="s">
        <v>10765</v>
      </c>
      <c r="R252" t="s">
        <v>10824</v>
      </c>
      <c r="T252">
        <v>26000</v>
      </c>
      <c r="U252">
        <v>2166.67</v>
      </c>
      <c r="V252">
        <v>64</v>
      </c>
      <c r="W252">
        <v>2</v>
      </c>
      <c r="X252">
        <v>0</v>
      </c>
      <c r="Z252">
        <v>153.76</v>
      </c>
      <c r="AA252">
        <v>40.74349</v>
      </c>
      <c r="AB252">
        <v>-73.876299</v>
      </c>
      <c r="AD252" t="s">
        <v>10839</v>
      </c>
      <c r="AG252" t="s">
        <v>10858</v>
      </c>
      <c r="AH252" t="s">
        <v>10862</v>
      </c>
      <c r="AI252">
        <v>237</v>
      </c>
      <c r="AJ252" t="s">
        <v>10212</v>
      </c>
      <c r="AL252">
        <v>20.75</v>
      </c>
      <c r="AM252" t="s">
        <v>10890</v>
      </c>
      <c r="AN252" t="s">
        <v>10949</v>
      </c>
      <c r="AO252" t="s">
        <v>11014</v>
      </c>
      <c r="AP252" t="s">
        <v>11053</v>
      </c>
      <c r="AR252" t="s">
        <v>11296</v>
      </c>
      <c r="AS252" t="s">
        <v>11594</v>
      </c>
      <c r="BA252" t="s">
        <v>11738</v>
      </c>
      <c r="BB252">
        <v>0</v>
      </c>
      <c r="BC252">
        <v>0</v>
      </c>
      <c r="BD252">
        <v>0</v>
      </c>
      <c r="BE252">
        <v>0</v>
      </c>
      <c r="BF252">
        <v>5</v>
      </c>
      <c r="BG252">
        <v>0</v>
      </c>
    </row>
    <row r="253" spans="1:59">
      <c r="A253" s="1">
        <f>HYPERLINK("https://lsnyc.legalserver.org/matter/dynamic-profile/view/1903923","19-1903923")</f>
        <v>0</v>
      </c>
      <c r="B253" t="s">
        <v>284</v>
      </c>
      <c r="C253" t="s">
        <v>5213</v>
      </c>
      <c r="D253" t="s">
        <v>9952</v>
      </c>
      <c r="E253" t="s">
        <v>10075</v>
      </c>
      <c r="F253">
        <v>11429</v>
      </c>
      <c r="G253" t="s">
        <v>10092</v>
      </c>
      <c r="H253" t="s">
        <v>10117</v>
      </c>
      <c r="J253" t="s">
        <v>10212</v>
      </c>
      <c r="K253" t="s">
        <v>10218</v>
      </c>
      <c r="L253" t="s">
        <v>10103</v>
      </c>
      <c r="M253" t="s">
        <v>10366</v>
      </c>
      <c r="N253" t="s">
        <v>10678</v>
      </c>
      <c r="P253" t="s">
        <v>10749</v>
      </c>
      <c r="Q253" t="s">
        <v>10769</v>
      </c>
      <c r="R253" t="s">
        <v>10824</v>
      </c>
      <c r="T253">
        <v>10800</v>
      </c>
      <c r="U253">
        <v>900</v>
      </c>
      <c r="V253">
        <v>76</v>
      </c>
      <c r="W253">
        <v>1</v>
      </c>
      <c r="X253">
        <v>0</v>
      </c>
      <c r="Y253" t="s">
        <v>10829</v>
      </c>
      <c r="Z253">
        <v>86.47</v>
      </c>
      <c r="AA253">
        <v>40.709774</v>
      </c>
      <c r="AB253">
        <v>-73.739035</v>
      </c>
      <c r="AD253" t="s">
        <v>10839</v>
      </c>
      <c r="AG253" t="s">
        <v>10858</v>
      </c>
      <c r="AH253" t="s">
        <v>10860</v>
      </c>
      <c r="AI253">
        <v>234</v>
      </c>
      <c r="AJ253" t="s">
        <v>10214</v>
      </c>
      <c r="AK253" t="s">
        <v>10838</v>
      </c>
      <c r="AL253">
        <v>2.2</v>
      </c>
      <c r="AM253" t="s">
        <v>10892</v>
      </c>
      <c r="AN253" t="s">
        <v>10940</v>
      </c>
      <c r="AO253" t="s">
        <v>11020</v>
      </c>
      <c r="AP253" t="s">
        <v>11075</v>
      </c>
      <c r="AR253" t="s">
        <v>11316</v>
      </c>
      <c r="AS253" t="s">
        <v>11594</v>
      </c>
      <c r="AT253" t="s">
        <v>11641</v>
      </c>
      <c r="AX253" t="s">
        <v>10838</v>
      </c>
      <c r="AY253" t="s">
        <v>10829</v>
      </c>
      <c r="AZ253" t="s">
        <v>11681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</row>
    <row r="254" spans="1:59">
      <c r="A254" s="1">
        <f>HYPERLINK("https://lsnyc.legalserver.org/matter/dynamic-profile/view/1903924","19-1903924")</f>
        <v>0</v>
      </c>
      <c r="B254" t="s">
        <v>278</v>
      </c>
      <c r="C254" t="s">
        <v>5209</v>
      </c>
      <c r="D254" t="s">
        <v>9926</v>
      </c>
      <c r="E254" t="s">
        <v>10075</v>
      </c>
      <c r="F254">
        <v>10457</v>
      </c>
      <c r="G254" t="s">
        <v>10090</v>
      </c>
      <c r="H254" t="s">
        <v>10097</v>
      </c>
      <c r="I254" t="s">
        <v>10168</v>
      </c>
      <c r="J254" t="s">
        <v>10210</v>
      </c>
      <c r="K254" t="s">
        <v>10217</v>
      </c>
      <c r="M254" t="s">
        <v>10367</v>
      </c>
      <c r="N254" t="s">
        <v>10671</v>
      </c>
      <c r="P254" t="s">
        <v>10751</v>
      </c>
      <c r="Q254" t="s">
        <v>10761</v>
      </c>
      <c r="R254" t="s">
        <v>10824</v>
      </c>
      <c r="T254">
        <v>1976</v>
      </c>
      <c r="U254">
        <v>164.67</v>
      </c>
      <c r="V254">
        <v>57</v>
      </c>
      <c r="W254">
        <v>3</v>
      </c>
      <c r="X254">
        <v>1</v>
      </c>
      <c r="Z254">
        <v>7.67</v>
      </c>
      <c r="AA254">
        <v>40.853822</v>
      </c>
      <c r="AB254">
        <v>-73.898065</v>
      </c>
      <c r="AD254" t="s">
        <v>10839</v>
      </c>
      <c r="AG254" t="s">
        <v>10858</v>
      </c>
      <c r="AH254" t="s">
        <v>10862</v>
      </c>
      <c r="AI254">
        <v>231</v>
      </c>
      <c r="AJ254" t="s">
        <v>10215</v>
      </c>
      <c r="AL254">
        <v>0</v>
      </c>
      <c r="AM254" t="s">
        <v>10884</v>
      </c>
      <c r="AN254" t="s">
        <v>10931</v>
      </c>
      <c r="AO254" t="s">
        <v>11000</v>
      </c>
      <c r="AP254" t="s">
        <v>11056</v>
      </c>
      <c r="AR254" t="s">
        <v>11255</v>
      </c>
      <c r="AS254" t="s">
        <v>9926</v>
      </c>
      <c r="AT254" t="s">
        <v>11641</v>
      </c>
      <c r="AX254" t="s">
        <v>10838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</row>
    <row r="255" spans="1:59">
      <c r="A255" s="1">
        <f>HYPERLINK("https://lsnyc.legalserver.org/matter/dynamic-profile/view/1903925","19-1903925")</f>
        <v>0</v>
      </c>
      <c r="B255" t="s">
        <v>285</v>
      </c>
      <c r="C255" t="s">
        <v>5214</v>
      </c>
      <c r="D255" t="s">
        <v>9925</v>
      </c>
      <c r="E255" t="s">
        <v>10075</v>
      </c>
      <c r="F255">
        <v>10025</v>
      </c>
      <c r="G255" t="s">
        <v>10091</v>
      </c>
      <c r="H255" t="s">
        <v>10097</v>
      </c>
      <c r="I255" t="s">
        <v>10169</v>
      </c>
      <c r="J255" t="s">
        <v>10214</v>
      </c>
      <c r="K255" t="s">
        <v>10217</v>
      </c>
      <c r="M255" t="s">
        <v>10286</v>
      </c>
      <c r="N255" t="s">
        <v>10646</v>
      </c>
      <c r="P255" t="s">
        <v>10749</v>
      </c>
      <c r="Q255" t="s">
        <v>10765</v>
      </c>
      <c r="R255" t="s">
        <v>10821</v>
      </c>
      <c r="T255">
        <v>42000</v>
      </c>
      <c r="U255">
        <v>3500</v>
      </c>
      <c r="V255">
        <v>47</v>
      </c>
      <c r="W255">
        <v>2</v>
      </c>
      <c r="X255">
        <v>0</v>
      </c>
      <c r="Z255">
        <v>248.37</v>
      </c>
      <c r="AA255">
        <v>40.80685</v>
      </c>
      <c r="AB255">
        <v>-73.966669</v>
      </c>
      <c r="AD255" t="s">
        <v>10840</v>
      </c>
      <c r="AF255" t="s">
        <v>10843</v>
      </c>
      <c r="AG255" t="s">
        <v>10859</v>
      </c>
      <c r="AH255" t="s">
        <v>10861</v>
      </c>
      <c r="AI255">
        <v>234</v>
      </c>
      <c r="AJ255" t="s">
        <v>10214</v>
      </c>
      <c r="AL255">
        <v>0.5</v>
      </c>
      <c r="AM255" t="s">
        <v>10894</v>
      </c>
      <c r="AN255" t="s">
        <v>10953</v>
      </c>
      <c r="AO255" t="s">
        <v>11019</v>
      </c>
      <c r="AP255" t="s">
        <v>11073</v>
      </c>
      <c r="AR255" t="s">
        <v>11317</v>
      </c>
      <c r="AS255" t="s">
        <v>9925</v>
      </c>
      <c r="AT255" t="s">
        <v>11642</v>
      </c>
      <c r="AX255" t="s">
        <v>10838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</row>
    <row r="256" spans="1:59">
      <c r="A256" s="1">
        <f>HYPERLINK("https://lsnyc.legalserver.org/matter/dynamic-profile/view/1903926","19-1903926")</f>
        <v>0</v>
      </c>
      <c r="B256" t="s">
        <v>286</v>
      </c>
      <c r="C256" t="s">
        <v>5215</v>
      </c>
      <c r="D256" t="s">
        <v>9928</v>
      </c>
      <c r="E256" t="s">
        <v>10075</v>
      </c>
      <c r="F256">
        <v>11221</v>
      </c>
      <c r="G256" t="s">
        <v>10093</v>
      </c>
      <c r="H256" t="s">
        <v>10097</v>
      </c>
      <c r="I256" t="s">
        <v>10168</v>
      </c>
      <c r="J256" t="s">
        <v>10213</v>
      </c>
      <c r="K256" t="s">
        <v>10217</v>
      </c>
      <c r="M256" t="s">
        <v>10368</v>
      </c>
      <c r="N256" t="s">
        <v>10650</v>
      </c>
      <c r="P256" t="s">
        <v>10752</v>
      </c>
      <c r="Q256" t="s">
        <v>10762</v>
      </c>
      <c r="R256" t="s">
        <v>10822</v>
      </c>
      <c r="T256">
        <v>69122</v>
      </c>
      <c r="U256">
        <v>5760.17</v>
      </c>
      <c r="V256">
        <v>52</v>
      </c>
      <c r="W256">
        <v>3</v>
      </c>
      <c r="X256">
        <v>2</v>
      </c>
      <c r="Z256">
        <v>229.11</v>
      </c>
      <c r="AA256">
        <v>40.692296</v>
      </c>
      <c r="AB256">
        <v>-73.938714</v>
      </c>
      <c r="AD256" t="s">
        <v>10839</v>
      </c>
      <c r="AG256" t="s">
        <v>10858</v>
      </c>
      <c r="AH256" t="s">
        <v>10862</v>
      </c>
      <c r="AI256">
        <v>239</v>
      </c>
      <c r="AJ256" t="s">
        <v>10213</v>
      </c>
      <c r="AL256">
        <v>25</v>
      </c>
      <c r="AM256" t="s">
        <v>10889</v>
      </c>
      <c r="AN256" t="s">
        <v>10914</v>
      </c>
      <c r="AO256" t="s">
        <v>11011</v>
      </c>
      <c r="AP256" t="s">
        <v>11052</v>
      </c>
      <c r="AR256" t="s">
        <v>11280</v>
      </c>
      <c r="AS256" t="s">
        <v>11595</v>
      </c>
      <c r="AT256" t="s">
        <v>11641</v>
      </c>
      <c r="BA256" t="s">
        <v>11744</v>
      </c>
      <c r="BB256">
        <v>0</v>
      </c>
      <c r="BC256">
        <v>0</v>
      </c>
      <c r="BD256">
        <v>0</v>
      </c>
      <c r="BE256">
        <v>0</v>
      </c>
      <c r="BF256">
        <v>6</v>
      </c>
      <c r="BG256">
        <v>0</v>
      </c>
    </row>
    <row r="257" spans="1:59">
      <c r="A257" s="1">
        <f>HYPERLINK("https://lsnyc.legalserver.org/matter/dynamic-profile/view/1903927","19-1903927")</f>
        <v>0</v>
      </c>
      <c r="B257" t="s">
        <v>287</v>
      </c>
      <c r="C257" t="s">
        <v>5216</v>
      </c>
      <c r="D257" t="s">
        <v>9953</v>
      </c>
      <c r="E257" t="s">
        <v>10075</v>
      </c>
      <c r="F257">
        <v>11104</v>
      </c>
      <c r="G257" t="s">
        <v>10092</v>
      </c>
      <c r="H257" t="s">
        <v>10097</v>
      </c>
      <c r="I257" t="s">
        <v>10169</v>
      </c>
      <c r="J257" t="s">
        <v>10212</v>
      </c>
      <c r="K257" t="s">
        <v>10218</v>
      </c>
      <c r="L257" t="s">
        <v>10104</v>
      </c>
      <c r="M257" t="s">
        <v>10369</v>
      </c>
      <c r="N257" t="s">
        <v>10695</v>
      </c>
      <c r="P257" t="s">
        <v>10749</v>
      </c>
      <c r="Q257" t="s">
        <v>10765</v>
      </c>
      <c r="R257" t="s">
        <v>10821</v>
      </c>
      <c r="T257">
        <v>13584</v>
      </c>
      <c r="U257">
        <v>1132</v>
      </c>
      <c r="V257">
        <v>49</v>
      </c>
      <c r="W257">
        <v>1</v>
      </c>
      <c r="X257">
        <v>1</v>
      </c>
      <c r="Y257" t="s">
        <v>10829</v>
      </c>
      <c r="Z257">
        <v>80.33</v>
      </c>
      <c r="AA257">
        <v>40.738812</v>
      </c>
      <c r="AB257">
        <v>-73.926446</v>
      </c>
      <c r="AD257" t="s">
        <v>10839</v>
      </c>
      <c r="AG257" t="s">
        <v>10858</v>
      </c>
      <c r="AH257" t="s">
        <v>10862</v>
      </c>
      <c r="AI257">
        <v>237</v>
      </c>
      <c r="AJ257" t="s">
        <v>10212</v>
      </c>
      <c r="AK257" t="s">
        <v>10882</v>
      </c>
      <c r="AL257">
        <v>1.9</v>
      </c>
      <c r="AM257" t="s">
        <v>10885</v>
      </c>
      <c r="AN257" t="s">
        <v>10961</v>
      </c>
      <c r="AO257" t="s">
        <v>11003</v>
      </c>
      <c r="AP257" t="s">
        <v>11047</v>
      </c>
      <c r="AR257" t="s">
        <v>11318</v>
      </c>
      <c r="AS257" t="s">
        <v>11594</v>
      </c>
      <c r="AX257" t="s">
        <v>10838</v>
      </c>
      <c r="AY257" t="s">
        <v>10829</v>
      </c>
      <c r="AZ257" t="s">
        <v>11681</v>
      </c>
      <c r="BA257" t="s">
        <v>11741</v>
      </c>
      <c r="BB257">
        <v>0</v>
      </c>
      <c r="BC257">
        <v>0</v>
      </c>
      <c r="BD257">
        <v>0</v>
      </c>
      <c r="BE257">
        <v>0</v>
      </c>
      <c r="BF257">
        <v>1</v>
      </c>
      <c r="BG257">
        <v>0</v>
      </c>
    </row>
    <row r="258" spans="1:59">
      <c r="A258" s="1">
        <f>HYPERLINK("https://lsnyc.legalserver.org/matter/dynamic-profile/view/1903928","19-1903928")</f>
        <v>0</v>
      </c>
      <c r="B258" t="s">
        <v>288</v>
      </c>
      <c r="C258" t="s">
        <v>5217</v>
      </c>
      <c r="D258" t="s">
        <v>9928</v>
      </c>
      <c r="E258" t="s">
        <v>10075</v>
      </c>
      <c r="F258">
        <v>11239</v>
      </c>
      <c r="G258" t="s">
        <v>10093</v>
      </c>
      <c r="H258" t="s">
        <v>10097</v>
      </c>
      <c r="I258" t="s">
        <v>10168</v>
      </c>
      <c r="J258" t="s">
        <v>10213</v>
      </c>
      <c r="K258" t="s">
        <v>10217</v>
      </c>
      <c r="M258" t="s">
        <v>10344</v>
      </c>
      <c r="N258" t="s">
        <v>10650</v>
      </c>
      <c r="P258" t="s">
        <v>10749</v>
      </c>
      <c r="Q258" t="s">
        <v>10765</v>
      </c>
      <c r="R258" t="s">
        <v>10820</v>
      </c>
      <c r="T258">
        <v>9252</v>
      </c>
      <c r="U258">
        <v>771</v>
      </c>
      <c r="V258">
        <v>44</v>
      </c>
      <c r="W258">
        <v>1</v>
      </c>
      <c r="X258">
        <v>0</v>
      </c>
      <c r="Z258">
        <v>74.08</v>
      </c>
      <c r="AA258">
        <v>40.647811</v>
      </c>
      <c r="AB258">
        <v>-73.884586</v>
      </c>
      <c r="AD258" t="s">
        <v>10839</v>
      </c>
      <c r="AG258" t="s">
        <v>10858</v>
      </c>
      <c r="AH258" t="s">
        <v>10862</v>
      </c>
      <c r="AI258">
        <v>239</v>
      </c>
      <c r="AJ258" t="s">
        <v>10213</v>
      </c>
      <c r="AL258">
        <v>5.3</v>
      </c>
      <c r="AM258" t="s">
        <v>10889</v>
      </c>
      <c r="AN258" t="s">
        <v>10946</v>
      </c>
      <c r="AO258" t="s">
        <v>11012</v>
      </c>
      <c r="AP258" t="s">
        <v>11060</v>
      </c>
      <c r="AR258" t="s">
        <v>11274</v>
      </c>
      <c r="AS258" t="s">
        <v>11595</v>
      </c>
      <c r="BA258" t="s">
        <v>11742</v>
      </c>
      <c r="BB258">
        <v>0</v>
      </c>
      <c r="BC258">
        <v>0</v>
      </c>
      <c r="BD258">
        <v>0</v>
      </c>
      <c r="BE258">
        <v>0</v>
      </c>
      <c r="BF258">
        <v>7</v>
      </c>
      <c r="BG258">
        <v>0</v>
      </c>
    </row>
    <row r="259" spans="1:59">
      <c r="A259" s="1">
        <f>HYPERLINK("https://lsnyc.legalserver.org/matter/dynamic-profile/view/1903930","19-1903930")</f>
        <v>0</v>
      </c>
      <c r="B259" t="s">
        <v>289</v>
      </c>
      <c r="C259" t="s">
        <v>5218</v>
      </c>
      <c r="D259" t="s">
        <v>9926</v>
      </c>
      <c r="E259" t="s">
        <v>10075</v>
      </c>
      <c r="F259">
        <v>10457</v>
      </c>
      <c r="G259" t="s">
        <v>10090</v>
      </c>
      <c r="H259" t="s">
        <v>10097</v>
      </c>
      <c r="I259" t="s">
        <v>10168</v>
      </c>
      <c r="J259" t="s">
        <v>10210</v>
      </c>
      <c r="K259" t="s">
        <v>10217</v>
      </c>
      <c r="M259" t="s">
        <v>10339</v>
      </c>
      <c r="N259" t="s">
        <v>10651</v>
      </c>
      <c r="P259" t="s">
        <v>10749</v>
      </c>
      <c r="Q259" t="s">
        <v>10765</v>
      </c>
      <c r="R259" t="s">
        <v>10824</v>
      </c>
      <c r="T259">
        <v>30000</v>
      </c>
      <c r="U259">
        <v>2500</v>
      </c>
      <c r="V259">
        <v>37</v>
      </c>
      <c r="W259">
        <v>1</v>
      </c>
      <c r="X259">
        <v>1</v>
      </c>
      <c r="Z259">
        <v>177.41</v>
      </c>
      <c r="AA259">
        <v>40.842251</v>
      </c>
      <c r="AB259">
        <v>-73.897676</v>
      </c>
      <c r="AD259" t="s">
        <v>10839</v>
      </c>
      <c r="AG259" t="s">
        <v>10858</v>
      </c>
      <c r="AH259" t="s">
        <v>10861</v>
      </c>
      <c r="AI259">
        <v>230</v>
      </c>
      <c r="AJ259" t="s">
        <v>10210</v>
      </c>
      <c r="AL259">
        <v>6</v>
      </c>
      <c r="AM259" t="s">
        <v>10884</v>
      </c>
      <c r="AN259" t="s">
        <v>10918</v>
      </c>
      <c r="AO259" t="s">
        <v>11000</v>
      </c>
      <c r="AP259" t="s">
        <v>11056</v>
      </c>
      <c r="AR259" t="s">
        <v>11257</v>
      </c>
      <c r="AS259" t="s">
        <v>9926</v>
      </c>
      <c r="AT259" t="s">
        <v>11641</v>
      </c>
      <c r="AX259" t="s">
        <v>10838</v>
      </c>
      <c r="BA259" t="s">
        <v>11738</v>
      </c>
      <c r="BB259">
        <v>0</v>
      </c>
      <c r="BC259">
        <v>0</v>
      </c>
      <c r="BD259">
        <v>0</v>
      </c>
      <c r="BE259">
        <v>0</v>
      </c>
      <c r="BF259">
        <v>5</v>
      </c>
      <c r="BG259">
        <v>0</v>
      </c>
    </row>
    <row r="260" spans="1:59">
      <c r="A260" s="1">
        <f>HYPERLINK("https://lsnyc.legalserver.org/matter/dynamic-profile/view/1903932","19-1903932")</f>
        <v>0</v>
      </c>
      <c r="B260" t="s">
        <v>290</v>
      </c>
      <c r="C260" t="s">
        <v>5219</v>
      </c>
      <c r="D260" t="s">
        <v>9931</v>
      </c>
      <c r="E260" t="s">
        <v>10075</v>
      </c>
      <c r="F260">
        <v>11367</v>
      </c>
      <c r="G260" t="s">
        <v>10092</v>
      </c>
      <c r="H260" t="s">
        <v>10097</v>
      </c>
      <c r="I260" t="s">
        <v>10169</v>
      </c>
      <c r="J260" t="s">
        <v>10212</v>
      </c>
      <c r="K260" t="s">
        <v>10217</v>
      </c>
      <c r="M260" t="s">
        <v>10365</v>
      </c>
      <c r="N260" t="s">
        <v>10695</v>
      </c>
      <c r="P260" t="s">
        <v>10749</v>
      </c>
      <c r="Q260" t="s">
        <v>10765</v>
      </c>
      <c r="R260" t="s">
        <v>10823</v>
      </c>
      <c r="T260">
        <v>13000</v>
      </c>
      <c r="U260">
        <v>1083.33</v>
      </c>
      <c r="V260">
        <v>31</v>
      </c>
      <c r="W260">
        <v>2</v>
      </c>
      <c r="X260">
        <v>1</v>
      </c>
      <c r="Z260">
        <v>60.95</v>
      </c>
      <c r="AA260">
        <v>40.727017</v>
      </c>
      <c r="AB260">
        <v>-73.813407</v>
      </c>
      <c r="AD260" t="s">
        <v>10840</v>
      </c>
      <c r="AF260" t="s">
        <v>10843</v>
      </c>
      <c r="AG260" t="s">
        <v>10859</v>
      </c>
      <c r="AH260" t="s">
        <v>10862</v>
      </c>
      <c r="AI260">
        <v>237</v>
      </c>
      <c r="AJ260" t="s">
        <v>10212</v>
      </c>
      <c r="AL260">
        <v>1.93</v>
      </c>
      <c r="AM260" t="s">
        <v>10890</v>
      </c>
      <c r="AN260" t="s">
        <v>10962</v>
      </c>
      <c r="AO260" t="s">
        <v>11009</v>
      </c>
      <c r="AP260" t="s">
        <v>11081</v>
      </c>
      <c r="AR260" t="s">
        <v>11257</v>
      </c>
      <c r="AS260" t="s">
        <v>11594</v>
      </c>
      <c r="BA260" t="s">
        <v>11741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0</v>
      </c>
    </row>
    <row r="261" spans="1:59">
      <c r="A261" s="1">
        <f>HYPERLINK("https://lsnyc.legalserver.org/matter/dynamic-profile/view/1903933","19-1903933")</f>
        <v>0</v>
      </c>
      <c r="B261" t="s">
        <v>289</v>
      </c>
      <c r="C261" t="s">
        <v>5218</v>
      </c>
      <c r="D261" t="s">
        <v>9926</v>
      </c>
      <c r="E261" t="s">
        <v>10075</v>
      </c>
      <c r="F261">
        <v>10457</v>
      </c>
      <c r="G261" t="s">
        <v>10090</v>
      </c>
      <c r="H261" t="s">
        <v>10097</v>
      </c>
      <c r="I261" t="s">
        <v>10168</v>
      </c>
      <c r="J261" t="s">
        <v>10210</v>
      </c>
      <c r="K261" t="s">
        <v>10217</v>
      </c>
      <c r="M261" t="s">
        <v>10346</v>
      </c>
      <c r="N261" t="s">
        <v>10671</v>
      </c>
      <c r="P261" t="s">
        <v>10751</v>
      </c>
      <c r="Q261" t="s">
        <v>10761</v>
      </c>
      <c r="R261" t="s">
        <v>10824</v>
      </c>
      <c r="T261">
        <v>30000</v>
      </c>
      <c r="U261">
        <v>2500</v>
      </c>
      <c r="V261">
        <v>37</v>
      </c>
      <c r="W261">
        <v>1</v>
      </c>
      <c r="X261">
        <v>1</v>
      </c>
      <c r="Z261">
        <v>177.41</v>
      </c>
      <c r="AA261">
        <v>40.842251</v>
      </c>
      <c r="AB261">
        <v>-73.897676</v>
      </c>
      <c r="AD261" t="s">
        <v>10839</v>
      </c>
      <c r="AG261" t="s">
        <v>10858</v>
      </c>
      <c r="AH261" t="s">
        <v>10861</v>
      </c>
      <c r="AI261">
        <v>230</v>
      </c>
      <c r="AJ261" t="s">
        <v>10210</v>
      </c>
      <c r="AL261">
        <v>1.25</v>
      </c>
      <c r="AM261" t="s">
        <v>10884</v>
      </c>
      <c r="AN261" t="s">
        <v>10918</v>
      </c>
      <c r="AO261" t="s">
        <v>11000</v>
      </c>
      <c r="AP261" t="s">
        <v>11056</v>
      </c>
      <c r="AR261" t="s">
        <v>11257</v>
      </c>
      <c r="AS261" t="s">
        <v>9926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</row>
    <row r="262" spans="1:59">
      <c r="A262" s="1">
        <f>HYPERLINK("https://lsnyc.legalserver.org/matter/dynamic-profile/view/1903934","19-1903934")</f>
        <v>0</v>
      </c>
      <c r="B262" t="s">
        <v>291</v>
      </c>
      <c r="C262" t="s">
        <v>5220</v>
      </c>
      <c r="D262" t="s">
        <v>9925</v>
      </c>
      <c r="E262" t="s">
        <v>10075</v>
      </c>
      <c r="F262">
        <v>10025</v>
      </c>
      <c r="G262" t="s">
        <v>10093</v>
      </c>
      <c r="H262" t="s">
        <v>10114</v>
      </c>
      <c r="J262" t="s">
        <v>10213</v>
      </c>
      <c r="K262" t="s">
        <v>10218</v>
      </c>
      <c r="L262" t="s">
        <v>10111</v>
      </c>
      <c r="M262" t="s">
        <v>10370</v>
      </c>
      <c r="N262" t="s">
        <v>10698</v>
      </c>
      <c r="P262" t="s">
        <v>10751</v>
      </c>
      <c r="Q262" t="s">
        <v>10761</v>
      </c>
      <c r="R262" t="s">
        <v>10820</v>
      </c>
      <c r="T262">
        <v>24552</v>
      </c>
      <c r="U262">
        <v>2046</v>
      </c>
      <c r="V262">
        <v>50</v>
      </c>
      <c r="W262">
        <v>1</v>
      </c>
      <c r="X262">
        <v>0</v>
      </c>
      <c r="Y262" t="s">
        <v>10830</v>
      </c>
      <c r="Z262">
        <v>196.57</v>
      </c>
      <c r="AA262">
        <v>40.796176</v>
      </c>
      <c r="AB262">
        <v>-73.973843</v>
      </c>
      <c r="AD262" t="s">
        <v>10840</v>
      </c>
      <c r="AG262" t="s">
        <v>10858</v>
      </c>
      <c r="AH262" t="s">
        <v>10868</v>
      </c>
      <c r="AI262">
        <v>239</v>
      </c>
      <c r="AJ262" t="s">
        <v>10213</v>
      </c>
      <c r="AK262" t="s">
        <v>10838</v>
      </c>
      <c r="AL262">
        <v>7.75</v>
      </c>
      <c r="AM262" t="s">
        <v>10894</v>
      </c>
      <c r="AN262" t="s">
        <v>10953</v>
      </c>
      <c r="AO262" t="s">
        <v>11019</v>
      </c>
      <c r="AP262" t="s">
        <v>11089</v>
      </c>
      <c r="AR262" t="s">
        <v>11296</v>
      </c>
      <c r="AS262" t="s">
        <v>9925</v>
      </c>
      <c r="AT262" t="s">
        <v>11642</v>
      </c>
      <c r="AX262" t="s">
        <v>10837</v>
      </c>
      <c r="AY262" t="s">
        <v>10830</v>
      </c>
      <c r="AZ262" t="s">
        <v>11701</v>
      </c>
      <c r="BA262" t="s">
        <v>11742</v>
      </c>
      <c r="BB262">
        <v>0</v>
      </c>
      <c r="BC262">
        <v>0</v>
      </c>
      <c r="BD262">
        <v>0</v>
      </c>
      <c r="BE262">
        <v>0</v>
      </c>
      <c r="BF262">
        <v>7</v>
      </c>
      <c r="BG262">
        <v>0</v>
      </c>
    </row>
    <row r="263" spans="1:59">
      <c r="A263" s="1">
        <f>HYPERLINK("https://lsnyc.legalserver.org/matter/dynamic-profile/view/1903935","19-1903935")</f>
        <v>0</v>
      </c>
      <c r="B263" t="s">
        <v>286</v>
      </c>
      <c r="C263" t="s">
        <v>5215</v>
      </c>
      <c r="D263" t="s">
        <v>9928</v>
      </c>
      <c r="E263" t="s">
        <v>10075</v>
      </c>
      <c r="F263">
        <v>11221</v>
      </c>
      <c r="G263" t="s">
        <v>10093</v>
      </c>
      <c r="H263" t="s">
        <v>10097</v>
      </c>
      <c r="I263" t="s">
        <v>10168</v>
      </c>
      <c r="J263" t="s">
        <v>10213</v>
      </c>
      <c r="K263" t="s">
        <v>10217</v>
      </c>
      <c r="M263" t="s">
        <v>10368</v>
      </c>
      <c r="N263" t="s">
        <v>10650</v>
      </c>
      <c r="P263" t="s">
        <v>10749</v>
      </c>
      <c r="Q263" t="s">
        <v>10769</v>
      </c>
      <c r="R263" t="s">
        <v>10822</v>
      </c>
      <c r="T263">
        <v>69122</v>
      </c>
      <c r="U263">
        <v>5760.17</v>
      </c>
      <c r="V263">
        <v>52</v>
      </c>
      <c r="W263">
        <v>3</v>
      </c>
      <c r="X263">
        <v>2</v>
      </c>
      <c r="Z263">
        <v>229.11</v>
      </c>
      <c r="AA263">
        <v>40.692296</v>
      </c>
      <c r="AB263">
        <v>-73.938714</v>
      </c>
      <c r="AD263" t="s">
        <v>10839</v>
      </c>
      <c r="AG263" t="s">
        <v>10858</v>
      </c>
      <c r="AH263" t="s">
        <v>10862</v>
      </c>
      <c r="AI263">
        <v>239</v>
      </c>
      <c r="AJ263" t="s">
        <v>10213</v>
      </c>
      <c r="AL263">
        <v>2</v>
      </c>
      <c r="AM263" t="s">
        <v>10889</v>
      </c>
      <c r="AN263" t="s">
        <v>10914</v>
      </c>
      <c r="AO263" t="s">
        <v>11011</v>
      </c>
      <c r="AP263" t="s">
        <v>11052</v>
      </c>
      <c r="AR263" t="s">
        <v>11280</v>
      </c>
      <c r="AS263" t="s">
        <v>11595</v>
      </c>
      <c r="AT263" t="s">
        <v>11641</v>
      </c>
      <c r="BA263" t="s">
        <v>11740</v>
      </c>
      <c r="BB263">
        <v>0</v>
      </c>
      <c r="BC263">
        <v>0</v>
      </c>
      <c r="BD263">
        <v>0</v>
      </c>
      <c r="BE263">
        <v>0</v>
      </c>
      <c r="BF263">
        <v>2</v>
      </c>
      <c r="BG263">
        <v>0</v>
      </c>
    </row>
    <row r="264" spans="1:59">
      <c r="A264" s="1">
        <f>HYPERLINK("https://lsnyc.legalserver.org/matter/dynamic-profile/view/1903936","19-1903936")</f>
        <v>0</v>
      </c>
      <c r="B264" t="s">
        <v>292</v>
      </c>
      <c r="C264" t="s">
        <v>5221</v>
      </c>
      <c r="D264" t="s">
        <v>9928</v>
      </c>
      <c r="E264" t="s">
        <v>10075</v>
      </c>
      <c r="F264">
        <v>11212</v>
      </c>
      <c r="G264" t="s">
        <v>10093</v>
      </c>
      <c r="H264" t="s">
        <v>10097</v>
      </c>
      <c r="I264" t="s">
        <v>10170</v>
      </c>
      <c r="J264" t="s">
        <v>10213</v>
      </c>
      <c r="K264" t="s">
        <v>10217</v>
      </c>
      <c r="M264" t="s">
        <v>10371</v>
      </c>
      <c r="N264" t="s">
        <v>10650</v>
      </c>
      <c r="P264" t="s">
        <v>10749</v>
      </c>
      <c r="Q264" t="s">
        <v>10765</v>
      </c>
      <c r="R264" t="s">
        <v>10825</v>
      </c>
      <c r="T264">
        <v>10400</v>
      </c>
      <c r="U264">
        <v>866.67</v>
      </c>
      <c r="V264">
        <v>53</v>
      </c>
      <c r="W264">
        <v>3</v>
      </c>
      <c r="X264">
        <v>2</v>
      </c>
      <c r="Z264">
        <v>34.47</v>
      </c>
      <c r="AA264">
        <v>40.673112</v>
      </c>
      <c r="AB264">
        <v>-73.907392</v>
      </c>
      <c r="AD264" t="s">
        <v>10840</v>
      </c>
      <c r="AF264" t="s">
        <v>10843</v>
      </c>
      <c r="AG264" t="s">
        <v>10859</v>
      </c>
      <c r="AH264" t="s">
        <v>10862</v>
      </c>
      <c r="AI264">
        <v>239</v>
      </c>
      <c r="AJ264" t="s">
        <v>10213</v>
      </c>
      <c r="AL264">
        <v>39.3</v>
      </c>
      <c r="AM264" t="s">
        <v>10889</v>
      </c>
      <c r="AN264" t="s">
        <v>10922</v>
      </c>
      <c r="AO264" t="s">
        <v>11012</v>
      </c>
      <c r="AP264" t="s">
        <v>11058</v>
      </c>
      <c r="AR264" t="s">
        <v>11257</v>
      </c>
      <c r="AS264" t="s">
        <v>11595</v>
      </c>
      <c r="BA264" t="s">
        <v>11738</v>
      </c>
      <c r="BB264">
        <v>0</v>
      </c>
      <c r="BC264">
        <v>0</v>
      </c>
      <c r="BD264">
        <v>0</v>
      </c>
      <c r="BE264">
        <v>0</v>
      </c>
      <c r="BF264">
        <v>5</v>
      </c>
      <c r="BG264">
        <v>0</v>
      </c>
    </row>
    <row r="265" spans="1:59">
      <c r="A265" s="1">
        <f>HYPERLINK("https://lsnyc.legalserver.org/matter/dynamic-profile/view/1903938","19-1903938")</f>
        <v>0</v>
      </c>
      <c r="B265" t="s">
        <v>293</v>
      </c>
      <c r="C265" t="s">
        <v>5222</v>
      </c>
      <c r="D265" t="s">
        <v>9954</v>
      </c>
      <c r="E265" t="s">
        <v>10075</v>
      </c>
      <c r="F265">
        <v>11372</v>
      </c>
      <c r="G265" t="s">
        <v>10092</v>
      </c>
      <c r="H265" t="s">
        <v>10097</v>
      </c>
      <c r="J265" t="s">
        <v>10212</v>
      </c>
      <c r="K265" t="s">
        <v>10218</v>
      </c>
      <c r="L265" t="s">
        <v>10140</v>
      </c>
      <c r="M265" t="s">
        <v>10350</v>
      </c>
      <c r="N265" t="s">
        <v>10689</v>
      </c>
      <c r="P265" t="s">
        <v>10754</v>
      </c>
      <c r="Q265" t="s">
        <v>10775</v>
      </c>
      <c r="R265" t="s">
        <v>10820</v>
      </c>
      <c r="T265">
        <v>0</v>
      </c>
      <c r="U265">
        <v>0</v>
      </c>
      <c r="V265">
        <v>35</v>
      </c>
      <c r="W265">
        <v>1</v>
      </c>
      <c r="X265">
        <v>1</v>
      </c>
      <c r="Y265" t="s">
        <v>10829</v>
      </c>
      <c r="Z265">
        <v>0</v>
      </c>
      <c r="AA265">
        <v>40.755114</v>
      </c>
      <c r="AB265">
        <v>-73.875263</v>
      </c>
      <c r="AD265" t="s">
        <v>10839</v>
      </c>
      <c r="AG265" t="s">
        <v>10858</v>
      </c>
      <c r="AH265" t="s">
        <v>10865</v>
      </c>
      <c r="AI265">
        <v>237</v>
      </c>
      <c r="AJ265" t="s">
        <v>10212</v>
      </c>
      <c r="AK265" t="s">
        <v>10837</v>
      </c>
      <c r="AL265">
        <v>1.25</v>
      </c>
      <c r="AM265" t="s">
        <v>10885</v>
      </c>
      <c r="AN265" t="s">
        <v>10909</v>
      </c>
      <c r="AO265" t="s">
        <v>11014</v>
      </c>
      <c r="AP265" t="s">
        <v>11053</v>
      </c>
      <c r="AR265" t="s">
        <v>11267</v>
      </c>
      <c r="AS265" t="s">
        <v>11594</v>
      </c>
      <c r="AY265" t="s">
        <v>10829</v>
      </c>
      <c r="AZ265" t="s">
        <v>11683</v>
      </c>
      <c r="BA265" t="s">
        <v>11741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0</v>
      </c>
    </row>
    <row r="266" spans="1:59">
      <c r="A266" s="1">
        <f>HYPERLINK("https://lsnyc.legalserver.org/matter/dynamic-profile/view/1903939","19-1903939")</f>
        <v>0</v>
      </c>
      <c r="B266" t="s">
        <v>294</v>
      </c>
      <c r="C266" t="s">
        <v>5223</v>
      </c>
      <c r="D266" t="s">
        <v>9926</v>
      </c>
      <c r="E266" t="s">
        <v>10075</v>
      </c>
      <c r="F266">
        <v>10467</v>
      </c>
      <c r="G266" t="s">
        <v>10090</v>
      </c>
      <c r="H266" t="s">
        <v>10097</v>
      </c>
      <c r="I266" t="s">
        <v>10168</v>
      </c>
      <c r="J266" t="s">
        <v>10210</v>
      </c>
      <c r="K266" t="s">
        <v>10218</v>
      </c>
      <c r="L266" t="s">
        <v>10101</v>
      </c>
      <c r="M266" t="s">
        <v>10372</v>
      </c>
      <c r="N266" t="s">
        <v>10677</v>
      </c>
      <c r="P266" t="s">
        <v>10749</v>
      </c>
      <c r="Q266" t="s">
        <v>10765</v>
      </c>
      <c r="R266" t="s">
        <v>10825</v>
      </c>
      <c r="T266">
        <v>15600</v>
      </c>
      <c r="U266">
        <v>1300</v>
      </c>
      <c r="V266">
        <v>79</v>
      </c>
      <c r="W266">
        <v>1</v>
      </c>
      <c r="X266">
        <v>0</v>
      </c>
      <c r="Y266" t="s">
        <v>10829</v>
      </c>
      <c r="Z266">
        <v>124.9</v>
      </c>
      <c r="AA266">
        <v>40.879565</v>
      </c>
      <c r="AB266">
        <v>-73.87673100000001</v>
      </c>
      <c r="AD266" t="s">
        <v>10822</v>
      </c>
      <c r="AG266" t="s">
        <v>10858</v>
      </c>
      <c r="AH266" t="s">
        <v>10869</v>
      </c>
      <c r="AI266">
        <v>230</v>
      </c>
      <c r="AJ266" t="s">
        <v>10210</v>
      </c>
      <c r="AK266" t="s">
        <v>10882</v>
      </c>
      <c r="AL266">
        <v>1.75</v>
      </c>
      <c r="AM266" t="s">
        <v>10887</v>
      </c>
      <c r="AN266" t="s">
        <v>10919</v>
      </c>
      <c r="AO266" t="s">
        <v>11010</v>
      </c>
      <c r="AP266" t="s">
        <v>11057</v>
      </c>
      <c r="AR266" t="s">
        <v>11300</v>
      </c>
      <c r="AS266" t="s">
        <v>9926</v>
      </c>
      <c r="AY266" t="s">
        <v>10829</v>
      </c>
      <c r="AZ266" t="s">
        <v>11681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</row>
    <row r="267" spans="1:59">
      <c r="A267" s="1">
        <f>HYPERLINK("https://lsnyc.legalserver.org/matter/dynamic-profile/view/1903940","19-1903940")</f>
        <v>0</v>
      </c>
      <c r="B267" t="s">
        <v>295</v>
      </c>
      <c r="C267" t="s">
        <v>5224</v>
      </c>
      <c r="D267" t="s">
        <v>9926</v>
      </c>
      <c r="E267" t="s">
        <v>10075</v>
      </c>
      <c r="F267">
        <v>10458</v>
      </c>
      <c r="G267" t="s">
        <v>10093</v>
      </c>
      <c r="H267" t="s">
        <v>10097</v>
      </c>
      <c r="I267" t="s">
        <v>10168</v>
      </c>
      <c r="J267" t="s">
        <v>10213</v>
      </c>
      <c r="K267" t="s">
        <v>10217</v>
      </c>
      <c r="M267" t="s">
        <v>10373</v>
      </c>
      <c r="N267" t="s">
        <v>10665</v>
      </c>
      <c r="P267" t="s">
        <v>10751</v>
      </c>
      <c r="Q267" t="s">
        <v>10773</v>
      </c>
      <c r="R267" t="s">
        <v>10827</v>
      </c>
      <c r="T267">
        <v>41652</v>
      </c>
      <c r="U267">
        <v>3471</v>
      </c>
      <c r="V267">
        <v>48</v>
      </c>
      <c r="W267">
        <v>3</v>
      </c>
      <c r="X267">
        <v>1</v>
      </c>
      <c r="Z267">
        <v>161.76</v>
      </c>
      <c r="AA267">
        <v>40.872017</v>
      </c>
      <c r="AB267">
        <v>-73.885604</v>
      </c>
      <c r="AD267" t="s">
        <v>10840</v>
      </c>
      <c r="AG267" t="s">
        <v>10858</v>
      </c>
      <c r="AH267" t="s">
        <v>10876</v>
      </c>
      <c r="AI267">
        <v>239</v>
      </c>
      <c r="AJ267" t="s">
        <v>10213</v>
      </c>
      <c r="AL267">
        <v>58.7</v>
      </c>
      <c r="AM267" t="s">
        <v>10887</v>
      </c>
      <c r="AN267" t="s">
        <v>10907</v>
      </c>
      <c r="AO267" t="s">
        <v>11002</v>
      </c>
      <c r="AP267" t="s">
        <v>11057</v>
      </c>
      <c r="AR267" t="s">
        <v>11257</v>
      </c>
      <c r="AS267" t="s">
        <v>9926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</row>
    <row r="268" spans="1:59">
      <c r="A268" s="1">
        <f>HYPERLINK("https://lsnyc.legalserver.org/matter/dynamic-profile/view/1903941","19-1903941")</f>
        <v>0</v>
      </c>
      <c r="B268" t="s">
        <v>296</v>
      </c>
      <c r="C268" t="s">
        <v>5225</v>
      </c>
      <c r="D268" t="s">
        <v>9926</v>
      </c>
      <c r="E268" t="s">
        <v>10075</v>
      </c>
      <c r="F268">
        <v>10459</v>
      </c>
      <c r="G268" t="s">
        <v>10090</v>
      </c>
      <c r="H268" t="s">
        <v>10097</v>
      </c>
      <c r="I268" t="s">
        <v>10168</v>
      </c>
      <c r="J268" t="s">
        <v>10210</v>
      </c>
      <c r="K268" t="s">
        <v>10218</v>
      </c>
      <c r="L268" t="s">
        <v>10128</v>
      </c>
      <c r="M268" t="s">
        <v>10262</v>
      </c>
      <c r="N268" t="s">
        <v>10666</v>
      </c>
      <c r="P268" t="s">
        <v>10749</v>
      </c>
      <c r="Q268" t="s">
        <v>10765</v>
      </c>
      <c r="R268" t="s">
        <v>10825</v>
      </c>
      <c r="T268">
        <v>18480</v>
      </c>
      <c r="U268">
        <v>1540</v>
      </c>
      <c r="V268">
        <v>36</v>
      </c>
      <c r="W268">
        <v>4</v>
      </c>
      <c r="X268">
        <v>0</v>
      </c>
      <c r="Y268" t="s">
        <v>10829</v>
      </c>
      <c r="Z268">
        <v>71.77</v>
      </c>
      <c r="AA268">
        <v>40.823633</v>
      </c>
      <c r="AB268">
        <v>-73.90176599999999</v>
      </c>
      <c r="AD268" t="s">
        <v>10840</v>
      </c>
      <c r="AG268" t="s">
        <v>10858</v>
      </c>
      <c r="AH268" t="s">
        <v>10862</v>
      </c>
      <c r="AI268">
        <v>230</v>
      </c>
      <c r="AJ268" t="s">
        <v>10210</v>
      </c>
      <c r="AK268" t="s">
        <v>10838</v>
      </c>
      <c r="AL268">
        <v>4.05</v>
      </c>
      <c r="AM268" t="s">
        <v>10884</v>
      </c>
      <c r="AN268" t="s">
        <v>10918</v>
      </c>
      <c r="AO268" t="s">
        <v>11001</v>
      </c>
      <c r="AP268" t="s">
        <v>11062</v>
      </c>
      <c r="AR268" t="s">
        <v>11263</v>
      </c>
      <c r="AS268" t="s">
        <v>9926</v>
      </c>
      <c r="AT268" t="s">
        <v>11642</v>
      </c>
      <c r="AX268" t="s">
        <v>10838</v>
      </c>
      <c r="AY268" t="s">
        <v>10829</v>
      </c>
      <c r="AZ268" t="s">
        <v>11681</v>
      </c>
      <c r="BA268" t="s">
        <v>11741</v>
      </c>
      <c r="BB268">
        <v>0</v>
      </c>
      <c r="BC268">
        <v>0</v>
      </c>
      <c r="BD268">
        <v>0</v>
      </c>
      <c r="BE268">
        <v>0</v>
      </c>
      <c r="BF268">
        <v>1</v>
      </c>
      <c r="BG268">
        <v>0</v>
      </c>
    </row>
    <row r="269" spans="1:59">
      <c r="A269" s="1">
        <f>HYPERLINK("https://lsnyc.legalserver.org/matter/dynamic-profile/view/1903943","19-1903943")</f>
        <v>0</v>
      </c>
      <c r="B269" t="s">
        <v>297</v>
      </c>
      <c r="C269" t="s">
        <v>5226</v>
      </c>
      <c r="D269" t="s">
        <v>9925</v>
      </c>
      <c r="E269" t="s">
        <v>10075</v>
      </c>
      <c r="F269">
        <v>10002</v>
      </c>
      <c r="G269" t="s">
        <v>10092</v>
      </c>
      <c r="H269" t="s">
        <v>10097</v>
      </c>
      <c r="I269" t="s">
        <v>10168</v>
      </c>
      <c r="J269" t="s">
        <v>10212</v>
      </c>
      <c r="K269" t="s">
        <v>10218</v>
      </c>
      <c r="L269" t="s">
        <v>10097</v>
      </c>
      <c r="M269" t="s">
        <v>10374</v>
      </c>
      <c r="N269" t="s">
        <v>10699</v>
      </c>
      <c r="P269" t="s">
        <v>10754</v>
      </c>
      <c r="Q269" t="s">
        <v>10777</v>
      </c>
      <c r="R269" t="s">
        <v>10824</v>
      </c>
      <c r="T269">
        <v>18900</v>
      </c>
      <c r="U269">
        <v>1575</v>
      </c>
      <c r="V269">
        <v>33</v>
      </c>
      <c r="W269">
        <v>1</v>
      </c>
      <c r="X269">
        <v>1</v>
      </c>
      <c r="Y269" t="s">
        <v>10829</v>
      </c>
      <c r="Z269">
        <v>111.77</v>
      </c>
      <c r="AA269">
        <v>40.717476</v>
      </c>
      <c r="AB269">
        <v>-73.980396</v>
      </c>
      <c r="AD269" t="s">
        <v>10839</v>
      </c>
      <c r="AG269" t="s">
        <v>10858</v>
      </c>
      <c r="AH269" t="s">
        <v>10865</v>
      </c>
      <c r="AI269">
        <v>237</v>
      </c>
      <c r="AJ269" t="s">
        <v>10212</v>
      </c>
      <c r="AK269" t="s">
        <v>10837</v>
      </c>
      <c r="AL269">
        <v>1</v>
      </c>
      <c r="AM269" t="s">
        <v>10886</v>
      </c>
      <c r="AN269" t="s">
        <v>10963</v>
      </c>
      <c r="AO269" t="s">
        <v>11004</v>
      </c>
      <c r="AP269" t="s">
        <v>11048</v>
      </c>
      <c r="AR269" t="s">
        <v>11257</v>
      </c>
      <c r="AS269" t="s">
        <v>9925</v>
      </c>
      <c r="AT269" t="s">
        <v>11641</v>
      </c>
      <c r="AX269" t="s">
        <v>10838</v>
      </c>
      <c r="AY269" t="s">
        <v>10829</v>
      </c>
      <c r="AZ269" t="s">
        <v>11683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</row>
    <row r="270" spans="1:59">
      <c r="A270" s="1">
        <f>HYPERLINK("https://lsnyc.legalserver.org/matter/dynamic-profile/view/1903944","19-1903944")</f>
        <v>0</v>
      </c>
      <c r="B270" t="s">
        <v>298</v>
      </c>
      <c r="C270" t="s">
        <v>5227</v>
      </c>
      <c r="D270" t="s">
        <v>9926</v>
      </c>
      <c r="E270" t="s">
        <v>10075</v>
      </c>
      <c r="F270">
        <v>10468</v>
      </c>
      <c r="G270" t="s">
        <v>10090</v>
      </c>
      <c r="H270" t="s">
        <v>10097</v>
      </c>
      <c r="I270" t="s">
        <v>10169</v>
      </c>
      <c r="J270" t="s">
        <v>10210</v>
      </c>
      <c r="K270" t="s">
        <v>10217</v>
      </c>
      <c r="M270" t="s">
        <v>10375</v>
      </c>
      <c r="N270" t="s">
        <v>10688</v>
      </c>
      <c r="P270" t="s">
        <v>10752</v>
      </c>
      <c r="Q270" t="s">
        <v>10795</v>
      </c>
      <c r="R270" t="s">
        <v>10823</v>
      </c>
      <c r="T270">
        <v>0</v>
      </c>
      <c r="U270">
        <v>0</v>
      </c>
      <c r="V270">
        <v>44</v>
      </c>
      <c r="W270">
        <v>2</v>
      </c>
      <c r="X270">
        <v>1</v>
      </c>
      <c r="Z270">
        <v>0</v>
      </c>
      <c r="AA270">
        <v>40.864048</v>
      </c>
      <c r="AB270">
        <v>-73.902592</v>
      </c>
      <c r="AD270" t="s">
        <v>10839</v>
      </c>
      <c r="AF270" t="s">
        <v>10843</v>
      </c>
      <c r="AG270" t="s">
        <v>10859</v>
      </c>
      <c r="AH270" t="s">
        <v>10861</v>
      </c>
      <c r="AI270">
        <v>230</v>
      </c>
      <c r="AJ270" t="s">
        <v>10210</v>
      </c>
      <c r="AL270">
        <v>0.25</v>
      </c>
      <c r="AR270" t="s">
        <v>11267</v>
      </c>
      <c r="AS270" t="s">
        <v>9926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</row>
    <row r="271" spans="1:59">
      <c r="A271" s="1">
        <f>HYPERLINK("https://lsnyc.legalserver.org/matter/dynamic-profile/view/1903945","19-1903945")</f>
        <v>0</v>
      </c>
      <c r="B271" t="s">
        <v>299</v>
      </c>
      <c r="C271" t="s">
        <v>5228</v>
      </c>
      <c r="D271" t="s">
        <v>9926</v>
      </c>
      <c r="E271" t="s">
        <v>10075</v>
      </c>
      <c r="F271">
        <v>10454</v>
      </c>
      <c r="G271" t="s">
        <v>10090</v>
      </c>
      <c r="H271" t="s">
        <v>10097</v>
      </c>
      <c r="I271" t="s">
        <v>10168</v>
      </c>
      <c r="J271" t="s">
        <v>10210</v>
      </c>
      <c r="K271" t="s">
        <v>10218</v>
      </c>
      <c r="L271" t="s">
        <v>10109</v>
      </c>
      <c r="M271" t="s">
        <v>10262</v>
      </c>
      <c r="N271" t="s">
        <v>10646</v>
      </c>
      <c r="P271" t="s">
        <v>10749</v>
      </c>
      <c r="Q271" t="s">
        <v>10765</v>
      </c>
      <c r="R271" t="s">
        <v>10821</v>
      </c>
      <c r="T271">
        <v>60519.68</v>
      </c>
      <c r="U271">
        <v>5043.31</v>
      </c>
      <c r="V271">
        <v>43</v>
      </c>
      <c r="W271">
        <v>2</v>
      </c>
      <c r="X271">
        <v>0</v>
      </c>
      <c r="Y271" t="s">
        <v>10829</v>
      </c>
      <c r="Z271">
        <v>357.89</v>
      </c>
      <c r="AA271">
        <v>40.805791</v>
      </c>
      <c r="AB271">
        <v>-73.923524</v>
      </c>
      <c r="AC271" t="s">
        <v>10837</v>
      </c>
      <c r="AD271" t="s">
        <v>10840</v>
      </c>
      <c r="AG271" t="s">
        <v>10858</v>
      </c>
      <c r="AH271" t="s">
        <v>10862</v>
      </c>
      <c r="AI271">
        <v>230</v>
      </c>
      <c r="AJ271" t="s">
        <v>10210</v>
      </c>
      <c r="AK271" t="s">
        <v>10882</v>
      </c>
      <c r="AL271">
        <v>0.8</v>
      </c>
      <c r="AM271" t="s">
        <v>10884</v>
      </c>
      <c r="AN271" t="s">
        <v>10924</v>
      </c>
      <c r="AO271" t="s">
        <v>11013</v>
      </c>
      <c r="AP271" t="s">
        <v>11066</v>
      </c>
      <c r="AR271" t="s">
        <v>11257</v>
      </c>
      <c r="AS271" t="s">
        <v>9926</v>
      </c>
      <c r="AX271" t="s">
        <v>10838</v>
      </c>
      <c r="AY271" t="s">
        <v>10829</v>
      </c>
      <c r="AZ271" t="s">
        <v>11681</v>
      </c>
      <c r="BA271" t="s">
        <v>11741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0</v>
      </c>
    </row>
    <row r="272" spans="1:59">
      <c r="A272" s="1">
        <f>HYPERLINK("https://lsnyc.legalserver.org/matter/dynamic-profile/view/1903946","19-1903946")</f>
        <v>0</v>
      </c>
      <c r="B272" t="s">
        <v>298</v>
      </c>
      <c r="C272" t="s">
        <v>5227</v>
      </c>
      <c r="D272" t="s">
        <v>9926</v>
      </c>
      <c r="E272" t="s">
        <v>10075</v>
      </c>
      <c r="F272">
        <v>10468</v>
      </c>
      <c r="G272" t="s">
        <v>10090</v>
      </c>
      <c r="H272" t="s">
        <v>10097</v>
      </c>
      <c r="I272" t="s">
        <v>10169</v>
      </c>
      <c r="J272" t="s">
        <v>10210</v>
      </c>
      <c r="K272" t="s">
        <v>10217</v>
      </c>
      <c r="M272" t="s">
        <v>10375</v>
      </c>
      <c r="N272" t="s">
        <v>10688</v>
      </c>
      <c r="P272" t="s">
        <v>10751</v>
      </c>
      <c r="Q272" t="s">
        <v>10796</v>
      </c>
      <c r="R272" t="s">
        <v>10823</v>
      </c>
      <c r="T272">
        <v>0</v>
      </c>
      <c r="U272">
        <v>0</v>
      </c>
      <c r="V272">
        <v>44</v>
      </c>
      <c r="W272">
        <v>2</v>
      </c>
      <c r="X272">
        <v>1</v>
      </c>
      <c r="Z272">
        <v>0</v>
      </c>
      <c r="AA272">
        <v>40.864048</v>
      </c>
      <c r="AB272">
        <v>-73.902592</v>
      </c>
      <c r="AD272" t="s">
        <v>10839</v>
      </c>
      <c r="AF272" t="s">
        <v>10843</v>
      </c>
      <c r="AG272" t="s">
        <v>10859</v>
      </c>
      <c r="AH272" t="s">
        <v>10861</v>
      </c>
      <c r="AI272">
        <v>230</v>
      </c>
      <c r="AJ272" t="s">
        <v>10210</v>
      </c>
      <c r="AL272">
        <v>0.1</v>
      </c>
      <c r="AR272" t="s">
        <v>11267</v>
      </c>
      <c r="AS272" t="s">
        <v>9926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</row>
    <row r="273" spans="1:59">
      <c r="A273" s="1">
        <f>HYPERLINK("https://lsnyc.legalserver.org/matter/dynamic-profile/view/1903947","19-1903947")</f>
        <v>0</v>
      </c>
      <c r="B273" t="s">
        <v>300</v>
      </c>
      <c r="C273" t="s">
        <v>5229</v>
      </c>
      <c r="D273" t="s">
        <v>9926</v>
      </c>
      <c r="E273" t="s">
        <v>10075</v>
      </c>
      <c r="F273">
        <v>10452</v>
      </c>
      <c r="G273" t="s">
        <v>10090</v>
      </c>
      <c r="H273" t="s">
        <v>10094</v>
      </c>
      <c r="I273" t="s">
        <v>10168</v>
      </c>
      <c r="J273" t="s">
        <v>10210</v>
      </c>
      <c r="K273" t="s">
        <v>10217</v>
      </c>
      <c r="M273" t="s">
        <v>10250</v>
      </c>
      <c r="N273" t="s">
        <v>10650</v>
      </c>
      <c r="P273" t="s">
        <v>10749</v>
      </c>
      <c r="Q273" t="s">
        <v>10765</v>
      </c>
      <c r="R273" t="s">
        <v>10824</v>
      </c>
      <c r="T273">
        <v>51400</v>
      </c>
      <c r="U273">
        <v>4283.33</v>
      </c>
      <c r="V273">
        <v>57</v>
      </c>
      <c r="W273">
        <v>2</v>
      </c>
      <c r="X273">
        <v>0</v>
      </c>
      <c r="Z273">
        <v>303.96</v>
      </c>
      <c r="AA273">
        <v>40.837158</v>
      </c>
      <c r="AB273">
        <v>-73.923618</v>
      </c>
      <c r="AD273" t="s">
        <v>10839</v>
      </c>
      <c r="AG273" t="s">
        <v>10858</v>
      </c>
      <c r="AH273" t="s">
        <v>10862</v>
      </c>
      <c r="AI273">
        <v>230</v>
      </c>
      <c r="AJ273" t="s">
        <v>10210</v>
      </c>
      <c r="AL273">
        <v>1.2</v>
      </c>
      <c r="AM273" t="s">
        <v>10884</v>
      </c>
      <c r="AN273" t="s">
        <v>10929</v>
      </c>
      <c r="AO273" t="s">
        <v>11013</v>
      </c>
      <c r="AP273" t="s">
        <v>11055</v>
      </c>
      <c r="AR273" t="s">
        <v>11257</v>
      </c>
      <c r="AS273" t="s">
        <v>9926</v>
      </c>
      <c r="BA273" t="s">
        <v>11739</v>
      </c>
      <c r="BB273">
        <v>0</v>
      </c>
      <c r="BC273">
        <v>0</v>
      </c>
      <c r="BD273">
        <v>0</v>
      </c>
      <c r="BE273">
        <v>0</v>
      </c>
      <c r="BF273">
        <v>4</v>
      </c>
      <c r="BG273">
        <v>0</v>
      </c>
    </row>
    <row r="274" spans="1:59">
      <c r="A274" s="1">
        <f>HYPERLINK("https://lsnyc.legalserver.org/matter/dynamic-profile/view/1903948","19-1903948")</f>
        <v>0</v>
      </c>
      <c r="B274" t="s">
        <v>301</v>
      </c>
      <c r="C274" t="s">
        <v>5230</v>
      </c>
      <c r="D274" t="s">
        <v>9929</v>
      </c>
      <c r="E274" t="s">
        <v>10075</v>
      </c>
      <c r="F274">
        <v>10303</v>
      </c>
      <c r="G274" t="s">
        <v>10088</v>
      </c>
      <c r="H274" t="s">
        <v>10094</v>
      </c>
      <c r="I274" t="s">
        <v>10169</v>
      </c>
      <c r="J274" t="s">
        <v>10208</v>
      </c>
      <c r="K274" t="s">
        <v>10217</v>
      </c>
      <c r="M274" t="s">
        <v>10376</v>
      </c>
      <c r="N274" t="s">
        <v>10673</v>
      </c>
      <c r="P274" t="s">
        <v>10753</v>
      </c>
      <c r="Q274" t="s">
        <v>10763</v>
      </c>
      <c r="R274" t="s">
        <v>10821</v>
      </c>
      <c r="T274">
        <v>12480</v>
      </c>
      <c r="U274">
        <v>1040</v>
      </c>
      <c r="V274">
        <v>42</v>
      </c>
      <c r="W274">
        <v>1</v>
      </c>
      <c r="X274">
        <v>1</v>
      </c>
      <c r="Z274">
        <v>73.8</v>
      </c>
      <c r="AA274">
        <v>40.630459</v>
      </c>
      <c r="AB274">
        <v>-74.15507700000001</v>
      </c>
      <c r="AD274" t="s">
        <v>10839</v>
      </c>
      <c r="AF274" t="s">
        <v>10842</v>
      </c>
      <c r="AG274" t="s">
        <v>10859</v>
      </c>
      <c r="AH274" t="s">
        <v>10861</v>
      </c>
      <c r="AI274">
        <v>285</v>
      </c>
      <c r="AJ274" t="s">
        <v>10208</v>
      </c>
      <c r="AL274">
        <v>1.5</v>
      </c>
      <c r="AM274" t="s">
        <v>10883</v>
      </c>
      <c r="AN274" t="s">
        <v>10913</v>
      </c>
      <c r="AO274" t="s">
        <v>11006</v>
      </c>
      <c r="AP274" t="s">
        <v>11051</v>
      </c>
      <c r="AQ274" t="s">
        <v>11109</v>
      </c>
      <c r="AR274" t="s">
        <v>11257</v>
      </c>
      <c r="AS274" t="s">
        <v>11593</v>
      </c>
      <c r="AT274" t="s">
        <v>11641</v>
      </c>
      <c r="AX274" t="s">
        <v>10838</v>
      </c>
      <c r="BA274" t="s">
        <v>11739</v>
      </c>
      <c r="BB274">
        <v>0</v>
      </c>
      <c r="BC274">
        <v>0</v>
      </c>
      <c r="BD274">
        <v>0</v>
      </c>
      <c r="BE274">
        <v>0</v>
      </c>
      <c r="BF274">
        <v>4</v>
      </c>
      <c r="BG274">
        <v>0</v>
      </c>
    </row>
    <row r="275" spans="1:59">
      <c r="A275" s="1">
        <f>HYPERLINK("https://lsnyc.legalserver.org/matter/dynamic-profile/view/1903949","19-1903949")</f>
        <v>0</v>
      </c>
      <c r="B275" t="s">
        <v>302</v>
      </c>
      <c r="C275" t="s">
        <v>5231</v>
      </c>
      <c r="D275" t="s">
        <v>9926</v>
      </c>
      <c r="E275" t="s">
        <v>10075</v>
      </c>
      <c r="F275">
        <v>10452</v>
      </c>
      <c r="G275" t="s">
        <v>10090</v>
      </c>
      <c r="H275" t="s">
        <v>10094</v>
      </c>
      <c r="I275" t="s">
        <v>10168</v>
      </c>
      <c r="J275" t="s">
        <v>10210</v>
      </c>
      <c r="K275" t="s">
        <v>10217</v>
      </c>
      <c r="M275" t="s">
        <v>10250</v>
      </c>
      <c r="N275" t="s">
        <v>10650</v>
      </c>
      <c r="P275" t="s">
        <v>10749</v>
      </c>
      <c r="Q275" t="s">
        <v>10765</v>
      </c>
      <c r="R275" t="s">
        <v>10824</v>
      </c>
      <c r="T275">
        <v>46800</v>
      </c>
      <c r="U275">
        <v>3900</v>
      </c>
      <c r="V275">
        <v>61</v>
      </c>
      <c r="W275">
        <v>2</v>
      </c>
      <c r="X275">
        <v>0</v>
      </c>
      <c r="Z275">
        <v>276.76</v>
      </c>
      <c r="AA275">
        <v>40.832015</v>
      </c>
      <c r="AB275">
        <v>-73.927027</v>
      </c>
      <c r="AD275" t="s">
        <v>10840</v>
      </c>
      <c r="AG275" t="s">
        <v>10858</v>
      </c>
      <c r="AH275" t="s">
        <v>10862</v>
      </c>
      <c r="AI275">
        <v>230</v>
      </c>
      <c r="AJ275" t="s">
        <v>10210</v>
      </c>
      <c r="AL275">
        <v>1.2</v>
      </c>
      <c r="AM275" t="s">
        <v>10884</v>
      </c>
      <c r="AN275" t="s">
        <v>10929</v>
      </c>
      <c r="AO275" t="s">
        <v>11013</v>
      </c>
      <c r="AP275" t="s">
        <v>11055</v>
      </c>
      <c r="AR275" t="s">
        <v>11257</v>
      </c>
      <c r="AS275" t="s">
        <v>9926</v>
      </c>
      <c r="BA275" t="s">
        <v>11739</v>
      </c>
      <c r="BB275">
        <v>0</v>
      </c>
      <c r="BC275">
        <v>0</v>
      </c>
      <c r="BD275">
        <v>0</v>
      </c>
      <c r="BE275">
        <v>0</v>
      </c>
      <c r="BF275">
        <v>4</v>
      </c>
      <c r="BG275">
        <v>0</v>
      </c>
    </row>
    <row r="276" spans="1:59">
      <c r="A276" s="1">
        <f>HYPERLINK("https://lsnyc.legalserver.org/matter/dynamic-profile/view/1903951","19-1903951")</f>
        <v>0</v>
      </c>
      <c r="B276" t="s">
        <v>303</v>
      </c>
      <c r="C276" t="s">
        <v>5232</v>
      </c>
      <c r="D276" t="s">
        <v>9929</v>
      </c>
      <c r="E276" t="s">
        <v>10075</v>
      </c>
      <c r="F276">
        <v>10301</v>
      </c>
      <c r="G276" t="s">
        <v>10088</v>
      </c>
      <c r="H276" t="s">
        <v>10097</v>
      </c>
      <c r="I276" t="s">
        <v>10168</v>
      </c>
      <c r="J276" t="s">
        <v>10208</v>
      </c>
      <c r="K276" t="s">
        <v>10217</v>
      </c>
      <c r="M276" t="s">
        <v>10377</v>
      </c>
      <c r="N276" t="s">
        <v>10700</v>
      </c>
      <c r="P276" t="s">
        <v>10754</v>
      </c>
      <c r="Q276" t="s">
        <v>10766</v>
      </c>
      <c r="R276" t="s">
        <v>10821</v>
      </c>
      <c r="T276">
        <v>28000</v>
      </c>
      <c r="U276">
        <v>2333.33</v>
      </c>
      <c r="V276">
        <v>28</v>
      </c>
      <c r="W276">
        <v>1</v>
      </c>
      <c r="X276">
        <v>1</v>
      </c>
      <c r="Z276">
        <v>165.58</v>
      </c>
      <c r="AA276">
        <v>40.642502</v>
      </c>
      <c r="AB276">
        <v>-74.084226</v>
      </c>
      <c r="AD276" t="s">
        <v>10839</v>
      </c>
      <c r="AG276" t="s">
        <v>10858</v>
      </c>
      <c r="AH276" t="s">
        <v>10861</v>
      </c>
      <c r="AI276">
        <v>285</v>
      </c>
      <c r="AJ276" t="s">
        <v>10208</v>
      </c>
      <c r="AL276">
        <v>3.2</v>
      </c>
      <c r="AM276" t="s">
        <v>10883</v>
      </c>
      <c r="AN276" t="s">
        <v>10913</v>
      </c>
      <c r="AO276" t="s">
        <v>11006</v>
      </c>
      <c r="AP276" t="s">
        <v>11051</v>
      </c>
      <c r="AQ276" t="s">
        <v>11112</v>
      </c>
      <c r="AR276" t="s">
        <v>11257</v>
      </c>
      <c r="AS276" t="s">
        <v>11593</v>
      </c>
      <c r="AT276" t="s">
        <v>11641</v>
      </c>
      <c r="AX276" t="s">
        <v>10838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</row>
    <row r="277" spans="1:59">
      <c r="A277" s="1">
        <f>HYPERLINK("https://lsnyc.legalserver.org/matter/dynamic-profile/view/1903952","19-1903952")</f>
        <v>0</v>
      </c>
      <c r="B277" t="s">
        <v>303</v>
      </c>
      <c r="C277" t="s">
        <v>5232</v>
      </c>
      <c r="D277" t="s">
        <v>9929</v>
      </c>
      <c r="E277" t="s">
        <v>10075</v>
      </c>
      <c r="F277">
        <v>10301</v>
      </c>
      <c r="G277" t="s">
        <v>10088</v>
      </c>
      <c r="H277" t="s">
        <v>10097</v>
      </c>
      <c r="I277" t="s">
        <v>10168</v>
      </c>
      <c r="J277" t="s">
        <v>10208</v>
      </c>
      <c r="K277" t="s">
        <v>10217</v>
      </c>
      <c r="M277" t="s">
        <v>10377</v>
      </c>
      <c r="N277" t="s">
        <v>10701</v>
      </c>
      <c r="P277" t="s">
        <v>10754</v>
      </c>
      <c r="Q277" t="s">
        <v>10777</v>
      </c>
      <c r="R277" t="s">
        <v>10821</v>
      </c>
      <c r="T277">
        <v>28000</v>
      </c>
      <c r="U277">
        <v>2333.33</v>
      </c>
      <c r="V277">
        <v>28</v>
      </c>
      <c r="W277">
        <v>1</v>
      </c>
      <c r="X277">
        <v>1</v>
      </c>
      <c r="Z277">
        <v>165.58</v>
      </c>
      <c r="AA277">
        <v>40.642502</v>
      </c>
      <c r="AB277">
        <v>-74.084226</v>
      </c>
      <c r="AD277" t="s">
        <v>10839</v>
      </c>
      <c r="AG277" t="s">
        <v>10858</v>
      </c>
      <c r="AH277" t="s">
        <v>10861</v>
      </c>
      <c r="AI277">
        <v>285</v>
      </c>
      <c r="AJ277" t="s">
        <v>10208</v>
      </c>
      <c r="AL277">
        <v>1.5</v>
      </c>
      <c r="AM277" t="s">
        <v>10883</v>
      </c>
      <c r="AN277" t="s">
        <v>10913</v>
      </c>
      <c r="AO277" t="s">
        <v>11006</v>
      </c>
      <c r="AP277" t="s">
        <v>11051</v>
      </c>
      <c r="AQ277" t="s">
        <v>11128</v>
      </c>
      <c r="AR277" t="s">
        <v>11257</v>
      </c>
      <c r="AS277" t="s">
        <v>11593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</row>
    <row r="278" spans="1:59">
      <c r="A278" s="1">
        <f>HYPERLINK("https://lsnyc.legalserver.org/matter/dynamic-profile/view/1903953","19-1903953")</f>
        <v>0</v>
      </c>
      <c r="B278" t="s">
        <v>304</v>
      </c>
      <c r="C278" t="s">
        <v>5233</v>
      </c>
      <c r="D278" t="s">
        <v>9928</v>
      </c>
      <c r="E278" t="s">
        <v>10075</v>
      </c>
      <c r="F278">
        <v>11210</v>
      </c>
      <c r="G278" t="s">
        <v>10093</v>
      </c>
      <c r="H278" t="s">
        <v>10094</v>
      </c>
      <c r="I278" t="s">
        <v>10168</v>
      </c>
      <c r="J278" t="s">
        <v>10213</v>
      </c>
      <c r="K278" t="s">
        <v>10217</v>
      </c>
      <c r="M278" t="s">
        <v>10265</v>
      </c>
      <c r="N278" t="s">
        <v>10671</v>
      </c>
      <c r="P278" t="s">
        <v>10751</v>
      </c>
      <c r="Q278" t="s">
        <v>10761</v>
      </c>
      <c r="R278" t="s">
        <v>10824</v>
      </c>
      <c r="T278">
        <v>0</v>
      </c>
      <c r="U278">
        <v>0</v>
      </c>
      <c r="V278">
        <v>44</v>
      </c>
      <c r="W278">
        <v>2</v>
      </c>
      <c r="X278">
        <v>2</v>
      </c>
      <c r="Z278">
        <v>0</v>
      </c>
      <c r="AA278">
        <v>40.638417</v>
      </c>
      <c r="AB278">
        <v>-73.942858</v>
      </c>
      <c r="AD278" t="s">
        <v>10839</v>
      </c>
      <c r="AG278" t="s">
        <v>10858</v>
      </c>
      <c r="AH278" t="s">
        <v>10862</v>
      </c>
      <c r="AI278">
        <v>239</v>
      </c>
      <c r="AJ278" t="s">
        <v>10213</v>
      </c>
      <c r="AL278">
        <v>7.1</v>
      </c>
      <c r="AM278" t="s">
        <v>10888</v>
      </c>
      <c r="AN278" t="s">
        <v>10925</v>
      </c>
      <c r="AO278" t="s">
        <v>11008</v>
      </c>
      <c r="AP278" t="s">
        <v>11065</v>
      </c>
      <c r="AR278" t="s">
        <v>11267</v>
      </c>
      <c r="AS278" t="s">
        <v>11595</v>
      </c>
      <c r="BA278" t="s">
        <v>11737</v>
      </c>
      <c r="BB278">
        <v>0</v>
      </c>
      <c r="BC278">
        <v>0</v>
      </c>
      <c r="BD278">
        <v>0</v>
      </c>
      <c r="BE278">
        <v>0</v>
      </c>
      <c r="BF278">
        <v>3</v>
      </c>
      <c r="BG278">
        <v>0</v>
      </c>
    </row>
    <row r="279" spans="1:59">
      <c r="A279" s="1">
        <f>HYPERLINK("https://lsnyc.legalserver.org/matter/dynamic-profile/view/1903954","19-1903954")</f>
        <v>0</v>
      </c>
      <c r="B279" t="s">
        <v>305</v>
      </c>
      <c r="C279" t="s">
        <v>5234</v>
      </c>
      <c r="D279" t="s">
        <v>9928</v>
      </c>
      <c r="E279" t="s">
        <v>10075</v>
      </c>
      <c r="F279">
        <v>11203</v>
      </c>
      <c r="G279" t="s">
        <v>10093</v>
      </c>
      <c r="H279" t="s">
        <v>10094</v>
      </c>
      <c r="I279" t="s">
        <v>10168</v>
      </c>
      <c r="J279" t="s">
        <v>10213</v>
      </c>
      <c r="K279" t="s">
        <v>10218</v>
      </c>
      <c r="L279" t="s">
        <v>10124</v>
      </c>
      <c r="M279" t="s">
        <v>10378</v>
      </c>
      <c r="N279" t="s">
        <v>10698</v>
      </c>
      <c r="P279" t="s">
        <v>10749</v>
      </c>
      <c r="Q279" t="s">
        <v>10765</v>
      </c>
      <c r="R279" t="s">
        <v>10820</v>
      </c>
      <c r="T279">
        <v>10584</v>
      </c>
      <c r="U279">
        <v>882</v>
      </c>
      <c r="V279">
        <v>39</v>
      </c>
      <c r="W279">
        <v>5</v>
      </c>
      <c r="X279">
        <v>0</v>
      </c>
      <c r="Y279" t="s">
        <v>10829</v>
      </c>
      <c r="Z279">
        <v>35.08</v>
      </c>
      <c r="AA279">
        <v>40.654942</v>
      </c>
      <c r="AB279">
        <v>-73.92653300000001</v>
      </c>
      <c r="AD279" t="s">
        <v>10839</v>
      </c>
      <c r="AG279" t="s">
        <v>10858</v>
      </c>
      <c r="AH279" t="s">
        <v>10868</v>
      </c>
      <c r="AI279">
        <v>239</v>
      </c>
      <c r="AJ279" t="s">
        <v>10213</v>
      </c>
      <c r="AK279" t="s">
        <v>10838</v>
      </c>
      <c r="AL279">
        <v>4.25</v>
      </c>
      <c r="AM279" t="s">
        <v>10888</v>
      </c>
      <c r="AN279" t="s">
        <v>10925</v>
      </c>
      <c r="AO279" t="s">
        <v>11005</v>
      </c>
      <c r="AP279" t="s">
        <v>11064</v>
      </c>
      <c r="AR279" t="s">
        <v>11319</v>
      </c>
      <c r="AS279" t="s">
        <v>11595</v>
      </c>
      <c r="AT279" t="s">
        <v>11641</v>
      </c>
      <c r="AX279" t="s">
        <v>10838</v>
      </c>
      <c r="AY279" t="s">
        <v>10829</v>
      </c>
      <c r="AZ279" t="s">
        <v>11681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</row>
    <row r="280" spans="1:59">
      <c r="A280" s="1">
        <f>HYPERLINK("https://lsnyc.legalserver.org/matter/dynamic-profile/view/1903955","19-1903955")</f>
        <v>0</v>
      </c>
      <c r="B280" t="s">
        <v>306</v>
      </c>
      <c r="C280" t="s">
        <v>5235</v>
      </c>
      <c r="D280" t="s">
        <v>9926</v>
      </c>
      <c r="E280" t="s">
        <v>10075</v>
      </c>
      <c r="F280">
        <v>10460</v>
      </c>
      <c r="G280" t="s">
        <v>10093</v>
      </c>
      <c r="H280" t="s">
        <v>10094</v>
      </c>
      <c r="I280" t="s">
        <v>10168</v>
      </c>
      <c r="J280" t="s">
        <v>10213</v>
      </c>
      <c r="K280" t="s">
        <v>10218</v>
      </c>
      <c r="L280" t="s">
        <v>10117</v>
      </c>
      <c r="M280" t="s">
        <v>10290</v>
      </c>
      <c r="N280" t="s">
        <v>10665</v>
      </c>
      <c r="P280" t="s">
        <v>10751</v>
      </c>
      <c r="Q280" t="s">
        <v>10773</v>
      </c>
      <c r="R280" t="s">
        <v>10824</v>
      </c>
      <c r="T280">
        <v>18538</v>
      </c>
      <c r="U280">
        <v>1544.83</v>
      </c>
      <c r="V280">
        <v>56</v>
      </c>
      <c r="W280">
        <v>2</v>
      </c>
      <c r="X280">
        <v>0</v>
      </c>
      <c r="Y280" t="s">
        <v>10829</v>
      </c>
      <c r="Z280">
        <v>109.63</v>
      </c>
      <c r="AA280">
        <v>40.842489</v>
      </c>
      <c r="AB280">
        <v>-73.88598500000001</v>
      </c>
      <c r="AD280" t="s">
        <v>10840</v>
      </c>
      <c r="AF280" t="s">
        <v>10843</v>
      </c>
      <c r="AG280" t="s">
        <v>10859</v>
      </c>
      <c r="AH280" t="s">
        <v>10861</v>
      </c>
      <c r="AI280">
        <v>234</v>
      </c>
      <c r="AJ280" t="s">
        <v>10214</v>
      </c>
      <c r="AK280" t="s">
        <v>10838</v>
      </c>
      <c r="AL280">
        <v>1.75</v>
      </c>
      <c r="AM280" t="s">
        <v>10884</v>
      </c>
      <c r="AN280" t="s">
        <v>10918</v>
      </c>
      <c r="AO280" t="s">
        <v>11001</v>
      </c>
      <c r="AP280" t="s">
        <v>11062</v>
      </c>
      <c r="AR280" t="s">
        <v>11257</v>
      </c>
      <c r="AS280" t="s">
        <v>9926</v>
      </c>
      <c r="AT280" t="s">
        <v>11642</v>
      </c>
      <c r="AX280" t="s">
        <v>10838</v>
      </c>
      <c r="AY280" t="s">
        <v>10829</v>
      </c>
      <c r="AZ280" t="s">
        <v>11682</v>
      </c>
      <c r="BA280" t="s">
        <v>11741</v>
      </c>
      <c r="BB280">
        <v>0</v>
      </c>
      <c r="BC280">
        <v>0</v>
      </c>
      <c r="BD280">
        <v>0</v>
      </c>
      <c r="BE280">
        <v>0</v>
      </c>
      <c r="BF280">
        <v>1</v>
      </c>
      <c r="BG280">
        <v>0</v>
      </c>
    </row>
    <row r="281" spans="1:59">
      <c r="A281" s="1">
        <f>HYPERLINK("https://lsnyc.legalserver.org/matter/dynamic-profile/view/1903956","19-1903956")</f>
        <v>0</v>
      </c>
      <c r="B281" t="s">
        <v>307</v>
      </c>
      <c r="C281" t="s">
        <v>5236</v>
      </c>
      <c r="D281" t="s">
        <v>9925</v>
      </c>
      <c r="E281" t="s">
        <v>10075</v>
      </c>
      <c r="F281">
        <v>10031</v>
      </c>
      <c r="G281" t="s">
        <v>10089</v>
      </c>
      <c r="H281" t="s">
        <v>10094</v>
      </c>
      <c r="I281" t="s">
        <v>10168</v>
      </c>
      <c r="J281" t="s">
        <v>10209</v>
      </c>
      <c r="K281" t="s">
        <v>10217</v>
      </c>
      <c r="M281" t="s">
        <v>10379</v>
      </c>
      <c r="N281" t="s">
        <v>10702</v>
      </c>
      <c r="P281" t="s">
        <v>10749</v>
      </c>
      <c r="Q281" t="s">
        <v>10765</v>
      </c>
      <c r="R281" t="s">
        <v>10824</v>
      </c>
      <c r="T281">
        <v>46514</v>
      </c>
      <c r="U281">
        <v>3876.17</v>
      </c>
      <c r="V281">
        <v>34</v>
      </c>
      <c r="W281">
        <v>1</v>
      </c>
      <c r="X281">
        <v>4</v>
      </c>
      <c r="Z281">
        <v>154.17</v>
      </c>
      <c r="AA281">
        <v>40.827091</v>
      </c>
      <c r="AB281">
        <v>-73.94670499999999</v>
      </c>
      <c r="AD281" t="s">
        <v>10839</v>
      </c>
      <c r="AG281" t="s">
        <v>10858</v>
      </c>
      <c r="AH281" t="s">
        <v>10862</v>
      </c>
      <c r="AI281">
        <v>236</v>
      </c>
      <c r="AJ281" t="s">
        <v>10209</v>
      </c>
      <c r="AL281">
        <v>8.949999999999999</v>
      </c>
      <c r="AM281" t="s">
        <v>10887</v>
      </c>
      <c r="AN281" t="s">
        <v>10943</v>
      </c>
      <c r="AO281" t="s">
        <v>11019</v>
      </c>
      <c r="AP281" t="s">
        <v>11073</v>
      </c>
      <c r="AR281" t="s">
        <v>11257</v>
      </c>
      <c r="AS281" t="s">
        <v>9925</v>
      </c>
      <c r="BA281" t="s">
        <v>11738</v>
      </c>
      <c r="BB281">
        <v>0</v>
      </c>
      <c r="BC281">
        <v>0</v>
      </c>
      <c r="BD281">
        <v>0</v>
      </c>
      <c r="BE281">
        <v>0</v>
      </c>
      <c r="BF281">
        <v>5</v>
      </c>
      <c r="BG281">
        <v>0</v>
      </c>
    </row>
    <row r="282" spans="1:59">
      <c r="A282" s="1">
        <f>HYPERLINK("https://lsnyc.legalserver.org/matter/dynamic-profile/view/1903958","19-1903958")</f>
        <v>0</v>
      </c>
      <c r="B282" t="s">
        <v>308</v>
      </c>
      <c r="C282" t="s">
        <v>5237</v>
      </c>
      <c r="D282" t="s">
        <v>9926</v>
      </c>
      <c r="E282" t="s">
        <v>10075</v>
      </c>
      <c r="F282">
        <v>10453</v>
      </c>
      <c r="G282" t="s">
        <v>10090</v>
      </c>
      <c r="H282" t="s">
        <v>10094</v>
      </c>
      <c r="I282" t="s">
        <v>10168</v>
      </c>
      <c r="J282" t="s">
        <v>10210</v>
      </c>
      <c r="K282" t="s">
        <v>10217</v>
      </c>
      <c r="M282" t="s">
        <v>10380</v>
      </c>
      <c r="N282" t="s">
        <v>10649</v>
      </c>
      <c r="P282" t="s">
        <v>10753</v>
      </c>
      <c r="Q282" t="s">
        <v>10763</v>
      </c>
      <c r="R282" t="s">
        <v>10824</v>
      </c>
      <c r="T282">
        <v>948</v>
      </c>
      <c r="U282">
        <v>79</v>
      </c>
      <c r="V282">
        <v>33</v>
      </c>
      <c r="W282">
        <v>1</v>
      </c>
      <c r="X282">
        <v>0</v>
      </c>
      <c r="Z282">
        <v>7.59</v>
      </c>
      <c r="AA282">
        <v>40.857089</v>
      </c>
      <c r="AB282">
        <v>-73.90527899999999</v>
      </c>
      <c r="AD282" t="s">
        <v>10840</v>
      </c>
      <c r="AF282" t="s">
        <v>10843</v>
      </c>
      <c r="AG282" t="s">
        <v>10859</v>
      </c>
      <c r="AH282" t="s">
        <v>10864</v>
      </c>
      <c r="AI282">
        <v>230</v>
      </c>
      <c r="AJ282" t="s">
        <v>10210</v>
      </c>
      <c r="AL282">
        <v>5</v>
      </c>
      <c r="AM282" t="s">
        <v>10884</v>
      </c>
      <c r="AN282" t="s">
        <v>10931</v>
      </c>
      <c r="AO282" t="s">
        <v>11000</v>
      </c>
      <c r="AP282" t="s">
        <v>11045</v>
      </c>
      <c r="AQ282" t="s">
        <v>11131</v>
      </c>
      <c r="AR282" t="s">
        <v>11273</v>
      </c>
      <c r="AS282" t="s">
        <v>9926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</row>
    <row r="283" spans="1:59">
      <c r="A283" s="1">
        <f>HYPERLINK("https://lsnyc.legalserver.org/matter/dynamic-profile/view/1903959","19-1903959")</f>
        <v>0</v>
      </c>
      <c r="B283" t="s">
        <v>309</v>
      </c>
      <c r="C283" t="s">
        <v>5238</v>
      </c>
      <c r="D283" t="s">
        <v>9928</v>
      </c>
      <c r="E283" t="s">
        <v>10075</v>
      </c>
      <c r="F283">
        <v>11220</v>
      </c>
      <c r="G283" t="s">
        <v>10093</v>
      </c>
      <c r="H283" t="s">
        <v>10094</v>
      </c>
      <c r="I283" t="s">
        <v>10168</v>
      </c>
      <c r="J283" t="s">
        <v>10213</v>
      </c>
      <c r="K283" t="s">
        <v>10217</v>
      </c>
      <c r="M283" t="s">
        <v>10304</v>
      </c>
      <c r="N283" t="s">
        <v>10671</v>
      </c>
      <c r="P283" t="s">
        <v>10749</v>
      </c>
      <c r="Q283" t="s">
        <v>10765</v>
      </c>
      <c r="R283" t="s">
        <v>10824</v>
      </c>
      <c r="T283">
        <v>10316.4</v>
      </c>
      <c r="U283">
        <v>859.7</v>
      </c>
      <c r="V283">
        <v>60</v>
      </c>
      <c r="W283">
        <v>2</v>
      </c>
      <c r="X283">
        <v>0</v>
      </c>
      <c r="Z283">
        <v>61.01</v>
      </c>
      <c r="AA283">
        <v>40.642071</v>
      </c>
      <c r="AB283">
        <v>-74.02391799999999</v>
      </c>
      <c r="AD283" t="s">
        <v>10839</v>
      </c>
      <c r="AG283" t="s">
        <v>10858</v>
      </c>
      <c r="AH283" t="s">
        <v>10861</v>
      </c>
      <c r="AI283">
        <v>234</v>
      </c>
      <c r="AJ283" t="s">
        <v>10214</v>
      </c>
      <c r="AL283">
        <v>1.6</v>
      </c>
      <c r="AM283" t="s">
        <v>10886</v>
      </c>
      <c r="AN283" t="s">
        <v>10921</v>
      </c>
      <c r="AO283" t="s">
        <v>11006</v>
      </c>
      <c r="AP283" t="s">
        <v>11069</v>
      </c>
      <c r="AR283" t="s">
        <v>11298</v>
      </c>
      <c r="AS283" t="s">
        <v>11595</v>
      </c>
      <c r="AT283" t="s">
        <v>11641</v>
      </c>
      <c r="AX283" t="s">
        <v>10838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</row>
    <row r="284" spans="1:59">
      <c r="A284" s="1">
        <f>HYPERLINK("https://lsnyc.legalserver.org/matter/dynamic-profile/view/1903960","19-1903960")</f>
        <v>0</v>
      </c>
      <c r="B284" t="s">
        <v>310</v>
      </c>
      <c r="C284" t="s">
        <v>5239</v>
      </c>
      <c r="D284" t="s">
        <v>9931</v>
      </c>
      <c r="E284" t="s">
        <v>10075</v>
      </c>
      <c r="F284">
        <v>11358</v>
      </c>
      <c r="G284" t="s">
        <v>10092</v>
      </c>
      <c r="H284" t="s">
        <v>10094</v>
      </c>
      <c r="I284" t="s">
        <v>10168</v>
      </c>
      <c r="J284" t="s">
        <v>10212</v>
      </c>
      <c r="K284" t="s">
        <v>10218</v>
      </c>
      <c r="L284" t="s">
        <v>10150</v>
      </c>
      <c r="M284" t="s">
        <v>10258</v>
      </c>
      <c r="N284" t="s">
        <v>10671</v>
      </c>
      <c r="P284" t="s">
        <v>10749</v>
      </c>
      <c r="Q284" t="s">
        <v>10765</v>
      </c>
      <c r="R284" t="s">
        <v>10821</v>
      </c>
      <c r="T284">
        <v>4800</v>
      </c>
      <c r="U284">
        <v>400</v>
      </c>
      <c r="V284">
        <v>57</v>
      </c>
      <c r="W284">
        <v>1</v>
      </c>
      <c r="X284">
        <v>1</v>
      </c>
      <c r="Y284" t="s">
        <v>10829</v>
      </c>
      <c r="Z284">
        <v>28.39</v>
      </c>
      <c r="AA284">
        <v>40.758349</v>
      </c>
      <c r="AB284">
        <v>-73.80204500000001</v>
      </c>
      <c r="AC284" t="s">
        <v>10837</v>
      </c>
      <c r="AD284" t="s">
        <v>10840</v>
      </c>
      <c r="AG284" t="s">
        <v>10858</v>
      </c>
      <c r="AH284" t="s">
        <v>10871</v>
      </c>
      <c r="AI284">
        <v>234</v>
      </c>
      <c r="AJ284" t="s">
        <v>10214</v>
      </c>
      <c r="AK284" t="s">
        <v>10882</v>
      </c>
      <c r="AL284">
        <v>1.81</v>
      </c>
      <c r="AM284" t="s">
        <v>10890</v>
      </c>
      <c r="AN284" t="s">
        <v>10948</v>
      </c>
      <c r="AO284" t="s">
        <v>11022</v>
      </c>
      <c r="AP284" t="s">
        <v>11067</v>
      </c>
      <c r="AR284" t="s">
        <v>11260</v>
      </c>
      <c r="AS284" t="s">
        <v>11594</v>
      </c>
      <c r="AT284" t="s">
        <v>11642</v>
      </c>
      <c r="AX284" t="s">
        <v>10838</v>
      </c>
      <c r="AY284" t="s">
        <v>10829</v>
      </c>
      <c r="AZ284" t="s">
        <v>11681</v>
      </c>
      <c r="BA284" t="s">
        <v>11741</v>
      </c>
      <c r="BB284">
        <v>0</v>
      </c>
      <c r="BC284">
        <v>0</v>
      </c>
      <c r="BD284">
        <v>0</v>
      </c>
      <c r="BE284">
        <v>0</v>
      </c>
      <c r="BF284">
        <v>1</v>
      </c>
      <c r="BG284">
        <v>0</v>
      </c>
    </row>
    <row r="285" spans="1:59">
      <c r="A285" s="1">
        <f>HYPERLINK("https://lsnyc.legalserver.org/matter/dynamic-profile/view/1903961","19-1903961")</f>
        <v>0</v>
      </c>
      <c r="B285" t="s">
        <v>311</v>
      </c>
      <c r="C285" t="s">
        <v>5240</v>
      </c>
      <c r="D285" t="s">
        <v>9928</v>
      </c>
      <c r="E285" t="s">
        <v>10075</v>
      </c>
      <c r="F285">
        <v>11201</v>
      </c>
      <c r="G285" t="s">
        <v>10093</v>
      </c>
      <c r="H285" t="s">
        <v>10094</v>
      </c>
      <c r="I285" t="s">
        <v>10168</v>
      </c>
      <c r="J285" t="s">
        <v>10213</v>
      </c>
      <c r="K285" t="s">
        <v>10217</v>
      </c>
      <c r="M285" t="s">
        <v>10280</v>
      </c>
      <c r="N285" t="s">
        <v>10656</v>
      </c>
      <c r="P285" t="s">
        <v>10751</v>
      </c>
      <c r="Q285" t="s">
        <v>10768</v>
      </c>
      <c r="R285" t="s">
        <v>10824</v>
      </c>
      <c r="T285">
        <v>9828</v>
      </c>
      <c r="U285">
        <v>819</v>
      </c>
      <c r="V285">
        <v>31</v>
      </c>
      <c r="W285">
        <v>1</v>
      </c>
      <c r="X285">
        <v>4</v>
      </c>
      <c r="Z285">
        <v>32.58</v>
      </c>
      <c r="AA285">
        <v>40.694914</v>
      </c>
      <c r="AB285">
        <v>-73.981191</v>
      </c>
      <c r="AD285" t="s">
        <v>10839</v>
      </c>
      <c r="AG285" t="s">
        <v>10858</v>
      </c>
      <c r="AH285" t="s">
        <v>10861</v>
      </c>
      <c r="AI285">
        <v>234</v>
      </c>
      <c r="AJ285" t="s">
        <v>10214</v>
      </c>
      <c r="AL285">
        <v>4.05</v>
      </c>
      <c r="AM285" t="s">
        <v>10889</v>
      </c>
      <c r="AN285" t="s">
        <v>10923</v>
      </c>
      <c r="AO285" t="s">
        <v>11007</v>
      </c>
      <c r="AP285" t="s">
        <v>11061</v>
      </c>
      <c r="AR285" t="s">
        <v>11320</v>
      </c>
      <c r="AS285" t="s">
        <v>11595</v>
      </c>
      <c r="AT285" t="s">
        <v>11641</v>
      </c>
      <c r="AX285" t="s">
        <v>10838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</row>
    <row r="286" spans="1:59">
      <c r="A286" s="1">
        <f>HYPERLINK("https://lsnyc.legalserver.org/matter/dynamic-profile/view/1903962","19-1903962")</f>
        <v>0</v>
      </c>
      <c r="B286" t="s">
        <v>312</v>
      </c>
      <c r="C286" t="s">
        <v>5241</v>
      </c>
      <c r="D286" t="s">
        <v>9929</v>
      </c>
      <c r="E286" t="s">
        <v>10075</v>
      </c>
      <c r="F286">
        <v>10306</v>
      </c>
      <c r="G286" t="s">
        <v>10091</v>
      </c>
      <c r="H286" t="s">
        <v>10094</v>
      </c>
      <c r="I286" t="s">
        <v>10168</v>
      </c>
      <c r="J286" t="s">
        <v>10214</v>
      </c>
      <c r="K286" t="s">
        <v>10217</v>
      </c>
      <c r="M286" t="s">
        <v>10286</v>
      </c>
      <c r="N286" t="s">
        <v>10671</v>
      </c>
      <c r="P286" t="s">
        <v>10751</v>
      </c>
      <c r="Q286" t="s">
        <v>10780</v>
      </c>
      <c r="R286" t="s">
        <v>10827</v>
      </c>
      <c r="T286">
        <v>9252</v>
      </c>
      <c r="U286">
        <v>771</v>
      </c>
      <c r="V286">
        <v>46</v>
      </c>
      <c r="W286">
        <v>1</v>
      </c>
      <c r="X286">
        <v>0</v>
      </c>
      <c r="Z286">
        <v>74.08</v>
      </c>
      <c r="AA286">
        <v>40.56682</v>
      </c>
      <c r="AB286">
        <v>-74.107181</v>
      </c>
      <c r="AD286" t="s">
        <v>10840</v>
      </c>
      <c r="AG286" t="s">
        <v>10858</v>
      </c>
      <c r="AH286" t="s">
        <v>10861</v>
      </c>
      <c r="AI286">
        <v>234</v>
      </c>
      <c r="AJ286" t="s">
        <v>10214</v>
      </c>
      <c r="AL286">
        <v>0.5</v>
      </c>
      <c r="AM286" t="s">
        <v>10883</v>
      </c>
      <c r="AN286" t="s">
        <v>10915</v>
      </c>
      <c r="AO286" t="s">
        <v>10999</v>
      </c>
      <c r="AP286" t="s">
        <v>11063</v>
      </c>
      <c r="AQ286" t="s">
        <v>11132</v>
      </c>
      <c r="AR286" t="s">
        <v>11263</v>
      </c>
      <c r="AS286" t="s">
        <v>11593</v>
      </c>
      <c r="AT286" t="s">
        <v>11642</v>
      </c>
      <c r="AX286" t="s">
        <v>10838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</row>
    <row r="287" spans="1:59">
      <c r="A287" s="1">
        <f>HYPERLINK("https://lsnyc.legalserver.org/matter/dynamic-profile/view/1903964","19-1903964")</f>
        <v>0</v>
      </c>
      <c r="B287" t="s">
        <v>313</v>
      </c>
      <c r="C287" t="s">
        <v>5242</v>
      </c>
      <c r="D287" t="s">
        <v>9925</v>
      </c>
      <c r="E287" t="s">
        <v>10075</v>
      </c>
      <c r="F287">
        <v>10029</v>
      </c>
      <c r="G287" t="s">
        <v>10089</v>
      </c>
      <c r="H287" t="s">
        <v>10094</v>
      </c>
      <c r="I287" t="s">
        <v>10168</v>
      </c>
      <c r="J287" t="s">
        <v>10209</v>
      </c>
      <c r="K287" t="s">
        <v>10217</v>
      </c>
      <c r="M287" t="s">
        <v>10381</v>
      </c>
      <c r="N287" t="s">
        <v>10656</v>
      </c>
      <c r="P287" t="s">
        <v>10751</v>
      </c>
      <c r="Q287" t="s">
        <v>10768</v>
      </c>
      <c r="R287" t="s">
        <v>10821</v>
      </c>
      <c r="T287">
        <v>9750</v>
      </c>
      <c r="U287">
        <v>812.5</v>
      </c>
      <c r="V287">
        <v>56</v>
      </c>
      <c r="W287">
        <v>1</v>
      </c>
      <c r="X287">
        <v>0</v>
      </c>
      <c r="Z287">
        <v>78.06</v>
      </c>
      <c r="AA287">
        <v>40.795032</v>
      </c>
      <c r="AB287">
        <v>-73.94248</v>
      </c>
      <c r="AD287" t="s">
        <v>10840</v>
      </c>
      <c r="AG287" t="s">
        <v>10858</v>
      </c>
      <c r="AH287" t="s">
        <v>10871</v>
      </c>
      <c r="AI287">
        <v>234</v>
      </c>
      <c r="AJ287" t="s">
        <v>10214</v>
      </c>
      <c r="AL287">
        <v>11.25</v>
      </c>
      <c r="AM287" t="s">
        <v>10887</v>
      </c>
      <c r="AN287" t="s">
        <v>10926</v>
      </c>
      <c r="AO287" t="s">
        <v>11013</v>
      </c>
      <c r="AP287" t="s">
        <v>11066</v>
      </c>
      <c r="AR287" t="s">
        <v>11257</v>
      </c>
      <c r="AS287" t="s">
        <v>9925</v>
      </c>
      <c r="AT287" t="s">
        <v>11642</v>
      </c>
      <c r="AX287" t="s">
        <v>10838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</row>
    <row r="288" spans="1:59">
      <c r="A288" s="1">
        <f>HYPERLINK("https://lsnyc.legalserver.org/matter/dynamic-profile/view/1903965","19-1903965")</f>
        <v>0</v>
      </c>
      <c r="B288" t="s">
        <v>314</v>
      </c>
      <c r="C288" t="s">
        <v>5243</v>
      </c>
      <c r="D288" t="s">
        <v>9936</v>
      </c>
      <c r="E288" t="s">
        <v>10075</v>
      </c>
      <c r="F288">
        <v>11103</v>
      </c>
      <c r="G288" t="s">
        <v>10091</v>
      </c>
      <c r="H288" t="s">
        <v>10094</v>
      </c>
      <c r="I288" t="s">
        <v>10168</v>
      </c>
      <c r="J288" t="s">
        <v>10214</v>
      </c>
      <c r="K288" t="s">
        <v>10217</v>
      </c>
      <c r="M288" t="s">
        <v>10286</v>
      </c>
      <c r="N288" t="s">
        <v>10671</v>
      </c>
      <c r="P288" t="s">
        <v>10751</v>
      </c>
      <c r="Q288" t="s">
        <v>10768</v>
      </c>
      <c r="R288" t="s">
        <v>10820</v>
      </c>
      <c r="T288">
        <v>0</v>
      </c>
      <c r="U288">
        <v>0</v>
      </c>
      <c r="V288">
        <v>65</v>
      </c>
      <c r="W288">
        <v>1</v>
      </c>
      <c r="X288">
        <v>0</v>
      </c>
      <c r="Z288">
        <v>0</v>
      </c>
      <c r="AA288">
        <v>40.766088</v>
      </c>
      <c r="AB288">
        <v>-73.91023300000001</v>
      </c>
      <c r="AD288" t="s">
        <v>10839</v>
      </c>
      <c r="AG288" t="s">
        <v>10858</v>
      </c>
      <c r="AH288" t="s">
        <v>10861</v>
      </c>
      <c r="AI288">
        <v>234</v>
      </c>
      <c r="AJ288" t="s">
        <v>10214</v>
      </c>
      <c r="AL288">
        <v>1</v>
      </c>
      <c r="AM288" t="s">
        <v>10885</v>
      </c>
      <c r="AN288" t="s">
        <v>10954</v>
      </c>
      <c r="AO288" t="s">
        <v>11003</v>
      </c>
      <c r="AP288" t="s">
        <v>11084</v>
      </c>
      <c r="AR288" t="s">
        <v>11279</v>
      </c>
      <c r="AS288" t="s">
        <v>11594</v>
      </c>
      <c r="AT288" t="s">
        <v>11641</v>
      </c>
      <c r="AX288" t="s">
        <v>10838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</row>
    <row r="289" spans="1:59">
      <c r="A289" s="1">
        <f>HYPERLINK("https://lsnyc.legalserver.org/matter/dynamic-profile/view/1903966","19-1903966")</f>
        <v>0</v>
      </c>
      <c r="B289" t="s">
        <v>315</v>
      </c>
      <c r="C289" t="s">
        <v>5244</v>
      </c>
      <c r="D289" t="s">
        <v>9928</v>
      </c>
      <c r="E289" t="s">
        <v>10075</v>
      </c>
      <c r="F289">
        <v>11236</v>
      </c>
      <c r="G289" t="s">
        <v>10093</v>
      </c>
      <c r="H289" t="s">
        <v>10094</v>
      </c>
      <c r="I289" t="s">
        <v>10168</v>
      </c>
      <c r="J289" t="s">
        <v>10213</v>
      </c>
      <c r="K289" t="s">
        <v>10218</v>
      </c>
      <c r="L289" t="s">
        <v>10099</v>
      </c>
      <c r="M289" t="s">
        <v>10382</v>
      </c>
      <c r="N289" t="s">
        <v>10650</v>
      </c>
      <c r="P289" t="s">
        <v>10749</v>
      </c>
      <c r="Q289" t="s">
        <v>10765</v>
      </c>
      <c r="R289" t="s">
        <v>10824</v>
      </c>
      <c r="T289">
        <v>26000</v>
      </c>
      <c r="U289">
        <v>2166.67</v>
      </c>
      <c r="V289">
        <v>51</v>
      </c>
      <c r="W289">
        <v>2</v>
      </c>
      <c r="X289">
        <v>1</v>
      </c>
      <c r="Y289" t="s">
        <v>10829</v>
      </c>
      <c r="Z289">
        <v>121.89</v>
      </c>
      <c r="AA289">
        <v>40.638637</v>
      </c>
      <c r="AB289">
        <v>-73.893233</v>
      </c>
      <c r="AD289" t="s">
        <v>10839</v>
      </c>
      <c r="AG289" t="s">
        <v>10858</v>
      </c>
      <c r="AH289" t="s">
        <v>10861</v>
      </c>
      <c r="AI289">
        <v>234</v>
      </c>
      <c r="AJ289" t="s">
        <v>10214</v>
      </c>
      <c r="AK289" t="s">
        <v>10838</v>
      </c>
      <c r="AL289">
        <v>2.2</v>
      </c>
      <c r="AM289" t="s">
        <v>10889</v>
      </c>
      <c r="AN289" t="s">
        <v>10925</v>
      </c>
      <c r="AO289" t="s">
        <v>11012</v>
      </c>
      <c r="AP289" t="s">
        <v>11072</v>
      </c>
      <c r="AR289" t="s">
        <v>11257</v>
      </c>
      <c r="AS289" t="s">
        <v>11595</v>
      </c>
      <c r="AT289" t="s">
        <v>11641</v>
      </c>
      <c r="AX289" t="s">
        <v>10838</v>
      </c>
      <c r="AY289" t="s">
        <v>10829</v>
      </c>
      <c r="AZ289" t="s">
        <v>11681</v>
      </c>
      <c r="BA289" t="s">
        <v>11741</v>
      </c>
      <c r="BB289">
        <v>0</v>
      </c>
      <c r="BC289">
        <v>0</v>
      </c>
      <c r="BD289">
        <v>0</v>
      </c>
      <c r="BE289">
        <v>0</v>
      </c>
      <c r="BF289">
        <v>1</v>
      </c>
      <c r="BG289">
        <v>0</v>
      </c>
    </row>
    <row r="290" spans="1:59">
      <c r="A290" s="1">
        <f>HYPERLINK("https://lsnyc.legalserver.org/matter/dynamic-profile/view/1903967","19-1903967")</f>
        <v>0</v>
      </c>
      <c r="B290" t="s">
        <v>316</v>
      </c>
      <c r="C290" t="s">
        <v>5245</v>
      </c>
      <c r="D290" t="s">
        <v>9925</v>
      </c>
      <c r="E290" t="s">
        <v>10075</v>
      </c>
      <c r="F290">
        <v>10029</v>
      </c>
      <c r="G290" t="s">
        <v>10089</v>
      </c>
      <c r="H290" t="s">
        <v>10094</v>
      </c>
      <c r="I290" t="s">
        <v>10168</v>
      </c>
      <c r="J290" t="s">
        <v>10209</v>
      </c>
      <c r="K290" t="s">
        <v>10217</v>
      </c>
      <c r="M290" t="s">
        <v>10383</v>
      </c>
      <c r="N290" t="s">
        <v>10656</v>
      </c>
      <c r="P290" t="s">
        <v>10751</v>
      </c>
      <c r="Q290" t="s">
        <v>10768</v>
      </c>
      <c r="R290" t="s">
        <v>10821</v>
      </c>
      <c r="S290" t="s">
        <v>10821</v>
      </c>
      <c r="T290">
        <v>6744</v>
      </c>
      <c r="U290">
        <v>562</v>
      </c>
      <c r="V290">
        <v>51</v>
      </c>
      <c r="W290">
        <v>1</v>
      </c>
      <c r="X290">
        <v>0</v>
      </c>
      <c r="Z290">
        <v>54</v>
      </c>
      <c r="AA290">
        <v>40.787554</v>
      </c>
      <c r="AB290">
        <v>-73.941149</v>
      </c>
      <c r="AD290" t="s">
        <v>10840</v>
      </c>
      <c r="AG290" t="s">
        <v>10858</v>
      </c>
      <c r="AH290" t="s">
        <v>10866</v>
      </c>
      <c r="AI290">
        <v>234</v>
      </c>
      <c r="AJ290" t="s">
        <v>10214</v>
      </c>
      <c r="AL290">
        <v>24.7</v>
      </c>
      <c r="AM290" t="s">
        <v>10887</v>
      </c>
      <c r="AN290" t="s">
        <v>10926</v>
      </c>
      <c r="AO290" t="s">
        <v>11016</v>
      </c>
      <c r="AP290" t="s">
        <v>11066</v>
      </c>
      <c r="AR290" t="s">
        <v>11321</v>
      </c>
      <c r="AS290" t="s">
        <v>9925</v>
      </c>
      <c r="AT290" t="s">
        <v>11642</v>
      </c>
      <c r="AX290" t="s">
        <v>10837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</row>
    <row r="291" spans="1:59">
      <c r="A291" s="1">
        <f>HYPERLINK("https://lsnyc.legalserver.org/matter/dynamic-profile/view/1903969","19-1903969")</f>
        <v>0</v>
      </c>
      <c r="B291" t="s">
        <v>317</v>
      </c>
      <c r="C291" t="s">
        <v>5246</v>
      </c>
      <c r="D291" t="s">
        <v>9929</v>
      </c>
      <c r="E291" t="s">
        <v>10075</v>
      </c>
      <c r="F291">
        <v>10305</v>
      </c>
      <c r="G291" t="s">
        <v>10088</v>
      </c>
      <c r="H291" t="s">
        <v>10094</v>
      </c>
      <c r="I291" t="s">
        <v>10168</v>
      </c>
      <c r="J291" t="s">
        <v>10208</v>
      </c>
      <c r="K291" t="s">
        <v>10217</v>
      </c>
      <c r="M291" t="s">
        <v>10377</v>
      </c>
      <c r="N291" t="s">
        <v>10701</v>
      </c>
      <c r="P291" t="s">
        <v>10754</v>
      </c>
      <c r="Q291" t="s">
        <v>10766</v>
      </c>
      <c r="R291" t="s">
        <v>10820</v>
      </c>
      <c r="T291">
        <v>54000</v>
      </c>
      <c r="U291">
        <v>4500</v>
      </c>
      <c r="V291">
        <v>51</v>
      </c>
      <c r="W291">
        <v>1</v>
      </c>
      <c r="X291">
        <v>2</v>
      </c>
      <c r="Z291">
        <v>253.16</v>
      </c>
      <c r="AA291">
        <v>40.598072</v>
      </c>
      <c r="AB291">
        <v>-74.08018800000001</v>
      </c>
      <c r="AD291" t="s">
        <v>10839</v>
      </c>
      <c r="AG291" t="s">
        <v>10858</v>
      </c>
      <c r="AH291" t="s">
        <v>10861</v>
      </c>
      <c r="AI291">
        <v>285</v>
      </c>
      <c r="AJ291" t="s">
        <v>10208</v>
      </c>
      <c r="AL291">
        <v>1.2</v>
      </c>
      <c r="AM291" t="s">
        <v>10883</v>
      </c>
      <c r="AN291" t="s">
        <v>10915</v>
      </c>
      <c r="AO291" t="s">
        <v>11006</v>
      </c>
      <c r="AP291" t="s">
        <v>11063</v>
      </c>
      <c r="AQ291" t="s">
        <v>11112</v>
      </c>
      <c r="AR291" t="s">
        <v>11257</v>
      </c>
      <c r="AS291" t="s">
        <v>11593</v>
      </c>
      <c r="AT291" t="s">
        <v>11641</v>
      </c>
      <c r="AX291" t="s">
        <v>10838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</row>
    <row r="292" spans="1:59">
      <c r="A292" s="1">
        <f>HYPERLINK("https://lsnyc.legalserver.org/matter/dynamic-profile/view/1903970","19-1903970")</f>
        <v>0</v>
      </c>
      <c r="B292" t="s">
        <v>318</v>
      </c>
      <c r="C292" t="s">
        <v>5247</v>
      </c>
      <c r="D292" t="s">
        <v>9925</v>
      </c>
      <c r="E292" t="s">
        <v>10075</v>
      </c>
      <c r="F292">
        <v>10024</v>
      </c>
      <c r="G292" t="s">
        <v>10091</v>
      </c>
      <c r="H292" t="s">
        <v>10094</v>
      </c>
      <c r="I292" t="s">
        <v>10168</v>
      </c>
      <c r="J292" t="s">
        <v>10214</v>
      </c>
      <c r="K292" t="s">
        <v>10217</v>
      </c>
      <c r="M292" t="s">
        <v>10286</v>
      </c>
      <c r="N292" t="s">
        <v>10671</v>
      </c>
      <c r="P292" t="s">
        <v>10752</v>
      </c>
      <c r="Q292" t="s">
        <v>10762</v>
      </c>
      <c r="R292" t="s">
        <v>10820</v>
      </c>
      <c r="T292">
        <v>21552</v>
      </c>
      <c r="U292">
        <v>1796</v>
      </c>
      <c r="V292">
        <v>63</v>
      </c>
      <c r="W292">
        <v>1</v>
      </c>
      <c r="X292">
        <v>0</v>
      </c>
      <c r="Z292">
        <v>172.55</v>
      </c>
      <c r="AA292">
        <v>40.787354</v>
      </c>
      <c r="AB292">
        <v>-73.97581700000001</v>
      </c>
      <c r="AD292" t="s">
        <v>10839</v>
      </c>
      <c r="AG292" t="s">
        <v>10858</v>
      </c>
      <c r="AH292" t="s">
        <v>10861</v>
      </c>
      <c r="AI292">
        <v>234</v>
      </c>
      <c r="AJ292" t="s">
        <v>10214</v>
      </c>
      <c r="AL292">
        <v>0.5</v>
      </c>
      <c r="AM292" t="s">
        <v>10894</v>
      </c>
      <c r="AN292" t="s">
        <v>10964</v>
      </c>
      <c r="AO292" t="s">
        <v>11019</v>
      </c>
      <c r="AP292" t="s">
        <v>11089</v>
      </c>
      <c r="AQ292" t="s">
        <v>11110</v>
      </c>
      <c r="AR292" t="s">
        <v>11270</v>
      </c>
      <c r="AS292" t="s">
        <v>9925</v>
      </c>
      <c r="AT292" t="s">
        <v>11641</v>
      </c>
      <c r="AX292" t="s">
        <v>10838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</row>
    <row r="293" spans="1:59">
      <c r="A293" s="1">
        <f>HYPERLINK("https://lsnyc.legalserver.org/matter/dynamic-profile/view/1903971","19-1903971")</f>
        <v>0</v>
      </c>
      <c r="B293" t="s">
        <v>319</v>
      </c>
      <c r="C293" t="s">
        <v>5248</v>
      </c>
      <c r="D293" t="s">
        <v>9926</v>
      </c>
      <c r="E293" t="s">
        <v>10075</v>
      </c>
      <c r="F293">
        <v>10456</v>
      </c>
      <c r="G293" t="s">
        <v>10091</v>
      </c>
      <c r="H293" t="s">
        <v>10094</v>
      </c>
      <c r="I293" t="s">
        <v>10168</v>
      </c>
      <c r="J293" t="s">
        <v>10214</v>
      </c>
      <c r="K293" t="s">
        <v>10217</v>
      </c>
      <c r="M293" t="s">
        <v>10286</v>
      </c>
      <c r="N293" t="s">
        <v>10671</v>
      </c>
      <c r="P293" t="s">
        <v>10749</v>
      </c>
      <c r="Q293" t="s">
        <v>10765</v>
      </c>
      <c r="R293" t="s">
        <v>10821</v>
      </c>
      <c r="T293">
        <v>9252</v>
      </c>
      <c r="U293">
        <v>771</v>
      </c>
      <c r="V293">
        <v>54</v>
      </c>
      <c r="W293">
        <v>1</v>
      </c>
      <c r="X293">
        <v>0</v>
      </c>
      <c r="Z293">
        <v>74.08</v>
      </c>
      <c r="AA293">
        <v>40.83003</v>
      </c>
      <c r="AB293">
        <v>-73.90730000000001</v>
      </c>
      <c r="AD293" t="s">
        <v>10839</v>
      </c>
      <c r="AG293" t="s">
        <v>10858</v>
      </c>
      <c r="AH293" t="s">
        <v>10871</v>
      </c>
      <c r="AI293">
        <v>234</v>
      </c>
      <c r="AJ293" t="s">
        <v>10214</v>
      </c>
      <c r="AL293">
        <v>1</v>
      </c>
      <c r="AM293" t="s">
        <v>10884</v>
      </c>
      <c r="AN293" t="s">
        <v>10918</v>
      </c>
      <c r="AO293" t="s">
        <v>11001</v>
      </c>
      <c r="AP293" t="s">
        <v>11055</v>
      </c>
      <c r="AR293" t="s">
        <v>11263</v>
      </c>
      <c r="AS293" t="s">
        <v>9926</v>
      </c>
      <c r="AT293" t="s">
        <v>11641</v>
      </c>
      <c r="AX293" t="s">
        <v>10838</v>
      </c>
      <c r="BA293" t="s">
        <v>11741</v>
      </c>
      <c r="BB293">
        <v>0</v>
      </c>
      <c r="BC293">
        <v>0</v>
      </c>
      <c r="BD293">
        <v>0</v>
      </c>
      <c r="BE293">
        <v>0</v>
      </c>
      <c r="BF293">
        <v>1</v>
      </c>
      <c r="BG293">
        <v>0</v>
      </c>
    </row>
    <row r="294" spans="1:59">
      <c r="A294" s="1">
        <f>HYPERLINK("https://lsnyc.legalserver.org/matter/dynamic-profile/view/1903972","19-1903972")</f>
        <v>0</v>
      </c>
      <c r="B294" t="s">
        <v>320</v>
      </c>
      <c r="C294" t="s">
        <v>5249</v>
      </c>
      <c r="D294" t="s">
        <v>9928</v>
      </c>
      <c r="E294" t="s">
        <v>10075</v>
      </c>
      <c r="F294">
        <v>11226</v>
      </c>
      <c r="G294" t="s">
        <v>10093</v>
      </c>
      <c r="H294" t="s">
        <v>10109</v>
      </c>
      <c r="I294" t="s">
        <v>10177</v>
      </c>
      <c r="J294" t="s">
        <v>10213</v>
      </c>
      <c r="K294" t="s">
        <v>10217</v>
      </c>
      <c r="M294" t="s">
        <v>10384</v>
      </c>
      <c r="N294" t="s">
        <v>10650</v>
      </c>
      <c r="O294" t="s">
        <v>10653</v>
      </c>
      <c r="P294" t="s">
        <v>10749</v>
      </c>
      <c r="Q294" t="s">
        <v>10765</v>
      </c>
      <c r="R294" t="s">
        <v>10824</v>
      </c>
      <c r="T294">
        <v>12100</v>
      </c>
      <c r="U294">
        <v>1008.33</v>
      </c>
      <c r="V294">
        <v>74</v>
      </c>
      <c r="W294">
        <v>1</v>
      </c>
      <c r="X294">
        <v>0</v>
      </c>
      <c r="Z294">
        <v>96.88</v>
      </c>
      <c r="AA294">
        <v>40.646763</v>
      </c>
      <c r="AB294">
        <v>-73.962706</v>
      </c>
      <c r="AD294" t="s">
        <v>10839</v>
      </c>
      <c r="AG294" t="s">
        <v>10858</v>
      </c>
      <c r="AH294" t="s">
        <v>10862</v>
      </c>
      <c r="AI294">
        <v>239</v>
      </c>
      <c r="AJ294" t="s">
        <v>10213</v>
      </c>
      <c r="AL294">
        <v>0.5</v>
      </c>
      <c r="AM294" t="s">
        <v>10888</v>
      </c>
      <c r="AN294" t="s">
        <v>10932</v>
      </c>
      <c r="AO294" t="s">
        <v>11008</v>
      </c>
      <c r="AP294" t="s">
        <v>11050</v>
      </c>
      <c r="AQ294" t="s">
        <v>11101</v>
      </c>
      <c r="AR294" t="s">
        <v>11268</v>
      </c>
      <c r="AS294" t="s">
        <v>11595</v>
      </c>
      <c r="BA294" t="s">
        <v>11738</v>
      </c>
      <c r="BB294">
        <v>0</v>
      </c>
      <c r="BC294">
        <v>0</v>
      </c>
      <c r="BD294">
        <v>0</v>
      </c>
      <c r="BE294">
        <v>0</v>
      </c>
      <c r="BF294">
        <v>5</v>
      </c>
      <c r="BG294">
        <v>0</v>
      </c>
    </row>
    <row r="295" spans="1:59">
      <c r="A295" s="1">
        <f>HYPERLINK("https://lsnyc.legalserver.org/matter/dynamic-profile/view/1903973","19-1903973")</f>
        <v>0</v>
      </c>
      <c r="B295" t="s">
        <v>321</v>
      </c>
      <c r="C295" t="s">
        <v>5250</v>
      </c>
      <c r="D295" t="s">
        <v>9926</v>
      </c>
      <c r="E295" t="s">
        <v>10075</v>
      </c>
      <c r="F295">
        <v>10467</v>
      </c>
      <c r="G295" t="s">
        <v>10090</v>
      </c>
      <c r="H295" t="s">
        <v>10094</v>
      </c>
      <c r="I295" t="s">
        <v>10168</v>
      </c>
      <c r="J295" t="s">
        <v>10210</v>
      </c>
      <c r="K295" t="s">
        <v>10217</v>
      </c>
      <c r="M295" t="s">
        <v>10385</v>
      </c>
      <c r="N295" t="s">
        <v>10651</v>
      </c>
      <c r="P295" t="s">
        <v>10749</v>
      </c>
      <c r="Q295" t="s">
        <v>10765</v>
      </c>
      <c r="R295" t="s">
        <v>10824</v>
      </c>
      <c r="T295">
        <v>20800</v>
      </c>
      <c r="U295">
        <v>1733.33</v>
      </c>
      <c r="V295">
        <v>43</v>
      </c>
      <c r="W295">
        <v>3</v>
      </c>
      <c r="X295">
        <v>0</v>
      </c>
      <c r="Z295">
        <v>97.52</v>
      </c>
      <c r="AA295">
        <v>40.87541</v>
      </c>
      <c r="AB295">
        <v>-73.865426</v>
      </c>
      <c r="AD295" t="s">
        <v>10839</v>
      </c>
      <c r="AG295" t="s">
        <v>10858</v>
      </c>
      <c r="AH295" t="s">
        <v>10862</v>
      </c>
      <c r="AI295">
        <v>230</v>
      </c>
      <c r="AJ295" t="s">
        <v>10210</v>
      </c>
      <c r="AL295">
        <v>13</v>
      </c>
      <c r="AM295" t="s">
        <v>10893</v>
      </c>
      <c r="AN295" t="s">
        <v>10956</v>
      </c>
      <c r="AO295" t="s">
        <v>11010</v>
      </c>
      <c r="AP295" t="s">
        <v>11085</v>
      </c>
      <c r="AR295" t="s">
        <v>11257</v>
      </c>
      <c r="AS295" t="s">
        <v>9926</v>
      </c>
      <c r="AT295" t="s">
        <v>11641</v>
      </c>
      <c r="BA295" t="s">
        <v>11738</v>
      </c>
      <c r="BB295">
        <v>0</v>
      </c>
      <c r="BC295">
        <v>0</v>
      </c>
      <c r="BD295">
        <v>0</v>
      </c>
      <c r="BE295">
        <v>0</v>
      </c>
      <c r="BF295">
        <v>5</v>
      </c>
      <c r="BG295">
        <v>0</v>
      </c>
    </row>
    <row r="296" spans="1:59">
      <c r="A296" s="1">
        <f>HYPERLINK("https://lsnyc.legalserver.org/matter/dynamic-profile/view/1903974","19-1903974")</f>
        <v>0</v>
      </c>
      <c r="B296" t="s">
        <v>322</v>
      </c>
      <c r="C296" t="s">
        <v>5251</v>
      </c>
      <c r="D296" t="s">
        <v>9926</v>
      </c>
      <c r="E296" t="s">
        <v>10075</v>
      </c>
      <c r="F296">
        <v>10452</v>
      </c>
      <c r="G296" t="s">
        <v>10091</v>
      </c>
      <c r="H296" t="s">
        <v>10094</v>
      </c>
      <c r="I296" t="s">
        <v>10168</v>
      </c>
      <c r="J296" t="s">
        <v>10214</v>
      </c>
      <c r="K296" t="s">
        <v>10217</v>
      </c>
      <c r="M296" t="s">
        <v>10286</v>
      </c>
      <c r="N296" t="s">
        <v>10671</v>
      </c>
      <c r="P296" t="s">
        <v>10749</v>
      </c>
      <c r="Q296" t="s">
        <v>10765</v>
      </c>
      <c r="R296" t="s">
        <v>10825</v>
      </c>
      <c r="T296">
        <v>4752</v>
      </c>
      <c r="U296">
        <v>396</v>
      </c>
      <c r="V296">
        <v>40</v>
      </c>
      <c r="W296">
        <v>1</v>
      </c>
      <c r="X296">
        <v>2</v>
      </c>
      <c r="Z296">
        <v>22.28</v>
      </c>
      <c r="AA296">
        <v>40.844101</v>
      </c>
      <c r="AB296">
        <v>-73.917749</v>
      </c>
      <c r="AD296" t="s">
        <v>10839</v>
      </c>
      <c r="AG296" t="s">
        <v>10858</v>
      </c>
      <c r="AH296" t="s">
        <v>10861</v>
      </c>
      <c r="AI296">
        <v>234</v>
      </c>
      <c r="AJ296" t="s">
        <v>10214</v>
      </c>
      <c r="AL296">
        <v>1</v>
      </c>
      <c r="AM296" t="s">
        <v>10884</v>
      </c>
      <c r="AN296" t="s">
        <v>10929</v>
      </c>
      <c r="AO296" t="s">
        <v>11013</v>
      </c>
      <c r="AP296" t="s">
        <v>11055</v>
      </c>
      <c r="AR296" t="s">
        <v>11322</v>
      </c>
      <c r="AS296" t="s">
        <v>9926</v>
      </c>
      <c r="AT296" t="s">
        <v>11641</v>
      </c>
      <c r="AX296" t="s">
        <v>10838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</row>
    <row r="297" spans="1:59">
      <c r="A297" s="1">
        <f>HYPERLINK("https://lsnyc.legalserver.org/matter/dynamic-profile/view/1903975","19-1903975")</f>
        <v>0</v>
      </c>
      <c r="B297" t="s">
        <v>323</v>
      </c>
      <c r="C297" t="s">
        <v>5252</v>
      </c>
      <c r="D297" t="s">
        <v>9938</v>
      </c>
      <c r="E297" t="s">
        <v>10075</v>
      </c>
      <c r="F297">
        <v>11435</v>
      </c>
      <c r="G297" t="s">
        <v>10092</v>
      </c>
      <c r="H297" t="s">
        <v>10094</v>
      </c>
      <c r="I297" t="s">
        <v>10168</v>
      </c>
      <c r="J297" t="s">
        <v>10212</v>
      </c>
      <c r="K297" t="s">
        <v>10217</v>
      </c>
      <c r="M297" t="s">
        <v>10386</v>
      </c>
      <c r="N297" t="s">
        <v>10694</v>
      </c>
      <c r="P297" t="s">
        <v>10751</v>
      </c>
      <c r="Q297" t="s">
        <v>10780</v>
      </c>
      <c r="R297" t="s">
        <v>10824</v>
      </c>
      <c r="T297">
        <v>11292</v>
      </c>
      <c r="U297">
        <v>941</v>
      </c>
      <c r="V297">
        <v>46</v>
      </c>
      <c r="W297">
        <v>1</v>
      </c>
      <c r="X297">
        <v>1</v>
      </c>
      <c r="Z297">
        <v>66.78</v>
      </c>
      <c r="AA297">
        <v>40.693577</v>
      </c>
      <c r="AB297">
        <v>-73.799702</v>
      </c>
      <c r="AD297" t="s">
        <v>10839</v>
      </c>
      <c r="AF297" t="s">
        <v>10843</v>
      </c>
      <c r="AG297" t="s">
        <v>10859</v>
      </c>
      <c r="AH297" t="s">
        <v>10871</v>
      </c>
      <c r="AI297">
        <v>234</v>
      </c>
      <c r="AJ297" t="s">
        <v>10214</v>
      </c>
      <c r="AL297">
        <v>63.85</v>
      </c>
      <c r="AM297" t="s">
        <v>10892</v>
      </c>
      <c r="AN297" t="s">
        <v>10951</v>
      </c>
      <c r="AO297" t="s">
        <v>11020</v>
      </c>
      <c r="AP297" t="s">
        <v>11070</v>
      </c>
      <c r="AQ297" t="s">
        <v>11118</v>
      </c>
      <c r="AR297" t="s">
        <v>11323</v>
      </c>
      <c r="AS297" t="s">
        <v>11594</v>
      </c>
      <c r="AT297" t="s">
        <v>11641</v>
      </c>
      <c r="AX297" t="s">
        <v>10837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</row>
    <row r="298" spans="1:59">
      <c r="A298" s="1">
        <f>HYPERLINK("https://lsnyc.legalserver.org/matter/dynamic-profile/view/1903976","19-1903976")</f>
        <v>0</v>
      </c>
      <c r="B298" t="s">
        <v>324</v>
      </c>
      <c r="C298" t="s">
        <v>5253</v>
      </c>
      <c r="D298" t="s">
        <v>9925</v>
      </c>
      <c r="E298" t="s">
        <v>10075</v>
      </c>
      <c r="F298">
        <v>10019</v>
      </c>
      <c r="G298" t="s">
        <v>10089</v>
      </c>
      <c r="H298" t="s">
        <v>10094</v>
      </c>
      <c r="I298" t="s">
        <v>10168</v>
      </c>
      <c r="J298" t="s">
        <v>10209</v>
      </c>
      <c r="K298" t="s">
        <v>10217</v>
      </c>
      <c r="M298" t="s">
        <v>10229</v>
      </c>
      <c r="N298" t="s">
        <v>10645</v>
      </c>
      <c r="P298" t="s">
        <v>10754</v>
      </c>
      <c r="Q298" t="s">
        <v>10771</v>
      </c>
      <c r="R298" t="s">
        <v>10824</v>
      </c>
      <c r="T298">
        <v>22512</v>
      </c>
      <c r="U298">
        <v>1876</v>
      </c>
      <c r="V298">
        <v>26</v>
      </c>
      <c r="W298">
        <v>1</v>
      </c>
      <c r="X298">
        <v>2</v>
      </c>
      <c r="Z298">
        <v>105.54</v>
      </c>
      <c r="AA298">
        <v>40.768745</v>
      </c>
      <c r="AB298">
        <v>-73.990291</v>
      </c>
      <c r="AD298" t="s">
        <v>10839</v>
      </c>
      <c r="AG298" t="s">
        <v>10858</v>
      </c>
      <c r="AH298" t="s">
        <v>10861</v>
      </c>
      <c r="AI298">
        <v>234</v>
      </c>
      <c r="AJ298" t="s">
        <v>10214</v>
      </c>
      <c r="AL298">
        <v>6.15</v>
      </c>
      <c r="AM298" t="s">
        <v>10894</v>
      </c>
      <c r="AN298" t="s">
        <v>10964</v>
      </c>
      <c r="AO298" t="s">
        <v>11021</v>
      </c>
      <c r="AP298" t="s">
        <v>11089</v>
      </c>
      <c r="AR298" t="s">
        <v>11282</v>
      </c>
      <c r="AS298" t="s">
        <v>9925</v>
      </c>
      <c r="AT298" t="s">
        <v>11641</v>
      </c>
      <c r="AX298" t="s">
        <v>10838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</row>
    <row r="299" spans="1:59">
      <c r="A299" s="1">
        <f>HYPERLINK("https://lsnyc.legalserver.org/matter/dynamic-profile/view/1903977","19-1903977")</f>
        <v>0</v>
      </c>
      <c r="B299" t="s">
        <v>292</v>
      </c>
      <c r="C299" t="s">
        <v>5221</v>
      </c>
      <c r="D299" t="s">
        <v>9928</v>
      </c>
      <c r="E299" t="s">
        <v>10075</v>
      </c>
      <c r="F299">
        <v>11212</v>
      </c>
      <c r="G299" t="s">
        <v>10093</v>
      </c>
      <c r="H299" t="s">
        <v>10094</v>
      </c>
      <c r="I299" t="s">
        <v>10170</v>
      </c>
      <c r="J299" t="s">
        <v>10213</v>
      </c>
      <c r="K299" t="s">
        <v>10217</v>
      </c>
      <c r="M299" t="s">
        <v>10371</v>
      </c>
      <c r="N299" t="s">
        <v>10650</v>
      </c>
      <c r="P299" t="s">
        <v>10752</v>
      </c>
      <c r="Q299" t="s">
        <v>10762</v>
      </c>
      <c r="R299" t="s">
        <v>10825</v>
      </c>
      <c r="T299">
        <v>10400</v>
      </c>
      <c r="U299">
        <v>866.67</v>
      </c>
      <c r="V299">
        <v>53</v>
      </c>
      <c r="W299">
        <v>3</v>
      </c>
      <c r="X299">
        <v>2</v>
      </c>
      <c r="Z299">
        <v>34.47</v>
      </c>
      <c r="AA299">
        <v>40.673112</v>
      </c>
      <c r="AB299">
        <v>-73.907392</v>
      </c>
      <c r="AD299" t="s">
        <v>10840</v>
      </c>
      <c r="AF299" t="s">
        <v>10843</v>
      </c>
      <c r="AG299" t="s">
        <v>10859</v>
      </c>
      <c r="AH299" t="s">
        <v>10862</v>
      </c>
      <c r="AI299">
        <v>239</v>
      </c>
      <c r="AJ299" t="s">
        <v>10213</v>
      </c>
      <c r="AL299">
        <v>0</v>
      </c>
      <c r="AR299" t="s">
        <v>11257</v>
      </c>
      <c r="AS299" t="s">
        <v>11595</v>
      </c>
      <c r="BA299" t="s">
        <v>11744</v>
      </c>
      <c r="BB299">
        <v>0</v>
      </c>
      <c r="BC299">
        <v>0</v>
      </c>
      <c r="BD299">
        <v>0</v>
      </c>
      <c r="BE299">
        <v>0</v>
      </c>
      <c r="BF299">
        <v>6</v>
      </c>
      <c r="BG299">
        <v>0</v>
      </c>
    </row>
    <row r="300" spans="1:59">
      <c r="A300" s="1">
        <f>HYPERLINK("https://lsnyc.legalserver.org/matter/dynamic-profile/view/1903978","19-1903978")</f>
        <v>0</v>
      </c>
      <c r="B300" t="s">
        <v>325</v>
      </c>
      <c r="C300" t="s">
        <v>5254</v>
      </c>
      <c r="D300" t="s">
        <v>9955</v>
      </c>
      <c r="E300" t="s">
        <v>10075</v>
      </c>
      <c r="F300">
        <v>11692</v>
      </c>
      <c r="G300" t="s">
        <v>10092</v>
      </c>
      <c r="H300" t="s">
        <v>10094</v>
      </c>
      <c r="I300" t="s">
        <v>10168</v>
      </c>
      <c r="J300" t="s">
        <v>10212</v>
      </c>
      <c r="K300" t="s">
        <v>10217</v>
      </c>
      <c r="M300" t="s">
        <v>10387</v>
      </c>
      <c r="N300" t="s">
        <v>10650</v>
      </c>
      <c r="P300" t="s">
        <v>10749</v>
      </c>
      <c r="Q300" t="s">
        <v>10765</v>
      </c>
      <c r="R300" t="s">
        <v>10821</v>
      </c>
      <c r="T300">
        <v>9048</v>
      </c>
      <c r="U300">
        <v>754</v>
      </c>
      <c r="V300">
        <v>42</v>
      </c>
      <c r="W300">
        <v>1</v>
      </c>
      <c r="X300">
        <v>3</v>
      </c>
      <c r="Z300">
        <v>35.14</v>
      </c>
      <c r="AA300">
        <v>40.591609</v>
      </c>
      <c r="AB300">
        <v>-73.79911800000001</v>
      </c>
      <c r="AD300" t="s">
        <v>10839</v>
      </c>
      <c r="AG300" t="s">
        <v>10858</v>
      </c>
      <c r="AH300" t="s">
        <v>10862</v>
      </c>
      <c r="AI300">
        <v>237</v>
      </c>
      <c r="AJ300" t="s">
        <v>10212</v>
      </c>
      <c r="AL300">
        <v>1.3</v>
      </c>
      <c r="AM300" t="s">
        <v>10892</v>
      </c>
      <c r="AN300" t="s">
        <v>10930</v>
      </c>
      <c r="AO300" t="s">
        <v>11017</v>
      </c>
      <c r="AP300" t="s">
        <v>11082</v>
      </c>
      <c r="AR300" t="s">
        <v>11324</v>
      </c>
      <c r="AS300" t="s">
        <v>11594</v>
      </c>
      <c r="BA300" t="s">
        <v>11740</v>
      </c>
      <c r="BB300">
        <v>0</v>
      </c>
      <c r="BC300">
        <v>0</v>
      </c>
      <c r="BD300">
        <v>0</v>
      </c>
      <c r="BE300">
        <v>0</v>
      </c>
      <c r="BF300">
        <v>2</v>
      </c>
      <c r="BG300">
        <v>0</v>
      </c>
    </row>
    <row r="301" spans="1:59">
      <c r="A301" s="1">
        <f>HYPERLINK("https://lsnyc.legalserver.org/matter/dynamic-profile/view/1903979","19-1903979")</f>
        <v>0</v>
      </c>
      <c r="B301" t="s">
        <v>326</v>
      </c>
      <c r="C301" t="s">
        <v>5255</v>
      </c>
      <c r="D301" t="s">
        <v>9926</v>
      </c>
      <c r="E301" t="s">
        <v>10075</v>
      </c>
      <c r="F301">
        <v>10453</v>
      </c>
      <c r="G301" t="s">
        <v>10090</v>
      </c>
      <c r="H301" t="s">
        <v>10094</v>
      </c>
      <c r="I301" t="s">
        <v>10168</v>
      </c>
      <c r="J301" t="s">
        <v>10210</v>
      </c>
      <c r="K301" t="s">
        <v>10217</v>
      </c>
      <c r="M301" t="s">
        <v>10333</v>
      </c>
      <c r="N301" t="s">
        <v>10671</v>
      </c>
      <c r="P301" t="s">
        <v>10751</v>
      </c>
      <c r="Q301" t="s">
        <v>10761</v>
      </c>
      <c r="R301" t="s">
        <v>10824</v>
      </c>
      <c r="T301">
        <v>8760</v>
      </c>
      <c r="U301">
        <v>730</v>
      </c>
      <c r="V301">
        <v>55</v>
      </c>
      <c r="W301">
        <v>1</v>
      </c>
      <c r="X301">
        <v>0</v>
      </c>
      <c r="Z301">
        <v>70.14</v>
      </c>
      <c r="AA301">
        <v>40.850517</v>
      </c>
      <c r="AB301">
        <v>-73.91271399999999</v>
      </c>
      <c r="AD301" t="s">
        <v>10840</v>
      </c>
      <c r="AG301" t="s">
        <v>10858</v>
      </c>
      <c r="AH301" t="s">
        <v>10861</v>
      </c>
      <c r="AI301">
        <v>230</v>
      </c>
      <c r="AJ301" t="s">
        <v>10210</v>
      </c>
      <c r="AL301">
        <v>0.2</v>
      </c>
      <c r="AM301" t="s">
        <v>10884</v>
      </c>
      <c r="AN301" t="s">
        <v>10931</v>
      </c>
      <c r="AO301" t="s">
        <v>11013</v>
      </c>
      <c r="AP301" t="s">
        <v>11045</v>
      </c>
      <c r="AR301" t="s">
        <v>11263</v>
      </c>
      <c r="AS301" t="s">
        <v>9926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</row>
    <row r="302" spans="1:59">
      <c r="A302" s="1">
        <f>HYPERLINK("https://lsnyc.legalserver.org/matter/dynamic-profile/view/1903980","19-1903980")</f>
        <v>0</v>
      </c>
      <c r="B302" t="s">
        <v>327</v>
      </c>
      <c r="C302" t="s">
        <v>5256</v>
      </c>
      <c r="D302" t="s">
        <v>9925</v>
      </c>
      <c r="E302" t="s">
        <v>10075</v>
      </c>
      <c r="F302">
        <v>10027</v>
      </c>
      <c r="G302" t="s">
        <v>10089</v>
      </c>
      <c r="H302" t="s">
        <v>10094</v>
      </c>
      <c r="I302" t="s">
        <v>10168</v>
      </c>
      <c r="J302" t="s">
        <v>10209</v>
      </c>
      <c r="K302" t="s">
        <v>10217</v>
      </c>
      <c r="M302" t="s">
        <v>10388</v>
      </c>
      <c r="N302" t="s">
        <v>10702</v>
      </c>
      <c r="P302" t="s">
        <v>10749</v>
      </c>
      <c r="Q302" t="s">
        <v>10765</v>
      </c>
      <c r="R302" t="s">
        <v>10824</v>
      </c>
      <c r="T302">
        <v>26208</v>
      </c>
      <c r="U302">
        <v>2184</v>
      </c>
      <c r="V302">
        <v>58</v>
      </c>
      <c r="W302">
        <v>1</v>
      </c>
      <c r="X302">
        <v>1</v>
      </c>
      <c r="Z302">
        <v>154.99</v>
      </c>
      <c r="AA302">
        <v>40.809271</v>
      </c>
      <c r="AB302">
        <v>-73.94174599999999</v>
      </c>
      <c r="AD302" t="s">
        <v>10839</v>
      </c>
      <c r="AG302" t="s">
        <v>10858</v>
      </c>
      <c r="AH302" t="s">
        <v>10862</v>
      </c>
      <c r="AI302">
        <v>236</v>
      </c>
      <c r="AJ302" t="s">
        <v>10209</v>
      </c>
      <c r="AL302">
        <v>11</v>
      </c>
      <c r="AM302" t="s">
        <v>10887</v>
      </c>
      <c r="AN302" t="s">
        <v>10936</v>
      </c>
      <c r="AO302" t="s">
        <v>11016</v>
      </c>
      <c r="AP302" t="s">
        <v>11076</v>
      </c>
      <c r="AQ302" t="s">
        <v>11101</v>
      </c>
      <c r="AR302" t="s">
        <v>11325</v>
      </c>
      <c r="AS302" t="s">
        <v>9925</v>
      </c>
      <c r="AT302" t="s">
        <v>11641</v>
      </c>
      <c r="BA302" t="s">
        <v>11738</v>
      </c>
      <c r="BB302">
        <v>0</v>
      </c>
      <c r="BC302">
        <v>0</v>
      </c>
      <c r="BD302">
        <v>0</v>
      </c>
      <c r="BE302">
        <v>0</v>
      </c>
      <c r="BF302">
        <v>5</v>
      </c>
      <c r="BG302">
        <v>0</v>
      </c>
    </row>
    <row r="303" spans="1:59">
      <c r="A303" s="1">
        <f>HYPERLINK("https://lsnyc.legalserver.org/matter/dynamic-profile/view/1903981","19-1903981")</f>
        <v>0</v>
      </c>
      <c r="B303" t="s">
        <v>328</v>
      </c>
      <c r="C303" t="s">
        <v>5257</v>
      </c>
      <c r="D303" t="s">
        <v>9925</v>
      </c>
      <c r="E303" t="s">
        <v>10075</v>
      </c>
      <c r="F303">
        <v>10027</v>
      </c>
      <c r="G303" t="s">
        <v>10089</v>
      </c>
      <c r="H303" t="s">
        <v>10094</v>
      </c>
      <c r="I303" t="s">
        <v>10168</v>
      </c>
      <c r="J303" t="s">
        <v>10209</v>
      </c>
      <c r="K303" t="s">
        <v>10217</v>
      </c>
      <c r="M303" t="s">
        <v>10379</v>
      </c>
      <c r="N303" t="s">
        <v>10702</v>
      </c>
      <c r="P303" t="s">
        <v>10749</v>
      </c>
      <c r="Q303" t="s">
        <v>10774</v>
      </c>
      <c r="R303" t="s">
        <v>10824</v>
      </c>
      <c r="T303">
        <v>31616.04</v>
      </c>
      <c r="U303">
        <v>2634.67</v>
      </c>
      <c r="V303">
        <v>41</v>
      </c>
      <c r="W303">
        <v>2</v>
      </c>
      <c r="X303">
        <v>1</v>
      </c>
      <c r="Z303">
        <v>148.22</v>
      </c>
      <c r="AA303">
        <v>40.811982</v>
      </c>
      <c r="AB303">
        <v>-73.950907</v>
      </c>
      <c r="AD303" t="s">
        <v>10840</v>
      </c>
      <c r="AG303" t="s">
        <v>10858</v>
      </c>
      <c r="AH303" t="s">
        <v>10862</v>
      </c>
      <c r="AI303">
        <v>236</v>
      </c>
      <c r="AJ303" t="s">
        <v>10209</v>
      </c>
      <c r="AL303">
        <v>2.3</v>
      </c>
      <c r="AM303" t="s">
        <v>10887</v>
      </c>
      <c r="AN303" t="s">
        <v>10936</v>
      </c>
      <c r="AO303" t="s">
        <v>11016</v>
      </c>
      <c r="AP303" t="s">
        <v>11076</v>
      </c>
      <c r="AR303" t="s">
        <v>11257</v>
      </c>
      <c r="AS303" t="s">
        <v>9925</v>
      </c>
      <c r="BA303" t="s">
        <v>11738</v>
      </c>
      <c r="BB303">
        <v>0</v>
      </c>
      <c r="BC303">
        <v>0</v>
      </c>
      <c r="BD303">
        <v>0</v>
      </c>
      <c r="BE303">
        <v>0</v>
      </c>
      <c r="BF303">
        <v>5</v>
      </c>
      <c r="BG303">
        <v>0</v>
      </c>
    </row>
    <row r="304" spans="1:59">
      <c r="A304" s="1">
        <f>HYPERLINK("https://lsnyc.legalserver.org/matter/dynamic-profile/view/1903983","19-1903983")</f>
        <v>0</v>
      </c>
      <c r="B304" t="s">
        <v>329</v>
      </c>
      <c r="C304" t="s">
        <v>5258</v>
      </c>
      <c r="D304" t="s">
        <v>9928</v>
      </c>
      <c r="E304" t="s">
        <v>10075</v>
      </c>
      <c r="F304">
        <v>11213</v>
      </c>
      <c r="G304" t="s">
        <v>10093</v>
      </c>
      <c r="H304" t="s">
        <v>10094</v>
      </c>
      <c r="I304" t="s">
        <v>10168</v>
      </c>
      <c r="J304" t="s">
        <v>10213</v>
      </c>
      <c r="K304" t="s">
        <v>10217</v>
      </c>
      <c r="M304" t="s">
        <v>10298</v>
      </c>
      <c r="N304" t="s">
        <v>10650</v>
      </c>
      <c r="P304" t="s">
        <v>10749</v>
      </c>
      <c r="Q304" t="s">
        <v>10769</v>
      </c>
      <c r="R304" t="s">
        <v>10824</v>
      </c>
      <c r="T304">
        <v>47909.8</v>
      </c>
      <c r="U304">
        <v>3992.48</v>
      </c>
      <c r="V304">
        <v>73</v>
      </c>
      <c r="W304">
        <v>4</v>
      </c>
      <c r="X304">
        <v>0</v>
      </c>
      <c r="Z304">
        <v>186.06</v>
      </c>
      <c r="AA304">
        <v>40.672207</v>
      </c>
      <c r="AB304">
        <v>-73.93263</v>
      </c>
      <c r="AD304" t="s">
        <v>10839</v>
      </c>
      <c r="AG304" t="s">
        <v>10858</v>
      </c>
      <c r="AH304" t="s">
        <v>10862</v>
      </c>
      <c r="AI304">
        <v>239</v>
      </c>
      <c r="AJ304" t="s">
        <v>10213</v>
      </c>
      <c r="AL304">
        <v>0</v>
      </c>
      <c r="AM304" t="s">
        <v>10888</v>
      </c>
      <c r="AN304" t="s">
        <v>10914</v>
      </c>
      <c r="AO304" t="s">
        <v>11007</v>
      </c>
      <c r="AP304" t="s">
        <v>11052</v>
      </c>
      <c r="AR304" t="s">
        <v>11326</v>
      </c>
      <c r="AS304" t="s">
        <v>11595</v>
      </c>
      <c r="AT304" t="s">
        <v>11641</v>
      </c>
      <c r="BA304" t="s">
        <v>11740</v>
      </c>
      <c r="BB304">
        <v>0</v>
      </c>
      <c r="BC304">
        <v>0</v>
      </c>
      <c r="BD304">
        <v>0</v>
      </c>
      <c r="BE304">
        <v>0</v>
      </c>
      <c r="BF304">
        <v>2</v>
      </c>
      <c r="BG304">
        <v>0</v>
      </c>
    </row>
    <row r="305" spans="1:59">
      <c r="A305" s="1">
        <f>HYPERLINK("https://lsnyc.legalserver.org/matter/dynamic-profile/view/1903985","19-1903985")</f>
        <v>0</v>
      </c>
      <c r="B305" t="s">
        <v>330</v>
      </c>
      <c r="C305" t="s">
        <v>5259</v>
      </c>
      <c r="D305" t="s">
        <v>9928</v>
      </c>
      <c r="E305" t="s">
        <v>10075</v>
      </c>
      <c r="F305">
        <v>11218</v>
      </c>
      <c r="G305" t="s">
        <v>10093</v>
      </c>
      <c r="H305" t="s">
        <v>10097</v>
      </c>
      <c r="J305" t="s">
        <v>10213</v>
      </c>
      <c r="K305" t="s">
        <v>10217</v>
      </c>
      <c r="M305" t="s">
        <v>10256</v>
      </c>
      <c r="N305" t="s">
        <v>10644</v>
      </c>
      <c r="P305" t="s">
        <v>10749</v>
      </c>
      <c r="Q305" t="s">
        <v>10765</v>
      </c>
      <c r="R305" t="s">
        <v>10820</v>
      </c>
      <c r="T305">
        <v>22296</v>
      </c>
      <c r="U305">
        <v>1858</v>
      </c>
      <c r="V305">
        <v>72</v>
      </c>
      <c r="W305">
        <v>2</v>
      </c>
      <c r="X305">
        <v>0</v>
      </c>
      <c r="Z305">
        <v>131.85</v>
      </c>
      <c r="AA305">
        <v>40.633282</v>
      </c>
      <c r="AB305">
        <v>-73.97280000000001</v>
      </c>
      <c r="AD305" t="s">
        <v>10839</v>
      </c>
      <c r="AG305" t="s">
        <v>10858</v>
      </c>
      <c r="AH305" t="s">
        <v>10869</v>
      </c>
      <c r="AI305">
        <v>239</v>
      </c>
      <c r="AJ305" t="s">
        <v>10213</v>
      </c>
      <c r="AL305">
        <v>6.5</v>
      </c>
      <c r="AM305" t="s">
        <v>10894</v>
      </c>
      <c r="AN305" t="s">
        <v>10941</v>
      </c>
      <c r="AO305" t="s">
        <v>11015</v>
      </c>
      <c r="AP305" t="s">
        <v>11079</v>
      </c>
      <c r="AQ305" t="s">
        <v>11101</v>
      </c>
      <c r="AR305" t="s">
        <v>11295</v>
      </c>
      <c r="AS305" t="s">
        <v>11595</v>
      </c>
      <c r="BA305" t="s">
        <v>11742</v>
      </c>
      <c r="BB305">
        <v>0</v>
      </c>
      <c r="BC305">
        <v>0</v>
      </c>
      <c r="BD305">
        <v>0</v>
      </c>
      <c r="BE305">
        <v>0</v>
      </c>
      <c r="BF305">
        <v>7</v>
      </c>
      <c r="BG305">
        <v>0</v>
      </c>
    </row>
    <row r="306" spans="1:59">
      <c r="A306" s="1">
        <f>HYPERLINK("https://lsnyc.legalserver.org/matter/dynamic-profile/view/1903986","19-1903986")</f>
        <v>0</v>
      </c>
      <c r="B306" t="s">
        <v>331</v>
      </c>
      <c r="C306" t="s">
        <v>5260</v>
      </c>
      <c r="D306" t="s">
        <v>9925</v>
      </c>
      <c r="E306" t="s">
        <v>10075</v>
      </c>
      <c r="F306">
        <v>10026</v>
      </c>
      <c r="G306" t="s">
        <v>10089</v>
      </c>
      <c r="H306" t="s">
        <v>10094</v>
      </c>
      <c r="I306" t="s">
        <v>10168</v>
      </c>
      <c r="J306" t="s">
        <v>10209</v>
      </c>
      <c r="K306" t="s">
        <v>10217</v>
      </c>
      <c r="M306" t="s">
        <v>10389</v>
      </c>
      <c r="N306" t="s">
        <v>10702</v>
      </c>
      <c r="P306" t="s">
        <v>10749</v>
      </c>
      <c r="Q306" t="s">
        <v>10767</v>
      </c>
      <c r="R306" t="s">
        <v>10822</v>
      </c>
      <c r="T306">
        <v>20000</v>
      </c>
      <c r="U306">
        <v>1666.67</v>
      </c>
      <c r="V306">
        <v>51</v>
      </c>
      <c r="W306">
        <v>1</v>
      </c>
      <c r="X306">
        <v>0</v>
      </c>
      <c r="Z306">
        <v>160.13</v>
      </c>
      <c r="AA306">
        <v>40.802782</v>
      </c>
      <c r="AB306">
        <v>-73.946877</v>
      </c>
      <c r="AD306" t="s">
        <v>10839</v>
      </c>
      <c r="AG306" t="s">
        <v>10858</v>
      </c>
      <c r="AH306" t="s">
        <v>10862</v>
      </c>
      <c r="AI306">
        <v>236</v>
      </c>
      <c r="AJ306" t="s">
        <v>10209</v>
      </c>
      <c r="AL306">
        <v>3.4</v>
      </c>
      <c r="AM306" t="s">
        <v>10887</v>
      </c>
      <c r="AN306" t="s">
        <v>10936</v>
      </c>
      <c r="AO306" t="s">
        <v>11016</v>
      </c>
      <c r="AP306" t="s">
        <v>11076</v>
      </c>
      <c r="AR306" t="s">
        <v>11257</v>
      </c>
      <c r="AS306" t="s">
        <v>9925</v>
      </c>
      <c r="BA306" t="s">
        <v>11738</v>
      </c>
      <c r="BB306">
        <v>0</v>
      </c>
      <c r="BC306">
        <v>0</v>
      </c>
      <c r="BD306">
        <v>0</v>
      </c>
      <c r="BE306">
        <v>0</v>
      </c>
      <c r="BF306">
        <v>5</v>
      </c>
      <c r="BG306">
        <v>0</v>
      </c>
    </row>
    <row r="307" spans="1:59">
      <c r="A307" s="1">
        <f>HYPERLINK("https://lsnyc.legalserver.org/matter/dynamic-profile/view/1903988","19-1903988")</f>
        <v>0</v>
      </c>
      <c r="B307" t="s">
        <v>330</v>
      </c>
      <c r="C307" t="s">
        <v>5259</v>
      </c>
      <c r="D307" t="s">
        <v>9928</v>
      </c>
      <c r="E307" t="s">
        <v>10075</v>
      </c>
      <c r="F307">
        <v>11218</v>
      </c>
      <c r="G307" t="s">
        <v>10093</v>
      </c>
      <c r="H307" t="s">
        <v>10097</v>
      </c>
      <c r="J307" t="s">
        <v>10213</v>
      </c>
      <c r="K307" t="s">
        <v>10218</v>
      </c>
      <c r="L307" t="s">
        <v>10155</v>
      </c>
      <c r="M307" t="s">
        <v>10390</v>
      </c>
      <c r="N307" t="s">
        <v>10644</v>
      </c>
      <c r="P307" t="s">
        <v>10749</v>
      </c>
      <c r="Q307" t="s">
        <v>10791</v>
      </c>
      <c r="R307" t="s">
        <v>10820</v>
      </c>
      <c r="T307">
        <v>22296</v>
      </c>
      <c r="U307">
        <v>1858</v>
      </c>
      <c r="V307">
        <v>72</v>
      </c>
      <c r="W307">
        <v>2</v>
      </c>
      <c r="X307">
        <v>0</v>
      </c>
      <c r="Y307" t="s">
        <v>10830</v>
      </c>
      <c r="Z307">
        <v>131.85</v>
      </c>
      <c r="AA307">
        <v>40.633282</v>
      </c>
      <c r="AB307">
        <v>-73.97280000000001</v>
      </c>
      <c r="AD307" t="s">
        <v>10839</v>
      </c>
      <c r="AG307" t="s">
        <v>10858</v>
      </c>
      <c r="AH307" t="s">
        <v>10869</v>
      </c>
      <c r="AI307">
        <v>239</v>
      </c>
      <c r="AJ307" t="s">
        <v>10213</v>
      </c>
      <c r="AK307" t="s">
        <v>10838</v>
      </c>
      <c r="AL307">
        <v>4</v>
      </c>
      <c r="AQ307" t="s">
        <v>11100</v>
      </c>
      <c r="AR307" t="s">
        <v>11295</v>
      </c>
      <c r="AS307" t="s">
        <v>11595</v>
      </c>
      <c r="AY307" t="s">
        <v>10830</v>
      </c>
      <c r="AZ307" t="s">
        <v>11697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</row>
    <row r="308" spans="1:59">
      <c r="A308" s="1">
        <f>HYPERLINK("https://lsnyc.legalserver.org/matter/dynamic-profile/view/1903989","19-1903989")</f>
        <v>0</v>
      </c>
      <c r="B308" t="s">
        <v>332</v>
      </c>
      <c r="C308" t="s">
        <v>5261</v>
      </c>
      <c r="D308" t="s">
        <v>9925</v>
      </c>
      <c r="E308" t="s">
        <v>10075</v>
      </c>
      <c r="F308">
        <v>10025</v>
      </c>
      <c r="G308" t="s">
        <v>10089</v>
      </c>
      <c r="H308" t="s">
        <v>10094</v>
      </c>
      <c r="I308" t="s">
        <v>10168</v>
      </c>
      <c r="J308" t="s">
        <v>10209</v>
      </c>
      <c r="K308" t="s">
        <v>10217</v>
      </c>
      <c r="M308" t="s">
        <v>10391</v>
      </c>
      <c r="N308" t="s">
        <v>10703</v>
      </c>
      <c r="P308" t="s">
        <v>10749</v>
      </c>
      <c r="Q308" t="s">
        <v>10765</v>
      </c>
      <c r="R308" t="s">
        <v>10820</v>
      </c>
      <c r="T308">
        <v>18720</v>
      </c>
      <c r="U308">
        <v>1560</v>
      </c>
      <c r="V308">
        <v>63</v>
      </c>
      <c r="W308">
        <v>1</v>
      </c>
      <c r="X308">
        <v>0</v>
      </c>
      <c r="Z308">
        <v>149.88</v>
      </c>
      <c r="AA308">
        <v>40.801322</v>
      </c>
      <c r="AB308">
        <v>-73.967316</v>
      </c>
      <c r="AD308" t="s">
        <v>10840</v>
      </c>
      <c r="AG308" t="s">
        <v>10858</v>
      </c>
      <c r="AH308" t="s">
        <v>10862</v>
      </c>
      <c r="AI308">
        <v>236</v>
      </c>
      <c r="AJ308" t="s">
        <v>10209</v>
      </c>
      <c r="AL308">
        <v>7.05</v>
      </c>
      <c r="AM308" t="s">
        <v>10894</v>
      </c>
      <c r="AN308" t="s">
        <v>10953</v>
      </c>
      <c r="AO308" t="s">
        <v>11019</v>
      </c>
      <c r="AP308" t="s">
        <v>11073</v>
      </c>
      <c r="AQ308" t="s">
        <v>11101</v>
      </c>
      <c r="AR308" t="s">
        <v>11257</v>
      </c>
      <c r="AS308" t="s">
        <v>9925</v>
      </c>
      <c r="AT308" t="s">
        <v>11642</v>
      </c>
      <c r="BA308" t="s">
        <v>11738</v>
      </c>
      <c r="BB308">
        <v>0</v>
      </c>
      <c r="BC308">
        <v>0</v>
      </c>
      <c r="BD308">
        <v>0</v>
      </c>
      <c r="BE308">
        <v>0</v>
      </c>
      <c r="BF308">
        <v>5</v>
      </c>
      <c r="BG308">
        <v>0</v>
      </c>
    </row>
    <row r="309" spans="1:59">
      <c r="A309" s="1">
        <f>HYPERLINK("https://lsnyc.legalserver.org/matter/dynamic-profile/view/1903990","19-1903990")</f>
        <v>0</v>
      </c>
      <c r="B309" t="s">
        <v>330</v>
      </c>
      <c r="C309" t="s">
        <v>5259</v>
      </c>
      <c r="D309" t="s">
        <v>9928</v>
      </c>
      <c r="E309" t="s">
        <v>10075</v>
      </c>
      <c r="F309">
        <v>11218</v>
      </c>
      <c r="G309" t="s">
        <v>10093</v>
      </c>
      <c r="H309" t="s">
        <v>10094</v>
      </c>
      <c r="J309" t="s">
        <v>10213</v>
      </c>
      <c r="K309" t="s">
        <v>10218</v>
      </c>
      <c r="L309" t="s">
        <v>10130</v>
      </c>
      <c r="M309" t="s">
        <v>10390</v>
      </c>
      <c r="N309" t="s">
        <v>10644</v>
      </c>
      <c r="P309" t="s">
        <v>10749</v>
      </c>
      <c r="Q309" t="s">
        <v>10791</v>
      </c>
      <c r="R309" t="s">
        <v>10820</v>
      </c>
      <c r="T309">
        <v>22296</v>
      </c>
      <c r="U309">
        <v>1858</v>
      </c>
      <c r="V309">
        <v>72</v>
      </c>
      <c r="W309">
        <v>2</v>
      </c>
      <c r="X309">
        <v>0</v>
      </c>
      <c r="Y309" t="s">
        <v>10829</v>
      </c>
      <c r="Z309">
        <v>131.85</v>
      </c>
      <c r="AA309">
        <v>40.633282</v>
      </c>
      <c r="AB309">
        <v>-73.97280000000001</v>
      </c>
      <c r="AD309" t="s">
        <v>10839</v>
      </c>
      <c r="AG309" t="s">
        <v>10858</v>
      </c>
      <c r="AH309" t="s">
        <v>10869</v>
      </c>
      <c r="AI309">
        <v>239</v>
      </c>
      <c r="AJ309" t="s">
        <v>10213</v>
      </c>
      <c r="AK309" t="s">
        <v>10838</v>
      </c>
      <c r="AL309">
        <v>1</v>
      </c>
      <c r="AQ309" t="s">
        <v>11133</v>
      </c>
      <c r="AR309" t="s">
        <v>11295</v>
      </c>
      <c r="AS309" t="s">
        <v>11595</v>
      </c>
      <c r="AY309" t="s">
        <v>10829</v>
      </c>
      <c r="AZ309" t="s">
        <v>11681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</row>
    <row r="310" spans="1:59">
      <c r="A310" s="1">
        <f>HYPERLINK("https://lsnyc.legalserver.org/matter/dynamic-profile/view/1903991","19-1903991")</f>
        <v>0</v>
      </c>
      <c r="B310" t="s">
        <v>333</v>
      </c>
      <c r="C310" t="s">
        <v>5262</v>
      </c>
      <c r="D310" t="s">
        <v>9938</v>
      </c>
      <c r="E310" t="s">
        <v>10075</v>
      </c>
      <c r="F310">
        <v>11435</v>
      </c>
      <c r="G310" t="s">
        <v>10091</v>
      </c>
      <c r="H310" t="s">
        <v>10094</v>
      </c>
      <c r="I310" t="s">
        <v>10168</v>
      </c>
      <c r="J310" t="s">
        <v>10214</v>
      </c>
      <c r="K310" t="s">
        <v>10217</v>
      </c>
      <c r="M310" t="s">
        <v>10286</v>
      </c>
      <c r="N310" t="s">
        <v>10671</v>
      </c>
      <c r="P310" t="s">
        <v>10751</v>
      </c>
      <c r="Q310" t="s">
        <v>10780</v>
      </c>
      <c r="R310" t="s">
        <v>10825</v>
      </c>
      <c r="T310">
        <v>0</v>
      </c>
      <c r="U310">
        <v>0</v>
      </c>
      <c r="V310">
        <v>61</v>
      </c>
      <c r="W310">
        <v>1</v>
      </c>
      <c r="X310">
        <v>0</v>
      </c>
      <c r="Z310">
        <v>0</v>
      </c>
      <c r="AA310">
        <v>40.689622</v>
      </c>
      <c r="AB310">
        <v>-73.80415600000001</v>
      </c>
      <c r="AD310" t="s">
        <v>10839</v>
      </c>
      <c r="AG310" t="s">
        <v>10858</v>
      </c>
      <c r="AH310" t="s">
        <v>10861</v>
      </c>
      <c r="AI310">
        <v>234</v>
      </c>
      <c r="AJ310" t="s">
        <v>10214</v>
      </c>
      <c r="AL310">
        <v>1</v>
      </c>
      <c r="AM310" t="s">
        <v>10892</v>
      </c>
      <c r="AN310" t="s">
        <v>10951</v>
      </c>
      <c r="AO310" t="s">
        <v>11017</v>
      </c>
      <c r="AP310" t="s">
        <v>11070</v>
      </c>
      <c r="AR310" t="s">
        <v>11279</v>
      </c>
      <c r="AS310" t="s">
        <v>11594</v>
      </c>
      <c r="AT310" t="s">
        <v>11641</v>
      </c>
      <c r="AX310" t="s">
        <v>10838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</row>
    <row r="311" spans="1:59">
      <c r="A311" s="1">
        <f>HYPERLINK("https://lsnyc.legalserver.org/matter/dynamic-profile/view/1903992","19-1903992")</f>
        <v>0</v>
      </c>
      <c r="B311" t="s">
        <v>334</v>
      </c>
      <c r="C311" t="s">
        <v>5263</v>
      </c>
      <c r="D311" t="s">
        <v>9956</v>
      </c>
      <c r="E311" t="s">
        <v>10075</v>
      </c>
      <c r="F311">
        <v>11365</v>
      </c>
      <c r="G311" t="s">
        <v>10092</v>
      </c>
      <c r="H311" t="s">
        <v>10094</v>
      </c>
      <c r="I311" t="s">
        <v>10168</v>
      </c>
      <c r="J311" t="s">
        <v>10212</v>
      </c>
      <c r="K311" t="s">
        <v>10218</v>
      </c>
      <c r="L311" t="s">
        <v>10155</v>
      </c>
      <c r="M311" t="s">
        <v>10340</v>
      </c>
      <c r="N311" t="s">
        <v>10656</v>
      </c>
      <c r="P311" t="s">
        <v>10751</v>
      </c>
      <c r="Q311" t="s">
        <v>10768</v>
      </c>
      <c r="R311" t="s">
        <v>10824</v>
      </c>
      <c r="T311">
        <v>6240</v>
      </c>
      <c r="U311">
        <v>520</v>
      </c>
      <c r="V311">
        <v>10</v>
      </c>
      <c r="W311">
        <v>1</v>
      </c>
      <c r="X311">
        <v>0</v>
      </c>
      <c r="Y311" t="s">
        <v>10830</v>
      </c>
      <c r="Z311">
        <v>49.96</v>
      </c>
      <c r="AA311">
        <v>40.735536</v>
      </c>
      <c r="AB311">
        <v>-73.81138199999999</v>
      </c>
      <c r="AD311" t="s">
        <v>10839</v>
      </c>
      <c r="AG311" t="s">
        <v>10858</v>
      </c>
      <c r="AH311" t="s">
        <v>10871</v>
      </c>
      <c r="AI311">
        <v>234</v>
      </c>
      <c r="AJ311" t="s">
        <v>10214</v>
      </c>
      <c r="AK311" t="s">
        <v>10838</v>
      </c>
      <c r="AL311">
        <v>9.300000000000001</v>
      </c>
      <c r="AM311" t="s">
        <v>10890</v>
      </c>
      <c r="AN311" t="s">
        <v>10962</v>
      </c>
      <c r="AO311" t="s">
        <v>11009</v>
      </c>
      <c r="AP311" t="s">
        <v>11081</v>
      </c>
      <c r="AR311" t="s">
        <v>11327</v>
      </c>
      <c r="AS311" t="s">
        <v>11594</v>
      </c>
      <c r="AT311" t="s">
        <v>11641</v>
      </c>
      <c r="AX311" t="s">
        <v>10838</v>
      </c>
      <c r="AY311" t="s">
        <v>10830</v>
      </c>
      <c r="AZ311" t="s">
        <v>11682</v>
      </c>
      <c r="BA311" t="s">
        <v>11741</v>
      </c>
      <c r="BB311">
        <v>0</v>
      </c>
      <c r="BC311">
        <v>0</v>
      </c>
      <c r="BD311">
        <v>0</v>
      </c>
      <c r="BE311">
        <v>0</v>
      </c>
      <c r="BF311">
        <v>1</v>
      </c>
      <c r="BG311">
        <v>0</v>
      </c>
    </row>
    <row r="312" spans="1:59">
      <c r="A312" s="1">
        <f>HYPERLINK("https://lsnyc.legalserver.org/matter/dynamic-profile/view/1903993","19-1903993")</f>
        <v>0</v>
      </c>
      <c r="B312" t="s">
        <v>330</v>
      </c>
      <c r="C312" t="s">
        <v>5259</v>
      </c>
      <c r="D312" t="s">
        <v>9928</v>
      </c>
      <c r="E312" t="s">
        <v>10075</v>
      </c>
      <c r="F312">
        <v>11218</v>
      </c>
      <c r="G312" t="s">
        <v>10093</v>
      </c>
      <c r="H312" t="s">
        <v>10094</v>
      </c>
      <c r="J312" t="s">
        <v>10213</v>
      </c>
      <c r="K312" t="s">
        <v>10217</v>
      </c>
      <c r="M312" t="s">
        <v>10390</v>
      </c>
      <c r="N312" t="s">
        <v>10644</v>
      </c>
      <c r="P312" t="s">
        <v>10751</v>
      </c>
      <c r="Q312" t="s">
        <v>10786</v>
      </c>
      <c r="R312" t="s">
        <v>10820</v>
      </c>
      <c r="T312">
        <v>22296</v>
      </c>
      <c r="U312">
        <v>1858</v>
      </c>
      <c r="V312">
        <v>72</v>
      </c>
      <c r="W312">
        <v>2</v>
      </c>
      <c r="X312">
        <v>0</v>
      </c>
      <c r="Z312">
        <v>131.85</v>
      </c>
      <c r="AA312">
        <v>40.633282</v>
      </c>
      <c r="AB312">
        <v>-73.97280000000001</v>
      </c>
      <c r="AD312" t="s">
        <v>10839</v>
      </c>
      <c r="AG312" t="s">
        <v>10858</v>
      </c>
      <c r="AH312" t="s">
        <v>10869</v>
      </c>
      <c r="AI312">
        <v>239</v>
      </c>
      <c r="AJ312" t="s">
        <v>10213</v>
      </c>
      <c r="AL312">
        <v>0.5</v>
      </c>
      <c r="AQ312" t="s">
        <v>11134</v>
      </c>
      <c r="AR312" t="s">
        <v>11295</v>
      </c>
      <c r="AS312" t="s">
        <v>11595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</row>
    <row r="313" spans="1:59">
      <c r="A313" s="1">
        <f>HYPERLINK("https://lsnyc.legalserver.org/matter/dynamic-profile/view/1903994","19-1903994")</f>
        <v>0</v>
      </c>
      <c r="B313" t="s">
        <v>335</v>
      </c>
      <c r="C313" t="s">
        <v>5258</v>
      </c>
      <c r="D313" t="s">
        <v>9928</v>
      </c>
      <c r="E313" t="s">
        <v>10075</v>
      </c>
      <c r="F313">
        <v>11213</v>
      </c>
      <c r="G313" t="s">
        <v>10093</v>
      </c>
      <c r="H313" t="s">
        <v>10094</v>
      </c>
      <c r="I313" t="s">
        <v>10168</v>
      </c>
      <c r="J313" t="s">
        <v>10213</v>
      </c>
      <c r="K313" t="s">
        <v>10217</v>
      </c>
      <c r="M313" t="s">
        <v>10392</v>
      </c>
      <c r="N313" t="s">
        <v>10650</v>
      </c>
      <c r="P313" t="s">
        <v>10749</v>
      </c>
      <c r="Q313" t="s">
        <v>10769</v>
      </c>
      <c r="R313" t="s">
        <v>10824</v>
      </c>
      <c r="T313">
        <v>25376</v>
      </c>
      <c r="U313">
        <v>2114.67</v>
      </c>
      <c r="V313">
        <v>42</v>
      </c>
      <c r="W313">
        <v>2</v>
      </c>
      <c r="X313">
        <v>1</v>
      </c>
      <c r="Z313">
        <v>118.97</v>
      </c>
      <c r="AA313">
        <v>40.672207</v>
      </c>
      <c r="AB313">
        <v>-73.93263</v>
      </c>
      <c r="AD313" t="s">
        <v>10839</v>
      </c>
      <c r="AG313" t="s">
        <v>10858</v>
      </c>
      <c r="AH313" t="s">
        <v>10862</v>
      </c>
      <c r="AI313">
        <v>239</v>
      </c>
      <c r="AJ313" t="s">
        <v>10213</v>
      </c>
      <c r="AL313">
        <v>0</v>
      </c>
      <c r="AM313" t="s">
        <v>10888</v>
      </c>
      <c r="AN313" t="s">
        <v>10914</v>
      </c>
      <c r="AO313" t="s">
        <v>11007</v>
      </c>
      <c r="AP313" t="s">
        <v>11052</v>
      </c>
      <c r="AR313" t="s">
        <v>11328</v>
      </c>
      <c r="AS313" t="s">
        <v>11595</v>
      </c>
      <c r="AT313" t="s">
        <v>11641</v>
      </c>
      <c r="BA313" t="s">
        <v>11740</v>
      </c>
      <c r="BB313">
        <v>0</v>
      </c>
      <c r="BC313">
        <v>0</v>
      </c>
      <c r="BD313">
        <v>0</v>
      </c>
      <c r="BE313">
        <v>0</v>
      </c>
      <c r="BF313">
        <v>2</v>
      </c>
      <c r="BG313">
        <v>0</v>
      </c>
    </row>
    <row r="314" spans="1:59">
      <c r="A314" s="1">
        <f>HYPERLINK("https://lsnyc.legalserver.org/matter/dynamic-profile/view/1903995","19-1903995")</f>
        <v>0</v>
      </c>
      <c r="B314" t="s">
        <v>336</v>
      </c>
      <c r="C314" t="s">
        <v>5264</v>
      </c>
      <c r="D314" t="s">
        <v>9942</v>
      </c>
      <c r="E314" t="s">
        <v>10075</v>
      </c>
      <c r="F314">
        <v>11357</v>
      </c>
      <c r="G314" t="s">
        <v>10092</v>
      </c>
      <c r="H314" t="s">
        <v>10094</v>
      </c>
      <c r="I314" t="s">
        <v>10168</v>
      </c>
      <c r="J314" t="s">
        <v>10212</v>
      </c>
      <c r="K314" t="s">
        <v>10218</v>
      </c>
      <c r="L314" t="s">
        <v>10121</v>
      </c>
      <c r="M314" t="s">
        <v>10340</v>
      </c>
      <c r="N314" t="s">
        <v>10694</v>
      </c>
      <c r="P314" t="s">
        <v>10751</v>
      </c>
      <c r="Q314" t="s">
        <v>10768</v>
      </c>
      <c r="R314" t="s">
        <v>10820</v>
      </c>
      <c r="T314">
        <v>0</v>
      </c>
      <c r="U314">
        <v>0</v>
      </c>
      <c r="V314">
        <v>20</v>
      </c>
      <c r="W314">
        <v>1</v>
      </c>
      <c r="X314">
        <v>0</v>
      </c>
      <c r="Y314" t="s">
        <v>10829</v>
      </c>
      <c r="Z314">
        <v>0</v>
      </c>
      <c r="AA314">
        <v>40.785443</v>
      </c>
      <c r="AB314">
        <v>-73.820443</v>
      </c>
      <c r="AD314" t="s">
        <v>10840</v>
      </c>
      <c r="AG314" t="s">
        <v>10858</v>
      </c>
      <c r="AH314" t="s">
        <v>10861</v>
      </c>
      <c r="AI314">
        <v>234</v>
      </c>
      <c r="AJ314" t="s">
        <v>10214</v>
      </c>
      <c r="AK314" t="s">
        <v>10838</v>
      </c>
      <c r="AL314">
        <v>1.3</v>
      </c>
      <c r="AM314" t="s">
        <v>10895</v>
      </c>
      <c r="AN314" t="s">
        <v>10948</v>
      </c>
      <c r="AO314" t="s">
        <v>11022</v>
      </c>
      <c r="AP314" t="s">
        <v>11080</v>
      </c>
      <c r="AR314" t="s">
        <v>11267</v>
      </c>
      <c r="AS314" t="s">
        <v>11594</v>
      </c>
      <c r="AT314" t="s">
        <v>11642</v>
      </c>
      <c r="AX314" t="s">
        <v>10838</v>
      </c>
      <c r="AY314" t="s">
        <v>10829</v>
      </c>
      <c r="AZ314" t="s">
        <v>11682</v>
      </c>
      <c r="BA314" t="s">
        <v>11741</v>
      </c>
      <c r="BB314">
        <v>0</v>
      </c>
      <c r="BC314">
        <v>0</v>
      </c>
      <c r="BD314">
        <v>0</v>
      </c>
      <c r="BE314">
        <v>0</v>
      </c>
      <c r="BF314">
        <v>1</v>
      </c>
      <c r="BG314">
        <v>0</v>
      </c>
    </row>
    <row r="315" spans="1:59">
      <c r="A315" s="1">
        <f>HYPERLINK("https://lsnyc.legalserver.org/matter/dynamic-profile/view/1903996","19-1903996")</f>
        <v>0</v>
      </c>
      <c r="B315" t="s">
        <v>337</v>
      </c>
      <c r="C315" t="s">
        <v>5265</v>
      </c>
      <c r="D315" t="s">
        <v>9925</v>
      </c>
      <c r="E315" t="s">
        <v>10075</v>
      </c>
      <c r="F315">
        <v>10033</v>
      </c>
      <c r="G315" t="s">
        <v>10089</v>
      </c>
      <c r="H315" t="s">
        <v>10094</v>
      </c>
      <c r="I315" t="s">
        <v>10168</v>
      </c>
      <c r="J315" t="s">
        <v>10209</v>
      </c>
      <c r="K315" t="s">
        <v>10217</v>
      </c>
      <c r="M315" t="s">
        <v>10393</v>
      </c>
      <c r="N315" t="s">
        <v>10650</v>
      </c>
      <c r="P315" t="s">
        <v>10749</v>
      </c>
      <c r="Q315" t="s">
        <v>10765</v>
      </c>
      <c r="R315" t="s">
        <v>10824</v>
      </c>
      <c r="T315">
        <v>28560</v>
      </c>
      <c r="U315">
        <v>2380</v>
      </c>
      <c r="V315">
        <v>48</v>
      </c>
      <c r="W315">
        <v>2</v>
      </c>
      <c r="X315">
        <v>1</v>
      </c>
      <c r="Z315">
        <v>133.9</v>
      </c>
      <c r="AA315">
        <v>40.846943</v>
      </c>
      <c r="AB315">
        <v>-73.942724</v>
      </c>
      <c r="AD315" t="s">
        <v>10840</v>
      </c>
      <c r="AG315" t="s">
        <v>10858</v>
      </c>
      <c r="AH315" t="s">
        <v>10862</v>
      </c>
      <c r="AI315">
        <v>236</v>
      </c>
      <c r="AJ315" t="s">
        <v>10209</v>
      </c>
      <c r="AL315">
        <v>6.9</v>
      </c>
      <c r="AM315" t="s">
        <v>10887</v>
      </c>
      <c r="AN315" t="s">
        <v>10943</v>
      </c>
      <c r="AO315" t="s">
        <v>11019</v>
      </c>
      <c r="AP315" t="s">
        <v>11074</v>
      </c>
      <c r="AR315" t="s">
        <v>11257</v>
      </c>
      <c r="AS315" t="s">
        <v>9925</v>
      </c>
      <c r="AT315" t="s">
        <v>11642</v>
      </c>
      <c r="AX315" t="s">
        <v>10838</v>
      </c>
      <c r="BA315" t="s">
        <v>11740</v>
      </c>
      <c r="BB315">
        <v>0</v>
      </c>
      <c r="BC315">
        <v>0</v>
      </c>
      <c r="BD315">
        <v>0</v>
      </c>
      <c r="BE315">
        <v>0</v>
      </c>
      <c r="BF315">
        <v>2</v>
      </c>
      <c r="BG315">
        <v>0</v>
      </c>
    </row>
    <row r="316" spans="1:59">
      <c r="A316" s="1">
        <f>HYPERLINK("https://lsnyc.legalserver.org/matter/dynamic-profile/view/1903997","19-1903997")</f>
        <v>0</v>
      </c>
      <c r="B316" t="s">
        <v>338</v>
      </c>
      <c r="C316" t="s">
        <v>5258</v>
      </c>
      <c r="D316" t="s">
        <v>9928</v>
      </c>
      <c r="E316" t="s">
        <v>10075</v>
      </c>
      <c r="F316">
        <v>11213</v>
      </c>
      <c r="G316" t="s">
        <v>10093</v>
      </c>
      <c r="H316" t="s">
        <v>10094</v>
      </c>
      <c r="I316" t="s">
        <v>10168</v>
      </c>
      <c r="J316" t="s">
        <v>10213</v>
      </c>
      <c r="K316" t="s">
        <v>10217</v>
      </c>
      <c r="M316" t="s">
        <v>10392</v>
      </c>
      <c r="N316" t="s">
        <v>10650</v>
      </c>
      <c r="P316" t="s">
        <v>10749</v>
      </c>
      <c r="Q316" t="s">
        <v>10769</v>
      </c>
      <c r="R316" t="s">
        <v>10824</v>
      </c>
      <c r="T316">
        <v>18200</v>
      </c>
      <c r="U316">
        <v>1516.67</v>
      </c>
      <c r="V316">
        <v>65</v>
      </c>
      <c r="W316">
        <v>3</v>
      </c>
      <c r="X316">
        <v>3</v>
      </c>
      <c r="Z316">
        <v>52.62</v>
      </c>
      <c r="AA316">
        <v>40.672207</v>
      </c>
      <c r="AB316">
        <v>-73.93263</v>
      </c>
      <c r="AD316" t="s">
        <v>10839</v>
      </c>
      <c r="AF316" t="s">
        <v>10843</v>
      </c>
      <c r="AG316" t="s">
        <v>10859</v>
      </c>
      <c r="AH316" t="s">
        <v>10862</v>
      </c>
      <c r="AI316">
        <v>239</v>
      </c>
      <c r="AJ316" t="s">
        <v>10213</v>
      </c>
      <c r="AL316">
        <v>0</v>
      </c>
      <c r="AM316" t="s">
        <v>10888</v>
      </c>
      <c r="AN316" t="s">
        <v>10914</v>
      </c>
      <c r="AO316" t="s">
        <v>11007</v>
      </c>
      <c r="AP316" t="s">
        <v>11052</v>
      </c>
      <c r="AR316" t="s">
        <v>11257</v>
      </c>
      <c r="AS316" t="s">
        <v>11595</v>
      </c>
      <c r="AT316" t="s">
        <v>11641</v>
      </c>
      <c r="BA316" t="s">
        <v>11740</v>
      </c>
      <c r="BB316">
        <v>0</v>
      </c>
      <c r="BC316">
        <v>0</v>
      </c>
      <c r="BD316">
        <v>0</v>
      </c>
      <c r="BE316">
        <v>0</v>
      </c>
      <c r="BF316">
        <v>2</v>
      </c>
      <c r="BG316">
        <v>0</v>
      </c>
    </row>
    <row r="317" spans="1:59">
      <c r="A317" s="1">
        <f>HYPERLINK("https://lsnyc.legalserver.org/matter/dynamic-profile/view/1903998","19-1903998")</f>
        <v>0</v>
      </c>
      <c r="B317" t="s">
        <v>339</v>
      </c>
      <c r="C317" t="s">
        <v>5266</v>
      </c>
      <c r="D317" t="s">
        <v>9926</v>
      </c>
      <c r="E317" t="s">
        <v>10075</v>
      </c>
      <c r="F317">
        <v>10459</v>
      </c>
      <c r="G317" t="s">
        <v>10090</v>
      </c>
      <c r="H317" t="s">
        <v>10094</v>
      </c>
      <c r="I317" t="s">
        <v>10170</v>
      </c>
      <c r="J317" t="s">
        <v>10210</v>
      </c>
      <c r="K317" t="s">
        <v>10218</v>
      </c>
      <c r="L317" t="s">
        <v>10101</v>
      </c>
      <c r="M317" t="s">
        <v>10372</v>
      </c>
      <c r="N317" t="s">
        <v>10704</v>
      </c>
      <c r="P317" t="s">
        <v>10750</v>
      </c>
      <c r="Q317" t="s">
        <v>10788</v>
      </c>
      <c r="R317" t="s">
        <v>10824</v>
      </c>
      <c r="T317">
        <v>13000</v>
      </c>
      <c r="U317">
        <v>1083.33</v>
      </c>
      <c r="V317">
        <v>41</v>
      </c>
      <c r="W317">
        <v>1</v>
      </c>
      <c r="X317">
        <v>2</v>
      </c>
      <c r="Y317" t="s">
        <v>10829</v>
      </c>
      <c r="Z317">
        <v>60.95</v>
      </c>
      <c r="AA317">
        <v>40.831055</v>
      </c>
      <c r="AB317">
        <v>-73.896529</v>
      </c>
      <c r="AD317" t="s">
        <v>10839</v>
      </c>
      <c r="AF317" t="s">
        <v>10843</v>
      </c>
      <c r="AG317" t="s">
        <v>10859</v>
      </c>
      <c r="AH317" t="s">
        <v>10870</v>
      </c>
      <c r="AI317">
        <v>230</v>
      </c>
      <c r="AJ317" t="s">
        <v>10210</v>
      </c>
      <c r="AK317" t="s">
        <v>10837</v>
      </c>
      <c r="AL317">
        <v>5</v>
      </c>
      <c r="AM317" t="s">
        <v>10884</v>
      </c>
      <c r="AN317" t="s">
        <v>10918</v>
      </c>
      <c r="AO317" t="s">
        <v>11001</v>
      </c>
      <c r="AP317" t="s">
        <v>11055</v>
      </c>
      <c r="AR317" t="s">
        <v>11276</v>
      </c>
      <c r="AS317" t="s">
        <v>9926</v>
      </c>
      <c r="AY317" t="s">
        <v>10829</v>
      </c>
      <c r="AZ317" t="s">
        <v>11702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</row>
    <row r="318" spans="1:59">
      <c r="A318" s="1">
        <f>HYPERLINK("https://lsnyc.legalserver.org/matter/dynamic-profile/view/1903999","19-1903999")</f>
        <v>0</v>
      </c>
      <c r="B318" t="s">
        <v>340</v>
      </c>
      <c r="C318" t="s">
        <v>5258</v>
      </c>
      <c r="D318" t="s">
        <v>9928</v>
      </c>
      <c r="E318" t="s">
        <v>10075</v>
      </c>
      <c r="F318">
        <v>11213</v>
      </c>
      <c r="G318" t="s">
        <v>10093</v>
      </c>
      <c r="H318" t="s">
        <v>10094</v>
      </c>
      <c r="I318" t="s">
        <v>10168</v>
      </c>
      <c r="J318" t="s">
        <v>10213</v>
      </c>
      <c r="K318" t="s">
        <v>10217</v>
      </c>
      <c r="M318" t="s">
        <v>10392</v>
      </c>
      <c r="N318" t="s">
        <v>10650</v>
      </c>
      <c r="P318" t="s">
        <v>10749</v>
      </c>
      <c r="Q318" t="s">
        <v>10769</v>
      </c>
      <c r="R318" t="s">
        <v>10824</v>
      </c>
      <c r="T318">
        <v>21600</v>
      </c>
      <c r="U318">
        <v>1800</v>
      </c>
      <c r="V318">
        <v>60</v>
      </c>
      <c r="W318">
        <v>1</v>
      </c>
      <c r="X318">
        <v>0</v>
      </c>
      <c r="Z318">
        <v>172.94</v>
      </c>
      <c r="AA318">
        <v>40.672207</v>
      </c>
      <c r="AB318">
        <v>-73.93263</v>
      </c>
      <c r="AD318" t="s">
        <v>10840</v>
      </c>
      <c r="AF318" t="s">
        <v>10842</v>
      </c>
      <c r="AG318" t="s">
        <v>10859</v>
      </c>
      <c r="AH318" t="s">
        <v>10862</v>
      </c>
      <c r="AI318">
        <v>239</v>
      </c>
      <c r="AJ318" t="s">
        <v>10213</v>
      </c>
      <c r="AL318">
        <v>0</v>
      </c>
      <c r="AM318" t="s">
        <v>10888</v>
      </c>
      <c r="AN318" t="s">
        <v>10914</v>
      </c>
      <c r="AO318" t="s">
        <v>11007</v>
      </c>
      <c r="AP318" t="s">
        <v>11052</v>
      </c>
      <c r="AR318" t="s">
        <v>11257</v>
      </c>
      <c r="AS318" t="s">
        <v>11595</v>
      </c>
      <c r="AT318" t="s">
        <v>11642</v>
      </c>
      <c r="BA318" t="s">
        <v>11740</v>
      </c>
      <c r="BB318">
        <v>0</v>
      </c>
      <c r="BC318">
        <v>0</v>
      </c>
      <c r="BD318">
        <v>0</v>
      </c>
      <c r="BE318">
        <v>0</v>
      </c>
      <c r="BF318">
        <v>2</v>
      </c>
      <c r="BG318">
        <v>0</v>
      </c>
    </row>
    <row r="319" spans="1:59">
      <c r="A319" s="1">
        <f>HYPERLINK("https://lsnyc.legalserver.org/matter/dynamic-profile/view/1904000","19-1904000")</f>
        <v>0</v>
      </c>
      <c r="B319" t="s">
        <v>341</v>
      </c>
      <c r="C319" t="s">
        <v>5258</v>
      </c>
      <c r="D319" t="s">
        <v>9928</v>
      </c>
      <c r="E319" t="s">
        <v>10075</v>
      </c>
      <c r="F319">
        <v>11213</v>
      </c>
      <c r="G319" t="s">
        <v>10093</v>
      </c>
      <c r="H319" t="s">
        <v>10094</v>
      </c>
      <c r="I319" t="s">
        <v>10168</v>
      </c>
      <c r="J319" t="s">
        <v>10213</v>
      </c>
      <c r="K319" t="s">
        <v>10217</v>
      </c>
      <c r="M319" t="s">
        <v>10392</v>
      </c>
      <c r="N319" t="s">
        <v>10650</v>
      </c>
      <c r="P319" t="s">
        <v>10749</v>
      </c>
      <c r="Q319" t="s">
        <v>10769</v>
      </c>
      <c r="R319" t="s">
        <v>10825</v>
      </c>
      <c r="T319">
        <v>10800</v>
      </c>
      <c r="U319">
        <v>900</v>
      </c>
      <c r="V319">
        <v>56</v>
      </c>
      <c r="W319">
        <v>1</v>
      </c>
      <c r="X319">
        <v>0</v>
      </c>
      <c r="Z319">
        <v>86.47</v>
      </c>
      <c r="AA319">
        <v>40.672207</v>
      </c>
      <c r="AB319">
        <v>-73.93263</v>
      </c>
      <c r="AD319" t="s">
        <v>10839</v>
      </c>
      <c r="AG319" t="s">
        <v>10858</v>
      </c>
      <c r="AH319" t="s">
        <v>10862</v>
      </c>
      <c r="AI319">
        <v>239</v>
      </c>
      <c r="AJ319" t="s">
        <v>10213</v>
      </c>
      <c r="AL319">
        <v>0</v>
      </c>
      <c r="AM319" t="s">
        <v>10888</v>
      </c>
      <c r="AN319" t="s">
        <v>10914</v>
      </c>
      <c r="AO319" t="s">
        <v>11007</v>
      </c>
      <c r="AP319" t="s">
        <v>11052</v>
      </c>
      <c r="AR319" t="s">
        <v>11257</v>
      </c>
      <c r="AS319" t="s">
        <v>11595</v>
      </c>
      <c r="AT319" t="s">
        <v>11641</v>
      </c>
      <c r="BA319" t="s">
        <v>11740</v>
      </c>
      <c r="BB319">
        <v>0</v>
      </c>
      <c r="BC319">
        <v>0</v>
      </c>
      <c r="BD319">
        <v>0</v>
      </c>
      <c r="BE319">
        <v>0</v>
      </c>
      <c r="BF319">
        <v>2</v>
      </c>
      <c r="BG319">
        <v>0</v>
      </c>
    </row>
    <row r="320" spans="1:59">
      <c r="A320" s="1">
        <f>HYPERLINK("https://lsnyc.legalserver.org/matter/dynamic-profile/view/1904001","19-1904001")</f>
        <v>0</v>
      </c>
      <c r="B320" t="s">
        <v>342</v>
      </c>
      <c r="C320" t="s">
        <v>5267</v>
      </c>
      <c r="D320" t="s">
        <v>9925</v>
      </c>
      <c r="E320" t="s">
        <v>10075</v>
      </c>
      <c r="F320">
        <v>10034</v>
      </c>
      <c r="G320" t="s">
        <v>10089</v>
      </c>
      <c r="H320" t="s">
        <v>10094</v>
      </c>
      <c r="I320" t="s">
        <v>10169</v>
      </c>
      <c r="J320" t="s">
        <v>10209</v>
      </c>
      <c r="K320" t="s">
        <v>10218</v>
      </c>
      <c r="L320" t="s">
        <v>10095</v>
      </c>
      <c r="M320" t="s">
        <v>10394</v>
      </c>
      <c r="N320" t="s">
        <v>10671</v>
      </c>
      <c r="P320" t="s">
        <v>10757</v>
      </c>
      <c r="Q320" t="s">
        <v>10797</v>
      </c>
      <c r="R320" t="s">
        <v>10821</v>
      </c>
      <c r="T320">
        <v>19776</v>
      </c>
      <c r="U320">
        <v>1648</v>
      </c>
      <c r="V320">
        <v>90</v>
      </c>
      <c r="W320">
        <v>2</v>
      </c>
      <c r="X320">
        <v>0</v>
      </c>
      <c r="Y320" t="s">
        <v>10829</v>
      </c>
      <c r="Z320">
        <v>116.95</v>
      </c>
      <c r="AA320">
        <v>40.867198</v>
      </c>
      <c r="AB320">
        <v>-73.92001999999999</v>
      </c>
      <c r="AD320" t="s">
        <v>10839</v>
      </c>
      <c r="AG320" t="s">
        <v>10858</v>
      </c>
      <c r="AH320" t="s">
        <v>10871</v>
      </c>
      <c r="AI320">
        <v>234</v>
      </c>
      <c r="AJ320" t="s">
        <v>10214</v>
      </c>
      <c r="AK320" t="s">
        <v>10838</v>
      </c>
      <c r="AL320">
        <v>2.71</v>
      </c>
      <c r="AM320" t="s">
        <v>10887</v>
      </c>
      <c r="AN320" t="s">
        <v>10937</v>
      </c>
      <c r="AO320" t="s">
        <v>11019</v>
      </c>
      <c r="AP320" t="s">
        <v>11074</v>
      </c>
      <c r="AR320" t="s">
        <v>11253</v>
      </c>
      <c r="AS320" t="s">
        <v>9925</v>
      </c>
      <c r="AT320" t="s">
        <v>11641</v>
      </c>
      <c r="AX320" t="s">
        <v>10838</v>
      </c>
      <c r="AY320" t="s">
        <v>10829</v>
      </c>
      <c r="AZ320" t="s">
        <v>11703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</row>
    <row r="321" spans="1:59">
      <c r="A321" s="1">
        <f>HYPERLINK("https://lsnyc.legalserver.org/matter/dynamic-profile/view/1904002","19-1904002")</f>
        <v>0</v>
      </c>
      <c r="B321" t="s">
        <v>343</v>
      </c>
      <c r="C321" t="s">
        <v>5268</v>
      </c>
      <c r="D321" t="s">
        <v>9926</v>
      </c>
      <c r="E321" t="s">
        <v>10075</v>
      </c>
      <c r="F321">
        <v>10453</v>
      </c>
      <c r="G321" t="s">
        <v>10090</v>
      </c>
      <c r="H321" t="s">
        <v>10094</v>
      </c>
      <c r="I321" t="s">
        <v>10168</v>
      </c>
      <c r="J321" t="s">
        <v>10210</v>
      </c>
      <c r="K321" t="s">
        <v>10217</v>
      </c>
      <c r="M321" t="s">
        <v>10395</v>
      </c>
      <c r="N321" t="s">
        <v>10688</v>
      </c>
      <c r="P321" t="s">
        <v>10755</v>
      </c>
      <c r="Q321" t="s">
        <v>10772</v>
      </c>
      <c r="R321" t="s">
        <v>10823</v>
      </c>
      <c r="T321">
        <v>28276</v>
      </c>
      <c r="U321">
        <v>2356.33</v>
      </c>
      <c r="V321">
        <v>3</v>
      </c>
      <c r="W321">
        <v>3</v>
      </c>
      <c r="X321">
        <v>1</v>
      </c>
      <c r="Z321">
        <v>109.81</v>
      </c>
      <c r="AA321">
        <v>40.85862</v>
      </c>
      <c r="AB321">
        <v>-73.90626899999999</v>
      </c>
      <c r="AD321" t="s">
        <v>10840</v>
      </c>
      <c r="AG321" t="s">
        <v>10858</v>
      </c>
      <c r="AH321" t="s">
        <v>10877</v>
      </c>
      <c r="AI321">
        <v>230</v>
      </c>
      <c r="AJ321" t="s">
        <v>10210</v>
      </c>
      <c r="AL321">
        <v>3.36</v>
      </c>
      <c r="AM321" t="s">
        <v>10884</v>
      </c>
      <c r="AN321" t="s">
        <v>10931</v>
      </c>
      <c r="AO321" t="s">
        <v>11000</v>
      </c>
      <c r="AP321" t="s">
        <v>11045</v>
      </c>
      <c r="AR321" t="s">
        <v>11295</v>
      </c>
      <c r="AS321" t="s">
        <v>9926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</row>
    <row r="322" spans="1:59">
      <c r="A322" s="1">
        <f>HYPERLINK("https://lsnyc.legalserver.org/matter/dynamic-profile/view/1904004","19-1904004")</f>
        <v>0</v>
      </c>
      <c r="B322" t="s">
        <v>344</v>
      </c>
      <c r="C322" t="s">
        <v>5258</v>
      </c>
      <c r="D322" t="s">
        <v>9928</v>
      </c>
      <c r="E322" t="s">
        <v>10075</v>
      </c>
      <c r="F322">
        <v>11213</v>
      </c>
      <c r="G322" t="s">
        <v>10093</v>
      </c>
      <c r="H322" t="s">
        <v>10094</v>
      </c>
      <c r="I322" t="s">
        <v>10168</v>
      </c>
      <c r="J322" t="s">
        <v>10213</v>
      </c>
      <c r="K322" t="s">
        <v>10217</v>
      </c>
      <c r="M322" t="s">
        <v>10392</v>
      </c>
      <c r="N322" t="s">
        <v>10650</v>
      </c>
      <c r="P322" t="s">
        <v>10749</v>
      </c>
      <c r="Q322" t="s">
        <v>10769</v>
      </c>
      <c r="R322" t="s">
        <v>10821</v>
      </c>
      <c r="T322">
        <v>10400</v>
      </c>
      <c r="U322">
        <v>866.67</v>
      </c>
      <c r="V322">
        <v>44</v>
      </c>
      <c r="W322">
        <v>3</v>
      </c>
      <c r="X322">
        <v>0</v>
      </c>
      <c r="Z322">
        <v>48.76</v>
      </c>
      <c r="AA322">
        <v>40.672207</v>
      </c>
      <c r="AB322">
        <v>-73.93263</v>
      </c>
      <c r="AD322" t="s">
        <v>10839</v>
      </c>
      <c r="AG322" t="s">
        <v>10858</v>
      </c>
      <c r="AH322" t="s">
        <v>10862</v>
      </c>
      <c r="AI322">
        <v>239</v>
      </c>
      <c r="AJ322" t="s">
        <v>10213</v>
      </c>
      <c r="AL322">
        <v>0</v>
      </c>
      <c r="AM322" t="s">
        <v>10888</v>
      </c>
      <c r="AN322" t="s">
        <v>10914</v>
      </c>
      <c r="AO322" t="s">
        <v>11007</v>
      </c>
      <c r="AP322" t="s">
        <v>11052</v>
      </c>
      <c r="AR322" t="s">
        <v>11275</v>
      </c>
      <c r="AS322" t="s">
        <v>11595</v>
      </c>
      <c r="AT322" t="s">
        <v>11641</v>
      </c>
      <c r="BA322" t="s">
        <v>11740</v>
      </c>
      <c r="BB322">
        <v>0</v>
      </c>
      <c r="BC322">
        <v>0</v>
      </c>
      <c r="BD322">
        <v>0</v>
      </c>
      <c r="BE322">
        <v>0</v>
      </c>
      <c r="BF322">
        <v>2</v>
      </c>
      <c r="BG322">
        <v>0</v>
      </c>
    </row>
    <row r="323" spans="1:59">
      <c r="A323" s="1">
        <f>HYPERLINK("https://lsnyc.legalserver.org/matter/dynamic-profile/view/1904006","19-1904006")</f>
        <v>0</v>
      </c>
      <c r="B323" t="s">
        <v>345</v>
      </c>
      <c r="C323" t="s">
        <v>5258</v>
      </c>
      <c r="D323" t="s">
        <v>9928</v>
      </c>
      <c r="E323" t="s">
        <v>10075</v>
      </c>
      <c r="F323">
        <v>11213</v>
      </c>
      <c r="G323" t="s">
        <v>10093</v>
      </c>
      <c r="H323" t="s">
        <v>10094</v>
      </c>
      <c r="I323" t="s">
        <v>10168</v>
      </c>
      <c r="J323" t="s">
        <v>10213</v>
      </c>
      <c r="K323" t="s">
        <v>10217</v>
      </c>
      <c r="M323" t="s">
        <v>10392</v>
      </c>
      <c r="N323" t="s">
        <v>10650</v>
      </c>
      <c r="P323" t="s">
        <v>10749</v>
      </c>
      <c r="Q323" t="s">
        <v>10769</v>
      </c>
      <c r="R323" t="s">
        <v>10824</v>
      </c>
      <c r="T323">
        <v>16398</v>
      </c>
      <c r="U323">
        <v>1366.5</v>
      </c>
      <c r="V323">
        <v>51</v>
      </c>
      <c r="W323">
        <v>2</v>
      </c>
      <c r="X323">
        <v>0</v>
      </c>
      <c r="Z323">
        <v>96.97</v>
      </c>
      <c r="AA323">
        <v>40.672207</v>
      </c>
      <c r="AB323">
        <v>-73.93263</v>
      </c>
      <c r="AD323" t="s">
        <v>10840</v>
      </c>
      <c r="AG323" t="s">
        <v>10858</v>
      </c>
      <c r="AH323" t="s">
        <v>10862</v>
      </c>
      <c r="AI323">
        <v>239</v>
      </c>
      <c r="AJ323" t="s">
        <v>10213</v>
      </c>
      <c r="AL323">
        <v>0</v>
      </c>
      <c r="AM323" t="s">
        <v>10888</v>
      </c>
      <c r="AN323" t="s">
        <v>10914</v>
      </c>
      <c r="AO323" t="s">
        <v>11007</v>
      </c>
      <c r="AP323" t="s">
        <v>11052</v>
      </c>
      <c r="AR323" t="s">
        <v>11329</v>
      </c>
      <c r="AS323" t="s">
        <v>11595</v>
      </c>
      <c r="AT323" t="s">
        <v>11642</v>
      </c>
      <c r="BA323" t="s">
        <v>11740</v>
      </c>
      <c r="BB323">
        <v>0</v>
      </c>
      <c r="BC323">
        <v>0</v>
      </c>
      <c r="BD323">
        <v>0</v>
      </c>
      <c r="BE323">
        <v>0</v>
      </c>
      <c r="BF323">
        <v>2</v>
      </c>
      <c r="BG323">
        <v>0</v>
      </c>
    </row>
    <row r="324" spans="1:59">
      <c r="A324" s="1">
        <f>HYPERLINK("https://lsnyc.legalserver.org/matter/dynamic-profile/view/1904008","19-1904008")</f>
        <v>0</v>
      </c>
      <c r="B324" t="s">
        <v>346</v>
      </c>
      <c r="C324" t="s">
        <v>5269</v>
      </c>
      <c r="D324" t="s">
        <v>9925</v>
      </c>
      <c r="E324" t="s">
        <v>10075</v>
      </c>
      <c r="F324">
        <v>10035</v>
      </c>
      <c r="G324" t="s">
        <v>10089</v>
      </c>
      <c r="H324" t="s">
        <v>10094</v>
      </c>
      <c r="I324" t="s">
        <v>10168</v>
      </c>
      <c r="J324" t="s">
        <v>10209</v>
      </c>
      <c r="K324" t="s">
        <v>10217</v>
      </c>
      <c r="M324" t="s">
        <v>10383</v>
      </c>
      <c r="N324" t="s">
        <v>10656</v>
      </c>
      <c r="P324" t="s">
        <v>10751</v>
      </c>
      <c r="Q324" t="s">
        <v>10780</v>
      </c>
      <c r="R324" t="s">
        <v>10824</v>
      </c>
      <c r="T324">
        <v>540</v>
      </c>
      <c r="U324">
        <v>45</v>
      </c>
      <c r="V324">
        <v>52</v>
      </c>
      <c r="W324">
        <v>1</v>
      </c>
      <c r="X324">
        <v>0</v>
      </c>
      <c r="Z324">
        <v>4.32</v>
      </c>
      <c r="AA324">
        <v>40.786284</v>
      </c>
      <c r="AB324">
        <v>-73.93223399999999</v>
      </c>
      <c r="AD324" t="s">
        <v>10840</v>
      </c>
      <c r="AG324" t="s">
        <v>10858</v>
      </c>
      <c r="AH324" t="s">
        <v>10861</v>
      </c>
      <c r="AI324">
        <v>234</v>
      </c>
      <c r="AJ324" t="s">
        <v>10214</v>
      </c>
      <c r="AL324">
        <v>6</v>
      </c>
      <c r="AM324" t="s">
        <v>10891</v>
      </c>
      <c r="AN324" t="s">
        <v>10926</v>
      </c>
      <c r="AO324" t="s">
        <v>11013</v>
      </c>
      <c r="AP324" t="s">
        <v>11066</v>
      </c>
      <c r="AR324" t="s">
        <v>11255</v>
      </c>
      <c r="AS324" t="s">
        <v>9925</v>
      </c>
      <c r="AT324" t="s">
        <v>11642</v>
      </c>
      <c r="AX324" t="s">
        <v>10838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</row>
    <row r="325" spans="1:59">
      <c r="A325" s="1">
        <f>HYPERLINK("https://lsnyc.legalserver.org/matter/dynamic-profile/view/1904009","19-1904009")</f>
        <v>0</v>
      </c>
      <c r="B325" t="s">
        <v>347</v>
      </c>
      <c r="C325" t="s">
        <v>5270</v>
      </c>
      <c r="D325" t="s">
        <v>9926</v>
      </c>
      <c r="E325" t="s">
        <v>10075</v>
      </c>
      <c r="F325">
        <v>10455</v>
      </c>
      <c r="G325" t="s">
        <v>10090</v>
      </c>
      <c r="H325" t="s">
        <v>10094</v>
      </c>
      <c r="I325" t="s">
        <v>10169</v>
      </c>
      <c r="J325" t="s">
        <v>10210</v>
      </c>
      <c r="K325" t="s">
        <v>10217</v>
      </c>
      <c r="M325" t="s">
        <v>10333</v>
      </c>
      <c r="N325" t="s">
        <v>10683</v>
      </c>
      <c r="P325" t="s">
        <v>10751</v>
      </c>
      <c r="Q325" t="s">
        <v>10761</v>
      </c>
      <c r="R325" t="s">
        <v>10823</v>
      </c>
      <c r="T325">
        <v>5700</v>
      </c>
      <c r="U325">
        <v>475</v>
      </c>
      <c r="V325">
        <v>38</v>
      </c>
      <c r="W325">
        <v>1</v>
      </c>
      <c r="X325">
        <v>4</v>
      </c>
      <c r="Z325">
        <v>18.89</v>
      </c>
      <c r="AA325">
        <v>40.815577</v>
      </c>
      <c r="AB325">
        <v>-73.90297200000001</v>
      </c>
      <c r="AD325" t="s">
        <v>10839</v>
      </c>
      <c r="AF325" t="s">
        <v>10842</v>
      </c>
      <c r="AG325" t="s">
        <v>10859</v>
      </c>
      <c r="AH325" t="s">
        <v>10874</v>
      </c>
      <c r="AI325">
        <v>230</v>
      </c>
      <c r="AJ325" t="s">
        <v>10210</v>
      </c>
      <c r="AL325">
        <v>4.45</v>
      </c>
      <c r="AM325" t="s">
        <v>10884</v>
      </c>
      <c r="AN325" t="s">
        <v>10924</v>
      </c>
      <c r="AO325" t="s">
        <v>11001</v>
      </c>
      <c r="AP325" t="s">
        <v>11062</v>
      </c>
      <c r="AQ325" t="s">
        <v>11135</v>
      </c>
      <c r="AR325" t="s">
        <v>11305</v>
      </c>
      <c r="AS325" t="s">
        <v>9926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</row>
    <row r="326" spans="1:59">
      <c r="A326" s="1">
        <f>HYPERLINK("https://lsnyc.legalserver.org/matter/dynamic-profile/view/1904010","19-1904010")</f>
        <v>0</v>
      </c>
      <c r="B326" t="s">
        <v>348</v>
      </c>
      <c r="C326" t="s">
        <v>5271</v>
      </c>
      <c r="D326" t="s">
        <v>9925</v>
      </c>
      <c r="E326" t="s">
        <v>10075</v>
      </c>
      <c r="F326">
        <v>10024</v>
      </c>
      <c r="G326" t="s">
        <v>10089</v>
      </c>
      <c r="H326" t="s">
        <v>10094</v>
      </c>
      <c r="I326" t="s">
        <v>10168</v>
      </c>
      <c r="J326" t="s">
        <v>10209</v>
      </c>
      <c r="K326" t="s">
        <v>10217</v>
      </c>
      <c r="M326" t="s">
        <v>10396</v>
      </c>
      <c r="N326" t="s">
        <v>10650</v>
      </c>
      <c r="P326" t="s">
        <v>10749</v>
      </c>
      <c r="Q326" t="s">
        <v>10765</v>
      </c>
      <c r="R326" t="s">
        <v>10821</v>
      </c>
      <c r="T326">
        <v>43000</v>
      </c>
      <c r="U326">
        <v>3583.33</v>
      </c>
      <c r="V326">
        <v>49</v>
      </c>
      <c r="W326">
        <v>4</v>
      </c>
      <c r="X326">
        <v>0</v>
      </c>
      <c r="Z326">
        <v>166.99</v>
      </c>
      <c r="AA326">
        <v>40.784487</v>
      </c>
      <c r="AB326">
        <v>-73.973958</v>
      </c>
      <c r="AD326" t="s">
        <v>10839</v>
      </c>
      <c r="AG326" t="s">
        <v>10858</v>
      </c>
      <c r="AH326" t="s">
        <v>10862</v>
      </c>
      <c r="AI326">
        <v>236</v>
      </c>
      <c r="AJ326" t="s">
        <v>10209</v>
      </c>
      <c r="AL326">
        <v>1.5</v>
      </c>
      <c r="AM326" t="s">
        <v>10894</v>
      </c>
      <c r="AN326" t="s">
        <v>10953</v>
      </c>
      <c r="AO326" t="s">
        <v>11013</v>
      </c>
      <c r="AP326" t="s">
        <v>11089</v>
      </c>
      <c r="AR326" t="s">
        <v>11257</v>
      </c>
      <c r="AS326" t="s">
        <v>9925</v>
      </c>
      <c r="AT326" t="s">
        <v>11641</v>
      </c>
      <c r="AX326" t="s">
        <v>10838</v>
      </c>
      <c r="BA326" t="s">
        <v>11742</v>
      </c>
      <c r="BB326">
        <v>0</v>
      </c>
      <c r="BC326">
        <v>0</v>
      </c>
      <c r="BD326">
        <v>0</v>
      </c>
      <c r="BE326">
        <v>0</v>
      </c>
      <c r="BF326">
        <v>7</v>
      </c>
      <c r="BG326">
        <v>0</v>
      </c>
    </row>
    <row r="327" spans="1:59">
      <c r="A327" s="1">
        <f>HYPERLINK("https://lsnyc.legalserver.org/matter/dynamic-profile/view/1904011","19-1904011")</f>
        <v>0</v>
      </c>
      <c r="B327" t="s">
        <v>349</v>
      </c>
      <c r="C327" t="s">
        <v>5272</v>
      </c>
      <c r="D327" t="s">
        <v>9932</v>
      </c>
      <c r="E327" t="s">
        <v>10075</v>
      </c>
      <c r="F327">
        <v>11368</v>
      </c>
      <c r="G327" t="s">
        <v>10092</v>
      </c>
      <c r="H327" t="s">
        <v>10094</v>
      </c>
      <c r="I327" t="s">
        <v>10169</v>
      </c>
      <c r="J327" t="s">
        <v>10212</v>
      </c>
      <c r="K327" t="s">
        <v>10217</v>
      </c>
      <c r="M327" t="s">
        <v>10311</v>
      </c>
      <c r="N327" t="s">
        <v>10684</v>
      </c>
      <c r="P327" t="s">
        <v>10751</v>
      </c>
      <c r="Q327" t="s">
        <v>10786</v>
      </c>
      <c r="R327" t="s">
        <v>10821</v>
      </c>
      <c r="T327">
        <v>13052</v>
      </c>
      <c r="U327">
        <v>1087.67</v>
      </c>
      <c r="V327">
        <v>38</v>
      </c>
      <c r="W327">
        <v>2</v>
      </c>
      <c r="X327">
        <v>3</v>
      </c>
      <c r="Z327">
        <v>43.26</v>
      </c>
      <c r="AA327">
        <v>40.749767</v>
      </c>
      <c r="AB327">
        <v>-73.859921</v>
      </c>
      <c r="AD327" t="s">
        <v>10839</v>
      </c>
      <c r="AF327" t="s">
        <v>10843</v>
      </c>
      <c r="AG327" t="s">
        <v>10859</v>
      </c>
      <c r="AH327" t="s">
        <v>10873</v>
      </c>
      <c r="AI327">
        <v>237</v>
      </c>
      <c r="AJ327" t="s">
        <v>10212</v>
      </c>
      <c r="AL327">
        <v>2.25</v>
      </c>
      <c r="AM327" t="s">
        <v>10885</v>
      </c>
      <c r="AN327" t="s">
        <v>10949</v>
      </c>
      <c r="AO327" t="s">
        <v>11014</v>
      </c>
      <c r="AP327" t="s">
        <v>11068</v>
      </c>
      <c r="AR327" t="s">
        <v>11257</v>
      </c>
      <c r="AS327" t="s">
        <v>11594</v>
      </c>
      <c r="AT327" t="s">
        <v>11641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</row>
    <row r="328" spans="1:59">
      <c r="A328" s="1">
        <f>HYPERLINK("https://lsnyc.legalserver.org/matter/dynamic-profile/view/1904012","19-1904012")</f>
        <v>0</v>
      </c>
      <c r="B328" t="s">
        <v>350</v>
      </c>
      <c r="C328" t="s">
        <v>5273</v>
      </c>
      <c r="D328" t="s">
        <v>9925</v>
      </c>
      <c r="E328" t="s">
        <v>10075</v>
      </c>
      <c r="F328">
        <v>10030</v>
      </c>
      <c r="G328" t="s">
        <v>10089</v>
      </c>
      <c r="H328" t="s">
        <v>10094</v>
      </c>
      <c r="I328" t="s">
        <v>10168</v>
      </c>
      <c r="J328" t="s">
        <v>10209</v>
      </c>
      <c r="K328" t="s">
        <v>10217</v>
      </c>
      <c r="M328" t="s">
        <v>10301</v>
      </c>
      <c r="N328" t="s">
        <v>10665</v>
      </c>
      <c r="P328" t="s">
        <v>10751</v>
      </c>
      <c r="Q328" t="s">
        <v>10773</v>
      </c>
      <c r="R328" t="s">
        <v>10824</v>
      </c>
      <c r="T328">
        <v>172</v>
      </c>
      <c r="U328">
        <v>14.33</v>
      </c>
      <c r="V328">
        <v>43</v>
      </c>
      <c r="W328">
        <v>2</v>
      </c>
      <c r="X328">
        <v>3</v>
      </c>
      <c r="Z328">
        <v>0.57</v>
      </c>
      <c r="AA328">
        <v>40.821361</v>
      </c>
      <c r="AB328">
        <v>-73.939797</v>
      </c>
      <c r="AD328" t="s">
        <v>10840</v>
      </c>
      <c r="AF328" t="s">
        <v>10843</v>
      </c>
      <c r="AG328" t="s">
        <v>10859</v>
      </c>
      <c r="AH328" t="s">
        <v>10861</v>
      </c>
      <c r="AI328">
        <v>234</v>
      </c>
      <c r="AJ328" t="s">
        <v>10214</v>
      </c>
      <c r="AL328">
        <v>2.5</v>
      </c>
      <c r="AM328" t="s">
        <v>10887</v>
      </c>
      <c r="AN328" t="s">
        <v>10943</v>
      </c>
      <c r="AO328" t="s">
        <v>11016</v>
      </c>
      <c r="AP328" t="s">
        <v>11076</v>
      </c>
      <c r="AQ328" t="s">
        <v>11115</v>
      </c>
      <c r="AR328" t="s">
        <v>11263</v>
      </c>
      <c r="AS328" t="s">
        <v>9925</v>
      </c>
      <c r="AT328" t="s">
        <v>11642</v>
      </c>
      <c r="AX328" t="s">
        <v>10838</v>
      </c>
      <c r="BA328" t="s">
        <v>11741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0</v>
      </c>
    </row>
    <row r="329" spans="1:59">
      <c r="A329" s="1">
        <f>HYPERLINK("https://lsnyc.legalserver.org/matter/dynamic-profile/view/1904013","19-1904013")</f>
        <v>0</v>
      </c>
      <c r="B329" t="s">
        <v>351</v>
      </c>
      <c r="C329" t="s">
        <v>5274</v>
      </c>
      <c r="D329" t="s">
        <v>9926</v>
      </c>
      <c r="E329" t="s">
        <v>10075</v>
      </c>
      <c r="F329">
        <v>10460</v>
      </c>
      <c r="G329" t="s">
        <v>10090</v>
      </c>
      <c r="H329" t="s">
        <v>10094</v>
      </c>
      <c r="I329" t="s">
        <v>10168</v>
      </c>
      <c r="J329" t="s">
        <v>10210</v>
      </c>
      <c r="K329" t="s">
        <v>10217</v>
      </c>
      <c r="M329" t="s">
        <v>10397</v>
      </c>
      <c r="N329" t="s">
        <v>10650</v>
      </c>
      <c r="P329" t="s">
        <v>10749</v>
      </c>
      <c r="Q329" t="s">
        <v>10765</v>
      </c>
      <c r="R329" t="s">
        <v>10821</v>
      </c>
      <c r="T329">
        <v>12480</v>
      </c>
      <c r="U329">
        <v>1040</v>
      </c>
      <c r="V329">
        <v>46</v>
      </c>
      <c r="W329">
        <v>1</v>
      </c>
      <c r="X329">
        <v>0</v>
      </c>
      <c r="Z329">
        <v>99.92</v>
      </c>
      <c r="AA329">
        <v>40.83724</v>
      </c>
      <c r="AB329">
        <v>-73.885993</v>
      </c>
      <c r="AD329" t="s">
        <v>10839</v>
      </c>
      <c r="AG329" t="s">
        <v>10858</v>
      </c>
      <c r="AH329" t="s">
        <v>10861</v>
      </c>
      <c r="AI329">
        <v>234</v>
      </c>
      <c r="AJ329" t="s">
        <v>10214</v>
      </c>
      <c r="AL329">
        <v>0.6</v>
      </c>
      <c r="AM329" t="s">
        <v>10884</v>
      </c>
      <c r="AN329" t="s">
        <v>10918</v>
      </c>
      <c r="AO329" t="s">
        <v>11001</v>
      </c>
      <c r="AP329" t="s">
        <v>11062</v>
      </c>
      <c r="AR329" t="s">
        <v>11257</v>
      </c>
      <c r="AS329" t="s">
        <v>9926</v>
      </c>
      <c r="AT329" t="s">
        <v>11641</v>
      </c>
      <c r="AX329" t="s">
        <v>10838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</row>
    <row r="330" spans="1:59">
      <c r="A330" s="1">
        <f>HYPERLINK("https://lsnyc.legalserver.org/matter/dynamic-profile/view/1904014","19-1904014")</f>
        <v>0</v>
      </c>
      <c r="B330" t="s">
        <v>352</v>
      </c>
      <c r="C330" t="s">
        <v>5275</v>
      </c>
      <c r="D330" t="s">
        <v>9928</v>
      </c>
      <c r="E330" t="s">
        <v>10075</v>
      </c>
      <c r="F330">
        <v>11223</v>
      </c>
      <c r="G330" t="s">
        <v>10093</v>
      </c>
      <c r="H330" t="s">
        <v>10094</v>
      </c>
      <c r="I330" t="s">
        <v>10168</v>
      </c>
      <c r="J330" t="s">
        <v>10213</v>
      </c>
      <c r="K330" t="s">
        <v>10217</v>
      </c>
      <c r="M330" t="s">
        <v>10315</v>
      </c>
      <c r="N330" t="s">
        <v>10686</v>
      </c>
      <c r="P330" t="s">
        <v>10750</v>
      </c>
      <c r="Q330" t="s">
        <v>10778</v>
      </c>
      <c r="R330" t="s">
        <v>10821</v>
      </c>
      <c r="T330">
        <v>23400</v>
      </c>
      <c r="U330">
        <v>1950</v>
      </c>
      <c r="V330">
        <v>30</v>
      </c>
      <c r="W330">
        <v>1</v>
      </c>
      <c r="X330">
        <v>0</v>
      </c>
      <c r="Z330">
        <v>187.35</v>
      </c>
      <c r="AA330">
        <v>40.593223</v>
      </c>
      <c r="AB330">
        <v>-73.980064</v>
      </c>
      <c r="AD330" t="s">
        <v>10839</v>
      </c>
      <c r="AG330" t="s">
        <v>10858</v>
      </c>
      <c r="AH330" t="s">
        <v>10871</v>
      </c>
      <c r="AI330">
        <v>234</v>
      </c>
      <c r="AJ330" t="s">
        <v>10214</v>
      </c>
      <c r="AL330">
        <v>5.35</v>
      </c>
      <c r="AM330" t="s">
        <v>10883</v>
      </c>
      <c r="AN330" t="s">
        <v>10965</v>
      </c>
      <c r="AO330" t="s">
        <v>11006</v>
      </c>
      <c r="AP330" t="s">
        <v>11087</v>
      </c>
      <c r="AR330" t="s">
        <v>11257</v>
      </c>
      <c r="AS330" t="s">
        <v>11595</v>
      </c>
      <c r="AT330" t="s">
        <v>11641</v>
      </c>
      <c r="AX330" t="s">
        <v>10838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</row>
    <row r="331" spans="1:59">
      <c r="A331" s="1">
        <f>HYPERLINK("https://lsnyc.legalserver.org/matter/dynamic-profile/view/1904015","19-1904015")</f>
        <v>0</v>
      </c>
      <c r="B331" t="s">
        <v>353</v>
      </c>
      <c r="C331" t="s">
        <v>5276</v>
      </c>
      <c r="D331" t="s">
        <v>9928</v>
      </c>
      <c r="E331" t="s">
        <v>10075</v>
      </c>
      <c r="F331">
        <v>11207</v>
      </c>
      <c r="G331" t="s">
        <v>10093</v>
      </c>
      <c r="H331" t="s">
        <v>10094</v>
      </c>
      <c r="I331" t="s">
        <v>10168</v>
      </c>
      <c r="J331" t="s">
        <v>10213</v>
      </c>
      <c r="K331" t="s">
        <v>10218</v>
      </c>
      <c r="L331" t="s">
        <v>10118</v>
      </c>
      <c r="M331" t="s">
        <v>10290</v>
      </c>
      <c r="N331" t="s">
        <v>10665</v>
      </c>
      <c r="P331" t="s">
        <v>10751</v>
      </c>
      <c r="Q331" t="s">
        <v>10773</v>
      </c>
      <c r="R331" t="s">
        <v>10825</v>
      </c>
      <c r="T331">
        <v>0</v>
      </c>
      <c r="U331">
        <v>0</v>
      </c>
      <c r="V331">
        <v>57</v>
      </c>
      <c r="W331">
        <v>1</v>
      </c>
      <c r="X331">
        <v>0</v>
      </c>
      <c r="Y331" t="s">
        <v>10829</v>
      </c>
      <c r="Z331">
        <v>0</v>
      </c>
      <c r="AA331">
        <v>40.666591</v>
      </c>
      <c r="AB331">
        <v>-73.88525199999999</v>
      </c>
      <c r="AD331" t="s">
        <v>10839</v>
      </c>
      <c r="AG331" t="s">
        <v>10858</v>
      </c>
      <c r="AH331" t="s">
        <v>10861</v>
      </c>
      <c r="AI331">
        <v>234</v>
      </c>
      <c r="AJ331" t="s">
        <v>10214</v>
      </c>
      <c r="AK331" t="s">
        <v>10882</v>
      </c>
      <c r="AL331">
        <v>1</v>
      </c>
      <c r="AM331" t="s">
        <v>10889</v>
      </c>
      <c r="AN331" t="s">
        <v>10946</v>
      </c>
      <c r="AO331" t="s">
        <v>11012</v>
      </c>
      <c r="AP331" t="s">
        <v>11060</v>
      </c>
      <c r="AR331" t="s">
        <v>11279</v>
      </c>
      <c r="AS331" t="s">
        <v>11595</v>
      </c>
      <c r="AT331" t="s">
        <v>11641</v>
      </c>
      <c r="AX331" t="s">
        <v>11678</v>
      </c>
      <c r="AY331" t="s">
        <v>10829</v>
      </c>
      <c r="AZ331" t="s">
        <v>11682</v>
      </c>
      <c r="BA331" t="s">
        <v>11741</v>
      </c>
      <c r="BB331">
        <v>0</v>
      </c>
      <c r="BC331">
        <v>0</v>
      </c>
      <c r="BD331">
        <v>0</v>
      </c>
      <c r="BE331">
        <v>0</v>
      </c>
      <c r="BF331">
        <v>1</v>
      </c>
      <c r="BG331">
        <v>0</v>
      </c>
    </row>
    <row r="332" spans="1:59">
      <c r="A332" s="1">
        <f>HYPERLINK("https://lsnyc.legalserver.org/matter/dynamic-profile/view/1904017","19-1904017")</f>
        <v>0</v>
      </c>
      <c r="B332" t="s">
        <v>122</v>
      </c>
      <c r="C332" t="s">
        <v>5061</v>
      </c>
      <c r="D332" t="s">
        <v>9928</v>
      </c>
      <c r="E332" t="s">
        <v>10075</v>
      </c>
      <c r="F332">
        <v>11216</v>
      </c>
      <c r="G332" t="s">
        <v>10093</v>
      </c>
      <c r="H332" t="s">
        <v>10094</v>
      </c>
      <c r="I332" t="s">
        <v>10168</v>
      </c>
      <c r="J332" t="s">
        <v>10213</v>
      </c>
      <c r="K332" t="s">
        <v>10217</v>
      </c>
      <c r="M332" t="s">
        <v>10265</v>
      </c>
      <c r="N332" t="s">
        <v>10671</v>
      </c>
      <c r="P332" t="s">
        <v>10749</v>
      </c>
      <c r="Q332" t="s">
        <v>10791</v>
      </c>
      <c r="R332" t="s">
        <v>10824</v>
      </c>
      <c r="T332">
        <v>8400</v>
      </c>
      <c r="U332">
        <v>700</v>
      </c>
      <c r="V332">
        <v>73</v>
      </c>
      <c r="W332">
        <v>1</v>
      </c>
      <c r="X332">
        <v>0</v>
      </c>
      <c r="Z332">
        <v>67.25</v>
      </c>
      <c r="AA332">
        <v>40.687362</v>
      </c>
      <c r="AB332">
        <v>-73.949529</v>
      </c>
      <c r="AD332" t="s">
        <v>10839</v>
      </c>
      <c r="AG332" t="s">
        <v>10858</v>
      </c>
      <c r="AH332" t="s">
        <v>10862</v>
      </c>
      <c r="AI332">
        <v>239</v>
      </c>
      <c r="AJ332" t="s">
        <v>10213</v>
      </c>
      <c r="AL332">
        <v>4.15</v>
      </c>
      <c r="AM332" t="s">
        <v>10889</v>
      </c>
      <c r="AN332" t="s">
        <v>10914</v>
      </c>
      <c r="AO332" t="s">
        <v>11007</v>
      </c>
      <c r="AP332" t="s">
        <v>11052</v>
      </c>
      <c r="AR332" t="s">
        <v>11253</v>
      </c>
      <c r="AS332" t="s">
        <v>11595</v>
      </c>
      <c r="BA332" t="s">
        <v>11737</v>
      </c>
      <c r="BB332">
        <v>0</v>
      </c>
      <c r="BC332">
        <v>0</v>
      </c>
      <c r="BD332">
        <v>0</v>
      </c>
      <c r="BE332">
        <v>0</v>
      </c>
      <c r="BF332">
        <v>3</v>
      </c>
      <c r="BG332">
        <v>0</v>
      </c>
    </row>
    <row r="333" spans="1:59">
      <c r="A333" s="1">
        <f>HYPERLINK("https://lsnyc.legalserver.org/matter/dynamic-profile/view/1904019","19-1904019")</f>
        <v>0</v>
      </c>
      <c r="B333" t="s">
        <v>354</v>
      </c>
      <c r="C333" t="s">
        <v>5277</v>
      </c>
      <c r="D333" t="s">
        <v>9925</v>
      </c>
      <c r="E333" t="s">
        <v>10075</v>
      </c>
      <c r="F333">
        <v>10035</v>
      </c>
      <c r="G333" t="s">
        <v>10092</v>
      </c>
      <c r="H333" t="s">
        <v>10094</v>
      </c>
      <c r="I333" t="s">
        <v>10168</v>
      </c>
      <c r="J333" t="s">
        <v>10212</v>
      </c>
      <c r="K333" t="s">
        <v>10217</v>
      </c>
      <c r="M333" t="s">
        <v>10398</v>
      </c>
      <c r="N333" t="s">
        <v>10656</v>
      </c>
      <c r="O333" t="s">
        <v>10657</v>
      </c>
      <c r="P333" t="s">
        <v>10751</v>
      </c>
      <c r="Q333" t="s">
        <v>10768</v>
      </c>
      <c r="R333" t="s">
        <v>10824</v>
      </c>
      <c r="T333">
        <v>0</v>
      </c>
      <c r="U333">
        <v>0</v>
      </c>
      <c r="V333">
        <v>55</v>
      </c>
      <c r="W333">
        <v>1</v>
      </c>
      <c r="X333">
        <v>0</v>
      </c>
      <c r="Z333">
        <v>0</v>
      </c>
      <c r="AA333">
        <v>40.784318</v>
      </c>
      <c r="AB333">
        <v>-73.931887</v>
      </c>
      <c r="AD333" t="s">
        <v>10840</v>
      </c>
      <c r="AG333" t="s">
        <v>10858</v>
      </c>
      <c r="AH333" t="s">
        <v>10866</v>
      </c>
      <c r="AI333">
        <v>237</v>
      </c>
      <c r="AJ333" t="s">
        <v>10212</v>
      </c>
      <c r="AL333">
        <v>3.25</v>
      </c>
      <c r="AM333" t="s">
        <v>10891</v>
      </c>
      <c r="AN333" t="s">
        <v>10926</v>
      </c>
      <c r="AO333" t="s">
        <v>11013</v>
      </c>
      <c r="AP333" t="s">
        <v>11066</v>
      </c>
      <c r="AR333" t="s">
        <v>11279</v>
      </c>
      <c r="AS333" t="s">
        <v>9925</v>
      </c>
      <c r="AT333" t="s">
        <v>11642</v>
      </c>
      <c r="BA333" t="s">
        <v>11741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0</v>
      </c>
    </row>
    <row r="334" spans="1:59">
      <c r="A334" s="1">
        <f>HYPERLINK("https://lsnyc.legalserver.org/matter/dynamic-profile/view/1904020","19-1904020")</f>
        <v>0</v>
      </c>
      <c r="B334" t="s">
        <v>355</v>
      </c>
      <c r="C334" t="s">
        <v>5278</v>
      </c>
      <c r="D334" t="s">
        <v>9928</v>
      </c>
      <c r="E334" t="s">
        <v>10075</v>
      </c>
      <c r="F334">
        <v>11238</v>
      </c>
      <c r="G334" t="s">
        <v>10093</v>
      </c>
      <c r="H334" t="s">
        <v>10094</v>
      </c>
      <c r="I334" t="s">
        <v>10168</v>
      </c>
      <c r="J334" t="s">
        <v>10213</v>
      </c>
      <c r="K334" t="s">
        <v>10218</v>
      </c>
      <c r="L334" t="s">
        <v>10113</v>
      </c>
      <c r="M334" t="s">
        <v>10382</v>
      </c>
      <c r="N334" t="s">
        <v>10650</v>
      </c>
      <c r="P334" t="s">
        <v>10752</v>
      </c>
      <c r="Q334" t="s">
        <v>10783</v>
      </c>
      <c r="R334" t="s">
        <v>10825</v>
      </c>
      <c r="T334">
        <v>49000</v>
      </c>
      <c r="U334">
        <v>4083.33</v>
      </c>
      <c r="V334">
        <v>30</v>
      </c>
      <c r="W334">
        <v>1</v>
      </c>
      <c r="X334">
        <v>0</v>
      </c>
      <c r="Y334" t="s">
        <v>10829</v>
      </c>
      <c r="Z334">
        <v>392.31</v>
      </c>
      <c r="AA334">
        <v>40.675658</v>
      </c>
      <c r="AB334">
        <v>-73.960493</v>
      </c>
      <c r="AD334" t="s">
        <v>10840</v>
      </c>
      <c r="AG334" t="s">
        <v>10858</v>
      </c>
      <c r="AH334" t="s">
        <v>10861</v>
      </c>
      <c r="AI334">
        <v>234</v>
      </c>
      <c r="AJ334" t="s">
        <v>10214</v>
      </c>
      <c r="AK334" t="s">
        <v>10838</v>
      </c>
      <c r="AL334">
        <v>1.5</v>
      </c>
      <c r="AM334" t="s">
        <v>10888</v>
      </c>
      <c r="AN334" t="s">
        <v>10923</v>
      </c>
      <c r="AO334" t="s">
        <v>11005</v>
      </c>
      <c r="AP334" t="s">
        <v>11061</v>
      </c>
      <c r="AR334" t="s">
        <v>11257</v>
      </c>
      <c r="AS334" t="s">
        <v>11595</v>
      </c>
      <c r="AT334" t="s">
        <v>11642</v>
      </c>
      <c r="AX334" t="s">
        <v>10837</v>
      </c>
      <c r="AY334" t="s">
        <v>10829</v>
      </c>
      <c r="AZ334" t="s">
        <v>11680</v>
      </c>
      <c r="BA334" t="s">
        <v>11741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0</v>
      </c>
    </row>
    <row r="335" spans="1:59">
      <c r="A335" s="1">
        <f>HYPERLINK("https://lsnyc.legalserver.org/matter/dynamic-profile/view/1904021","19-1904021")</f>
        <v>0</v>
      </c>
      <c r="B335" t="s">
        <v>356</v>
      </c>
      <c r="C335" t="s">
        <v>5279</v>
      </c>
      <c r="D335" t="s">
        <v>9926</v>
      </c>
      <c r="E335" t="s">
        <v>10075</v>
      </c>
      <c r="F335">
        <v>10468</v>
      </c>
      <c r="G335" t="s">
        <v>10092</v>
      </c>
      <c r="H335" t="s">
        <v>10094</v>
      </c>
      <c r="I335" t="s">
        <v>10168</v>
      </c>
      <c r="J335" t="s">
        <v>10212</v>
      </c>
      <c r="K335" t="s">
        <v>10217</v>
      </c>
      <c r="M335" t="s">
        <v>10398</v>
      </c>
      <c r="N335" t="s">
        <v>10656</v>
      </c>
      <c r="O335" t="s">
        <v>10657</v>
      </c>
      <c r="P335" t="s">
        <v>10751</v>
      </c>
      <c r="Q335" t="s">
        <v>10768</v>
      </c>
      <c r="R335" t="s">
        <v>10820</v>
      </c>
      <c r="T335">
        <v>0</v>
      </c>
      <c r="U335">
        <v>0</v>
      </c>
      <c r="V335">
        <v>45</v>
      </c>
      <c r="W335">
        <v>1</v>
      </c>
      <c r="X335">
        <v>0</v>
      </c>
      <c r="Z335">
        <v>0</v>
      </c>
      <c r="AA335">
        <v>40.863595</v>
      </c>
      <c r="AB335">
        <v>-73.89726400000001</v>
      </c>
      <c r="AD335" t="s">
        <v>10840</v>
      </c>
      <c r="AG335" t="s">
        <v>10858</v>
      </c>
      <c r="AH335" t="s">
        <v>10866</v>
      </c>
      <c r="AI335">
        <v>237</v>
      </c>
      <c r="AJ335" t="s">
        <v>10212</v>
      </c>
      <c r="AL335">
        <v>2.75</v>
      </c>
      <c r="AM335" t="s">
        <v>10887</v>
      </c>
      <c r="AN335" t="s">
        <v>10907</v>
      </c>
      <c r="AO335" t="s">
        <v>11000</v>
      </c>
      <c r="AP335" t="s">
        <v>11045</v>
      </c>
      <c r="AR335" t="s">
        <v>11267</v>
      </c>
      <c r="AS335" t="s">
        <v>9926</v>
      </c>
      <c r="AT335" t="s">
        <v>11642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</row>
    <row r="336" spans="1:59">
      <c r="A336" s="1">
        <f>HYPERLINK("https://lsnyc.legalserver.org/matter/dynamic-profile/view/1904022","19-1904022")</f>
        <v>0</v>
      </c>
      <c r="B336" t="s">
        <v>357</v>
      </c>
      <c r="C336" t="s">
        <v>5280</v>
      </c>
      <c r="D336" t="s">
        <v>9926</v>
      </c>
      <c r="E336" t="s">
        <v>10075</v>
      </c>
      <c r="F336">
        <v>10466</v>
      </c>
      <c r="G336" t="s">
        <v>10090</v>
      </c>
      <c r="H336" t="s">
        <v>10094</v>
      </c>
      <c r="I336" t="s">
        <v>10168</v>
      </c>
      <c r="J336" t="s">
        <v>10210</v>
      </c>
      <c r="K336" t="s">
        <v>10217</v>
      </c>
      <c r="M336" t="s">
        <v>10399</v>
      </c>
      <c r="N336" t="s">
        <v>10666</v>
      </c>
      <c r="P336" t="s">
        <v>10749</v>
      </c>
      <c r="Q336" t="s">
        <v>10765</v>
      </c>
      <c r="R336" t="s">
        <v>10824</v>
      </c>
      <c r="T336">
        <v>18336</v>
      </c>
      <c r="U336">
        <v>1528</v>
      </c>
      <c r="V336">
        <v>60</v>
      </c>
      <c r="W336">
        <v>4</v>
      </c>
      <c r="X336">
        <v>2</v>
      </c>
      <c r="Z336">
        <v>53.01</v>
      </c>
      <c r="AA336">
        <v>40.889227</v>
      </c>
      <c r="AB336">
        <v>-73.863822</v>
      </c>
      <c r="AD336" t="s">
        <v>10839</v>
      </c>
      <c r="AG336" t="s">
        <v>10858</v>
      </c>
      <c r="AH336" t="s">
        <v>10861</v>
      </c>
      <c r="AI336">
        <v>230</v>
      </c>
      <c r="AJ336" t="s">
        <v>10210</v>
      </c>
      <c r="AL336">
        <v>4.6</v>
      </c>
      <c r="AM336" t="s">
        <v>10893</v>
      </c>
      <c r="AN336" t="s">
        <v>10956</v>
      </c>
      <c r="AO336" t="s">
        <v>11010</v>
      </c>
      <c r="AP336" t="s">
        <v>11085</v>
      </c>
      <c r="AR336" t="s">
        <v>11274</v>
      </c>
      <c r="AS336" t="s">
        <v>9926</v>
      </c>
      <c r="AT336" t="s">
        <v>11641</v>
      </c>
      <c r="AX336" t="s">
        <v>10838</v>
      </c>
      <c r="BA336" t="s">
        <v>11738</v>
      </c>
      <c r="BB336">
        <v>0</v>
      </c>
      <c r="BC336">
        <v>0</v>
      </c>
      <c r="BD336">
        <v>0</v>
      </c>
      <c r="BE336">
        <v>0</v>
      </c>
      <c r="BF336">
        <v>5</v>
      </c>
      <c r="BG336">
        <v>0</v>
      </c>
    </row>
    <row r="337" spans="1:59">
      <c r="A337" s="1">
        <f>HYPERLINK("https://lsnyc.legalserver.org/matter/dynamic-profile/view/1904023","19-1904023")</f>
        <v>0</v>
      </c>
      <c r="B337" t="s">
        <v>358</v>
      </c>
      <c r="C337" t="s">
        <v>5281</v>
      </c>
      <c r="D337" t="s">
        <v>9928</v>
      </c>
      <c r="E337" t="s">
        <v>10075</v>
      </c>
      <c r="F337">
        <v>11220</v>
      </c>
      <c r="G337" t="s">
        <v>10093</v>
      </c>
      <c r="H337" t="s">
        <v>10094</v>
      </c>
      <c r="I337" t="s">
        <v>10169</v>
      </c>
      <c r="J337" t="s">
        <v>10213</v>
      </c>
      <c r="K337" t="s">
        <v>10217</v>
      </c>
      <c r="M337" t="s">
        <v>10400</v>
      </c>
      <c r="N337" t="s">
        <v>10657</v>
      </c>
      <c r="P337" t="s">
        <v>10749</v>
      </c>
      <c r="Q337" t="s">
        <v>10774</v>
      </c>
      <c r="R337" t="s">
        <v>10823</v>
      </c>
      <c r="T337">
        <v>24000</v>
      </c>
      <c r="U337">
        <v>2000</v>
      </c>
      <c r="V337">
        <v>52</v>
      </c>
      <c r="W337">
        <v>3</v>
      </c>
      <c r="X337">
        <v>2</v>
      </c>
      <c r="Z337">
        <v>79.55</v>
      </c>
      <c r="AA337">
        <v>40.650291</v>
      </c>
      <c r="AB337">
        <v>-74.012643</v>
      </c>
      <c r="AD337" t="s">
        <v>10839</v>
      </c>
      <c r="AF337" t="s">
        <v>10843</v>
      </c>
      <c r="AG337" t="s">
        <v>10859</v>
      </c>
      <c r="AH337" t="s">
        <v>10862</v>
      </c>
      <c r="AI337">
        <v>239</v>
      </c>
      <c r="AJ337" t="s">
        <v>10213</v>
      </c>
      <c r="AL337">
        <v>7.05</v>
      </c>
      <c r="AM337" t="s">
        <v>10886</v>
      </c>
      <c r="AN337" t="s">
        <v>10921</v>
      </c>
      <c r="AO337" t="s">
        <v>11007</v>
      </c>
      <c r="AP337" t="s">
        <v>11069</v>
      </c>
      <c r="AQ337" t="s">
        <v>11136</v>
      </c>
      <c r="AR337" t="s">
        <v>11257</v>
      </c>
      <c r="AS337" t="s">
        <v>11595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</row>
    <row r="338" spans="1:59">
      <c r="A338" s="1">
        <f>HYPERLINK("https://lsnyc.legalserver.org/matter/dynamic-profile/view/1904024","19-1904024")</f>
        <v>0</v>
      </c>
      <c r="B338" t="s">
        <v>359</v>
      </c>
      <c r="C338" t="s">
        <v>5282</v>
      </c>
      <c r="D338" t="s">
        <v>9928</v>
      </c>
      <c r="E338" t="s">
        <v>10075</v>
      </c>
      <c r="F338">
        <v>11207</v>
      </c>
      <c r="G338" t="s">
        <v>10093</v>
      </c>
      <c r="H338" t="s">
        <v>10094</v>
      </c>
      <c r="I338" t="s">
        <v>10168</v>
      </c>
      <c r="J338" t="s">
        <v>10213</v>
      </c>
      <c r="K338" t="s">
        <v>10217</v>
      </c>
      <c r="M338" t="s">
        <v>10354</v>
      </c>
      <c r="N338" t="s">
        <v>10646</v>
      </c>
      <c r="P338" t="s">
        <v>10749</v>
      </c>
      <c r="Q338" t="s">
        <v>10765</v>
      </c>
      <c r="R338" t="s">
        <v>10824</v>
      </c>
      <c r="T338">
        <v>33570</v>
      </c>
      <c r="U338">
        <v>2797.5</v>
      </c>
      <c r="V338">
        <v>45</v>
      </c>
      <c r="W338">
        <v>1</v>
      </c>
      <c r="X338">
        <v>0</v>
      </c>
      <c r="Z338">
        <v>268.78</v>
      </c>
      <c r="AA338">
        <v>40.651266</v>
      </c>
      <c r="AB338">
        <v>-73.893475</v>
      </c>
      <c r="AD338" t="s">
        <v>10840</v>
      </c>
      <c r="AG338" t="s">
        <v>10858</v>
      </c>
      <c r="AH338" t="s">
        <v>10861</v>
      </c>
      <c r="AI338">
        <v>239</v>
      </c>
      <c r="AJ338" t="s">
        <v>10213</v>
      </c>
      <c r="AL338">
        <v>3.7</v>
      </c>
      <c r="AM338" t="s">
        <v>10889</v>
      </c>
      <c r="AN338" t="s">
        <v>10946</v>
      </c>
      <c r="AO338" t="s">
        <v>11012</v>
      </c>
      <c r="AP338" t="s">
        <v>11060</v>
      </c>
      <c r="AR338" t="s">
        <v>11257</v>
      </c>
      <c r="AS338" t="s">
        <v>11595</v>
      </c>
      <c r="BA338" t="s">
        <v>11738</v>
      </c>
      <c r="BB338">
        <v>0</v>
      </c>
      <c r="BC338">
        <v>0</v>
      </c>
      <c r="BD338">
        <v>0</v>
      </c>
      <c r="BE338">
        <v>0</v>
      </c>
      <c r="BF338">
        <v>5</v>
      </c>
      <c r="BG338">
        <v>0</v>
      </c>
    </row>
    <row r="339" spans="1:59">
      <c r="A339" s="1">
        <f>HYPERLINK("https://lsnyc.legalserver.org/matter/dynamic-profile/view/1904026","19-1904026")</f>
        <v>0</v>
      </c>
      <c r="B339" t="s">
        <v>360</v>
      </c>
      <c r="C339" t="s">
        <v>5283</v>
      </c>
      <c r="D339" t="s">
        <v>9928</v>
      </c>
      <c r="E339" t="s">
        <v>10075</v>
      </c>
      <c r="F339">
        <v>11224</v>
      </c>
      <c r="G339" t="s">
        <v>10093</v>
      </c>
      <c r="H339" t="s">
        <v>10094</v>
      </c>
      <c r="I339" t="s">
        <v>10171</v>
      </c>
      <c r="J339" t="s">
        <v>10213</v>
      </c>
      <c r="K339" t="s">
        <v>10218</v>
      </c>
      <c r="L339" t="s">
        <v>10094</v>
      </c>
      <c r="M339" t="s">
        <v>10354</v>
      </c>
      <c r="N339" t="s">
        <v>10646</v>
      </c>
      <c r="P339" t="s">
        <v>10749</v>
      </c>
      <c r="Q339" t="s">
        <v>10765</v>
      </c>
      <c r="R339" t="s">
        <v>10820</v>
      </c>
      <c r="T339">
        <v>10452</v>
      </c>
      <c r="U339">
        <v>871</v>
      </c>
      <c r="V339">
        <v>55</v>
      </c>
      <c r="W339">
        <v>1</v>
      </c>
      <c r="X339">
        <v>0</v>
      </c>
      <c r="Y339" t="s">
        <v>10831</v>
      </c>
      <c r="Z339">
        <v>83.68000000000001</v>
      </c>
      <c r="AA339">
        <v>40.577764</v>
      </c>
      <c r="AB339">
        <v>-74.001321</v>
      </c>
      <c r="AD339" t="s">
        <v>10839</v>
      </c>
      <c r="AG339" t="s">
        <v>10858</v>
      </c>
      <c r="AH339" t="s">
        <v>10869</v>
      </c>
      <c r="AI339">
        <v>239</v>
      </c>
      <c r="AJ339" t="s">
        <v>10213</v>
      </c>
      <c r="AK339" t="s">
        <v>10838</v>
      </c>
      <c r="AL339">
        <v>5</v>
      </c>
      <c r="AM339" t="s">
        <v>10889</v>
      </c>
      <c r="AN339" t="s">
        <v>10960</v>
      </c>
      <c r="AO339" t="s">
        <v>11006</v>
      </c>
      <c r="AP339" t="s">
        <v>11087</v>
      </c>
      <c r="AR339" t="s">
        <v>11263</v>
      </c>
      <c r="AS339" t="s">
        <v>11595</v>
      </c>
      <c r="AY339" t="s">
        <v>10831</v>
      </c>
      <c r="AZ339" t="s">
        <v>11687</v>
      </c>
      <c r="BA339" t="s">
        <v>11738</v>
      </c>
      <c r="BB339">
        <v>0</v>
      </c>
      <c r="BC339">
        <v>0</v>
      </c>
      <c r="BD339">
        <v>0</v>
      </c>
      <c r="BE339">
        <v>0</v>
      </c>
      <c r="BF339">
        <v>5</v>
      </c>
      <c r="BG339">
        <v>0</v>
      </c>
    </row>
    <row r="340" spans="1:59">
      <c r="A340" s="1">
        <f>HYPERLINK("https://lsnyc.legalserver.org/matter/dynamic-profile/view/1904027","19-1904027")</f>
        <v>0</v>
      </c>
      <c r="B340" t="s">
        <v>361</v>
      </c>
      <c r="C340" t="s">
        <v>5284</v>
      </c>
      <c r="D340" t="s">
        <v>9926</v>
      </c>
      <c r="E340" t="s">
        <v>10075</v>
      </c>
      <c r="F340">
        <v>10467</v>
      </c>
      <c r="G340" t="s">
        <v>10090</v>
      </c>
      <c r="H340" t="s">
        <v>10094</v>
      </c>
      <c r="I340" t="s">
        <v>10168</v>
      </c>
      <c r="J340" t="s">
        <v>10210</v>
      </c>
      <c r="K340" t="s">
        <v>10217</v>
      </c>
      <c r="M340" t="s">
        <v>10230</v>
      </c>
      <c r="N340" t="s">
        <v>10705</v>
      </c>
      <c r="P340" t="s">
        <v>10751</v>
      </c>
      <c r="Q340" t="s">
        <v>10761</v>
      </c>
      <c r="R340" t="s">
        <v>10821</v>
      </c>
      <c r="T340">
        <v>17880</v>
      </c>
      <c r="U340">
        <v>1490</v>
      </c>
      <c r="V340">
        <v>41</v>
      </c>
      <c r="W340">
        <v>1</v>
      </c>
      <c r="X340">
        <v>0</v>
      </c>
      <c r="Z340">
        <v>143.15</v>
      </c>
      <c r="AA340">
        <v>40.858528</v>
      </c>
      <c r="AB340">
        <v>-73.86907600000001</v>
      </c>
      <c r="AD340" t="s">
        <v>10840</v>
      </c>
      <c r="AG340" t="s">
        <v>10858</v>
      </c>
      <c r="AH340" t="s">
        <v>10874</v>
      </c>
      <c r="AI340">
        <v>230</v>
      </c>
      <c r="AJ340" t="s">
        <v>10210</v>
      </c>
      <c r="AL340">
        <v>0.25</v>
      </c>
      <c r="AM340" t="s">
        <v>10885</v>
      </c>
      <c r="AN340" t="s">
        <v>10907</v>
      </c>
      <c r="AO340" t="s">
        <v>11002</v>
      </c>
      <c r="AP340" t="s">
        <v>11056</v>
      </c>
      <c r="AQ340" t="s">
        <v>11135</v>
      </c>
      <c r="AR340" t="s">
        <v>11298</v>
      </c>
      <c r="AS340" t="s">
        <v>9926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</row>
    <row r="341" spans="1:59">
      <c r="A341" s="1">
        <f>HYPERLINK("https://lsnyc.legalserver.org/matter/dynamic-profile/view/1904028","19-1904028")</f>
        <v>0</v>
      </c>
      <c r="B341" t="s">
        <v>361</v>
      </c>
      <c r="C341" t="s">
        <v>5284</v>
      </c>
      <c r="D341" t="s">
        <v>9926</v>
      </c>
      <c r="E341" t="s">
        <v>10075</v>
      </c>
      <c r="F341">
        <v>10467</v>
      </c>
      <c r="G341" t="s">
        <v>10090</v>
      </c>
      <c r="H341" t="s">
        <v>10094</v>
      </c>
      <c r="I341" t="s">
        <v>10168</v>
      </c>
      <c r="J341" t="s">
        <v>10210</v>
      </c>
      <c r="K341" t="s">
        <v>10217</v>
      </c>
      <c r="M341" t="s">
        <v>10401</v>
      </c>
      <c r="N341" t="s">
        <v>10705</v>
      </c>
      <c r="P341" t="s">
        <v>10757</v>
      </c>
      <c r="Q341" t="s">
        <v>10789</v>
      </c>
      <c r="R341" t="s">
        <v>10821</v>
      </c>
      <c r="T341">
        <v>17880</v>
      </c>
      <c r="U341">
        <v>1490</v>
      </c>
      <c r="V341">
        <v>41</v>
      </c>
      <c r="W341">
        <v>1</v>
      </c>
      <c r="X341">
        <v>0</v>
      </c>
      <c r="Z341">
        <v>143.15</v>
      </c>
      <c r="AA341">
        <v>40.858528</v>
      </c>
      <c r="AB341">
        <v>-73.86907600000001</v>
      </c>
      <c r="AD341" t="s">
        <v>10840</v>
      </c>
      <c r="AG341" t="s">
        <v>10858</v>
      </c>
      <c r="AH341" t="s">
        <v>10874</v>
      </c>
      <c r="AI341">
        <v>230</v>
      </c>
      <c r="AJ341" t="s">
        <v>10210</v>
      </c>
      <c r="AL341">
        <v>14.1</v>
      </c>
      <c r="AQ341" t="s">
        <v>11121</v>
      </c>
      <c r="AR341" t="s">
        <v>11298</v>
      </c>
      <c r="AS341" t="s">
        <v>9926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</row>
    <row r="342" spans="1:59">
      <c r="A342" s="1">
        <f>HYPERLINK("https://lsnyc.legalserver.org/matter/dynamic-profile/view/1904029","19-1904029")</f>
        <v>0</v>
      </c>
      <c r="B342" t="s">
        <v>362</v>
      </c>
      <c r="C342" t="s">
        <v>5285</v>
      </c>
      <c r="D342" t="s">
        <v>9946</v>
      </c>
      <c r="E342" t="s">
        <v>10075</v>
      </c>
      <c r="F342">
        <v>11385</v>
      </c>
      <c r="G342" t="s">
        <v>10092</v>
      </c>
      <c r="H342" t="s">
        <v>10094</v>
      </c>
      <c r="J342" t="s">
        <v>10212</v>
      </c>
      <c r="K342" t="s">
        <v>10218</v>
      </c>
      <c r="L342" t="s">
        <v>4843</v>
      </c>
      <c r="M342" t="s">
        <v>10363</v>
      </c>
      <c r="N342" t="s">
        <v>10706</v>
      </c>
      <c r="P342" t="s">
        <v>10751</v>
      </c>
      <c r="Q342" t="s">
        <v>10796</v>
      </c>
      <c r="R342" t="s">
        <v>10820</v>
      </c>
      <c r="T342">
        <v>12000</v>
      </c>
      <c r="U342">
        <v>1000</v>
      </c>
      <c r="V342">
        <v>62</v>
      </c>
      <c r="W342">
        <v>1</v>
      </c>
      <c r="X342">
        <v>0</v>
      </c>
      <c r="Y342" t="s">
        <v>10829</v>
      </c>
      <c r="Z342">
        <v>96.08</v>
      </c>
      <c r="AA342">
        <v>40.702305</v>
      </c>
      <c r="AB342">
        <v>-73.912032</v>
      </c>
      <c r="AD342" t="s">
        <v>10839</v>
      </c>
      <c r="AG342" t="s">
        <v>10858</v>
      </c>
      <c r="AH342" t="s">
        <v>10868</v>
      </c>
      <c r="AI342">
        <v>237</v>
      </c>
      <c r="AJ342" t="s">
        <v>10212</v>
      </c>
      <c r="AK342" t="s">
        <v>10838</v>
      </c>
      <c r="AL342">
        <v>2.9</v>
      </c>
      <c r="AM342" t="s">
        <v>10886</v>
      </c>
      <c r="AN342" t="s">
        <v>10945</v>
      </c>
      <c r="AO342" t="s">
        <v>11003</v>
      </c>
      <c r="AP342" t="s">
        <v>11071</v>
      </c>
      <c r="AR342" t="s">
        <v>11330</v>
      </c>
      <c r="AS342" t="s">
        <v>11594</v>
      </c>
      <c r="AY342" t="s">
        <v>10829</v>
      </c>
      <c r="AZ342" t="s">
        <v>11682</v>
      </c>
      <c r="BA342" t="s">
        <v>11741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0</v>
      </c>
    </row>
    <row r="343" spans="1:59">
      <c r="A343" s="1">
        <f>HYPERLINK("https://lsnyc.legalserver.org/matter/dynamic-profile/view/1904030","19-1904030")</f>
        <v>0</v>
      </c>
      <c r="B343" t="s">
        <v>363</v>
      </c>
      <c r="C343" t="s">
        <v>5286</v>
      </c>
      <c r="D343" t="s">
        <v>9925</v>
      </c>
      <c r="E343" t="s">
        <v>10075</v>
      </c>
      <c r="F343">
        <v>10018</v>
      </c>
      <c r="G343" t="s">
        <v>10089</v>
      </c>
      <c r="H343" t="s">
        <v>10094</v>
      </c>
      <c r="J343" t="s">
        <v>10209</v>
      </c>
      <c r="K343" t="s">
        <v>10218</v>
      </c>
      <c r="L343" t="s">
        <v>10110</v>
      </c>
      <c r="M343" t="s">
        <v>10402</v>
      </c>
      <c r="N343" t="s">
        <v>10706</v>
      </c>
      <c r="P343" t="s">
        <v>10749</v>
      </c>
      <c r="Q343" t="s">
        <v>10774</v>
      </c>
      <c r="R343" t="s">
        <v>10827</v>
      </c>
      <c r="T343">
        <v>9492</v>
      </c>
      <c r="U343">
        <v>791</v>
      </c>
      <c r="V343">
        <v>57</v>
      </c>
      <c r="W343">
        <v>1</v>
      </c>
      <c r="X343">
        <v>0</v>
      </c>
      <c r="Y343" t="s">
        <v>10829</v>
      </c>
      <c r="Z343">
        <v>76</v>
      </c>
      <c r="AA343">
        <v>40.755135</v>
      </c>
      <c r="AB343">
        <v>-73.993956</v>
      </c>
      <c r="AD343" t="s">
        <v>10839</v>
      </c>
      <c r="AG343" t="s">
        <v>10858</v>
      </c>
      <c r="AH343" t="s">
        <v>10868</v>
      </c>
      <c r="AI343">
        <v>237</v>
      </c>
      <c r="AJ343" t="s">
        <v>10212</v>
      </c>
      <c r="AK343" t="s">
        <v>10838</v>
      </c>
      <c r="AL343">
        <v>2</v>
      </c>
      <c r="AM343" t="s">
        <v>10894</v>
      </c>
      <c r="AN343" t="s">
        <v>10966</v>
      </c>
      <c r="AO343" t="s">
        <v>11021</v>
      </c>
      <c r="AP343" t="s">
        <v>11090</v>
      </c>
      <c r="AR343" t="s">
        <v>11318</v>
      </c>
      <c r="AS343" t="s">
        <v>9925</v>
      </c>
      <c r="AY343" t="s">
        <v>10829</v>
      </c>
      <c r="AZ343" t="s">
        <v>11681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</row>
    <row r="344" spans="1:59">
      <c r="A344" s="1">
        <f>HYPERLINK("https://lsnyc.legalserver.org/matter/dynamic-profile/view/1904031","19-1904031")</f>
        <v>0</v>
      </c>
      <c r="B344" t="s">
        <v>364</v>
      </c>
      <c r="C344" t="s">
        <v>5287</v>
      </c>
      <c r="D344" t="s">
        <v>9925</v>
      </c>
      <c r="E344" t="s">
        <v>10075</v>
      </c>
      <c r="F344">
        <v>10016</v>
      </c>
      <c r="G344" t="s">
        <v>10089</v>
      </c>
      <c r="H344" t="s">
        <v>10094</v>
      </c>
      <c r="J344" t="s">
        <v>10209</v>
      </c>
      <c r="K344" t="s">
        <v>10217</v>
      </c>
      <c r="M344" t="s">
        <v>10403</v>
      </c>
      <c r="N344" t="s">
        <v>10707</v>
      </c>
      <c r="P344" t="s">
        <v>10749</v>
      </c>
      <c r="Q344" t="s">
        <v>10765</v>
      </c>
      <c r="R344" t="s">
        <v>10824</v>
      </c>
      <c r="T344">
        <v>2256</v>
      </c>
      <c r="U344">
        <v>188</v>
      </c>
      <c r="V344">
        <v>30</v>
      </c>
      <c r="W344">
        <v>1</v>
      </c>
      <c r="X344">
        <v>0</v>
      </c>
      <c r="Z344">
        <v>18.06</v>
      </c>
      <c r="AA344">
        <v>40.744533</v>
      </c>
      <c r="AB344">
        <v>-73.97193799999999</v>
      </c>
      <c r="AD344" t="s">
        <v>10840</v>
      </c>
      <c r="AG344" t="s">
        <v>10858</v>
      </c>
      <c r="AH344" t="s">
        <v>10868</v>
      </c>
      <c r="AI344">
        <v>237</v>
      </c>
      <c r="AJ344" t="s">
        <v>10212</v>
      </c>
      <c r="AL344">
        <v>25.33</v>
      </c>
      <c r="AM344" t="s">
        <v>10891</v>
      </c>
      <c r="AN344" t="s">
        <v>10910</v>
      </c>
      <c r="AO344" t="s">
        <v>11021</v>
      </c>
      <c r="AP344" t="s">
        <v>11091</v>
      </c>
      <c r="AR344" t="s">
        <v>11255</v>
      </c>
      <c r="AS344" t="s">
        <v>9925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</row>
    <row r="345" spans="1:59">
      <c r="A345" s="1">
        <f>HYPERLINK("https://lsnyc.legalserver.org/matter/dynamic-profile/view/1904032","19-1904032")</f>
        <v>0</v>
      </c>
      <c r="B345" t="s">
        <v>365</v>
      </c>
      <c r="C345" t="s">
        <v>5288</v>
      </c>
      <c r="D345" t="s">
        <v>9926</v>
      </c>
      <c r="E345" t="s">
        <v>10075</v>
      </c>
      <c r="F345">
        <v>10468</v>
      </c>
      <c r="G345" t="s">
        <v>10090</v>
      </c>
      <c r="H345" t="s">
        <v>10117</v>
      </c>
      <c r="J345" t="s">
        <v>10210</v>
      </c>
      <c r="K345" t="s">
        <v>10218</v>
      </c>
      <c r="L345" t="s">
        <v>10136</v>
      </c>
      <c r="M345" t="s">
        <v>10404</v>
      </c>
      <c r="N345" t="s">
        <v>10651</v>
      </c>
      <c r="P345" t="s">
        <v>10749</v>
      </c>
      <c r="Q345" t="s">
        <v>10765</v>
      </c>
      <c r="R345" t="s">
        <v>10823</v>
      </c>
      <c r="T345">
        <v>44800</v>
      </c>
      <c r="U345">
        <v>3733.33</v>
      </c>
      <c r="V345">
        <v>36</v>
      </c>
      <c r="W345">
        <v>3</v>
      </c>
      <c r="X345">
        <v>2</v>
      </c>
      <c r="Y345" t="s">
        <v>10831</v>
      </c>
      <c r="Z345">
        <v>148.49</v>
      </c>
      <c r="AA345">
        <v>40.870804</v>
      </c>
      <c r="AB345">
        <v>-73.899744</v>
      </c>
      <c r="AD345" t="s">
        <v>10839</v>
      </c>
      <c r="AG345" t="s">
        <v>10858</v>
      </c>
      <c r="AH345" t="s">
        <v>10861</v>
      </c>
      <c r="AI345">
        <v>230</v>
      </c>
      <c r="AJ345" t="s">
        <v>10210</v>
      </c>
      <c r="AK345" t="s">
        <v>10882</v>
      </c>
      <c r="AL345">
        <v>17.8</v>
      </c>
      <c r="AM345" t="s">
        <v>10887</v>
      </c>
      <c r="AN345" t="s">
        <v>10919</v>
      </c>
      <c r="AO345" t="s">
        <v>11000</v>
      </c>
      <c r="AP345" t="s">
        <v>11045</v>
      </c>
      <c r="AR345" t="s">
        <v>11257</v>
      </c>
      <c r="AS345" t="s">
        <v>9926</v>
      </c>
      <c r="AT345" t="s">
        <v>11641</v>
      </c>
      <c r="AX345" t="s">
        <v>10838</v>
      </c>
      <c r="AY345" t="s">
        <v>10831</v>
      </c>
      <c r="AZ345" t="s">
        <v>11687</v>
      </c>
      <c r="BA345" t="s">
        <v>11738</v>
      </c>
      <c r="BB345">
        <v>0</v>
      </c>
      <c r="BC345">
        <v>0</v>
      </c>
      <c r="BD345">
        <v>0</v>
      </c>
      <c r="BE345">
        <v>0</v>
      </c>
      <c r="BF345">
        <v>5</v>
      </c>
      <c r="BG345">
        <v>0</v>
      </c>
    </row>
    <row r="346" spans="1:59">
      <c r="A346" s="1">
        <f>HYPERLINK("https://lsnyc.legalserver.org/matter/dynamic-profile/view/1904033","19-1904033")</f>
        <v>0</v>
      </c>
      <c r="B346" t="s">
        <v>366</v>
      </c>
      <c r="C346" t="s">
        <v>5289</v>
      </c>
      <c r="D346" t="s">
        <v>9928</v>
      </c>
      <c r="E346" t="s">
        <v>10075</v>
      </c>
      <c r="F346">
        <v>11233</v>
      </c>
      <c r="G346" t="s">
        <v>10093</v>
      </c>
      <c r="H346" t="s">
        <v>10117</v>
      </c>
      <c r="I346" t="s">
        <v>10168</v>
      </c>
      <c r="J346" t="s">
        <v>10213</v>
      </c>
      <c r="K346" t="s">
        <v>10217</v>
      </c>
      <c r="M346" t="s">
        <v>10405</v>
      </c>
      <c r="N346" t="s">
        <v>10650</v>
      </c>
      <c r="P346" t="s">
        <v>10749</v>
      </c>
      <c r="Q346" t="s">
        <v>10765</v>
      </c>
      <c r="R346" t="s">
        <v>10821</v>
      </c>
      <c r="T346">
        <v>38892</v>
      </c>
      <c r="U346">
        <v>3241</v>
      </c>
      <c r="V346">
        <v>51</v>
      </c>
      <c r="W346">
        <v>3</v>
      </c>
      <c r="X346">
        <v>0</v>
      </c>
      <c r="Z346">
        <v>182.33</v>
      </c>
      <c r="AA346">
        <v>40.67865</v>
      </c>
      <c r="AB346">
        <v>-73.929106</v>
      </c>
      <c r="AD346" t="s">
        <v>10839</v>
      </c>
      <c r="AG346" t="s">
        <v>10858</v>
      </c>
      <c r="AH346" t="s">
        <v>10862</v>
      </c>
      <c r="AI346">
        <v>239</v>
      </c>
      <c r="AJ346" t="s">
        <v>10213</v>
      </c>
      <c r="AL346">
        <v>11.8</v>
      </c>
      <c r="AM346" t="s">
        <v>10889</v>
      </c>
      <c r="AN346" t="s">
        <v>10914</v>
      </c>
      <c r="AO346" t="s">
        <v>11007</v>
      </c>
      <c r="AP346" t="s">
        <v>11052</v>
      </c>
      <c r="AQ346" t="s">
        <v>11101</v>
      </c>
      <c r="AR346" t="s">
        <v>11295</v>
      </c>
      <c r="AS346" t="s">
        <v>11595</v>
      </c>
      <c r="AT346" t="s">
        <v>11641</v>
      </c>
      <c r="AX346" t="s">
        <v>10838</v>
      </c>
      <c r="BA346" t="s">
        <v>11738</v>
      </c>
      <c r="BB346">
        <v>0</v>
      </c>
      <c r="BC346">
        <v>0</v>
      </c>
      <c r="BD346">
        <v>0</v>
      </c>
      <c r="BE346">
        <v>0</v>
      </c>
      <c r="BF346">
        <v>5</v>
      </c>
      <c r="BG346">
        <v>0</v>
      </c>
    </row>
    <row r="347" spans="1:59">
      <c r="A347" s="1">
        <f>HYPERLINK("https://lsnyc.legalserver.org/matter/dynamic-profile/view/1904035","19-1904035")</f>
        <v>0</v>
      </c>
      <c r="B347" t="s">
        <v>365</v>
      </c>
      <c r="C347" t="s">
        <v>5288</v>
      </c>
      <c r="D347" t="s">
        <v>9926</v>
      </c>
      <c r="E347" t="s">
        <v>10075</v>
      </c>
      <c r="F347">
        <v>10468</v>
      </c>
      <c r="G347" t="s">
        <v>10090</v>
      </c>
      <c r="H347" t="s">
        <v>10117</v>
      </c>
      <c r="J347" t="s">
        <v>10210</v>
      </c>
      <c r="K347" t="s">
        <v>10217</v>
      </c>
      <c r="M347" t="s">
        <v>10406</v>
      </c>
      <c r="N347" t="s">
        <v>10671</v>
      </c>
      <c r="P347" t="s">
        <v>10751</v>
      </c>
      <c r="Q347" t="s">
        <v>10761</v>
      </c>
      <c r="R347" t="s">
        <v>10823</v>
      </c>
      <c r="T347">
        <v>37000</v>
      </c>
      <c r="U347">
        <v>3083.33</v>
      </c>
      <c r="V347">
        <v>36</v>
      </c>
      <c r="W347">
        <v>3</v>
      </c>
      <c r="X347">
        <v>2</v>
      </c>
      <c r="Z347">
        <v>122.64</v>
      </c>
      <c r="AA347">
        <v>40.870804</v>
      </c>
      <c r="AB347">
        <v>-73.899744</v>
      </c>
      <c r="AD347" t="s">
        <v>10839</v>
      </c>
      <c r="AG347" t="s">
        <v>10858</v>
      </c>
      <c r="AH347" t="s">
        <v>10861</v>
      </c>
      <c r="AI347">
        <v>230</v>
      </c>
      <c r="AJ347" t="s">
        <v>10210</v>
      </c>
      <c r="AL347">
        <v>3.95</v>
      </c>
      <c r="AM347" t="s">
        <v>10887</v>
      </c>
      <c r="AN347" t="s">
        <v>10919</v>
      </c>
      <c r="AO347" t="s">
        <v>11000</v>
      </c>
      <c r="AP347" t="s">
        <v>11045</v>
      </c>
      <c r="AR347" t="s">
        <v>11257</v>
      </c>
      <c r="AS347" t="s">
        <v>9926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</row>
    <row r="348" spans="1:59">
      <c r="A348" s="1">
        <f>HYPERLINK("https://lsnyc.legalserver.org/matter/dynamic-profile/view/1904036","19-1904036")</f>
        <v>0</v>
      </c>
      <c r="B348" t="s">
        <v>367</v>
      </c>
      <c r="C348" t="s">
        <v>5290</v>
      </c>
      <c r="D348" t="s">
        <v>9926</v>
      </c>
      <c r="E348" t="s">
        <v>10075</v>
      </c>
      <c r="F348">
        <v>10468</v>
      </c>
      <c r="G348" t="s">
        <v>10090</v>
      </c>
      <c r="H348" t="s">
        <v>10117</v>
      </c>
      <c r="I348" t="s">
        <v>10168</v>
      </c>
      <c r="J348" t="s">
        <v>10210</v>
      </c>
      <c r="K348" t="s">
        <v>10217</v>
      </c>
      <c r="M348" t="s">
        <v>10399</v>
      </c>
      <c r="N348" t="s">
        <v>10651</v>
      </c>
      <c r="P348" t="s">
        <v>10749</v>
      </c>
      <c r="Q348" t="s">
        <v>10765</v>
      </c>
      <c r="R348" t="s">
        <v>10824</v>
      </c>
      <c r="T348">
        <v>44806.18</v>
      </c>
      <c r="U348">
        <v>3733.85</v>
      </c>
      <c r="V348">
        <v>67</v>
      </c>
      <c r="W348">
        <v>3</v>
      </c>
      <c r="X348">
        <v>1</v>
      </c>
      <c r="Z348">
        <v>174</v>
      </c>
      <c r="AA348">
        <v>40.868287</v>
      </c>
      <c r="AB348">
        <v>-73.907095</v>
      </c>
      <c r="AD348" t="s">
        <v>10839</v>
      </c>
      <c r="AG348" t="s">
        <v>10858</v>
      </c>
      <c r="AH348" t="s">
        <v>10861</v>
      </c>
      <c r="AI348">
        <v>230</v>
      </c>
      <c r="AJ348" t="s">
        <v>10210</v>
      </c>
      <c r="AL348">
        <v>8.300000000000001</v>
      </c>
      <c r="AM348" t="s">
        <v>10887</v>
      </c>
      <c r="AN348" t="s">
        <v>10907</v>
      </c>
      <c r="AO348" t="s">
        <v>11000</v>
      </c>
      <c r="AP348" t="s">
        <v>11045</v>
      </c>
      <c r="AR348" t="s">
        <v>11257</v>
      </c>
      <c r="AS348" t="s">
        <v>9926</v>
      </c>
      <c r="AT348" t="s">
        <v>11641</v>
      </c>
      <c r="AX348" t="s">
        <v>10838</v>
      </c>
      <c r="BA348" t="s">
        <v>11738</v>
      </c>
      <c r="BB348">
        <v>0</v>
      </c>
      <c r="BC348">
        <v>0</v>
      </c>
      <c r="BD348">
        <v>0</v>
      </c>
      <c r="BE348">
        <v>0</v>
      </c>
      <c r="BF348">
        <v>5</v>
      </c>
      <c r="BG348">
        <v>0</v>
      </c>
    </row>
    <row r="349" spans="1:59">
      <c r="A349" s="1">
        <f>HYPERLINK("https://lsnyc.legalserver.org/matter/dynamic-profile/view/1904037","19-1904037")</f>
        <v>0</v>
      </c>
      <c r="B349" t="s">
        <v>368</v>
      </c>
      <c r="C349" t="s">
        <v>5291</v>
      </c>
      <c r="D349" t="s">
        <v>9948</v>
      </c>
      <c r="E349" t="s">
        <v>10075</v>
      </c>
      <c r="F349">
        <v>11691</v>
      </c>
      <c r="G349" t="s">
        <v>10092</v>
      </c>
      <c r="H349" t="s">
        <v>10117</v>
      </c>
      <c r="I349" t="s">
        <v>10169</v>
      </c>
      <c r="J349" t="s">
        <v>10212</v>
      </c>
      <c r="K349" t="s">
        <v>10218</v>
      </c>
      <c r="L349" t="s">
        <v>10160</v>
      </c>
      <c r="M349" t="s">
        <v>10269</v>
      </c>
      <c r="N349" t="s">
        <v>10669</v>
      </c>
      <c r="P349" t="s">
        <v>10754</v>
      </c>
      <c r="Q349" t="s">
        <v>10775</v>
      </c>
      <c r="R349" t="s">
        <v>10823</v>
      </c>
      <c r="T349">
        <v>14400</v>
      </c>
      <c r="U349">
        <v>1200</v>
      </c>
      <c r="V349">
        <v>45</v>
      </c>
      <c r="W349">
        <v>1</v>
      </c>
      <c r="X349">
        <v>0</v>
      </c>
      <c r="Y349" t="s">
        <v>10829</v>
      </c>
      <c r="Z349">
        <v>115.29</v>
      </c>
      <c r="AA349">
        <v>40.594457</v>
      </c>
      <c r="AB349">
        <v>-73.75270999999999</v>
      </c>
      <c r="AD349" t="s">
        <v>10839</v>
      </c>
      <c r="AF349" t="s">
        <v>10843</v>
      </c>
      <c r="AG349" t="s">
        <v>10859</v>
      </c>
      <c r="AH349" t="s">
        <v>10865</v>
      </c>
      <c r="AI349">
        <v>237</v>
      </c>
      <c r="AJ349" t="s">
        <v>10212</v>
      </c>
      <c r="AK349" t="s">
        <v>10837</v>
      </c>
      <c r="AL349">
        <v>1.5</v>
      </c>
      <c r="AM349" t="s">
        <v>10892</v>
      </c>
      <c r="AN349" t="s">
        <v>10958</v>
      </c>
      <c r="AO349" t="s">
        <v>11024</v>
      </c>
      <c r="AP349" t="s">
        <v>11082</v>
      </c>
      <c r="AQ349" t="s">
        <v>11137</v>
      </c>
      <c r="AR349" t="s">
        <v>11276</v>
      </c>
      <c r="AS349" t="s">
        <v>11594</v>
      </c>
      <c r="AY349" t="s">
        <v>10829</v>
      </c>
      <c r="AZ349" t="s">
        <v>11683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</row>
    <row r="350" spans="1:59">
      <c r="A350" s="1">
        <f>HYPERLINK("https://lsnyc.legalserver.org/matter/dynamic-profile/view/1904038","19-1904038")</f>
        <v>0</v>
      </c>
      <c r="B350" t="s">
        <v>369</v>
      </c>
      <c r="C350" t="s">
        <v>5292</v>
      </c>
      <c r="D350" t="s">
        <v>9957</v>
      </c>
      <c r="E350" t="s">
        <v>10076</v>
      </c>
      <c r="F350">
        <v>7662</v>
      </c>
      <c r="G350" t="s">
        <v>10090</v>
      </c>
      <c r="H350" t="s">
        <v>10117</v>
      </c>
      <c r="I350" t="s">
        <v>10168</v>
      </c>
      <c r="J350" t="s">
        <v>10210</v>
      </c>
      <c r="K350" t="s">
        <v>10217</v>
      </c>
      <c r="M350" t="s">
        <v>10407</v>
      </c>
      <c r="N350" t="s">
        <v>10675</v>
      </c>
      <c r="P350" t="s">
        <v>10754</v>
      </c>
      <c r="Q350" t="s">
        <v>10775</v>
      </c>
      <c r="R350" t="s">
        <v>10823</v>
      </c>
      <c r="T350">
        <v>63000</v>
      </c>
      <c r="U350">
        <v>5250</v>
      </c>
      <c r="V350">
        <v>41</v>
      </c>
      <c r="W350">
        <v>1</v>
      </c>
      <c r="X350">
        <v>0</v>
      </c>
      <c r="Z350">
        <v>504.4</v>
      </c>
      <c r="AA350">
        <v>40.910123</v>
      </c>
      <c r="AB350">
        <v>-74.08134699999999</v>
      </c>
      <c r="AC350" t="s">
        <v>10837</v>
      </c>
      <c r="AD350" t="s">
        <v>10840</v>
      </c>
      <c r="AG350" t="s">
        <v>10858</v>
      </c>
      <c r="AH350" t="s">
        <v>10875</v>
      </c>
      <c r="AI350">
        <v>230</v>
      </c>
      <c r="AJ350" t="s">
        <v>10210</v>
      </c>
      <c r="AL350">
        <v>3.4</v>
      </c>
      <c r="AR350" t="s">
        <v>11257</v>
      </c>
      <c r="AS350" t="s">
        <v>11597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</row>
    <row r="351" spans="1:59">
      <c r="A351" s="1">
        <f>HYPERLINK("https://lsnyc.legalserver.org/matter/dynamic-profile/view/1904039","19-1904039")</f>
        <v>0</v>
      </c>
      <c r="B351" t="s">
        <v>367</v>
      </c>
      <c r="C351" t="s">
        <v>5290</v>
      </c>
      <c r="D351" t="s">
        <v>9926</v>
      </c>
      <c r="E351" t="s">
        <v>10075</v>
      </c>
      <c r="F351">
        <v>10468</v>
      </c>
      <c r="G351" t="s">
        <v>10090</v>
      </c>
      <c r="H351" t="s">
        <v>10117</v>
      </c>
      <c r="I351" t="s">
        <v>10168</v>
      </c>
      <c r="J351" t="s">
        <v>10210</v>
      </c>
      <c r="K351" t="s">
        <v>10217</v>
      </c>
      <c r="M351" t="s">
        <v>10406</v>
      </c>
      <c r="N351" t="s">
        <v>10677</v>
      </c>
      <c r="P351" t="s">
        <v>10751</v>
      </c>
      <c r="Q351" t="s">
        <v>10761</v>
      </c>
      <c r="R351" t="s">
        <v>10824</v>
      </c>
      <c r="T351">
        <v>29000</v>
      </c>
      <c r="U351">
        <v>2416.67</v>
      </c>
      <c r="V351">
        <v>67</v>
      </c>
      <c r="W351">
        <v>3</v>
      </c>
      <c r="X351">
        <v>1</v>
      </c>
      <c r="Z351">
        <v>112.62</v>
      </c>
      <c r="AA351">
        <v>40.868287</v>
      </c>
      <c r="AB351">
        <v>-73.907095</v>
      </c>
      <c r="AD351" t="s">
        <v>10839</v>
      </c>
      <c r="AG351" t="s">
        <v>10858</v>
      </c>
      <c r="AH351" t="s">
        <v>10861</v>
      </c>
      <c r="AI351">
        <v>230</v>
      </c>
      <c r="AJ351" t="s">
        <v>10210</v>
      </c>
      <c r="AL351">
        <v>0.1</v>
      </c>
      <c r="AM351" t="s">
        <v>10887</v>
      </c>
      <c r="AN351" t="s">
        <v>10907</v>
      </c>
      <c r="AO351" t="s">
        <v>11000</v>
      </c>
      <c r="AP351" t="s">
        <v>11045</v>
      </c>
      <c r="AR351" t="s">
        <v>11257</v>
      </c>
      <c r="AS351" t="s">
        <v>9926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</row>
    <row r="352" spans="1:59">
      <c r="A352" s="1">
        <f>HYPERLINK("https://lsnyc.legalserver.org/matter/dynamic-profile/view/1904041","19-1904041")</f>
        <v>0</v>
      </c>
      <c r="B352" t="s">
        <v>370</v>
      </c>
      <c r="C352" t="s">
        <v>5293</v>
      </c>
      <c r="D352" t="s">
        <v>9926</v>
      </c>
      <c r="E352" t="s">
        <v>10075</v>
      </c>
      <c r="F352">
        <v>10457</v>
      </c>
      <c r="G352" t="s">
        <v>10090</v>
      </c>
      <c r="H352" t="s">
        <v>10117</v>
      </c>
      <c r="J352" t="s">
        <v>10210</v>
      </c>
      <c r="K352" t="s">
        <v>10217</v>
      </c>
      <c r="M352" t="s">
        <v>10235</v>
      </c>
      <c r="N352" t="s">
        <v>10651</v>
      </c>
      <c r="P352" t="s">
        <v>10749</v>
      </c>
      <c r="Q352" t="s">
        <v>10765</v>
      </c>
      <c r="R352" t="s">
        <v>10823</v>
      </c>
      <c r="T352">
        <v>24960</v>
      </c>
      <c r="U352">
        <v>2080</v>
      </c>
      <c r="V352">
        <v>23</v>
      </c>
      <c r="W352">
        <v>1</v>
      </c>
      <c r="X352">
        <v>0</v>
      </c>
      <c r="Z352">
        <v>199.84</v>
      </c>
      <c r="AA352">
        <v>40.850063</v>
      </c>
      <c r="AB352">
        <v>-73.884868</v>
      </c>
      <c r="AD352" t="s">
        <v>10839</v>
      </c>
      <c r="AF352" t="s">
        <v>10843</v>
      </c>
      <c r="AG352" t="s">
        <v>10859</v>
      </c>
      <c r="AH352" t="s">
        <v>10861</v>
      </c>
      <c r="AI352">
        <v>230</v>
      </c>
      <c r="AJ352" t="s">
        <v>10210</v>
      </c>
      <c r="AL352">
        <v>9.300000000000001</v>
      </c>
      <c r="AM352" t="s">
        <v>10884</v>
      </c>
      <c r="AN352" t="s">
        <v>10907</v>
      </c>
      <c r="AO352" t="s">
        <v>11000</v>
      </c>
      <c r="AP352" t="s">
        <v>11056</v>
      </c>
      <c r="AR352" t="s">
        <v>11257</v>
      </c>
      <c r="AS352" t="s">
        <v>9926</v>
      </c>
      <c r="AT352" t="s">
        <v>11641</v>
      </c>
      <c r="AX352" t="s">
        <v>10838</v>
      </c>
      <c r="BA352" t="s">
        <v>11738</v>
      </c>
      <c r="BB352">
        <v>0</v>
      </c>
      <c r="BC352">
        <v>0</v>
      </c>
      <c r="BD352">
        <v>0</v>
      </c>
      <c r="BE352">
        <v>0</v>
      </c>
      <c r="BF352">
        <v>5</v>
      </c>
      <c r="BG352">
        <v>0</v>
      </c>
    </row>
    <row r="353" spans="1:59">
      <c r="A353" s="1">
        <f>HYPERLINK("https://lsnyc.legalserver.org/matter/dynamic-profile/view/1904043","19-1904043")</f>
        <v>0</v>
      </c>
      <c r="B353" t="s">
        <v>371</v>
      </c>
      <c r="C353" t="s">
        <v>5294</v>
      </c>
      <c r="D353" t="s">
        <v>9938</v>
      </c>
      <c r="E353" t="s">
        <v>10075</v>
      </c>
      <c r="F353">
        <v>11435</v>
      </c>
      <c r="G353" t="s">
        <v>10092</v>
      </c>
      <c r="H353" t="s">
        <v>10117</v>
      </c>
      <c r="I353" t="s">
        <v>10168</v>
      </c>
      <c r="J353" t="s">
        <v>10212</v>
      </c>
      <c r="K353" t="s">
        <v>10217</v>
      </c>
      <c r="M353" t="s">
        <v>10408</v>
      </c>
      <c r="N353" t="s">
        <v>10650</v>
      </c>
      <c r="P353" t="s">
        <v>10749</v>
      </c>
      <c r="Q353" t="s">
        <v>10765</v>
      </c>
      <c r="R353" t="s">
        <v>10824</v>
      </c>
      <c r="T353">
        <v>0</v>
      </c>
      <c r="U353">
        <v>0</v>
      </c>
      <c r="V353">
        <v>54</v>
      </c>
      <c r="W353">
        <v>2</v>
      </c>
      <c r="X353">
        <v>0</v>
      </c>
      <c r="Z353">
        <v>0</v>
      </c>
      <c r="AA353">
        <v>40.691832</v>
      </c>
      <c r="AB353">
        <v>-73.80970000000001</v>
      </c>
      <c r="AD353" t="s">
        <v>10839</v>
      </c>
      <c r="AG353" t="s">
        <v>10858</v>
      </c>
      <c r="AH353" t="s">
        <v>10862</v>
      </c>
      <c r="AI353">
        <v>237</v>
      </c>
      <c r="AJ353" t="s">
        <v>10212</v>
      </c>
      <c r="AL353">
        <v>1.22</v>
      </c>
      <c r="AM353" t="s">
        <v>10892</v>
      </c>
      <c r="AN353" t="s">
        <v>10951</v>
      </c>
      <c r="AO353" t="s">
        <v>11017</v>
      </c>
      <c r="AP353" t="s">
        <v>11070</v>
      </c>
      <c r="AR353" t="s">
        <v>11267</v>
      </c>
      <c r="AS353" t="s">
        <v>11594</v>
      </c>
      <c r="AX353" t="s">
        <v>10838</v>
      </c>
      <c r="BA353" t="s">
        <v>11741</v>
      </c>
      <c r="BB353">
        <v>0</v>
      </c>
      <c r="BC353">
        <v>0</v>
      </c>
      <c r="BD353">
        <v>0</v>
      </c>
      <c r="BE353">
        <v>0</v>
      </c>
      <c r="BF353">
        <v>1</v>
      </c>
      <c r="BG353">
        <v>0</v>
      </c>
    </row>
    <row r="354" spans="1:59">
      <c r="A354" s="1">
        <f>HYPERLINK("https://lsnyc.legalserver.org/matter/dynamic-profile/view/1904044","19-1904044")</f>
        <v>0</v>
      </c>
      <c r="B354" t="s">
        <v>372</v>
      </c>
      <c r="C354" t="s">
        <v>5295</v>
      </c>
      <c r="D354" t="s">
        <v>9929</v>
      </c>
      <c r="E354" t="s">
        <v>10075</v>
      </c>
      <c r="F354">
        <v>10304</v>
      </c>
      <c r="G354" t="s">
        <v>10088</v>
      </c>
      <c r="H354" t="s">
        <v>10094</v>
      </c>
      <c r="I354" t="s">
        <v>10169</v>
      </c>
      <c r="J354" t="s">
        <v>10208</v>
      </c>
      <c r="K354" t="s">
        <v>10217</v>
      </c>
      <c r="M354" t="s">
        <v>10409</v>
      </c>
      <c r="N354" t="s">
        <v>10649</v>
      </c>
      <c r="P354" t="s">
        <v>10753</v>
      </c>
      <c r="Q354" t="s">
        <v>10763</v>
      </c>
      <c r="R354" t="s">
        <v>10823</v>
      </c>
      <c r="T354">
        <v>0</v>
      </c>
      <c r="U354">
        <v>0</v>
      </c>
      <c r="V354">
        <v>36</v>
      </c>
      <c r="W354">
        <v>1</v>
      </c>
      <c r="X354">
        <v>1</v>
      </c>
      <c r="Z354">
        <v>0</v>
      </c>
      <c r="AA354">
        <v>40.621235</v>
      </c>
      <c r="AB354">
        <v>-74.083962</v>
      </c>
      <c r="AD354" t="s">
        <v>10839</v>
      </c>
      <c r="AF354" t="s">
        <v>10844</v>
      </c>
      <c r="AG354" t="s">
        <v>10859</v>
      </c>
      <c r="AH354" t="s">
        <v>10864</v>
      </c>
      <c r="AI354">
        <v>285</v>
      </c>
      <c r="AJ354" t="s">
        <v>10208</v>
      </c>
      <c r="AL354">
        <v>2.5</v>
      </c>
      <c r="AM354" t="s">
        <v>10883</v>
      </c>
      <c r="AN354" t="s">
        <v>10913</v>
      </c>
      <c r="AO354" t="s">
        <v>11006</v>
      </c>
      <c r="AP354" t="s">
        <v>11051</v>
      </c>
      <c r="AR354" t="s">
        <v>11267</v>
      </c>
      <c r="AS354" t="s">
        <v>11593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</row>
    <row r="355" spans="1:59">
      <c r="A355" s="1">
        <f>HYPERLINK("https://lsnyc.legalserver.org/matter/dynamic-profile/view/1904045","19-1904045")</f>
        <v>0</v>
      </c>
      <c r="B355" t="s">
        <v>373</v>
      </c>
      <c r="C355" t="s">
        <v>5295</v>
      </c>
      <c r="D355" t="s">
        <v>9929</v>
      </c>
      <c r="E355" t="s">
        <v>10075</v>
      </c>
      <c r="F355">
        <v>10304</v>
      </c>
      <c r="G355" t="s">
        <v>10088</v>
      </c>
      <c r="H355" t="s">
        <v>10094</v>
      </c>
      <c r="I355" t="s">
        <v>10169</v>
      </c>
      <c r="J355" t="s">
        <v>10208</v>
      </c>
      <c r="K355" t="s">
        <v>10217</v>
      </c>
      <c r="M355" t="s">
        <v>10409</v>
      </c>
      <c r="N355" t="s">
        <v>10679</v>
      </c>
      <c r="P355" t="s">
        <v>10753</v>
      </c>
      <c r="Q355" t="s">
        <v>10763</v>
      </c>
      <c r="R355" t="s">
        <v>10823</v>
      </c>
      <c r="T355">
        <v>0</v>
      </c>
      <c r="U355">
        <v>0</v>
      </c>
      <c r="V355">
        <v>17</v>
      </c>
      <c r="W355">
        <v>1</v>
      </c>
      <c r="X355">
        <v>1</v>
      </c>
      <c r="Z355">
        <v>0</v>
      </c>
      <c r="AA355">
        <v>40.621235</v>
      </c>
      <c r="AB355">
        <v>-74.083962</v>
      </c>
      <c r="AD355" t="s">
        <v>10839</v>
      </c>
      <c r="AF355" t="s">
        <v>10844</v>
      </c>
      <c r="AG355" t="s">
        <v>10859</v>
      </c>
      <c r="AH355" t="s">
        <v>10864</v>
      </c>
      <c r="AI355">
        <v>285</v>
      </c>
      <c r="AJ355" t="s">
        <v>10208</v>
      </c>
      <c r="AL355">
        <v>2.2</v>
      </c>
      <c r="AM355" t="s">
        <v>10883</v>
      </c>
      <c r="AN355" t="s">
        <v>10913</v>
      </c>
      <c r="AO355" t="s">
        <v>11006</v>
      </c>
      <c r="AP355" t="s">
        <v>11051</v>
      </c>
      <c r="AR355" t="s">
        <v>11267</v>
      </c>
      <c r="AS355" t="s">
        <v>11593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</row>
    <row r="356" spans="1:59">
      <c r="A356" s="1">
        <f>HYPERLINK("https://lsnyc.legalserver.org/matter/dynamic-profile/view/1904047","19-1904047")</f>
        <v>0</v>
      </c>
      <c r="B356" t="s">
        <v>370</v>
      </c>
      <c r="C356" t="s">
        <v>5293</v>
      </c>
      <c r="D356" t="s">
        <v>9926</v>
      </c>
      <c r="E356" t="s">
        <v>10075</v>
      </c>
      <c r="F356">
        <v>10457</v>
      </c>
      <c r="G356" t="s">
        <v>10090</v>
      </c>
      <c r="H356" t="s">
        <v>10117</v>
      </c>
      <c r="J356" t="s">
        <v>10210</v>
      </c>
      <c r="K356" t="s">
        <v>10217</v>
      </c>
      <c r="M356" t="s">
        <v>10334</v>
      </c>
      <c r="N356" t="s">
        <v>10671</v>
      </c>
      <c r="P356" t="s">
        <v>10751</v>
      </c>
      <c r="Q356" t="s">
        <v>10761</v>
      </c>
      <c r="R356" t="s">
        <v>10823</v>
      </c>
      <c r="T356">
        <v>24960</v>
      </c>
      <c r="U356">
        <v>2080</v>
      </c>
      <c r="V356">
        <v>23</v>
      </c>
      <c r="W356">
        <v>1</v>
      </c>
      <c r="X356">
        <v>0</v>
      </c>
      <c r="Z356">
        <v>199.84</v>
      </c>
      <c r="AA356">
        <v>40.850063</v>
      </c>
      <c r="AB356">
        <v>-73.884868</v>
      </c>
      <c r="AD356" t="s">
        <v>10839</v>
      </c>
      <c r="AF356" t="s">
        <v>10843</v>
      </c>
      <c r="AG356" t="s">
        <v>10859</v>
      </c>
      <c r="AH356" t="s">
        <v>10861</v>
      </c>
      <c r="AI356">
        <v>230</v>
      </c>
      <c r="AJ356" t="s">
        <v>10210</v>
      </c>
      <c r="AL356">
        <v>0.5</v>
      </c>
      <c r="AM356" t="s">
        <v>10884</v>
      </c>
      <c r="AN356" t="s">
        <v>10907</v>
      </c>
      <c r="AO356" t="s">
        <v>11000</v>
      </c>
      <c r="AP356" t="s">
        <v>11056</v>
      </c>
      <c r="AR356" t="s">
        <v>11257</v>
      </c>
      <c r="AS356" t="s">
        <v>9926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</row>
    <row r="357" spans="1:59">
      <c r="A357" s="1">
        <f>HYPERLINK("https://lsnyc.legalserver.org/matter/dynamic-profile/view/1904048","19-1904048")</f>
        <v>0</v>
      </c>
      <c r="B357" t="s">
        <v>374</v>
      </c>
      <c r="C357" t="s">
        <v>5296</v>
      </c>
      <c r="D357" t="s">
        <v>9938</v>
      </c>
      <c r="E357" t="s">
        <v>10075</v>
      </c>
      <c r="F357">
        <v>11435</v>
      </c>
      <c r="G357" t="s">
        <v>10092</v>
      </c>
      <c r="H357" t="s">
        <v>10119</v>
      </c>
      <c r="I357" t="s">
        <v>10168</v>
      </c>
      <c r="J357" t="s">
        <v>10212</v>
      </c>
      <c r="K357" t="s">
        <v>10217</v>
      </c>
      <c r="M357" t="s">
        <v>10410</v>
      </c>
      <c r="N357" t="s">
        <v>10695</v>
      </c>
      <c r="P357" t="s">
        <v>10749</v>
      </c>
      <c r="Q357" t="s">
        <v>10765</v>
      </c>
      <c r="R357" t="s">
        <v>10823</v>
      </c>
      <c r="T357">
        <v>0</v>
      </c>
      <c r="U357">
        <v>0</v>
      </c>
      <c r="V357">
        <v>32</v>
      </c>
      <c r="W357">
        <v>1</v>
      </c>
      <c r="X357">
        <v>0</v>
      </c>
      <c r="Z357">
        <v>0</v>
      </c>
      <c r="AA357">
        <v>40.706039</v>
      </c>
      <c r="AB357">
        <v>-73.809662</v>
      </c>
      <c r="AD357" t="s">
        <v>10840</v>
      </c>
      <c r="AG357" t="s">
        <v>10858</v>
      </c>
      <c r="AH357" t="s">
        <v>10862</v>
      </c>
      <c r="AI357">
        <v>237</v>
      </c>
      <c r="AJ357" t="s">
        <v>10212</v>
      </c>
      <c r="AL357">
        <v>40</v>
      </c>
      <c r="AM357" t="s">
        <v>10890</v>
      </c>
      <c r="AN357" t="s">
        <v>10951</v>
      </c>
      <c r="AO357" t="s">
        <v>11022</v>
      </c>
      <c r="AP357" t="s">
        <v>11081</v>
      </c>
      <c r="AQ357" t="s">
        <v>11101</v>
      </c>
      <c r="AR357" t="s">
        <v>11267</v>
      </c>
      <c r="AS357" t="s">
        <v>11594</v>
      </c>
      <c r="BA357" t="s">
        <v>11738</v>
      </c>
      <c r="BB357">
        <v>0</v>
      </c>
      <c r="BC357">
        <v>0</v>
      </c>
      <c r="BD357">
        <v>0</v>
      </c>
      <c r="BE357">
        <v>0</v>
      </c>
      <c r="BF357">
        <v>5</v>
      </c>
      <c r="BG357">
        <v>0</v>
      </c>
    </row>
    <row r="358" spans="1:59">
      <c r="A358" s="1">
        <f>HYPERLINK("https://lsnyc.legalserver.org/matter/dynamic-profile/view/1904049","19-1904049")</f>
        <v>0</v>
      </c>
      <c r="B358" t="s">
        <v>375</v>
      </c>
      <c r="C358" t="s">
        <v>5297</v>
      </c>
      <c r="D358" t="s">
        <v>9926</v>
      </c>
      <c r="E358" t="s">
        <v>10075</v>
      </c>
      <c r="F358">
        <v>10457</v>
      </c>
      <c r="G358" t="s">
        <v>10090</v>
      </c>
      <c r="H358" t="s">
        <v>10094</v>
      </c>
      <c r="I358" t="s">
        <v>10169</v>
      </c>
      <c r="J358" t="s">
        <v>10210</v>
      </c>
      <c r="K358" t="s">
        <v>10217</v>
      </c>
      <c r="M358" t="s">
        <v>10316</v>
      </c>
      <c r="N358" t="s">
        <v>10651</v>
      </c>
      <c r="P358" t="s">
        <v>10749</v>
      </c>
      <c r="Q358" t="s">
        <v>10765</v>
      </c>
      <c r="R358" t="s">
        <v>10821</v>
      </c>
      <c r="T358">
        <v>27794</v>
      </c>
      <c r="U358">
        <v>2316.17</v>
      </c>
      <c r="V358">
        <v>24</v>
      </c>
      <c r="W358">
        <v>1</v>
      </c>
      <c r="X358">
        <v>1</v>
      </c>
      <c r="Z358">
        <v>164.36</v>
      </c>
      <c r="AA358">
        <v>40.849804</v>
      </c>
      <c r="AB358">
        <v>-73.89106</v>
      </c>
      <c r="AD358" t="s">
        <v>10839</v>
      </c>
      <c r="AF358" t="s">
        <v>10843</v>
      </c>
      <c r="AG358" t="s">
        <v>10859</v>
      </c>
      <c r="AH358" t="s">
        <v>10862</v>
      </c>
      <c r="AI358">
        <v>230</v>
      </c>
      <c r="AJ358" t="s">
        <v>10210</v>
      </c>
      <c r="AL358">
        <v>4.4</v>
      </c>
      <c r="AM358" t="s">
        <v>10884</v>
      </c>
      <c r="AN358" t="s">
        <v>10931</v>
      </c>
      <c r="AO358" t="s">
        <v>11000</v>
      </c>
      <c r="AP358" t="s">
        <v>11056</v>
      </c>
      <c r="AR358" t="s">
        <v>10180</v>
      </c>
      <c r="AS358" t="s">
        <v>9926</v>
      </c>
      <c r="AT358" t="s">
        <v>11641</v>
      </c>
      <c r="AU358" t="s">
        <v>11643</v>
      </c>
      <c r="AX358" t="s">
        <v>10838</v>
      </c>
      <c r="BA358" t="s">
        <v>11738</v>
      </c>
      <c r="BB358">
        <v>0</v>
      </c>
      <c r="BC358">
        <v>0</v>
      </c>
      <c r="BD358">
        <v>0</v>
      </c>
      <c r="BE358">
        <v>0</v>
      </c>
      <c r="BF358">
        <v>5</v>
      </c>
      <c r="BG358">
        <v>0</v>
      </c>
    </row>
    <row r="359" spans="1:59">
      <c r="A359" s="1">
        <f>HYPERLINK("https://lsnyc.legalserver.org/matter/dynamic-profile/view/1904050","19-1904050")</f>
        <v>0</v>
      </c>
      <c r="B359" t="s">
        <v>376</v>
      </c>
      <c r="C359" t="s">
        <v>5298</v>
      </c>
      <c r="D359" t="s">
        <v>9926</v>
      </c>
      <c r="E359" t="s">
        <v>10075</v>
      </c>
      <c r="F359">
        <v>10468</v>
      </c>
      <c r="G359" t="s">
        <v>10090</v>
      </c>
      <c r="H359" t="s">
        <v>10117</v>
      </c>
      <c r="I359" t="s">
        <v>10168</v>
      </c>
      <c r="J359" t="s">
        <v>10210</v>
      </c>
      <c r="K359" t="s">
        <v>10217</v>
      </c>
      <c r="M359" t="s">
        <v>10235</v>
      </c>
      <c r="N359" t="s">
        <v>10646</v>
      </c>
      <c r="P359" t="s">
        <v>10749</v>
      </c>
      <c r="Q359" t="s">
        <v>10765</v>
      </c>
      <c r="R359" t="s">
        <v>10823</v>
      </c>
      <c r="T359">
        <v>53000</v>
      </c>
      <c r="U359">
        <v>4416.67</v>
      </c>
      <c r="V359">
        <v>30</v>
      </c>
      <c r="W359">
        <v>1</v>
      </c>
      <c r="X359">
        <v>0</v>
      </c>
      <c r="Z359">
        <v>424.34</v>
      </c>
      <c r="AA359">
        <v>40.865495</v>
      </c>
      <c r="AB359">
        <v>-73.89588000000001</v>
      </c>
      <c r="AD359" t="s">
        <v>10839</v>
      </c>
      <c r="AG359" t="s">
        <v>10858</v>
      </c>
      <c r="AH359" t="s">
        <v>10861</v>
      </c>
      <c r="AI359">
        <v>230</v>
      </c>
      <c r="AJ359" t="s">
        <v>10210</v>
      </c>
      <c r="AL359">
        <v>1.8</v>
      </c>
      <c r="AM359" t="s">
        <v>10887</v>
      </c>
      <c r="AN359" t="s">
        <v>10907</v>
      </c>
      <c r="AO359" t="s">
        <v>11000</v>
      </c>
      <c r="AP359" t="s">
        <v>11045</v>
      </c>
      <c r="AR359" t="s">
        <v>11257</v>
      </c>
      <c r="AS359" t="s">
        <v>9926</v>
      </c>
      <c r="AT359" t="s">
        <v>11641</v>
      </c>
      <c r="AX359" t="s">
        <v>10838</v>
      </c>
      <c r="BA359" t="s">
        <v>11741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0</v>
      </c>
    </row>
    <row r="360" spans="1:59">
      <c r="A360" s="1">
        <f>HYPERLINK("https://lsnyc.legalserver.org/matter/dynamic-profile/view/1904051","19-1904051")</f>
        <v>0</v>
      </c>
      <c r="B360" t="s">
        <v>377</v>
      </c>
      <c r="C360" t="s">
        <v>5299</v>
      </c>
      <c r="D360" t="s">
        <v>9932</v>
      </c>
      <c r="E360" t="s">
        <v>10075</v>
      </c>
      <c r="F360">
        <v>11368</v>
      </c>
      <c r="G360" t="s">
        <v>10092</v>
      </c>
      <c r="H360" t="s">
        <v>10117</v>
      </c>
      <c r="I360" t="s">
        <v>10168</v>
      </c>
      <c r="J360" t="s">
        <v>10212</v>
      </c>
      <c r="K360" t="s">
        <v>10218</v>
      </c>
      <c r="L360" t="s">
        <v>10134</v>
      </c>
      <c r="M360" t="s">
        <v>10410</v>
      </c>
      <c r="N360" t="s">
        <v>10695</v>
      </c>
      <c r="P360" t="s">
        <v>10749</v>
      </c>
      <c r="Q360" t="s">
        <v>10765</v>
      </c>
      <c r="R360" t="s">
        <v>10824</v>
      </c>
      <c r="T360">
        <v>20000</v>
      </c>
      <c r="U360">
        <v>1666.67</v>
      </c>
      <c r="V360">
        <v>37</v>
      </c>
      <c r="W360">
        <v>1</v>
      </c>
      <c r="X360">
        <v>0</v>
      </c>
      <c r="Y360" t="s">
        <v>10831</v>
      </c>
      <c r="Z360">
        <v>160.13</v>
      </c>
      <c r="AA360">
        <v>40.741697</v>
      </c>
      <c r="AB360">
        <v>-73.850998</v>
      </c>
      <c r="AD360" t="s">
        <v>10839</v>
      </c>
      <c r="AG360" t="s">
        <v>10858</v>
      </c>
      <c r="AH360" t="s">
        <v>10862</v>
      </c>
      <c r="AI360">
        <v>237</v>
      </c>
      <c r="AJ360" t="s">
        <v>10212</v>
      </c>
      <c r="AK360" t="s">
        <v>10882</v>
      </c>
      <c r="AL360">
        <v>5.67</v>
      </c>
      <c r="AM360" t="s">
        <v>10885</v>
      </c>
      <c r="AN360" t="s">
        <v>10949</v>
      </c>
      <c r="AO360" t="s">
        <v>11014</v>
      </c>
      <c r="AP360" t="s">
        <v>11068</v>
      </c>
      <c r="AR360" t="s">
        <v>10180</v>
      </c>
      <c r="AS360" t="s">
        <v>11594</v>
      </c>
      <c r="AX360" t="s">
        <v>10838</v>
      </c>
      <c r="AY360" t="s">
        <v>10831</v>
      </c>
      <c r="AZ360" t="s">
        <v>11687</v>
      </c>
      <c r="BA360" t="s">
        <v>11738</v>
      </c>
      <c r="BB360">
        <v>0</v>
      </c>
      <c r="BC360">
        <v>0</v>
      </c>
      <c r="BD360">
        <v>0</v>
      </c>
      <c r="BE360">
        <v>0</v>
      </c>
      <c r="BF360">
        <v>5</v>
      </c>
      <c r="BG360">
        <v>0</v>
      </c>
    </row>
    <row r="361" spans="1:59">
      <c r="A361" s="1">
        <f>HYPERLINK("https://lsnyc.legalserver.org/matter/dynamic-profile/view/1904052","19-1904052")</f>
        <v>0</v>
      </c>
      <c r="B361" t="s">
        <v>378</v>
      </c>
      <c r="C361" t="s">
        <v>5300</v>
      </c>
      <c r="D361" t="s">
        <v>9928</v>
      </c>
      <c r="E361" t="s">
        <v>10075</v>
      </c>
      <c r="F361">
        <v>11203</v>
      </c>
      <c r="G361" t="s">
        <v>10093</v>
      </c>
      <c r="H361" t="s">
        <v>10117</v>
      </c>
      <c r="I361" t="s">
        <v>10168</v>
      </c>
      <c r="J361" t="s">
        <v>10213</v>
      </c>
      <c r="K361" t="s">
        <v>10217</v>
      </c>
      <c r="M361" t="s">
        <v>10411</v>
      </c>
      <c r="N361" t="s">
        <v>10650</v>
      </c>
      <c r="P361" t="s">
        <v>10749</v>
      </c>
      <c r="Q361" t="s">
        <v>10765</v>
      </c>
      <c r="R361" t="s">
        <v>10824</v>
      </c>
      <c r="T361">
        <v>38052</v>
      </c>
      <c r="U361">
        <v>3171</v>
      </c>
      <c r="V361">
        <v>49</v>
      </c>
      <c r="W361">
        <v>2</v>
      </c>
      <c r="X361">
        <v>0</v>
      </c>
      <c r="Z361">
        <v>225.03</v>
      </c>
      <c r="AA361">
        <v>40.658218</v>
      </c>
      <c r="AB361">
        <v>-73.929388</v>
      </c>
      <c r="AD361" t="s">
        <v>10839</v>
      </c>
      <c r="AG361" t="s">
        <v>10858</v>
      </c>
      <c r="AH361" t="s">
        <v>10862</v>
      </c>
      <c r="AI361">
        <v>239</v>
      </c>
      <c r="AJ361" t="s">
        <v>10213</v>
      </c>
      <c r="AL361">
        <v>29.5</v>
      </c>
      <c r="AM361" t="s">
        <v>10888</v>
      </c>
      <c r="AN361" t="s">
        <v>10925</v>
      </c>
      <c r="AO361" t="s">
        <v>11005</v>
      </c>
      <c r="AP361" t="s">
        <v>11064</v>
      </c>
      <c r="AQ361" t="s">
        <v>11120</v>
      </c>
      <c r="AR361" t="s">
        <v>11295</v>
      </c>
      <c r="AS361" t="s">
        <v>11595</v>
      </c>
      <c r="BA361" t="s">
        <v>11738</v>
      </c>
      <c r="BB361">
        <v>0</v>
      </c>
      <c r="BC361">
        <v>0</v>
      </c>
      <c r="BD361">
        <v>0</v>
      </c>
      <c r="BE361">
        <v>0</v>
      </c>
      <c r="BF361">
        <v>5</v>
      </c>
      <c r="BG361">
        <v>0</v>
      </c>
    </row>
    <row r="362" spans="1:59">
      <c r="A362" s="1">
        <f>HYPERLINK("https://lsnyc.legalserver.org/matter/dynamic-profile/view/1904053","19-1904053")</f>
        <v>0</v>
      </c>
      <c r="B362" t="s">
        <v>379</v>
      </c>
      <c r="C362" t="s">
        <v>5301</v>
      </c>
      <c r="D362" t="s">
        <v>9926</v>
      </c>
      <c r="E362" t="s">
        <v>10075</v>
      </c>
      <c r="F362">
        <v>10453</v>
      </c>
      <c r="G362" t="s">
        <v>10090</v>
      </c>
      <c r="H362" t="s">
        <v>10117</v>
      </c>
      <c r="I362" t="s">
        <v>10168</v>
      </c>
      <c r="J362" t="s">
        <v>10210</v>
      </c>
      <c r="K362" t="s">
        <v>10218</v>
      </c>
      <c r="L362" t="s">
        <v>10124</v>
      </c>
      <c r="M362" t="s">
        <v>10336</v>
      </c>
      <c r="N362" t="s">
        <v>10671</v>
      </c>
      <c r="P362" t="s">
        <v>10754</v>
      </c>
      <c r="Q362" t="s">
        <v>10798</v>
      </c>
      <c r="R362" t="s">
        <v>10824</v>
      </c>
      <c r="T362">
        <v>1788</v>
      </c>
      <c r="U362">
        <v>149</v>
      </c>
      <c r="V362">
        <v>52</v>
      </c>
      <c r="W362">
        <v>1</v>
      </c>
      <c r="X362">
        <v>0</v>
      </c>
      <c r="Y362" t="s">
        <v>10829</v>
      </c>
      <c r="Z362">
        <v>14.32</v>
      </c>
      <c r="AA362">
        <v>40.85811</v>
      </c>
      <c r="AB362">
        <v>-73.906098</v>
      </c>
      <c r="AD362" t="s">
        <v>10840</v>
      </c>
      <c r="AG362" t="s">
        <v>10858</v>
      </c>
      <c r="AH362" t="s">
        <v>10861</v>
      </c>
      <c r="AI362">
        <v>234</v>
      </c>
      <c r="AJ362" t="s">
        <v>10214</v>
      </c>
      <c r="AK362" t="s">
        <v>10882</v>
      </c>
      <c r="AL362">
        <v>1.75</v>
      </c>
      <c r="AM362" t="s">
        <v>10884</v>
      </c>
      <c r="AN362" t="s">
        <v>10931</v>
      </c>
      <c r="AO362" t="s">
        <v>11000</v>
      </c>
      <c r="AP362" t="s">
        <v>11045</v>
      </c>
      <c r="AR362" t="s">
        <v>11255</v>
      </c>
      <c r="AS362" t="s">
        <v>9926</v>
      </c>
      <c r="AT362" t="s">
        <v>11642</v>
      </c>
      <c r="AX362" t="s">
        <v>10838</v>
      </c>
      <c r="AY362" t="s">
        <v>10829</v>
      </c>
      <c r="AZ362" t="s">
        <v>11683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</row>
    <row r="363" spans="1:59">
      <c r="A363" s="1">
        <f>HYPERLINK("https://lsnyc.legalserver.org/matter/dynamic-profile/view/1904054","19-1904054")</f>
        <v>0</v>
      </c>
      <c r="B363" t="s">
        <v>380</v>
      </c>
      <c r="C363" t="s">
        <v>5302</v>
      </c>
      <c r="D363" t="s">
        <v>9926</v>
      </c>
      <c r="E363" t="s">
        <v>10075</v>
      </c>
      <c r="F363">
        <v>10468</v>
      </c>
      <c r="G363" t="s">
        <v>10090</v>
      </c>
      <c r="H363" t="s">
        <v>10117</v>
      </c>
      <c r="I363" t="s">
        <v>10169</v>
      </c>
      <c r="J363" t="s">
        <v>10210</v>
      </c>
      <c r="K363" t="s">
        <v>10217</v>
      </c>
      <c r="M363" t="s">
        <v>10399</v>
      </c>
      <c r="N363" t="s">
        <v>10651</v>
      </c>
      <c r="P363" t="s">
        <v>10749</v>
      </c>
      <c r="Q363" t="s">
        <v>10765</v>
      </c>
      <c r="R363" t="s">
        <v>10823</v>
      </c>
      <c r="T363">
        <v>25560</v>
      </c>
      <c r="U363">
        <v>2130</v>
      </c>
      <c r="V363">
        <v>63</v>
      </c>
      <c r="W363">
        <v>1</v>
      </c>
      <c r="X363">
        <v>0</v>
      </c>
      <c r="Z363">
        <v>204.64</v>
      </c>
      <c r="AA363">
        <v>40.861158</v>
      </c>
      <c r="AB363">
        <v>-73.908517</v>
      </c>
      <c r="AD363" t="s">
        <v>10840</v>
      </c>
      <c r="AG363" t="s">
        <v>10858</v>
      </c>
      <c r="AH363" t="s">
        <v>10861</v>
      </c>
      <c r="AI363">
        <v>230</v>
      </c>
      <c r="AJ363" t="s">
        <v>10210</v>
      </c>
      <c r="AL363">
        <v>6.5</v>
      </c>
      <c r="AM363" t="s">
        <v>10887</v>
      </c>
      <c r="AN363" t="s">
        <v>10931</v>
      </c>
      <c r="AO363" t="s">
        <v>11000</v>
      </c>
      <c r="AP363" t="s">
        <v>11045</v>
      </c>
      <c r="AR363" t="s">
        <v>11270</v>
      </c>
      <c r="AS363" t="s">
        <v>9926</v>
      </c>
      <c r="AT363" t="s">
        <v>11642</v>
      </c>
      <c r="AX363" t="s">
        <v>10838</v>
      </c>
      <c r="BA363" t="s">
        <v>11738</v>
      </c>
      <c r="BB363">
        <v>0</v>
      </c>
      <c r="BC363">
        <v>0</v>
      </c>
      <c r="BD363">
        <v>0</v>
      </c>
      <c r="BE363">
        <v>0</v>
      </c>
      <c r="BF363">
        <v>5</v>
      </c>
      <c r="BG363">
        <v>0</v>
      </c>
    </row>
    <row r="364" spans="1:59">
      <c r="A364" s="1">
        <f>HYPERLINK("https://lsnyc.legalserver.org/matter/dynamic-profile/view/1904055","19-1904055")</f>
        <v>0</v>
      </c>
      <c r="B364" t="s">
        <v>381</v>
      </c>
      <c r="C364" t="s">
        <v>5303</v>
      </c>
      <c r="D364" t="s">
        <v>9925</v>
      </c>
      <c r="E364" t="s">
        <v>10075</v>
      </c>
      <c r="F364">
        <v>10002</v>
      </c>
      <c r="G364" t="s">
        <v>10090</v>
      </c>
      <c r="H364" t="s">
        <v>10117</v>
      </c>
      <c r="I364" t="s">
        <v>10169</v>
      </c>
      <c r="J364" t="s">
        <v>10210</v>
      </c>
      <c r="K364" t="s">
        <v>10217</v>
      </c>
      <c r="M364" t="s">
        <v>10412</v>
      </c>
      <c r="N364" t="s">
        <v>10708</v>
      </c>
      <c r="P364" t="s">
        <v>10754</v>
      </c>
      <c r="Q364" t="s">
        <v>10777</v>
      </c>
      <c r="R364" t="s">
        <v>10821</v>
      </c>
      <c r="T364">
        <v>0</v>
      </c>
      <c r="U364">
        <v>0</v>
      </c>
      <c r="V364">
        <v>38</v>
      </c>
      <c r="W364">
        <v>1</v>
      </c>
      <c r="X364">
        <v>2</v>
      </c>
      <c r="Z364">
        <v>0</v>
      </c>
      <c r="AA364">
        <v>40.718035</v>
      </c>
      <c r="AB364">
        <v>-73.975514</v>
      </c>
      <c r="AD364" t="s">
        <v>10839</v>
      </c>
      <c r="AF364" t="s">
        <v>10843</v>
      </c>
      <c r="AG364" t="s">
        <v>10858</v>
      </c>
      <c r="AH364" t="s">
        <v>10864</v>
      </c>
      <c r="AI364">
        <v>230</v>
      </c>
      <c r="AJ364" t="s">
        <v>10210</v>
      </c>
      <c r="AL364">
        <v>5.65</v>
      </c>
      <c r="AM364" t="s">
        <v>10886</v>
      </c>
      <c r="AN364" t="s">
        <v>10910</v>
      </c>
      <c r="AO364" t="s">
        <v>11004</v>
      </c>
      <c r="AP364" t="s">
        <v>11048</v>
      </c>
      <c r="AQ364" t="s">
        <v>11128</v>
      </c>
      <c r="AR364" t="s">
        <v>11267</v>
      </c>
      <c r="AS364" t="s">
        <v>9925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</row>
    <row r="365" spans="1:59">
      <c r="A365" s="1">
        <f>HYPERLINK("https://lsnyc.legalserver.org/matter/dynamic-profile/view/1904056","19-1904056")</f>
        <v>0</v>
      </c>
      <c r="B365" t="s">
        <v>382</v>
      </c>
      <c r="C365" t="s">
        <v>5304</v>
      </c>
      <c r="D365" t="s">
        <v>9928</v>
      </c>
      <c r="E365" t="s">
        <v>10075</v>
      </c>
      <c r="F365">
        <v>11205</v>
      </c>
      <c r="G365" t="s">
        <v>10091</v>
      </c>
      <c r="H365" t="s">
        <v>10117</v>
      </c>
      <c r="I365" t="s">
        <v>10168</v>
      </c>
      <c r="J365" t="s">
        <v>10214</v>
      </c>
      <c r="K365" t="s">
        <v>10217</v>
      </c>
      <c r="M365" t="s">
        <v>10286</v>
      </c>
      <c r="N365" t="s">
        <v>10671</v>
      </c>
      <c r="P365" t="s">
        <v>10751</v>
      </c>
      <c r="Q365" t="s">
        <v>10768</v>
      </c>
      <c r="R365" t="s">
        <v>10824</v>
      </c>
      <c r="T365">
        <v>23400</v>
      </c>
      <c r="U365">
        <v>1950</v>
      </c>
      <c r="V365">
        <v>49</v>
      </c>
      <c r="W365">
        <v>1</v>
      </c>
      <c r="X365">
        <v>0</v>
      </c>
      <c r="Z365">
        <v>187.35</v>
      </c>
      <c r="AA365">
        <v>40.691675</v>
      </c>
      <c r="AB365">
        <v>-73.965754</v>
      </c>
      <c r="AD365" t="s">
        <v>10839</v>
      </c>
      <c r="AG365" t="s">
        <v>10858</v>
      </c>
      <c r="AH365" t="s">
        <v>10871</v>
      </c>
      <c r="AI365">
        <v>234</v>
      </c>
      <c r="AJ365" t="s">
        <v>10214</v>
      </c>
      <c r="AL365">
        <v>1</v>
      </c>
      <c r="AM365" t="s">
        <v>10889</v>
      </c>
      <c r="AN365" t="s">
        <v>10923</v>
      </c>
      <c r="AO365" t="s">
        <v>11007</v>
      </c>
      <c r="AP365" t="s">
        <v>11061</v>
      </c>
      <c r="AR365" t="s">
        <v>11257</v>
      </c>
      <c r="AS365" t="s">
        <v>11595</v>
      </c>
      <c r="AT365" t="s">
        <v>11641</v>
      </c>
      <c r="AX365" t="s">
        <v>10838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</row>
    <row r="366" spans="1:59">
      <c r="A366" s="1">
        <f>HYPERLINK("https://lsnyc.legalserver.org/matter/dynamic-profile/view/1904057","19-1904057")</f>
        <v>0</v>
      </c>
      <c r="B366" t="s">
        <v>383</v>
      </c>
      <c r="C366" t="s">
        <v>5305</v>
      </c>
      <c r="D366" t="s">
        <v>9925</v>
      </c>
      <c r="E366" t="s">
        <v>10075</v>
      </c>
      <c r="F366">
        <v>10034</v>
      </c>
      <c r="G366" t="s">
        <v>10089</v>
      </c>
      <c r="H366" t="s">
        <v>10117</v>
      </c>
      <c r="I366" t="s">
        <v>10168</v>
      </c>
      <c r="J366" t="s">
        <v>10209</v>
      </c>
      <c r="K366" t="s">
        <v>10217</v>
      </c>
      <c r="M366" t="s">
        <v>10288</v>
      </c>
      <c r="N366" t="s">
        <v>10665</v>
      </c>
      <c r="P366" t="s">
        <v>10750</v>
      </c>
      <c r="Q366" t="s">
        <v>10799</v>
      </c>
      <c r="R366" t="s">
        <v>10827</v>
      </c>
      <c r="T366">
        <v>9600</v>
      </c>
      <c r="U366">
        <v>800</v>
      </c>
      <c r="V366">
        <v>53</v>
      </c>
      <c r="W366">
        <v>2</v>
      </c>
      <c r="X366">
        <v>0</v>
      </c>
      <c r="Z366">
        <v>56.77</v>
      </c>
      <c r="AA366">
        <v>40.872145</v>
      </c>
      <c r="AB366">
        <v>-73.92128599999999</v>
      </c>
      <c r="AD366" t="s">
        <v>10839</v>
      </c>
      <c r="AG366" t="s">
        <v>10858</v>
      </c>
      <c r="AH366" t="s">
        <v>10861</v>
      </c>
      <c r="AI366">
        <v>234</v>
      </c>
      <c r="AJ366" t="s">
        <v>10214</v>
      </c>
      <c r="AL366">
        <v>2</v>
      </c>
      <c r="AR366" t="s">
        <v>11257</v>
      </c>
      <c r="AS366" t="s">
        <v>9925</v>
      </c>
      <c r="AT366" t="s">
        <v>11641</v>
      </c>
      <c r="AX366" t="s">
        <v>10838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</row>
    <row r="367" spans="1:59">
      <c r="A367" s="1">
        <f>HYPERLINK("https://lsnyc.legalserver.org/matter/dynamic-profile/view/1904058","19-1904058")</f>
        <v>0</v>
      </c>
      <c r="B367" t="s">
        <v>384</v>
      </c>
      <c r="C367" t="s">
        <v>5306</v>
      </c>
      <c r="D367" t="s">
        <v>9928</v>
      </c>
      <c r="E367" t="s">
        <v>10075</v>
      </c>
      <c r="F367">
        <v>11203</v>
      </c>
      <c r="G367" t="s">
        <v>10093</v>
      </c>
      <c r="H367" t="s">
        <v>10117</v>
      </c>
      <c r="I367" t="s">
        <v>10168</v>
      </c>
      <c r="J367" t="s">
        <v>10213</v>
      </c>
      <c r="K367" t="s">
        <v>10218</v>
      </c>
      <c r="L367" t="s">
        <v>10109</v>
      </c>
      <c r="M367" t="s">
        <v>10317</v>
      </c>
      <c r="N367" t="s">
        <v>10671</v>
      </c>
      <c r="P367" t="s">
        <v>10751</v>
      </c>
      <c r="Q367" t="s">
        <v>10761</v>
      </c>
      <c r="R367" t="s">
        <v>10824</v>
      </c>
      <c r="T367">
        <v>31590</v>
      </c>
      <c r="U367">
        <v>2632.5</v>
      </c>
      <c r="V367">
        <v>56</v>
      </c>
      <c r="W367">
        <v>3</v>
      </c>
      <c r="X367">
        <v>1</v>
      </c>
      <c r="Y367" t="s">
        <v>10829</v>
      </c>
      <c r="Z367">
        <v>122.68</v>
      </c>
      <c r="AA367">
        <v>40.649346</v>
      </c>
      <c r="AB367">
        <v>-73.921711</v>
      </c>
      <c r="AD367" t="s">
        <v>10839</v>
      </c>
      <c r="AG367" t="s">
        <v>10858</v>
      </c>
      <c r="AH367" t="s">
        <v>10861</v>
      </c>
      <c r="AI367">
        <v>234</v>
      </c>
      <c r="AJ367" t="s">
        <v>10214</v>
      </c>
      <c r="AK367" t="s">
        <v>10882</v>
      </c>
      <c r="AL367">
        <v>2.95</v>
      </c>
      <c r="AM367" t="s">
        <v>10888</v>
      </c>
      <c r="AN367" t="s">
        <v>10925</v>
      </c>
      <c r="AO367" t="s">
        <v>11008</v>
      </c>
      <c r="AP367" t="s">
        <v>11065</v>
      </c>
      <c r="AR367" t="s">
        <v>11257</v>
      </c>
      <c r="AS367" t="s">
        <v>11595</v>
      </c>
      <c r="AT367" t="s">
        <v>11641</v>
      </c>
      <c r="AX367" t="s">
        <v>10838</v>
      </c>
      <c r="AY367" t="s">
        <v>10829</v>
      </c>
      <c r="AZ367" t="s">
        <v>11682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</row>
    <row r="368" spans="1:59">
      <c r="A368" s="1">
        <f>HYPERLINK("https://lsnyc.legalserver.org/matter/dynamic-profile/view/1904059","19-1904059")</f>
        <v>0</v>
      </c>
      <c r="B368" t="s">
        <v>385</v>
      </c>
      <c r="C368" t="s">
        <v>5307</v>
      </c>
      <c r="D368" t="s">
        <v>9926</v>
      </c>
      <c r="E368" t="s">
        <v>10075</v>
      </c>
      <c r="F368">
        <v>10458</v>
      </c>
      <c r="G368" t="s">
        <v>10089</v>
      </c>
      <c r="H368" t="s">
        <v>10117</v>
      </c>
      <c r="I368" t="s">
        <v>10168</v>
      </c>
      <c r="J368" t="s">
        <v>10209</v>
      </c>
      <c r="K368" t="s">
        <v>10218</v>
      </c>
      <c r="L368" t="s">
        <v>10107</v>
      </c>
      <c r="M368" t="s">
        <v>10229</v>
      </c>
      <c r="N368" t="s">
        <v>10645</v>
      </c>
      <c r="P368" t="s">
        <v>10750</v>
      </c>
      <c r="Q368" t="s">
        <v>10779</v>
      </c>
      <c r="R368" t="s">
        <v>10824</v>
      </c>
      <c r="T368">
        <v>480</v>
      </c>
      <c r="U368">
        <v>40</v>
      </c>
      <c r="V368">
        <v>56</v>
      </c>
      <c r="W368">
        <v>1</v>
      </c>
      <c r="X368">
        <v>0</v>
      </c>
      <c r="Y368" t="s">
        <v>10829</v>
      </c>
      <c r="Z368">
        <v>3.84</v>
      </c>
      <c r="AA368">
        <v>40.863101</v>
      </c>
      <c r="AB368">
        <v>-73.891109</v>
      </c>
      <c r="AD368" t="s">
        <v>10839</v>
      </c>
      <c r="AG368" t="s">
        <v>10858</v>
      </c>
      <c r="AH368" t="s">
        <v>10871</v>
      </c>
      <c r="AI368">
        <v>234</v>
      </c>
      <c r="AJ368" t="s">
        <v>10214</v>
      </c>
      <c r="AK368" t="s">
        <v>10838</v>
      </c>
      <c r="AL368">
        <v>4.65</v>
      </c>
      <c r="AM368" t="s">
        <v>10887</v>
      </c>
      <c r="AN368" t="s">
        <v>10907</v>
      </c>
      <c r="AO368" t="s">
        <v>11000</v>
      </c>
      <c r="AP368" t="s">
        <v>11056</v>
      </c>
      <c r="AQ368" t="s">
        <v>11095</v>
      </c>
      <c r="AR368" t="s">
        <v>11260</v>
      </c>
      <c r="AS368" t="s">
        <v>9926</v>
      </c>
      <c r="AT368" t="s">
        <v>11641</v>
      </c>
      <c r="AX368" t="s">
        <v>10838</v>
      </c>
      <c r="AY368" t="s">
        <v>10829</v>
      </c>
      <c r="AZ368" t="s">
        <v>11679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</row>
    <row r="369" spans="1:59">
      <c r="A369" s="1">
        <f>HYPERLINK("https://lsnyc.legalserver.org/matter/dynamic-profile/view/1904060","19-1904060")</f>
        <v>0</v>
      </c>
      <c r="B369" t="s">
        <v>386</v>
      </c>
      <c r="C369" t="s">
        <v>5308</v>
      </c>
      <c r="D369" t="s">
        <v>9928</v>
      </c>
      <c r="E369" t="s">
        <v>10075</v>
      </c>
      <c r="F369">
        <v>11226</v>
      </c>
      <c r="G369" t="s">
        <v>10091</v>
      </c>
      <c r="H369" t="s">
        <v>10117</v>
      </c>
      <c r="I369" t="s">
        <v>10168</v>
      </c>
      <c r="J369" t="s">
        <v>10214</v>
      </c>
      <c r="K369" t="s">
        <v>10217</v>
      </c>
      <c r="M369" t="s">
        <v>10286</v>
      </c>
      <c r="N369" t="s">
        <v>10671</v>
      </c>
      <c r="P369" t="s">
        <v>10749</v>
      </c>
      <c r="Q369" t="s">
        <v>10765</v>
      </c>
      <c r="R369" t="s">
        <v>10824</v>
      </c>
      <c r="T369">
        <v>9516</v>
      </c>
      <c r="U369">
        <v>793</v>
      </c>
      <c r="V369">
        <v>74</v>
      </c>
      <c r="W369">
        <v>1</v>
      </c>
      <c r="X369">
        <v>0</v>
      </c>
      <c r="Z369">
        <v>76.19</v>
      </c>
      <c r="AA369">
        <v>40.65103</v>
      </c>
      <c r="AB369">
        <v>-73.962502</v>
      </c>
      <c r="AD369" t="s">
        <v>10839</v>
      </c>
      <c r="AG369" t="s">
        <v>10858</v>
      </c>
      <c r="AH369" t="s">
        <v>10861</v>
      </c>
      <c r="AI369">
        <v>234</v>
      </c>
      <c r="AJ369" t="s">
        <v>10214</v>
      </c>
      <c r="AL369">
        <v>1.2</v>
      </c>
      <c r="AM369" t="s">
        <v>10888</v>
      </c>
      <c r="AN369" t="s">
        <v>10932</v>
      </c>
      <c r="AO369" t="s">
        <v>11008</v>
      </c>
      <c r="AP369" t="s">
        <v>11050</v>
      </c>
      <c r="AR369" t="s">
        <v>11316</v>
      </c>
      <c r="AS369" t="s">
        <v>11595</v>
      </c>
      <c r="AT369" t="s">
        <v>11641</v>
      </c>
      <c r="AX369" t="s">
        <v>10838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</row>
    <row r="370" spans="1:59">
      <c r="A370" s="1">
        <f>HYPERLINK("https://lsnyc.legalserver.org/matter/dynamic-profile/view/1904061","19-1904061")</f>
        <v>0</v>
      </c>
      <c r="B370" t="s">
        <v>387</v>
      </c>
      <c r="C370" t="s">
        <v>5309</v>
      </c>
      <c r="D370" t="s">
        <v>9958</v>
      </c>
      <c r="E370" t="s">
        <v>10075</v>
      </c>
      <c r="F370">
        <v>11580</v>
      </c>
      <c r="G370" t="s">
        <v>10092</v>
      </c>
      <c r="H370" t="s">
        <v>10117</v>
      </c>
      <c r="I370" t="s">
        <v>10169</v>
      </c>
      <c r="J370" t="s">
        <v>10212</v>
      </c>
      <c r="K370" t="s">
        <v>10217</v>
      </c>
      <c r="M370" t="s">
        <v>10413</v>
      </c>
      <c r="N370" t="s">
        <v>10709</v>
      </c>
      <c r="P370" t="s">
        <v>10754</v>
      </c>
      <c r="Q370" t="s">
        <v>10766</v>
      </c>
      <c r="R370" t="s">
        <v>10821</v>
      </c>
      <c r="T370">
        <v>20000</v>
      </c>
      <c r="U370">
        <v>1666.67</v>
      </c>
      <c r="V370">
        <v>28</v>
      </c>
      <c r="W370">
        <v>1</v>
      </c>
      <c r="X370">
        <v>1</v>
      </c>
      <c r="Z370">
        <v>118.27</v>
      </c>
      <c r="AA370">
        <v>40.668438</v>
      </c>
      <c r="AB370">
        <v>-73.703169</v>
      </c>
      <c r="AD370" t="s">
        <v>10839</v>
      </c>
      <c r="AF370" t="s">
        <v>10842</v>
      </c>
      <c r="AG370" t="s">
        <v>10859</v>
      </c>
      <c r="AH370" t="s">
        <v>10865</v>
      </c>
      <c r="AI370">
        <v>237</v>
      </c>
      <c r="AJ370" t="s">
        <v>10212</v>
      </c>
      <c r="AL370">
        <v>32.25</v>
      </c>
      <c r="AM370" t="s">
        <v>10892</v>
      </c>
      <c r="AN370" t="s">
        <v>10967</v>
      </c>
      <c r="AO370" t="s">
        <v>11025</v>
      </c>
      <c r="AR370" t="s">
        <v>11257</v>
      </c>
      <c r="AS370" t="s">
        <v>11594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</row>
    <row r="371" spans="1:59">
      <c r="A371" s="1">
        <f>HYPERLINK("https://lsnyc.legalserver.org/matter/dynamic-profile/view/1904062","19-1904062")</f>
        <v>0</v>
      </c>
      <c r="B371" t="s">
        <v>388</v>
      </c>
      <c r="C371" t="s">
        <v>5310</v>
      </c>
      <c r="D371" t="s">
        <v>9925</v>
      </c>
      <c r="E371" t="s">
        <v>10075</v>
      </c>
      <c r="F371">
        <v>10030</v>
      </c>
      <c r="G371" t="s">
        <v>10089</v>
      </c>
      <c r="H371" t="s">
        <v>10117</v>
      </c>
      <c r="I371" t="s">
        <v>10168</v>
      </c>
      <c r="J371" t="s">
        <v>10209</v>
      </c>
      <c r="K371" t="s">
        <v>10217</v>
      </c>
      <c r="M371" t="s">
        <v>10301</v>
      </c>
      <c r="N371" t="s">
        <v>10665</v>
      </c>
      <c r="P371" t="s">
        <v>10751</v>
      </c>
      <c r="Q371" t="s">
        <v>10773</v>
      </c>
      <c r="R371" t="s">
        <v>10824</v>
      </c>
      <c r="T371">
        <v>0</v>
      </c>
      <c r="U371">
        <v>0</v>
      </c>
      <c r="V371">
        <v>48</v>
      </c>
      <c r="W371">
        <v>1</v>
      </c>
      <c r="X371">
        <v>0</v>
      </c>
      <c r="Z371">
        <v>0</v>
      </c>
      <c r="AA371">
        <v>40.816975</v>
      </c>
      <c r="AB371">
        <v>-73.940288</v>
      </c>
      <c r="AD371" t="s">
        <v>10839</v>
      </c>
      <c r="AG371" t="s">
        <v>10858</v>
      </c>
      <c r="AH371" t="s">
        <v>10861</v>
      </c>
      <c r="AI371">
        <v>234</v>
      </c>
      <c r="AJ371" t="s">
        <v>10214</v>
      </c>
      <c r="AL371">
        <v>5.2</v>
      </c>
      <c r="AM371" t="s">
        <v>10887</v>
      </c>
      <c r="AN371" t="s">
        <v>10936</v>
      </c>
      <c r="AO371" t="s">
        <v>11016</v>
      </c>
      <c r="AP371" t="s">
        <v>11076</v>
      </c>
      <c r="AQ371" t="s">
        <v>11115</v>
      </c>
      <c r="AR371" t="s">
        <v>11267</v>
      </c>
      <c r="AS371" t="s">
        <v>9925</v>
      </c>
      <c r="AT371" t="s">
        <v>11641</v>
      </c>
      <c r="AX371" t="s">
        <v>10838</v>
      </c>
      <c r="BA371" t="s">
        <v>11741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0</v>
      </c>
    </row>
    <row r="372" spans="1:59">
      <c r="A372" s="1">
        <f>HYPERLINK("https://lsnyc.legalserver.org/matter/dynamic-profile/view/1904063","19-1904063")</f>
        <v>0</v>
      </c>
      <c r="B372" t="s">
        <v>389</v>
      </c>
      <c r="C372" t="s">
        <v>5311</v>
      </c>
      <c r="D372" t="s">
        <v>9926</v>
      </c>
      <c r="E372" t="s">
        <v>10075</v>
      </c>
      <c r="F372">
        <v>10457</v>
      </c>
      <c r="G372" t="s">
        <v>10090</v>
      </c>
      <c r="H372" t="s">
        <v>10117</v>
      </c>
      <c r="I372" t="s">
        <v>10168</v>
      </c>
      <c r="J372" t="s">
        <v>10210</v>
      </c>
      <c r="K372" t="s">
        <v>10217</v>
      </c>
      <c r="M372" t="s">
        <v>10306</v>
      </c>
      <c r="N372" t="s">
        <v>10651</v>
      </c>
      <c r="P372" t="s">
        <v>10749</v>
      </c>
      <c r="Q372" t="s">
        <v>10765</v>
      </c>
      <c r="R372" t="s">
        <v>10821</v>
      </c>
      <c r="T372">
        <v>15600</v>
      </c>
      <c r="U372">
        <v>1300</v>
      </c>
      <c r="V372">
        <v>43</v>
      </c>
      <c r="W372">
        <v>1</v>
      </c>
      <c r="X372">
        <v>1</v>
      </c>
      <c r="Z372">
        <v>92.25</v>
      </c>
      <c r="AA372">
        <v>40.855059</v>
      </c>
      <c r="AB372">
        <v>-73.893822</v>
      </c>
      <c r="AD372" t="s">
        <v>10839</v>
      </c>
      <c r="AG372" t="s">
        <v>10858</v>
      </c>
      <c r="AH372" t="s">
        <v>10861</v>
      </c>
      <c r="AI372">
        <v>230</v>
      </c>
      <c r="AJ372" t="s">
        <v>10210</v>
      </c>
      <c r="AL372">
        <v>9</v>
      </c>
      <c r="AM372" t="s">
        <v>10884</v>
      </c>
      <c r="AN372" t="s">
        <v>10931</v>
      </c>
      <c r="AO372" t="s">
        <v>11000</v>
      </c>
      <c r="AP372" t="s">
        <v>11056</v>
      </c>
      <c r="AR372" t="s">
        <v>11257</v>
      </c>
      <c r="AS372" t="s">
        <v>9926</v>
      </c>
      <c r="AT372" t="s">
        <v>11641</v>
      </c>
      <c r="AX372" t="s">
        <v>10838</v>
      </c>
      <c r="BA372" t="s">
        <v>11738</v>
      </c>
      <c r="BB372">
        <v>0</v>
      </c>
      <c r="BC372">
        <v>0</v>
      </c>
      <c r="BD372">
        <v>0</v>
      </c>
      <c r="BE372">
        <v>0</v>
      </c>
      <c r="BF372">
        <v>5</v>
      </c>
      <c r="BG372">
        <v>0</v>
      </c>
    </row>
    <row r="373" spans="1:59">
      <c r="A373" s="1">
        <f>HYPERLINK("https://lsnyc.legalserver.org/matter/dynamic-profile/view/1904064","19-1904064")</f>
        <v>0</v>
      </c>
      <c r="B373" t="s">
        <v>390</v>
      </c>
      <c r="C373" t="s">
        <v>5312</v>
      </c>
      <c r="D373" t="s">
        <v>9939</v>
      </c>
      <c r="E373" t="s">
        <v>10075</v>
      </c>
      <c r="F373">
        <v>11419</v>
      </c>
      <c r="G373" t="s">
        <v>10092</v>
      </c>
      <c r="H373" t="s">
        <v>10117</v>
      </c>
      <c r="I373" t="s">
        <v>10168</v>
      </c>
      <c r="J373" t="s">
        <v>10212</v>
      </c>
      <c r="K373" t="s">
        <v>10217</v>
      </c>
      <c r="M373" t="s">
        <v>10410</v>
      </c>
      <c r="N373" t="s">
        <v>10695</v>
      </c>
      <c r="P373" t="s">
        <v>10749</v>
      </c>
      <c r="Q373" t="s">
        <v>10765</v>
      </c>
      <c r="R373" t="s">
        <v>10825</v>
      </c>
      <c r="T373">
        <v>8760</v>
      </c>
      <c r="U373">
        <v>730</v>
      </c>
      <c r="V373">
        <v>67</v>
      </c>
      <c r="W373">
        <v>1</v>
      </c>
      <c r="X373">
        <v>0</v>
      </c>
      <c r="Z373">
        <v>70.14</v>
      </c>
      <c r="AA373">
        <v>40.688753</v>
      </c>
      <c r="AB373">
        <v>-73.81893700000001</v>
      </c>
      <c r="AC373" t="s">
        <v>10837</v>
      </c>
      <c r="AD373" t="s">
        <v>10839</v>
      </c>
      <c r="AG373" t="s">
        <v>10858</v>
      </c>
      <c r="AH373" t="s">
        <v>10862</v>
      </c>
      <c r="AI373">
        <v>237</v>
      </c>
      <c r="AJ373" t="s">
        <v>10212</v>
      </c>
      <c r="AL373">
        <v>0.6</v>
      </c>
      <c r="AM373" t="s">
        <v>10892</v>
      </c>
      <c r="AN373" t="s">
        <v>10944</v>
      </c>
      <c r="AO373" t="s">
        <v>11017</v>
      </c>
      <c r="AP373" t="s">
        <v>11070</v>
      </c>
      <c r="AR373" t="s">
        <v>11258</v>
      </c>
      <c r="AS373" t="s">
        <v>11594</v>
      </c>
      <c r="BA373" t="s">
        <v>11741</v>
      </c>
      <c r="BB373">
        <v>0</v>
      </c>
      <c r="BC373">
        <v>0</v>
      </c>
      <c r="BD373">
        <v>0</v>
      </c>
      <c r="BE373">
        <v>0</v>
      </c>
      <c r="BF373">
        <v>1</v>
      </c>
      <c r="BG373">
        <v>0</v>
      </c>
    </row>
    <row r="374" spans="1:59">
      <c r="A374" s="1">
        <f>HYPERLINK("https://lsnyc.legalserver.org/matter/dynamic-profile/view/1904065","19-1904065")</f>
        <v>0</v>
      </c>
      <c r="B374" t="s">
        <v>375</v>
      </c>
      <c r="C374" t="s">
        <v>5297</v>
      </c>
      <c r="D374" t="s">
        <v>9926</v>
      </c>
      <c r="E374" t="s">
        <v>10075</v>
      </c>
      <c r="F374">
        <v>10457</v>
      </c>
      <c r="G374" t="s">
        <v>10090</v>
      </c>
      <c r="H374" t="s">
        <v>10117</v>
      </c>
      <c r="I374" t="s">
        <v>10169</v>
      </c>
      <c r="J374" t="s">
        <v>10210</v>
      </c>
      <c r="K374" t="s">
        <v>10217</v>
      </c>
      <c r="M374" t="s">
        <v>10316</v>
      </c>
      <c r="N374" t="s">
        <v>10671</v>
      </c>
      <c r="P374" t="s">
        <v>10751</v>
      </c>
      <c r="Q374" t="s">
        <v>10761</v>
      </c>
      <c r="R374" t="s">
        <v>10821</v>
      </c>
      <c r="T374">
        <v>27794</v>
      </c>
      <c r="U374">
        <v>2316.17</v>
      </c>
      <c r="V374">
        <v>24</v>
      </c>
      <c r="W374">
        <v>1</v>
      </c>
      <c r="X374">
        <v>1</v>
      </c>
      <c r="Z374">
        <v>164.36</v>
      </c>
      <c r="AA374">
        <v>40.849804</v>
      </c>
      <c r="AB374">
        <v>-73.89106</v>
      </c>
      <c r="AD374" t="s">
        <v>10839</v>
      </c>
      <c r="AF374" t="s">
        <v>10843</v>
      </c>
      <c r="AG374" t="s">
        <v>10859</v>
      </c>
      <c r="AH374" t="s">
        <v>10862</v>
      </c>
      <c r="AI374">
        <v>230</v>
      </c>
      <c r="AJ374" t="s">
        <v>10210</v>
      </c>
      <c r="AL374">
        <v>0.5</v>
      </c>
      <c r="AM374" t="s">
        <v>10884</v>
      </c>
      <c r="AN374" t="s">
        <v>10931</v>
      </c>
      <c r="AO374" t="s">
        <v>11000</v>
      </c>
      <c r="AP374" t="s">
        <v>11056</v>
      </c>
      <c r="AR374" t="s">
        <v>10180</v>
      </c>
      <c r="AS374" t="s">
        <v>9926</v>
      </c>
      <c r="AT374" t="s">
        <v>11641</v>
      </c>
      <c r="AU374" t="s">
        <v>11643</v>
      </c>
      <c r="AX374" t="s">
        <v>10838</v>
      </c>
      <c r="BA374" t="s">
        <v>11738</v>
      </c>
      <c r="BB374">
        <v>0</v>
      </c>
      <c r="BC374">
        <v>0</v>
      </c>
      <c r="BD374">
        <v>0</v>
      </c>
      <c r="BE374">
        <v>0</v>
      </c>
      <c r="BF374">
        <v>5</v>
      </c>
      <c r="BG374">
        <v>0</v>
      </c>
    </row>
    <row r="375" spans="1:59">
      <c r="A375" s="1">
        <f>HYPERLINK("https://lsnyc.legalserver.org/matter/dynamic-profile/view/1904066","19-1904066")</f>
        <v>0</v>
      </c>
      <c r="B375" t="s">
        <v>391</v>
      </c>
      <c r="C375" t="s">
        <v>5313</v>
      </c>
      <c r="D375" t="s">
        <v>9928</v>
      </c>
      <c r="E375" t="s">
        <v>10075</v>
      </c>
      <c r="F375">
        <v>11221</v>
      </c>
      <c r="G375" t="s">
        <v>10093</v>
      </c>
      <c r="H375" t="s">
        <v>10117</v>
      </c>
      <c r="I375" t="s">
        <v>10168</v>
      </c>
      <c r="J375" t="s">
        <v>10213</v>
      </c>
      <c r="K375" t="s">
        <v>10218</v>
      </c>
      <c r="L375" t="s">
        <v>10124</v>
      </c>
      <c r="M375" t="s">
        <v>10317</v>
      </c>
      <c r="N375" t="s">
        <v>10671</v>
      </c>
      <c r="P375" t="s">
        <v>10751</v>
      </c>
      <c r="Q375" t="s">
        <v>10761</v>
      </c>
      <c r="R375" t="s">
        <v>10824</v>
      </c>
      <c r="T375">
        <v>37960</v>
      </c>
      <c r="U375">
        <v>3163.33</v>
      </c>
      <c r="V375">
        <v>32</v>
      </c>
      <c r="W375">
        <v>1</v>
      </c>
      <c r="X375">
        <v>2</v>
      </c>
      <c r="Y375" t="s">
        <v>10829</v>
      </c>
      <c r="Z375">
        <v>177.97</v>
      </c>
      <c r="AA375">
        <v>40.687287</v>
      </c>
      <c r="AB375">
        <v>-73.940383</v>
      </c>
      <c r="AD375" t="s">
        <v>10839</v>
      </c>
      <c r="AG375" t="s">
        <v>10858</v>
      </c>
      <c r="AH375" t="s">
        <v>10861</v>
      </c>
      <c r="AI375">
        <v>234</v>
      </c>
      <c r="AJ375" t="s">
        <v>10214</v>
      </c>
      <c r="AK375" t="s">
        <v>10838</v>
      </c>
      <c r="AL375">
        <v>4.65</v>
      </c>
      <c r="AM375" t="s">
        <v>10889</v>
      </c>
      <c r="AN375" t="s">
        <v>10914</v>
      </c>
      <c r="AO375" t="s">
        <v>11007</v>
      </c>
      <c r="AP375" t="s">
        <v>11052</v>
      </c>
      <c r="AR375" t="s">
        <v>11257</v>
      </c>
      <c r="AS375" t="s">
        <v>11595</v>
      </c>
      <c r="AT375" t="s">
        <v>11641</v>
      </c>
      <c r="AX375" t="s">
        <v>10837</v>
      </c>
      <c r="AY375" t="s">
        <v>10829</v>
      </c>
      <c r="AZ375" t="s">
        <v>11682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</row>
    <row r="376" spans="1:59">
      <c r="A376" s="1">
        <f>HYPERLINK("https://lsnyc.legalserver.org/matter/dynamic-profile/view/1904068","19-1904068")</f>
        <v>0</v>
      </c>
      <c r="B376" t="s">
        <v>389</v>
      </c>
      <c r="C376" t="s">
        <v>5311</v>
      </c>
      <c r="D376" t="s">
        <v>9926</v>
      </c>
      <c r="E376" t="s">
        <v>10075</v>
      </c>
      <c r="F376">
        <v>10457</v>
      </c>
      <c r="G376" t="s">
        <v>10090</v>
      </c>
      <c r="H376" t="s">
        <v>10117</v>
      </c>
      <c r="I376" t="s">
        <v>10168</v>
      </c>
      <c r="J376" t="s">
        <v>10210</v>
      </c>
      <c r="K376" t="s">
        <v>10217</v>
      </c>
      <c r="M376" t="s">
        <v>10303</v>
      </c>
      <c r="N376" t="s">
        <v>10671</v>
      </c>
      <c r="P376" t="s">
        <v>10751</v>
      </c>
      <c r="Q376" t="s">
        <v>10761</v>
      </c>
      <c r="R376" t="s">
        <v>10821</v>
      </c>
      <c r="T376">
        <v>15600</v>
      </c>
      <c r="U376">
        <v>1300</v>
      </c>
      <c r="V376">
        <v>43</v>
      </c>
      <c r="W376">
        <v>1</v>
      </c>
      <c r="X376">
        <v>1</v>
      </c>
      <c r="Z376">
        <v>92.25</v>
      </c>
      <c r="AA376">
        <v>40.855059</v>
      </c>
      <c r="AB376">
        <v>-73.893822</v>
      </c>
      <c r="AD376" t="s">
        <v>10839</v>
      </c>
      <c r="AG376" t="s">
        <v>10858</v>
      </c>
      <c r="AH376" t="s">
        <v>10861</v>
      </c>
      <c r="AI376">
        <v>230</v>
      </c>
      <c r="AJ376" t="s">
        <v>10210</v>
      </c>
      <c r="AL376">
        <v>0</v>
      </c>
      <c r="AM376" t="s">
        <v>10884</v>
      </c>
      <c r="AN376" t="s">
        <v>10931</v>
      </c>
      <c r="AO376" t="s">
        <v>11000</v>
      </c>
      <c r="AP376" t="s">
        <v>11056</v>
      </c>
      <c r="AR376" t="s">
        <v>11257</v>
      </c>
      <c r="AS376" t="s">
        <v>9926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</row>
    <row r="377" spans="1:59">
      <c r="A377" s="1">
        <f>HYPERLINK("https://lsnyc.legalserver.org/matter/dynamic-profile/view/1904069","19-1904069")</f>
        <v>0</v>
      </c>
      <c r="B377" t="s">
        <v>392</v>
      </c>
      <c r="C377" t="s">
        <v>5314</v>
      </c>
      <c r="D377" t="s">
        <v>9926</v>
      </c>
      <c r="E377" t="s">
        <v>10075</v>
      </c>
      <c r="F377">
        <v>10473</v>
      </c>
      <c r="G377" t="s">
        <v>10090</v>
      </c>
      <c r="H377" t="s">
        <v>10117</v>
      </c>
      <c r="I377" t="s">
        <v>10168</v>
      </c>
      <c r="J377" t="s">
        <v>10210</v>
      </c>
      <c r="K377" t="s">
        <v>10218</v>
      </c>
      <c r="L377" t="s">
        <v>10130</v>
      </c>
      <c r="M377" t="s">
        <v>10262</v>
      </c>
      <c r="N377" t="s">
        <v>10666</v>
      </c>
      <c r="P377" t="s">
        <v>10749</v>
      </c>
      <c r="Q377" t="s">
        <v>10765</v>
      </c>
      <c r="R377" t="s">
        <v>10825</v>
      </c>
      <c r="T377">
        <v>7236.32</v>
      </c>
      <c r="U377">
        <v>603.03</v>
      </c>
      <c r="V377">
        <v>48</v>
      </c>
      <c r="W377">
        <v>2</v>
      </c>
      <c r="X377">
        <v>0</v>
      </c>
      <c r="Y377" t="s">
        <v>10829</v>
      </c>
      <c r="Z377">
        <v>42.79</v>
      </c>
      <c r="AA377">
        <v>40.819044</v>
      </c>
      <c r="AB377">
        <v>-73.86695400000001</v>
      </c>
      <c r="AD377" t="s">
        <v>10839</v>
      </c>
      <c r="AG377" t="s">
        <v>10858</v>
      </c>
      <c r="AH377" t="s">
        <v>10862</v>
      </c>
      <c r="AI377">
        <v>230</v>
      </c>
      <c r="AJ377" t="s">
        <v>10210</v>
      </c>
      <c r="AK377" t="s">
        <v>10838</v>
      </c>
      <c r="AL377">
        <v>1.5</v>
      </c>
      <c r="AM377" t="s">
        <v>10884</v>
      </c>
      <c r="AN377" t="s">
        <v>10968</v>
      </c>
      <c r="AO377" t="s">
        <v>11002</v>
      </c>
      <c r="AP377" t="s">
        <v>11046</v>
      </c>
      <c r="AR377" t="s">
        <v>11262</v>
      </c>
      <c r="AS377" t="s">
        <v>9926</v>
      </c>
      <c r="AY377" t="s">
        <v>10829</v>
      </c>
      <c r="AZ377" t="s">
        <v>11681</v>
      </c>
      <c r="BA377" t="s">
        <v>11741</v>
      </c>
      <c r="BB377">
        <v>0</v>
      </c>
      <c r="BC377">
        <v>0</v>
      </c>
      <c r="BD377">
        <v>0</v>
      </c>
      <c r="BE377">
        <v>0</v>
      </c>
      <c r="BF377">
        <v>1</v>
      </c>
      <c r="BG377">
        <v>0</v>
      </c>
    </row>
    <row r="378" spans="1:59">
      <c r="A378" s="1">
        <f>HYPERLINK("https://lsnyc.legalserver.org/matter/dynamic-profile/view/1904070","19-1904070")</f>
        <v>0</v>
      </c>
      <c r="B378" t="s">
        <v>393</v>
      </c>
      <c r="C378" t="s">
        <v>5315</v>
      </c>
      <c r="D378" t="s">
        <v>9926</v>
      </c>
      <c r="E378" t="s">
        <v>10075</v>
      </c>
      <c r="F378">
        <v>10457</v>
      </c>
      <c r="G378" t="s">
        <v>10090</v>
      </c>
      <c r="H378" t="s">
        <v>10117</v>
      </c>
      <c r="J378" t="s">
        <v>10210</v>
      </c>
      <c r="K378" t="s">
        <v>10218</v>
      </c>
      <c r="L378" t="s">
        <v>10220</v>
      </c>
      <c r="M378" t="s">
        <v>10316</v>
      </c>
      <c r="N378" t="s">
        <v>10651</v>
      </c>
      <c r="P378" t="s">
        <v>10749</v>
      </c>
      <c r="Q378" t="s">
        <v>10765</v>
      </c>
      <c r="R378" t="s">
        <v>10821</v>
      </c>
      <c r="T378">
        <v>4560</v>
      </c>
      <c r="U378">
        <v>380</v>
      </c>
      <c r="V378">
        <v>24</v>
      </c>
      <c r="W378">
        <v>2</v>
      </c>
      <c r="X378">
        <v>1</v>
      </c>
      <c r="Y378" t="s">
        <v>10831</v>
      </c>
      <c r="Z378">
        <v>21.38</v>
      </c>
      <c r="AA378">
        <v>40.847722</v>
      </c>
      <c r="AB378">
        <v>-73.905463</v>
      </c>
      <c r="AD378" t="s">
        <v>10839</v>
      </c>
      <c r="AG378" t="s">
        <v>10858</v>
      </c>
      <c r="AH378" t="s">
        <v>10862</v>
      </c>
      <c r="AI378">
        <v>230</v>
      </c>
      <c r="AJ378" t="s">
        <v>10210</v>
      </c>
      <c r="AK378" t="s">
        <v>10882</v>
      </c>
      <c r="AL378">
        <v>6.3</v>
      </c>
      <c r="AM378" t="s">
        <v>10884</v>
      </c>
      <c r="AN378" t="s">
        <v>10931</v>
      </c>
      <c r="AO378" t="s">
        <v>11000</v>
      </c>
      <c r="AP378" t="s">
        <v>11056</v>
      </c>
      <c r="AR378" t="s">
        <v>11255</v>
      </c>
      <c r="AS378" t="s">
        <v>9926</v>
      </c>
      <c r="AT378" t="s">
        <v>11641</v>
      </c>
      <c r="AX378" t="s">
        <v>10838</v>
      </c>
      <c r="AY378" t="s">
        <v>10831</v>
      </c>
      <c r="AZ378" t="s">
        <v>11687</v>
      </c>
      <c r="BA378" t="s">
        <v>11738</v>
      </c>
      <c r="BB378">
        <v>0</v>
      </c>
      <c r="BC378">
        <v>0</v>
      </c>
      <c r="BD378">
        <v>0</v>
      </c>
      <c r="BE378">
        <v>0</v>
      </c>
      <c r="BF378">
        <v>5</v>
      </c>
      <c r="BG378">
        <v>0</v>
      </c>
    </row>
    <row r="379" spans="1:59">
      <c r="A379" s="1">
        <f>HYPERLINK("https://lsnyc.legalserver.org/matter/dynamic-profile/view/1904071","19-1904071")</f>
        <v>0</v>
      </c>
      <c r="B379" t="s">
        <v>394</v>
      </c>
      <c r="C379" t="s">
        <v>5316</v>
      </c>
      <c r="D379" t="s">
        <v>9926</v>
      </c>
      <c r="E379" t="s">
        <v>10075</v>
      </c>
      <c r="F379">
        <v>10468</v>
      </c>
      <c r="G379" t="s">
        <v>10090</v>
      </c>
      <c r="H379" t="s">
        <v>10117</v>
      </c>
      <c r="I379" t="s">
        <v>10168</v>
      </c>
      <c r="J379" t="s">
        <v>10210</v>
      </c>
      <c r="K379" t="s">
        <v>10217</v>
      </c>
      <c r="M379" t="s">
        <v>10362</v>
      </c>
      <c r="N379" t="s">
        <v>10651</v>
      </c>
      <c r="P379" t="s">
        <v>10749</v>
      </c>
      <c r="Q379" t="s">
        <v>10765</v>
      </c>
      <c r="R379" t="s">
        <v>10824</v>
      </c>
      <c r="T379">
        <v>4368</v>
      </c>
      <c r="U379">
        <v>364</v>
      </c>
      <c r="V379">
        <v>38</v>
      </c>
      <c r="W379">
        <v>1</v>
      </c>
      <c r="X379">
        <v>3</v>
      </c>
      <c r="Z379">
        <v>16.96</v>
      </c>
      <c r="AA379">
        <v>40.866265</v>
      </c>
      <c r="AB379">
        <v>-73.898759</v>
      </c>
      <c r="AD379" t="s">
        <v>10839</v>
      </c>
      <c r="AG379" t="s">
        <v>10858</v>
      </c>
      <c r="AH379" t="s">
        <v>10861</v>
      </c>
      <c r="AI379">
        <v>230</v>
      </c>
      <c r="AJ379" t="s">
        <v>10210</v>
      </c>
      <c r="AL379">
        <v>9.800000000000001</v>
      </c>
      <c r="AM379" t="s">
        <v>10887</v>
      </c>
      <c r="AN379" t="s">
        <v>10907</v>
      </c>
      <c r="AO379" t="s">
        <v>11000</v>
      </c>
      <c r="AP379" t="s">
        <v>11045</v>
      </c>
      <c r="AR379" t="s">
        <v>11255</v>
      </c>
      <c r="AS379" t="s">
        <v>9926</v>
      </c>
      <c r="AT379" t="s">
        <v>11641</v>
      </c>
      <c r="AX379" t="s">
        <v>10838</v>
      </c>
      <c r="BA379" t="s">
        <v>11738</v>
      </c>
      <c r="BB379">
        <v>0</v>
      </c>
      <c r="BC379">
        <v>0</v>
      </c>
      <c r="BD379">
        <v>0</v>
      </c>
      <c r="BE379">
        <v>0</v>
      </c>
      <c r="BF379">
        <v>5</v>
      </c>
      <c r="BG379">
        <v>0</v>
      </c>
    </row>
    <row r="380" spans="1:59">
      <c r="A380" s="1">
        <f>HYPERLINK("https://lsnyc.legalserver.org/matter/dynamic-profile/view/1904072","19-1904072")</f>
        <v>0</v>
      </c>
      <c r="B380" t="s">
        <v>395</v>
      </c>
      <c r="C380" t="s">
        <v>5317</v>
      </c>
      <c r="D380" t="s">
        <v>9928</v>
      </c>
      <c r="E380" t="s">
        <v>10075</v>
      </c>
      <c r="F380">
        <v>11210</v>
      </c>
      <c r="G380" t="s">
        <v>10093</v>
      </c>
      <c r="H380" t="s">
        <v>10117</v>
      </c>
      <c r="I380" t="s">
        <v>10168</v>
      </c>
      <c r="J380" t="s">
        <v>10213</v>
      </c>
      <c r="K380" t="s">
        <v>10217</v>
      </c>
      <c r="M380" t="s">
        <v>10317</v>
      </c>
      <c r="N380" t="s">
        <v>10671</v>
      </c>
      <c r="P380" t="s">
        <v>10751</v>
      </c>
      <c r="Q380" t="s">
        <v>10761</v>
      </c>
      <c r="R380" t="s">
        <v>10824</v>
      </c>
      <c r="T380">
        <v>0</v>
      </c>
      <c r="U380">
        <v>0</v>
      </c>
      <c r="V380">
        <v>39</v>
      </c>
      <c r="W380">
        <v>1</v>
      </c>
      <c r="X380">
        <v>0</v>
      </c>
      <c r="Z380">
        <v>0</v>
      </c>
      <c r="AA380">
        <v>40.638156</v>
      </c>
      <c r="AB380">
        <v>-73.95259299999999</v>
      </c>
      <c r="AD380" t="s">
        <v>10839</v>
      </c>
      <c r="AG380" t="s">
        <v>10858</v>
      </c>
      <c r="AH380" t="s">
        <v>10861</v>
      </c>
      <c r="AI380">
        <v>234</v>
      </c>
      <c r="AJ380" t="s">
        <v>10214</v>
      </c>
      <c r="AL380">
        <v>5.8</v>
      </c>
      <c r="AM380" t="s">
        <v>10888</v>
      </c>
      <c r="AN380" t="s">
        <v>10932</v>
      </c>
      <c r="AO380" t="s">
        <v>11008</v>
      </c>
      <c r="AP380" t="s">
        <v>11065</v>
      </c>
      <c r="AR380" t="s">
        <v>11267</v>
      </c>
      <c r="AS380" t="s">
        <v>11595</v>
      </c>
      <c r="AT380" t="s">
        <v>11641</v>
      </c>
      <c r="AX380" t="s">
        <v>10838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</row>
    <row r="381" spans="1:59">
      <c r="A381" s="1">
        <f>HYPERLINK("https://lsnyc.legalserver.org/matter/dynamic-profile/view/1904073","19-1904073")</f>
        <v>0</v>
      </c>
      <c r="B381" t="s">
        <v>396</v>
      </c>
      <c r="C381" t="s">
        <v>5318</v>
      </c>
      <c r="D381" t="s">
        <v>9925</v>
      </c>
      <c r="E381" t="s">
        <v>10075</v>
      </c>
      <c r="F381">
        <v>10039</v>
      </c>
      <c r="G381" t="s">
        <v>10089</v>
      </c>
      <c r="H381" t="s">
        <v>10117</v>
      </c>
      <c r="I381" t="s">
        <v>10168</v>
      </c>
      <c r="J381" t="s">
        <v>10209</v>
      </c>
      <c r="K381" t="s">
        <v>10217</v>
      </c>
      <c r="M381" t="s">
        <v>10394</v>
      </c>
      <c r="N381" t="s">
        <v>10691</v>
      </c>
      <c r="P381" t="s">
        <v>10751</v>
      </c>
      <c r="Q381" t="s">
        <v>10776</v>
      </c>
      <c r="R381" t="s">
        <v>10824</v>
      </c>
      <c r="T381">
        <v>10176</v>
      </c>
      <c r="U381">
        <v>848</v>
      </c>
      <c r="V381">
        <v>58</v>
      </c>
      <c r="W381">
        <v>2</v>
      </c>
      <c r="X381">
        <v>0</v>
      </c>
      <c r="Z381">
        <v>60.18</v>
      </c>
      <c r="AA381">
        <v>40.820526</v>
      </c>
      <c r="AB381">
        <v>-73.93510999999999</v>
      </c>
      <c r="AD381" t="s">
        <v>10840</v>
      </c>
      <c r="AG381" t="s">
        <v>10858</v>
      </c>
      <c r="AH381" t="s">
        <v>10861</v>
      </c>
      <c r="AI381">
        <v>234</v>
      </c>
      <c r="AJ381" t="s">
        <v>10214</v>
      </c>
      <c r="AL381">
        <v>9.449999999999999</v>
      </c>
      <c r="AM381" t="s">
        <v>10887</v>
      </c>
      <c r="AN381" t="s">
        <v>10943</v>
      </c>
      <c r="AO381" t="s">
        <v>11016</v>
      </c>
      <c r="AP381" t="s">
        <v>11076</v>
      </c>
      <c r="AR381" t="s">
        <v>11298</v>
      </c>
      <c r="AS381" t="s">
        <v>9925</v>
      </c>
      <c r="AT381" t="s">
        <v>11642</v>
      </c>
      <c r="AX381" t="s">
        <v>10838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</row>
    <row r="382" spans="1:59">
      <c r="A382" s="1">
        <f>HYPERLINK("https://lsnyc.legalserver.org/matter/dynamic-profile/view/1904074","19-1904074")</f>
        <v>0</v>
      </c>
      <c r="B382" t="s">
        <v>394</v>
      </c>
      <c r="C382" t="s">
        <v>5316</v>
      </c>
      <c r="D382" t="s">
        <v>9926</v>
      </c>
      <c r="E382" t="s">
        <v>10075</v>
      </c>
      <c r="F382">
        <v>10468</v>
      </c>
      <c r="G382" t="s">
        <v>10090</v>
      </c>
      <c r="H382" t="s">
        <v>10117</v>
      </c>
      <c r="J382" t="s">
        <v>10210</v>
      </c>
      <c r="K382" t="s">
        <v>10217</v>
      </c>
      <c r="M382" t="s">
        <v>10367</v>
      </c>
      <c r="N382" t="s">
        <v>10671</v>
      </c>
      <c r="P382" t="s">
        <v>10751</v>
      </c>
      <c r="Q382" t="s">
        <v>10761</v>
      </c>
      <c r="R382" t="s">
        <v>10824</v>
      </c>
      <c r="T382">
        <v>4368</v>
      </c>
      <c r="U382">
        <v>364</v>
      </c>
      <c r="V382">
        <v>38</v>
      </c>
      <c r="W382">
        <v>1</v>
      </c>
      <c r="X382">
        <v>3</v>
      </c>
      <c r="Z382">
        <v>16.96</v>
      </c>
      <c r="AA382">
        <v>40.866265</v>
      </c>
      <c r="AB382">
        <v>-73.898759</v>
      </c>
      <c r="AD382" t="s">
        <v>10839</v>
      </c>
      <c r="AG382" t="s">
        <v>10858</v>
      </c>
      <c r="AH382" t="s">
        <v>10861</v>
      </c>
      <c r="AI382">
        <v>230</v>
      </c>
      <c r="AJ382" t="s">
        <v>10210</v>
      </c>
      <c r="AL382">
        <v>0</v>
      </c>
      <c r="AM382" t="s">
        <v>10887</v>
      </c>
      <c r="AN382" t="s">
        <v>10907</v>
      </c>
      <c r="AO382" t="s">
        <v>11000</v>
      </c>
      <c r="AP382" t="s">
        <v>11045</v>
      </c>
      <c r="AR382" t="s">
        <v>11255</v>
      </c>
      <c r="AS382" t="s">
        <v>9926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</row>
    <row r="383" spans="1:59">
      <c r="A383" s="1">
        <f>HYPERLINK("https://lsnyc.legalserver.org/matter/dynamic-profile/view/1904075","19-1904075")</f>
        <v>0</v>
      </c>
      <c r="B383" t="s">
        <v>393</v>
      </c>
      <c r="C383" t="s">
        <v>5315</v>
      </c>
      <c r="D383" t="s">
        <v>9926</v>
      </c>
      <c r="E383" t="s">
        <v>10075</v>
      </c>
      <c r="F383">
        <v>10457</v>
      </c>
      <c r="G383" t="s">
        <v>10090</v>
      </c>
      <c r="H383" t="s">
        <v>10117</v>
      </c>
      <c r="I383" t="s">
        <v>10168</v>
      </c>
      <c r="J383" t="s">
        <v>10210</v>
      </c>
      <c r="K383" t="s">
        <v>10218</v>
      </c>
      <c r="L383" t="s">
        <v>10220</v>
      </c>
      <c r="M383" t="s">
        <v>10316</v>
      </c>
      <c r="N383" t="s">
        <v>10671</v>
      </c>
      <c r="P383" t="s">
        <v>10751</v>
      </c>
      <c r="Q383" t="s">
        <v>10761</v>
      </c>
      <c r="R383" t="s">
        <v>10821</v>
      </c>
      <c r="T383">
        <v>4560</v>
      </c>
      <c r="U383">
        <v>380</v>
      </c>
      <c r="V383">
        <v>24</v>
      </c>
      <c r="W383">
        <v>2</v>
      </c>
      <c r="X383">
        <v>1</v>
      </c>
      <c r="Y383" t="s">
        <v>10830</v>
      </c>
      <c r="Z383">
        <v>21.38</v>
      </c>
      <c r="AA383">
        <v>40.847722</v>
      </c>
      <c r="AB383">
        <v>-73.905463</v>
      </c>
      <c r="AD383" t="s">
        <v>10839</v>
      </c>
      <c r="AG383" t="s">
        <v>10858</v>
      </c>
      <c r="AH383" t="s">
        <v>10862</v>
      </c>
      <c r="AI383">
        <v>230</v>
      </c>
      <c r="AJ383" t="s">
        <v>10210</v>
      </c>
      <c r="AK383" t="s">
        <v>10838</v>
      </c>
      <c r="AL383">
        <v>4.75</v>
      </c>
      <c r="AM383" t="s">
        <v>10884</v>
      </c>
      <c r="AN383" t="s">
        <v>10931</v>
      </c>
      <c r="AO383" t="s">
        <v>11000</v>
      </c>
      <c r="AP383" t="s">
        <v>11056</v>
      </c>
      <c r="AR383" t="s">
        <v>11273</v>
      </c>
      <c r="AS383" t="s">
        <v>9926</v>
      </c>
      <c r="AY383" t="s">
        <v>10830</v>
      </c>
      <c r="AZ383" t="s">
        <v>11688</v>
      </c>
      <c r="BA383" t="s">
        <v>11737</v>
      </c>
      <c r="BB383">
        <v>0</v>
      </c>
      <c r="BC383">
        <v>0</v>
      </c>
      <c r="BD383">
        <v>0</v>
      </c>
      <c r="BE383">
        <v>0</v>
      </c>
      <c r="BF383">
        <v>3</v>
      </c>
      <c r="BG383">
        <v>0</v>
      </c>
    </row>
    <row r="384" spans="1:59">
      <c r="A384" s="1">
        <f>HYPERLINK("https://lsnyc.legalserver.org/matter/dynamic-profile/view/1904077","19-1904077")</f>
        <v>0</v>
      </c>
      <c r="B384" t="s">
        <v>397</v>
      </c>
      <c r="C384" t="s">
        <v>5319</v>
      </c>
      <c r="D384" t="s">
        <v>9928</v>
      </c>
      <c r="E384" t="s">
        <v>10075</v>
      </c>
      <c r="F384">
        <v>11226</v>
      </c>
      <c r="G384" t="s">
        <v>10093</v>
      </c>
      <c r="H384" t="s">
        <v>10117</v>
      </c>
      <c r="I384" t="s">
        <v>10168</v>
      </c>
      <c r="J384" t="s">
        <v>10213</v>
      </c>
      <c r="K384" t="s">
        <v>10218</v>
      </c>
      <c r="L384" t="s">
        <v>10118</v>
      </c>
      <c r="M384" t="s">
        <v>10414</v>
      </c>
      <c r="N384" t="s">
        <v>10671</v>
      </c>
      <c r="P384" t="s">
        <v>10754</v>
      </c>
      <c r="Q384" t="s">
        <v>10782</v>
      </c>
      <c r="R384" t="s">
        <v>10823</v>
      </c>
      <c r="T384">
        <v>9060</v>
      </c>
      <c r="U384">
        <v>755</v>
      </c>
      <c r="V384">
        <v>58</v>
      </c>
      <c r="W384">
        <v>1</v>
      </c>
      <c r="X384">
        <v>0</v>
      </c>
      <c r="Y384" t="s">
        <v>10829</v>
      </c>
      <c r="Z384">
        <v>72.54000000000001</v>
      </c>
      <c r="AA384">
        <v>40.65328</v>
      </c>
      <c r="AB384">
        <v>-73.96250000000001</v>
      </c>
      <c r="AC384" t="s">
        <v>10837</v>
      </c>
      <c r="AD384" t="s">
        <v>10839</v>
      </c>
      <c r="AF384" t="s">
        <v>10843</v>
      </c>
      <c r="AG384" t="s">
        <v>10859</v>
      </c>
      <c r="AH384" t="s">
        <v>10861</v>
      </c>
      <c r="AI384">
        <v>234</v>
      </c>
      <c r="AJ384" t="s">
        <v>10214</v>
      </c>
      <c r="AK384" t="s">
        <v>10882</v>
      </c>
      <c r="AL384">
        <v>1.3</v>
      </c>
      <c r="AM384" t="s">
        <v>10888</v>
      </c>
      <c r="AN384" t="s">
        <v>10932</v>
      </c>
      <c r="AO384" t="s">
        <v>11008</v>
      </c>
      <c r="AP384" t="s">
        <v>11050</v>
      </c>
      <c r="AR384" t="s">
        <v>11331</v>
      </c>
      <c r="AS384" t="s">
        <v>11595</v>
      </c>
      <c r="AT384" t="s">
        <v>11641</v>
      </c>
      <c r="AX384" t="s">
        <v>10838</v>
      </c>
      <c r="AY384" t="s">
        <v>10829</v>
      </c>
      <c r="AZ384" t="s">
        <v>11683</v>
      </c>
      <c r="BA384" t="s">
        <v>11741</v>
      </c>
      <c r="BB384">
        <v>0</v>
      </c>
      <c r="BC384">
        <v>0</v>
      </c>
      <c r="BD384">
        <v>0</v>
      </c>
      <c r="BE384">
        <v>0</v>
      </c>
      <c r="BF384">
        <v>1</v>
      </c>
      <c r="BG384">
        <v>0</v>
      </c>
    </row>
    <row r="385" spans="1:59">
      <c r="A385" s="1">
        <f>HYPERLINK("https://lsnyc.legalserver.org/matter/dynamic-profile/view/1904079","19-1904079")</f>
        <v>0</v>
      </c>
      <c r="B385" t="s">
        <v>395</v>
      </c>
      <c r="C385" t="s">
        <v>5317</v>
      </c>
      <c r="D385" t="s">
        <v>9928</v>
      </c>
      <c r="E385" t="s">
        <v>10075</v>
      </c>
      <c r="F385">
        <v>11210</v>
      </c>
      <c r="G385" t="s">
        <v>10093</v>
      </c>
      <c r="H385" t="s">
        <v>10117</v>
      </c>
      <c r="I385" t="s">
        <v>10168</v>
      </c>
      <c r="J385" t="s">
        <v>10213</v>
      </c>
      <c r="K385" t="s">
        <v>10217</v>
      </c>
      <c r="M385" t="s">
        <v>10290</v>
      </c>
      <c r="N385" t="s">
        <v>10694</v>
      </c>
      <c r="P385" t="s">
        <v>10751</v>
      </c>
      <c r="Q385" t="s">
        <v>10773</v>
      </c>
      <c r="R385" t="s">
        <v>10824</v>
      </c>
      <c r="T385">
        <v>0</v>
      </c>
      <c r="U385">
        <v>0</v>
      </c>
      <c r="V385">
        <v>39</v>
      </c>
      <c r="W385">
        <v>1</v>
      </c>
      <c r="X385">
        <v>0</v>
      </c>
      <c r="Z385">
        <v>0</v>
      </c>
      <c r="AA385">
        <v>40.638156</v>
      </c>
      <c r="AB385">
        <v>-73.95259299999999</v>
      </c>
      <c r="AC385" t="s">
        <v>10838</v>
      </c>
      <c r="AD385" t="s">
        <v>10839</v>
      </c>
      <c r="AG385" t="s">
        <v>10858</v>
      </c>
      <c r="AH385" t="s">
        <v>10861</v>
      </c>
      <c r="AI385">
        <v>234</v>
      </c>
      <c r="AJ385" t="s">
        <v>10214</v>
      </c>
      <c r="AL385">
        <v>1.55</v>
      </c>
      <c r="AR385" t="s">
        <v>11267</v>
      </c>
      <c r="AS385" t="s">
        <v>11595</v>
      </c>
      <c r="AT385" t="s">
        <v>11641</v>
      </c>
      <c r="AX385" t="s">
        <v>10838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</row>
    <row r="386" spans="1:59">
      <c r="A386" s="1">
        <f>HYPERLINK("https://lsnyc.legalserver.org/matter/dynamic-profile/view/1904080","19-1904080")</f>
        <v>0</v>
      </c>
      <c r="B386" t="s">
        <v>398</v>
      </c>
      <c r="C386" t="s">
        <v>5320</v>
      </c>
      <c r="D386" t="s">
        <v>9926</v>
      </c>
      <c r="E386" t="s">
        <v>10075</v>
      </c>
      <c r="F386">
        <v>10467</v>
      </c>
      <c r="G386" t="s">
        <v>10090</v>
      </c>
      <c r="H386" t="s">
        <v>10117</v>
      </c>
      <c r="I386" t="s">
        <v>10168</v>
      </c>
      <c r="J386" t="s">
        <v>10210</v>
      </c>
      <c r="K386" t="s">
        <v>10217</v>
      </c>
      <c r="M386" t="s">
        <v>10362</v>
      </c>
      <c r="N386" t="s">
        <v>10651</v>
      </c>
      <c r="P386" t="s">
        <v>10749</v>
      </c>
      <c r="Q386" t="s">
        <v>10765</v>
      </c>
      <c r="R386" t="s">
        <v>10824</v>
      </c>
      <c r="T386">
        <v>14144</v>
      </c>
      <c r="U386">
        <v>1178.67</v>
      </c>
      <c r="V386">
        <v>31</v>
      </c>
      <c r="W386">
        <v>1</v>
      </c>
      <c r="X386">
        <v>1</v>
      </c>
      <c r="Z386">
        <v>83.64</v>
      </c>
      <c r="AA386">
        <v>40.881255</v>
      </c>
      <c r="AB386">
        <v>-73.864755</v>
      </c>
      <c r="AD386" t="s">
        <v>10839</v>
      </c>
      <c r="AG386" t="s">
        <v>10858</v>
      </c>
      <c r="AH386" t="s">
        <v>10861</v>
      </c>
      <c r="AI386">
        <v>230</v>
      </c>
      <c r="AJ386" t="s">
        <v>10210</v>
      </c>
      <c r="AL386">
        <v>2.4</v>
      </c>
      <c r="AM386" t="s">
        <v>10893</v>
      </c>
      <c r="AN386" t="s">
        <v>10956</v>
      </c>
      <c r="AO386" t="s">
        <v>11010</v>
      </c>
      <c r="AP386" t="s">
        <v>11085</v>
      </c>
      <c r="AR386" t="s">
        <v>11257</v>
      </c>
      <c r="AS386" t="s">
        <v>9926</v>
      </c>
      <c r="AT386" t="s">
        <v>11641</v>
      </c>
      <c r="AX386" t="s">
        <v>10838</v>
      </c>
      <c r="BA386" t="s">
        <v>11738</v>
      </c>
      <c r="BB386">
        <v>0</v>
      </c>
      <c r="BC386">
        <v>0</v>
      </c>
      <c r="BD386">
        <v>0</v>
      </c>
      <c r="BE386">
        <v>0</v>
      </c>
      <c r="BF386">
        <v>5</v>
      </c>
      <c r="BG386">
        <v>0</v>
      </c>
    </row>
    <row r="387" spans="1:59">
      <c r="A387" s="1">
        <f>HYPERLINK("https://lsnyc.legalserver.org/matter/dynamic-profile/view/1904081","19-1904081")</f>
        <v>0</v>
      </c>
      <c r="B387" t="s">
        <v>399</v>
      </c>
      <c r="C387" t="s">
        <v>5321</v>
      </c>
      <c r="D387" t="s">
        <v>9926</v>
      </c>
      <c r="E387" t="s">
        <v>10075</v>
      </c>
      <c r="F387">
        <v>10460</v>
      </c>
      <c r="G387" t="s">
        <v>10090</v>
      </c>
      <c r="H387" t="s">
        <v>10117</v>
      </c>
      <c r="I387" t="s">
        <v>10168</v>
      </c>
      <c r="J387" t="s">
        <v>10210</v>
      </c>
      <c r="K387" t="s">
        <v>10218</v>
      </c>
      <c r="L387" t="s">
        <v>10101</v>
      </c>
      <c r="M387" t="s">
        <v>10372</v>
      </c>
      <c r="N387" t="s">
        <v>10704</v>
      </c>
      <c r="P387" t="s">
        <v>10750</v>
      </c>
      <c r="Q387" t="s">
        <v>10778</v>
      </c>
      <c r="R387" t="s">
        <v>10824</v>
      </c>
      <c r="T387">
        <v>6744</v>
      </c>
      <c r="U387">
        <v>562</v>
      </c>
      <c r="V387">
        <v>53</v>
      </c>
      <c r="W387">
        <v>1</v>
      </c>
      <c r="X387">
        <v>0</v>
      </c>
      <c r="Y387" t="s">
        <v>10829</v>
      </c>
      <c r="Z387">
        <v>54</v>
      </c>
      <c r="AA387">
        <v>40.83445</v>
      </c>
      <c r="AB387">
        <v>-73.89386500000001</v>
      </c>
      <c r="AD387" t="s">
        <v>10840</v>
      </c>
      <c r="AG387" t="s">
        <v>10858</v>
      </c>
      <c r="AH387" t="s">
        <v>10861</v>
      </c>
      <c r="AI387">
        <v>234</v>
      </c>
      <c r="AJ387" t="s">
        <v>10214</v>
      </c>
      <c r="AK387" t="s">
        <v>10882</v>
      </c>
      <c r="AL387">
        <v>2.35</v>
      </c>
      <c r="AM387" t="s">
        <v>10884</v>
      </c>
      <c r="AN387" t="s">
        <v>10918</v>
      </c>
      <c r="AO387" t="s">
        <v>11001</v>
      </c>
      <c r="AP387" t="s">
        <v>11062</v>
      </c>
      <c r="AR387" t="s">
        <v>11255</v>
      </c>
      <c r="AS387" t="s">
        <v>9926</v>
      </c>
      <c r="AT387" t="s">
        <v>11642</v>
      </c>
      <c r="AX387" t="s">
        <v>10837</v>
      </c>
      <c r="AY387" t="s">
        <v>10829</v>
      </c>
      <c r="AZ387" t="s">
        <v>11695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</row>
    <row r="388" spans="1:59">
      <c r="A388" s="1">
        <f>HYPERLINK("https://lsnyc.legalserver.org/matter/dynamic-profile/view/1904082","19-1904082")</f>
        <v>0</v>
      </c>
      <c r="B388" t="s">
        <v>400</v>
      </c>
      <c r="C388" t="s">
        <v>5322</v>
      </c>
      <c r="D388" t="s">
        <v>9926</v>
      </c>
      <c r="E388" t="s">
        <v>10075</v>
      </c>
      <c r="F388">
        <v>10456</v>
      </c>
      <c r="G388" t="s">
        <v>10091</v>
      </c>
      <c r="H388" t="s">
        <v>10117</v>
      </c>
      <c r="I388" t="s">
        <v>10169</v>
      </c>
      <c r="J388" t="s">
        <v>10214</v>
      </c>
      <c r="K388" t="s">
        <v>10217</v>
      </c>
      <c r="M388" t="s">
        <v>10286</v>
      </c>
      <c r="N388" t="s">
        <v>10671</v>
      </c>
      <c r="P388" t="s">
        <v>10751</v>
      </c>
      <c r="Q388" t="s">
        <v>10800</v>
      </c>
      <c r="R388" t="s">
        <v>10823</v>
      </c>
      <c r="T388">
        <v>313</v>
      </c>
      <c r="U388">
        <v>26.08</v>
      </c>
      <c r="V388">
        <v>18</v>
      </c>
      <c r="W388">
        <v>1</v>
      </c>
      <c r="X388">
        <v>0</v>
      </c>
      <c r="Z388">
        <v>2.51</v>
      </c>
      <c r="AA388">
        <v>40.835676</v>
      </c>
      <c r="AB388">
        <v>-73.914773</v>
      </c>
      <c r="AD388" t="s">
        <v>10839</v>
      </c>
      <c r="AG388" t="s">
        <v>10858</v>
      </c>
      <c r="AH388" t="s">
        <v>10861</v>
      </c>
      <c r="AI388">
        <v>234</v>
      </c>
      <c r="AJ388" t="s">
        <v>10214</v>
      </c>
      <c r="AL388">
        <v>0.7</v>
      </c>
      <c r="AM388" t="s">
        <v>10884</v>
      </c>
      <c r="AN388" t="s">
        <v>10929</v>
      </c>
      <c r="AO388" t="s">
        <v>11000</v>
      </c>
      <c r="AP388" t="s">
        <v>11055</v>
      </c>
      <c r="AR388" t="s">
        <v>11300</v>
      </c>
      <c r="AS388" t="s">
        <v>9926</v>
      </c>
      <c r="AT388" t="s">
        <v>11641</v>
      </c>
      <c r="AX388" t="s">
        <v>10838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</row>
    <row r="389" spans="1:59">
      <c r="A389" s="1">
        <f>HYPERLINK("https://lsnyc.legalserver.org/matter/dynamic-profile/view/1904083","19-1904083")</f>
        <v>0</v>
      </c>
      <c r="B389" t="s">
        <v>398</v>
      </c>
      <c r="C389" t="s">
        <v>5320</v>
      </c>
      <c r="D389" t="s">
        <v>9926</v>
      </c>
      <c r="E389" t="s">
        <v>10075</v>
      </c>
      <c r="F389">
        <v>10467</v>
      </c>
      <c r="G389" t="s">
        <v>10090</v>
      </c>
      <c r="H389" t="s">
        <v>10117</v>
      </c>
      <c r="I389" t="s">
        <v>10168</v>
      </c>
      <c r="J389" t="s">
        <v>10210</v>
      </c>
      <c r="K389" t="s">
        <v>10217</v>
      </c>
      <c r="M389" t="s">
        <v>10367</v>
      </c>
      <c r="N389" t="s">
        <v>10671</v>
      </c>
      <c r="P389" t="s">
        <v>10751</v>
      </c>
      <c r="Q389" t="s">
        <v>10761</v>
      </c>
      <c r="R389" t="s">
        <v>10824</v>
      </c>
      <c r="T389">
        <v>14144</v>
      </c>
      <c r="U389">
        <v>1178.67</v>
      </c>
      <c r="V389">
        <v>31</v>
      </c>
      <c r="W389">
        <v>1</v>
      </c>
      <c r="X389">
        <v>1</v>
      </c>
      <c r="Z389">
        <v>83.64</v>
      </c>
      <c r="AA389">
        <v>40.881255</v>
      </c>
      <c r="AB389">
        <v>-73.864755</v>
      </c>
      <c r="AD389" t="s">
        <v>10839</v>
      </c>
      <c r="AG389" t="s">
        <v>10858</v>
      </c>
      <c r="AH389" t="s">
        <v>10861</v>
      </c>
      <c r="AI389">
        <v>230</v>
      </c>
      <c r="AJ389" t="s">
        <v>10210</v>
      </c>
      <c r="AL389">
        <v>5.6</v>
      </c>
      <c r="AM389" t="s">
        <v>10893</v>
      </c>
      <c r="AN389" t="s">
        <v>10956</v>
      </c>
      <c r="AO389" t="s">
        <v>11010</v>
      </c>
      <c r="AP389" t="s">
        <v>11085</v>
      </c>
      <c r="AR389" t="s">
        <v>11257</v>
      </c>
      <c r="AS389" t="s">
        <v>9926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</row>
    <row r="390" spans="1:59">
      <c r="A390" s="1">
        <f>HYPERLINK("https://lsnyc.legalserver.org/matter/dynamic-profile/view/1904084","19-1904084")</f>
        <v>0</v>
      </c>
      <c r="B390" t="s">
        <v>401</v>
      </c>
      <c r="C390" t="s">
        <v>5323</v>
      </c>
      <c r="D390" t="s">
        <v>9929</v>
      </c>
      <c r="E390" t="s">
        <v>10075</v>
      </c>
      <c r="F390">
        <v>10309</v>
      </c>
      <c r="G390" t="s">
        <v>10088</v>
      </c>
      <c r="H390" t="s">
        <v>10117</v>
      </c>
      <c r="I390" t="s">
        <v>10168</v>
      </c>
      <c r="J390" t="s">
        <v>10208</v>
      </c>
      <c r="K390" t="s">
        <v>10217</v>
      </c>
      <c r="M390" t="s">
        <v>10377</v>
      </c>
      <c r="N390" t="s">
        <v>10671</v>
      </c>
      <c r="P390" t="s">
        <v>10754</v>
      </c>
      <c r="Q390" t="s">
        <v>10775</v>
      </c>
      <c r="R390" t="s">
        <v>10820</v>
      </c>
      <c r="T390">
        <v>4632</v>
      </c>
      <c r="U390">
        <v>386</v>
      </c>
      <c r="V390">
        <v>35</v>
      </c>
      <c r="W390">
        <v>1</v>
      </c>
      <c r="X390">
        <v>2</v>
      </c>
      <c r="Z390">
        <v>21.72</v>
      </c>
      <c r="AA390">
        <v>40.515423</v>
      </c>
      <c r="AB390">
        <v>-74.19640200000001</v>
      </c>
      <c r="AD390" t="s">
        <v>10839</v>
      </c>
      <c r="AG390" t="s">
        <v>10858</v>
      </c>
      <c r="AH390" t="s">
        <v>10861</v>
      </c>
      <c r="AI390">
        <v>234</v>
      </c>
      <c r="AJ390" t="s">
        <v>10214</v>
      </c>
      <c r="AL390">
        <v>1</v>
      </c>
      <c r="AM390" t="s">
        <v>10883</v>
      </c>
      <c r="AN390" t="s">
        <v>10906</v>
      </c>
      <c r="AO390" t="s">
        <v>10999</v>
      </c>
      <c r="AP390" t="s">
        <v>11044</v>
      </c>
      <c r="AR390" t="s">
        <v>11292</v>
      </c>
      <c r="AS390" t="s">
        <v>11593</v>
      </c>
      <c r="AT390" t="s">
        <v>11641</v>
      </c>
      <c r="AX390" t="s">
        <v>10838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</row>
    <row r="391" spans="1:59">
      <c r="A391" s="1">
        <f>HYPERLINK("https://lsnyc.legalserver.org/matter/dynamic-profile/view/1904085","19-1904085")</f>
        <v>0</v>
      </c>
      <c r="B391" t="s">
        <v>402</v>
      </c>
      <c r="C391" t="s">
        <v>5324</v>
      </c>
      <c r="D391" t="s">
        <v>9926</v>
      </c>
      <c r="E391" t="s">
        <v>10075</v>
      </c>
      <c r="F391">
        <v>10468</v>
      </c>
      <c r="G391" t="s">
        <v>10090</v>
      </c>
      <c r="H391" t="s">
        <v>10117</v>
      </c>
      <c r="I391" t="s">
        <v>10169</v>
      </c>
      <c r="J391" t="s">
        <v>10210</v>
      </c>
      <c r="K391" t="s">
        <v>10217</v>
      </c>
      <c r="M391" t="s">
        <v>10399</v>
      </c>
      <c r="N391" t="s">
        <v>10651</v>
      </c>
      <c r="P391" t="s">
        <v>10749</v>
      </c>
      <c r="Q391" t="s">
        <v>10765</v>
      </c>
      <c r="R391" t="s">
        <v>10823</v>
      </c>
      <c r="T391">
        <v>35100</v>
      </c>
      <c r="U391">
        <v>2925</v>
      </c>
      <c r="V391">
        <v>31</v>
      </c>
      <c r="W391">
        <v>2</v>
      </c>
      <c r="X391">
        <v>2</v>
      </c>
      <c r="Z391">
        <v>136.31</v>
      </c>
      <c r="AA391">
        <v>40.861906</v>
      </c>
      <c r="AB391">
        <v>-73.904291</v>
      </c>
      <c r="AD391" t="s">
        <v>10840</v>
      </c>
      <c r="AF391" t="s">
        <v>10843</v>
      </c>
      <c r="AG391" t="s">
        <v>10859</v>
      </c>
      <c r="AH391" t="s">
        <v>10861</v>
      </c>
      <c r="AI391">
        <v>230</v>
      </c>
      <c r="AJ391" t="s">
        <v>10210</v>
      </c>
      <c r="AL391">
        <v>7.5</v>
      </c>
      <c r="AM391" t="s">
        <v>10884</v>
      </c>
      <c r="AN391" t="s">
        <v>10931</v>
      </c>
      <c r="AO391" t="s">
        <v>11000</v>
      </c>
      <c r="AP391" t="s">
        <v>11045</v>
      </c>
      <c r="AR391" t="s">
        <v>11257</v>
      </c>
      <c r="AS391" t="s">
        <v>9926</v>
      </c>
      <c r="AT391" t="s">
        <v>11642</v>
      </c>
      <c r="AX391" t="s">
        <v>10838</v>
      </c>
      <c r="BA391" t="s">
        <v>11738</v>
      </c>
      <c r="BB391">
        <v>0</v>
      </c>
      <c r="BC391">
        <v>0</v>
      </c>
      <c r="BD391">
        <v>0</v>
      </c>
      <c r="BE391">
        <v>0</v>
      </c>
      <c r="BF391">
        <v>5</v>
      </c>
      <c r="BG391">
        <v>0</v>
      </c>
    </row>
    <row r="392" spans="1:59">
      <c r="A392" s="1">
        <f>HYPERLINK("https://lsnyc.legalserver.org/matter/dynamic-profile/view/1904087","19-1904087")</f>
        <v>0</v>
      </c>
      <c r="B392" t="s">
        <v>403</v>
      </c>
      <c r="C392" t="s">
        <v>5325</v>
      </c>
      <c r="D392" t="s">
        <v>9938</v>
      </c>
      <c r="E392" t="s">
        <v>10075</v>
      </c>
      <c r="F392">
        <v>11435</v>
      </c>
      <c r="G392" t="s">
        <v>10092</v>
      </c>
      <c r="H392" t="s">
        <v>10117</v>
      </c>
      <c r="I392" t="s">
        <v>10168</v>
      </c>
      <c r="J392" t="s">
        <v>10212</v>
      </c>
      <c r="K392" t="s">
        <v>10218</v>
      </c>
      <c r="L392" t="s">
        <v>10110</v>
      </c>
      <c r="M392" t="s">
        <v>10318</v>
      </c>
      <c r="N392" t="s">
        <v>10684</v>
      </c>
      <c r="P392" t="s">
        <v>10751</v>
      </c>
      <c r="Q392" t="s">
        <v>10786</v>
      </c>
      <c r="R392" t="s">
        <v>10827</v>
      </c>
      <c r="T392">
        <v>10320</v>
      </c>
      <c r="U392">
        <v>860</v>
      </c>
      <c r="V392">
        <v>74</v>
      </c>
      <c r="W392">
        <v>1</v>
      </c>
      <c r="X392">
        <v>0</v>
      </c>
      <c r="Y392" t="s">
        <v>10833</v>
      </c>
      <c r="Z392">
        <v>82.63</v>
      </c>
      <c r="AA392">
        <v>40.686324</v>
      </c>
      <c r="AB392">
        <v>-73.803518</v>
      </c>
      <c r="AD392" t="s">
        <v>10840</v>
      </c>
      <c r="AG392" t="s">
        <v>10858</v>
      </c>
      <c r="AH392" t="s">
        <v>10873</v>
      </c>
      <c r="AI392">
        <v>237</v>
      </c>
      <c r="AJ392" t="s">
        <v>10212</v>
      </c>
      <c r="AK392" t="s">
        <v>10838</v>
      </c>
      <c r="AL392">
        <v>2.5</v>
      </c>
      <c r="AM392" t="s">
        <v>10892</v>
      </c>
      <c r="AN392" t="s">
        <v>10951</v>
      </c>
      <c r="AO392" t="s">
        <v>11017</v>
      </c>
      <c r="AP392" t="s">
        <v>11070</v>
      </c>
      <c r="AR392" t="s">
        <v>11263</v>
      </c>
      <c r="AS392" t="s">
        <v>11594</v>
      </c>
      <c r="AT392" t="s">
        <v>11642</v>
      </c>
      <c r="AX392" t="s">
        <v>10838</v>
      </c>
      <c r="AY392" t="s">
        <v>10833</v>
      </c>
      <c r="AZ392" t="s">
        <v>11693</v>
      </c>
      <c r="BB392">
        <v>0</v>
      </c>
      <c r="BC392">
        <v>0</v>
      </c>
      <c r="BD392">
        <v>0</v>
      </c>
      <c r="BE392">
        <v>192</v>
      </c>
      <c r="BF392">
        <v>0</v>
      </c>
      <c r="BG392">
        <v>0</v>
      </c>
    </row>
    <row r="393" spans="1:59">
      <c r="A393" s="1">
        <f>HYPERLINK("https://lsnyc.legalserver.org/matter/dynamic-profile/view/1904088","19-1904088")</f>
        <v>0</v>
      </c>
      <c r="B393" t="s">
        <v>402</v>
      </c>
      <c r="C393" t="s">
        <v>5324</v>
      </c>
      <c r="D393" t="s">
        <v>9926</v>
      </c>
      <c r="E393" t="s">
        <v>10075</v>
      </c>
      <c r="F393">
        <v>10468</v>
      </c>
      <c r="G393" t="s">
        <v>10090</v>
      </c>
      <c r="H393" t="s">
        <v>10117</v>
      </c>
      <c r="I393" t="s">
        <v>10169</v>
      </c>
      <c r="J393" t="s">
        <v>10210</v>
      </c>
      <c r="K393" t="s">
        <v>10217</v>
      </c>
      <c r="M393" t="s">
        <v>10406</v>
      </c>
      <c r="N393" t="s">
        <v>10671</v>
      </c>
      <c r="P393" t="s">
        <v>10751</v>
      </c>
      <c r="Q393" t="s">
        <v>10761</v>
      </c>
      <c r="R393" t="s">
        <v>10823</v>
      </c>
      <c r="T393">
        <v>35100</v>
      </c>
      <c r="U393">
        <v>2925</v>
      </c>
      <c r="V393">
        <v>31</v>
      </c>
      <c r="W393">
        <v>2</v>
      </c>
      <c r="X393">
        <v>2</v>
      </c>
      <c r="Z393">
        <v>136.31</v>
      </c>
      <c r="AA393">
        <v>40.861906</v>
      </c>
      <c r="AB393">
        <v>-73.904291</v>
      </c>
      <c r="AD393" t="s">
        <v>10840</v>
      </c>
      <c r="AF393" t="s">
        <v>10843</v>
      </c>
      <c r="AG393" t="s">
        <v>10859</v>
      </c>
      <c r="AH393" t="s">
        <v>10861</v>
      </c>
      <c r="AI393">
        <v>230</v>
      </c>
      <c r="AJ393" t="s">
        <v>10210</v>
      </c>
      <c r="AL393">
        <v>0</v>
      </c>
      <c r="AM393" t="s">
        <v>10884</v>
      </c>
      <c r="AN393" t="s">
        <v>10931</v>
      </c>
      <c r="AO393" t="s">
        <v>11000</v>
      </c>
      <c r="AP393" t="s">
        <v>11045</v>
      </c>
      <c r="AR393" t="s">
        <v>11257</v>
      </c>
      <c r="AS393" t="s">
        <v>9926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</row>
    <row r="394" spans="1:59">
      <c r="A394" s="1">
        <f>HYPERLINK("https://lsnyc.legalserver.org/matter/dynamic-profile/view/1904089","19-1904089")</f>
        <v>0</v>
      </c>
      <c r="B394" t="s">
        <v>404</v>
      </c>
      <c r="C394" t="s">
        <v>5326</v>
      </c>
      <c r="D394" t="s">
        <v>9926</v>
      </c>
      <c r="E394" t="s">
        <v>10075</v>
      </c>
      <c r="F394">
        <v>10468</v>
      </c>
      <c r="G394" t="s">
        <v>10090</v>
      </c>
      <c r="H394" t="s">
        <v>10117</v>
      </c>
      <c r="I394" t="s">
        <v>10168</v>
      </c>
      <c r="J394" t="s">
        <v>10210</v>
      </c>
      <c r="K394" t="s">
        <v>10217</v>
      </c>
      <c r="M394" t="s">
        <v>10415</v>
      </c>
      <c r="N394" t="s">
        <v>10651</v>
      </c>
      <c r="P394" t="s">
        <v>10749</v>
      </c>
      <c r="Q394" t="s">
        <v>10765</v>
      </c>
      <c r="R394" t="s">
        <v>10821</v>
      </c>
      <c r="T394">
        <v>0</v>
      </c>
      <c r="U394">
        <v>0</v>
      </c>
      <c r="V394">
        <v>27</v>
      </c>
      <c r="W394">
        <v>1</v>
      </c>
      <c r="X394">
        <v>2</v>
      </c>
      <c r="Z394">
        <v>0</v>
      </c>
      <c r="AA394">
        <v>40.86044</v>
      </c>
      <c r="AB394">
        <v>-73.90025</v>
      </c>
      <c r="AD394" t="s">
        <v>10839</v>
      </c>
      <c r="AG394" t="s">
        <v>10858</v>
      </c>
      <c r="AH394" t="s">
        <v>10862</v>
      </c>
      <c r="AI394">
        <v>230</v>
      </c>
      <c r="AJ394" t="s">
        <v>10210</v>
      </c>
      <c r="AL394">
        <v>31.9</v>
      </c>
      <c r="AM394" t="s">
        <v>10884</v>
      </c>
      <c r="AN394" t="s">
        <v>10931</v>
      </c>
      <c r="AO394" t="s">
        <v>11000</v>
      </c>
      <c r="AP394" t="s">
        <v>11045</v>
      </c>
      <c r="AR394" t="s">
        <v>11279</v>
      </c>
      <c r="AS394" t="s">
        <v>9926</v>
      </c>
      <c r="AT394" t="s">
        <v>11641</v>
      </c>
      <c r="AX394" t="s">
        <v>10838</v>
      </c>
      <c r="BA394" t="s">
        <v>11738</v>
      </c>
      <c r="BB394">
        <v>0</v>
      </c>
      <c r="BC394">
        <v>0</v>
      </c>
      <c r="BD394">
        <v>0</v>
      </c>
      <c r="BE394">
        <v>0</v>
      </c>
      <c r="BF394">
        <v>5</v>
      </c>
      <c r="BG394">
        <v>0</v>
      </c>
    </row>
    <row r="395" spans="1:59">
      <c r="A395" s="1">
        <f>HYPERLINK("https://lsnyc.legalserver.org/matter/dynamic-profile/view/1904090","19-1904090")</f>
        <v>0</v>
      </c>
      <c r="B395" t="s">
        <v>405</v>
      </c>
      <c r="C395" t="s">
        <v>5327</v>
      </c>
      <c r="D395" t="s">
        <v>9941</v>
      </c>
      <c r="E395" t="s">
        <v>10075</v>
      </c>
      <c r="F395">
        <v>11428</v>
      </c>
      <c r="G395" t="s">
        <v>10092</v>
      </c>
      <c r="H395" t="s">
        <v>10117</v>
      </c>
      <c r="I395" t="s">
        <v>10168</v>
      </c>
      <c r="J395" t="s">
        <v>10212</v>
      </c>
      <c r="K395" t="s">
        <v>10218</v>
      </c>
      <c r="L395" t="s">
        <v>10138</v>
      </c>
      <c r="M395" t="s">
        <v>10416</v>
      </c>
      <c r="N395" t="s">
        <v>10671</v>
      </c>
      <c r="P395" t="s">
        <v>10749</v>
      </c>
      <c r="Q395" t="s">
        <v>10769</v>
      </c>
      <c r="R395" t="s">
        <v>10824</v>
      </c>
      <c r="T395">
        <v>33800</v>
      </c>
      <c r="U395">
        <v>2816.67</v>
      </c>
      <c r="V395">
        <v>35</v>
      </c>
      <c r="W395">
        <v>1</v>
      </c>
      <c r="X395">
        <v>1</v>
      </c>
      <c r="Y395" t="s">
        <v>10829</v>
      </c>
      <c r="Z395">
        <v>199.88</v>
      </c>
      <c r="AA395">
        <v>40.72229</v>
      </c>
      <c r="AB395">
        <v>-73.74244</v>
      </c>
      <c r="AD395" t="s">
        <v>10840</v>
      </c>
      <c r="AG395" t="s">
        <v>10858</v>
      </c>
      <c r="AH395" t="s">
        <v>10861</v>
      </c>
      <c r="AI395">
        <v>234</v>
      </c>
      <c r="AJ395" t="s">
        <v>10214</v>
      </c>
      <c r="AK395" t="s">
        <v>10838</v>
      </c>
      <c r="AL395">
        <v>4.4</v>
      </c>
      <c r="AM395" t="s">
        <v>10892</v>
      </c>
      <c r="AN395" t="s">
        <v>10940</v>
      </c>
      <c r="AO395" t="s">
        <v>11020</v>
      </c>
      <c r="AP395" t="s">
        <v>11078</v>
      </c>
      <c r="AR395" t="s">
        <v>11332</v>
      </c>
      <c r="AS395" t="s">
        <v>11594</v>
      </c>
      <c r="AT395" t="s">
        <v>11642</v>
      </c>
      <c r="AX395" t="s">
        <v>10838</v>
      </c>
      <c r="AY395" t="s">
        <v>10829</v>
      </c>
      <c r="AZ395" t="s">
        <v>11681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</row>
    <row r="396" spans="1:59">
      <c r="A396" s="1">
        <f>HYPERLINK("https://lsnyc.legalserver.org/matter/dynamic-profile/view/1904091","19-1904091")</f>
        <v>0</v>
      </c>
      <c r="B396" t="s">
        <v>406</v>
      </c>
      <c r="C396" t="s">
        <v>5328</v>
      </c>
      <c r="D396" t="s">
        <v>9926</v>
      </c>
      <c r="E396" t="s">
        <v>10075</v>
      </c>
      <c r="F396">
        <v>10453</v>
      </c>
      <c r="G396" t="s">
        <v>10093</v>
      </c>
      <c r="H396" t="s">
        <v>10117</v>
      </c>
      <c r="I396" t="s">
        <v>10169</v>
      </c>
      <c r="J396" t="s">
        <v>10213</v>
      </c>
      <c r="K396" t="s">
        <v>10217</v>
      </c>
      <c r="M396" t="s">
        <v>10253</v>
      </c>
      <c r="N396" t="s">
        <v>10673</v>
      </c>
      <c r="P396" t="s">
        <v>10753</v>
      </c>
      <c r="Q396" t="s">
        <v>10763</v>
      </c>
      <c r="R396" t="s">
        <v>10823</v>
      </c>
      <c r="T396">
        <v>4512</v>
      </c>
      <c r="U396">
        <v>376</v>
      </c>
      <c r="V396">
        <v>30</v>
      </c>
      <c r="W396">
        <v>1</v>
      </c>
      <c r="X396">
        <v>0</v>
      </c>
      <c r="Z396">
        <v>36.12</v>
      </c>
      <c r="AA396">
        <v>40.847992</v>
      </c>
      <c r="AB396">
        <v>-73.918476</v>
      </c>
      <c r="AD396" t="s">
        <v>10840</v>
      </c>
      <c r="AF396" t="s">
        <v>10842</v>
      </c>
      <c r="AG396" t="s">
        <v>10859</v>
      </c>
      <c r="AH396" t="s">
        <v>10864</v>
      </c>
      <c r="AI396">
        <v>239</v>
      </c>
      <c r="AJ396" t="s">
        <v>10213</v>
      </c>
      <c r="AL396">
        <v>5.5</v>
      </c>
      <c r="AM396" t="s">
        <v>10884</v>
      </c>
      <c r="AN396" t="s">
        <v>10929</v>
      </c>
      <c r="AO396" t="s">
        <v>11013</v>
      </c>
      <c r="AP396" t="s">
        <v>11045</v>
      </c>
      <c r="AQ396" t="s">
        <v>11109</v>
      </c>
      <c r="AR396" t="s">
        <v>11333</v>
      </c>
      <c r="AS396" t="s">
        <v>9926</v>
      </c>
      <c r="AT396" t="s">
        <v>11642</v>
      </c>
      <c r="AX396" t="s">
        <v>10837</v>
      </c>
      <c r="BA396" t="s">
        <v>11739</v>
      </c>
      <c r="BB396">
        <v>0</v>
      </c>
      <c r="BC396">
        <v>0</v>
      </c>
      <c r="BD396">
        <v>0</v>
      </c>
      <c r="BE396">
        <v>0</v>
      </c>
      <c r="BF396">
        <v>4</v>
      </c>
      <c r="BG396">
        <v>0</v>
      </c>
    </row>
    <row r="397" spans="1:59">
      <c r="A397" s="1">
        <f>HYPERLINK("https://lsnyc.legalserver.org/matter/dynamic-profile/view/1904092","19-1904092")</f>
        <v>0</v>
      </c>
      <c r="B397" t="s">
        <v>407</v>
      </c>
      <c r="C397" t="s">
        <v>5329</v>
      </c>
      <c r="D397" t="s">
        <v>9926</v>
      </c>
      <c r="E397" t="s">
        <v>10075</v>
      </c>
      <c r="F397">
        <v>10457</v>
      </c>
      <c r="G397" t="s">
        <v>10090</v>
      </c>
      <c r="H397" t="s">
        <v>10117</v>
      </c>
      <c r="I397" t="s">
        <v>10168</v>
      </c>
      <c r="J397" t="s">
        <v>10210</v>
      </c>
      <c r="K397" t="s">
        <v>10217</v>
      </c>
      <c r="M397" t="s">
        <v>10271</v>
      </c>
      <c r="N397" t="s">
        <v>10651</v>
      </c>
      <c r="P397" t="s">
        <v>10749</v>
      </c>
      <c r="Q397" t="s">
        <v>10765</v>
      </c>
      <c r="R397" t="s">
        <v>10824</v>
      </c>
      <c r="T397">
        <v>24012</v>
      </c>
      <c r="U397">
        <v>2001</v>
      </c>
      <c r="V397">
        <v>48</v>
      </c>
      <c r="W397">
        <v>2</v>
      </c>
      <c r="X397">
        <v>7</v>
      </c>
      <c r="Z397">
        <v>50.18</v>
      </c>
      <c r="AA397">
        <v>40.851417</v>
      </c>
      <c r="AB397">
        <v>-73.90258900000001</v>
      </c>
      <c r="AD397" t="s">
        <v>10840</v>
      </c>
      <c r="AG397" t="s">
        <v>10858</v>
      </c>
      <c r="AH397" t="s">
        <v>10861</v>
      </c>
      <c r="AI397">
        <v>230</v>
      </c>
      <c r="AJ397" t="s">
        <v>10210</v>
      </c>
      <c r="AL397">
        <v>6.5</v>
      </c>
      <c r="AM397" t="s">
        <v>10884</v>
      </c>
      <c r="AN397" t="s">
        <v>10931</v>
      </c>
      <c r="AO397" t="s">
        <v>11000</v>
      </c>
      <c r="AP397" t="s">
        <v>11056</v>
      </c>
      <c r="AR397" t="s">
        <v>11282</v>
      </c>
      <c r="AS397" t="s">
        <v>9926</v>
      </c>
      <c r="AT397" t="s">
        <v>11642</v>
      </c>
      <c r="AX397" t="s">
        <v>10838</v>
      </c>
      <c r="BA397" t="s">
        <v>11738</v>
      </c>
      <c r="BB397">
        <v>0</v>
      </c>
      <c r="BC397">
        <v>0</v>
      </c>
      <c r="BD397">
        <v>0</v>
      </c>
      <c r="BE397">
        <v>0</v>
      </c>
      <c r="BF397">
        <v>5</v>
      </c>
      <c r="BG397">
        <v>0</v>
      </c>
    </row>
    <row r="398" spans="1:59">
      <c r="A398" s="1">
        <f>HYPERLINK("https://lsnyc.legalserver.org/matter/dynamic-profile/view/1904093","19-1904093")</f>
        <v>0</v>
      </c>
      <c r="B398" t="s">
        <v>404</v>
      </c>
      <c r="C398" t="s">
        <v>5326</v>
      </c>
      <c r="D398" t="s">
        <v>9926</v>
      </c>
      <c r="E398" t="s">
        <v>10075</v>
      </c>
      <c r="F398">
        <v>10468</v>
      </c>
      <c r="G398" t="s">
        <v>10090</v>
      </c>
      <c r="H398" t="s">
        <v>10117</v>
      </c>
      <c r="I398" t="s">
        <v>10168</v>
      </c>
      <c r="J398" t="s">
        <v>10210</v>
      </c>
      <c r="K398" t="s">
        <v>10217</v>
      </c>
      <c r="M398" t="s">
        <v>10415</v>
      </c>
      <c r="N398" t="s">
        <v>10671</v>
      </c>
      <c r="P398" t="s">
        <v>10751</v>
      </c>
      <c r="Q398" t="s">
        <v>10761</v>
      </c>
      <c r="R398" t="s">
        <v>10821</v>
      </c>
      <c r="T398">
        <v>0</v>
      </c>
      <c r="U398">
        <v>0</v>
      </c>
      <c r="V398">
        <v>27</v>
      </c>
      <c r="W398">
        <v>1</v>
      </c>
      <c r="X398">
        <v>2</v>
      </c>
      <c r="Z398">
        <v>0</v>
      </c>
      <c r="AA398">
        <v>40.86044</v>
      </c>
      <c r="AB398">
        <v>-73.90025</v>
      </c>
      <c r="AD398" t="s">
        <v>10839</v>
      </c>
      <c r="AG398" t="s">
        <v>10858</v>
      </c>
      <c r="AH398" t="s">
        <v>10862</v>
      </c>
      <c r="AI398">
        <v>230</v>
      </c>
      <c r="AJ398" t="s">
        <v>10210</v>
      </c>
      <c r="AL398">
        <v>0</v>
      </c>
      <c r="AM398" t="s">
        <v>10884</v>
      </c>
      <c r="AN398" t="s">
        <v>10931</v>
      </c>
      <c r="AO398" t="s">
        <v>11000</v>
      </c>
      <c r="AP398" t="s">
        <v>11045</v>
      </c>
      <c r="AR398" t="s">
        <v>11279</v>
      </c>
      <c r="AS398" t="s">
        <v>9926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</row>
    <row r="399" spans="1:59">
      <c r="A399" s="1">
        <f>HYPERLINK("https://lsnyc.legalserver.org/matter/dynamic-profile/view/1904094","19-1904094")</f>
        <v>0</v>
      </c>
      <c r="B399" t="s">
        <v>407</v>
      </c>
      <c r="C399" t="s">
        <v>5329</v>
      </c>
      <c r="D399" t="s">
        <v>9926</v>
      </c>
      <c r="E399" t="s">
        <v>10075</v>
      </c>
      <c r="F399">
        <v>10457</v>
      </c>
      <c r="G399" t="s">
        <v>10090</v>
      </c>
      <c r="H399" t="s">
        <v>10117</v>
      </c>
      <c r="I399" t="s">
        <v>10168</v>
      </c>
      <c r="J399" t="s">
        <v>10210</v>
      </c>
      <c r="K399" t="s">
        <v>10217</v>
      </c>
      <c r="M399" t="s">
        <v>10287</v>
      </c>
      <c r="N399" t="s">
        <v>10671</v>
      </c>
      <c r="P399" t="s">
        <v>10751</v>
      </c>
      <c r="Q399" t="s">
        <v>10761</v>
      </c>
      <c r="R399" t="s">
        <v>10824</v>
      </c>
      <c r="T399">
        <v>24012</v>
      </c>
      <c r="U399">
        <v>2001</v>
      </c>
      <c r="V399">
        <v>48</v>
      </c>
      <c r="W399">
        <v>2</v>
      </c>
      <c r="X399">
        <v>7</v>
      </c>
      <c r="Z399">
        <v>50.18</v>
      </c>
      <c r="AA399">
        <v>40.851417</v>
      </c>
      <c r="AB399">
        <v>-73.90258900000001</v>
      </c>
      <c r="AD399" t="s">
        <v>10840</v>
      </c>
      <c r="AG399" t="s">
        <v>10858</v>
      </c>
      <c r="AH399" t="s">
        <v>10861</v>
      </c>
      <c r="AI399">
        <v>230</v>
      </c>
      <c r="AJ399" t="s">
        <v>10210</v>
      </c>
      <c r="AL399">
        <v>4.25</v>
      </c>
      <c r="AM399" t="s">
        <v>10884</v>
      </c>
      <c r="AN399" t="s">
        <v>10931</v>
      </c>
      <c r="AO399" t="s">
        <v>11000</v>
      </c>
      <c r="AP399" t="s">
        <v>11056</v>
      </c>
      <c r="AR399" t="s">
        <v>11295</v>
      </c>
      <c r="AS399" t="s">
        <v>9926</v>
      </c>
      <c r="BA399" t="s">
        <v>11742</v>
      </c>
      <c r="BB399">
        <v>0</v>
      </c>
      <c r="BC399">
        <v>0</v>
      </c>
      <c r="BD399">
        <v>0</v>
      </c>
      <c r="BE399">
        <v>0</v>
      </c>
      <c r="BF399">
        <v>7</v>
      </c>
      <c r="BG399">
        <v>0</v>
      </c>
    </row>
    <row r="400" spans="1:59">
      <c r="A400" s="1">
        <f>HYPERLINK("https://lsnyc.legalserver.org/matter/dynamic-profile/view/1904096","19-1904096")</f>
        <v>0</v>
      </c>
      <c r="B400" t="s">
        <v>408</v>
      </c>
      <c r="C400" t="s">
        <v>5330</v>
      </c>
      <c r="D400" t="s">
        <v>9926</v>
      </c>
      <c r="E400" t="s">
        <v>10075</v>
      </c>
      <c r="F400">
        <v>10467</v>
      </c>
      <c r="G400" t="s">
        <v>10090</v>
      </c>
      <c r="H400" t="s">
        <v>10094</v>
      </c>
      <c r="I400" t="s">
        <v>10168</v>
      </c>
      <c r="J400" t="s">
        <v>10210</v>
      </c>
      <c r="K400" t="s">
        <v>10218</v>
      </c>
      <c r="L400" t="s">
        <v>10221</v>
      </c>
      <c r="M400" t="s">
        <v>10417</v>
      </c>
      <c r="N400" t="s">
        <v>10651</v>
      </c>
      <c r="P400" t="s">
        <v>10749</v>
      </c>
      <c r="Q400" t="s">
        <v>10765</v>
      </c>
      <c r="R400" t="s">
        <v>10821</v>
      </c>
      <c r="T400">
        <v>11712</v>
      </c>
      <c r="U400">
        <v>976</v>
      </c>
      <c r="V400">
        <v>46</v>
      </c>
      <c r="W400">
        <v>2</v>
      </c>
      <c r="X400">
        <v>0</v>
      </c>
      <c r="Y400" t="s">
        <v>10831</v>
      </c>
      <c r="Z400">
        <v>69.26000000000001</v>
      </c>
      <c r="AA400">
        <v>40.870739</v>
      </c>
      <c r="AB400">
        <v>-73.868488</v>
      </c>
      <c r="AD400" t="s">
        <v>10839</v>
      </c>
      <c r="AG400" t="s">
        <v>10858</v>
      </c>
      <c r="AH400" t="s">
        <v>10862</v>
      </c>
      <c r="AI400">
        <v>230</v>
      </c>
      <c r="AJ400" t="s">
        <v>10210</v>
      </c>
      <c r="AK400" t="s">
        <v>10882</v>
      </c>
      <c r="AL400">
        <v>14.5</v>
      </c>
      <c r="AM400" t="s">
        <v>10893</v>
      </c>
      <c r="AN400" t="s">
        <v>10938</v>
      </c>
      <c r="AO400" t="s">
        <v>11010</v>
      </c>
      <c r="AP400" t="s">
        <v>11056</v>
      </c>
      <c r="AR400" t="s">
        <v>11334</v>
      </c>
      <c r="AS400" t="s">
        <v>9926</v>
      </c>
      <c r="AT400" t="s">
        <v>11641</v>
      </c>
      <c r="AX400" t="s">
        <v>10838</v>
      </c>
      <c r="AY400" t="s">
        <v>10831</v>
      </c>
      <c r="AZ400" t="s">
        <v>11704</v>
      </c>
      <c r="BA400" t="s">
        <v>11738</v>
      </c>
      <c r="BB400">
        <v>0</v>
      </c>
      <c r="BC400">
        <v>0</v>
      </c>
      <c r="BD400">
        <v>0</v>
      </c>
      <c r="BE400">
        <v>0</v>
      </c>
      <c r="BF400">
        <v>5</v>
      </c>
      <c r="BG400">
        <v>0</v>
      </c>
    </row>
    <row r="401" spans="1:59">
      <c r="A401" s="1">
        <f>HYPERLINK("https://lsnyc.legalserver.org/matter/dynamic-profile/view/1904097","19-1904097")</f>
        <v>0</v>
      </c>
      <c r="B401" t="s">
        <v>409</v>
      </c>
      <c r="C401" t="s">
        <v>5331</v>
      </c>
      <c r="D401" t="s">
        <v>9926</v>
      </c>
      <c r="E401" t="s">
        <v>10075</v>
      </c>
      <c r="F401">
        <v>10468</v>
      </c>
      <c r="G401" t="s">
        <v>10090</v>
      </c>
      <c r="H401" t="s">
        <v>10117</v>
      </c>
      <c r="I401" t="s">
        <v>10169</v>
      </c>
      <c r="J401" t="s">
        <v>10210</v>
      </c>
      <c r="K401" t="s">
        <v>10217</v>
      </c>
      <c r="M401" t="s">
        <v>10235</v>
      </c>
      <c r="N401" t="s">
        <v>10651</v>
      </c>
      <c r="P401" t="s">
        <v>10749</v>
      </c>
      <c r="Q401" t="s">
        <v>10765</v>
      </c>
      <c r="R401" t="s">
        <v>10823</v>
      </c>
      <c r="T401">
        <v>10764</v>
      </c>
      <c r="U401">
        <v>897</v>
      </c>
      <c r="V401">
        <v>59</v>
      </c>
      <c r="W401">
        <v>2</v>
      </c>
      <c r="X401">
        <v>1</v>
      </c>
      <c r="Z401">
        <v>50.46</v>
      </c>
      <c r="AA401">
        <v>40.861124</v>
      </c>
      <c r="AB401">
        <v>-73.908012</v>
      </c>
      <c r="AD401" t="s">
        <v>10839</v>
      </c>
      <c r="AG401" t="s">
        <v>10858</v>
      </c>
      <c r="AH401" t="s">
        <v>10861</v>
      </c>
      <c r="AI401">
        <v>230</v>
      </c>
      <c r="AJ401" t="s">
        <v>10210</v>
      </c>
      <c r="AL401">
        <v>4.8</v>
      </c>
      <c r="AM401" t="s">
        <v>10887</v>
      </c>
      <c r="AN401" t="s">
        <v>10931</v>
      </c>
      <c r="AO401" t="s">
        <v>11000</v>
      </c>
      <c r="AP401" t="s">
        <v>11045</v>
      </c>
      <c r="AR401" t="s">
        <v>11262</v>
      </c>
      <c r="AS401" t="s">
        <v>9926</v>
      </c>
      <c r="AT401" t="s">
        <v>10841</v>
      </c>
      <c r="AX401" t="s">
        <v>10838</v>
      </c>
      <c r="BA401" t="s">
        <v>11738</v>
      </c>
      <c r="BB401">
        <v>0</v>
      </c>
      <c r="BC401">
        <v>0</v>
      </c>
      <c r="BD401">
        <v>0</v>
      </c>
      <c r="BE401">
        <v>0</v>
      </c>
      <c r="BF401">
        <v>5</v>
      </c>
      <c r="BG401">
        <v>0</v>
      </c>
    </row>
    <row r="402" spans="1:59">
      <c r="A402" s="1">
        <f>HYPERLINK("https://lsnyc.legalserver.org/matter/dynamic-profile/view/1904098","19-1904098")</f>
        <v>0</v>
      </c>
      <c r="B402" t="s">
        <v>408</v>
      </c>
      <c r="C402" t="s">
        <v>5330</v>
      </c>
      <c r="D402" t="s">
        <v>9926</v>
      </c>
      <c r="E402" t="s">
        <v>10075</v>
      </c>
      <c r="F402">
        <v>10467</v>
      </c>
      <c r="G402" t="s">
        <v>10090</v>
      </c>
      <c r="H402" t="s">
        <v>10094</v>
      </c>
      <c r="I402" t="s">
        <v>10168</v>
      </c>
      <c r="J402" t="s">
        <v>10210</v>
      </c>
      <c r="K402" t="s">
        <v>10217</v>
      </c>
      <c r="M402" t="s">
        <v>10417</v>
      </c>
      <c r="N402" t="s">
        <v>10671</v>
      </c>
      <c r="P402" t="s">
        <v>10751</v>
      </c>
      <c r="Q402" t="s">
        <v>10761</v>
      </c>
      <c r="R402" t="s">
        <v>10821</v>
      </c>
      <c r="T402">
        <v>11712</v>
      </c>
      <c r="U402">
        <v>976</v>
      </c>
      <c r="V402">
        <v>46</v>
      </c>
      <c r="W402">
        <v>2</v>
      </c>
      <c r="X402">
        <v>0</v>
      </c>
      <c r="Z402">
        <v>69.26000000000001</v>
      </c>
      <c r="AA402">
        <v>40.870739</v>
      </c>
      <c r="AB402">
        <v>-73.868488</v>
      </c>
      <c r="AD402" t="s">
        <v>10839</v>
      </c>
      <c r="AG402" t="s">
        <v>10858</v>
      </c>
      <c r="AH402" t="s">
        <v>10862</v>
      </c>
      <c r="AI402">
        <v>230</v>
      </c>
      <c r="AJ402" t="s">
        <v>10210</v>
      </c>
      <c r="AL402">
        <v>0</v>
      </c>
      <c r="AM402" t="s">
        <v>10893</v>
      </c>
      <c r="AN402" t="s">
        <v>10938</v>
      </c>
      <c r="AO402" t="s">
        <v>11010</v>
      </c>
      <c r="AP402" t="s">
        <v>11056</v>
      </c>
      <c r="AR402" t="s">
        <v>11334</v>
      </c>
      <c r="AS402" t="s">
        <v>9926</v>
      </c>
      <c r="AT402" t="s">
        <v>11641</v>
      </c>
      <c r="AX402" t="s">
        <v>10838</v>
      </c>
      <c r="BA402" t="s">
        <v>11738</v>
      </c>
      <c r="BB402">
        <v>0</v>
      </c>
      <c r="BC402">
        <v>0</v>
      </c>
      <c r="BD402">
        <v>0</v>
      </c>
      <c r="BE402">
        <v>0</v>
      </c>
      <c r="BF402">
        <v>5</v>
      </c>
      <c r="BG402">
        <v>0</v>
      </c>
    </row>
    <row r="403" spans="1:59">
      <c r="A403" s="1">
        <f>HYPERLINK("https://lsnyc.legalserver.org/matter/dynamic-profile/view/1904099","19-1904099")</f>
        <v>0</v>
      </c>
      <c r="B403" t="s">
        <v>410</v>
      </c>
      <c r="C403" t="s">
        <v>5332</v>
      </c>
      <c r="D403" t="s">
        <v>9959</v>
      </c>
      <c r="E403" t="s">
        <v>10075</v>
      </c>
      <c r="F403">
        <v>11356</v>
      </c>
      <c r="G403" t="s">
        <v>10092</v>
      </c>
      <c r="H403" t="s">
        <v>10094</v>
      </c>
      <c r="I403" t="s">
        <v>10168</v>
      </c>
      <c r="J403" t="s">
        <v>10212</v>
      </c>
      <c r="K403" t="s">
        <v>10218</v>
      </c>
      <c r="L403" t="s">
        <v>10160</v>
      </c>
      <c r="M403" t="s">
        <v>10269</v>
      </c>
      <c r="N403" t="s">
        <v>10669</v>
      </c>
      <c r="P403" t="s">
        <v>10754</v>
      </c>
      <c r="Q403" t="s">
        <v>10775</v>
      </c>
      <c r="R403" t="s">
        <v>10823</v>
      </c>
      <c r="T403">
        <v>70200</v>
      </c>
      <c r="U403">
        <v>5850</v>
      </c>
      <c r="V403">
        <v>32</v>
      </c>
      <c r="W403">
        <v>1</v>
      </c>
      <c r="X403">
        <v>2</v>
      </c>
      <c r="Y403" t="s">
        <v>10829</v>
      </c>
      <c r="Z403">
        <v>329.11</v>
      </c>
      <c r="AA403">
        <v>40.7794</v>
      </c>
      <c r="AB403">
        <v>-73.842692</v>
      </c>
      <c r="AD403" t="s">
        <v>10839</v>
      </c>
      <c r="AG403" t="s">
        <v>10858</v>
      </c>
      <c r="AH403" t="s">
        <v>10865</v>
      </c>
      <c r="AI403">
        <v>237</v>
      </c>
      <c r="AJ403" t="s">
        <v>10212</v>
      </c>
      <c r="AK403" t="s">
        <v>10837</v>
      </c>
      <c r="AL403">
        <v>1.8</v>
      </c>
      <c r="AM403" t="s">
        <v>10885</v>
      </c>
      <c r="AN403" t="s">
        <v>10962</v>
      </c>
      <c r="AO403" t="s">
        <v>11022</v>
      </c>
      <c r="AP403" t="s">
        <v>11080</v>
      </c>
      <c r="AQ403" t="s">
        <v>11138</v>
      </c>
      <c r="AR403" t="s">
        <v>11335</v>
      </c>
      <c r="AS403" t="s">
        <v>11594</v>
      </c>
      <c r="AT403" t="s">
        <v>11641</v>
      </c>
      <c r="AX403" t="s">
        <v>10838</v>
      </c>
      <c r="AY403" t="s">
        <v>10829</v>
      </c>
      <c r="AZ403" t="s">
        <v>11683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</row>
    <row r="404" spans="1:59">
      <c r="A404" s="1">
        <f>HYPERLINK("https://lsnyc.legalserver.org/matter/dynamic-profile/view/1904100","19-1904100")</f>
        <v>0</v>
      </c>
      <c r="B404" t="s">
        <v>409</v>
      </c>
      <c r="C404" t="s">
        <v>5331</v>
      </c>
      <c r="D404" t="s">
        <v>9926</v>
      </c>
      <c r="E404" t="s">
        <v>10075</v>
      </c>
      <c r="F404">
        <v>10468</v>
      </c>
      <c r="G404" t="s">
        <v>10090</v>
      </c>
      <c r="H404" t="s">
        <v>10117</v>
      </c>
      <c r="I404" t="s">
        <v>10169</v>
      </c>
      <c r="J404" t="s">
        <v>10210</v>
      </c>
      <c r="K404" t="s">
        <v>10217</v>
      </c>
      <c r="M404" t="s">
        <v>10334</v>
      </c>
      <c r="N404" t="s">
        <v>10671</v>
      </c>
      <c r="P404" t="s">
        <v>10751</v>
      </c>
      <c r="Q404" t="s">
        <v>10761</v>
      </c>
      <c r="R404" t="s">
        <v>10823</v>
      </c>
      <c r="T404">
        <v>10764</v>
      </c>
      <c r="U404">
        <v>897</v>
      </c>
      <c r="V404">
        <v>59</v>
      </c>
      <c r="W404">
        <v>2</v>
      </c>
      <c r="X404">
        <v>1</v>
      </c>
      <c r="Z404">
        <v>50.46</v>
      </c>
      <c r="AA404">
        <v>40.861124</v>
      </c>
      <c r="AB404">
        <v>-73.908012</v>
      </c>
      <c r="AD404" t="s">
        <v>10839</v>
      </c>
      <c r="AG404" t="s">
        <v>10858</v>
      </c>
      <c r="AH404" t="s">
        <v>10861</v>
      </c>
      <c r="AI404">
        <v>230</v>
      </c>
      <c r="AJ404" t="s">
        <v>10210</v>
      </c>
      <c r="AL404">
        <v>2.25</v>
      </c>
      <c r="AM404" t="s">
        <v>10887</v>
      </c>
      <c r="AN404" t="s">
        <v>10931</v>
      </c>
      <c r="AO404" t="s">
        <v>11000</v>
      </c>
      <c r="AP404" t="s">
        <v>11045</v>
      </c>
      <c r="AR404" t="s">
        <v>11262</v>
      </c>
      <c r="AS404" t="s">
        <v>9926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</row>
    <row r="405" spans="1:59">
      <c r="A405" s="1">
        <f>HYPERLINK("https://lsnyc.legalserver.org/matter/dynamic-profile/view/1904101","19-1904101")</f>
        <v>0</v>
      </c>
      <c r="B405" t="s">
        <v>411</v>
      </c>
      <c r="C405" t="s">
        <v>5333</v>
      </c>
      <c r="D405" t="s">
        <v>9926</v>
      </c>
      <c r="E405" t="s">
        <v>10075</v>
      </c>
      <c r="F405">
        <v>10457</v>
      </c>
      <c r="G405" t="s">
        <v>10090</v>
      </c>
      <c r="H405" t="s">
        <v>10117</v>
      </c>
      <c r="I405" t="s">
        <v>10169</v>
      </c>
      <c r="J405" t="s">
        <v>10210</v>
      </c>
      <c r="K405" t="s">
        <v>10217</v>
      </c>
      <c r="M405" t="s">
        <v>10418</v>
      </c>
      <c r="N405" t="s">
        <v>10651</v>
      </c>
      <c r="P405" t="s">
        <v>10749</v>
      </c>
      <c r="Q405" t="s">
        <v>10765</v>
      </c>
      <c r="R405" t="s">
        <v>10823</v>
      </c>
      <c r="T405">
        <v>15600</v>
      </c>
      <c r="U405">
        <v>1300</v>
      </c>
      <c r="V405">
        <v>28</v>
      </c>
      <c r="W405">
        <v>2</v>
      </c>
      <c r="X405">
        <v>0</v>
      </c>
      <c r="Z405">
        <v>92.25</v>
      </c>
      <c r="AA405">
        <v>40.853661</v>
      </c>
      <c r="AB405">
        <v>-73.90025</v>
      </c>
      <c r="AD405" t="s">
        <v>10839</v>
      </c>
      <c r="AF405" t="s">
        <v>10843</v>
      </c>
      <c r="AG405" t="s">
        <v>10859</v>
      </c>
      <c r="AH405" t="s">
        <v>10861</v>
      </c>
      <c r="AI405">
        <v>230</v>
      </c>
      <c r="AJ405" t="s">
        <v>10210</v>
      </c>
      <c r="AL405">
        <v>40.15</v>
      </c>
      <c r="AM405" t="s">
        <v>10884</v>
      </c>
      <c r="AN405" t="s">
        <v>10931</v>
      </c>
      <c r="AO405" t="s">
        <v>11000</v>
      </c>
      <c r="AP405" t="s">
        <v>11056</v>
      </c>
      <c r="AR405" t="s">
        <v>11257</v>
      </c>
      <c r="AS405" t="s">
        <v>9926</v>
      </c>
      <c r="AT405" t="s">
        <v>11641</v>
      </c>
      <c r="AX405" t="s">
        <v>10838</v>
      </c>
      <c r="BA405" t="s">
        <v>11738</v>
      </c>
      <c r="BB405">
        <v>0</v>
      </c>
      <c r="BC405">
        <v>0</v>
      </c>
      <c r="BD405">
        <v>0</v>
      </c>
      <c r="BE405">
        <v>0</v>
      </c>
      <c r="BF405">
        <v>5</v>
      </c>
      <c r="BG405">
        <v>0</v>
      </c>
    </row>
    <row r="406" spans="1:59">
      <c r="A406" s="1">
        <f>HYPERLINK("https://lsnyc.legalserver.org/matter/dynamic-profile/view/1904102","19-1904102")</f>
        <v>0</v>
      </c>
      <c r="B406" t="s">
        <v>412</v>
      </c>
      <c r="C406" t="s">
        <v>5334</v>
      </c>
      <c r="D406" t="s">
        <v>9926</v>
      </c>
      <c r="E406" t="s">
        <v>10075</v>
      </c>
      <c r="F406">
        <v>10473</v>
      </c>
      <c r="G406" t="s">
        <v>10089</v>
      </c>
      <c r="H406" t="s">
        <v>10117</v>
      </c>
      <c r="I406" t="s">
        <v>10168</v>
      </c>
      <c r="J406" t="s">
        <v>10209</v>
      </c>
      <c r="K406" t="s">
        <v>10217</v>
      </c>
      <c r="M406" t="s">
        <v>10301</v>
      </c>
      <c r="N406" t="s">
        <v>10665</v>
      </c>
      <c r="P406" t="s">
        <v>10751</v>
      </c>
      <c r="Q406" t="s">
        <v>10773</v>
      </c>
      <c r="R406" t="s">
        <v>10824</v>
      </c>
      <c r="T406">
        <v>0</v>
      </c>
      <c r="U406">
        <v>0</v>
      </c>
      <c r="V406">
        <v>58</v>
      </c>
      <c r="W406">
        <v>1</v>
      </c>
      <c r="X406">
        <v>0</v>
      </c>
      <c r="Z406">
        <v>0</v>
      </c>
      <c r="AA406">
        <v>40.821409</v>
      </c>
      <c r="AB406">
        <v>-73.87595</v>
      </c>
      <c r="AD406" t="s">
        <v>10840</v>
      </c>
      <c r="AG406" t="s">
        <v>10858</v>
      </c>
      <c r="AH406" t="s">
        <v>10861</v>
      </c>
      <c r="AI406">
        <v>234</v>
      </c>
      <c r="AJ406" t="s">
        <v>10214</v>
      </c>
      <c r="AL406">
        <v>5.75</v>
      </c>
      <c r="AM406" t="s">
        <v>10884</v>
      </c>
      <c r="AN406" t="s">
        <v>10968</v>
      </c>
      <c r="AO406" t="s">
        <v>11001</v>
      </c>
      <c r="AP406" t="s">
        <v>11062</v>
      </c>
      <c r="AQ406" t="s">
        <v>11115</v>
      </c>
      <c r="AR406" t="s">
        <v>11267</v>
      </c>
      <c r="AS406" t="s">
        <v>9926</v>
      </c>
      <c r="AT406" t="s">
        <v>11642</v>
      </c>
      <c r="AX406" t="s">
        <v>10838</v>
      </c>
      <c r="BA406" t="s">
        <v>11741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0</v>
      </c>
    </row>
    <row r="407" spans="1:59">
      <c r="A407" s="1">
        <f>HYPERLINK("https://lsnyc.legalserver.org/matter/dynamic-profile/view/1904103","19-1904103")</f>
        <v>0</v>
      </c>
      <c r="B407" t="s">
        <v>413</v>
      </c>
      <c r="C407" t="s">
        <v>5335</v>
      </c>
      <c r="D407" t="s">
        <v>9926</v>
      </c>
      <c r="E407" t="s">
        <v>10075</v>
      </c>
      <c r="F407">
        <v>10467</v>
      </c>
      <c r="G407" t="s">
        <v>10090</v>
      </c>
      <c r="H407" t="s">
        <v>10094</v>
      </c>
      <c r="I407" t="s">
        <v>10168</v>
      </c>
      <c r="J407" t="s">
        <v>10210</v>
      </c>
      <c r="K407" t="s">
        <v>10217</v>
      </c>
      <c r="M407" t="s">
        <v>10417</v>
      </c>
      <c r="N407" t="s">
        <v>10651</v>
      </c>
      <c r="P407" t="s">
        <v>10749</v>
      </c>
      <c r="Q407" t="s">
        <v>10765</v>
      </c>
      <c r="R407" t="s">
        <v>10821</v>
      </c>
      <c r="T407">
        <v>1980</v>
      </c>
      <c r="U407">
        <v>165</v>
      </c>
      <c r="V407">
        <v>53</v>
      </c>
      <c r="W407">
        <v>1</v>
      </c>
      <c r="X407">
        <v>0</v>
      </c>
      <c r="Z407">
        <v>15.85</v>
      </c>
      <c r="AA407">
        <v>40.870169</v>
      </c>
      <c r="AB407">
        <v>-73.865013</v>
      </c>
      <c r="AD407" t="s">
        <v>10840</v>
      </c>
      <c r="AG407" t="s">
        <v>10858</v>
      </c>
      <c r="AH407" t="s">
        <v>10862</v>
      </c>
      <c r="AI407">
        <v>230</v>
      </c>
      <c r="AJ407" t="s">
        <v>10210</v>
      </c>
      <c r="AL407">
        <v>15.5</v>
      </c>
      <c r="AM407" t="s">
        <v>10893</v>
      </c>
      <c r="AN407" t="s">
        <v>10938</v>
      </c>
      <c r="AO407" t="s">
        <v>11010</v>
      </c>
      <c r="AP407" t="s">
        <v>11056</v>
      </c>
      <c r="AR407" t="s">
        <v>11255</v>
      </c>
      <c r="AS407" t="s">
        <v>9926</v>
      </c>
      <c r="AT407" t="s">
        <v>11642</v>
      </c>
      <c r="AX407" t="s">
        <v>10838</v>
      </c>
      <c r="BA407" t="s">
        <v>11738</v>
      </c>
      <c r="BB407">
        <v>0</v>
      </c>
      <c r="BC407">
        <v>0</v>
      </c>
      <c r="BD407">
        <v>0</v>
      </c>
      <c r="BE407">
        <v>0</v>
      </c>
      <c r="BF407">
        <v>5</v>
      </c>
      <c r="BG407">
        <v>0</v>
      </c>
    </row>
    <row r="408" spans="1:59">
      <c r="A408" s="1">
        <f>HYPERLINK("https://lsnyc.legalserver.org/matter/dynamic-profile/view/1904104","19-1904104")</f>
        <v>0</v>
      </c>
      <c r="B408" t="s">
        <v>414</v>
      </c>
      <c r="C408" t="s">
        <v>5336</v>
      </c>
      <c r="D408" t="s">
        <v>9926</v>
      </c>
      <c r="E408" t="s">
        <v>10075</v>
      </c>
      <c r="F408">
        <v>10467</v>
      </c>
      <c r="G408" t="s">
        <v>10090</v>
      </c>
      <c r="H408" t="s">
        <v>10117</v>
      </c>
      <c r="I408" t="s">
        <v>10168</v>
      </c>
      <c r="J408" t="s">
        <v>10210</v>
      </c>
      <c r="K408" t="s">
        <v>10217</v>
      </c>
      <c r="M408" t="s">
        <v>10279</v>
      </c>
      <c r="N408" t="s">
        <v>10651</v>
      </c>
      <c r="P408" t="s">
        <v>10749</v>
      </c>
      <c r="Q408" t="s">
        <v>10765</v>
      </c>
      <c r="R408" t="s">
        <v>10823</v>
      </c>
      <c r="T408">
        <v>0</v>
      </c>
      <c r="U408">
        <v>0</v>
      </c>
      <c r="V408">
        <v>25</v>
      </c>
      <c r="W408">
        <v>1</v>
      </c>
      <c r="X408">
        <v>0</v>
      </c>
      <c r="Z408">
        <v>0</v>
      </c>
      <c r="AA408">
        <v>40.863778</v>
      </c>
      <c r="AB408">
        <v>-73.868645</v>
      </c>
      <c r="AD408" t="s">
        <v>10840</v>
      </c>
      <c r="AG408" t="s">
        <v>10858</v>
      </c>
      <c r="AH408" t="s">
        <v>10861</v>
      </c>
      <c r="AI408">
        <v>230</v>
      </c>
      <c r="AJ408" t="s">
        <v>10210</v>
      </c>
      <c r="AL408">
        <v>1</v>
      </c>
      <c r="AM408" t="s">
        <v>10885</v>
      </c>
      <c r="AN408" t="s">
        <v>10938</v>
      </c>
      <c r="AO408" t="s">
        <v>11002</v>
      </c>
      <c r="AP408" t="s">
        <v>11056</v>
      </c>
      <c r="AR408" t="s">
        <v>11267</v>
      </c>
      <c r="AS408" t="s">
        <v>9926</v>
      </c>
      <c r="AT408" t="s">
        <v>11642</v>
      </c>
      <c r="AX408" t="s">
        <v>10838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</row>
    <row r="409" spans="1:59">
      <c r="A409" s="1">
        <f>HYPERLINK("https://lsnyc.legalserver.org/matter/dynamic-profile/view/1904105","19-1904105")</f>
        <v>0</v>
      </c>
      <c r="B409" t="s">
        <v>415</v>
      </c>
      <c r="C409" t="s">
        <v>5337</v>
      </c>
      <c r="D409" t="s">
        <v>9926</v>
      </c>
      <c r="E409" t="s">
        <v>10075</v>
      </c>
      <c r="F409">
        <v>10456</v>
      </c>
      <c r="G409" t="s">
        <v>10090</v>
      </c>
      <c r="H409" t="s">
        <v>10117</v>
      </c>
      <c r="I409" t="s">
        <v>10168</v>
      </c>
      <c r="J409" t="s">
        <v>10210</v>
      </c>
      <c r="K409" t="s">
        <v>10217</v>
      </c>
      <c r="M409" t="s">
        <v>10353</v>
      </c>
      <c r="N409" t="s">
        <v>10671</v>
      </c>
      <c r="P409" t="s">
        <v>10757</v>
      </c>
      <c r="Q409" t="s">
        <v>10797</v>
      </c>
      <c r="R409" t="s">
        <v>10824</v>
      </c>
      <c r="T409">
        <v>27000</v>
      </c>
      <c r="U409">
        <v>2250</v>
      </c>
      <c r="V409">
        <v>4</v>
      </c>
      <c r="W409">
        <v>1</v>
      </c>
      <c r="X409">
        <v>4</v>
      </c>
      <c r="Z409">
        <v>89.48999999999999</v>
      </c>
      <c r="AA409">
        <v>40.836505</v>
      </c>
      <c r="AB409">
        <v>-73.906634</v>
      </c>
      <c r="AD409" t="s">
        <v>10840</v>
      </c>
      <c r="AG409" t="s">
        <v>10858</v>
      </c>
      <c r="AH409" t="s">
        <v>10861</v>
      </c>
      <c r="AI409">
        <v>230</v>
      </c>
      <c r="AJ409" t="s">
        <v>10210</v>
      </c>
      <c r="AL409">
        <v>4.5</v>
      </c>
      <c r="AM409" t="s">
        <v>10884</v>
      </c>
      <c r="AN409" t="s">
        <v>10918</v>
      </c>
      <c r="AO409" t="s">
        <v>11000</v>
      </c>
      <c r="AP409" t="s">
        <v>11055</v>
      </c>
      <c r="AR409" t="s">
        <v>11263</v>
      </c>
      <c r="AS409" t="s">
        <v>9926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</row>
    <row r="410" spans="1:59">
      <c r="A410" s="1">
        <f>HYPERLINK("https://lsnyc.legalserver.org/matter/dynamic-profile/view/1904106","19-1904106")</f>
        <v>0</v>
      </c>
      <c r="B410" t="s">
        <v>411</v>
      </c>
      <c r="C410" t="s">
        <v>5333</v>
      </c>
      <c r="D410" t="s">
        <v>9926</v>
      </c>
      <c r="E410" t="s">
        <v>10075</v>
      </c>
      <c r="F410">
        <v>10457</v>
      </c>
      <c r="G410" t="s">
        <v>10090</v>
      </c>
      <c r="H410" t="s">
        <v>10117</v>
      </c>
      <c r="I410" t="s">
        <v>10169</v>
      </c>
      <c r="J410" t="s">
        <v>10210</v>
      </c>
      <c r="K410" t="s">
        <v>10217</v>
      </c>
      <c r="M410" t="s">
        <v>10418</v>
      </c>
      <c r="N410" t="s">
        <v>10671</v>
      </c>
      <c r="P410" t="s">
        <v>10751</v>
      </c>
      <c r="Q410" t="s">
        <v>10761</v>
      </c>
      <c r="R410" t="s">
        <v>10823</v>
      </c>
      <c r="T410">
        <v>15600</v>
      </c>
      <c r="U410">
        <v>1300</v>
      </c>
      <c r="V410">
        <v>28</v>
      </c>
      <c r="W410">
        <v>2</v>
      </c>
      <c r="X410">
        <v>0</v>
      </c>
      <c r="Z410">
        <v>92.25</v>
      </c>
      <c r="AA410">
        <v>40.853661</v>
      </c>
      <c r="AB410">
        <v>-73.90025</v>
      </c>
      <c r="AD410" t="s">
        <v>10839</v>
      </c>
      <c r="AF410" t="s">
        <v>10843</v>
      </c>
      <c r="AG410" t="s">
        <v>10859</v>
      </c>
      <c r="AH410" t="s">
        <v>10861</v>
      </c>
      <c r="AI410">
        <v>230</v>
      </c>
      <c r="AJ410" t="s">
        <v>10210</v>
      </c>
      <c r="AL410">
        <v>0.6</v>
      </c>
      <c r="AM410" t="s">
        <v>10884</v>
      </c>
      <c r="AN410" t="s">
        <v>10931</v>
      </c>
      <c r="AO410" t="s">
        <v>11000</v>
      </c>
      <c r="AP410" t="s">
        <v>11056</v>
      </c>
      <c r="AR410" t="s">
        <v>11257</v>
      </c>
      <c r="AS410" t="s">
        <v>9926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</row>
    <row r="411" spans="1:59">
      <c r="A411" s="1">
        <f>HYPERLINK("https://lsnyc.legalserver.org/matter/dynamic-profile/view/1904107","19-1904107")</f>
        <v>0</v>
      </c>
      <c r="B411" t="s">
        <v>416</v>
      </c>
      <c r="C411" t="s">
        <v>5338</v>
      </c>
      <c r="D411" t="s">
        <v>9960</v>
      </c>
      <c r="E411" t="s">
        <v>10077</v>
      </c>
      <c r="F411">
        <v>30013</v>
      </c>
      <c r="G411" t="s">
        <v>10090</v>
      </c>
      <c r="H411" t="s">
        <v>10117</v>
      </c>
      <c r="I411" t="s">
        <v>10168</v>
      </c>
      <c r="J411" t="s">
        <v>10210</v>
      </c>
      <c r="K411" t="s">
        <v>10217</v>
      </c>
      <c r="M411" t="s">
        <v>10336</v>
      </c>
      <c r="N411" t="s">
        <v>10646</v>
      </c>
      <c r="P411" t="s">
        <v>10754</v>
      </c>
      <c r="Q411" t="s">
        <v>10770</v>
      </c>
      <c r="R411" t="s">
        <v>10824</v>
      </c>
      <c r="T411">
        <v>46240.28</v>
      </c>
      <c r="U411">
        <v>3853.36</v>
      </c>
      <c r="V411">
        <v>44</v>
      </c>
      <c r="W411">
        <v>1</v>
      </c>
      <c r="X411">
        <v>0</v>
      </c>
      <c r="Z411">
        <v>370.22</v>
      </c>
      <c r="AA411">
        <v>33.619936</v>
      </c>
      <c r="AB411">
        <v>-84.00422399999999</v>
      </c>
      <c r="AC411" t="s">
        <v>10837</v>
      </c>
      <c r="AD411" t="s">
        <v>10840</v>
      </c>
      <c r="AG411" t="s">
        <v>10858</v>
      </c>
      <c r="AH411" t="s">
        <v>10861</v>
      </c>
      <c r="AI411">
        <v>234</v>
      </c>
      <c r="AJ411" t="s">
        <v>10214</v>
      </c>
      <c r="AL411">
        <v>2.9</v>
      </c>
      <c r="AR411" t="s">
        <v>11303</v>
      </c>
      <c r="AS411" t="s">
        <v>11598</v>
      </c>
      <c r="AT411" t="s">
        <v>11642</v>
      </c>
      <c r="AX411" t="s">
        <v>10838</v>
      </c>
      <c r="BA411" t="s">
        <v>11741</v>
      </c>
      <c r="BB411">
        <v>0</v>
      </c>
      <c r="BC411">
        <v>0</v>
      </c>
      <c r="BD411">
        <v>0</v>
      </c>
      <c r="BE411">
        <v>0</v>
      </c>
      <c r="BF411">
        <v>1</v>
      </c>
      <c r="BG411">
        <v>0</v>
      </c>
    </row>
    <row r="412" spans="1:59">
      <c r="A412" s="1">
        <f>HYPERLINK("https://lsnyc.legalserver.org/matter/dynamic-profile/view/1904108","19-1904108")</f>
        <v>0</v>
      </c>
      <c r="B412" t="s">
        <v>417</v>
      </c>
      <c r="C412" t="s">
        <v>5339</v>
      </c>
      <c r="D412" t="s">
        <v>9926</v>
      </c>
      <c r="E412" t="s">
        <v>10075</v>
      </c>
      <c r="F412">
        <v>10468</v>
      </c>
      <c r="G412" t="s">
        <v>10090</v>
      </c>
      <c r="H412" t="s">
        <v>10117</v>
      </c>
      <c r="I412" t="s">
        <v>10169</v>
      </c>
      <c r="J412" t="s">
        <v>10210</v>
      </c>
      <c r="K412" t="s">
        <v>10217</v>
      </c>
      <c r="M412" t="s">
        <v>10419</v>
      </c>
      <c r="N412" t="s">
        <v>10651</v>
      </c>
      <c r="P412" t="s">
        <v>10749</v>
      </c>
      <c r="Q412" t="s">
        <v>10765</v>
      </c>
      <c r="R412" t="s">
        <v>10821</v>
      </c>
      <c r="T412">
        <v>33280</v>
      </c>
      <c r="U412">
        <v>2773.33</v>
      </c>
      <c r="V412">
        <v>37</v>
      </c>
      <c r="W412">
        <v>2</v>
      </c>
      <c r="X412">
        <v>3</v>
      </c>
      <c r="Z412">
        <v>110.31</v>
      </c>
      <c r="AA412">
        <v>40.860558</v>
      </c>
      <c r="AB412">
        <v>-73.907214</v>
      </c>
      <c r="AD412" t="s">
        <v>10840</v>
      </c>
      <c r="AF412" t="s">
        <v>10844</v>
      </c>
      <c r="AG412" t="s">
        <v>10859</v>
      </c>
      <c r="AH412" t="s">
        <v>10862</v>
      </c>
      <c r="AI412">
        <v>230</v>
      </c>
      <c r="AJ412" t="s">
        <v>10210</v>
      </c>
      <c r="AL412">
        <v>9</v>
      </c>
      <c r="AM412" t="s">
        <v>10884</v>
      </c>
      <c r="AN412" t="s">
        <v>10931</v>
      </c>
      <c r="AO412" t="s">
        <v>11000</v>
      </c>
      <c r="AP412" t="s">
        <v>11045</v>
      </c>
      <c r="AR412" t="s">
        <v>11262</v>
      </c>
      <c r="AS412" t="s">
        <v>9926</v>
      </c>
      <c r="AT412" t="s">
        <v>11642</v>
      </c>
      <c r="AX412" t="s">
        <v>10838</v>
      </c>
      <c r="BA412" t="s">
        <v>11738</v>
      </c>
      <c r="BB412">
        <v>0</v>
      </c>
      <c r="BC412">
        <v>0</v>
      </c>
      <c r="BD412">
        <v>0</v>
      </c>
      <c r="BE412">
        <v>0</v>
      </c>
      <c r="BF412">
        <v>5</v>
      </c>
      <c r="BG412">
        <v>0</v>
      </c>
    </row>
    <row r="413" spans="1:59">
      <c r="A413" s="1">
        <f>HYPERLINK("https://lsnyc.legalserver.org/matter/dynamic-profile/view/1904109","19-1904109")</f>
        <v>0</v>
      </c>
      <c r="B413" t="s">
        <v>418</v>
      </c>
      <c r="C413" t="s">
        <v>5340</v>
      </c>
      <c r="D413" t="s">
        <v>9928</v>
      </c>
      <c r="E413" t="s">
        <v>10075</v>
      </c>
      <c r="F413">
        <v>11230</v>
      </c>
      <c r="G413" t="s">
        <v>10093</v>
      </c>
      <c r="H413" t="s">
        <v>10117</v>
      </c>
      <c r="I413" t="s">
        <v>10168</v>
      </c>
      <c r="J413" t="s">
        <v>10213</v>
      </c>
      <c r="K413" t="s">
        <v>10217</v>
      </c>
      <c r="M413" t="s">
        <v>10420</v>
      </c>
      <c r="N413" t="s">
        <v>10673</v>
      </c>
      <c r="P413" t="s">
        <v>10753</v>
      </c>
      <c r="Q413" t="s">
        <v>10763</v>
      </c>
      <c r="R413" t="s">
        <v>10821</v>
      </c>
      <c r="T413">
        <v>5200</v>
      </c>
      <c r="U413">
        <v>433.33</v>
      </c>
      <c r="V413">
        <v>26</v>
      </c>
      <c r="W413">
        <v>1</v>
      </c>
      <c r="X413">
        <v>4</v>
      </c>
      <c r="Z413">
        <v>17.24</v>
      </c>
      <c r="AA413">
        <v>40.615579</v>
      </c>
      <c r="AB413">
        <v>-73.973935</v>
      </c>
      <c r="AD413" t="s">
        <v>10839</v>
      </c>
      <c r="AF413" t="s">
        <v>10844</v>
      </c>
      <c r="AG413" t="s">
        <v>10859</v>
      </c>
      <c r="AH413" t="s">
        <v>10864</v>
      </c>
      <c r="AI413">
        <v>239</v>
      </c>
      <c r="AJ413" t="s">
        <v>10213</v>
      </c>
      <c r="AL413">
        <v>0.2</v>
      </c>
      <c r="AM413" t="s">
        <v>10894</v>
      </c>
      <c r="AN413" t="s">
        <v>10947</v>
      </c>
      <c r="AO413" t="s">
        <v>11015</v>
      </c>
      <c r="AP413" t="s">
        <v>11079</v>
      </c>
      <c r="AQ413" t="s">
        <v>11139</v>
      </c>
      <c r="AR413" t="s">
        <v>11257</v>
      </c>
      <c r="AS413" t="s">
        <v>11595</v>
      </c>
      <c r="AT413" t="s">
        <v>11641</v>
      </c>
      <c r="AX413" t="s">
        <v>10838</v>
      </c>
      <c r="BA413" t="s">
        <v>11739</v>
      </c>
      <c r="BB413">
        <v>0</v>
      </c>
      <c r="BC413">
        <v>0</v>
      </c>
      <c r="BD413">
        <v>0</v>
      </c>
      <c r="BE413">
        <v>0</v>
      </c>
      <c r="BF413">
        <v>4</v>
      </c>
      <c r="BG413">
        <v>0</v>
      </c>
    </row>
    <row r="414" spans="1:59">
      <c r="A414" s="1">
        <f>HYPERLINK("https://lsnyc.legalserver.org/matter/dynamic-profile/view/1904110","19-1904110")</f>
        <v>0</v>
      </c>
      <c r="B414" t="s">
        <v>418</v>
      </c>
      <c r="C414" t="s">
        <v>5340</v>
      </c>
      <c r="D414" t="s">
        <v>9928</v>
      </c>
      <c r="E414" t="s">
        <v>10075</v>
      </c>
      <c r="F414">
        <v>11230</v>
      </c>
      <c r="G414" t="s">
        <v>10093</v>
      </c>
      <c r="H414" t="s">
        <v>10117</v>
      </c>
      <c r="I414" t="s">
        <v>10168</v>
      </c>
      <c r="J414" t="s">
        <v>10213</v>
      </c>
      <c r="K414" t="s">
        <v>10217</v>
      </c>
      <c r="M414" t="s">
        <v>10420</v>
      </c>
      <c r="N414" t="s">
        <v>10649</v>
      </c>
      <c r="P414" t="s">
        <v>10753</v>
      </c>
      <c r="Q414" t="s">
        <v>10763</v>
      </c>
      <c r="R414" t="s">
        <v>10821</v>
      </c>
      <c r="T414">
        <v>5200</v>
      </c>
      <c r="U414">
        <v>433.33</v>
      </c>
      <c r="V414">
        <v>26</v>
      </c>
      <c r="W414">
        <v>1</v>
      </c>
      <c r="X414">
        <v>4</v>
      </c>
      <c r="Z414">
        <v>17.24</v>
      </c>
      <c r="AA414">
        <v>40.615579</v>
      </c>
      <c r="AB414">
        <v>-73.973935</v>
      </c>
      <c r="AD414" t="s">
        <v>10839</v>
      </c>
      <c r="AF414" t="s">
        <v>10844</v>
      </c>
      <c r="AG414" t="s">
        <v>10859</v>
      </c>
      <c r="AH414" t="s">
        <v>10864</v>
      </c>
      <c r="AI414">
        <v>239</v>
      </c>
      <c r="AJ414" t="s">
        <v>10213</v>
      </c>
      <c r="AL414">
        <v>0.25</v>
      </c>
      <c r="AM414" t="s">
        <v>10894</v>
      </c>
      <c r="AN414" t="s">
        <v>10947</v>
      </c>
      <c r="AO414" t="s">
        <v>11015</v>
      </c>
      <c r="AP414" t="s">
        <v>11079</v>
      </c>
      <c r="AQ414" t="s">
        <v>11109</v>
      </c>
      <c r="AR414" t="s">
        <v>11257</v>
      </c>
      <c r="AS414" t="s">
        <v>11595</v>
      </c>
      <c r="AT414" t="s">
        <v>11641</v>
      </c>
      <c r="AX414" t="s">
        <v>10838</v>
      </c>
      <c r="BA414" t="s">
        <v>11739</v>
      </c>
      <c r="BB414">
        <v>0</v>
      </c>
      <c r="BC414">
        <v>0</v>
      </c>
      <c r="BD414">
        <v>0</v>
      </c>
      <c r="BE414">
        <v>0</v>
      </c>
      <c r="BF414">
        <v>4</v>
      </c>
      <c r="BG414">
        <v>0</v>
      </c>
    </row>
    <row r="415" spans="1:59">
      <c r="A415" s="1">
        <f>HYPERLINK("https://lsnyc.legalserver.org/matter/dynamic-profile/view/1904111","19-1904111")</f>
        <v>0</v>
      </c>
      <c r="B415" t="s">
        <v>419</v>
      </c>
      <c r="C415" t="s">
        <v>5088</v>
      </c>
      <c r="D415" t="s">
        <v>9926</v>
      </c>
      <c r="E415" t="s">
        <v>10075</v>
      </c>
      <c r="F415">
        <v>10460</v>
      </c>
      <c r="G415" t="s">
        <v>10091</v>
      </c>
      <c r="H415" t="s">
        <v>10117</v>
      </c>
      <c r="I415" t="s">
        <v>10168</v>
      </c>
      <c r="J415" t="s">
        <v>10214</v>
      </c>
      <c r="K415" t="s">
        <v>10218</v>
      </c>
      <c r="L415" t="s">
        <v>10160</v>
      </c>
      <c r="M415" t="s">
        <v>10274</v>
      </c>
      <c r="N415" t="s">
        <v>10675</v>
      </c>
      <c r="P415" t="s">
        <v>10750</v>
      </c>
      <c r="Q415" t="s">
        <v>10779</v>
      </c>
      <c r="R415" t="s">
        <v>10824</v>
      </c>
      <c r="T415">
        <v>17888</v>
      </c>
      <c r="U415">
        <v>1490.67</v>
      </c>
      <c r="V415">
        <v>56</v>
      </c>
      <c r="W415">
        <v>1</v>
      </c>
      <c r="X415">
        <v>1</v>
      </c>
      <c r="Y415" t="s">
        <v>10829</v>
      </c>
      <c r="Z415">
        <v>105.78</v>
      </c>
      <c r="AA415">
        <v>40.846284</v>
      </c>
      <c r="AB415">
        <v>-73.884609</v>
      </c>
      <c r="AC415" t="s">
        <v>10837</v>
      </c>
      <c r="AD415" t="s">
        <v>10840</v>
      </c>
      <c r="AG415" t="s">
        <v>10858</v>
      </c>
      <c r="AH415" t="s">
        <v>10861</v>
      </c>
      <c r="AI415">
        <v>234</v>
      </c>
      <c r="AJ415" t="s">
        <v>10214</v>
      </c>
      <c r="AK415" t="s">
        <v>10838</v>
      </c>
      <c r="AL415">
        <v>1.8</v>
      </c>
      <c r="AM415" t="s">
        <v>10884</v>
      </c>
      <c r="AN415" t="s">
        <v>10918</v>
      </c>
      <c r="AO415" t="s">
        <v>11000</v>
      </c>
      <c r="AP415" t="s">
        <v>11056</v>
      </c>
      <c r="AR415" t="s">
        <v>11293</v>
      </c>
      <c r="AS415" t="s">
        <v>9926</v>
      </c>
      <c r="AT415" t="s">
        <v>11642</v>
      </c>
      <c r="AX415" t="s">
        <v>10838</v>
      </c>
      <c r="AY415" t="s">
        <v>10829</v>
      </c>
      <c r="AZ415" t="s">
        <v>11679</v>
      </c>
      <c r="BA415" t="s">
        <v>11742</v>
      </c>
      <c r="BB415">
        <v>0</v>
      </c>
      <c r="BC415">
        <v>0</v>
      </c>
      <c r="BD415">
        <v>0</v>
      </c>
      <c r="BE415">
        <v>0</v>
      </c>
      <c r="BF415">
        <v>7</v>
      </c>
      <c r="BG415">
        <v>0</v>
      </c>
    </row>
    <row r="416" spans="1:59">
      <c r="A416" s="1">
        <f>HYPERLINK("https://lsnyc.legalserver.org/matter/dynamic-profile/view/1904112","19-1904112")</f>
        <v>0</v>
      </c>
      <c r="B416" t="s">
        <v>420</v>
      </c>
      <c r="C416" t="s">
        <v>5341</v>
      </c>
      <c r="D416" t="s">
        <v>9961</v>
      </c>
      <c r="E416" t="s">
        <v>10076</v>
      </c>
      <c r="F416">
        <v>7093</v>
      </c>
      <c r="G416" t="s">
        <v>10089</v>
      </c>
      <c r="H416" t="s">
        <v>10117</v>
      </c>
      <c r="I416" t="s">
        <v>10168</v>
      </c>
      <c r="J416" t="s">
        <v>10209</v>
      </c>
      <c r="K416" t="s">
        <v>10217</v>
      </c>
      <c r="M416" t="s">
        <v>10421</v>
      </c>
      <c r="N416" t="s">
        <v>10670</v>
      </c>
      <c r="P416" t="s">
        <v>10754</v>
      </c>
      <c r="Q416" t="s">
        <v>10775</v>
      </c>
      <c r="R416" t="s">
        <v>10824</v>
      </c>
      <c r="T416">
        <v>43000</v>
      </c>
      <c r="U416">
        <v>3583.33</v>
      </c>
      <c r="V416">
        <v>36</v>
      </c>
      <c r="W416">
        <v>1</v>
      </c>
      <c r="X416">
        <v>2</v>
      </c>
      <c r="Z416">
        <v>201.59</v>
      </c>
      <c r="AA416">
        <v>40.787955</v>
      </c>
      <c r="AB416">
        <v>-74.00451200000001</v>
      </c>
      <c r="AD416" t="s">
        <v>10839</v>
      </c>
      <c r="AG416" t="s">
        <v>10858</v>
      </c>
      <c r="AH416" t="s">
        <v>10865</v>
      </c>
      <c r="AI416">
        <v>236</v>
      </c>
      <c r="AJ416" t="s">
        <v>10209</v>
      </c>
      <c r="AK416" t="s">
        <v>10837</v>
      </c>
      <c r="AL416">
        <v>0</v>
      </c>
      <c r="AQ416" t="s">
        <v>11114</v>
      </c>
      <c r="AR416" t="s">
        <v>11257</v>
      </c>
      <c r="AS416" t="s">
        <v>9925</v>
      </c>
      <c r="AT416" t="s">
        <v>11641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</row>
    <row r="417" spans="1:59">
      <c r="A417" s="1">
        <f>HYPERLINK("https://lsnyc.legalserver.org/matter/dynamic-profile/view/1904113","19-1904113")</f>
        <v>0</v>
      </c>
      <c r="B417" t="s">
        <v>421</v>
      </c>
      <c r="C417" t="s">
        <v>5342</v>
      </c>
      <c r="D417" t="s">
        <v>9962</v>
      </c>
      <c r="E417" t="s">
        <v>10075</v>
      </c>
      <c r="F417">
        <v>11423</v>
      </c>
      <c r="G417" t="s">
        <v>10092</v>
      </c>
      <c r="H417" t="s">
        <v>10117</v>
      </c>
      <c r="I417" t="s">
        <v>10168</v>
      </c>
      <c r="J417" t="s">
        <v>10212</v>
      </c>
      <c r="K417" t="s">
        <v>10218</v>
      </c>
      <c r="L417" t="s">
        <v>10220</v>
      </c>
      <c r="M417" t="s">
        <v>10269</v>
      </c>
      <c r="N417" t="s">
        <v>10669</v>
      </c>
      <c r="P417" t="s">
        <v>10754</v>
      </c>
      <c r="Q417" t="s">
        <v>10775</v>
      </c>
      <c r="R417" t="s">
        <v>10824</v>
      </c>
      <c r="T417">
        <v>16000</v>
      </c>
      <c r="U417">
        <v>1333.33</v>
      </c>
      <c r="V417">
        <v>41</v>
      </c>
      <c r="W417">
        <v>1</v>
      </c>
      <c r="X417">
        <v>1</v>
      </c>
      <c r="Y417" t="s">
        <v>10830</v>
      </c>
      <c r="Z417">
        <v>94.62</v>
      </c>
      <c r="AA417">
        <v>40.715503</v>
      </c>
      <c r="AB417">
        <v>-73.756141</v>
      </c>
      <c r="AD417" t="s">
        <v>10839</v>
      </c>
      <c r="AG417" t="s">
        <v>10858</v>
      </c>
      <c r="AH417" t="s">
        <v>10865</v>
      </c>
      <c r="AI417">
        <v>237</v>
      </c>
      <c r="AJ417" t="s">
        <v>10212</v>
      </c>
      <c r="AK417" t="s">
        <v>10837</v>
      </c>
      <c r="AL417">
        <v>3.5</v>
      </c>
      <c r="AM417" t="s">
        <v>10892</v>
      </c>
      <c r="AN417" t="s">
        <v>10955</v>
      </c>
      <c r="AO417" t="s">
        <v>11020</v>
      </c>
      <c r="AP417" t="s">
        <v>11078</v>
      </c>
      <c r="AR417" t="s">
        <v>11256</v>
      </c>
      <c r="AS417" t="s">
        <v>11594</v>
      </c>
      <c r="AT417" t="s">
        <v>11641</v>
      </c>
      <c r="AY417" t="s">
        <v>10830</v>
      </c>
      <c r="AZ417" t="s">
        <v>11683</v>
      </c>
      <c r="BA417" t="s">
        <v>11740</v>
      </c>
      <c r="BB417">
        <v>0</v>
      </c>
      <c r="BC417">
        <v>0</v>
      </c>
      <c r="BD417">
        <v>0</v>
      </c>
      <c r="BE417">
        <v>0</v>
      </c>
      <c r="BF417">
        <v>2</v>
      </c>
      <c r="BG417">
        <v>0</v>
      </c>
    </row>
    <row r="418" spans="1:59">
      <c r="A418" s="1">
        <f>HYPERLINK("https://lsnyc.legalserver.org/matter/dynamic-profile/view/1904114","19-1904114")</f>
        <v>0</v>
      </c>
      <c r="B418" t="s">
        <v>422</v>
      </c>
      <c r="C418" t="s">
        <v>5343</v>
      </c>
      <c r="D418" t="s">
        <v>9926</v>
      </c>
      <c r="E418" t="s">
        <v>10075</v>
      </c>
      <c r="F418">
        <v>10467</v>
      </c>
      <c r="G418" t="s">
        <v>10090</v>
      </c>
      <c r="H418" t="s">
        <v>10119</v>
      </c>
      <c r="I418" t="s">
        <v>10168</v>
      </c>
      <c r="J418" t="s">
        <v>10210</v>
      </c>
      <c r="K418" t="s">
        <v>10218</v>
      </c>
      <c r="L418" t="s">
        <v>10119</v>
      </c>
      <c r="M418" t="s">
        <v>10281</v>
      </c>
      <c r="N418" t="s">
        <v>10666</v>
      </c>
      <c r="P418" t="s">
        <v>10749</v>
      </c>
      <c r="Q418" t="s">
        <v>10765</v>
      </c>
      <c r="R418" t="s">
        <v>10821</v>
      </c>
      <c r="T418">
        <v>15600</v>
      </c>
      <c r="U418">
        <v>1300</v>
      </c>
      <c r="V418">
        <v>52</v>
      </c>
      <c r="W418">
        <v>1</v>
      </c>
      <c r="X418">
        <v>0</v>
      </c>
      <c r="Y418" t="s">
        <v>10829</v>
      </c>
      <c r="Z418">
        <v>124.9</v>
      </c>
      <c r="AA418">
        <v>40.882724</v>
      </c>
      <c r="AB418">
        <v>-73.879165</v>
      </c>
      <c r="AD418" t="s">
        <v>10839</v>
      </c>
      <c r="AF418" t="s">
        <v>10843</v>
      </c>
      <c r="AG418" t="s">
        <v>10859</v>
      </c>
      <c r="AH418" t="s">
        <v>10861</v>
      </c>
      <c r="AI418">
        <v>230</v>
      </c>
      <c r="AJ418" t="s">
        <v>10210</v>
      </c>
      <c r="AK418" t="s">
        <v>10837</v>
      </c>
      <c r="AL418">
        <v>0.5</v>
      </c>
      <c r="AM418" t="s">
        <v>10887</v>
      </c>
      <c r="AN418" t="s">
        <v>10919</v>
      </c>
      <c r="AO418" t="s">
        <v>11010</v>
      </c>
      <c r="AP418" t="s">
        <v>11057</v>
      </c>
      <c r="AR418" t="s">
        <v>11257</v>
      </c>
      <c r="AS418" t="s">
        <v>9926</v>
      </c>
      <c r="AT418" t="s">
        <v>11641</v>
      </c>
      <c r="AY418" t="s">
        <v>10829</v>
      </c>
      <c r="AZ418" t="s">
        <v>11681</v>
      </c>
      <c r="BA418" t="s">
        <v>11741</v>
      </c>
      <c r="BB418">
        <v>0</v>
      </c>
      <c r="BC418">
        <v>0</v>
      </c>
      <c r="BD418">
        <v>0</v>
      </c>
      <c r="BE418">
        <v>0</v>
      </c>
      <c r="BF418">
        <v>1</v>
      </c>
      <c r="BG418">
        <v>0</v>
      </c>
    </row>
    <row r="419" spans="1:59">
      <c r="A419" s="1">
        <f>HYPERLINK("https://lsnyc.legalserver.org/matter/dynamic-profile/view/1904115","19-1904115")</f>
        <v>0</v>
      </c>
      <c r="B419" t="s">
        <v>417</v>
      </c>
      <c r="C419" t="s">
        <v>5339</v>
      </c>
      <c r="D419" t="s">
        <v>9926</v>
      </c>
      <c r="E419" t="s">
        <v>10075</v>
      </c>
      <c r="F419">
        <v>10468</v>
      </c>
      <c r="G419" t="s">
        <v>10090</v>
      </c>
      <c r="H419" t="s">
        <v>10117</v>
      </c>
      <c r="I419" t="s">
        <v>10169</v>
      </c>
      <c r="J419" t="s">
        <v>10210</v>
      </c>
      <c r="K419" t="s">
        <v>10217</v>
      </c>
      <c r="M419" t="s">
        <v>10283</v>
      </c>
      <c r="N419" t="s">
        <v>10671</v>
      </c>
      <c r="P419" t="s">
        <v>10751</v>
      </c>
      <c r="Q419" t="s">
        <v>10761</v>
      </c>
      <c r="R419" t="s">
        <v>10821</v>
      </c>
      <c r="T419">
        <v>33280</v>
      </c>
      <c r="U419">
        <v>2773.33</v>
      </c>
      <c r="V419">
        <v>37</v>
      </c>
      <c r="W419">
        <v>2</v>
      </c>
      <c r="X419">
        <v>3</v>
      </c>
      <c r="Z419">
        <v>110.31</v>
      </c>
      <c r="AA419">
        <v>40.860558</v>
      </c>
      <c r="AB419">
        <v>-73.907214</v>
      </c>
      <c r="AD419" t="s">
        <v>10840</v>
      </c>
      <c r="AF419" t="s">
        <v>10844</v>
      </c>
      <c r="AG419" t="s">
        <v>10859</v>
      </c>
      <c r="AH419" t="s">
        <v>10862</v>
      </c>
      <c r="AI419">
        <v>230</v>
      </c>
      <c r="AJ419" t="s">
        <v>10210</v>
      </c>
      <c r="AL419">
        <v>0</v>
      </c>
      <c r="AM419" t="s">
        <v>10884</v>
      </c>
      <c r="AN419" t="s">
        <v>10931</v>
      </c>
      <c r="AO419" t="s">
        <v>11000</v>
      </c>
      <c r="AP419" t="s">
        <v>11045</v>
      </c>
      <c r="AR419" t="s">
        <v>11262</v>
      </c>
      <c r="AS419" t="s">
        <v>9926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</row>
    <row r="420" spans="1:59">
      <c r="A420" s="1">
        <f>HYPERLINK("https://lsnyc.legalserver.org/matter/dynamic-profile/view/1904116","19-1904116")</f>
        <v>0</v>
      </c>
      <c r="B420" t="s">
        <v>423</v>
      </c>
      <c r="C420" t="s">
        <v>5344</v>
      </c>
      <c r="D420" t="s">
        <v>9929</v>
      </c>
      <c r="E420" t="s">
        <v>10075</v>
      </c>
      <c r="F420">
        <v>10301</v>
      </c>
      <c r="G420" t="s">
        <v>10092</v>
      </c>
      <c r="H420" t="s">
        <v>10117</v>
      </c>
      <c r="I420" t="s">
        <v>10169</v>
      </c>
      <c r="J420" t="s">
        <v>10212</v>
      </c>
      <c r="K420" t="s">
        <v>10217</v>
      </c>
      <c r="M420" t="s">
        <v>10422</v>
      </c>
      <c r="N420" t="s">
        <v>10648</v>
      </c>
      <c r="P420" t="s">
        <v>10753</v>
      </c>
      <c r="Q420" t="s">
        <v>10763</v>
      </c>
      <c r="R420" t="s">
        <v>10821</v>
      </c>
      <c r="T420">
        <v>0</v>
      </c>
      <c r="U420">
        <v>0</v>
      </c>
      <c r="V420">
        <v>41</v>
      </c>
      <c r="W420">
        <v>1</v>
      </c>
      <c r="X420">
        <v>1</v>
      </c>
      <c r="Z420">
        <v>0</v>
      </c>
      <c r="AA420">
        <v>40.641384</v>
      </c>
      <c r="AB420">
        <v>-74.07624199999999</v>
      </c>
      <c r="AD420" t="s">
        <v>10840</v>
      </c>
      <c r="AF420" t="s">
        <v>10842</v>
      </c>
      <c r="AG420" t="s">
        <v>10859</v>
      </c>
      <c r="AH420" t="s">
        <v>10864</v>
      </c>
      <c r="AI420">
        <v>237</v>
      </c>
      <c r="AJ420" t="s">
        <v>10212</v>
      </c>
      <c r="AL420">
        <v>1.5</v>
      </c>
      <c r="AQ420" t="s">
        <v>11096</v>
      </c>
      <c r="AR420" t="s">
        <v>11267</v>
      </c>
      <c r="AS420" t="s">
        <v>11593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</row>
    <row r="421" spans="1:59">
      <c r="A421" s="1">
        <f>HYPERLINK("https://lsnyc.legalserver.org/matter/dynamic-profile/view/1904117","19-1904117")</f>
        <v>0</v>
      </c>
      <c r="B421" t="s">
        <v>424</v>
      </c>
      <c r="C421" t="s">
        <v>5345</v>
      </c>
      <c r="D421" t="s">
        <v>9963</v>
      </c>
      <c r="E421" t="s">
        <v>10075</v>
      </c>
      <c r="F421">
        <v>11385</v>
      </c>
      <c r="G421" t="s">
        <v>10092</v>
      </c>
      <c r="H421" t="s">
        <v>10117</v>
      </c>
      <c r="I421" t="s">
        <v>10168</v>
      </c>
      <c r="J421" t="s">
        <v>10212</v>
      </c>
      <c r="K421" t="s">
        <v>10217</v>
      </c>
      <c r="M421" t="s">
        <v>10347</v>
      </c>
      <c r="N421" t="s">
        <v>10693</v>
      </c>
      <c r="P421" t="s">
        <v>10749</v>
      </c>
      <c r="Q421" t="s">
        <v>10765</v>
      </c>
      <c r="R421" t="s">
        <v>10825</v>
      </c>
      <c r="T421">
        <v>19200</v>
      </c>
      <c r="U421">
        <v>1600</v>
      </c>
      <c r="V421">
        <v>31</v>
      </c>
      <c r="W421">
        <v>2</v>
      </c>
      <c r="X421">
        <v>2</v>
      </c>
      <c r="Z421">
        <v>74.56</v>
      </c>
      <c r="AA421">
        <v>40.701321</v>
      </c>
      <c r="AB421">
        <v>-73.88045700000001</v>
      </c>
      <c r="AD421" t="s">
        <v>10840</v>
      </c>
      <c r="AG421" t="s">
        <v>10858</v>
      </c>
      <c r="AH421" t="s">
        <v>10862</v>
      </c>
      <c r="AI421">
        <v>237</v>
      </c>
      <c r="AJ421" t="s">
        <v>10212</v>
      </c>
      <c r="AL421">
        <v>14.95</v>
      </c>
      <c r="AM421" t="s">
        <v>10890</v>
      </c>
      <c r="AN421" t="s">
        <v>10945</v>
      </c>
      <c r="AO421" t="s">
        <v>11024</v>
      </c>
      <c r="AP421" t="s">
        <v>11077</v>
      </c>
      <c r="AR421" t="s">
        <v>11257</v>
      </c>
      <c r="AS421" t="s">
        <v>11594</v>
      </c>
      <c r="AT421" t="s">
        <v>11642</v>
      </c>
      <c r="BA421" t="s">
        <v>11738</v>
      </c>
      <c r="BB421">
        <v>0</v>
      </c>
      <c r="BC421">
        <v>0</v>
      </c>
      <c r="BD421">
        <v>0</v>
      </c>
      <c r="BE421">
        <v>0</v>
      </c>
      <c r="BF421">
        <v>5</v>
      </c>
      <c r="BG421">
        <v>0</v>
      </c>
    </row>
    <row r="422" spans="1:59">
      <c r="A422" s="1">
        <f>HYPERLINK("https://lsnyc.legalserver.org/matter/dynamic-profile/view/1904118","19-1904118")</f>
        <v>0</v>
      </c>
      <c r="B422" t="s">
        <v>425</v>
      </c>
      <c r="C422" t="s">
        <v>5346</v>
      </c>
      <c r="D422" t="s">
        <v>9932</v>
      </c>
      <c r="E422" t="s">
        <v>10075</v>
      </c>
      <c r="F422">
        <v>11368</v>
      </c>
      <c r="G422" t="s">
        <v>10092</v>
      </c>
      <c r="H422" t="s">
        <v>10117</v>
      </c>
      <c r="I422" t="s">
        <v>10169</v>
      </c>
      <c r="J422" t="s">
        <v>10212</v>
      </c>
      <c r="K422" t="s">
        <v>10217</v>
      </c>
      <c r="M422" t="s">
        <v>10423</v>
      </c>
      <c r="N422" t="s">
        <v>10709</v>
      </c>
      <c r="P422" t="s">
        <v>10754</v>
      </c>
      <c r="Q422" t="s">
        <v>10766</v>
      </c>
      <c r="R422" t="s">
        <v>10823</v>
      </c>
      <c r="T422">
        <v>15600</v>
      </c>
      <c r="U422">
        <v>1300</v>
      </c>
      <c r="V422">
        <v>42</v>
      </c>
      <c r="W422">
        <v>1</v>
      </c>
      <c r="X422">
        <v>1</v>
      </c>
      <c r="Z422">
        <v>92.25</v>
      </c>
      <c r="AA422">
        <v>40.747382</v>
      </c>
      <c r="AB422">
        <v>-73.863339</v>
      </c>
      <c r="AD422" t="s">
        <v>10839</v>
      </c>
      <c r="AF422" t="s">
        <v>10844</v>
      </c>
      <c r="AG422" t="s">
        <v>10859</v>
      </c>
      <c r="AH422" t="s">
        <v>10865</v>
      </c>
      <c r="AI422">
        <v>237</v>
      </c>
      <c r="AJ422" t="s">
        <v>10212</v>
      </c>
      <c r="AK422" t="s">
        <v>10837</v>
      </c>
      <c r="AL422">
        <v>14.75</v>
      </c>
      <c r="AM422" t="s">
        <v>10885</v>
      </c>
      <c r="AN422" t="s">
        <v>10949</v>
      </c>
      <c r="AO422" t="s">
        <v>11014</v>
      </c>
      <c r="AP422" t="s">
        <v>11068</v>
      </c>
      <c r="AR422" t="s">
        <v>11257</v>
      </c>
      <c r="AS422" t="s">
        <v>11594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</row>
    <row r="423" spans="1:59">
      <c r="A423" s="1">
        <f>HYPERLINK("https://lsnyc.legalserver.org/matter/dynamic-profile/view/1904119","19-1904119")</f>
        <v>0</v>
      </c>
      <c r="B423" t="s">
        <v>426</v>
      </c>
      <c r="C423" t="s">
        <v>5347</v>
      </c>
      <c r="D423" t="s">
        <v>9926</v>
      </c>
      <c r="E423" t="s">
        <v>10075</v>
      </c>
      <c r="F423">
        <v>10456</v>
      </c>
      <c r="G423" t="s">
        <v>10090</v>
      </c>
      <c r="H423" t="s">
        <v>10117</v>
      </c>
      <c r="I423" t="s">
        <v>10168</v>
      </c>
      <c r="J423" t="s">
        <v>10210</v>
      </c>
      <c r="K423" t="s">
        <v>10217</v>
      </c>
      <c r="M423" t="s">
        <v>10349</v>
      </c>
      <c r="N423" t="s">
        <v>10666</v>
      </c>
      <c r="P423" t="s">
        <v>10749</v>
      </c>
      <c r="Q423" t="s">
        <v>10765</v>
      </c>
      <c r="R423" t="s">
        <v>10824</v>
      </c>
      <c r="T423">
        <v>21424</v>
      </c>
      <c r="U423">
        <v>1785.33</v>
      </c>
      <c r="V423">
        <v>35</v>
      </c>
      <c r="W423">
        <v>2</v>
      </c>
      <c r="X423">
        <v>1</v>
      </c>
      <c r="Z423">
        <v>100.44</v>
      </c>
      <c r="AA423">
        <v>40.836105</v>
      </c>
      <c r="AB423">
        <v>-73.901197</v>
      </c>
      <c r="AD423" t="s">
        <v>10839</v>
      </c>
      <c r="AG423" t="s">
        <v>10858</v>
      </c>
      <c r="AH423" t="s">
        <v>10861</v>
      </c>
      <c r="AI423">
        <v>230</v>
      </c>
      <c r="AJ423" t="s">
        <v>10210</v>
      </c>
      <c r="AL423">
        <v>3</v>
      </c>
      <c r="AM423" t="s">
        <v>10884</v>
      </c>
      <c r="AN423" t="s">
        <v>10918</v>
      </c>
      <c r="AO423" t="s">
        <v>11000</v>
      </c>
      <c r="AP423" t="s">
        <v>11055</v>
      </c>
      <c r="AR423" t="s">
        <v>11257</v>
      </c>
      <c r="AS423" t="s">
        <v>9926</v>
      </c>
      <c r="AT423" t="s">
        <v>11641</v>
      </c>
      <c r="AX423" t="s">
        <v>10838</v>
      </c>
      <c r="BA423" t="s">
        <v>11738</v>
      </c>
      <c r="BB423">
        <v>0</v>
      </c>
      <c r="BC423">
        <v>0</v>
      </c>
      <c r="BD423">
        <v>0</v>
      </c>
      <c r="BE423">
        <v>0</v>
      </c>
      <c r="BF423">
        <v>5</v>
      </c>
      <c r="BG423">
        <v>0</v>
      </c>
    </row>
    <row r="424" spans="1:59">
      <c r="A424" s="1">
        <f>HYPERLINK("https://lsnyc.legalserver.org/matter/dynamic-profile/view/1904120","19-1904120")</f>
        <v>0</v>
      </c>
      <c r="B424" t="s">
        <v>427</v>
      </c>
      <c r="C424" t="s">
        <v>5348</v>
      </c>
      <c r="D424" t="s">
        <v>9928</v>
      </c>
      <c r="E424" t="s">
        <v>10075</v>
      </c>
      <c r="F424">
        <v>11226</v>
      </c>
      <c r="G424" t="s">
        <v>10093</v>
      </c>
      <c r="H424" t="s">
        <v>10117</v>
      </c>
      <c r="I424" t="s">
        <v>10168</v>
      </c>
      <c r="J424" t="s">
        <v>10213</v>
      </c>
      <c r="K424" t="s">
        <v>10217</v>
      </c>
      <c r="M424" t="s">
        <v>10420</v>
      </c>
      <c r="N424" t="s">
        <v>10649</v>
      </c>
      <c r="P424" t="s">
        <v>10753</v>
      </c>
      <c r="Q424" t="s">
        <v>10763</v>
      </c>
      <c r="R424" t="s">
        <v>10824</v>
      </c>
      <c r="T424">
        <v>7992</v>
      </c>
      <c r="U424">
        <v>666</v>
      </c>
      <c r="V424">
        <v>17</v>
      </c>
      <c r="W424">
        <v>3</v>
      </c>
      <c r="X424">
        <v>3</v>
      </c>
      <c r="Z424">
        <v>23.1</v>
      </c>
      <c r="AA424">
        <v>40.654578</v>
      </c>
      <c r="AB424">
        <v>-73.957684</v>
      </c>
      <c r="AD424" t="s">
        <v>10839</v>
      </c>
      <c r="AF424" t="s">
        <v>10849</v>
      </c>
      <c r="AG424" t="s">
        <v>10859</v>
      </c>
      <c r="AH424" t="s">
        <v>10864</v>
      </c>
      <c r="AI424">
        <v>239</v>
      </c>
      <c r="AJ424" t="s">
        <v>10213</v>
      </c>
      <c r="AL424">
        <v>0.4</v>
      </c>
      <c r="AM424" t="s">
        <v>10888</v>
      </c>
      <c r="AN424" t="s">
        <v>10912</v>
      </c>
      <c r="AO424" t="s">
        <v>11008</v>
      </c>
      <c r="AP424" t="s">
        <v>11050</v>
      </c>
      <c r="AQ424" t="s">
        <v>11109</v>
      </c>
      <c r="AR424" t="s">
        <v>11292</v>
      </c>
      <c r="AS424" t="s">
        <v>11595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</row>
    <row r="425" spans="1:59">
      <c r="A425" s="1">
        <f>HYPERLINK("https://lsnyc.legalserver.org/matter/dynamic-profile/view/1904121","19-1904121")</f>
        <v>0</v>
      </c>
      <c r="B425" t="s">
        <v>426</v>
      </c>
      <c r="C425" t="s">
        <v>5347</v>
      </c>
      <c r="D425" t="s">
        <v>9926</v>
      </c>
      <c r="E425" t="s">
        <v>10075</v>
      </c>
      <c r="F425">
        <v>10456</v>
      </c>
      <c r="G425" t="s">
        <v>10090</v>
      </c>
      <c r="H425" t="s">
        <v>10117</v>
      </c>
      <c r="I425" t="s">
        <v>10168</v>
      </c>
      <c r="J425" t="s">
        <v>10210</v>
      </c>
      <c r="K425" t="s">
        <v>10217</v>
      </c>
      <c r="M425" t="s">
        <v>10353</v>
      </c>
      <c r="N425" t="s">
        <v>10671</v>
      </c>
      <c r="P425" t="s">
        <v>10751</v>
      </c>
      <c r="Q425" t="s">
        <v>10761</v>
      </c>
      <c r="R425" t="s">
        <v>10824</v>
      </c>
      <c r="T425">
        <v>21424</v>
      </c>
      <c r="U425">
        <v>1785.33</v>
      </c>
      <c r="V425">
        <v>35</v>
      </c>
      <c r="W425">
        <v>2</v>
      </c>
      <c r="X425">
        <v>1</v>
      </c>
      <c r="Z425">
        <v>100.44</v>
      </c>
      <c r="AA425">
        <v>40.836105</v>
      </c>
      <c r="AB425">
        <v>-73.901197</v>
      </c>
      <c r="AD425" t="s">
        <v>10839</v>
      </c>
      <c r="AG425" t="s">
        <v>10858</v>
      </c>
      <c r="AH425" t="s">
        <v>10861</v>
      </c>
      <c r="AI425">
        <v>230</v>
      </c>
      <c r="AJ425" t="s">
        <v>10210</v>
      </c>
      <c r="AL425">
        <v>0.95</v>
      </c>
      <c r="AM425" t="s">
        <v>10884</v>
      </c>
      <c r="AN425" t="s">
        <v>10918</v>
      </c>
      <c r="AO425" t="s">
        <v>11000</v>
      </c>
      <c r="AP425" t="s">
        <v>11055</v>
      </c>
      <c r="AR425" t="s">
        <v>11257</v>
      </c>
      <c r="AS425" t="s">
        <v>9926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</row>
    <row r="426" spans="1:59">
      <c r="A426" s="1">
        <f>HYPERLINK("https://lsnyc.legalserver.org/matter/dynamic-profile/view/1904122","19-1904122")</f>
        <v>0</v>
      </c>
      <c r="B426" t="s">
        <v>428</v>
      </c>
      <c r="C426" t="s">
        <v>5349</v>
      </c>
      <c r="D426" t="s">
        <v>9928</v>
      </c>
      <c r="E426" t="s">
        <v>10075</v>
      </c>
      <c r="F426">
        <v>11221</v>
      </c>
      <c r="G426" t="s">
        <v>10092</v>
      </c>
      <c r="H426" t="s">
        <v>10117</v>
      </c>
      <c r="I426" t="s">
        <v>10178</v>
      </c>
      <c r="J426" t="s">
        <v>10212</v>
      </c>
      <c r="K426" t="s">
        <v>10217</v>
      </c>
      <c r="M426" t="s">
        <v>10422</v>
      </c>
      <c r="N426" t="s">
        <v>10648</v>
      </c>
      <c r="P426" t="s">
        <v>10753</v>
      </c>
      <c r="Q426" t="s">
        <v>10763</v>
      </c>
      <c r="R426" t="s">
        <v>10823</v>
      </c>
      <c r="T426">
        <v>27840</v>
      </c>
      <c r="U426">
        <v>2320</v>
      </c>
      <c r="V426">
        <v>37</v>
      </c>
      <c r="W426">
        <v>1</v>
      </c>
      <c r="X426">
        <v>0</v>
      </c>
      <c r="Z426">
        <v>222.9</v>
      </c>
      <c r="AA426">
        <v>40.68814</v>
      </c>
      <c r="AB426">
        <v>-73.91836499999999</v>
      </c>
      <c r="AD426" t="s">
        <v>10839</v>
      </c>
      <c r="AF426" t="s">
        <v>10845</v>
      </c>
      <c r="AG426" t="s">
        <v>10859</v>
      </c>
      <c r="AH426" t="s">
        <v>10864</v>
      </c>
      <c r="AI426">
        <v>237</v>
      </c>
      <c r="AJ426" t="s">
        <v>10212</v>
      </c>
      <c r="AL426">
        <v>2.75</v>
      </c>
      <c r="AM426" t="s">
        <v>10889</v>
      </c>
      <c r="AN426" t="s">
        <v>10920</v>
      </c>
      <c r="AO426" t="s">
        <v>11011</v>
      </c>
      <c r="AP426" t="s">
        <v>11071</v>
      </c>
      <c r="AQ426" t="s">
        <v>11140</v>
      </c>
      <c r="AR426" t="s">
        <v>11257</v>
      </c>
      <c r="AS426" t="s">
        <v>11595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</row>
    <row r="427" spans="1:59">
      <c r="A427" s="1">
        <f>HYPERLINK("https://lsnyc.legalserver.org/matter/dynamic-profile/view/1904123","19-1904123")</f>
        <v>0</v>
      </c>
      <c r="B427" t="s">
        <v>429</v>
      </c>
      <c r="C427" t="s">
        <v>5350</v>
      </c>
      <c r="D427" t="s">
        <v>9926</v>
      </c>
      <c r="E427" t="s">
        <v>10075</v>
      </c>
      <c r="F427">
        <v>10467</v>
      </c>
      <c r="G427" t="s">
        <v>10090</v>
      </c>
      <c r="H427" t="s">
        <v>10117</v>
      </c>
      <c r="I427" t="s">
        <v>10174</v>
      </c>
      <c r="J427" t="s">
        <v>10210</v>
      </c>
      <c r="K427" t="s">
        <v>10218</v>
      </c>
      <c r="L427" t="s">
        <v>10161</v>
      </c>
      <c r="M427" t="s">
        <v>10353</v>
      </c>
      <c r="N427" t="s">
        <v>10671</v>
      </c>
      <c r="P427" t="s">
        <v>10753</v>
      </c>
      <c r="Q427" t="s">
        <v>10790</v>
      </c>
      <c r="R427" t="s">
        <v>10827</v>
      </c>
      <c r="T427">
        <v>14616</v>
      </c>
      <c r="U427">
        <v>1218</v>
      </c>
      <c r="V427">
        <v>54</v>
      </c>
      <c r="W427">
        <v>2</v>
      </c>
      <c r="X427">
        <v>3</v>
      </c>
      <c r="Y427" t="s">
        <v>10829</v>
      </c>
      <c r="Z427">
        <v>48.45</v>
      </c>
      <c r="AA427">
        <v>40.874677</v>
      </c>
      <c r="AB427">
        <v>-73.87418099999999</v>
      </c>
      <c r="AD427" t="s">
        <v>10840</v>
      </c>
      <c r="AG427" t="s">
        <v>10858</v>
      </c>
      <c r="AH427" t="s">
        <v>10862</v>
      </c>
      <c r="AI427">
        <v>230</v>
      </c>
      <c r="AJ427" t="s">
        <v>10210</v>
      </c>
      <c r="AK427" t="s">
        <v>10838</v>
      </c>
      <c r="AL427">
        <v>1.6</v>
      </c>
      <c r="AR427" t="s">
        <v>11336</v>
      </c>
      <c r="AS427" t="s">
        <v>9926</v>
      </c>
      <c r="AY427" t="s">
        <v>10829</v>
      </c>
      <c r="AZ427" t="s">
        <v>11705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</row>
    <row r="428" spans="1:59">
      <c r="A428" s="1">
        <f>HYPERLINK("https://lsnyc.legalserver.org/matter/dynamic-profile/view/1904124","19-1904124")</f>
        <v>0</v>
      </c>
      <c r="B428" t="s">
        <v>430</v>
      </c>
      <c r="C428" t="s">
        <v>5351</v>
      </c>
      <c r="D428" t="s">
        <v>9929</v>
      </c>
      <c r="E428" t="s">
        <v>10075</v>
      </c>
      <c r="F428">
        <v>10303</v>
      </c>
      <c r="G428" t="s">
        <v>10093</v>
      </c>
      <c r="H428" t="s">
        <v>10125</v>
      </c>
      <c r="I428" t="s">
        <v>10168</v>
      </c>
      <c r="J428" t="s">
        <v>10213</v>
      </c>
      <c r="K428" t="s">
        <v>10217</v>
      </c>
      <c r="M428" t="s">
        <v>10330</v>
      </c>
      <c r="N428" t="s">
        <v>10710</v>
      </c>
      <c r="P428" t="s">
        <v>10750</v>
      </c>
      <c r="Q428" t="s">
        <v>10760</v>
      </c>
      <c r="R428" t="s">
        <v>10824</v>
      </c>
      <c r="T428">
        <v>42000</v>
      </c>
      <c r="U428">
        <v>3500</v>
      </c>
      <c r="V428">
        <v>41</v>
      </c>
      <c r="W428">
        <v>2</v>
      </c>
      <c r="X428">
        <v>0</v>
      </c>
      <c r="Z428">
        <v>248.37</v>
      </c>
      <c r="AA428">
        <v>40.626583</v>
      </c>
      <c r="AB428">
        <v>-74.150684</v>
      </c>
      <c r="AD428" t="s">
        <v>10839</v>
      </c>
      <c r="AG428" t="s">
        <v>10858</v>
      </c>
      <c r="AH428" t="s">
        <v>10878</v>
      </c>
      <c r="AI428">
        <v>239</v>
      </c>
      <c r="AJ428" t="s">
        <v>10213</v>
      </c>
      <c r="AK428" t="s">
        <v>10837</v>
      </c>
      <c r="AL428">
        <v>2.5</v>
      </c>
      <c r="AM428" t="s">
        <v>10883</v>
      </c>
      <c r="AN428" t="s">
        <v>10913</v>
      </c>
      <c r="AO428" t="s">
        <v>11006</v>
      </c>
      <c r="AP428" t="s">
        <v>11051</v>
      </c>
      <c r="AQ428" t="s">
        <v>11141</v>
      </c>
      <c r="AR428" t="s">
        <v>11257</v>
      </c>
      <c r="AS428" t="s">
        <v>11593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</row>
    <row r="429" spans="1:59">
      <c r="A429" s="1">
        <f>HYPERLINK("https://lsnyc.legalserver.org/matter/dynamic-profile/view/1904125","19-1904125")</f>
        <v>0</v>
      </c>
      <c r="B429" t="s">
        <v>431</v>
      </c>
      <c r="C429" t="s">
        <v>5352</v>
      </c>
      <c r="D429" t="s">
        <v>9956</v>
      </c>
      <c r="E429" t="s">
        <v>10075</v>
      </c>
      <c r="F429">
        <v>11365</v>
      </c>
      <c r="G429" t="s">
        <v>10092</v>
      </c>
      <c r="H429" t="s">
        <v>10114</v>
      </c>
      <c r="I429" t="s">
        <v>10169</v>
      </c>
      <c r="J429" t="s">
        <v>10212</v>
      </c>
      <c r="K429" t="s">
        <v>10217</v>
      </c>
      <c r="M429" t="s">
        <v>10422</v>
      </c>
      <c r="N429" t="s">
        <v>10673</v>
      </c>
      <c r="P429" t="s">
        <v>10753</v>
      </c>
      <c r="Q429" t="s">
        <v>10763</v>
      </c>
      <c r="R429" t="s">
        <v>10821</v>
      </c>
      <c r="T429">
        <v>0</v>
      </c>
      <c r="U429">
        <v>0</v>
      </c>
      <c r="V429">
        <v>35</v>
      </c>
      <c r="W429">
        <v>1</v>
      </c>
      <c r="X429">
        <v>2</v>
      </c>
      <c r="Z429">
        <v>0</v>
      </c>
      <c r="AA429">
        <v>40.73554</v>
      </c>
      <c r="AB429">
        <v>-73.78175299999999</v>
      </c>
      <c r="AD429" t="s">
        <v>10839</v>
      </c>
      <c r="AF429" t="s">
        <v>10842</v>
      </c>
      <c r="AG429" t="s">
        <v>10859</v>
      </c>
      <c r="AH429" t="s">
        <v>10864</v>
      </c>
      <c r="AI429">
        <v>237</v>
      </c>
      <c r="AJ429" t="s">
        <v>10212</v>
      </c>
      <c r="AL429">
        <v>4.1</v>
      </c>
      <c r="AQ429" t="s">
        <v>11119</v>
      </c>
      <c r="AR429" t="s">
        <v>11267</v>
      </c>
      <c r="AS429" t="s">
        <v>11594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</row>
    <row r="430" spans="1:59">
      <c r="A430" s="1">
        <f>HYPERLINK("https://lsnyc.legalserver.org/matter/dynamic-profile/view/1904126","19-1904126")</f>
        <v>0</v>
      </c>
      <c r="B430" t="s">
        <v>432</v>
      </c>
      <c r="C430" t="s">
        <v>5353</v>
      </c>
      <c r="D430" t="s">
        <v>9926</v>
      </c>
      <c r="E430" t="s">
        <v>10075</v>
      </c>
      <c r="F430">
        <v>10455</v>
      </c>
      <c r="G430" t="s">
        <v>10090</v>
      </c>
      <c r="H430" t="s">
        <v>10126</v>
      </c>
      <c r="I430" t="s">
        <v>10169</v>
      </c>
      <c r="J430" t="s">
        <v>10210</v>
      </c>
      <c r="K430" t="s">
        <v>10217</v>
      </c>
      <c r="M430" t="s">
        <v>10424</v>
      </c>
      <c r="N430" t="s">
        <v>10708</v>
      </c>
      <c r="P430" t="s">
        <v>10753</v>
      </c>
      <c r="Q430" t="s">
        <v>10763</v>
      </c>
      <c r="R430" t="s">
        <v>10821</v>
      </c>
      <c r="T430">
        <v>21632</v>
      </c>
      <c r="U430">
        <v>1802.67</v>
      </c>
      <c r="V430">
        <v>30</v>
      </c>
      <c r="W430">
        <v>1</v>
      </c>
      <c r="X430">
        <v>2</v>
      </c>
      <c r="Z430">
        <v>101.42</v>
      </c>
      <c r="AA430">
        <v>40.819783</v>
      </c>
      <c r="AB430">
        <v>-73.916313</v>
      </c>
      <c r="AD430" t="s">
        <v>10839</v>
      </c>
      <c r="AF430" t="s">
        <v>10846</v>
      </c>
      <c r="AG430" t="s">
        <v>10859</v>
      </c>
      <c r="AH430" t="s">
        <v>10864</v>
      </c>
      <c r="AI430">
        <v>230</v>
      </c>
      <c r="AJ430" t="s">
        <v>10210</v>
      </c>
      <c r="AL430">
        <v>4.25</v>
      </c>
      <c r="AM430" t="s">
        <v>10884</v>
      </c>
      <c r="AN430" t="s">
        <v>10924</v>
      </c>
      <c r="AO430" t="s">
        <v>11001</v>
      </c>
      <c r="AP430" t="s">
        <v>11062</v>
      </c>
      <c r="AQ430" t="s">
        <v>11142</v>
      </c>
      <c r="AR430" t="s">
        <v>11257</v>
      </c>
      <c r="AS430" t="s">
        <v>9926</v>
      </c>
      <c r="AT430" t="s">
        <v>11641</v>
      </c>
      <c r="AX430" t="s">
        <v>10838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</row>
    <row r="431" spans="1:59">
      <c r="A431" s="1">
        <f>HYPERLINK("https://lsnyc.legalserver.org/matter/dynamic-profile/view/1904127","19-1904127")</f>
        <v>0</v>
      </c>
      <c r="B431" t="s">
        <v>433</v>
      </c>
      <c r="C431" t="s">
        <v>5354</v>
      </c>
      <c r="D431" t="s">
        <v>9928</v>
      </c>
      <c r="E431" t="s">
        <v>10075</v>
      </c>
      <c r="F431">
        <v>11216</v>
      </c>
      <c r="G431" t="s">
        <v>10093</v>
      </c>
      <c r="H431" t="s">
        <v>10119</v>
      </c>
      <c r="I431" t="s">
        <v>10168</v>
      </c>
      <c r="J431" t="s">
        <v>10213</v>
      </c>
      <c r="K431" t="s">
        <v>10217</v>
      </c>
      <c r="M431" t="s">
        <v>10425</v>
      </c>
      <c r="N431" t="s">
        <v>10667</v>
      </c>
      <c r="P431" t="s">
        <v>10749</v>
      </c>
      <c r="Q431" t="s">
        <v>10765</v>
      </c>
      <c r="R431" t="s">
        <v>10822</v>
      </c>
      <c r="T431">
        <v>10400</v>
      </c>
      <c r="U431">
        <v>866.67</v>
      </c>
      <c r="V431">
        <v>42</v>
      </c>
      <c r="W431">
        <v>1</v>
      </c>
      <c r="X431">
        <v>0</v>
      </c>
      <c r="Z431">
        <v>83.27</v>
      </c>
      <c r="AA431">
        <v>40.680106</v>
      </c>
      <c r="AB431">
        <v>-73.94128499999999</v>
      </c>
      <c r="AD431" t="s">
        <v>10822</v>
      </c>
      <c r="AG431" t="s">
        <v>10858</v>
      </c>
      <c r="AH431" t="s">
        <v>10862</v>
      </c>
      <c r="AI431">
        <v>239</v>
      </c>
      <c r="AJ431" t="s">
        <v>10213</v>
      </c>
      <c r="AL431">
        <v>8.300000000000001</v>
      </c>
      <c r="AM431" t="s">
        <v>10889</v>
      </c>
      <c r="AN431" t="s">
        <v>10914</v>
      </c>
      <c r="AO431" t="s">
        <v>11007</v>
      </c>
      <c r="AP431" t="s">
        <v>11052</v>
      </c>
      <c r="AQ431" t="s">
        <v>11101</v>
      </c>
      <c r="AR431" t="s">
        <v>11257</v>
      </c>
      <c r="AS431" t="s">
        <v>11595</v>
      </c>
      <c r="BA431" t="s">
        <v>11738</v>
      </c>
      <c r="BB431">
        <v>0</v>
      </c>
      <c r="BC431">
        <v>0</v>
      </c>
      <c r="BD431">
        <v>0</v>
      </c>
      <c r="BE431">
        <v>0</v>
      </c>
      <c r="BF431">
        <v>5</v>
      </c>
      <c r="BG431">
        <v>0</v>
      </c>
    </row>
    <row r="432" spans="1:59">
      <c r="A432" s="1">
        <f>HYPERLINK("https://lsnyc.legalserver.org/matter/dynamic-profile/view/1904128","19-1904128")</f>
        <v>0</v>
      </c>
      <c r="B432" t="s">
        <v>434</v>
      </c>
      <c r="C432" t="s">
        <v>5355</v>
      </c>
      <c r="D432" t="s">
        <v>9928</v>
      </c>
      <c r="E432" t="s">
        <v>10075</v>
      </c>
      <c r="F432">
        <v>11211</v>
      </c>
      <c r="G432" t="s">
        <v>10093</v>
      </c>
      <c r="H432" t="s">
        <v>10119</v>
      </c>
      <c r="I432" t="s">
        <v>10169</v>
      </c>
      <c r="J432" t="s">
        <v>10213</v>
      </c>
      <c r="K432" t="s">
        <v>10217</v>
      </c>
      <c r="M432" t="s">
        <v>10426</v>
      </c>
      <c r="N432" t="s">
        <v>10644</v>
      </c>
      <c r="P432" t="s">
        <v>10751</v>
      </c>
      <c r="Q432" t="s">
        <v>10761</v>
      </c>
      <c r="R432" t="s">
        <v>10821</v>
      </c>
      <c r="T432">
        <v>0</v>
      </c>
      <c r="U432">
        <v>0</v>
      </c>
      <c r="V432">
        <v>61</v>
      </c>
      <c r="W432">
        <v>5</v>
      </c>
      <c r="X432">
        <v>0</v>
      </c>
      <c r="Z432">
        <v>0</v>
      </c>
      <c r="AA432">
        <v>40.707605</v>
      </c>
      <c r="AB432">
        <v>-73.95383200000001</v>
      </c>
      <c r="AD432" t="s">
        <v>10840</v>
      </c>
      <c r="AG432" t="s">
        <v>10858</v>
      </c>
      <c r="AH432" t="s">
        <v>10874</v>
      </c>
      <c r="AI432">
        <v>239</v>
      </c>
      <c r="AJ432" t="s">
        <v>10213</v>
      </c>
      <c r="AL432">
        <v>10.5</v>
      </c>
      <c r="AM432" t="s">
        <v>10886</v>
      </c>
      <c r="AN432" t="s">
        <v>10942</v>
      </c>
      <c r="AO432" t="s">
        <v>11011</v>
      </c>
      <c r="AP432" t="s">
        <v>11071</v>
      </c>
      <c r="AR432" t="s">
        <v>11267</v>
      </c>
      <c r="AS432" t="s">
        <v>11595</v>
      </c>
      <c r="BA432" t="s">
        <v>11742</v>
      </c>
      <c r="BB432">
        <v>0</v>
      </c>
      <c r="BC432">
        <v>0</v>
      </c>
      <c r="BD432">
        <v>0</v>
      </c>
      <c r="BE432">
        <v>0</v>
      </c>
      <c r="BF432">
        <v>7</v>
      </c>
      <c r="BG432">
        <v>0</v>
      </c>
    </row>
    <row r="433" spans="1:59">
      <c r="A433" s="1">
        <f>HYPERLINK("https://lsnyc.legalserver.org/matter/dynamic-profile/view/1904129","19-1904129")</f>
        <v>0</v>
      </c>
      <c r="B433" t="s">
        <v>435</v>
      </c>
      <c r="C433" t="s">
        <v>5356</v>
      </c>
      <c r="D433" t="s">
        <v>9926</v>
      </c>
      <c r="E433" t="s">
        <v>10075</v>
      </c>
      <c r="F433">
        <v>10457</v>
      </c>
      <c r="G433" t="s">
        <v>10090</v>
      </c>
      <c r="H433" t="s">
        <v>10119</v>
      </c>
      <c r="I433" t="s">
        <v>10168</v>
      </c>
      <c r="J433" t="s">
        <v>10210</v>
      </c>
      <c r="K433" t="s">
        <v>10218</v>
      </c>
      <c r="L433" t="s">
        <v>10119</v>
      </c>
      <c r="M433" t="s">
        <v>10427</v>
      </c>
      <c r="N433" t="s">
        <v>10650</v>
      </c>
      <c r="P433" t="s">
        <v>10749</v>
      </c>
      <c r="Q433" t="s">
        <v>10765</v>
      </c>
      <c r="R433" t="s">
        <v>10824</v>
      </c>
      <c r="T433">
        <v>8904</v>
      </c>
      <c r="U433">
        <v>742</v>
      </c>
      <c r="V433">
        <v>33</v>
      </c>
      <c r="W433">
        <v>1</v>
      </c>
      <c r="X433">
        <v>1</v>
      </c>
      <c r="Y433" t="s">
        <v>10830</v>
      </c>
      <c r="Z433">
        <v>52.66</v>
      </c>
      <c r="AA433">
        <v>40.849045</v>
      </c>
      <c r="AB433">
        <v>-73.900535</v>
      </c>
      <c r="AD433" t="s">
        <v>10839</v>
      </c>
      <c r="AG433" t="s">
        <v>10858</v>
      </c>
      <c r="AH433" t="s">
        <v>10862</v>
      </c>
      <c r="AI433">
        <v>230</v>
      </c>
      <c r="AJ433" t="s">
        <v>10210</v>
      </c>
      <c r="AK433" t="s">
        <v>10882</v>
      </c>
      <c r="AL433">
        <v>0.5</v>
      </c>
      <c r="AM433" t="s">
        <v>10884</v>
      </c>
      <c r="AN433" t="s">
        <v>10931</v>
      </c>
      <c r="AO433" t="s">
        <v>11000</v>
      </c>
      <c r="AP433" t="s">
        <v>11056</v>
      </c>
      <c r="AR433" t="s">
        <v>11337</v>
      </c>
      <c r="AS433" t="s">
        <v>9926</v>
      </c>
      <c r="AY433" t="s">
        <v>10830</v>
      </c>
      <c r="AZ433" t="s">
        <v>11706</v>
      </c>
      <c r="BA433" t="s">
        <v>11740</v>
      </c>
      <c r="BB433">
        <v>1800</v>
      </c>
      <c r="BC433">
        <v>0</v>
      </c>
      <c r="BD433">
        <v>0</v>
      </c>
      <c r="BE433">
        <v>0</v>
      </c>
      <c r="BF433">
        <v>2</v>
      </c>
      <c r="BG433">
        <v>0</v>
      </c>
    </row>
    <row r="434" spans="1:59">
      <c r="A434" s="1">
        <f>HYPERLINK("https://lsnyc.legalserver.org/matter/dynamic-profile/view/1904130","19-1904130")</f>
        <v>0</v>
      </c>
      <c r="B434" t="s">
        <v>436</v>
      </c>
      <c r="C434" t="s">
        <v>5091</v>
      </c>
      <c r="D434" t="s">
        <v>9928</v>
      </c>
      <c r="E434" t="s">
        <v>10075</v>
      </c>
      <c r="F434">
        <v>11216</v>
      </c>
      <c r="G434" t="s">
        <v>10093</v>
      </c>
      <c r="H434" t="s">
        <v>10119</v>
      </c>
      <c r="I434" t="s">
        <v>10168</v>
      </c>
      <c r="J434" t="s">
        <v>10213</v>
      </c>
      <c r="K434" t="s">
        <v>10217</v>
      </c>
      <c r="M434" t="s">
        <v>10245</v>
      </c>
      <c r="N434" t="s">
        <v>10667</v>
      </c>
      <c r="P434" t="s">
        <v>10749</v>
      </c>
      <c r="Q434" t="s">
        <v>10765</v>
      </c>
      <c r="R434" t="s">
        <v>10824</v>
      </c>
      <c r="T434">
        <v>10200</v>
      </c>
      <c r="U434">
        <v>850</v>
      </c>
      <c r="V434">
        <v>61</v>
      </c>
      <c r="W434">
        <v>1</v>
      </c>
      <c r="X434">
        <v>0</v>
      </c>
      <c r="Z434">
        <v>81.67</v>
      </c>
      <c r="AA434">
        <v>40.677349</v>
      </c>
      <c r="AB434">
        <v>-73.953019</v>
      </c>
      <c r="AD434" t="s">
        <v>10839</v>
      </c>
      <c r="AG434" t="s">
        <v>10858</v>
      </c>
      <c r="AH434" t="s">
        <v>10862</v>
      </c>
      <c r="AI434">
        <v>239</v>
      </c>
      <c r="AJ434" t="s">
        <v>10213</v>
      </c>
      <c r="AL434">
        <v>1.2</v>
      </c>
      <c r="AM434" t="s">
        <v>10889</v>
      </c>
      <c r="AN434" t="s">
        <v>10923</v>
      </c>
      <c r="AO434" t="s">
        <v>11007</v>
      </c>
      <c r="AP434" t="s">
        <v>11061</v>
      </c>
      <c r="AQ434" t="s">
        <v>11101</v>
      </c>
      <c r="AR434" t="s">
        <v>11274</v>
      </c>
      <c r="AS434" t="s">
        <v>11595</v>
      </c>
      <c r="BA434" t="s">
        <v>11738</v>
      </c>
      <c r="BB434">
        <v>0</v>
      </c>
      <c r="BC434">
        <v>0</v>
      </c>
      <c r="BD434">
        <v>0</v>
      </c>
      <c r="BE434">
        <v>0</v>
      </c>
      <c r="BF434">
        <v>5</v>
      </c>
      <c r="BG434">
        <v>0</v>
      </c>
    </row>
    <row r="435" spans="1:59">
      <c r="A435" s="1">
        <f>HYPERLINK("https://lsnyc.legalserver.org/matter/dynamic-profile/view/1904131","19-1904131")</f>
        <v>0</v>
      </c>
      <c r="B435" t="s">
        <v>437</v>
      </c>
      <c r="C435" t="s">
        <v>5357</v>
      </c>
      <c r="D435" t="s">
        <v>9928</v>
      </c>
      <c r="E435" t="s">
        <v>10075</v>
      </c>
      <c r="F435">
        <v>11221</v>
      </c>
      <c r="G435" t="s">
        <v>10093</v>
      </c>
      <c r="H435" t="s">
        <v>10119</v>
      </c>
      <c r="I435" t="s">
        <v>10168</v>
      </c>
      <c r="J435" t="s">
        <v>10213</v>
      </c>
      <c r="K435" t="s">
        <v>10217</v>
      </c>
      <c r="M435" t="s">
        <v>10426</v>
      </c>
      <c r="N435" t="s">
        <v>10671</v>
      </c>
      <c r="P435" t="s">
        <v>10751</v>
      </c>
      <c r="Q435" t="s">
        <v>10761</v>
      </c>
      <c r="R435" t="s">
        <v>10824</v>
      </c>
      <c r="T435">
        <v>4914</v>
      </c>
      <c r="U435">
        <v>409.5</v>
      </c>
      <c r="V435">
        <v>34</v>
      </c>
      <c r="W435">
        <v>1</v>
      </c>
      <c r="X435">
        <v>0</v>
      </c>
      <c r="Z435">
        <v>39.34</v>
      </c>
      <c r="AA435">
        <v>40.687186</v>
      </c>
      <c r="AB435">
        <v>-73.933125</v>
      </c>
      <c r="AD435" t="s">
        <v>10840</v>
      </c>
      <c r="AG435" t="s">
        <v>10858</v>
      </c>
      <c r="AH435" t="s">
        <v>10874</v>
      </c>
      <c r="AI435">
        <v>239</v>
      </c>
      <c r="AJ435" t="s">
        <v>10213</v>
      </c>
      <c r="AL435">
        <v>2.8</v>
      </c>
      <c r="AM435" t="s">
        <v>10889</v>
      </c>
      <c r="AN435" t="s">
        <v>10914</v>
      </c>
      <c r="AO435" t="s">
        <v>11007</v>
      </c>
      <c r="AP435" t="s">
        <v>11052</v>
      </c>
      <c r="AR435" t="s">
        <v>11255</v>
      </c>
      <c r="AS435" t="s">
        <v>11595</v>
      </c>
      <c r="BA435" t="s">
        <v>11740</v>
      </c>
      <c r="BB435">
        <v>0</v>
      </c>
      <c r="BC435">
        <v>0</v>
      </c>
      <c r="BD435">
        <v>0</v>
      </c>
      <c r="BE435">
        <v>0</v>
      </c>
      <c r="BF435">
        <v>2</v>
      </c>
      <c r="BG435">
        <v>0</v>
      </c>
    </row>
    <row r="436" spans="1:59">
      <c r="A436" s="1">
        <f>HYPERLINK("https://lsnyc.legalserver.org/matter/dynamic-profile/view/1904132","19-1904132")</f>
        <v>0</v>
      </c>
      <c r="B436" t="s">
        <v>438</v>
      </c>
      <c r="C436" t="s">
        <v>5358</v>
      </c>
      <c r="D436" t="s">
        <v>9928</v>
      </c>
      <c r="E436" t="s">
        <v>10075</v>
      </c>
      <c r="F436">
        <v>11226</v>
      </c>
      <c r="G436" t="s">
        <v>10093</v>
      </c>
      <c r="H436" t="s">
        <v>10119</v>
      </c>
      <c r="I436" t="s">
        <v>10168</v>
      </c>
      <c r="J436" t="s">
        <v>10213</v>
      </c>
      <c r="K436" t="s">
        <v>10218</v>
      </c>
      <c r="L436" t="s">
        <v>10115</v>
      </c>
      <c r="M436" t="s">
        <v>10426</v>
      </c>
      <c r="N436" t="s">
        <v>10671</v>
      </c>
      <c r="P436" t="s">
        <v>10751</v>
      </c>
      <c r="Q436" t="s">
        <v>10761</v>
      </c>
      <c r="R436" t="s">
        <v>10824</v>
      </c>
      <c r="T436">
        <v>10056</v>
      </c>
      <c r="U436">
        <v>838</v>
      </c>
      <c r="V436">
        <v>54</v>
      </c>
      <c r="W436">
        <v>1</v>
      </c>
      <c r="X436">
        <v>0</v>
      </c>
      <c r="Y436" t="s">
        <v>10829</v>
      </c>
      <c r="Z436">
        <v>80.51000000000001</v>
      </c>
      <c r="AA436">
        <v>40.639858</v>
      </c>
      <c r="AB436">
        <v>-73.954672</v>
      </c>
      <c r="AD436" t="s">
        <v>10839</v>
      </c>
      <c r="AG436" t="s">
        <v>10858</v>
      </c>
      <c r="AH436" t="s">
        <v>10874</v>
      </c>
      <c r="AI436">
        <v>239</v>
      </c>
      <c r="AJ436" t="s">
        <v>10213</v>
      </c>
      <c r="AK436" t="s">
        <v>10838</v>
      </c>
      <c r="AL436">
        <v>10.4</v>
      </c>
      <c r="AM436" t="s">
        <v>10888</v>
      </c>
      <c r="AN436" t="s">
        <v>10932</v>
      </c>
      <c r="AO436" t="s">
        <v>11008</v>
      </c>
      <c r="AP436" t="s">
        <v>11065</v>
      </c>
      <c r="AR436" t="s">
        <v>11338</v>
      </c>
      <c r="AS436" t="s">
        <v>11595</v>
      </c>
      <c r="AY436" t="s">
        <v>10829</v>
      </c>
      <c r="AZ436" t="s">
        <v>11688</v>
      </c>
      <c r="BA436" t="s">
        <v>11742</v>
      </c>
      <c r="BB436">
        <v>0</v>
      </c>
      <c r="BC436">
        <v>0</v>
      </c>
      <c r="BD436">
        <v>0</v>
      </c>
      <c r="BE436">
        <v>0</v>
      </c>
      <c r="BF436">
        <v>7</v>
      </c>
      <c r="BG436">
        <v>0</v>
      </c>
    </row>
    <row r="437" spans="1:59">
      <c r="A437" s="1">
        <f>HYPERLINK("https://lsnyc.legalserver.org/matter/dynamic-profile/view/1904133","19-1904133")</f>
        <v>0</v>
      </c>
      <c r="B437" t="s">
        <v>436</v>
      </c>
      <c r="C437" t="s">
        <v>5091</v>
      </c>
      <c r="D437" t="s">
        <v>9928</v>
      </c>
      <c r="E437" t="s">
        <v>10075</v>
      </c>
      <c r="F437">
        <v>11216</v>
      </c>
      <c r="G437" t="s">
        <v>10093</v>
      </c>
      <c r="H437" t="s">
        <v>10119</v>
      </c>
      <c r="I437" t="s">
        <v>10168</v>
      </c>
      <c r="J437" t="s">
        <v>10213</v>
      </c>
      <c r="K437" t="s">
        <v>10217</v>
      </c>
      <c r="M437" t="s">
        <v>10245</v>
      </c>
      <c r="N437" t="s">
        <v>10668</v>
      </c>
      <c r="P437" t="s">
        <v>10751</v>
      </c>
      <c r="Q437" t="s">
        <v>10761</v>
      </c>
      <c r="R437" t="s">
        <v>10824</v>
      </c>
      <c r="T437">
        <v>10200</v>
      </c>
      <c r="U437">
        <v>850</v>
      </c>
      <c r="V437">
        <v>61</v>
      </c>
      <c r="W437">
        <v>1</v>
      </c>
      <c r="X437">
        <v>0</v>
      </c>
      <c r="Z437">
        <v>81.67</v>
      </c>
      <c r="AA437">
        <v>40.677349</v>
      </c>
      <c r="AB437">
        <v>-73.953019</v>
      </c>
      <c r="AD437" t="s">
        <v>10839</v>
      </c>
      <c r="AG437" t="s">
        <v>10858</v>
      </c>
      <c r="AH437" t="s">
        <v>10862</v>
      </c>
      <c r="AI437">
        <v>239</v>
      </c>
      <c r="AJ437" t="s">
        <v>10213</v>
      </c>
      <c r="AL437">
        <v>0</v>
      </c>
      <c r="AM437" t="s">
        <v>10889</v>
      </c>
      <c r="AN437" t="s">
        <v>10923</v>
      </c>
      <c r="AO437" t="s">
        <v>11007</v>
      </c>
      <c r="AP437" t="s">
        <v>11061</v>
      </c>
      <c r="AR437" t="s">
        <v>11274</v>
      </c>
      <c r="AS437" t="s">
        <v>11595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</row>
    <row r="438" spans="1:59">
      <c r="A438" s="1">
        <f>HYPERLINK("https://lsnyc.legalserver.org/matter/dynamic-profile/view/1904134","19-1904134")</f>
        <v>0</v>
      </c>
      <c r="B438" t="s">
        <v>439</v>
      </c>
      <c r="C438" t="s">
        <v>5359</v>
      </c>
      <c r="D438" t="s">
        <v>9930</v>
      </c>
      <c r="E438" t="s">
        <v>10075</v>
      </c>
      <c r="F438">
        <v>11373</v>
      </c>
      <c r="G438" t="s">
        <v>10092</v>
      </c>
      <c r="H438" t="s">
        <v>10119</v>
      </c>
      <c r="I438" t="s">
        <v>10168</v>
      </c>
      <c r="J438" t="s">
        <v>10212</v>
      </c>
      <c r="K438" t="s">
        <v>10217</v>
      </c>
      <c r="M438" t="s">
        <v>10428</v>
      </c>
      <c r="N438" t="s">
        <v>10693</v>
      </c>
      <c r="P438" t="s">
        <v>10749</v>
      </c>
      <c r="Q438" t="s">
        <v>10765</v>
      </c>
      <c r="R438" t="s">
        <v>10828</v>
      </c>
      <c r="T438">
        <v>24000</v>
      </c>
      <c r="U438">
        <v>2000</v>
      </c>
      <c r="V438">
        <v>21</v>
      </c>
      <c r="W438">
        <v>2</v>
      </c>
      <c r="X438">
        <v>2</v>
      </c>
      <c r="Z438">
        <v>93.2</v>
      </c>
      <c r="AA438">
        <v>40.742454</v>
      </c>
      <c r="AB438">
        <v>-73.879846</v>
      </c>
      <c r="AD438" t="s">
        <v>10840</v>
      </c>
      <c r="AF438" t="s">
        <v>10843</v>
      </c>
      <c r="AG438" t="s">
        <v>10858</v>
      </c>
      <c r="AH438" t="s">
        <v>10862</v>
      </c>
      <c r="AI438">
        <v>237</v>
      </c>
      <c r="AJ438" t="s">
        <v>10212</v>
      </c>
      <c r="AL438">
        <v>23.25</v>
      </c>
      <c r="AM438" t="s">
        <v>10890</v>
      </c>
      <c r="AN438" t="s">
        <v>10949</v>
      </c>
      <c r="AO438" t="s">
        <v>11009</v>
      </c>
      <c r="AP438" t="s">
        <v>11053</v>
      </c>
      <c r="AR438" t="s">
        <v>11257</v>
      </c>
      <c r="AS438" t="s">
        <v>11594</v>
      </c>
      <c r="BA438" t="s">
        <v>11738</v>
      </c>
      <c r="BB438">
        <v>0</v>
      </c>
      <c r="BC438">
        <v>0</v>
      </c>
      <c r="BD438">
        <v>0</v>
      </c>
      <c r="BE438">
        <v>0</v>
      </c>
      <c r="BF438">
        <v>5</v>
      </c>
      <c r="BG438">
        <v>0</v>
      </c>
    </row>
    <row r="439" spans="1:59">
      <c r="A439" s="1">
        <f>HYPERLINK("https://lsnyc.legalserver.org/matter/dynamic-profile/view/1904135","19-1904135")</f>
        <v>0</v>
      </c>
      <c r="B439" t="s">
        <v>351</v>
      </c>
      <c r="C439" t="s">
        <v>5274</v>
      </c>
      <c r="D439" t="s">
        <v>9926</v>
      </c>
      <c r="E439" t="s">
        <v>10075</v>
      </c>
      <c r="F439">
        <v>10460</v>
      </c>
      <c r="G439" t="s">
        <v>10090</v>
      </c>
      <c r="H439" t="s">
        <v>10119</v>
      </c>
      <c r="I439" t="s">
        <v>10168</v>
      </c>
      <c r="J439" t="s">
        <v>10210</v>
      </c>
      <c r="K439" t="s">
        <v>10217</v>
      </c>
      <c r="M439" t="s">
        <v>10297</v>
      </c>
      <c r="N439" t="s">
        <v>10666</v>
      </c>
      <c r="P439" t="s">
        <v>10749</v>
      </c>
      <c r="Q439" t="s">
        <v>10765</v>
      </c>
      <c r="R439" t="s">
        <v>10821</v>
      </c>
      <c r="T439">
        <v>25374</v>
      </c>
      <c r="U439">
        <v>2114.5</v>
      </c>
      <c r="V439">
        <v>46</v>
      </c>
      <c r="W439">
        <v>2</v>
      </c>
      <c r="X439">
        <v>0</v>
      </c>
      <c r="Z439">
        <v>150.05</v>
      </c>
      <c r="AA439">
        <v>40.83724</v>
      </c>
      <c r="AB439">
        <v>-73.885993</v>
      </c>
      <c r="AD439" t="s">
        <v>10839</v>
      </c>
      <c r="AG439" t="s">
        <v>10858</v>
      </c>
      <c r="AH439" t="s">
        <v>10862</v>
      </c>
      <c r="AI439">
        <v>230</v>
      </c>
      <c r="AJ439" t="s">
        <v>10210</v>
      </c>
      <c r="AL439">
        <v>14.5</v>
      </c>
      <c r="AM439" t="s">
        <v>10884</v>
      </c>
      <c r="AN439" t="s">
        <v>10918</v>
      </c>
      <c r="AO439" t="s">
        <v>11001</v>
      </c>
      <c r="AP439" t="s">
        <v>11062</v>
      </c>
      <c r="AR439" t="s">
        <v>11257</v>
      </c>
      <c r="AS439" t="s">
        <v>9926</v>
      </c>
      <c r="AT439" t="s">
        <v>11641</v>
      </c>
      <c r="AX439" t="s">
        <v>10838</v>
      </c>
      <c r="BA439" t="s">
        <v>11738</v>
      </c>
      <c r="BB439">
        <v>0</v>
      </c>
      <c r="BC439">
        <v>0</v>
      </c>
      <c r="BD439">
        <v>0</v>
      </c>
      <c r="BE439">
        <v>0</v>
      </c>
      <c r="BF439">
        <v>5</v>
      </c>
      <c r="BG439">
        <v>0</v>
      </c>
    </row>
    <row r="440" spans="1:59">
      <c r="A440" s="1">
        <f>HYPERLINK("https://lsnyc.legalserver.org/matter/dynamic-profile/view/1904136","19-1904136")</f>
        <v>0</v>
      </c>
      <c r="B440" t="s">
        <v>440</v>
      </c>
      <c r="C440" t="s">
        <v>5353</v>
      </c>
      <c r="D440" t="s">
        <v>9926</v>
      </c>
      <c r="E440" t="s">
        <v>10075</v>
      </c>
      <c r="F440">
        <v>10455</v>
      </c>
      <c r="G440" t="s">
        <v>10090</v>
      </c>
      <c r="H440" t="s">
        <v>10119</v>
      </c>
      <c r="I440" t="s">
        <v>10169</v>
      </c>
      <c r="J440" t="s">
        <v>10210</v>
      </c>
      <c r="K440" t="s">
        <v>10217</v>
      </c>
      <c r="M440" t="s">
        <v>10424</v>
      </c>
      <c r="N440" t="s">
        <v>10708</v>
      </c>
      <c r="P440" t="s">
        <v>10753</v>
      </c>
      <c r="Q440" t="s">
        <v>10763</v>
      </c>
      <c r="R440" t="s">
        <v>10824</v>
      </c>
      <c r="T440">
        <v>0</v>
      </c>
      <c r="U440">
        <v>0</v>
      </c>
      <c r="V440">
        <v>13</v>
      </c>
      <c r="W440">
        <v>1</v>
      </c>
      <c r="X440">
        <v>2</v>
      </c>
      <c r="Z440">
        <v>0</v>
      </c>
      <c r="AA440">
        <v>40.819783</v>
      </c>
      <c r="AB440">
        <v>-73.916313</v>
      </c>
      <c r="AD440" t="s">
        <v>10839</v>
      </c>
      <c r="AF440" t="s">
        <v>10842</v>
      </c>
      <c r="AG440" t="s">
        <v>10859</v>
      </c>
      <c r="AH440" t="s">
        <v>10864</v>
      </c>
      <c r="AI440">
        <v>230</v>
      </c>
      <c r="AJ440" t="s">
        <v>10210</v>
      </c>
      <c r="AL440">
        <v>1.65</v>
      </c>
      <c r="AM440" t="s">
        <v>10884</v>
      </c>
      <c r="AN440" t="s">
        <v>10924</v>
      </c>
      <c r="AO440" t="s">
        <v>11001</v>
      </c>
      <c r="AP440" t="s">
        <v>11062</v>
      </c>
      <c r="AQ440" t="s">
        <v>11142</v>
      </c>
      <c r="AR440" t="s">
        <v>11267</v>
      </c>
      <c r="AS440" t="s">
        <v>9926</v>
      </c>
      <c r="AT440" t="s">
        <v>11641</v>
      </c>
      <c r="AV440" t="s">
        <v>11656</v>
      </c>
      <c r="AW440" t="s">
        <v>11645</v>
      </c>
      <c r="AX440" t="s">
        <v>10838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</row>
    <row r="441" spans="1:59">
      <c r="A441" s="1">
        <f>HYPERLINK("https://lsnyc.legalserver.org/matter/dynamic-profile/view/1904137","19-1904137")</f>
        <v>0</v>
      </c>
      <c r="B441" t="s">
        <v>441</v>
      </c>
      <c r="C441" t="s">
        <v>5360</v>
      </c>
      <c r="D441" t="s">
        <v>9928</v>
      </c>
      <c r="E441" t="s">
        <v>10075</v>
      </c>
      <c r="F441">
        <v>11221</v>
      </c>
      <c r="G441" t="s">
        <v>10093</v>
      </c>
      <c r="H441" t="s">
        <v>10119</v>
      </c>
      <c r="I441" t="s">
        <v>10168</v>
      </c>
      <c r="J441" t="s">
        <v>10213</v>
      </c>
      <c r="K441" t="s">
        <v>10218</v>
      </c>
      <c r="L441" t="s">
        <v>10133</v>
      </c>
      <c r="M441" t="s">
        <v>10245</v>
      </c>
      <c r="N441" t="s">
        <v>10667</v>
      </c>
      <c r="P441" t="s">
        <v>10749</v>
      </c>
      <c r="Q441" t="s">
        <v>10767</v>
      </c>
      <c r="R441" t="s">
        <v>10821</v>
      </c>
      <c r="T441">
        <v>10296</v>
      </c>
      <c r="U441">
        <v>858</v>
      </c>
      <c r="V441">
        <v>30</v>
      </c>
      <c r="W441">
        <v>1</v>
      </c>
      <c r="X441">
        <v>0</v>
      </c>
      <c r="Y441" t="s">
        <v>10831</v>
      </c>
      <c r="Z441">
        <v>82.43000000000001</v>
      </c>
      <c r="AA441">
        <v>40.694521</v>
      </c>
      <c r="AB441">
        <v>-73.934653</v>
      </c>
      <c r="AD441" t="s">
        <v>10839</v>
      </c>
      <c r="AG441" t="s">
        <v>10858</v>
      </c>
      <c r="AH441" t="s">
        <v>10862</v>
      </c>
      <c r="AI441">
        <v>239</v>
      </c>
      <c r="AJ441" t="s">
        <v>10213</v>
      </c>
      <c r="AK441" t="s">
        <v>10838</v>
      </c>
      <c r="AL441">
        <v>2</v>
      </c>
      <c r="AM441" t="s">
        <v>10889</v>
      </c>
      <c r="AN441" t="s">
        <v>10920</v>
      </c>
      <c r="AO441" t="s">
        <v>11011</v>
      </c>
      <c r="AP441" t="s">
        <v>11052</v>
      </c>
      <c r="AR441" t="s">
        <v>11263</v>
      </c>
      <c r="AS441" t="s">
        <v>11595</v>
      </c>
      <c r="AT441" t="s">
        <v>11641</v>
      </c>
      <c r="AV441" t="s">
        <v>11656</v>
      </c>
      <c r="AW441" t="s">
        <v>11645</v>
      </c>
      <c r="AX441" t="s">
        <v>10838</v>
      </c>
      <c r="AY441" t="s">
        <v>10831</v>
      </c>
      <c r="AZ441" t="s">
        <v>11685</v>
      </c>
      <c r="BA441" t="s">
        <v>11738</v>
      </c>
      <c r="BB441">
        <v>0</v>
      </c>
      <c r="BC441">
        <v>0</v>
      </c>
      <c r="BD441">
        <v>0</v>
      </c>
      <c r="BE441">
        <v>0</v>
      </c>
      <c r="BF441">
        <v>5</v>
      </c>
      <c r="BG441">
        <v>0</v>
      </c>
    </row>
    <row r="442" spans="1:59">
      <c r="A442" s="1">
        <f>HYPERLINK("https://lsnyc.legalserver.org/matter/dynamic-profile/view/1904138","19-1904138")</f>
        <v>0</v>
      </c>
      <c r="B442" t="s">
        <v>442</v>
      </c>
      <c r="C442" t="s">
        <v>5361</v>
      </c>
      <c r="D442" t="s">
        <v>9928</v>
      </c>
      <c r="E442" t="s">
        <v>10075</v>
      </c>
      <c r="F442">
        <v>11235</v>
      </c>
      <c r="G442" t="s">
        <v>10093</v>
      </c>
      <c r="H442" t="s">
        <v>10117</v>
      </c>
      <c r="I442" t="s">
        <v>10171</v>
      </c>
      <c r="J442" t="s">
        <v>10213</v>
      </c>
      <c r="K442" t="s">
        <v>10217</v>
      </c>
      <c r="M442" t="s">
        <v>10390</v>
      </c>
      <c r="N442" t="s">
        <v>10644</v>
      </c>
      <c r="P442" t="s">
        <v>10749</v>
      </c>
      <c r="Q442" t="s">
        <v>10774</v>
      </c>
      <c r="R442" t="s">
        <v>10820</v>
      </c>
      <c r="T442">
        <v>10296</v>
      </c>
      <c r="U442">
        <v>858</v>
      </c>
      <c r="V442">
        <v>73</v>
      </c>
      <c r="W442">
        <v>1</v>
      </c>
      <c r="X442">
        <v>0</v>
      </c>
      <c r="Z442">
        <v>82.43000000000001</v>
      </c>
      <c r="AA442">
        <v>40.581821</v>
      </c>
      <c r="AB442">
        <v>-73.95565000000001</v>
      </c>
      <c r="AD442" t="s">
        <v>10839</v>
      </c>
      <c r="AG442" t="s">
        <v>10858</v>
      </c>
      <c r="AH442" t="s">
        <v>10869</v>
      </c>
      <c r="AI442">
        <v>239</v>
      </c>
      <c r="AJ442" t="s">
        <v>10213</v>
      </c>
      <c r="AL442">
        <v>1</v>
      </c>
      <c r="AM442" t="s">
        <v>10889</v>
      </c>
      <c r="AN442" t="s">
        <v>10965</v>
      </c>
      <c r="AO442" t="s">
        <v>11006</v>
      </c>
      <c r="AP442" t="s">
        <v>11092</v>
      </c>
      <c r="AQ442" t="s">
        <v>11136</v>
      </c>
      <c r="AR442" t="s">
        <v>11263</v>
      </c>
      <c r="AS442" t="s">
        <v>11595</v>
      </c>
      <c r="BA442" t="s">
        <v>11741</v>
      </c>
      <c r="BB442">
        <v>0</v>
      </c>
      <c r="BC442">
        <v>0</v>
      </c>
      <c r="BD442">
        <v>0</v>
      </c>
      <c r="BE442">
        <v>0</v>
      </c>
      <c r="BF442">
        <v>1</v>
      </c>
      <c r="BG442">
        <v>0</v>
      </c>
    </row>
    <row r="443" spans="1:59">
      <c r="A443" s="1">
        <f>HYPERLINK("https://lsnyc.legalserver.org/matter/dynamic-profile/view/1904139","19-1904139")</f>
        <v>0</v>
      </c>
      <c r="B443" t="s">
        <v>443</v>
      </c>
      <c r="C443" t="s">
        <v>5362</v>
      </c>
      <c r="D443" t="s">
        <v>9964</v>
      </c>
      <c r="E443" t="s">
        <v>10078</v>
      </c>
      <c r="F443">
        <v>33324</v>
      </c>
      <c r="G443" t="s">
        <v>10093</v>
      </c>
      <c r="H443" t="s">
        <v>10119</v>
      </c>
      <c r="I443" t="s">
        <v>10168</v>
      </c>
      <c r="J443" t="s">
        <v>10213</v>
      </c>
      <c r="K443" t="s">
        <v>10218</v>
      </c>
      <c r="L443" t="s">
        <v>10095</v>
      </c>
      <c r="M443" t="s">
        <v>10330</v>
      </c>
      <c r="N443" t="s">
        <v>10710</v>
      </c>
      <c r="P443" t="s">
        <v>10750</v>
      </c>
      <c r="Q443" t="s">
        <v>10760</v>
      </c>
      <c r="R443" t="s">
        <v>10820</v>
      </c>
      <c r="T443">
        <v>28659</v>
      </c>
      <c r="U443">
        <v>2388.25</v>
      </c>
      <c r="V443">
        <v>69</v>
      </c>
      <c r="W443">
        <v>1</v>
      </c>
      <c r="X443">
        <v>0</v>
      </c>
      <c r="Y443" t="s">
        <v>10829</v>
      </c>
      <c r="Z443">
        <v>229.46</v>
      </c>
      <c r="AA443">
        <v>26.099928</v>
      </c>
      <c r="AB443">
        <v>-80.271342</v>
      </c>
      <c r="AD443" t="s">
        <v>10839</v>
      </c>
      <c r="AG443" t="s">
        <v>10858</v>
      </c>
      <c r="AH443" t="s">
        <v>10861</v>
      </c>
      <c r="AI443">
        <v>234</v>
      </c>
      <c r="AJ443" t="s">
        <v>10214</v>
      </c>
      <c r="AK443" t="s">
        <v>10838</v>
      </c>
      <c r="AL443">
        <v>5.35</v>
      </c>
      <c r="AR443" t="s">
        <v>11339</v>
      </c>
      <c r="AS443" t="s">
        <v>11599</v>
      </c>
      <c r="AT443" t="s">
        <v>11641</v>
      </c>
      <c r="AX443" t="s">
        <v>10838</v>
      </c>
      <c r="AY443" t="s">
        <v>10829</v>
      </c>
      <c r="AZ443" t="s">
        <v>11679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</row>
    <row r="444" spans="1:59">
      <c r="A444" s="1">
        <f>HYPERLINK("https://lsnyc.legalserver.org/matter/dynamic-profile/view/1904140","19-1904140")</f>
        <v>0</v>
      </c>
      <c r="B444" t="s">
        <v>444</v>
      </c>
      <c r="C444" t="s">
        <v>5363</v>
      </c>
      <c r="D444" t="s">
        <v>9965</v>
      </c>
      <c r="E444" t="s">
        <v>10075</v>
      </c>
      <c r="F444">
        <v>11101</v>
      </c>
      <c r="G444" t="s">
        <v>10092</v>
      </c>
      <c r="H444" t="s">
        <v>10119</v>
      </c>
      <c r="I444" t="s">
        <v>10179</v>
      </c>
      <c r="J444" t="s">
        <v>10212</v>
      </c>
      <c r="K444" t="s">
        <v>10218</v>
      </c>
      <c r="L444" t="s">
        <v>10098</v>
      </c>
      <c r="M444" t="s">
        <v>10269</v>
      </c>
      <c r="N444" t="s">
        <v>10669</v>
      </c>
      <c r="P444" t="s">
        <v>10754</v>
      </c>
      <c r="Q444" t="s">
        <v>10775</v>
      </c>
      <c r="R444" t="s">
        <v>10828</v>
      </c>
      <c r="T444">
        <v>4160</v>
      </c>
      <c r="U444">
        <v>346.67</v>
      </c>
      <c r="V444">
        <v>27</v>
      </c>
      <c r="W444">
        <v>1</v>
      </c>
      <c r="X444">
        <v>1</v>
      </c>
      <c r="Y444" t="s">
        <v>10829</v>
      </c>
      <c r="Z444">
        <v>24.6</v>
      </c>
      <c r="AA444">
        <v>40.758909</v>
      </c>
      <c r="AB444">
        <v>-73.941011</v>
      </c>
      <c r="AD444" t="s">
        <v>10839</v>
      </c>
      <c r="AG444" t="s">
        <v>10858</v>
      </c>
      <c r="AH444" t="s">
        <v>10865</v>
      </c>
      <c r="AI444">
        <v>237</v>
      </c>
      <c r="AJ444" t="s">
        <v>10212</v>
      </c>
      <c r="AK444" t="s">
        <v>10837</v>
      </c>
      <c r="AL444">
        <v>1</v>
      </c>
      <c r="AM444" t="s">
        <v>10891</v>
      </c>
      <c r="AN444" t="s">
        <v>10961</v>
      </c>
      <c r="AO444" t="s">
        <v>11003</v>
      </c>
      <c r="AP444" t="s">
        <v>11047</v>
      </c>
      <c r="AQ444" t="s">
        <v>11143</v>
      </c>
      <c r="AR444" t="s">
        <v>11320</v>
      </c>
      <c r="AS444" t="s">
        <v>11594</v>
      </c>
      <c r="AT444" t="s">
        <v>11641</v>
      </c>
      <c r="AX444" t="s">
        <v>10838</v>
      </c>
      <c r="AY444" t="s">
        <v>10829</v>
      </c>
      <c r="AZ444" t="s">
        <v>11683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</row>
    <row r="445" spans="1:59">
      <c r="A445" s="1">
        <f>HYPERLINK("https://lsnyc.legalserver.org/matter/dynamic-profile/view/1904141","19-1904141")</f>
        <v>0</v>
      </c>
      <c r="B445" t="s">
        <v>445</v>
      </c>
      <c r="C445" t="s">
        <v>5364</v>
      </c>
      <c r="D445" t="s">
        <v>9928</v>
      </c>
      <c r="E445" t="s">
        <v>10075</v>
      </c>
      <c r="F445">
        <v>11214</v>
      </c>
      <c r="G445" t="s">
        <v>10093</v>
      </c>
      <c r="H445" t="s">
        <v>10117</v>
      </c>
      <c r="I445" t="s">
        <v>10171</v>
      </c>
      <c r="J445" t="s">
        <v>10213</v>
      </c>
      <c r="K445" t="s">
        <v>10217</v>
      </c>
      <c r="M445" t="s">
        <v>10390</v>
      </c>
      <c r="N445" t="s">
        <v>10688</v>
      </c>
      <c r="P445" t="s">
        <v>10749</v>
      </c>
      <c r="Q445" t="s">
        <v>10765</v>
      </c>
      <c r="R445" t="s">
        <v>10820</v>
      </c>
      <c r="T445">
        <v>6500</v>
      </c>
      <c r="U445">
        <v>541.67</v>
      </c>
      <c r="V445">
        <v>53</v>
      </c>
      <c r="W445">
        <v>1</v>
      </c>
      <c r="X445">
        <v>0</v>
      </c>
      <c r="Z445">
        <v>52.04</v>
      </c>
      <c r="AA445">
        <v>40.607039</v>
      </c>
      <c r="AB445">
        <v>-73.995009</v>
      </c>
      <c r="AD445" t="s">
        <v>10839</v>
      </c>
      <c r="AG445" t="s">
        <v>10858</v>
      </c>
      <c r="AH445" t="s">
        <v>10869</v>
      </c>
      <c r="AI445">
        <v>239</v>
      </c>
      <c r="AJ445" t="s">
        <v>10213</v>
      </c>
      <c r="AL445">
        <v>2.25</v>
      </c>
      <c r="AM445" t="s">
        <v>10883</v>
      </c>
      <c r="AN445" t="s">
        <v>10969</v>
      </c>
      <c r="AO445" t="s">
        <v>11023</v>
      </c>
      <c r="AP445" t="s">
        <v>11087</v>
      </c>
      <c r="AQ445" t="s">
        <v>11101</v>
      </c>
      <c r="AR445" t="s">
        <v>11257</v>
      </c>
      <c r="AS445" t="s">
        <v>11595</v>
      </c>
      <c r="BA445" t="s">
        <v>11741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0</v>
      </c>
    </row>
    <row r="446" spans="1:59">
      <c r="A446" s="1">
        <f>HYPERLINK("https://lsnyc.legalserver.org/matter/dynamic-profile/view/1904142","19-1904142")</f>
        <v>0</v>
      </c>
      <c r="B446" t="s">
        <v>446</v>
      </c>
      <c r="C446" t="s">
        <v>5365</v>
      </c>
      <c r="D446" t="s">
        <v>9928</v>
      </c>
      <c r="E446" t="s">
        <v>10075</v>
      </c>
      <c r="F446">
        <v>11230</v>
      </c>
      <c r="G446" t="s">
        <v>10093</v>
      </c>
      <c r="H446" t="s">
        <v>10119</v>
      </c>
      <c r="I446" t="s">
        <v>10168</v>
      </c>
      <c r="J446" t="s">
        <v>10213</v>
      </c>
      <c r="K446" t="s">
        <v>10217</v>
      </c>
      <c r="M446" t="s">
        <v>10304</v>
      </c>
      <c r="N446" t="s">
        <v>10671</v>
      </c>
      <c r="P446" t="s">
        <v>10749</v>
      </c>
      <c r="Q446" t="s">
        <v>10765</v>
      </c>
      <c r="R446" t="s">
        <v>10820</v>
      </c>
      <c r="T446">
        <v>9600</v>
      </c>
      <c r="U446">
        <v>800</v>
      </c>
      <c r="V446">
        <v>50</v>
      </c>
      <c r="W446">
        <v>1</v>
      </c>
      <c r="X446">
        <v>0</v>
      </c>
      <c r="Z446">
        <v>76.86</v>
      </c>
      <c r="AA446">
        <v>40.628681</v>
      </c>
      <c r="AB446">
        <v>-73.96909100000001</v>
      </c>
      <c r="AD446" t="s">
        <v>10840</v>
      </c>
      <c r="AG446" t="s">
        <v>10858</v>
      </c>
      <c r="AH446" t="s">
        <v>10861</v>
      </c>
      <c r="AI446">
        <v>234</v>
      </c>
      <c r="AJ446" t="s">
        <v>10214</v>
      </c>
      <c r="AL446">
        <v>0.95</v>
      </c>
      <c r="AM446" t="s">
        <v>10888</v>
      </c>
      <c r="AN446" t="s">
        <v>10941</v>
      </c>
      <c r="AO446" t="s">
        <v>11015</v>
      </c>
      <c r="AP446" t="s">
        <v>11065</v>
      </c>
      <c r="AR446" t="s">
        <v>11276</v>
      </c>
      <c r="AS446" t="s">
        <v>11595</v>
      </c>
      <c r="AT446" t="s">
        <v>11642</v>
      </c>
      <c r="AX446" t="s">
        <v>10838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</row>
    <row r="447" spans="1:59">
      <c r="A447" s="1">
        <f>HYPERLINK("https://lsnyc.legalserver.org/matter/dynamic-profile/view/1904143","19-1904143")</f>
        <v>0</v>
      </c>
      <c r="B447" t="s">
        <v>447</v>
      </c>
      <c r="C447" t="s">
        <v>5366</v>
      </c>
      <c r="D447" t="s">
        <v>9928</v>
      </c>
      <c r="E447" t="s">
        <v>10075</v>
      </c>
      <c r="F447">
        <v>11221</v>
      </c>
      <c r="G447" t="s">
        <v>10093</v>
      </c>
      <c r="H447" t="s">
        <v>10119</v>
      </c>
      <c r="I447" t="s">
        <v>10168</v>
      </c>
      <c r="J447" t="s">
        <v>10213</v>
      </c>
      <c r="K447" t="s">
        <v>10217</v>
      </c>
      <c r="M447" t="s">
        <v>10429</v>
      </c>
      <c r="N447" t="s">
        <v>10667</v>
      </c>
      <c r="P447" t="s">
        <v>10749</v>
      </c>
      <c r="Q447" t="s">
        <v>10765</v>
      </c>
      <c r="R447" t="s">
        <v>10822</v>
      </c>
      <c r="T447">
        <v>19370</v>
      </c>
      <c r="U447">
        <v>1614.17</v>
      </c>
      <c r="V447">
        <v>57</v>
      </c>
      <c r="W447">
        <v>3</v>
      </c>
      <c r="X447">
        <v>0</v>
      </c>
      <c r="Z447">
        <v>90.81</v>
      </c>
      <c r="AA447">
        <v>40.696062</v>
      </c>
      <c r="AB447">
        <v>-73.922927</v>
      </c>
      <c r="AD447" t="s">
        <v>10840</v>
      </c>
      <c r="AG447" t="s">
        <v>10858</v>
      </c>
      <c r="AH447" t="s">
        <v>10862</v>
      </c>
      <c r="AI447">
        <v>239</v>
      </c>
      <c r="AJ447" t="s">
        <v>10213</v>
      </c>
      <c r="AL447">
        <v>9</v>
      </c>
      <c r="AM447" t="s">
        <v>10886</v>
      </c>
      <c r="AN447" t="s">
        <v>10920</v>
      </c>
      <c r="AO447" t="s">
        <v>11011</v>
      </c>
      <c r="AP447" t="s">
        <v>11071</v>
      </c>
      <c r="AR447" t="s">
        <v>11281</v>
      </c>
      <c r="AS447" t="s">
        <v>11595</v>
      </c>
      <c r="AX447" t="s">
        <v>10838</v>
      </c>
      <c r="BA447" t="s">
        <v>11742</v>
      </c>
      <c r="BB447">
        <v>0</v>
      </c>
      <c r="BC447">
        <v>0</v>
      </c>
      <c r="BD447">
        <v>0</v>
      </c>
      <c r="BE447">
        <v>0</v>
      </c>
      <c r="BF447">
        <v>7</v>
      </c>
      <c r="BG447">
        <v>0</v>
      </c>
    </row>
    <row r="448" spans="1:59">
      <c r="A448" s="1">
        <f>HYPERLINK("https://lsnyc.legalserver.org/matter/dynamic-profile/view/1904144","19-1904144")</f>
        <v>0</v>
      </c>
      <c r="B448" t="s">
        <v>448</v>
      </c>
      <c r="C448" t="s">
        <v>5367</v>
      </c>
      <c r="D448" t="s">
        <v>9948</v>
      </c>
      <c r="E448" t="s">
        <v>10075</v>
      </c>
      <c r="F448">
        <v>11691</v>
      </c>
      <c r="G448" t="s">
        <v>10092</v>
      </c>
      <c r="H448" t="s">
        <v>10119</v>
      </c>
      <c r="I448" t="s">
        <v>10168</v>
      </c>
      <c r="J448" t="s">
        <v>10212</v>
      </c>
      <c r="K448" t="s">
        <v>10218</v>
      </c>
      <c r="L448" t="s">
        <v>10110</v>
      </c>
      <c r="M448" t="s">
        <v>10340</v>
      </c>
      <c r="N448" t="s">
        <v>10694</v>
      </c>
      <c r="P448" t="s">
        <v>10751</v>
      </c>
      <c r="Q448" t="s">
        <v>10768</v>
      </c>
      <c r="R448" t="s">
        <v>10824</v>
      </c>
      <c r="T448">
        <v>10842</v>
      </c>
      <c r="U448">
        <v>903.5</v>
      </c>
      <c r="V448">
        <v>52</v>
      </c>
      <c r="W448">
        <v>2</v>
      </c>
      <c r="X448">
        <v>0</v>
      </c>
      <c r="Y448" t="s">
        <v>10829</v>
      </c>
      <c r="Z448">
        <v>64.12</v>
      </c>
      <c r="AA448">
        <v>40.595551</v>
      </c>
      <c r="AB448">
        <v>-73.74200399999999</v>
      </c>
      <c r="AD448" t="s">
        <v>10840</v>
      </c>
      <c r="AG448" t="s">
        <v>10858</v>
      </c>
      <c r="AH448" t="s">
        <v>10862</v>
      </c>
      <c r="AI448">
        <v>234</v>
      </c>
      <c r="AJ448" t="s">
        <v>10214</v>
      </c>
      <c r="AK448" t="s">
        <v>10838</v>
      </c>
      <c r="AL448">
        <v>2.1</v>
      </c>
      <c r="AR448" t="s">
        <v>11340</v>
      </c>
      <c r="AS448" t="s">
        <v>11594</v>
      </c>
      <c r="AT448" t="s">
        <v>11641</v>
      </c>
      <c r="AX448" t="s">
        <v>10838</v>
      </c>
      <c r="AY448" t="s">
        <v>10829</v>
      </c>
      <c r="AZ448" t="s">
        <v>11682</v>
      </c>
      <c r="BA448" t="s">
        <v>11741</v>
      </c>
      <c r="BB448">
        <v>0</v>
      </c>
      <c r="BC448">
        <v>0</v>
      </c>
      <c r="BD448">
        <v>0</v>
      </c>
      <c r="BE448">
        <v>0</v>
      </c>
      <c r="BF448">
        <v>1</v>
      </c>
      <c r="BG448">
        <v>0</v>
      </c>
    </row>
    <row r="449" spans="1:59">
      <c r="A449" s="1">
        <f>HYPERLINK("https://lsnyc.legalserver.org/matter/dynamic-profile/view/1904145","19-1904145")</f>
        <v>0</v>
      </c>
      <c r="B449" t="s">
        <v>449</v>
      </c>
      <c r="C449" t="s">
        <v>5368</v>
      </c>
      <c r="D449" t="s">
        <v>9926</v>
      </c>
      <c r="E449" t="s">
        <v>10075</v>
      </c>
      <c r="F449">
        <v>10472</v>
      </c>
      <c r="G449" t="s">
        <v>10090</v>
      </c>
      <c r="H449" t="s">
        <v>10119</v>
      </c>
      <c r="I449" t="s">
        <v>10168</v>
      </c>
      <c r="J449" t="s">
        <v>10210</v>
      </c>
      <c r="K449" t="s">
        <v>10217</v>
      </c>
      <c r="M449" t="s">
        <v>10430</v>
      </c>
      <c r="N449" t="s">
        <v>10682</v>
      </c>
      <c r="P449" t="s">
        <v>10751</v>
      </c>
      <c r="Q449" t="s">
        <v>10761</v>
      </c>
      <c r="R449" t="s">
        <v>10820</v>
      </c>
      <c r="T449">
        <v>0</v>
      </c>
      <c r="U449">
        <v>0</v>
      </c>
      <c r="V449">
        <v>28</v>
      </c>
      <c r="W449">
        <v>1</v>
      </c>
      <c r="X449">
        <v>0</v>
      </c>
      <c r="Z449">
        <v>0</v>
      </c>
      <c r="AA449">
        <v>40.833492</v>
      </c>
      <c r="AB449">
        <v>-73.87229499999999</v>
      </c>
      <c r="AD449" t="s">
        <v>10839</v>
      </c>
      <c r="AG449" t="s">
        <v>10858</v>
      </c>
      <c r="AH449" t="s">
        <v>10874</v>
      </c>
      <c r="AI449">
        <v>230</v>
      </c>
      <c r="AJ449" t="s">
        <v>10210</v>
      </c>
      <c r="AL449">
        <v>3.5</v>
      </c>
      <c r="AR449" t="s">
        <v>11279</v>
      </c>
      <c r="AS449" t="s">
        <v>9926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</row>
    <row r="450" spans="1:59">
      <c r="A450" s="1">
        <f>HYPERLINK("https://lsnyc.legalserver.org/matter/dynamic-profile/view/1904146","19-1904146")</f>
        <v>0</v>
      </c>
      <c r="B450" t="s">
        <v>450</v>
      </c>
      <c r="C450" t="s">
        <v>5369</v>
      </c>
      <c r="D450" t="s">
        <v>9932</v>
      </c>
      <c r="E450" t="s">
        <v>10075</v>
      </c>
      <c r="F450">
        <v>11368</v>
      </c>
      <c r="G450" t="s">
        <v>10092</v>
      </c>
      <c r="H450" t="s">
        <v>10119</v>
      </c>
      <c r="I450" t="s">
        <v>10168</v>
      </c>
      <c r="J450" t="s">
        <v>10212</v>
      </c>
      <c r="K450" t="s">
        <v>10218</v>
      </c>
      <c r="L450" t="s">
        <v>10116</v>
      </c>
      <c r="M450" t="s">
        <v>10360</v>
      </c>
      <c r="N450" t="s">
        <v>10695</v>
      </c>
      <c r="P450" t="s">
        <v>10749</v>
      </c>
      <c r="Q450" t="s">
        <v>10765</v>
      </c>
      <c r="R450" t="s">
        <v>10824</v>
      </c>
      <c r="T450">
        <v>23280</v>
      </c>
      <c r="U450">
        <v>1940</v>
      </c>
      <c r="V450">
        <v>47</v>
      </c>
      <c r="W450">
        <v>1</v>
      </c>
      <c r="X450">
        <v>0</v>
      </c>
      <c r="Y450" t="s">
        <v>10836</v>
      </c>
      <c r="Z450">
        <v>186.39</v>
      </c>
      <c r="AA450">
        <v>40.751423</v>
      </c>
      <c r="AB450">
        <v>-73.868425</v>
      </c>
      <c r="AD450" t="s">
        <v>10839</v>
      </c>
      <c r="AG450" t="s">
        <v>10858</v>
      </c>
      <c r="AH450" t="s">
        <v>10862</v>
      </c>
      <c r="AI450">
        <v>237</v>
      </c>
      <c r="AJ450" t="s">
        <v>10212</v>
      </c>
      <c r="AK450" t="s">
        <v>10882</v>
      </c>
      <c r="AL450">
        <v>26.85</v>
      </c>
      <c r="AM450" t="s">
        <v>10885</v>
      </c>
      <c r="AN450" t="s">
        <v>10909</v>
      </c>
      <c r="AO450" t="s">
        <v>11014</v>
      </c>
      <c r="AP450" t="s">
        <v>11068</v>
      </c>
      <c r="AR450" t="s">
        <v>11298</v>
      </c>
      <c r="AS450" t="s">
        <v>11594</v>
      </c>
      <c r="AT450" t="s">
        <v>11641</v>
      </c>
      <c r="AX450" t="s">
        <v>10838</v>
      </c>
      <c r="AY450" t="s">
        <v>10836</v>
      </c>
      <c r="AZ450" t="s">
        <v>11687</v>
      </c>
      <c r="BA450" t="s">
        <v>11738</v>
      </c>
      <c r="BB450">
        <v>0</v>
      </c>
      <c r="BC450">
        <v>0</v>
      </c>
      <c r="BD450">
        <v>0</v>
      </c>
      <c r="BE450">
        <v>0</v>
      </c>
      <c r="BF450">
        <v>5</v>
      </c>
      <c r="BG450">
        <v>0</v>
      </c>
    </row>
    <row r="451" spans="1:59">
      <c r="A451" s="1">
        <f>HYPERLINK("https://lsnyc.legalserver.org/matter/dynamic-profile/view/1904147","19-1904147")</f>
        <v>0</v>
      </c>
      <c r="B451" t="s">
        <v>451</v>
      </c>
      <c r="C451" t="s">
        <v>5370</v>
      </c>
      <c r="D451" t="s">
        <v>9925</v>
      </c>
      <c r="E451" t="s">
        <v>10075</v>
      </c>
      <c r="F451">
        <v>10026</v>
      </c>
      <c r="G451" t="s">
        <v>10089</v>
      </c>
      <c r="H451" t="s">
        <v>10119</v>
      </c>
      <c r="I451" t="s">
        <v>10168</v>
      </c>
      <c r="J451" t="s">
        <v>10209</v>
      </c>
      <c r="K451" t="s">
        <v>10217</v>
      </c>
      <c r="M451" t="s">
        <v>10431</v>
      </c>
      <c r="N451" t="s">
        <v>10702</v>
      </c>
      <c r="P451" t="s">
        <v>10749</v>
      </c>
      <c r="Q451" t="s">
        <v>10765</v>
      </c>
      <c r="R451" t="s">
        <v>10824</v>
      </c>
      <c r="T451">
        <v>9744</v>
      </c>
      <c r="U451">
        <v>812</v>
      </c>
      <c r="V451">
        <v>62</v>
      </c>
      <c r="W451">
        <v>1</v>
      </c>
      <c r="X451">
        <v>0</v>
      </c>
      <c r="Z451">
        <v>78.01000000000001</v>
      </c>
      <c r="AA451">
        <v>40.8021</v>
      </c>
      <c r="AB451">
        <v>-73.958277</v>
      </c>
      <c r="AD451" t="s">
        <v>10839</v>
      </c>
      <c r="AG451" t="s">
        <v>10858</v>
      </c>
      <c r="AH451" t="s">
        <v>10862</v>
      </c>
      <c r="AI451">
        <v>236</v>
      </c>
      <c r="AJ451" t="s">
        <v>10209</v>
      </c>
      <c r="AL451">
        <v>6.5</v>
      </c>
      <c r="AM451" t="s">
        <v>10887</v>
      </c>
      <c r="AN451" t="s">
        <v>10936</v>
      </c>
      <c r="AO451" t="s">
        <v>11016</v>
      </c>
      <c r="AP451" t="s">
        <v>11076</v>
      </c>
      <c r="AR451" t="s">
        <v>11258</v>
      </c>
      <c r="AS451" t="s">
        <v>9925</v>
      </c>
      <c r="AX451" t="s">
        <v>10838</v>
      </c>
      <c r="BA451" t="s">
        <v>11738</v>
      </c>
      <c r="BB451">
        <v>0</v>
      </c>
      <c r="BC451">
        <v>0</v>
      </c>
      <c r="BD451">
        <v>0</v>
      </c>
      <c r="BE451">
        <v>0</v>
      </c>
      <c r="BF451">
        <v>5</v>
      </c>
      <c r="BG451">
        <v>0</v>
      </c>
    </row>
    <row r="452" spans="1:59">
      <c r="A452" s="1">
        <f>HYPERLINK("https://lsnyc.legalserver.org/matter/dynamic-profile/view/1904148","19-1904148")</f>
        <v>0</v>
      </c>
      <c r="B452" t="s">
        <v>452</v>
      </c>
      <c r="C452" t="s">
        <v>5371</v>
      </c>
      <c r="D452" t="s">
        <v>9929</v>
      </c>
      <c r="E452" t="s">
        <v>10075</v>
      </c>
      <c r="F452">
        <v>10310</v>
      </c>
      <c r="G452" t="s">
        <v>10088</v>
      </c>
      <c r="H452" t="s">
        <v>10106</v>
      </c>
      <c r="I452" t="s">
        <v>10168</v>
      </c>
      <c r="J452" t="s">
        <v>10208</v>
      </c>
      <c r="K452" t="s">
        <v>10217</v>
      </c>
      <c r="M452" t="s">
        <v>10243</v>
      </c>
      <c r="N452" t="s">
        <v>10654</v>
      </c>
      <c r="P452" t="s">
        <v>10749</v>
      </c>
      <c r="Q452" t="s">
        <v>10767</v>
      </c>
      <c r="R452" t="s">
        <v>10824</v>
      </c>
      <c r="T452">
        <v>9252</v>
      </c>
      <c r="U452">
        <v>771</v>
      </c>
      <c r="V452">
        <v>63</v>
      </c>
      <c r="W452">
        <v>1</v>
      </c>
      <c r="X452">
        <v>0</v>
      </c>
      <c r="Z452">
        <v>74.08</v>
      </c>
      <c r="AA452">
        <v>40.63638</v>
      </c>
      <c r="AB452">
        <v>-74.11913699999999</v>
      </c>
      <c r="AD452" t="s">
        <v>10839</v>
      </c>
      <c r="AG452" t="s">
        <v>10858</v>
      </c>
      <c r="AH452" t="s">
        <v>10862</v>
      </c>
      <c r="AI452">
        <v>285</v>
      </c>
      <c r="AJ452" t="s">
        <v>10208</v>
      </c>
      <c r="AL452">
        <v>3.6</v>
      </c>
      <c r="AM452" t="s">
        <v>10883</v>
      </c>
      <c r="AN452" t="s">
        <v>10913</v>
      </c>
      <c r="AO452" t="s">
        <v>11006</v>
      </c>
      <c r="AP452" t="s">
        <v>11051</v>
      </c>
      <c r="AR452" t="s">
        <v>11274</v>
      </c>
      <c r="AS452" t="s">
        <v>11593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</row>
    <row r="453" spans="1:59">
      <c r="A453" s="1">
        <f>HYPERLINK("https://lsnyc.legalserver.org/matter/dynamic-profile/view/1904150","19-1904150")</f>
        <v>0</v>
      </c>
      <c r="B453" t="s">
        <v>453</v>
      </c>
      <c r="C453" t="s">
        <v>5372</v>
      </c>
      <c r="D453" t="s">
        <v>9926</v>
      </c>
      <c r="E453" t="s">
        <v>10075</v>
      </c>
      <c r="F453">
        <v>10474</v>
      </c>
      <c r="G453" t="s">
        <v>10090</v>
      </c>
      <c r="H453" t="s">
        <v>10119</v>
      </c>
      <c r="I453" t="s">
        <v>10168</v>
      </c>
      <c r="J453" t="s">
        <v>10210</v>
      </c>
      <c r="K453" t="s">
        <v>10217</v>
      </c>
      <c r="M453" t="s">
        <v>10375</v>
      </c>
      <c r="N453" t="s">
        <v>10671</v>
      </c>
      <c r="P453" t="s">
        <v>10751</v>
      </c>
      <c r="Q453" t="s">
        <v>10761</v>
      </c>
      <c r="R453" t="s">
        <v>10824</v>
      </c>
      <c r="T453">
        <v>16840</v>
      </c>
      <c r="U453">
        <v>1403.33</v>
      </c>
      <c r="V453">
        <v>27</v>
      </c>
      <c r="W453">
        <v>1</v>
      </c>
      <c r="X453">
        <v>1</v>
      </c>
      <c r="Z453">
        <v>99.59</v>
      </c>
      <c r="AA453">
        <v>40.812863</v>
      </c>
      <c r="AB453">
        <v>-73.888098</v>
      </c>
      <c r="AD453" t="s">
        <v>10839</v>
      </c>
      <c r="AG453" t="s">
        <v>10858</v>
      </c>
      <c r="AH453" t="s">
        <v>10861</v>
      </c>
      <c r="AI453">
        <v>234</v>
      </c>
      <c r="AJ453" t="s">
        <v>10214</v>
      </c>
      <c r="AL453">
        <v>0.5</v>
      </c>
      <c r="AM453" t="s">
        <v>10884</v>
      </c>
      <c r="AN453" t="s">
        <v>10924</v>
      </c>
      <c r="AO453" t="s">
        <v>11002</v>
      </c>
      <c r="AP453" t="s">
        <v>11062</v>
      </c>
      <c r="AR453" t="s">
        <v>11341</v>
      </c>
      <c r="AS453" t="s">
        <v>9926</v>
      </c>
      <c r="AT453" t="s">
        <v>11641</v>
      </c>
      <c r="AX453" t="s">
        <v>10838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</row>
    <row r="454" spans="1:59">
      <c r="A454" s="1">
        <f>HYPERLINK("https://lsnyc.legalserver.org/matter/dynamic-profile/view/1904151","19-1904151")</f>
        <v>0</v>
      </c>
      <c r="B454" t="s">
        <v>239</v>
      </c>
      <c r="C454" t="s">
        <v>5373</v>
      </c>
      <c r="D454" t="s">
        <v>9956</v>
      </c>
      <c r="E454" t="s">
        <v>10075</v>
      </c>
      <c r="F454">
        <v>11365</v>
      </c>
      <c r="G454" t="s">
        <v>10092</v>
      </c>
      <c r="H454" t="s">
        <v>10119</v>
      </c>
      <c r="I454" t="s">
        <v>10168</v>
      </c>
      <c r="J454" t="s">
        <v>10212</v>
      </c>
      <c r="K454" t="s">
        <v>10217</v>
      </c>
      <c r="M454" t="s">
        <v>10329</v>
      </c>
      <c r="N454" t="s">
        <v>10711</v>
      </c>
      <c r="P454" t="s">
        <v>10749</v>
      </c>
      <c r="Q454" t="s">
        <v>10767</v>
      </c>
      <c r="R454" t="s">
        <v>10820</v>
      </c>
      <c r="T454">
        <v>7764</v>
      </c>
      <c r="U454">
        <v>647</v>
      </c>
      <c r="V454">
        <v>39</v>
      </c>
      <c r="W454">
        <v>1</v>
      </c>
      <c r="X454">
        <v>2</v>
      </c>
      <c r="Z454">
        <v>36.4</v>
      </c>
      <c r="AA454">
        <v>40.732196</v>
      </c>
      <c r="AB454">
        <v>-73.81117</v>
      </c>
      <c r="AD454" t="s">
        <v>10839</v>
      </c>
      <c r="AG454" t="s">
        <v>10858</v>
      </c>
      <c r="AH454" t="s">
        <v>10862</v>
      </c>
      <c r="AI454">
        <v>237</v>
      </c>
      <c r="AJ454" t="s">
        <v>10212</v>
      </c>
      <c r="AL454">
        <v>32.17</v>
      </c>
      <c r="AM454" t="s">
        <v>10890</v>
      </c>
      <c r="AN454" t="s">
        <v>10962</v>
      </c>
      <c r="AO454" t="s">
        <v>11009</v>
      </c>
      <c r="AP454" t="s">
        <v>11081</v>
      </c>
      <c r="AR454" t="s">
        <v>11296</v>
      </c>
      <c r="AS454" t="s">
        <v>11594</v>
      </c>
      <c r="BA454" t="s">
        <v>11738</v>
      </c>
      <c r="BB454">
        <v>0</v>
      </c>
      <c r="BC454">
        <v>0</v>
      </c>
      <c r="BD454">
        <v>0</v>
      </c>
      <c r="BE454">
        <v>0</v>
      </c>
      <c r="BF454">
        <v>5</v>
      </c>
      <c r="BG454">
        <v>0</v>
      </c>
    </row>
    <row r="455" spans="1:59">
      <c r="A455" s="1">
        <f>HYPERLINK("https://lsnyc.legalserver.org/matter/dynamic-profile/view/1904153","19-1904153")</f>
        <v>0</v>
      </c>
      <c r="B455" t="s">
        <v>454</v>
      </c>
      <c r="C455" t="s">
        <v>5374</v>
      </c>
      <c r="D455" t="s">
        <v>9928</v>
      </c>
      <c r="E455" t="s">
        <v>10075</v>
      </c>
      <c r="F455">
        <v>11210</v>
      </c>
      <c r="G455" t="s">
        <v>10093</v>
      </c>
      <c r="H455" t="s">
        <v>10119</v>
      </c>
      <c r="I455" t="s">
        <v>10168</v>
      </c>
      <c r="J455" t="s">
        <v>10213</v>
      </c>
      <c r="K455" t="s">
        <v>10218</v>
      </c>
      <c r="L455" t="s">
        <v>10163</v>
      </c>
      <c r="M455" t="s">
        <v>10293</v>
      </c>
      <c r="N455" t="s">
        <v>10671</v>
      </c>
      <c r="P455" t="s">
        <v>10749</v>
      </c>
      <c r="Q455" t="s">
        <v>10765</v>
      </c>
      <c r="R455" t="s">
        <v>10824</v>
      </c>
      <c r="T455">
        <v>19200</v>
      </c>
      <c r="U455">
        <v>1600</v>
      </c>
      <c r="V455">
        <v>67</v>
      </c>
      <c r="W455">
        <v>1</v>
      </c>
      <c r="X455">
        <v>0</v>
      </c>
      <c r="Y455" t="s">
        <v>10829</v>
      </c>
      <c r="Z455">
        <v>153.72</v>
      </c>
      <c r="AA455">
        <v>40.638052</v>
      </c>
      <c r="AB455">
        <v>-73.94436</v>
      </c>
      <c r="AD455" t="s">
        <v>10839</v>
      </c>
      <c r="AG455" t="s">
        <v>10858</v>
      </c>
      <c r="AH455" t="s">
        <v>10861</v>
      </c>
      <c r="AI455">
        <v>234</v>
      </c>
      <c r="AJ455" t="s">
        <v>10214</v>
      </c>
      <c r="AK455" t="s">
        <v>10882</v>
      </c>
      <c r="AL455">
        <v>1.85</v>
      </c>
      <c r="AM455" t="s">
        <v>10888</v>
      </c>
      <c r="AN455" t="s">
        <v>10925</v>
      </c>
      <c r="AO455" t="s">
        <v>11008</v>
      </c>
      <c r="AP455" t="s">
        <v>11065</v>
      </c>
      <c r="AR455" t="s">
        <v>11316</v>
      </c>
      <c r="AS455" t="s">
        <v>11595</v>
      </c>
      <c r="AT455" t="s">
        <v>11641</v>
      </c>
      <c r="AX455" t="s">
        <v>10838</v>
      </c>
      <c r="AY455" t="s">
        <v>10829</v>
      </c>
      <c r="AZ455" t="s">
        <v>11681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</row>
    <row r="456" spans="1:59">
      <c r="A456" s="1">
        <f>HYPERLINK("https://lsnyc.legalserver.org/matter/dynamic-profile/view/1904154","19-1904154")</f>
        <v>0</v>
      </c>
      <c r="B456" t="s">
        <v>455</v>
      </c>
      <c r="C456" t="s">
        <v>5375</v>
      </c>
      <c r="D456" t="s">
        <v>9925</v>
      </c>
      <c r="E456" t="s">
        <v>10075</v>
      </c>
      <c r="F456">
        <v>10027</v>
      </c>
      <c r="G456" t="s">
        <v>10089</v>
      </c>
      <c r="H456" t="s">
        <v>10119</v>
      </c>
      <c r="I456" t="s">
        <v>10168</v>
      </c>
      <c r="J456" t="s">
        <v>10209</v>
      </c>
      <c r="K456" t="s">
        <v>10217</v>
      </c>
      <c r="M456" t="s">
        <v>10432</v>
      </c>
      <c r="N456" t="s">
        <v>10702</v>
      </c>
      <c r="P456" t="s">
        <v>10749</v>
      </c>
      <c r="Q456" t="s">
        <v>10765</v>
      </c>
      <c r="R456" t="s">
        <v>10824</v>
      </c>
      <c r="T456">
        <v>23400</v>
      </c>
      <c r="U456">
        <v>1950</v>
      </c>
      <c r="V456">
        <v>52</v>
      </c>
      <c r="W456">
        <v>2</v>
      </c>
      <c r="X456">
        <v>1</v>
      </c>
      <c r="Z456">
        <v>109.7</v>
      </c>
      <c r="AA456">
        <v>40.808872</v>
      </c>
      <c r="AB456">
        <v>-73.94350300000001</v>
      </c>
      <c r="AD456" t="s">
        <v>10839</v>
      </c>
      <c r="AG456" t="s">
        <v>10858</v>
      </c>
      <c r="AH456" t="s">
        <v>10862</v>
      </c>
      <c r="AI456">
        <v>236</v>
      </c>
      <c r="AJ456" t="s">
        <v>10209</v>
      </c>
      <c r="AL456">
        <v>12.23</v>
      </c>
      <c r="AM456" t="s">
        <v>10887</v>
      </c>
      <c r="AN456" t="s">
        <v>10936</v>
      </c>
      <c r="AO456" t="s">
        <v>11016</v>
      </c>
      <c r="AP456" t="s">
        <v>11076</v>
      </c>
      <c r="AR456" t="s">
        <v>11293</v>
      </c>
      <c r="AS456" t="s">
        <v>9925</v>
      </c>
      <c r="AX456" t="s">
        <v>10838</v>
      </c>
      <c r="BA456" t="s">
        <v>11738</v>
      </c>
      <c r="BB456">
        <v>0</v>
      </c>
      <c r="BC456">
        <v>0</v>
      </c>
      <c r="BD456">
        <v>0</v>
      </c>
      <c r="BE456">
        <v>0</v>
      </c>
      <c r="BF456">
        <v>5</v>
      </c>
      <c r="BG456">
        <v>0</v>
      </c>
    </row>
    <row r="457" spans="1:59">
      <c r="A457" s="1">
        <f>HYPERLINK("https://lsnyc.legalserver.org/matter/dynamic-profile/view/1904155","19-1904155")</f>
        <v>0</v>
      </c>
      <c r="B457" t="s">
        <v>456</v>
      </c>
      <c r="C457" t="s">
        <v>5376</v>
      </c>
      <c r="D457" t="s">
        <v>9925</v>
      </c>
      <c r="E457" t="s">
        <v>10075</v>
      </c>
      <c r="F457">
        <v>10026</v>
      </c>
      <c r="G457" t="s">
        <v>10089</v>
      </c>
      <c r="H457" t="s">
        <v>10119</v>
      </c>
      <c r="I457" t="s">
        <v>10168</v>
      </c>
      <c r="J457" t="s">
        <v>10209</v>
      </c>
      <c r="K457" t="s">
        <v>10217</v>
      </c>
      <c r="M457" t="s">
        <v>10433</v>
      </c>
      <c r="N457" t="s">
        <v>10702</v>
      </c>
      <c r="P457" t="s">
        <v>10749</v>
      </c>
      <c r="Q457" t="s">
        <v>10767</v>
      </c>
      <c r="R457" t="s">
        <v>10824</v>
      </c>
      <c r="T457">
        <v>33252</v>
      </c>
      <c r="U457">
        <v>2771</v>
      </c>
      <c r="V457">
        <v>32</v>
      </c>
      <c r="W457">
        <v>1</v>
      </c>
      <c r="X457">
        <v>1</v>
      </c>
      <c r="Z457">
        <v>196.64</v>
      </c>
      <c r="AA457">
        <v>40.801663</v>
      </c>
      <c r="AB457">
        <v>-73.94708</v>
      </c>
      <c r="AD457" t="s">
        <v>10839</v>
      </c>
      <c r="AG457" t="s">
        <v>10858</v>
      </c>
      <c r="AH457" t="s">
        <v>10862</v>
      </c>
      <c r="AI457">
        <v>236</v>
      </c>
      <c r="AJ457" t="s">
        <v>10209</v>
      </c>
      <c r="AL457">
        <v>13.4</v>
      </c>
      <c r="AM457" t="s">
        <v>10887</v>
      </c>
      <c r="AN457" t="s">
        <v>10936</v>
      </c>
      <c r="AO457" t="s">
        <v>11016</v>
      </c>
      <c r="AP457" t="s">
        <v>11076</v>
      </c>
      <c r="AQ457" t="s">
        <v>11144</v>
      </c>
      <c r="AR457" t="s">
        <v>11295</v>
      </c>
      <c r="AS457" t="s">
        <v>9925</v>
      </c>
      <c r="AT457" t="s">
        <v>11641</v>
      </c>
      <c r="BA457" t="s">
        <v>11738</v>
      </c>
      <c r="BB457">
        <v>0</v>
      </c>
      <c r="BC457">
        <v>0</v>
      </c>
      <c r="BD457">
        <v>0</v>
      </c>
      <c r="BE457">
        <v>0</v>
      </c>
      <c r="BF457">
        <v>5</v>
      </c>
      <c r="BG457">
        <v>0</v>
      </c>
    </row>
    <row r="458" spans="1:59">
      <c r="A458" s="1">
        <f>HYPERLINK("https://lsnyc.legalserver.org/matter/dynamic-profile/view/1904156","19-1904156")</f>
        <v>0</v>
      </c>
      <c r="B458" t="s">
        <v>457</v>
      </c>
      <c r="C458" t="s">
        <v>5377</v>
      </c>
      <c r="D458" t="s">
        <v>9925</v>
      </c>
      <c r="E458" t="s">
        <v>10075</v>
      </c>
      <c r="F458">
        <v>10030</v>
      </c>
      <c r="G458" t="s">
        <v>10089</v>
      </c>
      <c r="H458" t="s">
        <v>10119</v>
      </c>
      <c r="I458" t="s">
        <v>10169</v>
      </c>
      <c r="J458" t="s">
        <v>10209</v>
      </c>
      <c r="K458" t="s">
        <v>10217</v>
      </c>
      <c r="M458" t="s">
        <v>10383</v>
      </c>
      <c r="N458" t="s">
        <v>10656</v>
      </c>
      <c r="P458" t="s">
        <v>10751</v>
      </c>
      <c r="Q458" t="s">
        <v>10768</v>
      </c>
      <c r="R458" t="s">
        <v>10821</v>
      </c>
      <c r="T458">
        <v>8592</v>
      </c>
      <c r="U458">
        <v>716</v>
      </c>
      <c r="V458">
        <v>48</v>
      </c>
      <c r="W458">
        <v>1</v>
      </c>
      <c r="X458">
        <v>1</v>
      </c>
      <c r="Z458">
        <v>50.81</v>
      </c>
      <c r="AA458">
        <v>40.820196</v>
      </c>
      <c r="AB458">
        <v>-73.93807200000001</v>
      </c>
      <c r="AD458" t="s">
        <v>10839</v>
      </c>
      <c r="AF458" t="s">
        <v>10843</v>
      </c>
      <c r="AG458" t="s">
        <v>10859</v>
      </c>
      <c r="AH458" t="s">
        <v>10866</v>
      </c>
      <c r="AI458">
        <v>234</v>
      </c>
      <c r="AJ458" t="s">
        <v>10214</v>
      </c>
      <c r="AL458">
        <v>14.1</v>
      </c>
      <c r="AM458" t="s">
        <v>10887</v>
      </c>
      <c r="AN458" t="s">
        <v>10943</v>
      </c>
      <c r="AO458" t="s">
        <v>11016</v>
      </c>
      <c r="AP458" t="s">
        <v>11076</v>
      </c>
      <c r="AR458" t="s">
        <v>11274</v>
      </c>
      <c r="AS458" t="s">
        <v>9925</v>
      </c>
      <c r="AT458" t="s">
        <v>11641</v>
      </c>
      <c r="AX458" t="s">
        <v>10838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</row>
    <row r="459" spans="1:59">
      <c r="A459" s="1">
        <f>HYPERLINK("https://lsnyc.legalserver.org/matter/dynamic-profile/view/1904157","19-1904157")</f>
        <v>0</v>
      </c>
      <c r="B459" t="s">
        <v>458</v>
      </c>
      <c r="C459" t="s">
        <v>5378</v>
      </c>
      <c r="D459" t="s">
        <v>9928</v>
      </c>
      <c r="E459" t="s">
        <v>10075</v>
      </c>
      <c r="F459">
        <v>11235</v>
      </c>
      <c r="G459" t="s">
        <v>10093</v>
      </c>
      <c r="H459" t="s">
        <v>10119</v>
      </c>
      <c r="I459" t="s">
        <v>10171</v>
      </c>
      <c r="J459" t="s">
        <v>10213</v>
      </c>
      <c r="K459" t="s">
        <v>10217</v>
      </c>
      <c r="M459" t="s">
        <v>10293</v>
      </c>
      <c r="N459" t="s">
        <v>10671</v>
      </c>
      <c r="P459" t="s">
        <v>10749</v>
      </c>
      <c r="Q459" t="s">
        <v>10765</v>
      </c>
      <c r="R459" t="s">
        <v>10820</v>
      </c>
      <c r="T459">
        <v>0</v>
      </c>
      <c r="U459">
        <v>0</v>
      </c>
      <c r="V459">
        <v>64</v>
      </c>
      <c r="W459">
        <v>1</v>
      </c>
      <c r="X459">
        <v>0</v>
      </c>
      <c r="Z459">
        <v>0</v>
      </c>
      <c r="AA459">
        <v>40.577194</v>
      </c>
      <c r="AB459">
        <v>-73.960734</v>
      </c>
      <c r="AD459" t="s">
        <v>10840</v>
      </c>
      <c r="AF459" t="s">
        <v>10843</v>
      </c>
      <c r="AG459" t="s">
        <v>10859</v>
      </c>
      <c r="AH459" t="s">
        <v>10861</v>
      </c>
      <c r="AI459">
        <v>234</v>
      </c>
      <c r="AJ459" t="s">
        <v>10214</v>
      </c>
      <c r="AL459">
        <v>1.4</v>
      </c>
      <c r="AM459" t="s">
        <v>10889</v>
      </c>
      <c r="AN459" t="s">
        <v>10965</v>
      </c>
      <c r="AO459" t="s">
        <v>11006</v>
      </c>
      <c r="AP459" t="s">
        <v>11092</v>
      </c>
      <c r="AR459" t="s">
        <v>11279</v>
      </c>
      <c r="AS459" t="s">
        <v>11595</v>
      </c>
      <c r="AT459" t="s">
        <v>11642</v>
      </c>
      <c r="AX459" t="s">
        <v>10838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</row>
    <row r="460" spans="1:59">
      <c r="A460" s="1">
        <f>HYPERLINK("https://lsnyc.legalserver.org/matter/dynamic-profile/view/1904158","19-1904158")</f>
        <v>0</v>
      </c>
      <c r="B460" t="s">
        <v>459</v>
      </c>
      <c r="C460" t="s">
        <v>5379</v>
      </c>
      <c r="D460" t="s">
        <v>9926</v>
      </c>
      <c r="E460" t="s">
        <v>10075</v>
      </c>
      <c r="F460">
        <v>10468</v>
      </c>
      <c r="G460" t="s">
        <v>10090</v>
      </c>
      <c r="H460" t="s">
        <v>10094</v>
      </c>
      <c r="I460" t="s">
        <v>10168</v>
      </c>
      <c r="J460" t="s">
        <v>10210</v>
      </c>
      <c r="K460" t="s">
        <v>10217</v>
      </c>
      <c r="M460" t="s">
        <v>10434</v>
      </c>
      <c r="N460" t="s">
        <v>10651</v>
      </c>
      <c r="P460" t="s">
        <v>10749</v>
      </c>
      <c r="Q460" t="s">
        <v>10765</v>
      </c>
      <c r="R460" t="s">
        <v>10824</v>
      </c>
      <c r="T460">
        <v>28860</v>
      </c>
      <c r="U460">
        <v>2405</v>
      </c>
      <c r="V460">
        <v>36</v>
      </c>
      <c r="W460">
        <v>1</v>
      </c>
      <c r="X460">
        <v>1</v>
      </c>
      <c r="Z460">
        <v>170.67</v>
      </c>
      <c r="AA460">
        <v>40.860764</v>
      </c>
      <c r="AB460">
        <v>-73.908862</v>
      </c>
      <c r="AD460" t="s">
        <v>10839</v>
      </c>
      <c r="AG460" t="s">
        <v>10858</v>
      </c>
      <c r="AH460" t="s">
        <v>10862</v>
      </c>
      <c r="AI460">
        <v>230</v>
      </c>
      <c r="AJ460" t="s">
        <v>10210</v>
      </c>
      <c r="AL460">
        <v>9.800000000000001</v>
      </c>
      <c r="AM460" t="s">
        <v>10887</v>
      </c>
      <c r="AN460" t="s">
        <v>10931</v>
      </c>
      <c r="AO460" t="s">
        <v>11000</v>
      </c>
      <c r="AP460" t="s">
        <v>11045</v>
      </c>
      <c r="AR460" t="s">
        <v>11342</v>
      </c>
      <c r="AS460" t="s">
        <v>9926</v>
      </c>
      <c r="AT460" t="s">
        <v>11641</v>
      </c>
      <c r="AX460" t="s">
        <v>10838</v>
      </c>
      <c r="BA460" t="s">
        <v>11738</v>
      </c>
      <c r="BB460">
        <v>0</v>
      </c>
      <c r="BC460">
        <v>0</v>
      </c>
      <c r="BD460">
        <v>0</v>
      </c>
      <c r="BE460">
        <v>0</v>
      </c>
      <c r="BF460">
        <v>5</v>
      </c>
      <c r="BG460">
        <v>0</v>
      </c>
    </row>
    <row r="461" spans="1:59">
      <c r="A461" s="1">
        <f>HYPERLINK("https://lsnyc.legalserver.org/matter/dynamic-profile/view/1904159","19-1904159")</f>
        <v>0</v>
      </c>
      <c r="B461" t="s">
        <v>460</v>
      </c>
      <c r="C461" t="s">
        <v>5380</v>
      </c>
      <c r="D461" t="s">
        <v>9966</v>
      </c>
      <c r="E461" t="s">
        <v>10077</v>
      </c>
      <c r="F461">
        <v>30228</v>
      </c>
      <c r="G461" t="s">
        <v>10089</v>
      </c>
      <c r="H461" t="s">
        <v>10119</v>
      </c>
      <c r="I461" t="s">
        <v>10168</v>
      </c>
      <c r="J461" t="s">
        <v>10209</v>
      </c>
      <c r="K461" t="s">
        <v>10217</v>
      </c>
      <c r="M461" t="s">
        <v>10270</v>
      </c>
      <c r="N461" t="s">
        <v>10646</v>
      </c>
      <c r="P461" t="s">
        <v>10754</v>
      </c>
      <c r="Q461" t="s">
        <v>10777</v>
      </c>
      <c r="R461" t="s">
        <v>10825</v>
      </c>
      <c r="T461">
        <v>52000</v>
      </c>
      <c r="U461">
        <v>4333.33</v>
      </c>
      <c r="V461">
        <v>32</v>
      </c>
      <c r="W461">
        <v>2</v>
      </c>
      <c r="X461">
        <v>1</v>
      </c>
      <c r="Z461">
        <v>243.79</v>
      </c>
      <c r="AA461">
        <v>33.450196</v>
      </c>
      <c r="AB461">
        <v>-84.29499300000001</v>
      </c>
      <c r="AD461" t="s">
        <v>10840</v>
      </c>
      <c r="AG461" t="s">
        <v>10858</v>
      </c>
      <c r="AH461" t="s">
        <v>10861</v>
      </c>
      <c r="AI461">
        <v>234</v>
      </c>
      <c r="AJ461" t="s">
        <v>10214</v>
      </c>
      <c r="AL461">
        <v>0.5</v>
      </c>
      <c r="AR461" t="s">
        <v>11343</v>
      </c>
      <c r="AS461" t="s">
        <v>11600</v>
      </c>
      <c r="AT461" t="s">
        <v>11642</v>
      </c>
      <c r="AX461" t="s">
        <v>10837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</row>
    <row r="462" spans="1:59">
      <c r="A462" s="1">
        <f>HYPERLINK("https://lsnyc.legalserver.org/matter/dynamic-profile/view/1904162","19-1904162")</f>
        <v>0</v>
      </c>
      <c r="B462" t="s">
        <v>461</v>
      </c>
      <c r="C462" t="s">
        <v>5381</v>
      </c>
      <c r="D462" t="s">
        <v>9925</v>
      </c>
      <c r="E462" t="s">
        <v>10075</v>
      </c>
      <c r="F462">
        <v>10029</v>
      </c>
      <c r="G462" t="s">
        <v>10089</v>
      </c>
      <c r="H462" t="s">
        <v>10119</v>
      </c>
      <c r="I462" t="s">
        <v>10168</v>
      </c>
      <c r="J462" t="s">
        <v>10209</v>
      </c>
      <c r="K462" t="s">
        <v>10217</v>
      </c>
      <c r="M462" t="s">
        <v>10381</v>
      </c>
      <c r="N462" t="s">
        <v>10656</v>
      </c>
      <c r="P462" t="s">
        <v>10751</v>
      </c>
      <c r="Q462" t="s">
        <v>10780</v>
      </c>
      <c r="R462" t="s">
        <v>10824</v>
      </c>
      <c r="T462">
        <v>0</v>
      </c>
      <c r="U462">
        <v>0</v>
      </c>
      <c r="V462">
        <v>60</v>
      </c>
      <c r="W462">
        <v>1</v>
      </c>
      <c r="X462">
        <v>0</v>
      </c>
      <c r="Z462">
        <v>0</v>
      </c>
      <c r="AA462">
        <v>40.798109</v>
      </c>
      <c r="AB462">
        <v>-73.94702700000001</v>
      </c>
      <c r="AD462" t="s">
        <v>10839</v>
      </c>
      <c r="AG462" t="s">
        <v>10858</v>
      </c>
      <c r="AH462" t="s">
        <v>10861</v>
      </c>
      <c r="AI462">
        <v>234</v>
      </c>
      <c r="AJ462" t="s">
        <v>10214</v>
      </c>
      <c r="AL462">
        <v>11.95</v>
      </c>
      <c r="AM462" t="s">
        <v>10887</v>
      </c>
      <c r="AN462" t="s">
        <v>10926</v>
      </c>
      <c r="AO462" t="s">
        <v>11016</v>
      </c>
      <c r="AP462" t="s">
        <v>11076</v>
      </c>
      <c r="AQ462" t="s">
        <v>11118</v>
      </c>
      <c r="AR462" t="s">
        <v>11267</v>
      </c>
      <c r="AS462" t="s">
        <v>9925</v>
      </c>
      <c r="AT462" t="s">
        <v>11641</v>
      </c>
      <c r="AX462" t="s">
        <v>10838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</row>
    <row r="463" spans="1:59">
      <c r="A463" s="1">
        <f>HYPERLINK("https://lsnyc.legalserver.org/matter/dynamic-profile/view/1904163","19-1904163")</f>
        <v>0</v>
      </c>
      <c r="B463" t="s">
        <v>462</v>
      </c>
      <c r="C463" t="s">
        <v>5382</v>
      </c>
      <c r="D463" t="s">
        <v>9928</v>
      </c>
      <c r="E463" t="s">
        <v>10075</v>
      </c>
      <c r="F463">
        <v>11224</v>
      </c>
      <c r="G463" t="s">
        <v>10093</v>
      </c>
      <c r="H463" t="s">
        <v>10117</v>
      </c>
      <c r="I463" t="s">
        <v>10171</v>
      </c>
      <c r="J463" t="s">
        <v>10213</v>
      </c>
      <c r="K463" t="s">
        <v>10217</v>
      </c>
      <c r="M463" t="s">
        <v>10390</v>
      </c>
      <c r="N463" t="s">
        <v>10644</v>
      </c>
      <c r="P463" t="s">
        <v>10757</v>
      </c>
      <c r="Q463" t="s">
        <v>10789</v>
      </c>
      <c r="R463" t="s">
        <v>10820</v>
      </c>
      <c r="T463">
        <v>10296</v>
      </c>
      <c r="U463">
        <v>858</v>
      </c>
      <c r="V463">
        <v>80</v>
      </c>
      <c r="W463">
        <v>1</v>
      </c>
      <c r="X463">
        <v>0</v>
      </c>
      <c r="Z463">
        <v>82.43000000000001</v>
      </c>
      <c r="AA463">
        <v>40.572621</v>
      </c>
      <c r="AB463">
        <v>-73.991349</v>
      </c>
      <c r="AD463" t="s">
        <v>10839</v>
      </c>
      <c r="AG463" t="s">
        <v>10858</v>
      </c>
      <c r="AH463" t="s">
        <v>10869</v>
      </c>
      <c r="AI463">
        <v>239</v>
      </c>
      <c r="AJ463" t="s">
        <v>10213</v>
      </c>
      <c r="AL463">
        <v>2</v>
      </c>
      <c r="AM463" t="s">
        <v>10889</v>
      </c>
      <c r="AN463" t="s">
        <v>10960</v>
      </c>
      <c r="AO463" t="s">
        <v>11006</v>
      </c>
      <c r="AP463" t="s">
        <v>11087</v>
      </c>
      <c r="AQ463" t="s">
        <v>11145</v>
      </c>
      <c r="AR463" t="s">
        <v>11263</v>
      </c>
      <c r="AS463" t="s">
        <v>11595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</row>
    <row r="464" spans="1:59">
      <c r="A464" s="1">
        <f>HYPERLINK("https://lsnyc.legalserver.org/matter/dynamic-profile/view/1904164","19-1904164")</f>
        <v>0</v>
      </c>
      <c r="B464" t="s">
        <v>463</v>
      </c>
      <c r="C464" t="s">
        <v>5039</v>
      </c>
      <c r="D464" t="s">
        <v>9929</v>
      </c>
      <c r="E464" t="s">
        <v>10075</v>
      </c>
      <c r="F464">
        <v>10301</v>
      </c>
      <c r="G464" t="s">
        <v>10088</v>
      </c>
      <c r="H464" t="s">
        <v>10123</v>
      </c>
      <c r="I464" t="s">
        <v>10168</v>
      </c>
      <c r="J464" t="s">
        <v>10208</v>
      </c>
      <c r="K464" t="s">
        <v>10217</v>
      </c>
      <c r="M464" t="s">
        <v>10254</v>
      </c>
      <c r="N464" t="s">
        <v>10650</v>
      </c>
      <c r="P464" t="s">
        <v>10749</v>
      </c>
      <c r="Q464" t="s">
        <v>10774</v>
      </c>
      <c r="R464" t="s">
        <v>10824</v>
      </c>
      <c r="T464">
        <v>45500.04</v>
      </c>
      <c r="U464">
        <v>3791.67</v>
      </c>
      <c r="V464">
        <v>29</v>
      </c>
      <c r="W464">
        <v>2</v>
      </c>
      <c r="X464">
        <v>1</v>
      </c>
      <c r="Z464">
        <v>213.31</v>
      </c>
      <c r="AA464">
        <v>40.646254</v>
      </c>
      <c r="AB464">
        <v>-74.080727</v>
      </c>
      <c r="AD464" t="s">
        <v>10839</v>
      </c>
      <c r="AG464" t="s">
        <v>10858</v>
      </c>
      <c r="AH464" t="s">
        <v>10862</v>
      </c>
      <c r="AI464">
        <v>285</v>
      </c>
      <c r="AJ464" t="s">
        <v>10208</v>
      </c>
      <c r="AL464">
        <v>13.9</v>
      </c>
      <c r="AM464" t="s">
        <v>10883</v>
      </c>
      <c r="AN464" t="s">
        <v>10913</v>
      </c>
      <c r="AO464" t="s">
        <v>11006</v>
      </c>
      <c r="AP464" t="s">
        <v>11051</v>
      </c>
      <c r="AR464" t="s">
        <v>11257</v>
      </c>
      <c r="AS464" t="s">
        <v>11593</v>
      </c>
      <c r="BA464" t="s">
        <v>11738</v>
      </c>
      <c r="BB464">
        <v>0</v>
      </c>
      <c r="BC464">
        <v>0</v>
      </c>
      <c r="BD464">
        <v>0</v>
      </c>
      <c r="BE464">
        <v>0</v>
      </c>
      <c r="BF464">
        <v>5</v>
      </c>
      <c r="BG464">
        <v>0</v>
      </c>
    </row>
    <row r="465" spans="1:59">
      <c r="A465" s="1">
        <f>HYPERLINK("https://lsnyc.legalserver.org/matter/dynamic-profile/view/1904165","19-1904165")</f>
        <v>0</v>
      </c>
      <c r="B465" t="s">
        <v>464</v>
      </c>
      <c r="C465" t="s">
        <v>5383</v>
      </c>
      <c r="D465" t="s">
        <v>9928</v>
      </c>
      <c r="E465" t="s">
        <v>10075</v>
      </c>
      <c r="F465">
        <v>11211</v>
      </c>
      <c r="G465" t="s">
        <v>10093</v>
      </c>
      <c r="H465" t="s">
        <v>10119</v>
      </c>
      <c r="I465" t="s">
        <v>10169</v>
      </c>
      <c r="J465" t="s">
        <v>10213</v>
      </c>
      <c r="K465" t="s">
        <v>10217</v>
      </c>
      <c r="M465" t="s">
        <v>10435</v>
      </c>
      <c r="N465" t="s">
        <v>10665</v>
      </c>
      <c r="P465" t="s">
        <v>10750</v>
      </c>
      <c r="Q465" t="s">
        <v>10799</v>
      </c>
      <c r="R465" t="s">
        <v>10821</v>
      </c>
      <c r="T465">
        <v>0</v>
      </c>
      <c r="U465">
        <v>0</v>
      </c>
      <c r="V465">
        <v>50</v>
      </c>
      <c r="W465">
        <v>2</v>
      </c>
      <c r="X465">
        <v>1</v>
      </c>
      <c r="Z465">
        <v>0</v>
      </c>
      <c r="AA465">
        <v>40.709021</v>
      </c>
      <c r="AB465">
        <v>-73.96153700000001</v>
      </c>
      <c r="AD465" t="s">
        <v>10840</v>
      </c>
      <c r="AF465" t="s">
        <v>10843</v>
      </c>
      <c r="AG465" t="s">
        <v>10859</v>
      </c>
      <c r="AH465" t="s">
        <v>10871</v>
      </c>
      <c r="AI465">
        <v>234</v>
      </c>
      <c r="AJ465" t="s">
        <v>10214</v>
      </c>
      <c r="AL465">
        <v>0.83</v>
      </c>
      <c r="AM465" t="s">
        <v>10886</v>
      </c>
      <c r="AN465" t="s">
        <v>10939</v>
      </c>
      <c r="AO465" t="s">
        <v>11011</v>
      </c>
      <c r="AP465" t="s">
        <v>11071</v>
      </c>
      <c r="AR465" t="s">
        <v>11267</v>
      </c>
      <c r="AS465" t="s">
        <v>11595</v>
      </c>
      <c r="AT465" t="s">
        <v>11642</v>
      </c>
      <c r="AX465" t="s">
        <v>10838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</row>
    <row r="466" spans="1:59">
      <c r="A466" s="1">
        <f>HYPERLINK("https://lsnyc.legalserver.org/matter/dynamic-profile/view/1904166","19-1904166")</f>
        <v>0</v>
      </c>
      <c r="B466" t="s">
        <v>465</v>
      </c>
      <c r="C466" t="s">
        <v>5384</v>
      </c>
      <c r="D466" t="s">
        <v>9925</v>
      </c>
      <c r="E466" t="s">
        <v>10075</v>
      </c>
      <c r="F466">
        <v>10026</v>
      </c>
      <c r="G466" t="s">
        <v>10089</v>
      </c>
      <c r="H466" t="s">
        <v>10119</v>
      </c>
      <c r="I466" t="s">
        <v>10168</v>
      </c>
      <c r="J466" t="s">
        <v>10209</v>
      </c>
      <c r="K466" t="s">
        <v>10218</v>
      </c>
      <c r="L466" t="s">
        <v>10142</v>
      </c>
      <c r="M466" t="s">
        <v>10433</v>
      </c>
      <c r="N466" t="s">
        <v>10702</v>
      </c>
      <c r="P466" t="s">
        <v>10749</v>
      </c>
      <c r="Q466" t="s">
        <v>10765</v>
      </c>
      <c r="R466" t="s">
        <v>10824</v>
      </c>
      <c r="T466">
        <v>0</v>
      </c>
      <c r="U466">
        <v>0</v>
      </c>
      <c r="V466">
        <v>70</v>
      </c>
      <c r="W466">
        <v>1</v>
      </c>
      <c r="X466">
        <v>0</v>
      </c>
      <c r="Y466" t="s">
        <v>10829</v>
      </c>
      <c r="Z466">
        <v>0</v>
      </c>
      <c r="AA466">
        <v>40.802286</v>
      </c>
      <c r="AB466">
        <v>-73.951999</v>
      </c>
      <c r="AD466" t="s">
        <v>10840</v>
      </c>
      <c r="AG466" t="s">
        <v>10858</v>
      </c>
      <c r="AH466" t="s">
        <v>10862</v>
      </c>
      <c r="AI466">
        <v>236</v>
      </c>
      <c r="AJ466" t="s">
        <v>10209</v>
      </c>
      <c r="AK466" t="s">
        <v>10838</v>
      </c>
      <c r="AL466">
        <v>1</v>
      </c>
      <c r="AM466" t="s">
        <v>10887</v>
      </c>
      <c r="AN466" t="s">
        <v>10936</v>
      </c>
      <c r="AO466" t="s">
        <v>11016</v>
      </c>
      <c r="AP466" t="s">
        <v>11076</v>
      </c>
      <c r="AQ466" t="s">
        <v>11101</v>
      </c>
      <c r="AR466" t="s">
        <v>11279</v>
      </c>
      <c r="AS466" t="s">
        <v>9925</v>
      </c>
      <c r="AT466" t="s">
        <v>11642</v>
      </c>
      <c r="AY466" t="s">
        <v>10829</v>
      </c>
      <c r="AZ466" t="s">
        <v>11681</v>
      </c>
      <c r="BA466" t="s">
        <v>11741</v>
      </c>
      <c r="BB466">
        <v>0</v>
      </c>
      <c r="BC466">
        <v>0</v>
      </c>
      <c r="BD466">
        <v>0</v>
      </c>
      <c r="BE466">
        <v>0</v>
      </c>
      <c r="BF466">
        <v>1</v>
      </c>
      <c r="BG466">
        <v>0</v>
      </c>
    </row>
    <row r="467" spans="1:59">
      <c r="A467" s="1">
        <f>HYPERLINK("https://lsnyc.legalserver.org/matter/dynamic-profile/view/1904167","19-1904167")</f>
        <v>0</v>
      </c>
      <c r="B467" t="s">
        <v>466</v>
      </c>
      <c r="C467" t="s">
        <v>5385</v>
      </c>
      <c r="D467" t="s">
        <v>9948</v>
      </c>
      <c r="E467" t="s">
        <v>10075</v>
      </c>
      <c r="F467">
        <v>11691</v>
      </c>
      <c r="G467" t="s">
        <v>10091</v>
      </c>
      <c r="H467" t="s">
        <v>10119</v>
      </c>
      <c r="I467" t="s">
        <v>10169</v>
      </c>
      <c r="J467" t="s">
        <v>10211</v>
      </c>
      <c r="K467" t="s">
        <v>10218</v>
      </c>
      <c r="L467" t="s">
        <v>10134</v>
      </c>
      <c r="M467" t="s">
        <v>10231</v>
      </c>
      <c r="N467" t="s">
        <v>10647</v>
      </c>
      <c r="P467" t="s">
        <v>10752</v>
      </c>
      <c r="Q467" t="s">
        <v>10762</v>
      </c>
      <c r="R467" t="s">
        <v>10821</v>
      </c>
      <c r="T467">
        <v>4152</v>
      </c>
      <c r="U467">
        <v>346</v>
      </c>
      <c r="V467">
        <v>48</v>
      </c>
      <c r="W467">
        <v>1</v>
      </c>
      <c r="X467">
        <v>0</v>
      </c>
      <c r="Y467" t="s">
        <v>10829</v>
      </c>
      <c r="Z467">
        <v>33.24</v>
      </c>
      <c r="AA467">
        <v>40.594236</v>
      </c>
      <c r="AB467">
        <v>-73.775662</v>
      </c>
      <c r="AD467" t="s">
        <v>10840</v>
      </c>
      <c r="AG467" t="s">
        <v>10858</v>
      </c>
      <c r="AH467" t="s">
        <v>10861</v>
      </c>
      <c r="AI467">
        <v>234</v>
      </c>
      <c r="AJ467" t="s">
        <v>10214</v>
      </c>
      <c r="AK467" t="s">
        <v>10882</v>
      </c>
      <c r="AL467">
        <v>0.7</v>
      </c>
      <c r="AM467" t="s">
        <v>10892</v>
      </c>
      <c r="AN467" t="s">
        <v>10930</v>
      </c>
      <c r="AO467" t="s">
        <v>11017</v>
      </c>
      <c r="AP467" t="s">
        <v>11082</v>
      </c>
      <c r="AR467" t="s">
        <v>11344</v>
      </c>
      <c r="AS467" t="s">
        <v>11594</v>
      </c>
      <c r="AT467" t="s">
        <v>11642</v>
      </c>
      <c r="AX467" t="s">
        <v>10837</v>
      </c>
      <c r="AY467" t="s">
        <v>10829</v>
      </c>
      <c r="AZ467" t="s">
        <v>11680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</row>
    <row r="468" spans="1:59">
      <c r="A468" s="1">
        <f>HYPERLINK("https://lsnyc.legalserver.org/matter/dynamic-profile/view/1904168","19-1904168")</f>
        <v>0</v>
      </c>
      <c r="B468" t="s">
        <v>467</v>
      </c>
      <c r="C468" t="s">
        <v>5386</v>
      </c>
      <c r="D468" t="s">
        <v>9925</v>
      </c>
      <c r="E468" t="s">
        <v>10075</v>
      </c>
      <c r="F468">
        <v>10031</v>
      </c>
      <c r="G468" t="s">
        <v>10089</v>
      </c>
      <c r="H468" t="s">
        <v>10119</v>
      </c>
      <c r="I468" t="s">
        <v>10168</v>
      </c>
      <c r="J468" t="s">
        <v>10209</v>
      </c>
      <c r="K468" t="s">
        <v>10217</v>
      </c>
      <c r="M468" t="s">
        <v>10431</v>
      </c>
      <c r="N468" t="s">
        <v>10702</v>
      </c>
      <c r="P468" t="s">
        <v>10749</v>
      </c>
      <c r="Q468" t="s">
        <v>10765</v>
      </c>
      <c r="R468" t="s">
        <v>10824</v>
      </c>
      <c r="T468">
        <v>36400</v>
      </c>
      <c r="U468">
        <v>3033.33</v>
      </c>
      <c r="V468">
        <v>33</v>
      </c>
      <c r="W468">
        <v>2</v>
      </c>
      <c r="X468">
        <v>1</v>
      </c>
      <c r="Z468">
        <v>170.65</v>
      </c>
      <c r="AA468">
        <v>40.82732</v>
      </c>
      <c r="AB468">
        <v>-73.943169</v>
      </c>
      <c r="AD468" t="s">
        <v>10840</v>
      </c>
      <c r="AG468" t="s">
        <v>10858</v>
      </c>
      <c r="AH468" t="s">
        <v>10862</v>
      </c>
      <c r="AI468">
        <v>236</v>
      </c>
      <c r="AJ468" t="s">
        <v>10209</v>
      </c>
      <c r="AL468">
        <v>1.25</v>
      </c>
      <c r="AM468" t="s">
        <v>10887</v>
      </c>
      <c r="AN468" t="s">
        <v>10943</v>
      </c>
      <c r="AO468" t="s">
        <v>11016</v>
      </c>
      <c r="AP468" t="s">
        <v>11076</v>
      </c>
      <c r="AR468" t="s">
        <v>11257</v>
      </c>
      <c r="AS468" t="s">
        <v>9925</v>
      </c>
      <c r="AX468" t="s">
        <v>10838</v>
      </c>
      <c r="BA468" t="s">
        <v>11741</v>
      </c>
      <c r="BB468">
        <v>0</v>
      </c>
      <c r="BC468">
        <v>0</v>
      </c>
      <c r="BD468">
        <v>0</v>
      </c>
      <c r="BE468">
        <v>0</v>
      </c>
      <c r="BF468">
        <v>1</v>
      </c>
      <c r="BG468">
        <v>0</v>
      </c>
    </row>
    <row r="469" spans="1:59">
      <c r="A469" s="1">
        <f>HYPERLINK("https://lsnyc.legalserver.org/matter/dynamic-profile/view/1904169","19-1904169")</f>
        <v>0</v>
      </c>
      <c r="B469" t="s">
        <v>468</v>
      </c>
      <c r="C469" t="s">
        <v>5387</v>
      </c>
      <c r="D469" t="s">
        <v>9967</v>
      </c>
      <c r="E469" t="s">
        <v>10076</v>
      </c>
      <c r="F469">
        <v>8362</v>
      </c>
      <c r="G469" t="s">
        <v>10093</v>
      </c>
      <c r="H469" t="s">
        <v>10119</v>
      </c>
      <c r="I469" t="s">
        <v>10168</v>
      </c>
      <c r="J469" t="s">
        <v>10213</v>
      </c>
      <c r="K469" t="s">
        <v>10217</v>
      </c>
      <c r="M469" t="s">
        <v>10436</v>
      </c>
      <c r="N469" t="s">
        <v>10646</v>
      </c>
      <c r="P469" t="s">
        <v>10750</v>
      </c>
      <c r="Q469" t="s">
        <v>10760</v>
      </c>
      <c r="R469" t="s">
        <v>10824</v>
      </c>
      <c r="T469">
        <v>26000</v>
      </c>
      <c r="U469">
        <v>2166.67</v>
      </c>
      <c r="V469">
        <v>60</v>
      </c>
      <c r="W469">
        <v>1</v>
      </c>
      <c r="X469">
        <v>0</v>
      </c>
      <c r="Z469">
        <v>208.17</v>
      </c>
      <c r="AA469">
        <v>0</v>
      </c>
      <c r="AB469">
        <v>0</v>
      </c>
      <c r="AD469" t="s">
        <v>10840</v>
      </c>
      <c r="AG469" t="s">
        <v>10858</v>
      </c>
      <c r="AH469" t="s">
        <v>10861</v>
      </c>
      <c r="AI469">
        <v>234</v>
      </c>
      <c r="AJ469" t="s">
        <v>10214</v>
      </c>
      <c r="AL469">
        <v>1</v>
      </c>
      <c r="AQ469" t="s">
        <v>11141</v>
      </c>
      <c r="AR469" t="s">
        <v>11257</v>
      </c>
      <c r="AS469" t="s">
        <v>11601</v>
      </c>
      <c r="AT469" t="s">
        <v>11642</v>
      </c>
      <c r="AX469" t="s">
        <v>10838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</row>
    <row r="470" spans="1:59">
      <c r="A470" s="1">
        <f>HYPERLINK("https://lsnyc.legalserver.org/matter/dynamic-profile/view/1904170","19-1904170")</f>
        <v>0</v>
      </c>
      <c r="B470" t="s">
        <v>469</v>
      </c>
      <c r="C470" t="s">
        <v>5388</v>
      </c>
      <c r="D470" t="s">
        <v>9926</v>
      </c>
      <c r="E470" t="s">
        <v>10075</v>
      </c>
      <c r="F470">
        <v>10468</v>
      </c>
      <c r="G470" t="s">
        <v>10091</v>
      </c>
      <c r="H470" t="s">
        <v>10119</v>
      </c>
      <c r="I470" t="s">
        <v>10169</v>
      </c>
      <c r="J470" t="s">
        <v>10211</v>
      </c>
      <c r="K470" t="s">
        <v>10217</v>
      </c>
      <c r="M470" t="s">
        <v>10231</v>
      </c>
      <c r="N470" t="s">
        <v>10647</v>
      </c>
      <c r="P470" t="s">
        <v>10752</v>
      </c>
      <c r="Q470" t="s">
        <v>10762</v>
      </c>
      <c r="R470" t="s">
        <v>10821</v>
      </c>
      <c r="T470">
        <v>0</v>
      </c>
      <c r="U470">
        <v>0</v>
      </c>
      <c r="V470">
        <v>43</v>
      </c>
      <c r="W470">
        <v>1</v>
      </c>
      <c r="X470">
        <v>0</v>
      </c>
      <c r="Z470">
        <v>0</v>
      </c>
      <c r="AA470">
        <v>40.862091</v>
      </c>
      <c r="AB470">
        <v>-73.900755</v>
      </c>
      <c r="AD470" t="s">
        <v>10840</v>
      </c>
      <c r="AF470" t="s">
        <v>10843</v>
      </c>
      <c r="AG470" t="s">
        <v>10859</v>
      </c>
      <c r="AH470" t="s">
        <v>10861</v>
      </c>
      <c r="AI470">
        <v>234</v>
      </c>
      <c r="AJ470" t="s">
        <v>10214</v>
      </c>
      <c r="AL470">
        <v>1.2</v>
      </c>
      <c r="AM470" t="s">
        <v>10884</v>
      </c>
      <c r="AN470" t="s">
        <v>10931</v>
      </c>
      <c r="AO470" t="s">
        <v>11000</v>
      </c>
      <c r="AP470" t="s">
        <v>11045</v>
      </c>
      <c r="AR470" t="s">
        <v>11267</v>
      </c>
      <c r="AS470" t="s">
        <v>9926</v>
      </c>
      <c r="AT470" t="s">
        <v>11642</v>
      </c>
      <c r="AX470" t="s">
        <v>10838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</row>
    <row r="471" spans="1:59">
      <c r="A471" s="1">
        <f>HYPERLINK("https://lsnyc.legalserver.org/matter/dynamic-profile/view/1904171","19-1904171")</f>
        <v>0</v>
      </c>
      <c r="B471" t="s">
        <v>470</v>
      </c>
      <c r="C471" t="s">
        <v>5389</v>
      </c>
      <c r="D471" t="s">
        <v>9928</v>
      </c>
      <c r="E471" t="s">
        <v>10075</v>
      </c>
      <c r="F471">
        <v>11225</v>
      </c>
      <c r="G471" t="s">
        <v>10093</v>
      </c>
      <c r="H471" t="s">
        <v>10119</v>
      </c>
      <c r="I471" t="s">
        <v>10168</v>
      </c>
      <c r="J471" t="s">
        <v>10213</v>
      </c>
      <c r="K471" t="s">
        <v>10217</v>
      </c>
      <c r="M471" t="s">
        <v>10330</v>
      </c>
      <c r="N471" t="s">
        <v>10686</v>
      </c>
      <c r="P471" t="s">
        <v>10750</v>
      </c>
      <c r="Q471" t="s">
        <v>10778</v>
      </c>
      <c r="R471" t="s">
        <v>10824</v>
      </c>
      <c r="T471">
        <v>34320</v>
      </c>
      <c r="U471">
        <v>2860</v>
      </c>
      <c r="V471">
        <v>77</v>
      </c>
      <c r="W471">
        <v>1</v>
      </c>
      <c r="X471">
        <v>0</v>
      </c>
      <c r="Z471">
        <v>274.78</v>
      </c>
      <c r="AA471">
        <v>40.665796</v>
      </c>
      <c r="AB471">
        <v>-73.952766</v>
      </c>
      <c r="AC471" t="s">
        <v>10837</v>
      </c>
      <c r="AD471" t="s">
        <v>10840</v>
      </c>
      <c r="AG471" t="s">
        <v>10858</v>
      </c>
      <c r="AH471" t="s">
        <v>10861</v>
      </c>
      <c r="AI471">
        <v>234</v>
      </c>
      <c r="AJ471" t="s">
        <v>10214</v>
      </c>
      <c r="AL471">
        <v>12.8</v>
      </c>
      <c r="AM471" t="s">
        <v>10888</v>
      </c>
      <c r="AN471" t="s">
        <v>10912</v>
      </c>
      <c r="AO471" t="s">
        <v>11005</v>
      </c>
      <c r="AP471" t="s">
        <v>11061</v>
      </c>
      <c r="AR471" t="s">
        <v>11345</v>
      </c>
      <c r="AS471" t="s">
        <v>11595</v>
      </c>
      <c r="AT471" t="s">
        <v>11642</v>
      </c>
      <c r="AX471" t="s">
        <v>10838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</row>
    <row r="472" spans="1:59">
      <c r="A472" s="1">
        <f>HYPERLINK("https://lsnyc.legalserver.org/matter/dynamic-profile/view/1904172","19-1904172")</f>
        <v>0</v>
      </c>
      <c r="B472" t="s">
        <v>471</v>
      </c>
      <c r="C472" t="s">
        <v>5390</v>
      </c>
      <c r="D472" t="s">
        <v>9926</v>
      </c>
      <c r="E472" t="s">
        <v>10075</v>
      </c>
      <c r="F472">
        <v>10454</v>
      </c>
      <c r="G472" t="s">
        <v>10090</v>
      </c>
      <c r="H472" t="s">
        <v>10119</v>
      </c>
      <c r="I472" t="s">
        <v>10169</v>
      </c>
      <c r="J472" t="s">
        <v>10210</v>
      </c>
      <c r="K472" t="s">
        <v>10217</v>
      </c>
      <c r="M472" t="s">
        <v>10296</v>
      </c>
      <c r="N472" t="s">
        <v>10673</v>
      </c>
      <c r="P472" t="s">
        <v>10753</v>
      </c>
      <c r="Q472" t="s">
        <v>10763</v>
      </c>
      <c r="R472" t="s">
        <v>10823</v>
      </c>
      <c r="T472">
        <v>2400</v>
      </c>
      <c r="U472">
        <v>200</v>
      </c>
      <c r="V472">
        <v>32</v>
      </c>
      <c r="W472">
        <v>1</v>
      </c>
      <c r="X472">
        <v>1</v>
      </c>
      <c r="Z472">
        <v>14.19</v>
      </c>
      <c r="AA472">
        <v>40.807823</v>
      </c>
      <c r="AB472">
        <v>-73.911788</v>
      </c>
      <c r="AD472" t="s">
        <v>10839</v>
      </c>
      <c r="AF472" t="s">
        <v>10842</v>
      </c>
      <c r="AG472" t="s">
        <v>10859</v>
      </c>
      <c r="AH472" t="s">
        <v>10871</v>
      </c>
      <c r="AI472">
        <v>230</v>
      </c>
      <c r="AJ472" t="s">
        <v>10210</v>
      </c>
      <c r="AL472">
        <v>3.25</v>
      </c>
      <c r="AM472" t="s">
        <v>10884</v>
      </c>
      <c r="AN472" t="s">
        <v>10924</v>
      </c>
      <c r="AO472" t="s">
        <v>11013</v>
      </c>
      <c r="AP472" t="s">
        <v>11066</v>
      </c>
      <c r="AQ472" t="s">
        <v>11109</v>
      </c>
      <c r="AR472" t="s">
        <v>11257</v>
      </c>
      <c r="AS472" t="s">
        <v>9926</v>
      </c>
      <c r="AT472" t="s">
        <v>11641</v>
      </c>
      <c r="AV472" t="s">
        <v>11656</v>
      </c>
      <c r="AW472" t="s">
        <v>11645</v>
      </c>
      <c r="AX472" t="s">
        <v>10838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</row>
    <row r="473" spans="1:59">
      <c r="A473" s="1">
        <f>HYPERLINK("https://lsnyc.legalserver.org/matter/dynamic-profile/view/1904173","19-1904173")</f>
        <v>0</v>
      </c>
      <c r="B473" t="s">
        <v>472</v>
      </c>
      <c r="C473" t="s">
        <v>5391</v>
      </c>
      <c r="D473" t="s">
        <v>9925</v>
      </c>
      <c r="E473" t="s">
        <v>10075</v>
      </c>
      <c r="F473">
        <v>10016</v>
      </c>
      <c r="G473" t="s">
        <v>10093</v>
      </c>
      <c r="H473" t="s">
        <v>10117</v>
      </c>
      <c r="I473" t="s">
        <v>10171</v>
      </c>
      <c r="J473" t="s">
        <v>10213</v>
      </c>
      <c r="K473" t="s">
        <v>10218</v>
      </c>
      <c r="L473" t="s">
        <v>10119</v>
      </c>
      <c r="M473" t="s">
        <v>10390</v>
      </c>
      <c r="N473" t="s">
        <v>10644</v>
      </c>
      <c r="P473" t="s">
        <v>10756</v>
      </c>
      <c r="Q473" t="s">
        <v>10787</v>
      </c>
      <c r="R473" t="s">
        <v>10820</v>
      </c>
      <c r="T473">
        <v>10452</v>
      </c>
      <c r="U473">
        <v>871</v>
      </c>
      <c r="V473">
        <v>72</v>
      </c>
      <c r="W473">
        <v>1</v>
      </c>
      <c r="X473">
        <v>0</v>
      </c>
      <c r="Y473" t="s">
        <v>10829</v>
      </c>
      <c r="Z473">
        <v>83.68000000000001</v>
      </c>
      <c r="AA473">
        <v>40.748065</v>
      </c>
      <c r="AB473">
        <v>-73.974525</v>
      </c>
      <c r="AD473" t="s">
        <v>10839</v>
      </c>
      <c r="AG473" t="s">
        <v>10858</v>
      </c>
      <c r="AH473" t="s">
        <v>10869</v>
      </c>
      <c r="AI473">
        <v>239</v>
      </c>
      <c r="AJ473" t="s">
        <v>10213</v>
      </c>
      <c r="AK473" t="s">
        <v>10838</v>
      </c>
      <c r="AL473">
        <v>1.25</v>
      </c>
      <c r="AM473" t="s">
        <v>10891</v>
      </c>
      <c r="AN473" t="s">
        <v>10970</v>
      </c>
      <c r="AO473" t="s">
        <v>11021</v>
      </c>
      <c r="AP473" t="s">
        <v>11091</v>
      </c>
      <c r="AQ473" t="s">
        <v>11146</v>
      </c>
      <c r="AR473" t="s">
        <v>11346</v>
      </c>
      <c r="AS473" t="s">
        <v>9925</v>
      </c>
      <c r="AY473" t="s">
        <v>10829</v>
      </c>
      <c r="AZ473" t="s">
        <v>11694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</row>
    <row r="474" spans="1:59">
      <c r="A474" s="1">
        <f>HYPERLINK("https://lsnyc.legalserver.org/matter/dynamic-profile/view/1904174","19-1904174")</f>
        <v>0</v>
      </c>
      <c r="B474" t="s">
        <v>473</v>
      </c>
      <c r="C474" t="s">
        <v>5392</v>
      </c>
      <c r="D474" t="s">
        <v>9926</v>
      </c>
      <c r="E474" t="s">
        <v>10075</v>
      </c>
      <c r="F474">
        <v>10458</v>
      </c>
      <c r="G474" t="s">
        <v>10090</v>
      </c>
      <c r="H474" t="s">
        <v>10119</v>
      </c>
      <c r="I474" t="s">
        <v>10168</v>
      </c>
      <c r="J474" t="s">
        <v>10210</v>
      </c>
      <c r="K474" t="s">
        <v>10218</v>
      </c>
      <c r="L474" t="s">
        <v>10222</v>
      </c>
      <c r="M474" t="s">
        <v>10281</v>
      </c>
      <c r="N474" t="s">
        <v>10677</v>
      </c>
      <c r="P474" t="s">
        <v>10751</v>
      </c>
      <c r="Q474" t="s">
        <v>10761</v>
      </c>
      <c r="R474" t="s">
        <v>10823</v>
      </c>
      <c r="T474">
        <v>11182</v>
      </c>
      <c r="U474">
        <v>931.83</v>
      </c>
      <c r="V474">
        <v>62</v>
      </c>
      <c r="W474">
        <v>2</v>
      </c>
      <c r="X474">
        <v>0</v>
      </c>
      <c r="Y474" t="s">
        <v>10833</v>
      </c>
      <c r="Z474">
        <v>66.13</v>
      </c>
      <c r="AA474">
        <v>40.867627</v>
      </c>
      <c r="AB474">
        <v>-73.884322</v>
      </c>
      <c r="AD474" t="s">
        <v>10840</v>
      </c>
      <c r="AG474" t="s">
        <v>10858</v>
      </c>
      <c r="AH474" t="s">
        <v>10874</v>
      </c>
      <c r="AI474">
        <v>230</v>
      </c>
      <c r="AJ474" t="s">
        <v>10210</v>
      </c>
      <c r="AK474" t="s">
        <v>10838</v>
      </c>
      <c r="AL474">
        <v>3.3</v>
      </c>
      <c r="AM474" t="s">
        <v>10887</v>
      </c>
      <c r="AN474" t="s">
        <v>10907</v>
      </c>
      <c r="AO474" t="s">
        <v>11002</v>
      </c>
      <c r="AP474" t="s">
        <v>11056</v>
      </c>
      <c r="AR474" t="s">
        <v>11347</v>
      </c>
      <c r="AS474" t="s">
        <v>9926</v>
      </c>
      <c r="AT474" t="s">
        <v>11642</v>
      </c>
      <c r="AX474" t="s">
        <v>10838</v>
      </c>
      <c r="AY474" t="s">
        <v>10833</v>
      </c>
      <c r="AZ474" t="s">
        <v>11688</v>
      </c>
      <c r="BA474" t="s">
        <v>11737</v>
      </c>
      <c r="BB474">
        <v>7248.91</v>
      </c>
      <c r="BC474">
        <v>779</v>
      </c>
      <c r="BD474">
        <v>0</v>
      </c>
      <c r="BE474">
        <v>0</v>
      </c>
      <c r="BF474">
        <v>3</v>
      </c>
      <c r="BG474">
        <v>0</v>
      </c>
    </row>
    <row r="475" spans="1:59">
      <c r="A475" s="1">
        <f>HYPERLINK("https://lsnyc.legalserver.org/matter/dynamic-profile/view/1904175","19-1904175")</f>
        <v>0</v>
      </c>
      <c r="B475" t="s">
        <v>474</v>
      </c>
      <c r="C475" t="s">
        <v>5393</v>
      </c>
      <c r="D475" t="s">
        <v>9926</v>
      </c>
      <c r="E475" t="s">
        <v>10075</v>
      </c>
      <c r="F475">
        <v>10467</v>
      </c>
      <c r="G475" t="s">
        <v>10090</v>
      </c>
      <c r="H475" t="s">
        <v>10119</v>
      </c>
      <c r="J475" t="s">
        <v>10210</v>
      </c>
      <c r="K475" t="s">
        <v>10217</v>
      </c>
      <c r="M475" t="s">
        <v>10333</v>
      </c>
      <c r="N475" t="s">
        <v>10683</v>
      </c>
      <c r="P475" t="s">
        <v>10757</v>
      </c>
      <c r="Q475" t="s">
        <v>10789</v>
      </c>
      <c r="R475" t="s">
        <v>10824</v>
      </c>
      <c r="T475">
        <v>42760</v>
      </c>
      <c r="U475">
        <v>3563.33</v>
      </c>
      <c r="V475">
        <v>44</v>
      </c>
      <c r="W475">
        <v>2</v>
      </c>
      <c r="X475">
        <v>0</v>
      </c>
      <c r="Z475">
        <v>252.87</v>
      </c>
      <c r="AA475">
        <v>40.858329</v>
      </c>
      <c r="AB475">
        <v>-73.863258</v>
      </c>
      <c r="AD475" t="s">
        <v>10839</v>
      </c>
      <c r="AG475" t="s">
        <v>10858</v>
      </c>
      <c r="AH475" t="s">
        <v>10874</v>
      </c>
      <c r="AI475">
        <v>230</v>
      </c>
      <c r="AJ475" t="s">
        <v>10210</v>
      </c>
      <c r="AL475">
        <v>1.8</v>
      </c>
      <c r="AM475" t="s">
        <v>10885</v>
      </c>
      <c r="AN475" t="s">
        <v>10938</v>
      </c>
      <c r="AO475" t="s">
        <v>11002</v>
      </c>
      <c r="AP475" t="s">
        <v>11049</v>
      </c>
      <c r="AQ475" t="s">
        <v>11121</v>
      </c>
      <c r="AR475" t="s">
        <v>11257</v>
      </c>
      <c r="AS475" t="s">
        <v>9926</v>
      </c>
      <c r="AT475" t="s">
        <v>11641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</row>
    <row r="476" spans="1:59">
      <c r="A476" s="1">
        <f>HYPERLINK("https://lsnyc.legalserver.org/matter/dynamic-profile/view/1904176","19-1904176")</f>
        <v>0</v>
      </c>
      <c r="B476" t="s">
        <v>459</v>
      </c>
      <c r="C476" t="s">
        <v>5379</v>
      </c>
      <c r="D476" t="s">
        <v>9926</v>
      </c>
      <c r="E476" t="s">
        <v>10075</v>
      </c>
      <c r="F476">
        <v>10468</v>
      </c>
      <c r="G476" t="s">
        <v>10090</v>
      </c>
      <c r="H476" t="s">
        <v>10094</v>
      </c>
      <c r="I476" t="s">
        <v>10168</v>
      </c>
      <c r="J476" t="s">
        <v>10210</v>
      </c>
      <c r="K476" t="s">
        <v>10217</v>
      </c>
      <c r="M476" t="s">
        <v>10287</v>
      </c>
      <c r="N476" t="s">
        <v>10671</v>
      </c>
      <c r="P476" t="s">
        <v>10751</v>
      </c>
      <c r="Q476" t="s">
        <v>10761</v>
      </c>
      <c r="R476" t="s">
        <v>10824</v>
      </c>
      <c r="T476">
        <v>28860</v>
      </c>
      <c r="U476">
        <v>2405</v>
      </c>
      <c r="V476">
        <v>36</v>
      </c>
      <c r="W476">
        <v>1</v>
      </c>
      <c r="X476">
        <v>1</v>
      </c>
      <c r="Z476">
        <v>170.67</v>
      </c>
      <c r="AA476">
        <v>40.860764</v>
      </c>
      <c r="AB476">
        <v>-73.908862</v>
      </c>
      <c r="AD476" t="s">
        <v>10839</v>
      </c>
      <c r="AG476" t="s">
        <v>10858</v>
      </c>
      <c r="AH476" t="s">
        <v>10862</v>
      </c>
      <c r="AI476">
        <v>230</v>
      </c>
      <c r="AJ476" t="s">
        <v>10210</v>
      </c>
      <c r="AL476">
        <v>0.75</v>
      </c>
      <c r="AM476" t="s">
        <v>10887</v>
      </c>
      <c r="AN476" t="s">
        <v>10931</v>
      </c>
      <c r="AO476" t="s">
        <v>11000</v>
      </c>
      <c r="AP476" t="s">
        <v>11045</v>
      </c>
      <c r="AR476" t="s">
        <v>11342</v>
      </c>
      <c r="AS476" t="s">
        <v>9926</v>
      </c>
      <c r="AT476" t="s">
        <v>11641</v>
      </c>
      <c r="AX476" t="s">
        <v>10838</v>
      </c>
      <c r="BA476" t="s">
        <v>11741</v>
      </c>
      <c r="BB476">
        <v>0</v>
      </c>
      <c r="BC476">
        <v>0</v>
      </c>
      <c r="BD476">
        <v>0</v>
      </c>
      <c r="BE476">
        <v>0</v>
      </c>
      <c r="BF476">
        <v>1</v>
      </c>
      <c r="BG476">
        <v>0</v>
      </c>
    </row>
    <row r="477" spans="1:59">
      <c r="A477" s="1">
        <f>HYPERLINK("https://lsnyc.legalserver.org/matter/dynamic-profile/view/1904178","19-1904178")</f>
        <v>0</v>
      </c>
      <c r="B477" t="s">
        <v>475</v>
      </c>
      <c r="C477" t="s">
        <v>5394</v>
      </c>
      <c r="D477" t="s">
        <v>9925</v>
      </c>
      <c r="E477" t="s">
        <v>10075</v>
      </c>
      <c r="F477">
        <v>10040</v>
      </c>
      <c r="G477" t="s">
        <v>10089</v>
      </c>
      <c r="H477" t="s">
        <v>10119</v>
      </c>
      <c r="I477" t="s">
        <v>10169</v>
      </c>
      <c r="J477" t="s">
        <v>10209</v>
      </c>
      <c r="K477" t="s">
        <v>10217</v>
      </c>
      <c r="M477" t="s">
        <v>10381</v>
      </c>
      <c r="N477" t="s">
        <v>10656</v>
      </c>
      <c r="P477" t="s">
        <v>10751</v>
      </c>
      <c r="Q477" t="s">
        <v>10768</v>
      </c>
      <c r="R477" t="s">
        <v>10823</v>
      </c>
      <c r="T477">
        <v>36140</v>
      </c>
      <c r="U477">
        <v>3011.67</v>
      </c>
      <c r="V477">
        <v>14</v>
      </c>
      <c r="W477">
        <v>2</v>
      </c>
      <c r="X477">
        <v>3</v>
      </c>
      <c r="Z477">
        <v>119.79</v>
      </c>
      <c r="AA477">
        <v>40.85723</v>
      </c>
      <c r="AB477">
        <v>-73.928994</v>
      </c>
      <c r="AD477" t="s">
        <v>10839</v>
      </c>
      <c r="AG477" t="s">
        <v>10858</v>
      </c>
      <c r="AH477" t="s">
        <v>10861</v>
      </c>
      <c r="AI477">
        <v>234</v>
      </c>
      <c r="AJ477" t="s">
        <v>10214</v>
      </c>
      <c r="AL477">
        <v>7.8</v>
      </c>
      <c r="AM477" t="s">
        <v>10887</v>
      </c>
      <c r="AN477" t="s">
        <v>10937</v>
      </c>
      <c r="AO477" t="s">
        <v>11019</v>
      </c>
      <c r="AP477" t="s">
        <v>11074</v>
      </c>
      <c r="AR477" t="s">
        <v>11262</v>
      </c>
      <c r="AS477" t="s">
        <v>9925</v>
      </c>
      <c r="AT477" t="s">
        <v>11641</v>
      </c>
      <c r="AX477" t="s">
        <v>10838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</row>
    <row r="478" spans="1:59">
      <c r="A478" s="1">
        <f>HYPERLINK("https://lsnyc.legalserver.org/matter/dynamic-profile/view/1904179","19-1904179")</f>
        <v>0</v>
      </c>
      <c r="B478" t="s">
        <v>476</v>
      </c>
      <c r="C478" t="s">
        <v>5395</v>
      </c>
      <c r="D478" t="s">
        <v>9926</v>
      </c>
      <c r="E478" t="s">
        <v>10075</v>
      </c>
      <c r="F478">
        <v>10459</v>
      </c>
      <c r="G478" t="s">
        <v>10090</v>
      </c>
      <c r="H478" t="s">
        <v>10119</v>
      </c>
      <c r="I478" t="s">
        <v>10168</v>
      </c>
      <c r="J478" t="s">
        <v>10210</v>
      </c>
      <c r="K478" t="s">
        <v>10217</v>
      </c>
      <c r="M478" t="s">
        <v>10375</v>
      </c>
      <c r="N478" t="s">
        <v>10677</v>
      </c>
      <c r="P478" t="s">
        <v>10757</v>
      </c>
      <c r="Q478" t="s">
        <v>10789</v>
      </c>
      <c r="R478" t="s">
        <v>10821</v>
      </c>
      <c r="T478">
        <v>14268</v>
      </c>
      <c r="U478">
        <v>1189</v>
      </c>
      <c r="V478">
        <v>87</v>
      </c>
      <c r="W478">
        <v>1</v>
      </c>
      <c r="X478">
        <v>0</v>
      </c>
      <c r="Z478">
        <v>114.24</v>
      </c>
      <c r="AA478">
        <v>40.8231</v>
      </c>
      <c r="AB478">
        <v>-73.887406</v>
      </c>
      <c r="AD478" t="s">
        <v>10839</v>
      </c>
      <c r="AG478" t="s">
        <v>10858</v>
      </c>
      <c r="AH478" t="s">
        <v>10861</v>
      </c>
      <c r="AI478">
        <v>234</v>
      </c>
      <c r="AJ478" t="s">
        <v>10214</v>
      </c>
      <c r="AL478">
        <v>3.9</v>
      </c>
      <c r="AM478" t="s">
        <v>10884</v>
      </c>
      <c r="AN478" t="s">
        <v>10968</v>
      </c>
      <c r="AO478" t="s">
        <v>11001</v>
      </c>
      <c r="AP478" t="s">
        <v>11062</v>
      </c>
      <c r="AR478" t="s">
        <v>11345</v>
      </c>
      <c r="AS478" t="s">
        <v>9926</v>
      </c>
      <c r="AT478" t="s">
        <v>11641</v>
      </c>
      <c r="AX478" t="s">
        <v>10838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</row>
    <row r="479" spans="1:59">
      <c r="A479" s="1">
        <f>HYPERLINK("https://lsnyc.legalserver.org/matter/dynamic-profile/view/1904180","19-1904180")</f>
        <v>0</v>
      </c>
      <c r="B479" t="s">
        <v>477</v>
      </c>
      <c r="C479" t="s">
        <v>5396</v>
      </c>
      <c r="D479" t="s">
        <v>9928</v>
      </c>
      <c r="E479" t="s">
        <v>10075</v>
      </c>
      <c r="F479">
        <v>11208</v>
      </c>
      <c r="G479" t="s">
        <v>10093</v>
      </c>
      <c r="H479" t="s">
        <v>10119</v>
      </c>
      <c r="I479" t="s">
        <v>10169</v>
      </c>
      <c r="J479" t="s">
        <v>10213</v>
      </c>
      <c r="K479" t="s">
        <v>10218</v>
      </c>
      <c r="L479" t="s">
        <v>10221</v>
      </c>
      <c r="M479" t="s">
        <v>10293</v>
      </c>
      <c r="N479" t="s">
        <v>10644</v>
      </c>
      <c r="P479" t="s">
        <v>10749</v>
      </c>
      <c r="Q479" t="s">
        <v>10774</v>
      </c>
      <c r="R479" t="s">
        <v>10821</v>
      </c>
      <c r="T479">
        <v>9252</v>
      </c>
      <c r="U479">
        <v>771</v>
      </c>
      <c r="V479">
        <v>63</v>
      </c>
      <c r="W479">
        <v>1</v>
      </c>
      <c r="X479">
        <v>0</v>
      </c>
      <c r="Y479" t="s">
        <v>10829</v>
      </c>
      <c r="Z479">
        <v>74.08</v>
      </c>
      <c r="AA479">
        <v>40.666695</v>
      </c>
      <c r="AB479">
        <v>-73.87644400000001</v>
      </c>
      <c r="AD479" t="s">
        <v>10839</v>
      </c>
      <c r="AG479" t="s">
        <v>10858</v>
      </c>
      <c r="AH479" t="s">
        <v>10869</v>
      </c>
      <c r="AI479">
        <v>239</v>
      </c>
      <c r="AJ479" t="s">
        <v>10213</v>
      </c>
      <c r="AK479" t="s">
        <v>10838</v>
      </c>
      <c r="AL479">
        <v>2.25</v>
      </c>
      <c r="AM479" t="s">
        <v>10889</v>
      </c>
      <c r="AN479" t="s">
        <v>10946</v>
      </c>
      <c r="AO479" t="s">
        <v>11012</v>
      </c>
      <c r="AP479" t="s">
        <v>11060</v>
      </c>
      <c r="AR479" t="s">
        <v>11348</v>
      </c>
      <c r="AS479" t="s">
        <v>11595</v>
      </c>
      <c r="AT479" t="s">
        <v>11641</v>
      </c>
      <c r="AV479" t="s">
        <v>11656</v>
      </c>
      <c r="AW479" t="s">
        <v>11645</v>
      </c>
      <c r="AY479" t="s">
        <v>10829</v>
      </c>
      <c r="AZ479" t="s">
        <v>11681</v>
      </c>
      <c r="BA479" t="s">
        <v>11741</v>
      </c>
      <c r="BB479">
        <v>0</v>
      </c>
      <c r="BC479">
        <v>0</v>
      </c>
      <c r="BD479">
        <v>0</v>
      </c>
      <c r="BE479">
        <v>0</v>
      </c>
      <c r="BF479">
        <v>1</v>
      </c>
      <c r="BG479">
        <v>0</v>
      </c>
    </row>
    <row r="480" spans="1:59">
      <c r="A480" s="1">
        <f>HYPERLINK("https://lsnyc.legalserver.org/matter/dynamic-profile/view/1904183","19-1904183")</f>
        <v>0</v>
      </c>
      <c r="B480" t="s">
        <v>478</v>
      </c>
      <c r="C480" t="s">
        <v>5397</v>
      </c>
      <c r="D480" t="s">
        <v>9951</v>
      </c>
      <c r="E480" t="s">
        <v>10075</v>
      </c>
      <c r="F480">
        <v>11417</v>
      </c>
      <c r="G480" t="s">
        <v>10092</v>
      </c>
      <c r="H480" t="s">
        <v>10119</v>
      </c>
      <c r="I480" t="s">
        <v>10168</v>
      </c>
      <c r="J480" t="s">
        <v>10212</v>
      </c>
      <c r="K480" t="s">
        <v>10217</v>
      </c>
      <c r="M480" t="s">
        <v>10285</v>
      </c>
      <c r="N480" t="s">
        <v>10675</v>
      </c>
      <c r="P480" t="s">
        <v>10749</v>
      </c>
      <c r="Q480" t="s">
        <v>10765</v>
      </c>
      <c r="R480" t="s">
        <v>10821</v>
      </c>
      <c r="T480">
        <v>34800</v>
      </c>
      <c r="U480">
        <v>2900</v>
      </c>
      <c r="V480">
        <v>62</v>
      </c>
      <c r="W480">
        <v>1</v>
      </c>
      <c r="X480">
        <v>0</v>
      </c>
      <c r="Z480">
        <v>278.62</v>
      </c>
      <c r="AA480">
        <v>40.673553</v>
      </c>
      <c r="AB480">
        <v>-73.846372</v>
      </c>
      <c r="AC480" t="s">
        <v>10837</v>
      </c>
      <c r="AD480" t="s">
        <v>10840</v>
      </c>
      <c r="AG480" t="s">
        <v>10858</v>
      </c>
      <c r="AH480" t="s">
        <v>10867</v>
      </c>
      <c r="AI480">
        <v>237</v>
      </c>
      <c r="AJ480" t="s">
        <v>10212</v>
      </c>
      <c r="AL480">
        <v>0.1</v>
      </c>
      <c r="AM480" t="s">
        <v>10889</v>
      </c>
      <c r="AN480" t="s">
        <v>10958</v>
      </c>
      <c r="AO480" t="s">
        <v>11024</v>
      </c>
      <c r="AP480" t="s">
        <v>11088</v>
      </c>
      <c r="AQ480" t="s">
        <v>11147</v>
      </c>
      <c r="AR480" t="s">
        <v>11349</v>
      </c>
      <c r="AS480" t="s">
        <v>11594</v>
      </c>
      <c r="AT480" t="s">
        <v>11642</v>
      </c>
      <c r="AX480" t="s">
        <v>10838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</row>
    <row r="481" spans="1:59">
      <c r="A481" s="1">
        <f>HYPERLINK("https://lsnyc.legalserver.org/matter/dynamic-profile/view/1904185","19-1904185")</f>
        <v>0</v>
      </c>
      <c r="B481" t="s">
        <v>479</v>
      </c>
      <c r="C481" t="s">
        <v>5398</v>
      </c>
      <c r="D481" t="s">
        <v>9928</v>
      </c>
      <c r="E481" t="s">
        <v>10075</v>
      </c>
      <c r="F481">
        <v>11209</v>
      </c>
      <c r="G481" t="s">
        <v>10093</v>
      </c>
      <c r="H481" t="s">
        <v>10119</v>
      </c>
      <c r="I481" t="s">
        <v>10168</v>
      </c>
      <c r="J481" t="s">
        <v>10213</v>
      </c>
      <c r="K481" t="s">
        <v>10218</v>
      </c>
      <c r="L481" t="s">
        <v>10127</v>
      </c>
      <c r="M481" t="s">
        <v>10437</v>
      </c>
      <c r="N481" t="s">
        <v>10646</v>
      </c>
      <c r="P481" t="s">
        <v>10756</v>
      </c>
      <c r="Q481" t="s">
        <v>10792</v>
      </c>
      <c r="R481" t="s">
        <v>10825</v>
      </c>
      <c r="T481">
        <v>60912</v>
      </c>
      <c r="U481">
        <v>5076</v>
      </c>
      <c r="V481">
        <v>73</v>
      </c>
      <c r="W481">
        <v>2</v>
      </c>
      <c r="X481">
        <v>0</v>
      </c>
      <c r="Y481" t="s">
        <v>10829</v>
      </c>
      <c r="Z481">
        <v>360.21</v>
      </c>
      <c r="AA481">
        <v>40.615448</v>
      </c>
      <c r="AB481">
        <v>-74.034631</v>
      </c>
      <c r="AC481" t="s">
        <v>10837</v>
      </c>
      <c r="AD481" t="s">
        <v>10840</v>
      </c>
      <c r="AG481" t="s">
        <v>10858</v>
      </c>
      <c r="AH481" t="s">
        <v>10861</v>
      </c>
      <c r="AI481">
        <v>234</v>
      </c>
      <c r="AJ481" t="s">
        <v>10214</v>
      </c>
      <c r="AK481" t="s">
        <v>10838</v>
      </c>
      <c r="AL481">
        <v>2.45</v>
      </c>
      <c r="AM481" t="s">
        <v>10883</v>
      </c>
      <c r="AN481" t="s">
        <v>10960</v>
      </c>
      <c r="AO481" t="s">
        <v>11023</v>
      </c>
      <c r="AP481" t="s">
        <v>11086</v>
      </c>
      <c r="AR481" t="s">
        <v>11350</v>
      </c>
      <c r="AS481" t="s">
        <v>11595</v>
      </c>
      <c r="AT481" t="s">
        <v>11642</v>
      </c>
      <c r="AX481" t="s">
        <v>10838</v>
      </c>
      <c r="AY481" t="s">
        <v>10829</v>
      </c>
      <c r="AZ481" t="s">
        <v>11694</v>
      </c>
      <c r="BA481" t="s">
        <v>11742</v>
      </c>
      <c r="BB481">
        <v>0</v>
      </c>
      <c r="BC481">
        <v>0</v>
      </c>
      <c r="BD481">
        <v>0</v>
      </c>
      <c r="BE481">
        <v>0</v>
      </c>
      <c r="BF481">
        <v>7</v>
      </c>
      <c r="BG481">
        <v>0</v>
      </c>
    </row>
    <row r="482" spans="1:59">
      <c r="A482" s="1">
        <f>HYPERLINK("https://lsnyc.legalserver.org/matter/dynamic-profile/view/1904187","19-1904187")</f>
        <v>0</v>
      </c>
      <c r="B482" t="s">
        <v>480</v>
      </c>
      <c r="C482" t="s">
        <v>5399</v>
      </c>
      <c r="D482" t="s">
        <v>9926</v>
      </c>
      <c r="E482" t="s">
        <v>10075</v>
      </c>
      <c r="F482">
        <v>10460</v>
      </c>
      <c r="G482" t="s">
        <v>10090</v>
      </c>
      <c r="H482" t="s">
        <v>10119</v>
      </c>
      <c r="I482" t="s">
        <v>10168</v>
      </c>
      <c r="J482" t="s">
        <v>10210</v>
      </c>
      <c r="K482" t="s">
        <v>10217</v>
      </c>
      <c r="M482" t="s">
        <v>10322</v>
      </c>
      <c r="N482" t="s">
        <v>10671</v>
      </c>
      <c r="P482" t="s">
        <v>10749</v>
      </c>
      <c r="Q482" t="s">
        <v>10765</v>
      </c>
      <c r="R482" t="s">
        <v>10824</v>
      </c>
      <c r="T482">
        <v>4512</v>
      </c>
      <c r="U482">
        <v>376</v>
      </c>
      <c r="V482">
        <v>31</v>
      </c>
      <c r="W482">
        <v>1</v>
      </c>
      <c r="X482">
        <v>0</v>
      </c>
      <c r="Z482">
        <v>36.12</v>
      </c>
      <c r="AA482">
        <v>40.834595</v>
      </c>
      <c r="AB482">
        <v>-73.89609299999999</v>
      </c>
      <c r="AD482" t="s">
        <v>10840</v>
      </c>
      <c r="AG482" t="s">
        <v>10858</v>
      </c>
      <c r="AH482" t="s">
        <v>10861</v>
      </c>
      <c r="AI482">
        <v>234</v>
      </c>
      <c r="AJ482" t="s">
        <v>10214</v>
      </c>
      <c r="AL482">
        <v>1.2</v>
      </c>
      <c r="AM482" t="s">
        <v>10884</v>
      </c>
      <c r="AN482" t="s">
        <v>10918</v>
      </c>
      <c r="AO482" t="s">
        <v>11000</v>
      </c>
      <c r="AP482" t="s">
        <v>11055</v>
      </c>
      <c r="AR482" t="s">
        <v>11255</v>
      </c>
      <c r="AS482" t="s">
        <v>9926</v>
      </c>
      <c r="AT482" t="s">
        <v>11642</v>
      </c>
      <c r="AX482" t="s">
        <v>10837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</row>
    <row r="483" spans="1:59">
      <c r="A483" s="1">
        <f>HYPERLINK("https://lsnyc.legalserver.org/matter/dynamic-profile/view/1904188","19-1904188")</f>
        <v>0</v>
      </c>
      <c r="B483" t="s">
        <v>481</v>
      </c>
      <c r="C483" t="s">
        <v>5400</v>
      </c>
      <c r="D483" t="s">
        <v>9926</v>
      </c>
      <c r="E483" t="s">
        <v>10075</v>
      </c>
      <c r="F483">
        <v>10465</v>
      </c>
      <c r="G483" t="s">
        <v>10090</v>
      </c>
      <c r="H483" t="s">
        <v>10119</v>
      </c>
      <c r="I483" t="s">
        <v>10169</v>
      </c>
      <c r="J483" t="s">
        <v>10210</v>
      </c>
      <c r="K483" t="s">
        <v>10217</v>
      </c>
      <c r="M483" t="s">
        <v>10438</v>
      </c>
      <c r="N483" t="s">
        <v>10671</v>
      </c>
      <c r="P483" t="s">
        <v>10750</v>
      </c>
      <c r="Q483" t="s">
        <v>10799</v>
      </c>
      <c r="R483" t="s">
        <v>10821</v>
      </c>
      <c r="T483">
        <v>20800</v>
      </c>
      <c r="U483">
        <v>1733.33</v>
      </c>
      <c r="V483">
        <v>45</v>
      </c>
      <c r="W483">
        <v>2</v>
      </c>
      <c r="X483">
        <v>1</v>
      </c>
      <c r="Z483">
        <v>97.52</v>
      </c>
      <c r="AA483">
        <v>40.823038</v>
      </c>
      <c r="AB483">
        <v>-73.827065</v>
      </c>
      <c r="AD483" t="s">
        <v>10840</v>
      </c>
      <c r="AF483" t="s">
        <v>10843</v>
      </c>
      <c r="AG483" t="s">
        <v>10859</v>
      </c>
      <c r="AH483" t="s">
        <v>10871</v>
      </c>
      <c r="AI483">
        <v>234</v>
      </c>
      <c r="AJ483" t="s">
        <v>10214</v>
      </c>
      <c r="AL483">
        <v>1.1</v>
      </c>
      <c r="AM483" t="s">
        <v>10885</v>
      </c>
      <c r="AN483" t="s">
        <v>10911</v>
      </c>
      <c r="AO483" t="s">
        <v>11002</v>
      </c>
      <c r="AP483" t="s">
        <v>11049</v>
      </c>
      <c r="AR483" t="s">
        <v>11351</v>
      </c>
      <c r="AS483" t="s">
        <v>9926</v>
      </c>
      <c r="AT483" t="s">
        <v>11642</v>
      </c>
      <c r="AX483" t="s">
        <v>10838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</row>
    <row r="484" spans="1:59">
      <c r="A484" s="1">
        <f>HYPERLINK("https://lsnyc.legalserver.org/matter/dynamic-profile/view/1904189","19-1904189")</f>
        <v>0</v>
      </c>
      <c r="B484" t="s">
        <v>482</v>
      </c>
      <c r="C484" t="s">
        <v>5401</v>
      </c>
      <c r="D484" t="s">
        <v>9928</v>
      </c>
      <c r="E484" t="s">
        <v>10075</v>
      </c>
      <c r="F484">
        <v>11233</v>
      </c>
      <c r="G484" t="s">
        <v>10093</v>
      </c>
      <c r="H484" t="s">
        <v>10119</v>
      </c>
      <c r="I484" t="s">
        <v>10168</v>
      </c>
      <c r="J484" t="s">
        <v>10213</v>
      </c>
      <c r="K484" t="s">
        <v>10217</v>
      </c>
      <c r="M484" t="s">
        <v>10439</v>
      </c>
      <c r="N484" t="s">
        <v>10650</v>
      </c>
      <c r="P484" t="s">
        <v>10749</v>
      </c>
      <c r="Q484" t="s">
        <v>10765</v>
      </c>
      <c r="R484" t="s">
        <v>10824</v>
      </c>
      <c r="T484">
        <v>0</v>
      </c>
      <c r="U484">
        <v>0</v>
      </c>
      <c r="V484">
        <v>35</v>
      </c>
      <c r="W484">
        <v>1</v>
      </c>
      <c r="X484">
        <v>2</v>
      </c>
      <c r="Z484">
        <v>0</v>
      </c>
      <c r="AA484">
        <v>40.675515</v>
      </c>
      <c r="AB484">
        <v>-73.911641</v>
      </c>
      <c r="AD484" t="s">
        <v>10840</v>
      </c>
      <c r="AG484" t="s">
        <v>10858</v>
      </c>
      <c r="AH484" t="s">
        <v>10862</v>
      </c>
      <c r="AI484">
        <v>239</v>
      </c>
      <c r="AJ484" t="s">
        <v>10213</v>
      </c>
      <c r="AL484">
        <v>7.9</v>
      </c>
      <c r="AM484" t="s">
        <v>10889</v>
      </c>
      <c r="AN484" t="s">
        <v>10922</v>
      </c>
      <c r="AO484" t="s">
        <v>11007</v>
      </c>
      <c r="AP484" t="s">
        <v>11064</v>
      </c>
      <c r="AQ484" t="s">
        <v>11101</v>
      </c>
      <c r="AR484" t="s">
        <v>11267</v>
      </c>
      <c r="AS484" t="s">
        <v>11595</v>
      </c>
      <c r="AT484" t="s">
        <v>11642</v>
      </c>
      <c r="AX484" t="s">
        <v>10838</v>
      </c>
      <c r="BA484" t="s">
        <v>11738</v>
      </c>
      <c r="BB484">
        <v>0</v>
      </c>
      <c r="BC484">
        <v>0</v>
      </c>
      <c r="BD484">
        <v>0</v>
      </c>
      <c r="BE484">
        <v>0</v>
      </c>
      <c r="BF484">
        <v>5</v>
      </c>
      <c r="BG484">
        <v>0</v>
      </c>
    </row>
    <row r="485" spans="1:59">
      <c r="A485" s="1">
        <f>HYPERLINK("https://lsnyc.legalserver.org/matter/dynamic-profile/view/1904190","19-1904190")</f>
        <v>0</v>
      </c>
      <c r="B485" t="s">
        <v>483</v>
      </c>
      <c r="C485" t="s">
        <v>5402</v>
      </c>
      <c r="D485" t="s">
        <v>9925</v>
      </c>
      <c r="E485" t="s">
        <v>10075</v>
      </c>
      <c r="F485">
        <v>10029</v>
      </c>
      <c r="G485" t="s">
        <v>10089</v>
      </c>
      <c r="H485" t="s">
        <v>10119</v>
      </c>
      <c r="I485" t="s">
        <v>10168</v>
      </c>
      <c r="J485" t="s">
        <v>10209</v>
      </c>
      <c r="K485" t="s">
        <v>10217</v>
      </c>
      <c r="M485" t="s">
        <v>10440</v>
      </c>
      <c r="N485" t="s">
        <v>10650</v>
      </c>
      <c r="P485" t="s">
        <v>10749</v>
      </c>
      <c r="Q485" t="s">
        <v>10765</v>
      </c>
      <c r="R485" t="s">
        <v>10821</v>
      </c>
      <c r="T485">
        <v>13512</v>
      </c>
      <c r="U485">
        <v>1126</v>
      </c>
      <c r="V485">
        <v>67</v>
      </c>
      <c r="W485">
        <v>2</v>
      </c>
      <c r="X485">
        <v>0</v>
      </c>
      <c r="Z485">
        <v>79.91</v>
      </c>
      <c r="AA485">
        <v>40.793334</v>
      </c>
      <c r="AB485">
        <v>-73.94613099999999</v>
      </c>
      <c r="AD485" t="s">
        <v>10839</v>
      </c>
      <c r="AG485" t="s">
        <v>10858</v>
      </c>
      <c r="AH485" t="s">
        <v>10862</v>
      </c>
      <c r="AI485">
        <v>236</v>
      </c>
      <c r="AJ485" t="s">
        <v>10209</v>
      </c>
      <c r="AL485">
        <v>0</v>
      </c>
      <c r="AM485" t="s">
        <v>10887</v>
      </c>
      <c r="AN485" t="s">
        <v>10926</v>
      </c>
      <c r="AO485" t="s">
        <v>11013</v>
      </c>
      <c r="AP485" t="s">
        <v>11066</v>
      </c>
      <c r="AR485" t="s">
        <v>11263</v>
      </c>
      <c r="AS485" t="s">
        <v>9925</v>
      </c>
      <c r="AT485" t="s">
        <v>11641</v>
      </c>
      <c r="AX485" t="s">
        <v>10838</v>
      </c>
      <c r="BA485" t="s">
        <v>11742</v>
      </c>
      <c r="BB485">
        <v>0</v>
      </c>
      <c r="BC485">
        <v>0</v>
      </c>
      <c r="BD485">
        <v>0</v>
      </c>
      <c r="BE485">
        <v>0</v>
      </c>
      <c r="BF485">
        <v>7</v>
      </c>
      <c r="BG485">
        <v>0</v>
      </c>
    </row>
    <row r="486" spans="1:59">
      <c r="A486" s="1">
        <f>HYPERLINK("https://lsnyc.legalserver.org/matter/dynamic-profile/view/1904191","19-1904191")</f>
        <v>0</v>
      </c>
      <c r="B486" t="s">
        <v>484</v>
      </c>
      <c r="C486" t="s">
        <v>5403</v>
      </c>
      <c r="D486" t="s">
        <v>9931</v>
      </c>
      <c r="E486" t="s">
        <v>10075</v>
      </c>
      <c r="F486">
        <v>11354</v>
      </c>
      <c r="G486" t="s">
        <v>10092</v>
      </c>
      <c r="H486" t="s">
        <v>10119</v>
      </c>
      <c r="I486" t="s">
        <v>10180</v>
      </c>
      <c r="J486" t="s">
        <v>10212</v>
      </c>
      <c r="K486" t="s">
        <v>10217</v>
      </c>
      <c r="M486" t="s">
        <v>10441</v>
      </c>
      <c r="N486" t="s">
        <v>10656</v>
      </c>
      <c r="P486" t="s">
        <v>10751</v>
      </c>
      <c r="Q486" t="s">
        <v>10768</v>
      </c>
      <c r="R486" t="s">
        <v>10820</v>
      </c>
      <c r="T486">
        <v>24000</v>
      </c>
      <c r="U486">
        <v>2000</v>
      </c>
      <c r="V486">
        <v>49</v>
      </c>
      <c r="W486">
        <v>2</v>
      </c>
      <c r="X486">
        <v>0</v>
      </c>
      <c r="Z486">
        <v>141.93</v>
      </c>
      <c r="AA486">
        <v>40.766076</v>
      </c>
      <c r="AB486">
        <v>-73.83037299999999</v>
      </c>
      <c r="AD486" t="s">
        <v>10839</v>
      </c>
      <c r="AG486" t="s">
        <v>10858</v>
      </c>
      <c r="AH486" t="s">
        <v>10861</v>
      </c>
      <c r="AI486">
        <v>234</v>
      </c>
      <c r="AJ486" t="s">
        <v>10214</v>
      </c>
      <c r="AL486">
        <v>16.4</v>
      </c>
      <c r="AM486" t="s">
        <v>10890</v>
      </c>
      <c r="AN486" t="s">
        <v>10927</v>
      </c>
      <c r="AO486" t="s">
        <v>11022</v>
      </c>
      <c r="AP486" t="s">
        <v>11067</v>
      </c>
      <c r="AR486" t="s">
        <v>11257</v>
      </c>
      <c r="AS486" t="s">
        <v>11594</v>
      </c>
      <c r="AT486" t="s">
        <v>11641</v>
      </c>
      <c r="AX486" t="s">
        <v>10838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</row>
    <row r="487" spans="1:59">
      <c r="A487" s="1">
        <f>HYPERLINK("https://lsnyc.legalserver.org/matter/dynamic-profile/view/1904192","19-1904192")</f>
        <v>0</v>
      </c>
      <c r="B487" t="s">
        <v>485</v>
      </c>
      <c r="C487" t="s">
        <v>5404</v>
      </c>
      <c r="D487" t="s">
        <v>9928</v>
      </c>
      <c r="E487" t="s">
        <v>10075</v>
      </c>
      <c r="F487">
        <v>11213</v>
      </c>
      <c r="G487" t="s">
        <v>10093</v>
      </c>
      <c r="H487" t="s">
        <v>10119</v>
      </c>
      <c r="I487" t="s">
        <v>10168</v>
      </c>
      <c r="J487" t="s">
        <v>10213</v>
      </c>
      <c r="K487" t="s">
        <v>10217</v>
      </c>
      <c r="M487" t="s">
        <v>10256</v>
      </c>
      <c r="N487" t="s">
        <v>10644</v>
      </c>
      <c r="P487" t="s">
        <v>10749</v>
      </c>
      <c r="Q487" t="s">
        <v>10791</v>
      </c>
      <c r="R487" t="s">
        <v>10820</v>
      </c>
      <c r="T487">
        <v>9000</v>
      </c>
      <c r="U487">
        <v>750</v>
      </c>
      <c r="V487">
        <v>84</v>
      </c>
      <c r="W487">
        <v>1</v>
      </c>
      <c r="X487">
        <v>0</v>
      </c>
      <c r="Z487">
        <v>72.06</v>
      </c>
      <c r="AA487">
        <v>40.672333</v>
      </c>
      <c r="AB487">
        <v>-73.936097</v>
      </c>
      <c r="AD487" t="s">
        <v>10839</v>
      </c>
      <c r="AG487" t="s">
        <v>10858</v>
      </c>
      <c r="AH487" t="s">
        <v>10869</v>
      </c>
      <c r="AI487">
        <v>239</v>
      </c>
      <c r="AJ487" t="s">
        <v>10213</v>
      </c>
      <c r="AL487">
        <v>1</v>
      </c>
      <c r="AM487" t="s">
        <v>10888</v>
      </c>
      <c r="AN487" t="s">
        <v>10914</v>
      </c>
      <c r="AO487" t="s">
        <v>11007</v>
      </c>
      <c r="AP487" t="s">
        <v>11052</v>
      </c>
      <c r="AR487" t="s">
        <v>11274</v>
      </c>
      <c r="AS487" t="s">
        <v>11595</v>
      </c>
      <c r="AW487" t="s">
        <v>11645</v>
      </c>
      <c r="BA487" t="s">
        <v>11740</v>
      </c>
      <c r="BB487">
        <v>0</v>
      </c>
      <c r="BC487">
        <v>0</v>
      </c>
      <c r="BD487">
        <v>0</v>
      </c>
      <c r="BE487">
        <v>0</v>
      </c>
      <c r="BF487">
        <v>2</v>
      </c>
      <c r="BG487">
        <v>0</v>
      </c>
    </row>
    <row r="488" spans="1:59">
      <c r="A488" s="1">
        <f>HYPERLINK("https://lsnyc.legalserver.org/matter/dynamic-profile/view/1904193","19-1904193")</f>
        <v>0</v>
      </c>
      <c r="B488" t="s">
        <v>233</v>
      </c>
      <c r="C488" t="s">
        <v>5405</v>
      </c>
      <c r="D488" t="s">
        <v>9928</v>
      </c>
      <c r="E488" t="s">
        <v>10075</v>
      </c>
      <c r="F488">
        <v>11238</v>
      </c>
      <c r="G488" t="s">
        <v>10093</v>
      </c>
      <c r="H488" t="s">
        <v>10119</v>
      </c>
      <c r="I488" t="s">
        <v>10168</v>
      </c>
      <c r="J488" t="s">
        <v>10213</v>
      </c>
      <c r="K488" t="s">
        <v>10218</v>
      </c>
      <c r="L488" t="s">
        <v>4843</v>
      </c>
      <c r="M488" t="s">
        <v>10352</v>
      </c>
      <c r="N488" t="s">
        <v>10650</v>
      </c>
      <c r="P488" t="s">
        <v>10751</v>
      </c>
      <c r="Q488" t="s">
        <v>10761</v>
      </c>
      <c r="R488" t="s">
        <v>10824</v>
      </c>
      <c r="T488">
        <v>0</v>
      </c>
      <c r="U488">
        <v>0</v>
      </c>
      <c r="V488">
        <v>31</v>
      </c>
      <c r="W488">
        <v>1</v>
      </c>
      <c r="X488">
        <v>0</v>
      </c>
      <c r="Y488" t="s">
        <v>10830</v>
      </c>
      <c r="Z488">
        <v>0</v>
      </c>
      <c r="AA488">
        <v>40.67457</v>
      </c>
      <c r="AB488">
        <v>-73.961744</v>
      </c>
      <c r="AD488" t="s">
        <v>10840</v>
      </c>
      <c r="AG488" t="s">
        <v>10858</v>
      </c>
      <c r="AH488" t="s">
        <v>10862</v>
      </c>
      <c r="AI488">
        <v>239</v>
      </c>
      <c r="AJ488" t="s">
        <v>10213</v>
      </c>
      <c r="AK488" t="s">
        <v>10838</v>
      </c>
      <c r="AL488">
        <v>8.4</v>
      </c>
      <c r="AM488" t="s">
        <v>10888</v>
      </c>
      <c r="AN488" t="s">
        <v>10923</v>
      </c>
      <c r="AO488" t="s">
        <v>11005</v>
      </c>
      <c r="AP488" t="s">
        <v>11061</v>
      </c>
      <c r="AQ488" t="s">
        <v>11135</v>
      </c>
      <c r="AR488" t="s">
        <v>11266</v>
      </c>
      <c r="AS488" t="s">
        <v>11595</v>
      </c>
      <c r="AY488" t="s">
        <v>10830</v>
      </c>
      <c r="AZ488" t="s">
        <v>11688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</row>
    <row r="489" spans="1:59">
      <c r="A489" s="1">
        <f>HYPERLINK("https://lsnyc.legalserver.org/matter/dynamic-profile/view/1904194","19-1904194")</f>
        <v>0</v>
      </c>
      <c r="B489" t="s">
        <v>486</v>
      </c>
      <c r="C489" t="s">
        <v>5406</v>
      </c>
      <c r="D489" t="s">
        <v>9936</v>
      </c>
      <c r="E489" t="s">
        <v>10075</v>
      </c>
      <c r="F489">
        <v>11106</v>
      </c>
      <c r="G489" t="s">
        <v>10092</v>
      </c>
      <c r="H489" t="s">
        <v>10119</v>
      </c>
      <c r="I489" t="s">
        <v>10168</v>
      </c>
      <c r="J489" t="s">
        <v>10212</v>
      </c>
      <c r="K489" t="s">
        <v>10218</v>
      </c>
      <c r="L489" t="s">
        <v>10129</v>
      </c>
      <c r="M489" t="s">
        <v>10364</v>
      </c>
      <c r="N489" t="s">
        <v>10695</v>
      </c>
      <c r="P489" t="s">
        <v>10749</v>
      </c>
      <c r="Q489" t="s">
        <v>10765</v>
      </c>
      <c r="R489" t="s">
        <v>10822</v>
      </c>
      <c r="T489">
        <v>0</v>
      </c>
      <c r="U489">
        <v>0</v>
      </c>
      <c r="V489">
        <v>24</v>
      </c>
      <c r="W489">
        <v>2</v>
      </c>
      <c r="X489">
        <v>2</v>
      </c>
      <c r="Y489" t="s">
        <v>10829</v>
      </c>
      <c r="Z489">
        <v>0</v>
      </c>
      <c r="AA489">
        <v>40.760123</v>
      </c>
      <c r="AB489">
        <v>-73.923208</v>
      </c>
      <c r="AD489" t="s">
        <v>10839</v>
      </c>
      <c r="AG489" t="s">
        <v>10858</v>
      </c>
      <c r="AH489" t="s">
        <v>10862</v>
      </c>
      <c r="AI489">
        <v>237</v>
      </c>
      <c r="AJ489" t="s">
        <v>10212</v>
      </c>
      <c r="AK489" t="s">
        <v>10838</v>
      </c>
      <c r="AL489">
        <v>1.1</v>
      </c>
      <c r="AM489" t="s">
        <v>10891</v>
      </c>
      <c r="AN489" t="s">
        <v>10954</v>
      </c>
      <c r="AO489" t="s">
        <v>11003</v>
      </c>
      <c r="AP489" t="s">
        <v>11084</v>
      </c>
      <c r="AR489" t="s">
        <v>11267</v>
      </c>
      <c r="AS489" t="s">
        <v>11594</v>
      </c>
      <c r="AY489" t="s">
        <v>10829</v>
      </c>
      <c r="AZ489" t="s">
        <v>11681</v>
      </c>
      <c r="BA489" t="s">
        <v>11741</v>
      </c>
      <c r="BB489">
        <v>0</v>
      </c>
      <c r="BC489">
        <v>0</v>
      </c>
      <c r="BD489">
        <v>0</v>
      </c>
      <c r="BE489">
        <v>0</v>
      </c>
      <c r="BF489">
        <v>1</v>
      </c>
      <c r="BG489">
        <v>0</v>
      </c>
    </row>
    <row r="490" spans="1:59">
      <c r="A490" s="1">
        <f>HYPERLINK("https://lsnyc.legalserver.org/matter/dynamic-profile/view/1904196","19-1904196")</f>
        <v>0</v>
      </c>
      <c r="B490" t="s">
        <v>487</v>
      </c>
      <c r="C490" t="s">
        <v>5407</v>
      </c>
      <c r="D490" t="s">
        <v>9928</v>
      </c>
      <c r="E490" t="s">
        <v>10075</v>
      </c>
      <c r="F490">
        <v>11221</v>
      </c>
      <c r="G490" t="s">
        <v>10093</v>
      </c>
      <c r="H490" t="s">
        <v>10119</v>
      </c>
      <c r="I490" t="s">
        <v>10168</v>
      </c>
      <c r="J490" t="s">
        <v>10213</v>
      </c>
      <c r="K490" t="s">
        <v>10217</v>
      </c>
      <c r="M490" t="s">
        <v>10256</v>
      </c>
      <c r="N490" t="s">
        <v>10644</v>
      </c>
      <c r="P490" t="s">
        <v>10749</v>
      </c>
      <c r="Q490" t="s">
        <v>10791</v>
      </c>
      <c r="R490" t="s">
        <v>10820</v>
      </c>
      <c r="T490">
        <v>15996</v>
      </c>
      <c r="U490">
        <v>1333</v>
      </c>
      <c r="V490">
        <v>68</v>
      </c>
      <c r="W490">
        <v>1</v>
      </c>
      <c r="X490">
        <v>0</v>
      </c>
      <c r="Z490">
        <v>128.07</v>
      </c>
      <c r="AA490">
        <v>40.686766</v>
      </c>
      <c r="AB490">
        <v>-73.92783</v>
      </c>
      <c r="AD490" t="s">
        <v>10839</v>
      </c>
      <c r="AG490" t="s">
        <v>10858</v>
      </c>
      <c r="AH490" t="s">
        <v>10869</v>
      </c>
      <c r="AI490">
        <v>239</v>
      </c>
      <c r="AJ490" t="s">
        <v>10213</v>
      </c>
      <c r="AL490">
        <v>4.25</v>
      </c>
      <c r="AM490" t="s">
        <v>10889</v>
      </c>
      <c r="AN490" t="s">
        <v>10914</v>
      </c>
      <c r="AO490" t="s">
        <v>11007</v>
      </c>
      <c r="AP490" t="s">
        <v>11052</v>
      </c>
      <c r="AR490" t="s">
        <v>11287</v>
      </c>
      <c r="AS490" t="s">
        <v>11595</v>
      </c>
      <c r="AT490" t="s">
        <v>11641</v>
      </c>
      <c r="AV490" t="s">
        <v>11656</v>
      </c>
      <c r="AW490" t="s">
        <v>11645</v>
      </c>
      <c r="BA490" t="s">
        <v>11740</v>
      </c>
      <c r="BB490">
        <v>0</v>
      </c>
      <c r="BC490">
        <v>0</v>
      </c>
      <c r="BD490">
        <v>0</v>
      </c>
      <c r="BE490">
        <v>0</v>
      </c>
      <c r="BF490">
        <v>2</v>
      </c>
      <c r="BG490">
        <v>0</v>
      </c>
    </row>
    <row r="491" spans="1:59">
      <c r="A491" s="1">
        <f>HYPERLINK("https://lsnyc.legalserver.org/matter/dynamic-profile/view/1904197","19-1904197")</f>
        <v>0</v>
      </c>
      <c r="B491" t="s">
        <v>488</v>
      </c>
      <c r="C491" t="s">
        <v>5408</v>
      </c>
      <c r="D491" t="s">
        <v>9926</v>
      </c>
      <c r="E491" t="s">
        <v>10075</v>
      </c>
      <c r="F491">
        <v>10451</v>
      </c>
      <c r="G491" t="s">
        <v>10090</v>
      </c>
      <c r="H491" t="s">
        <v>10119</v>
      </c>
      <c r="I491" t="s">
        <v>10168</v>
      </c>
      <c r="J491" t="s">
        <v>10210</v>
      </c>
      <c r="K491" t="s">
        <v>10218</v>
      </c>
      <c r="L491" t="s">
        <v>10109</v>
      </c>
      <c r="M491" t="s">
        <v>10336</v>
      </c>
      <c r="N491" t="s">
        <v>10677</v>
      </c>
      <c r="P491" t="s">
        <v>10754</v>
      </c>
      <c r="Q491" t="s">
        <v>10782</v>
      </c>
      <c r="R491" t="s">
        <v>10822</v>
      </c>
      <c r="T491">
        <v>6500</v>
      </c>
      <c r="U491">
        <v>541.67</v>
      </c>
      <c r="V491">
        <v>60</v>
      </c>
      <c r="W491">
        <v>1</v>
      </c>
      <c r="X491">
        <v>1</v>
      </c>
      <c r="Y491" t="s">
        <v>10829</v>
      </c>
      <c r="Z491">
        <v>38.44</v>
      </c>
      <c r="AA491">
        <v>40.81804</v>
      </c>
      <c r="AB491">
        <v>-73.92452400000001</v>
      </c>
      <c r="AD491" t="s">
        <v>10839</v>
      </c>
      <c r="AG491" t="s">
        <v>10858</v>
      </c>
      <c r="AH491" t="s">
        <v>10861</v>
      </c>
      <c r="AI491">
        <v>234</v>
      </c>
      <c r="AJ491" t="s">
        <v>10214</v>
      </c>
      <c r="AK491" t="s">
        <v>10882</v>
      </c>
      <c r="AL491">
        <v>1.1</v>
      </c>
      <c r="AM491" t="s">
        <v>10884</v>
      </c>
      <c r="AN491" t="s">
        <v>10924</v>
      </c>
      <c r="AO491" t="s">
        <v>11013</v>
      </c>
      <c r="AP491" t="s">
        <v>11062</v>
      </c>
      <c r="AR491" t="s">
        <v>10180</v>
      </c>
      <c r="AS491" t="s">
        <v>9926</v>
      </c>
      <c r="AT491" t="s">
        <v>11641</v>
      </c>
      <c r="AX491" t="s">
        <v>10838</v>
      </c>
      <c r="AY491" t="s">
        <v>10829</v>
      </c>
      <c r="AZ491" t="s">
        <v>11683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</row>
    <row r="492" spans="1:59">
      <c r="A492" s="1">
        <f>HYPERLINK("https://lsnyc.legalserver.org/matter/dynamic-profile/view/1904198","19-1904198")</f>
        <v>0</v>
      </c>
      <c r="B492" t="s">
        <v>489</v>
      </c>
      <c r="C492" t="s">
        <v>5409</v>
      </c>
      <c r="D492" t="s">
        <v>9925</v>
      </c>
      <c r="E492" t="s">
        <v>10075</v>
      </c>
      <c r="F492">
        <v>10033</v>
      </c>
      <c r="G492" t="s">
        <v>10089</v>
      </c>
      <c r="H492" t="s">
        <v>10119</v>
      </c>
      <c r="I492" t="s">
        <v>10168</v>
      </c>
      <c r="J492" t="s">
        <v>10209</v>
      </c>
      <c r="K492" t="s">
        <v>10218</v>
      </c>
      <c r="L492" t="s">
        <v>10123</v>
      </c>
      <c r="M492" t="s">
        <v>10442</v>
      </c>
      <c r="N492" t="s">
        <v>10671</v>
      </c>
      <c r="P492" t="s">
        <v>10749</v>
      </c>
      <c r="Q492" t="s">
        <v>10765</v>
      </c>
      <c r="R492" t="s">
        <v>10820</v>
      </c>
      <c r="T492">
        <v>16800</v>
      </c>
      <c r="U492">
        <v>1400</v>
      </c>
      <c r="V492">
        <v>64</v>
      </c>
      <c r="W492">
        <v>1</v>
      </c>
      <c r="X492">
        <v>0</v>
      </c>
      <c r="Y492" t="s">
        <v>10829</v>
      </c>
      <c r="Z492">
        <v>134.51</v>
      </c>
      <c r="AA492">
        <v>40.850309</v>
      </c>
      <c r="AB492">
        <v>-73.93373200000001</v>
      </c>
      <c r="AD492" t="s">
        <v>10840</v>
      </c>
      <c r="AG492" t="s">
        <v>10858</v>
      </c>
      <c r="AH492" t="s">
        <v>10861</v>
      </c>
      <c r="AI492">
        <v>234</v>
      </c>
      <c r="AJ492" t="s">
        <v>10214</v>
      </c>
      <c r="AK492" t="s">
        <v>10882</v>
      </c>
      <c r="AL492">
        <v>1</v>
      </c>
      <c r="AM492" t="s">
        <v>10887</v>
      </c>
      <c r="AN492" t="s">
        <v>10937</v>
      </c>
      <c r="AO492" t="s">
        <v>11019</v>
      </c>
      <c r="AP492" t="s">
        <v>11074</v>
      </c>
      <c r="AR492" t="s">
        <v>11298</v>
      </c>
      <c r="AS492" t="s">
        <v>9925</v>
      </c>
      <c r="AT492" t="s">
        <v>11642</v>
      </c>
      <c r="AX492" t="s">
        <v>10837</v>
      </c>
      <c r="AY492" t="s">
        <v>10829</v>
      </c>
      <c r="AZ492" t="s">
        <v>11681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</row>
    <row r="493" spans="1:59">
      <c r="A493" s="1">
        <f>HYPERLINK("https://lsnyc.legalserver.org/matter/dynamic-profile/view/1904199","19-1904199")</f>
        <v>0</v>
      </c>
      <c r="B493" t="s">
        <v>490</v>
      </c>
      <c r="C493" t="s">
        <v>5410</v>
      </c>
      <c r="D493" t="s">
        <v>9925</v>
      </c>
      <c r="E493" t="s">
        <v>10075</v>
      </c>
      <c r="F493">
        <v>10002</v>
      </c>
      <c r="G493" t="s">
        <v>10091</v>
      </c>
      <c r="H493" t="s">
        <v>10119</v>
      </c>
      <c r="I493" t="s">
        <v>10168</v>
      </c>
      <c r="J493" t="s">
        <v>10214</v>
      </c>
      <c r="K493" t="s">
        <v>10217</v>
      </c>
      <c r="M493" t="s">
        <v>10286</v>
      </c>
      <c r="N493" t="s">
        <v>10671</v>
      </c>
      <c r="P493" t="s">
        <v>10751</v>
      </c>
      <c r="Q493" t="s">
        <v>10768</v>
      </c>
      <c r="R493" t="s">
        <v>10821</v>
      </c>
      <c r="T493">
        <v>12660</v>
      </c>
      <c r="U493">
        <v>1055</v>
      </c>
      <c r="V493">
        <v>58</v>
      </c>
      <c r="W493">
        <v>1</v>
      </c>
      <c r="X493">
        <v>0</v>
      </c>
      <c r="Z493">
        <v>101.36</v>
      </c>
      <c r="AA493">
        <v>40.720719</v>
      </c>
      <c r="AB493">
        <v>-73.987893</v>
      </c>
      <c r="AD493" t="s">
        <v>10839</v>
      </c>
      <c r="AG493" t="s">
        <v>10858</v>
      </c>
      <c r="AH493" t="s">
        <v>10861</v>
      </c>
      <c r="AI493">
        <v>234</v>
      </c>
      <c r="AJ493" t="s">
        <v>10214</v>
      </c>
      <c r="AL493">
        <v>1</v>
      </c>
      <c r="AM493" t="s">
        <v>10891</v>
      </c>
      <c r="AN493" t="s">
        <v>10963</v>
      </c>
      <c r="AO493" t="s">
        <v>11004</v>
      </c>
      <c r="AP493" t="s">
        <v>11093</v>
      </c>
      <c r="AR493" t="s">
        <v>11274</v>
      </c>
      <c r="AS493" t="s">
        <v>9925</v>
      </c>
      <c r="AT493" t="s">
        <v>11641</v>
      </c>
      <c r="AX493" t="s">
        <v>10838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</row>
    <row r="494" spans="1:59">
      <c r="A494" s="1">
        <f>HYPERLINK("https://lsnyc.legalserver.org/matter/dynamic-profile/view/1904200","19-1904200")</f>
        <v>0</v>
      </c>
      <c r="B494" t="s">
        <v>491</v>
      </c>
      <c r="C494" t="s">
        <v>5411</v>
      </c>
      <c r="D494" t="s">
        <v>9925</v>
      </c>
      <c r="E494" t="s">
        <v>10075</v>
      </c>
      <c r="F494">
        <v>10025</v>
      </c>
      <c r="G494" t="s">
        <v>10091</v>
      </c>
      <c r="H494" t="s">
        <v>10119</v>
      </c>
      <c r="I494" t="s">
        <v>10169</v>
      </c>
      <c r="J494" t="s">
        <v>10214</v>
      </c>
      <c r="K494" t="s">
        <v>10217</v>
      </c>
      <c r="M494" t="s">
        <v>10286</v>
      </c>
      <c r="N494" t="s">
        <v>10671</v>
      </c>
      <c r="P494" t="s">
        <v>10751</v>
      </c>
      <c r="Q494" t="s">
        <v>10780</v>
      </c>
      <c r="R494" t="s">
        <v>10821</v>
      </c>
      <c r="T494">
        <v>23472</v>
      </c>
      <c r="U494">
        <v>1956</v>
      </c>
      <c r="V494">
        <v>48</v>
      </c>
      <c r="W494">
        <v>2</v>
      </c>
      <c r="X494">
        <v>1</v>
      </c>
      <c r="Z494">
        <v>110.04</v>
      </c>
      <c r="AA494">
        <v>40.799537</v>
      </c>
      <c r="AB494">
        <v>-73.961951</v>
      </c>
      <c r="AD494" t="s">
        <v>10840</v>
      </c>
      <c r="AG494" t="s">
        <v>10858</v>
      </c>
      <c r="AH494" t="s">
        <v>10861</v>
      </c>
      <c r="AI494">
        <v>234</v>
      </c>
      <c r="AJ494" t="s">
        <v>10214</v>
      </c>
      <c r="AL494">
        <v>0.85</v>
      </c>
      <c r="AM494" t="s">
        <v>10887</v>
      </c>
      <c r="AN494" t="s">
        <v>10953</v>
      </c>
      <c r="AO494" t="s">
        <v>11016</v>
      </c>
      <c r="AP494" t="s">
        <v>11073</v>
      </c>
      <c r="AR494" t="s">
        <v>11254</v>
      </c>
      <c r="AS494" t="s">
        <v>9925</v>
      </c>
      <c r="AT494" t="s">
        <v>11642</v>
      </c>
      <c r="AX494" t="s">
        <v>10838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</row>
    <row r="495" spans="1:59">
      <c r="A495" s="1">
        <f>HYPERLINK("https://lsnyc.legalserver.org/matter/dynamic-profile/view/1904201","19-1904201")</f>
        <v>0</v>
      </c>
      <c r="B495" t="s">
        <v>492</v>
      </c>
      <c r="C495" t="s">
        <v>5412</v>
      </c>
      <c r="D495" t="s">
        <v>9936</v>
      </c>
      <c r="E495" t="s">
        <v>10075</v>
      </c>
      <c r="F495">
        <v>11102</v>
      </c>
      <c r="G495" t="s">
        <v>10092</v>
      </c>
      <c r="H495" t="s">
        <v>10119</v>
      </c>
      <c r="I495" t="s">
        <v>10168</v>
      </c>
      <c r="J495" t="s">
        <v>10212</v>
      </c>
      <c r="K495" t="s">
        <v>10218</v>
      </c>
      <c r="L495" t="s">
        <v>10109</v>
      </c>
      <c r="M495" t="s">
        <v>10340</v>
      </c>
      <c r="N495" t="s">
        <v>10694</v>
      </c>
      <c r="P495" t="s">
        <v>10751</v>
      </c>
      <c r="Q495" t="s">
        <v>10768</v>
      </c>
      <c r="R495" t="s">
        <v>10825</v>
      </c>
      <c r="T495">
        <v>4320</v>
      </c>
      <c r="U495">
        <v>360</v>
      </c>
      <c r="V495">
        <v>29</v>
      </c>
      <c r="W495">
        <v>1</v>
      </c>
      <c r="X495">
        <v>0</v>
      </c>
      <c r="Y495" t="s">
        <v>10829</v>
      </c>
      <c r="Z495">
        <v>34.59</v>
      </c>
      <c r="AA495">
        <v>40.774318</v>
      </c>
      <c r="AB495">
        <v>-73.93114300000001</v>
      </c>
      <c r="AD495" t="s">
        <v>10840</v>
      </c>
      <c r="AG495" t="s">
        <v>10858</v>
      </c>
      <c r="AH495" t="s">
        <v>10871</v>
      </c>
      <c r="AI495">
        <v>234</v>
      </c>
      <c r="AJ495" t="s">
        <v>10214</v>
      </c>
      <c r="AK495" t="s">
        <v>10838</v>
      </c>
      <c r="AL495">
        <v>2.75</v>
      </c>
      <c r="AM495" t="s">
        <v>10891</v>
      </c>
      <c r="AN495" t="s">
        <v>10961</v>
      </c>
      <c r="AO495" t="s">
        <v>11003</v>
      </c>
      <c r="AP495" t="s">
        <v>11084</v>
      </c>
      <c r="AR495" t="s">
        <v>11255</v>
      </c>
      <c r="AS495" t="s">
        <v>11594</v>
      </c>
      <c r="AT495" t="s">
        <v>11642</v>
      </c>
      <c r="AX495" t="s">
        <v>10837</v>
      </c>
      <c r="AY495" t="s">
        <v>10829</v>
      </c>
      <c r="AZ495" t="s">
        <v>11682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</row>
    <row r="496" spans="1:59">
      <c r="A496" s="1">
        <f>HYPERLINK("https://lsnyc.legalserver.org/matter/dynamic-profile/view/1904202","19-1904202")</f>
        <v>0</v>
      </c>
      <c r="B496" t="s">
        <v>493</v>
      </c>
      <c r="C496" t="s">
        <v>5413</v>
      </c>
      <c r="D496" t="s">
        <v>9928</v>
      </c>
      <c r="E496" t="s">
        <v>10075</v>
      </c>
      <c r="F496">
        <v>11220</v>
      </c>
      <c r="G496" t="s">
        <v>10093</v>
      </c>
      <c r="H496" t="s">
        <v>10119</v>
      </c>
      <c r="I496" t="s">
        <v>10169</v>
      </c>
      <c r="J496" t="s">
        <v>10213</v>
      </c>
      <c r="K496" t="s">
        <v>10218</v>
      </c>
      <c r="L496" t="s">
        <v>10124</v>
      </c>
      <c r="M496" t="s">
        <v>10443</v>
      </c>
      <c r="N496" t="s">
        <v>10644</v>
      </c>
      <c r="P496" t="s">
        <v>10749</v>
      </c>
      <c r="Q496" t="s">
        <v>10765</v>
      </c>
      <c r="R496" t="s">
        <v>10823</v>
      </c>
      <c r="T496">
        <v>10236</v>
      </c>
      <c r="U496">
        <v>853</v>
      </c>
      <c r="V496">
        <v>76</v>
      </c>
      <c r="W496">
        <v>1</v>
      </c>
      <c r="X496">
        <v>0</v>
      </c>
      <c r="Y496" t="s">
        <v>10829</v>
      </c>
      <c r="Z496">
        <v>81.95</v>
      </c>
      <c r="AA496">
        <v>40.643646</v>
      </c>
      <c r="AB496">
        <v>-74.01148999999999</v>
      </c>
      <c r="AD496" t="s">
        <v>10840</v>
      </c>
      <c r="AG496" t="s">
        <v>10858</v>
      </c>
      <c r="AH496" t="s">
        <v>10869</v>
      </c>
      <c r="AI496">
        <v>239</v>
      </c>
      <c r="AJ496" t="s">
        <v>10213</v>
      </c>
      <c r="AK496" t="s">
        <v>10838</v>
      </c>
      <c r="AL496">
        <v>2</v>
      </c>
      <c r="AM496" t="s">
        <v>10886</v>
      </c>
      <c r="AN496" t="s">
        <v>10921</v>
      </c>
      <c r="AO496" t="s">
        <v>11005</v>
      </c>
      <c r="AP496" t="s">
        <v>11069</v>
      </c>
      <c r="AR496" t="s">
        <v>11289</v>
      </c>
      <c r="AS496" t="s">
        <v>11595</v>
      </c>
      <c r="AT496" t="s">
        <v>11642</v>
      </c>
      <c r="AV496" t="s">
        <v>11655</v>
      </c>
      <c r="AW496" t="s">
        <v>11655</v>
      </c>
      <c r="AX496" t="s">
        <v>10838</v>
      </c>
      <c r="AY496" t="s">
        <v>10829</v>
      </c>
      <c r="AZ496" t="s">
        <v>11681</v>
      </c>
      <c r="BA496" t="s">
        <v>11742</v>
      </c>
      <c r="BB496">
        <v>0</v>
      </c>
      <c r="BC496">
        <v>0</v>
      </c>
      <c r="BD496">
        <v>0</v>
      </c>
      <c r="BE496">
        <v>0</v>
      </c>
      <c r="BF496">
        <v>7</v>
      </c>
      <c r="BG496">
        <v>0</v>
      </c>
    </row>
    <row r="497" spans="1:59">
      <c r="A497" s="1">
        <f>HYPERLINK("https://lsnyc.legalserver.org/matter/dynamic-profile/view/1904204","19-1904204")</f>
        <v>0</v>
      </c>
      <c r="B497" t="s">
        <v>494</v>
      </c>
      <c r="C497" t="s">
        <v>5414</v>
      </c>
      <c r="D497" t="s">
        <v>9928</v>
      </c>
      <c r="E497" t="s">
        <v>10075</v>
      </c>
      <c r="F497">
        <v>11225</v>
      </c>
      <c r="G497" t="s">
        <v>10093</v>
      </c>
      <c r="H497" t="s">
        <v>10119</v>
      </c>
      <c r="I497" t="s">
        <v>10168</v>
      </c>
      <c r="J497" t="s">
        <v>10213</v>
      </c>
      <c r="K497" t="s">
        <v>10218</v>
      </c>
      <c r="L497" t="s">
        <v>10129</v>
      </c>
      <c r="M497" t="s">
        <v>10435</v>
      </c>
      <c r="N497" t="s">
        <v>10665</v>
      </c>
      <c r="P497" t="s">
        <v>10750</v>
      </c>
      <c r="Q497" t="s">
        <v>10799</v>
      </c>
      <c r="R497" t="s">
        <v>10824</v>
      </c>
      <c r="T497">
        <v>3000</v>
      </c>
      <c r="U497">
        <v>250</v>
      </c>
      <c r="V497">
        <v>29</v>
      </c>
      <c r="W497">
        <v>1</v>
      </c>
      <c r="X497">
        <v>1</v>
      </c>
      <c r="Y497" t="s">
        <v>10829</v>
      </c>
      <c r="Z497">
        <v>17.74</v>
      </c>
      <c r="AA497">
        <v>40.666545</v>
      </c>
      <c r="AB497">
        <v>-73.953098</v>
      </c>
      <c r="AD497" t="s">
        <v>10839</v>
      </c>
      <c r="AG497" t="s">
        <v>10858</v>
      </c>
      <c r="AH497" t="s">
        <v>10861</v>
      </c>
      <c r="AI497">
        <v>234</v>
      </c>
      <c r="AJ497" t="s">
        <v>10214</v>
      </c>
      <c r="AK497" t="s">
        <v>10838</v>
      </c>
      <c r="AL497">
        <v>2.75</v>
      </c>
      <c r="AM497" t="s">
        <v>10888</v>
      </c>
      <c r="AN497" t="s">
        <v>10912</v>
      </c>
      <c r="AO497" t="s">
        <v>11005</v>
      </c>
      <c r="AP497" t="s">
        <v>11061</v>
      </c>
      <c r="AR497" t="s">
        <v>11292</v>
      </c>
      <c r="AS497" t="s">
        <v>11595</v>
      </c>
      <c r="AT497" t="s">
        <v>11641</v>
      </c>
      <c r="AX497" t="s">
        <v>10838</v>
      </c>
      <c r="AY497" t="s">
        <v>10829</v>
      </c>
      <c r="AZ497" t="s">
        <v>11679</v>
      </c>
      <c r="BA497" t="s">
        <v>11741</v>
      </c>
      <c r="BB497">
        <v>0</v>
      </c>
      <c r="BC497">
        <v>0</v>
      </c>
      <c r="BD497">
        <v>0</v>
      </c>
      <c r="BE497">
        <v>0</v>
      </c>
      <c r="BF497">
        <v>1</v>
      </c>
      <c r="BG497">
        <v>0</v>
      </c>
    </row>
    <row r="498" spans="1:59">
      <c r="A498" s="1">
        <f>HYPERLINK("https://lsnyc.legalserver.org/matter/dynamic-profile/view/1904205","19-1904205")</f>
        <v>0</v>
      </c>
      <c r="B498" t="s">
        <v>495</v>
      </c>
      <c r="C498" t="s">
        <v>5415</v>
      </c>
      <c r="D498" t="s">
        <v>9926</v>
      </c>
      <c r="E498" t="s">
        <v>10075</v>
      </c>
      <c r="F498">
        <v>10465</v>
      </c>
      <c r="G498" t="s">
        <v>10091</v>
      </c>
      <c r="H498" t="s">
        <v>10119</v>
      </c>
      <c r="I498" t="s">
        <v>10168</v>
      </c>
      <c r="J498" t="s">
        <v>10214</v>
      </c>
      <c r="K498" t="s">
        <v>10217</v>
      </c>
      <c r="M498" t="s">
        <v>10286</v>
      </c>
      <c r="N498" t="s">
        <v>10671</v>
      </c>
      <c r="P498" t="s">
        <v>10751</v>
      </c>
      <c r="Q498" t="s">
        <v>10773</v>
      </c>
      <c r="R498" t="s">
        <v>10820</v>
      </c>
      <c r="T498">
        <v>10400</v>
      </c>
      <c r="U498">
        <v>866.67</v>
      </c>
      <c r="V498">
        <v>33</v>
      </c>
      <c r="W498">
        <v>1</v>
      </c>
      <c r="X498">
        <v>0</v>
      </c>
      <c r="Z498">
        <v>83.27</v>
      </c>
      <c r="AA498">
        <v>40.844927</v>
      </c>
      <c r="AB498">
        <v>-73.821896</v>
      </c>
      <c r="AD498" t="s">
        <v>10840</v>
      </c>
      <c r="AG498" t="s">
        <v>10858</v>
      </c>
      <c r="AH498" t="s">
        <v>10861</v>
      </c>
      <c r="AI498">
        <v>234</v>
      </c>
      <c r="AJ498" t="s">
        <v>10214</v>
      </c>
      <c r="AL498">
        <v>1</v>
      </c>
      <c r="AM498" t="s">
        <v>10885</v>
      </c>
      <c r="AN498" t="s">
        <v>10911</v>
      </c>
      <c r="AO498" t="s">
        <v>11002</v>
      </c>
      <c r="AP498" t="s">
        <v>11049</v>
      </c>
      <c r="AR498" t="s">
        <v>11293</v>
      </c>
      <c r="AS498" t="s">
        <v>9926</v>
      </c>
      <c r="AT498" t="s">
        <v>11642</v>
      </c>
      <c r="AX498" t="s">
        <v>10838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</row>
    <row r="499" spans="1:59">
      <c r="A499" s="1">
        <f>HYPERLINK("https://lsnyc.legalserver.org/matter/dynamic-profile/view/1904206","19-1904206")</f>
        <v>0</v>
      </c>
      <c r="B499" t="s">
        <v>496</v>
      </c>
      <c r="C499" t="s">
        <v>5416</v>
      </c>
      <c r="D499" t="s">
        <v>9925</v>
      </c>
      <c r="E499" t="s">
        <v>10075</v>
      </c>
      <c r="F499">
        <v>10024</v>
      </c>
      <c r="G499" t="s">
        <v>10089</v>
      </c>
      <c r="H499" t="s">
        <v>10119</v>
      </c>
      <c r="I499" t="s">
        <v>10168</v>
      </c>
      <c r="J499" t="s">
        <v>10209</v>
      </c>
      <c r="K499" t="s">
        <v>10217</v>
      </c>
      <c r="M499" t="s">
        <v>10440</v>
      </c>
      <c r="N499" t="s">
        <v>10650</v>
      </c>
      <c r="P499" t="s">
        <v>10749</v>
      </c>
      <c r="Q499" t="s">
        <v>10765</v>
      </c>
      <c r="R499" t="s">
        <v>10820</v>
      </c>
      <c r="T499">
        <v>90000</v>
      </c>
      <c r="U499">
        <v>7500</v>
      </c>
      <c r="V499">
        <v>47</v>
      </c>
      <c r="W499">
        <v>2</v>
      </c>
      <c r="X499">
        <v>0</v>
      </c>
      <c r="Z499">
        <v>532.23</v>
      </c>
      <c r="AA499">
        <v>0</v>
      </c>
      <c r="AB499">
        <v>0</v>
      </c>
      <c r="AD499" t="s">
        <v>10840</v>
      </c>
      <c r="AG499" t="s">
        <v>10858</v>
      </c>
      <c r="AH499" t="s">
        <v>10862</v>
      </c>
      <c r="AI499">
        <v>236</v>
      </c>
      <c r="AJ499" t="s">
        <v>10209</v>
      </c>
      <c r="AL499">
        <v>48.05</v>
      </c>
      <c r="AR499" t="s">
        <v>11257</v>
      </c>
      <c r="AS499" t="s">
        <v>9925</v>
      </c>
      <c r="AT499" t="s">
        <v>11642</v>
      </c>
      <c r="AX499" t="s">
        <v>10838</v>
      </c>
      <c r="BA499" t="s">
        <v>11740</v>
      </c>
      <c r="BB499">
        <v>0</v>
      </c>
      <c r="BC499">
        <v>0</v>
      </c>
      <c r="BD499">
        <v>0</v>
      </c>
      <c r="BE499">
        <v>0</v>
      </c>
      <c r="BF499">
        <v>2</v>
      </c>
      <c r="BG499">
        <v>0</v>
      </c>
    </row>
    <row r="500" spans="1:59">
      <c r="A500" s="1">
        <f>HYPERLINK("https://lsnyc.legalserver.org/matter/dynamic-profile/view/1904207","19-1904207")</f>
        <v>0</v>
      </c>
      <c r="B500" t="s">
        <v>497</v>
      </c>
      <c r="C500" t="s">
        <v>5417</v>
      </c>
      <c r="D500" t="s">
        <v>9928</v>
      </c>
      <c r="E500" t="s">
        <v>10075</v>
      </c>
      <c r="F500">
        <v>11210</v>
      </c>
      <c r="G500" t="s">
        <v>10093</v>
      </c>
      <c r="H500" t="s">
        <v>10119</v>
      </c>
      <c r="I500" t="s">
        <v>10168</v>
      </c>
      <c r="J500" t="s">
        <v>10213</v>
      </c>
      <c r="K500" t="s">
        <v>10217</v>
      </c>
      <c r="M500" t="s">
        <v>10293</v>
      </c>
      <c r="N500" t="s">
        <v>10644</v>
      </c>
      <c r="P500" t="s">
        <v>10749</v>
      </c>
      <c r="Q500" t="s">
        <v>10791</v>
      </c>
      <c r="R500" t="s">
        <v>10824</v>
      </c>
      <c r="T500">
        <v>21432</v>
      </c>
      <c r="U500">
        <v>1786</v>
      </c>
      <c r="V500">
        <v>63</v>
      </c>
      <c r="W500">
        <v>2</v>
      </c>
      <c r="X500">
        <v>0</v>
      </c>
      <c r="Z500">
        <v>126.74</v>
      </c>
      <c r="AA500">
        <v>40.625972</v>
      </c>
      <c r="AB500">
        <v>-73.94119499999999</v>
      </c>
      <c r="AD500" t="s">
        <v>10839</v>
      </c>
      <c r="AG500" t="s">
        <v>10858</v>
      </c>
      <c r="AH500" t="s">
        <v>10869</v>
      </c>
      <c r="AI500">
        <v>239</v>
      </c>
      <c r="AJ500" t="s">
        <v>10213</v>
      </c>
      <c r="AL500">
        <v>2</v>
      </c>
      <c r="AM500" t="s">
        <v>10888</v>
      </c>
      <c r="AN500" t="s">
        <v>10957</v>
      </c>
      <c r="AO500" t="s">
        <v>11008</v>
      </c>
      <c r="AP500" t="s">
        <v>11065</v>
      </c>
      <c r="AR500" t="s">
        <v>11253</v>
      </c>
      <c r="AS500" t="s">
        <v>11595</v>
      </c>
      <c r="AT500" t="s">
        <v>11641</v>
      </c>
      <c r="AV500" t="s">
        <v>11656</v>
      </c>
      <c r="AW500" t="s">
        <v>11656</v>
      </c>
      <c r="AX500" t="s">
        <v>10838</v>
      </c>
      <c r="BA500" t="s">
        <v>11742</v>
      </c>
      <c r="BB500">
        <v>0</v>
      </c>
      <c r="BC500">
        <v>0</v>
      </c>
      <c r="BD500">
        <v>0</v>
      </c>
      <c r="BE500">
        <v>0</v>
      </c>
      <c r="BF500">
        <v>7</v>
      </c>
      <c r="BG500">
        <v>0</v>
      </c>
    </row>
    <row r="501" spans="1:59">
      <c r="A501" s="1">
        <f>HYPERLINK("https://lsnyc.legalserver.org/matter/dynamic-profile/view/1904208","19-1904208")</f>
        <v>0</v>
      </c>
      <c r="B501" t="s">
        <v>498</v>
      </c>
      <c r="C501" t="s">
        <v>5418</v>
      </c>
      <c r="D501" t="s">
        <v>9929</v>
      </c>
      <c r="E501" t="s">
        <v>10075</v>
      </c>
      <c r="F501">
        <v>10303</v>
      </c>
      <c r="G501" t="s">
        <v>10088</v>
      </c>
      <c r="H501" t="s">
        <v>10119</v>
      </c>
      <c r="I501" t="s">
        <v>10168</v>
      </c>
      <c r="J501" t="s">
        <v>10208</v>
      </c>
      <c r="K501" t="s">
        <v>10217</v>
      </c>
      <c r="M501" t="s">
        <v>10257</v>
      </c>
      <c r="N501" t="s">
        <v>10650</v>
      </c>
      <c r="P501" t="s">
        <v>10749</v>
      </c>
      <c r="Q501" t="s">
        <v>10765</v>
      </c>
      <c r="R501" t="s">
        <v>10820</v>
      </c>
      <c r="T501">
        <v>15600</v>
      </c>
      <c r="U501">
        <v>1300</v>
      </c>
      <c r="V501">
        <v>74</v>
      </c>
      <c r="W501">
        <v>1</v>
      </c>
      <c r="X501">
        <v>0</v>
      </c>
      <c r="Z501">
        <v>124.9</v>
      </c>
      <c r="AA501">
        <v>40.627391</v>
      </c>
      <c r="AB501">
        <v>-74.158998</v>
      </c>
      <c r="AC501" t="s">
        <v>10837</v>
      </c>
      <c r="AD501" t="s">
        <v>10840</v>
      </c>
      <c r="AG501" t="s">
        <v>10858</v>
      </c>
      <c r="AH501" t="s">
        <v>10862</v>
      </c>
      <c r="AI501">
        <v>285</v>
      </c>
      <c r="AJ501" t="s">
        <v>10208</v>
      </c>
      <c r="AL501">
        <v>36.35</v>
      </c>
      <c r="AM501" t="s">
        <v>10883</v>
      </c>
      <c r="AN501" t="s">
        <v>10913</v>
      </c>
      <c r="AO501" t="s">
        <v>11006</v>
      </c>
      <c r="AP501" t="s">
        <v>11051</v>
      </c>
      <c r="AR501" t="s">
        <v>11274</v>
      </c>
      <c r="AS501" t="s">
        <v>11593</v>
      </c>
      <c r="BA501" t="s">
        <v>11738</v>
      </c>
      <c r="BB501">
        <v>0</v>
      </c>
      <c r="BC501">
        <v>0</v>
      </c>
      <c r="BD501">
        <v>0</v>
      </c>
      <c r="BE501">
        <v>0</v>
      </c>
      <c r="BF501">
        <v>5</v>
      </c>
      <c r="BG501">
        <v>0</v>
      </c>
    </row>
    <row r="502" spans="1:59">
      <c r="A502" s="1">
        <f>HYPERLINK("https://lsnyc.legalserver.org/matter/dynamic-profile/view/1904210","19-1904210")</f>
        <v>0</v>
      </c>
      <c r="B502" t="s">
        <v>499</v>
      </c>
      <c r="C502" t="s">
        <v>5419</v>
      </c>
      <c r="D502" t="s">
        <v>9929</v>
      </c>
      <c r="E502" t="s">
        <v>10075</v>
      </c>
      <c r="F502">
        <v>10301</v>
      </c>
      <c r="G502" t="s">
        <v>10093</v>
      </c>
      <c r="H502" t="s">
        <v>10119</v>
      </c>
      <c r="I502" t="s">
        <v>10168</v>
      </c>
      <c r="J502" t="s">
        <v>10213</v>
      </c>
      <c r="K502" t="s">
        <v>10218</v>
      </c>
      <c r="L502" t="s">
        <v>10106</v>
      </c>
      <c r="M502" t="s">
        <v>10289</v>
      </c>
      <c r="N502" t="s">
        <v>10671</v>
      </c>
      <c r="P502" t="s">
        <v>10751</v>
      </c>
      <c r="Q502" t="s">
        <v>10761</v>
      </c>
      <c r="R502" t="s">
        <v>10822</v>
      </c>
      <c r="T502">
        <v>5520</v>
      </c>
      <c r="U502">
        <v>460</v>
      </c>
      <c r="V502">
        <v>38</v>
      </c>
      <c r="W502">
        <v>4</v>
      </c>
      <c r="X502">
        <v>2</v>
      </c>
      <c r="Y502" t="s">
        <v>10830</v>
      </c>
      <c r="Z502">
        <v>15.96</v>
      </c>
      <c r="AA502">
        <v>40.618265</v>
      </c>
      <c r="AB502">
        <v>-74.100722</v>
      </c>
      <c r="AD502" t="s">
        <v>10839</v>
      </c>
      <c r="AG502" t="s">
        <v>10858</v>
      </c>
      <c r="AH502" t="s">
        <v>10861</v>
      </c>
      <c r="AI502">
        <v>234</v>
      </c>
      <c r="AJ502" t="s">
        <v>10214</v>
      </c>
      <c r="AK502" t="s">
        <v>10838</v>
      </c>
      <c r="AL502">
        <v>0.75</v>
      </c>
      <c r="AM502" t="s">
        <v>10883</v>
      </c>
      <c r="AN502" t="s">
        <v>10928</v>
      </c>
      <c r="AO502" t="s">
        <v>10999</v>
      </c>
      <c r="AP502" t="s">
        <v>11051</v>
      </c>
      <c r="AR502" t="s">
        <v>11352</v>
      </c>
      <c r="AS502" t="s">
        <v>11593</v>
      </c>
      <c r="AT502" t="s">
        <v>11641</v>
      </c>
      <c r="AX502" t="s">
        <v>10838</v>
      </c>
      <c r="AY502" t="s">
        <v>10830</v>
      </c>
      <c r="AZ502" t="s">
        <v>11682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</row>
    <row r="503" spans="1:59">
      <c r="A503" s="1">
        <f>HYPERLINK("https://lsnyc.legalserver.org/matter/dynamic-profile/view/1904212","19-1904212")</f>
        <v>0</v>
      </c>
      <c r="B503" t="s">
        <v>500</v>
      </c>
      <c r="C503" t="s">
        <v>5420</v>
      </c>
      <c r="D503" t="s">
        <v>9928</v>
      </c>
      <c r="E503" t="s">
        <v>10075</v>
      </c>
      <c r="F503">
        <v>11238</v>
      </c>
      <c r="G503" t="s">
        <v>10093</v>
      </c>
      <c r="H503" t="s">
        <v>10119</v>
      </c>
      <c r="I503" t="s">
        <v>10168</v>
      </c>
      <c r="J503" t="s">
        <v>10213</v>
      </c>
      <c r="K503" t="s">
        <v>10218</v>
      </c>
      <c r="L503" t="s">
        <v>10121</v>
      </c>
      <c r="M503" t="s">
        <v>10256</v>
      </c>
      <c r="N503" t="s">
        <v>10644</v>
      </c>
      <c r="P503" t="s">
        <v>10749</v>
      </c>
      <c r="Q503" t="s">
        <v>10791</v>
      </c>
      <c r="R503" t="s">
        <v>10820</v>
      </c>
      <c r="T503">
        <v>6984</v>
      </c>
      <c r="U503">
        <v>582</v>
      </c>
      <c r="V503">
        <v>69</v>
      </c>
      <c r="W503">
        <v>1</v>
      </c>
      <c r="X503">
        <v>0</v>
      </c>
      <c r="Y503" t="s">
        <v>10829</v>
      </c>
      <c r="Z503">
        <v>55.92</v>
      </c>
      <c r="AA503">
        <v>40.675504</v>
      </c>
      <c r="AB503">
        <v>-73.966818</v>
      </c>
      <c r="AD503" t="s">
        <v>10840</v>
      </c>
      <c r="AG503" t="s">
        <v>10858</v>
      </c>
      <c r="AH503" t="s">
        <v>10869</v>
      </c>
      <c r="AI503">
        <v>239</v>
      </c>
      <c r="AJ503" t="s">
        <v>10213</v>
      </c>
      <c r="AK503" t="s">
        <v>10882</v>
      </c>
      <c r="AL503">
        <v>1.75</v>
      </c>
      <c r="AM503" t="s">
        <v>10888</v>
      </c>
      <c r="AN503" t="s">
        <v>10917</v>
      </c>
      <c r="AO503" t="s">
        <v>11005</v>
      </c>
      <c r="AP503" t="s">
        <v>11061</v>
      </c>
      <c r="AR503" t="s">
        <v>11289</v>
      </c>
      <c r="AS503" t="s">
        <v>11595</v>
      </c>
      <c r="AY503" t="s">
        <v>10829</v>
      </c>
      <c r="AZ503" t="s">
        <v>11681</v>
      </c>
      <c r="BA503" t="s">
        <v>11742</v>
      </c>
      <c r="BB503">
        <v>0</v>
      </c>
      <c r="BC503">
        <v>0</v>
      </c>
      <c r="BD503">
        <v>0</v>
      </c>
      <c r="BE503">
        <v>0</v>
      </c>
      <c r="BF503">
        <v>7</v>
      </c>
      <c r="BG503">
        <v>0</v>
      </c>
    </row>
    <row r="504" spans="1:59">
      <c r="A504" s="1">
        <f>HYPERLINK("https://lsnyc.legalserver.org/matter/dynamic-profile/view/1904213","19-1904213")</f>
        <v>0</v>
      </c>
      <c r="B504" t="s">
        <v>501</v>
      </c>
      <c r="C504" t="s">
        <v>5421</v>
      </c>
      <c r="D504" t="s">
        <v>9926</v>
      </c>
      <c r="E504" t="s">
        <v>10075</v>
      </c>
      <c r="F504">
        <v>10467</v>
      </c>
      <c r="G504" t="s">
        <v>10090</v>
      </c>
      <c r="H504" t="s">
        <v>10119</v>
      </c>
      <c r="I504" t="s">
        <v>10169</v>
      </c>
      <c r="J504" t="s">
        <v>10210</v>
      </c>
      <c r="K504" t="s">
        <v>10218</v>
      </c>
      <c r="L504" t="s">
        <v>10128</v>
      </c>
      <c r="M504" t="s">
        <v>10297</v>
      </c>
      <c r="N504" t="s">
        <v>10651</v>
      </c>
      <c r="P504" t="s">
        <v>10749</v>
      </c>
      <c r="Q504" t="s">
        <v>10765</v>
      </c>
      <c r="R504" t="s">
        <v>10824</v>
      </c>
      <c r="T504">
        <v>42000</v>
      </c>
      <c r="U504">
        <v>3500</v>
      </c>
      <c r="V504">
        <v>50</v>
      </c>
      <c r="W504">
        <v>3</v>
      </c>
      <c r="X504">
        <v>0</v>
      </c>
      <c r="Y504" t="s">
        <v>10831</v>
      </c>
      <c r="Z504">
        <v>196.91</v>
      </c>
      <c r="AA504">
        <v>40.87401</v>
      </c>
      <c r="AB504">
        <v>-73.879074</v>
      </c>
      <c r="AD504" t="s">
        <v>10839</v>
      </c>
      <c r="AG504" t="s">
        <v>10858</v>
      </c>
      <c r="AH504" t="s">
        <v>10862</v>
      </c>
      <c r="AI504">
        <v>230</v>
      </c>
      <c r="AJ504" t="s">
        <v>10210</v>
      </c>
      <c r="AK504" t="s">
        <v>10882</v>
      </c>
      <c r="AL504">
        <v>6.3</v>
      </c>
      <c r="AM504" t="s">
        <v>10887</v>
      </c>
      <c r="AN504" t="s">
        <v>10938</v>
      </c>
      <c r="AO504" t="s">
        <v>11010</v>
      </c>
      <c r="AP504" t="s">
        <v>11057</v>
      </c>
      <c r="AR504" t="s">
        <v>11257</v>
      </c>
      <c r="AS504" t="s">
        <v>9926</v>
      </c>
      <c r="AY504" t="s">
        <v>10831</v>
      </c>
      <c r="AZ504" t="s">
        <v>11687</v>
      </c>
      <c r="BA504" t="s">
        <v>11738</v>
      </c>
      <c r="BB504">
        <v>0</v>
      </c>
      <c r="BC504">
        <v>0</v>
      </c>
      <c r="BD504">
        <v>0</v>
      </c>
      <c r="BE504">
        <v>0</v>
      </c>
      <c r="BF504">
        <v>5</v>
      </c>
      <c r="BG504">
        <v>0</v>
      </c>
    </row>
    <row r="505" spans="1:59">
      <c r="A505" s="1">
        <f>HYPERLINK("https://lsnyc.legalserver.org/matter/dynamic-profile/view/1904214","19-1904214")</f>
        <v>0</v>
      </c>
      <c r="B505" t="s">
        <v>502</v>
      </c>
      <c r="C505" t="s">
        <v>5422</v>
      </c>
      <c r="D505" t="s">
        <v>9925</v>
      </c>
      <c r="E505" t="s">
        <v>10075</v>
      </c>
      <c r="F505">
        <v>10035</v>
      </c>
      <c r="G505" t="s">
        <v>10089</v>
      </c>
      <c r="H505" t="s">
        <v>10119</v>
      </c>
      <c r="I505" t="s">
        <v>10168</v>
      </c>
      <c r="J505" t="s">
        <v>10209</v>
      </c>
      <c r="K505" t="s">
        <v>10217</v>
      </c>
      <c r="M505" t="s">
        <v>10403</v>
      </c>
      <c r="N505" t="s">
        <v>10707</v>
      </c>
      <c r="P505" t="s">
        <v>10749</v>
      </c>
      <c r="Q505" t="s">
        <v>10765</v>
      </c>
      <c r="R505" t="s">
        <v>10824</v>
      </c>
      <c r="T505">
        <v>20652</v>
      </c>
      <c r="U505">
        <v>1721</v>
      </c>
      <c r="V505">
        <v>45</v>
      </c>
      <c r="W505">
        <v>1</v>
      </c>
      <c r="X505">
        <v>1</v>
      </c>
      <c r="Z505">
        <v>122.13</v>
      </c>
      <c r="AA505">
        <v>40.800389</v>
      </c>
      <c r="AB505">
        <v>-73.941298</v>
      </c>
      <c r="AD505" t="s">
        <v>10839</v>
      </c>
      <c r="AG505" t="s">
        <v>10858</v>
      </c>
      <c r="AH505" t="s">
        <v>10868</v>
      </c>
      <c r="AI505">
        <v>236</v>
      </c>
      <c r="AJ505" t="s">
        <v>10209</v>
      </c>
      <c r="AL505">
        <v>14.75</v>
      </c>
      <c r="AM505" t="s">
        <v>10887</v>
      </c>
      <c r="AN505" t="s">
        <v>10926</v>
      </c>
      <c r="AO505" t="s">
        <v>11016</v>
      </c>
      <c r="AP505" t="s">
        <v>11076</v>
      </c>
      <c r="AQ505" t="s">
        <v>11101</v>
      </c>
      <c r="AR505" t="s">
        <v>11353</v>
      </c>
      <c r="AS505" t="s">
        <v>9925</v>
      </c>
      <c r="AT505" t="s">
        <v>11641</v>
      </c>
      <c r="AX505" t="s">
        <v>10837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</row>
    <row r="506" spans="1:59">
      <c r="A506" s="1">
        <f>HYPERLINK("https://lsnyc.legalserver.org/matter/dynamic-profile/view/1904215","19-1904215")</f>
        <v>0</v>
      </c>
      <c r="B506" t="s">
        <v>503</v>
      </c>
      <c r="C506" t="s">
        <v>5423</v>
      </c>
      <c r="D506" t="s">
        <v>9928</v>
      </c>
      <c r="E506" t="s">
        <v>10075</v>
      </c>
      <c r="F506">
        <v>11207</v>
      </c>
      <c r="G506" t="s">
        <v>10093</v>
      </c>
      <c r="H506" t="s">
        <v>10105</v>
      </c>
      <c r="J506" t="s">
        <v>10213</v>
      </c>
      <c r="K506" t="s">
        <v>10217</v>
      </c>
      <c r="M506" t="s">
        <v>10444</v>
      </c>
      <c r="N506" t="s">
        <v>10653</v>
      </c>
      <c r="P506" t="s">
        <v>10749</v>
      </c>
      <c r="Q506" t="s">
        <v>10769</v>
      </c>
      <c r="R506" t="s">
        <v>10824</v>
      </c>
      <c r="T506">
        <v>18000</v>
      </c>
      <c r="U506">
        <v>1500</v>
      </c>
      <c r="V506">
        <v>64</v>
      </c>
      <c r="W506">
        <v>4</v>
      </c>
      <c r="X506">
        <v>1</v>
      </c>
      <c r="Z506">
        <v>59.66</v>
      </c>
      <c r="AA506">
        <v>40.669182</v>
      </c>
      <c r="AB506">
        <v>-73.89155700000001</v>
      </c>
      <c r="AD506" t="s">
        <v>10839</v>
      </c>
      <c r="AG506" t="s">
        <v>10858</v>
      </c>
      <c r="AH506" t="s">
        <v>10860</v>
      </c>
      <c r="AI506">
        <v>239</v>
      </c>
      <c r="AJ506" t="s">
        <v>10213</v>
      </c>
      <c r="AL506">
        <v>5.8</v>
      </c>
      <c r="AM506" t="s">
        <v>10889</v>
      </c>
      <c r="AN506" t="s">
        <v>10946</v>
      </c>
      <c r="AO506" t="s">
        <v>11012</v>
      </c>
      <c r="AP506" t="s">
        <v>11060</v>
      </c>
      <c r="AQ506" t="s">
        <v>11098</v>
      </c>
      <c r="AR506" t="s">
        <v>10180</v>
      </c>
      <c r="AS506" t="s">
        <v>11595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</row>
    <row r="507" spans="1:59">
      <c r="A507" s="1">
        <f>HYPERLINK("https://lsnyc.legalserver.org/matter/dynamic-profile/view/1904216","19-1904216")</f>
        <v>0</v>
      </c>
      <c r="B507" t="s">
        <v>504</v>
      </c>
      <c r="C507" t="s">
        <v>5424</v>
      </c>
      <c r="D507" t="s">
        <v>9928</v>
      </c>
      <c r="E507" t="s">
        <v>10075</v>
      </c>
      <c r="F507">
        <v>11239</v>
      </c>
      <c r="G507" t="s">
        <v>10091</v>
      </c>
      <c r="H507" t="s">
        <v>10119</v>
      </c>
      <c r="I507" t="s">
        <v>10168</v>
      </c>
      <c r="J507" t="s">
        <v>10214</v>
      </c>
      <c r="K507" t="s">
        <v>10217</v>
      </c>
      <c r="M507" t="s">
        <v>10286</v>
      </c>
      <c r="N507" t="s">
        <v>10671</v>
      </c>
      <c r="P507" t="s">
        <v>10751</v>
      </c>
      <c r="Q507" t="s">
        <v>10768</v>
      </c>
      <c r="R507" t="s">
        <v>10824</v>
      </c>
      <c r="T507">
        <v>14580</v>
      </c>
      <c r="U507">
        <v>1215</v>
      </c>
      <c r="V507">
        <v>63</v>
      </c>
      <c r="W507">
        <v>1</v>
      </c>
      <c r="X507">
        <v>0</v>
      </c>
      <c r="Z507">
        <v>116.73</v>
      </c>
      <c r="AA507">
        <v>40.652118</v>
      </c>
      <c r="AB507">
        <v>-73.881187</v>
      </c>
      <c r="AD507" t="s">
        <v>10839</v>
      </c>
      <c r="AG507" t="s">
        <v>10858</v>
      </c>
      <c r="AH507" t="s">
        <v>10861</v>
      </c>
      <c r="AI507">
        <v>234</v>
      </c>
      <c r="AJ507" t="s">
        <v>10214</v>
      </c>
      <c r="AL507">
        <v>0.3</v>
      </c>
      <c r="AM507" t="s">
        <v>10889</v>
      </c>
      <c r="AN507" t="s">
        <v>10946</v>
      </c>
      <c r="AO507" t="s">
        <v>11012</v>
      </c>
      <c r="AP507" t="s">
        <v>11060</v>
      </c>
      <c r="AR507" t="s">
        <v>11270</v>
      </c>
      <c r="AS507" t="s">
        <v>11595</v>
      </c>
      <c r="AT507" t="s">
        <v>11641</v>
      </c>
      <c r="AX507" t="s">
        <v>10838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</row>
    <row r="508" spans="1:59">
      <c r="A508" s="1">
        <f>HYPERLINK("https://lsnyc.legalserver.org/matter/dynamic-profile/view/1904218","19-1904218")</f>
        <v>0</v>
      </c>
      <c r="B508" t="s">
        <v>505</v>
      </c>
      <c r="C508" t="s">
        <v>5425</v>
      </c>
      <c r="D508" t="s">
        <v>9926</v>
      </c>
      <c r="E508" t="s">
        <v>10075</v>
      </c>
      <c r="F508">
        <v>10456</v>
      </c>
      <c r="G508" t="s">
        <v>10089</v>
      </c>
      <c r="H508" t="s">
        <v>10119</v>
      </c>
      <c r="I508" t="s">
        <v>10168</v>
      </c>
      <c r="J508" t="s">
        <v>10209</v>
      </c>
      <c r="K508" t="s">
        <v>10217</v>
      </c>
      <c r="M508" t="s">
        <v>10301</v>
      </c>
      <c r="N508" t="s">
        <v>10665</v>
      </c>
      <c r="P508" t="s">
        <v>10751</v>
      </c>
      <c r="Q508" t="s">
        <v>10773</v>
      </c>
      <c r="R508" t="s">
        <v>10821</v>
      </c>
      <c r="T508">
        <v>8400</v>
      </c>
      <c r="U508">
        <v>700</v>
      </c>
      <c r="V508">
        <v>28</v>
      </c>
      <c r="W508">
        <v>1</v>
      </c>
      <c r="X508">
        <v>1</v>
      </c>
      <c r="Z508">
        <v>49.67</v>
      </c>
      <c r="AA508">
        <v>40.832504</v>
      </c>
      <c r="AB508">
        <v>-73.913156</v>
      </c>
      <c r="AD508" t="s">
        <v>10839</v>
      </c>
      <c r="AG508" t="s">
        <v>10858</v>
      </c>
      <c r="AH508" t="s">
        <v>10861</v>
      </c>
      <c r="AI508">
        <v>234</v>
      </c>
      <c r="AJ508" t="s">
        <v>10214</v>
      </c>
      <c r="AK508" t="s">
        <v>10838</v>
      </c>
      <c r="AL508">
        <v>32.65</v>
      </c>
      <c r="AM508" t="s">
        <v>10884</v>
      </c>
      <c r="AN508" t="s">
        <v>10929</v>
      </c>
      <c r="AO508" t="s">
        <v>11001</v>
      </c>
      <c r="AP508" t="s">
        <v>11055</v>
      </c>
      <c r="AQ508" t="s">
        <v>11115</v>
      </c>
      <c r="AR508" t="s">
        <v>11263</v>
      </c>
      <c r="AS508" t="s">
        <v>9926</v>
      </c>
      <c r="AT508" t="s">
        <v>11641</v>
      </c>
      <c r="AX508" t="s">
        <v>10838</v>
      </c>
      <c r="AZ508" t="s">
        <v>11682</v>
      </c>
      <c r="BA508" t="s">
        <v>11739</v>
      </c>
      <c r="BB508">
        <v>0</v>
      </c>
      <c r="BC508">
        <v>0</v>
      </c>
      <c r="BD508">
        <v>0</v>
      </c>
      <c r="BE508">
        <v>0</v>
      </c>
      <c r="BF508">
        <v>4</v>
      </c>
      <c r="BG508">
        <v>0</v>
      </c>
    </row>
    <row r="509" spans="1:59">
      <c r="A509" s="1">
        <f>HYPERLINK("https://lsnyc.legalserver.org/matter/dynamic-profile/view/1904219","19-1904219")</f>
        <v>0</v>
      </c>
      <c r="B509" t="s">
        <v>506</v>
      </c>
      <c r="C509" t="s">
        <v>5426</v>
      </c>
      <c r="D509" t="s">
        <v>9926</v>
      </c>
      <c r="E509" t="s">
        <v>10075</v>
      </c>
      <c r="F509">
        <v>10454</v>
      </c>
      <c r="G509" t="s">
        <v>10090</v>
      </c>
      <c r="H509" t="s">
        <v>10119</v>
      </c>
      <c r="I509" t="s">
        <v>10168</v>
      </c>
      <c r="J509" t="s">
        <v>10210</v>
      </c>
      <c r="K509" t="s">
        <v>10217</v>
      </c>
      <c r="M509" t="s">
        <v>10445</v>
      </c>
      <c r="N509" t="s">
        <v>10712</v>
      </c>
      <c r="P509" t="s">
        <v>10753</v>
      </c>
      <c r="Q509" t="s">
        <v>10763</v>
      </c>
      <c r="R509" t="s">
        <v>10824</v>
      </c>
      <c r="T509">
        <v>0</v>
      </c>
      <c r="U509">
        <v>0</v>
      </c>
      <c r="V509">
        <v>43</v>
      </c>
      <c r="W509">
        <v>4</v>
      </c>
      <c r="X509">
        <v>4</v>
      </c>
      <c r="Z509">
        <v>0</v>
      </c>
      <c r="AA509">
        <v>40.812452</v>
      </c>
      <c r="AB509">
        <v>-73.92186100000001</v>
      </c>
      <c r="AD509" t="s">
        <v>10839</v>
      </c>
      <c r="AF509" t="s">
        <v>10842</v>
      </c>
      <c r="AG509" t="s">
        <v>10859</v>
      </c>
      <c r="AH509" t="s">
        <v>10864</v>
      </c>
      <c r="AI509">
        <v>230</v>
      </c>
      <c r="AJ509" t="s">
        <v>10210</v>
      </c>
      <c r="AL509">
        <v>0</v>
      </c>
      <c r="AM509" t="s">
        <v>10884</v>
      </c>
      <c r="AN509" t="s">
        <v>10924</v>
      </c>
      <c r="AO509" t="s">
        <v>11013</v>
      </c>
      <c r="AP509" t="s">
        <v>11066</v>
      </c>
      <c r="AR509" t="s">
        <v>11279</v>
      </c>
      <c r="AS509" t="s">
        <v>9926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</row>
    <row r="510" spans="1:59">
      <c r="A510" s="1">
        <f>HYPERLINK("https://lsnyc.legalserver.org/matter/dynamic-profile/view/1904220","19-1904220")</f>
        <v>0</v>
      </c>
      <c r="B510" t="s">
        <v>507</v>
      </c>
      <c r="C510" t="s">
        <v>5427</v>
      </c>
      <c r="D510" t="s">
        <v>9926</v>
      </c>
      <c r="E510" t="s">
        <v>10075</v>
      </c>
      <c r="F510">
        <v>10457</v>
      </c>
      <c r="G510" t="s">
        <v>10091</v>
      </c>
      <c r="H510" t="s">
        <v>10119</v>
      </c>
      <c r="I510" t="s">
        <v>10168</v>
      </c>
      <c r="J510" t="s">
        <v>10214</v>
      </c>
      <c r="K510" t="s">
        <v>10217</v>
      </c>
      <c r="M510" t="s">
        <v>10286</v>
      </c>
      <c r="N510" t="s">
        <v>10646</v>
      </c>
      <c r="P510" t="s">
        <v>10752</v>
      </c>
      <c r="Q510" t="s">
        <v>10762</v>
      </c>
      <c r="R510" t="s">
        <v>10820</v>
      </c>
      <c r="T510">
        <v>25080</v>
      </c>
      <c r="U510">
        <v>2090</v>
      </c>
      <c r="V510">
        <v>71</v>
      </c>
      <c r="W510">
        <v>1</v>
      </c>
      <c r="X510">
        <v>0</v>
      </c>
      <c r="Z510">
        <v>200.8</v>
      </c>
      <c r="AA510">
        <v>40.851606</v>
      </c>
      <c r="AB510">
        <v>-73.89988200000001</v>
      </c>
      <c r="AD510" t="s">
        <v>10839</v>
      </c>
      <c r="AG510" t="s">
        <v>10858</v>
      </c>
      <c r="AH510" t="s">
        <v>10861</v>
      </c>
      <c r="AI510">
        <v>234</v>
      </c>
      <c r="AJ510" t="s">
        <v>10214</v>
      </c>
      <c r="AL510">
        <v>0.5</v>
      </c>
      <c r="AM510" t="s">
        <v>10884</v>
      </c>
      <c r="AN510" t="s">
        <v>10931</v>
      </c>
      <c r="AO510" t="s">
        <v>11000</v>
      </c>
      <c r="AP510" t="s">
        <v>11056</v>
      </c>
      <c r="AR510" t="s">
        <v>11345</v>
      </c>
      <c r="AS510" t="s">
        <v>9926</v>
      </c>
      <c r="AT510" t="s">
        <v>11641</v>
      </c>
      <c r="AX510" t="s">
        <v>10838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</row>
    <row r="511" spans="1:59">
      <c r="A511" s="1">
        <f>HYPERLINK("https://lsnyc.legalserver.org/matter/dynamic-profile/view/1904221","19-1904221")</f>
        <v>0</v>
      </c>
      <c r="B511" t="s">
        <v>508</v>
      </c>
      <c r="C511" t="s">
        <v>5428</v>
      </c>
      <c r="D511" t="s">
        <v>9926</v>
      </c>
      <c r="E511" t="s">
        <v>10075</v>
      </c>
      <c r="F511">
        <v>10475</v>
      </c>
      <c r="G511" t="s">
        <v>10090</v>
      </c>
      <c r="H511" t="s">
        <v>10112</v>
      </c>
      <c r="I511" t="s">
        <v>10168</v>
      </c>
      <c r="J511" t="s">
        <v>10210</v>
      </c>
      <c r="K511" t="s">
        <v>10218</v>
      </c>
      <c r="L511" t="s">
        <v>10109</v>
      </c>
      <c r="M511" t="s">
        <v>10262</v>
      </c>
      <c r="N511" t="s">
        <v>10666</v>
      </c>
      <c r="P511" t="s">
        <v>10749</v>
      </c>
      <c r="Q511" t="s">
        <v>10765</v>
      </c>
      <c r="R511" t="s">
        <v>10820</v>
      </c>
      <c r="T511">
        <v>0</v>
      </c>
      <c r="U511">
        <v>0</v>
      </c>
      <c r="V511">
        <v>60</v>
      </c>
      <c r="W511">
        <v>1</v>
      </c>
      <c r="X511">
        <v>0</v>
      </c>
      <c r="Y511" t="s">
        <v>10829</v>
      </c>
      <c r="Z511">
        <v>0</v>
      </c>
      <c r="AA511">
        <v>40.873239</v>
      </c>
      <c r="AB511">
        <v>-73.827896</v>
      </c>
      <c r="AD511" t="s">
        <v>10839</v>
      </c>
      <c r="AG511" t="s">
        <v>10858</v>
      </c>
      <c r="AH511" t="s">
        <v>10862</v>
      </c>
      <c r="AI511">
        <v>230</v>
      </c>
      <c r="AJ511" t="s">
        <v>10210</v>
      </c>
      <c r="AK511" t="s">
        <v>10882</v>
      </c>
      <c r="AL511">
        <v>1</v>
      </c>
      <c r="AM511" t="s">
        <v>10893</v>
      </c>
      <c r="AN511" t="s">
        <v>10911</v>
      </c>
      <c r="AO511" t="s">
        <v>11010</v>
      </c>
      <c r="AP511" t="s">
        <v>11085</v>
      </c>
      <c r="AR511" t="s">
        <v>11279</v>
      </c>
      <c r="AS511" t="s">
        <v>9926</v>
      </c>
      <c r="AY511" t="s">
        <v>10829</v>
      </c>
      <c r="AZ511" t="s">
        <v>11681</v>
      </c>
      <c r="BA511" t="s">
        <v>11741</v>
      </c>
      <c r="BB511">
        <v>0</v>
      </c>
      <c r="BC511">
        <v>0</v>
      </c>
      <c r="BD511">
        <v>0</v>
      </c>
      <c r="BE511">
        <v>0</v>
      </c>
      <c r="BF511">
        <v>1</v>
      </c>
      <c r="BG511">
        <v>0</v>
      </c>
    </row>
    <row r="512" spans="1:59">
      <c r="A512" s="1">
        <f>HYPERLINK("https://lsnyc.legalserver.org/matter/dynamic-profile/view/1904222","19-1904222")</f>
        <v>0</v>
      </c>
      <c r="B512" t="s">
        <v>509</v>
      </c>
      <c r="C512" t="s">
        <v>5429</v>
      </c>
      <c r="D512" t="s">
        <v>9968</v>
      </c>
      <c r="E512" t="s">
        <v>10075</v>
      </c>
      <c r="F512">
        <v>11411</v>
      </c>
      <c r="G512" t="s">
        <v>10089</v>
      </c>
      <c r="H512" t="s">
        <v>10119</v>
      </c>
      <c r="I512" t="s">
        <v>10168</v>
      </c>
      <c r="J512" t="s">
        <v>10209</v>
      </c>
      <c r="K512" t="s">
        <v>10217</v>
      </c>
      <c r="M512" t="s">
        <v>10301</v>
      </c>
      <c r="N512" t="s">
        <v>10665</v>
      </c>
      <c r="P512" t="s">
        <v>10751</v>
      </c>
      <c r="Q512" t="s">
        <v>10773</v>
      </c>
      <c r="R512" t="s">
        <v>10824</v>
      </c>
      <c r="T512">
        <v>0</v>
      </c>
      <c r="U512">
        <v>0</v>
      </c>
      <c r="V512">
        <v>35</v>
      </c>
      <c r="W512">
        <v>1</v>
      </c>
      <c r="X512">
        <v>0</v>
      </c>
      <c r="Z512">
        <v>0</v>
      </c>
      <c r="AA512">
        <v>40.697886</v>
      </c>
      <c r="AB512">
        <v>-73.73431100000001</v>
      </c>
      <c r="AD512" t="s">
        <v>10840</v>
      </c>
      <c r="AG512" t="s">
        <v>10858</v>
      </c>
      <c r="AH512" t="s">
        <v>10861</v>
      </c>
      <c r="AI512">
        <v>234</v>
      </c>
      <c r="AJ512" t="s">
        <v>10214</v>
      </c>
      <c r="AL512">
        <v>8.5</v>
      </c>
      <c r="AM512" t="s">
        <v>10892</v>
      </c>
      <c r="AN512" t="s">
        <v>10940</v>
      </c>
      <c r="AO512" t="s">
        <v>11020</v>
      </c>
      <c r="AP512" t="s">
        <v>11075</v>
      </c>
      <c r="AQ512" t="s">
        <v>11115</v>
      </c>
      <c r="AR512" t="s">
        <v>11267</v>
      </c>
      <c r="AS512" t="s">
        <v>11594</v>
      </c>
      <c r="AT512" t="s">
        <v>11642</v>
      </c>
      <c r="AX512" t="s">
        <v>10838</v>
      </c>
      <c r="BA512" t="s">
        <v>11741</v>
      </c>
      <c r="BB512">
        <v>0</v>
      </c>
      <c r="BC512">
        <v>0</v>
      </c>
      <c r="BD512">
        <v>0</v>
      </c>
      <c r="BE512">
        <v>0</v>
      </c>
      <c r="BF512">
        <v>1</v>
      </c>
      <c r="BG512">
        <v>0</v>
      </c>
    </row>
    <row r="513" spans="1:59">
      <c r="A513" s="1">
        <f>HYPERLINK("https://lsnyc.legalserver.org/matter/dynamic-profile/view/1904223","19-1904223")</f>
        <v>0</v>
      </c>
      <c r="B513" t="s">
        <v>510</v>
      </c>
      <c r="C513" t="s">
        <v>5430</v>
      </c>
      <c r="D513" t="s">
        <v>9928</v>
      </c>
      <c r="E513" t="s">
        <v>10075</v>
      </c>
      <c r="F513">
        <v>11221</v>
      </c>
      <c r="G513" t="s">
        <v>10093</v>
      </c>
      <c r="H513" t="s">
        <v>10119</v>
      </c>
      <c r="I513" t="s">
        <v>10168</v>
      </c>
      <c r="J513" t="s">
        <v>10213</v>
      </c>
      <c r="K513" t="s">
        <v>10217</v>
      </c>
      <c r="M513" t="s">
        <v>10446</v>
      </c>
      <c r="N513" t="s">
        <v>10650</v>
      </c>
      <c r="P513" t="s">
        <v>10749</v>
      </c>
      <c r="Q513" t="s">
        <v>10765</v>
      </c>
      <c r="R513" t="s">
        <v>10825</v>
      </c>
      <c r="T513">
        <v>20800</v>
      </c>
      <c r="U513">
        <v>1733.33</v>
      </c>
      <c r="V513">
        <v>53</v>
      </c>
      <c r="W513">
        <v>1</v>
      </c>
      <c r="X513">
        <v>0</v>
      </c>
      <c r="Z513">
        <v>166.53</v>
      </c>
      <c r="AA513">
        <v>40.692296</v>
      </c>
      <c r="AB513">
        <v>-73.938714</v>
      </c>
      <c r="AD513" t="s">
        <v>10840</v>
      </c>
      <c r="AG513" t="s">
        <v>10858</v>
      </c>
      <c r="AH513" t="s">
        <v>10862</v>
      </c>
      <c r="AI513">
        <v>239</v>
      </c>
      <c r="AJ513" t="s">
        <v>10213</v>
      </c>
      <c r="AL513">
        <v>0</v>
      </c>
      <c r="AM513" t="s">
        <v>10889</v>
      </c>
      <c r="AN513" t="s">
        <v>10914</v>
      </c>
      <c r="AO513" t="s">
        <v>11011</v>
      </c>
      <c r="AP513" t="s">
        <v>11052</v>
      </c>
      <c r="AR513" t="s">
        <v>11257</v>
      </c>
      <c r="AS513" t="s">
        <v>11595</v>
      </c>
      <c r="BA513" t="s">
        <v>11738</v>
      </c>
      <c r="BB513">
        <v>0</v>
      </c>
      <c r="BC513">
        <v>0</v>
      </c>
      <c r="BD513">
        <v>0</v>
      </c>
      <c r="BE513">
        <v>0</v>
      </c>
      <c r="BF513">
        <v>5</v>
      </c>
      <c r="BG513">
        <v>0</v>
      </c>
    </row>
    <row r="514" spans="1:59">
      <c r="A514" s="1">
        <f>HYPERLINK("https://lsnyc.legalserver.org/matter/dynamic-profile/view/1904224","19-1904224")</f>
        <v>0</v>
      </c>
      <c r="B514" t="s">
        <v>511</v>
      </c>
      <c r="C514" t="s">
        <v>5431</v>
      </c>
      <c r="D514" t="s">
        <v>9925</v>
      </c>
      <c r="E514" t="s">
        <v>10075</v>
      </c>
      <c r="F514">
        <v>10026</v>
      </c>
      <c r="G514" t="s">
        <v>10089</v>
      </c>
      <c r="H514" t="s">
        <v>10119</v>
      </c>
      <c r="I514" t="s">
        <v>10168</v>
      </c>
      <c r="J514" t="s">
        <v>10209</v>
      </c>
      <c r="K514" t="s">
        <v>10218</v>
      </c>
      <c r="L514" t="s">
        <v>10109</v>
      </c>
      <c r="M514" t="s">
        <v>10447</v>
      </c>
      <c r="N514" t="s">
        <v>10707</v>
      </c>
      <c r="P514" t="s">
        <v>10749</v>
      </c>
      <c r="Q514" t="s">
        <v>10791</v>
      </c>
      <c r="R514" t="s">
        <v>10824</v>
      </c>
      <c r="T514">
        <v>10800</v>
      </c>
      <c r="U514">
        <v>900</v>
      </c>
      <c r="V514">
        <v>45</v>
      </c>
      <c r="W514">
        <v>1</v>
      </c>
      <c r="X514">
        <v>2</v>
      </c>
      <c r="Y514" t="s">
        <v>10829</v>
      </c>
      <c r="Z514">
        <v>50.63</v>
      </c>
      <c r="AA514">
        <v>40.801844</v>
      </c>
      <c r="AB514">
        <v>-73.95104499999999</v>
      </c>
      <c r="AD514" t="s">
        <v>10839</v>
      </c>
      <c r="AF514" t="s">
        <v>10843</v>
      </c>
      <c r="AG514" t="s">
        <v>10859</v>
      </c>
      <c r="AH514" t="s">
        <v>10868</v>
      </c>
      <c r="AI514">
        <v>236</v>
      </c>
      <c r="AJ514" t="s">
        <v>10209</v>
      </c>
      <c r="AK514" t="s">
        <v>10838</v>
      </c>
      <c r="AL514">
        <v>5</v>
      </c>
      <c r="AM514" t="s">
        <v>10887</v>
      </c>
      <c r="AN514" t="s">
        <v>10936</v>
      </c>
      <c r="AO514" t="s">
        <v>11016</v>
      </c>
      <c r="AP514" t="s">
        <v>11076</v>
      </c>
      <c r="AQ514" t="s">
        <v>11133</v>
      </c>
      <c r="AR514" t="s">
        <v>11274</v>
      </c>
      <c r="AS514" t="s">
        <v>9925</v>
      </c>
      <c r="AT514" t="s">
        <v>11641</v>
      </c>
      <c r="AX514" t="s">
        <v>10838</v>
      </c>
      <c r="AY514" t="s">
        <v>10829</v>
      </c>
      <c r="AZ514" t="s">
        <v>11681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</row>
    <row r="515" spans="1:59">
      <c r="A515" s="1">
        <f>HYPERLINK("https://lsnyc.legalserver.org/matter/dynamic-profile/view/1904225","19-1904225")</f>
        <v>0</v>
      </c>
      <c r="B515" t="s">
        <v>512</v>
      </c>
      <c r="C515" t="s">
        <v>5432</v>
      </c>
      <c r="D515" t="s">
        <v>9948</v>
      </c>
      <c r="E515" t="s">
        <v>10075</v>
      </c>
      <c r="F515">
        <v>11691</v>
      </c>
      <c r="G515" t="s">
        <v>10092</v>
      </c>
      <c r="H515" t="s">
        <v>10119</v>
      </c>
      <c r="I515" t="s">
        <v>10168</v>
      </c>
      <c r="J515" t="s">
        <v>10212</v>
      </c>
      <c r="K515" t="s">
        <v>10217</v>
      </c>
      <c r="M515" t="s">
        <v>10343</v>
      </c>
      <c r="N515" t="s">
        <v>10671</v>
      </c>
      <c r="P515" t="s">
        <v>10751</v>
      </c>
      <c r="Q515" t="s">
        <v>10761</v>
      </c>
      <c r="R515" t="s">
        <v>10821</v>
      </c>
      <c r="T515">
        <v>3492</v>
      </c>
      <c r="U515">
        <v>291</v>
      </c>
      <c r="V515">
        <v>34</v>
      </c>
      <c r="W515">
        <v>1</v>
      </c>
      <c r="X515">
        <v>1</v>
      </c>
      <c r="Z515">
        <v>20.65</v>
      </c>
      <c r="AA515">
        <v>40.606465</v>
      </c>
      <c r="AB515">
        <v>-73.756382</v>
      </c>
      <c r="AD515" t="s">
        <v>10839</v>
      </c>
      <c r="AG515" t="s">
        <v>10858</v>
      </c>
      <c r="AH515" t="s">
        <v>10862</v>
      </c>
      <c r="AI515">
        <v>237</v>
      </c>
      <c r="AJ515" t="s">
        <v>10212</v>
      </c>
      <c r="AL515">
        <v>26.45</v>
      </c>
      <c r="AM515" t="s">
        <v>10892</v>
      </c>
      <c r="AN515" t="s">
        <v>10930</v>
      </c>
      <c r="AO515" t="s">
        <v>11017</v>
      </c>
      <c r="AP515" t="s">
        <v>11082</v>
      </c>
      <c r="AR515" t="s">
        <v>11311</v>
      </c>
      <c r="AS515" t="s">
        <v>11594</v>
      </c>
      <c r="AX515" t="s">
        <v>10838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</row>
    <row r="516" spans="1:59">
      <c r="A516" s="1">
        <f>HYPERLINK("https://lsnyc.legalserver.org/matter/dynamic-profile/view/1904226","19-1904226")</f>
        <v>0</v>
      </c>
      <c r="B516" t="s">
        <v>513</v>
      </c>
      <c r="C516" t="s">
        <v>5433</v>
      </c>
      <c r="D516" t="s">
        <v>9926</v>
      </c>
      <c r="E516" t="s">
        <v>10075</v>
      </c>
      <c r="F516">
        <v>10468</v>
      </c>
      <c r="G516" t="s">
        <v>10090</v>
      </c>
      <c r="H516" t="s">
        <v>10119</v>
      </c>
      <c r="I516" t="s">
        <v>10169</v>
      </c>
      <c r="J516" t="s">
        <v>10210</v>
      </c>
      <c r="K516" t="s">
        <v>10217</v>
      </c>
      <c r="M516" t="s">
        <v>10333</v>
      </c>
      <c r="N516" t="s">
        <v>10683</v>
      </c>
      <c r="P516" t="s">
        <v>10751</v>
      </c>
      <c r="Q516" t="s">
        <v>10761</v>
      </c>
      <c r="R516" t="s">
        <v>10821</v>
      </c>
      <c r="T516">
        <v>8016</v>
      </c>
      <c r="U516">
        <v>668</v>
      </c>
      <c r="V516">
        <v>31</v>
      </c>
      <c r="W516">
        <v>1</v>
      </c>
      <c r="X516">
        <v>4</v>
      </c>
      <c r="Z516">
        <v>26.57</v>
      </c>
      <c r="AA516">
        <v>40.861378</v>
      </c>
      <c r="AB516">
        <v>-73.911248</v>
      </c>
      <c r="AD516" t="s">
        <v>10839</v>
      </c>
      <c r="AF516" t="s">
        <v>10843</v>
      </c>
      <c r="AG516" t="s">
        <v>10859</v>
      </c>
      <c r="AH516" t="s">
        <v>10861</v>
      </c>
      <c r="AI516">
        <v>230</v>
      </c>
      <c r="AJ516" t="s">
        <v>10210</v>
      </c>
      <c r="AL516">
        <v>14.6</v>
      </c>
      <c r="AM516" t="s">
        <v>10887</v>
      </c>
      <c r="AN516" t="s">
        <v>10931</v>
      </c>
      <c r="AO516" t="s">
        <v>11000</v>
      </c>
      <c r="AP516" t="s">
        <v>11045</v>
      </c>
      <c r="AQ516" t="s">
        <v>11135</v>
      </c>
      <c r="AR516" t="s">
        <v>11263</v>
      </c>
      <c r="AS516" t="s">
        <v>9926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</row>
    <row r="517" spans="1:59">
      <c r="A517" s="1">
        <f>HYPERLINK("https://lsnyc.legalserver.org/matter/dynamic-profile/view/1904227","19-1904227")</f>
        <v>0</v>
      </c>
      <c r="B517" t="s">
        <v>514</v>
      </c>
      <c r="C517" t="s">
        <v>5430</v>
      </c>
      <c r="D517" t="s">
        <v>9928</v>
      </c>
      <c r="E517" t="s">
        <v>10075</v>
      </c>
      <c r="F517">
        <v>11221</v>
      </c>
      <c r="G517" t="s">
        <v>10093</v>
      </c>
      <c r="H517" t="s">
        <v>10119</v>
      </c>
      <c r="I517" t="s">
        <v>10168</v>
      </c>
      <c r="J517" t="s">
        <v>10213</v>
      </c>
      <c r="K517" t="s">
        <v>10217</v>
      </c>
      <c r="M517" t="s">
        <v>10446</v>
      </c>
      <c r="N517" t="s">
        <v>10650</v>
      </c>
      <c r="P517" t="s">
        <v>10749</v>
      </c>
      <c r="Q517" t="s">
        <v>10765</v>
      </c>
      <c r="R517" t="s">
        <v>10824</v>
      </c>
      <c r="T517">
        <v>40000</v>
      </c>
      <c r="U517">
        <v>3333.33</v>
      </c>
      <c r="V517">
        <v>57</v>
      </c>
      <c r="W517">
        <v>1</v>
      </c>
      <c r="X517">
        <v>1</v>
      </c>
      <c r="Z517">
        <v>236.55</v>
      </c>
      <c r="AA517">
        <v>40.692296</v>
      </c>
      <c r="AB517">
        <v>-73.938714</v>
      </c>
      <c r="AD517" t="s">
        <v>10839</v>
      </c>
      <c r="AG517" t="s">
        <v>10858</v>
      </c>
      <c r="AH517" t="s">
        <v>10862</v>
      </c>
      <c r="AI517">
        <v>239</v>
      </c>
      <c r="AJ517" t="s">
        <v>10213</v>
      </c>
      <c r="AL517">
        <v>0</v>
      </c>
      <c r="AM517" t="s">
        <v>10889</v>
      </c>
      <c r="AN517" t="s">
        <v>10914</v>
      </c>
      <c r="AO517" t="s">
        <v>11011</v>
      </c>
      <c r="AP517" t="s">
        <v>11052</v>
      </c>
      <c r="AR517" t="s">
        <v>11257</v>
      </c>
      <c r="AS517" t="s">
        <v>11595</v>
      </c>
      <c r="AT517" t="s">
        <v>11641</v>
      </c>
      <c r="BA517" t="s">
        <v>11738</v>
      </c>
      <c r="BB517">
        <v>0</v>
      </c>
      <c r="BC517">
        <v>0</v>
      </c>
      <c r="BD517">
        <v>0</v>
      </c>
      <c r="BE517">
        <v>0</v>
      </c>
      <c r="BF517">
        <v>5</v>
      </c>
      <c r="BG517">
        <v>0</v>
      </c>
    </row>
    <row r="518" spans="1:59">
      <c r="A518" s="1">
        <f>HYPERLINK("https://lsnyc.legalserver.org/matter/dynamic-profile/view/1904228","19-1904228")</f>
        <v>0</v>
      </c>
      <c r="B518" t="s">
        <v>515</v>
      </c>
      <c r="C518" t="s">
        <v>5434</v>
      </c>
      <c r="D518" t="s">
        <v>9928</v>
      </c>
      <c r="E518" t="s">
        <v>10075</v>
      </c>
      <c r="F518">
        <v>11210</v>
      </c>
      <c r="G518" t="s">
        <v>10093</v>
      </c>
      <c r="H518" t="s">
        <v>10119</v>
      </c>
      <c r="J518" t="s">
        <v>10213</v>
      </c>
      <c r="K518" t="s">
        <v>10218</v>
      </c>
      <c r="L518" t="s">
        <v>10147</v>
      </c>
      <c r="M518" t="s">
        <v>10252</v>
      </c>
      <c r="N518" t="s">
        <v>10671</v>
      </c>
      <c r="P518" t="s">
        <v>10754</v>
      </c>
      <c r="Q518" t="s">
        <v>10775</v>
      </c>
      <c r="R518" t="s">
        <v>10824</v>
      </c>
      <c r="T518">
        <v>9876</v>
      </c>
      <c r="U518">
        <v>823</v>
      </c>
      <c r="V518">
        <v>62</v>
      </c>
      <c r="W518">
        <v>2</v>
      </c>
      <c r="X518">
        <v>0</v>
      </c>
      <c r="Y518" t="s">
        <v>10829</v>
      </c>
      <c r="Z518">
        <v>58.4</v>
      </c>
      <c r="AA518">
        <v>40.628456</v>
      </c>
      <c r="AB518">
        <v>-73.94206699999999</v>
      </c>
      <c r="AD518" t="s">
        <v>10840</v>
      </c>
      <c r="AG518" t="s">
        <v>10858</v>
      </c>
      <c r="AH518" t="s">
        <v>10868</v>
      </c>
      <c r="AI518">
        <v>239</v>
      </c>
      <c r="AJ518" t="s">
        <v>10213</v>
      </c>
      <c r="AK518" t="s">
        <v>10838</v>
      </c>
      <c r="AL518">
        <v>1.75</v>
      </c>
      <c r="AM518" t="s">
        <v>10888</v>
      </c>
      <c r="AN518" t="s">
        <v>10957</v>
      </c>
      <c r="AO518" t="s">
        <v>11008</v>
      </c>
      <c r="AP518" t="s">
        <v>11065</v>
      </c>
      <c r="AR518" t="s">
        <v>11253</v>
      </c>
      <c r="AS518" t="s">
        <v>11595</v>
      </c>
      <c r="AT518" t="s">
        <v>11642</v>
      </c>
      <c r="AX518" t="s">
        <v>10837</v>
      </c>
      <c r="AY518" t="s">
        <v>10829</v>
      </c>
      <c r="AZ518" t="s">
        <v>11683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</row>
    <row r="519" spans="1:59">
      <c r="A519" s="1">
        <f>HYPERLINK("https://lsnyc.legalserver.org/matter/dynamic-profile/view/1904229","19-1904229")</f>
        <v>0</v>
      </c>
      <c r="B519" t="s">
        <v>516</v>
      </c>
      <c r="C519" t="s">
        <v>5435</v>
      </c>
      <c r="D519" t="s">
        <v>9926</v>
      </c>
      <c r="E519" t="s">
        <v>10075</v>
      </c>
      <c r="F519">
        <v>10466</v>
      </c>
      <c r="G519" t="s">
        <v>10090</v>
      </c>
      <c r="H519" t="s">
        <v>10119</v>
      </c>
      <c r="I519" t="s">
        <v>10168</v>
      </c>
      <c r="J519" t="s">
        <v>10210</v>
      </c>
      <c r="K519" t="s">
        <v>10217</v>
      </c>
      <c r="M519" t="s">
        <v>10448</v>
      </c>
      <c r="N519" t="s">
        <v>10688</v>
      </c>
      <c r="P519" t="s">
        <v>10755</v>
      </c>
      <c r="Q519" t="s">
        <v>10801</v>
      </c>
      <c r="R519" t="s">
        <v>10825</v>
      </c>
      <c r="T519">
        <v>7800</v>
      </c>
      <c r="U519">
        <v>650</v>
      </c>
      <c r="V519">
        <v>7</v>
      </c>
      <c r="W519">
        <v>1</v>
      </c>
      <c r="X519">
        <v>2</v>
      </c>
      <c r="Z519">
        <v>36.57</v>
      </c>
      <c r="AA519">
        <v>40.889532</v>
      </c>
      <c r="AB519">
        <v>-73.862562</v>
      </c>
      <c r="AD519" t="s">
        <v>10839</v>
      </c>
      <c r="AG519" t="s">
        <v>10858</v>
      </c>
      <c r="AH519" t="s">
        <v>10877</v>
      </c>
      <c r="AI519">
        <v>230</v>
      </c>
      <c r="AJ519" t="s">
        <v>10210</v>
      </c>
      <c r="AL519">
        <v>22.8</v>
      </c>
      <c r="AM519" t="s">
        <v>10893</v>
      </c>
      <c r="AN519" t="s">
        <v>10956</v>
      </c>
      <c r="AO519" t="s">
        <v>11010</v>
      </c>
      <c r="AP519" t="s">
        <v>11085</v>
      </c>
      <c r="AR519" t="s">
        <v>11274</v>
      </c>
      <c r="AS519" t="s">
        <v>9926</v>
      </c>
      <c r="AW519" t="s">
        <v>11667</v>
      </c>
      <c r="AX519" t="s">
        <v>10838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</row>
    <row r="520" spans="1:59">
      <c r="A520" s="1">
        <f>HYPERLINK("https://lsnyc.legalserver.org/matter/dynamic-profile/view/1904230","19-1904230")</f>
        <v>0</v>
      </c>
      <c r="B520" t="s">
        <v>517</v>
      </c>
      <c r="C520" t="s">
        <v>5436</v>
      </c>
      <c r="D520" t="s">
        <v>9928</v>
      </c>
      <c r="E520" t="s">
        <v>10075</v>
      </c>
      <c r="F520">
        <v>11220</v>
      </c>
      <c r="G520" t="s">
        <v>10093</v>
      </c>
      <c r="H520" t="s">
        <v>10119</v>
      </c>
      <c r="I520" t="s">
        <v>10171</v>
      </c>
      <c r="J520" t="s">
        <v>10213</v>
      </c>
      <c r="K520" t="s">
        <v>10218</v>
      </c>
      <c r="L520" t="s">
        <v>10153</v>
      </c>
      <c r="M520" t="s">
        <v>10290</v>
      </c>
      <c r="N520" t="s">
        <v>10665</v>
      </c>
      <c r="P520" t="s">
        <v>10751</v>
      </c>
      <c r="Q520" t="s">
        <v>10773</v>
      </c>
      <c r="R520" t="s">
        <v>10820</v>
      </c>
      <c r="T520">
        <v>0</v>
      </c>
      <c r="U520">
        <v>0</v>
      </c>
      <c r="V520">
        <v>35</v>
      </c>
      <c r="W520">
        <v>1</v>
      </c>
      <c r="X520">
        <v>0</v>
      </c>
      <c r="Y520" t="s">
        <v>10829</v>
      </c>
      <c r="Z520">
        <v>0</v>
      </c>
      <c r="AA520">
        <v>40.642341</v>
      </c>
      <c r="AB520">
        <v>-74.000162</v>
      </c>
      <c r="AD520" t="s">
        <v>10840</v>
      </c>
      <c r="AF520" t="s">
        <v>10846</v>
      </c>
      <c r="AG520" t="s">
        <v>10859</v>
      </c>
      <c r="AH520" t="s">
        <v>10861</v>
      </c>
      <c r="AI520">
        <v>234</v>
      </c>
      <c r="AJ520" t="s">
        <v>10214</v>
      </c>
      <c r="AK520" t="s">
        <v>10882</v>
      </c>
      <c r="AL520">
        <v>4.2</v>
      </c>
      <c r="AM520" t="s">
        <v>10886</v>
      </c>
      <c r="AN520" t="s">
        <v>10921</v>
      </c>
      <c r="AO520" t="s">
        <v>11015</v>
      </c>
      <c r="AP520" t="s">
        <v>11069</v>
      </c>
      <c r="AR520" t="s">
        <v>11279</v>
      </c>
      <c r="AS520" t="s">
        <v>11595</v>
      </c>
      <c r="AT520" t="s">
        <v>11642</v>
      </c>
      <c r="AX520" t="s">
        <v>10837</v>
      </c>
      <c r="AY520" t="s">
        <v>10829</v>
      </c>
      <c r="AZ520" t="s">
        <v>11682</v>
      </c>
      <c r="BA520" t="s">
        <v>11741</v>
      </c>
      <c r="BB520">
        <v>0</v>
      </c>
      <c r="BC520">
        <v>0</v>
      </c>
      <c r="BD520">
        <v>0</v>
      </c>
      <c r="BE520">
        <v>0</v>
      </c>
      <c r="BF520">
        <v>1</v>
      </c>
      <c r="BG520">
        <v>0</v>
      </c>
    </row>
    <row r="521" spans="1:59">
      <c r="A521" s="1">
        <f>HYPERLINK("https://lsnyc.legalserver.org/matter/dynamic-profile/view/1904231","19-1904231")</f>
        <v>0</v>
      </c>
      <c r="B521" t="s">
        <v>518</v>
      </c>
      <c r="C521" t="s">
        <v>5430</v>
      </c>
      <c r="D521" t="s">
        <v>9928</v>
      </c>
      <c r="E521" t="s">
        <v>10075</v>
      </c>
      <c r="F521">
        <v>11221</v>
      </c>
      <c r="G521" t="s">
        <v>10093</v>
      </c>
      <c r="H521" t="s">
        <v>10119</v>
      </c>
      <c r="I521" t="s">
        <v>10168</v>
      </c>
      <c r="J521" t="s">
        <v>10213</v>
      </c>
      <c r="K521" t="s">
        <v>10217</v>
      </c>
      <c r="M521" t="s">
        <v>10446</v>
      </c>
      <c r="N521" t="s">
        <v>10650</v>
      </c>
      <c r="P521" t="s">
        <v>10749</v>
      </c>
      <c r="Q521" t="s">
        <v>10765</v>
      </c>
      <c r="R521" t="s">
        <v>10824</v>
      </c>
      <c r="T521">
        <v>52000</v>
      </c>
      <c r="U521">
        <v>4333.33</v>
      </c>
      <c r="V521">
        <v>58</v>
      </c>
      <c r="W521">
        <v>5</v>
      </c>
      <c r="X521">
        <v>2</v>
      </c>
      <c r="Z521">
        <v>133.3</v>
      </c>
      <c r="AA521">
        <v>40.692296</v>
      </c>
      <c r="AB521">
        <v>-73.938714</v>
      </c>
      <c r="AD521" t="s">
        <v>10839</v>
      </c>
      <c r="AG521" t="s">
        <v>10858</v>
      </c>
      <c r="AH521" t="s">
        <v>10862</v>
      </c>
      <c r="AI521">
        <v>239</v>
      </c>
      <c r="AJ521" t="s">
        <v>10213</v>
      </c>
      <c r="AL521">
        <v>0</v>
      </c>
      <c r="AM521" t="s">
        <v>10889</v>
      </c>
      <c r="AN521" t="s">
        <v>10914</v>
      </c>
      <c r="AO521" t="s">
        <v>11011</v>
      </c>
      <c r="AP521" t="s">
        <v>11052</v>
      </c>
      <c r="AR521" t="s">
        <v>11257</v>
      </c>
      <c r="AS521" t="s">
        <v>11595</v>
      </c>
      <c r="AT521" t="s">
        <v>11641</v>
      </c>
      <c r="AX521" t="s">
        <v>10838</v>
      </c>
      <c r="BA521" t="s">
        <v>11738</v>
      </c>
      <c r="BB521">
        <v>0</v>
      </c>
      <c r="BC521">
        <v>0</v>
      </c>
      <c r="BD521">
        <v>0</v>
      </c>
      <c r="BE521">
        <v>0</v>
      </c>
      <c r="BF521">
        <v>5</v>
      </c>
      <c r="BG521">
        <v>0</v>
      </c>
    </row>
    <row r="522" spans="1:59">
      <c r="A522" s="1">
        <f>HYPERLINK("https://lsnyc.legalserver.org/matter/dynamic-profile/view/1904232","19-1904232")</f>
        <v>0</v>
      </c>
      <c r="B522" t="s">
        <v>149</v>
      </c>
      <c r="C522" t="s">
        <v>5088</v>
      </c>
      <c r="D522" t="s">
        <v>9926</v>
      </c>
      <c r="E522" t="s">
        <v>10075</v>
      </c>
      <c r="F522">
        <v>10460</v>
      </c>
      <c r="G522" t="s">
        <v>10090</v>
      </c>
      <c r="H522" t="s">
        <v>10119</v>
      </c>
      <c r="I522" t="s">
        <v>10168</v>
      </c>
      <c r="J522" t="s">
        <v>10210</v>
      </c>
      <c r="K522" t="s">
        <v>10218</v>
      </c>
      <c r="L522" t="s">
        <v>10119</v>
      </c>
      <c r="M522" t="s">
        <v>10281</v>
      </c>
      <c r="N522" t="s">
        <v>10704</v>
      </c>
      <c r="P522" t="s">
        <v>10749</v>
      </c>
      <c r="Q522" t="s">
        <v>10774</v>
      </c>
      <c r="R522" t="s">
        <v>10823</v>
      </c>
      <c r="T522">
        <v>5044</v>
      </c>
      <c r="U522">
        <v>420.33</v>
      </c>
      <c r="V522">
        <v>47</v>
      </c>
      <c r="W522">
        <v>1</v>
      </c>
      <c r="X522">
        <v>2</v>
      </c>
      <c r="Y522" t="s">
        <v>10829</v>
      </c>
      <c r="Z522">
        <v>23.65</v>
      </c>
      <c r="AA522">
        <v>40.846284</v>
      </c>
      <c r="AB522">
        <v>-73.884609</v>
      </c>
      <c r="AD522" t="s">
        <v>10839</v>
      </c>
      <c r="AG522" t="s">
        <v>10858</v>
      </c>
      <c r="AH522" t="s">
        <v>10862</v>
      </c>
      <c r="AI522">
        <v>230</v>
      </c>
      <c r="AJ522" t="s">
        <v>10210</v>
      </c>
      <c r="AK522" t="s">
        <v>10882</v>
      </c>
      <c r="AL522">
        <v>0.3</v>
      </c>
      <c r="AQ522" t="s">
        <v>11136</v>
      </c>
      <c r="AR522" t="s">
        <v>11255</v>
      </c>
      <c r="AS522" t="s">
        <v>9926</v>
      </c>
      <c r="AY522" t="s">
        <v>10829</v>
      </c>
      <c r="AZ522" t="s">
        <v>11681</v>
      </c>
      <c r="BA522" t="s">
        <v>11741</v>
      </c>
      <c r="BB522">
        <v>0</v>
      </c>
      <c r="BC522">
        <v>0</v>
      </c>
      <c r="BD522">
        <v>0</v>
      </c>
      <c r="BE522">
        <v>0</v>
      </c>
      <c r="BF522">
        <v>1</v>
      </c>
      <c r="BG522">
        <v>0</v>
      </c>
    </row>
    <row r="523" spans="1:59">
      <c r="A523" s="1">
        <f>HYPERLINK("https://lsnyc.legalserver.org/matter/dynamic-profile/view/1904233","19-1904233")</f>
        <v>0</v>
      </c>
      <c r="B523" t="s">
        <v>519</v>
      </c>
      <c r="C523" t="s">
        <v>5437</v>
      </c>
      <c r="D523" t="s">
        <v>9928</v>
      </c>
      <c r="E523" t="s">
        <v>10075</v>
      </c>
      <c r="F523">
        <v>11203</v>
      </c>
      <c r="G523" t="s">
        <v>10093</v>
      </c>
      <c r="H523" t="s">
        <v>10119</v>
      </c>
      <c r="I523" t="s">
        <v>10168</v>
      </c>
      <c r="J523" t="s">
        <v>10213</v>
      </c>
      <c r="K523" t="s">
        <v>10217</v>
      </c>
      <c r="M523" t="s">
        <v>10290</v>
      </c>
      <c r="N523" t="s">
        <v>10665</v>
      </c>
      <c r="P523" t="s">
        <v>10751</v>
      </c>
      <c r="Q523" t="s">
        <v>10773</v>
      </c>
      <c r="R523" t="s">
        <v>10824</v>
      </c>
      <c r="T523">
        <v>0</v>
      </c>
      <c r="U523">
        <v>0</v>
      </c>
      <c r="V523">
        <v>27</v>
      </c>
      <c r="W523">
        <v>1</v>
      </c>
      <c r="X523">
        <v>0</v>
      </c>
      <c r="Z523">
        <v>0</v>
      </c>
      <c r="AA523">
        <v>40.644467</v>
      </c>
      <c r="AB523">
        <v>-73.942396</v>
      </c>
      <c r="AD523" t="s">
        <v>10839</v>
      </c>
      <c r="AG523" t="s">
        <v>10858</v>
      </c>
      <c r="AH523" t="s">
        <v>10861</v>
      </c>
      <c r="AI523">
        <v>234</v>
      </c>
      <c r="AJ523" t="s">
        <v>10214</v>
      </c>
      <c r="AL523">
        <v>0.8</v>
      </c>
      <c r="AM523" t="s">
        <v>10888</v>
      </c>
      <c r="AN523" t="s">
        <v>10925</v>
      </c>
      <c r="AO523" t="s">
        <v>11008</v>
      </c>
      <c r="AP523" t="s">
        <v>11065</v>
      </c>
      <c r="AR523" t="s">
        <v>11267</v>
      </c>
      <c r="AS523" t="s">
        <v>11595</v>
      </c>
      <c r="AT523" t="s">
        <v>11641</v>
      </c>
      <c r="AX523" t="s">
        <v>10838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</row>
    <row r="524" spans="1:59">
      <c r="A524" s="1">
        <f>HYPERLINK("https://lsnyc.legalserver.org/matter/dynamic-profile/view/1904235","19-1904235")</f>
        <v>0</v>
      </c>
      <c r="B524" t="s">
        <v>520</v>
      </c>
      <c r="C524" t="s">
        <v>5438</v>
      </c>
      <c r="D524" t="s">
        <v>9928</v>
      </c>
      <c r="E524" t="s">
        <v>10075</v>
      </c>
      <c r="F524">
        <v>11219</v>
      </c>
      <c r="G524" t="s">
        <v>10093</v>
      </c>
      <c r="H524" t="s">
        <v>10119</v>
      </c>
      <c r="I524" t="s">
        <v>10171</v>
      </c>
      <c r="J524" t="s">
        <v>10213</v>
      </c>
      <c r="K524" t="s">
        <v>10218</v>
      </c>
      <c r="L524" t="s">
        <v>10121</v>
      </c>
      <c r="M524" t="s">
        <v>10256</v>
      </c>
      <c r="N524" t="s">
        <v>10644</v>
      </c>
      <c r="P524" t="s">
        <v>10749</v>
      </c>
      <c r="Q524" t="s">
        <v>10791</v>
      </c>
      <c r="R524" t="s">
        <v>10820</v>
      </c>
      <c r="T524">
        <v>12240</v>
      </c>
      <c r="U524">
        <v>1020</v>
      </c>
      <c r="V524">
        <v>70</v>
      </c>
      <c r="W524">
        <v>2</v>
      </c>
      <c r="X524">
        <v>1</v>
      </c>
      <c r="Y524" t="s">
        <v>10829</v>
      </c>
      <c r="Z524">
        <v>57.38</v>
      </c>
      <c r="AA524">
        <v>40.634984</v>
      </c>
      <c r="AB524">
        <v>-73.996123</v>
      </c>
      <c r="AD524" t="s">
        <v>10839</v>
      </c>
      <c r="AF524" t="s">
        <v>10843</v>
      </c>
      <c r="AG524" t="s">
        <v>10859</v>
      </c>
      <c r="AH524" t="s">
        <v>10869</v>
      </c>
      <c r="AI524">
        <v>239</v>
      </c>
      <c r="AJ524" t="s">
        <v>10213</v>
      </c>
      <c r="AK524" t="s">
        <v>10882</v>
      </c>
      <c r="AL524">
        <v>2</v>
      </c>
      <c r="AM524" t="s">
        <v>10894</v>
      </c>
      <c r="AN524" t="s">
        <v>10947</v>
      </c>
      <c r="AO524" t="s">
        <v>11015</v>
      </c>
      <c r="AP524" t="s">
        <v>11079</v>
      </c>
      <c r="AQ524" t="s">
        <v>11133</v>
      </c>
      <c r="AR524" t="s">
        <v>11300</v>
      </c>
      <c r="AS524" t="s">
        <v>11595</v>
      </c>
      <c r="AT524" t="s">
        <v>11641</v>
      </c>
      <c r="AX524" t="s">
        <v>10838</v>
      </c>
      <c r="AY524" t="s">
        <v>10829</v>
      </c>
      <c r="AZ524" t="s">
        <v>11681</v>
      </c>
      <c r="BA524" t="s">
        <v>11741</v>
      </c>
      <c r="BB524">
        <v>0</v>
      </c>
      <c r="BC524">
        <v>0</v>
      </c>
      <c r="BD524">
        <v>0</v>
      </c>
      <c r="BE524">
        <v>0</v>
      </c>
      <c r="BF524">
        <v>1</v>
      </c>
      <c r="BG524">
        <v>0</v>
      </c>
    </row>
    <row r="525" spans="1:59">
      <c r="A525" s="1">
        <f>HYPERLINK("https://lsnyc.legalserver.org/matter/dynamic-profile/view/1904237","19-1904237")</f>
        <v>0</v>
      </c>
      <c r="B525" t="s">
        <v>521</v>
      </c>
      <c r="C525" t="s">
        <v>5439</v>
      </c>
      <c r="D525" t="s">
        <v>9928</v>
      </c>
      <c r="E525" t="s">
        <v>10075</v>
      </c>
      <c r="F525">
        <v>11222</v>
      </c>
      <c r="G525" t="s">
        <v>10093</v>
      </c>
      <c r="H525" t="s">
        <v>10119</v>
      </c>
      <c r="I525" t="s">
        <v>10169</v>
      </c>
      <c r="J525" t="s">
        <v>10213</v>
      </c>
      <c r="K525" t="s">
        <v>10218</v>
      </c>
      <c r="L525" t="s">
        <v>10135</v>
      </c>
      <c r="M525" t="s">
        <v>10443</v>
      </c>
      <c r="N525" t="s">
        <v>10680</v>
      </c>
      <c r="P525" t="s">
        <v>10749</v>
      </c>
      <c r="Q525" t="s">
        <v>10765</v>
      </c>
      <c r="R525" t="s">
        <v>10821</v>
      </c>
      <c r="T525">
        <v>3913.2</v>
      </c>
      <c r="U525">
        <v>326.1</v>
      </c>
      <c r="V525">
        <v>64</v>
      </c>
      <c r="W525">
        <v>2</v>
      </c>
      <c r="X525">
        <v>0</v>
      </c>
      <c r="Y525" t="s">
        <v>10831</v>
      </c>
      <c r="Z525">
        <v>23.14</v>
      </c>
      <c r="AA525">
        <v>40.724319</v>
      </c>
      <c r="AB525">
        <v>-73.941187</v>
      </c>
      <c r="AD525" t="s">
        <v>10839</v>
      </c>
      <c r="AF525" t="s">
        <v>10843</v>
      </c>
      <c r="AG525" t="s">
        <v>10859</v>
      </c>
      <c r="AH525" t="s">
        <v>10862</v>
      </c>
      <c r="AI525">
        <v>239</v>
      </c>
      <c r="AJ525" t="s">
        <v>10213</v>
      </c>
      <c r="AK525" t="s">
        <v>10838</v>
      </c>
      <c r="AL525">
        <v>17</v>
      </c>
      <c r="AM525" t="s">
        <v>10891</v>
      </c>
      <c r="AN525" t="s">
        <v>10939</v>
      </c>
      <c r="AO525" t="s">
        <v>11004</v>
      </c>
      <c r="AP525" t="s">
        <v>11054</v>
      </c>
      <c r="AR525" t="s">
        <v>11263</v>
      </c>
      <c r="AS525" t="s">
        <v>11595</v>
      </c>
      <c r="AY525" t="s">
        <v>10831</v>
      </c>
      <c r="AZ525" t="s">
        <v>11687</v>
      </c>
      <c r="BA525" t="s">
        <v>11738</v>
      </c>
      <c r="BB525">
        <v>0</v>
      </c>
      <c r="BC525">
        <v>0</v>
      </c>
      <c r="BD525">
        <v>0</v>
      </c>
      <c r="BE525">
        <v>0</v>
      </c>
      <c r="BF525">
        <v>5</v>
      </c>
      <c r="BG525">
        <v>0</v>
      </c>
    </row>
    <row r="526" spans="1:59">
      <c r="A526" s="1">
        <f>HYPERLINK("https://lsnyc.legalserver.org/matter/dynamic-profile/view/1904238","19-1904238")</f>
        <v>0</v>
      </c>
      <c r="B526" t="s">
        <v>522</v>
      </c>
      <c r="C526" t="s">
        <v>5440</v>
      </c>
      <c r="D526" t="s">
        <v>9929</v>
      </c>
      <c r="E526" t="s">
        <v>10075</v>
      </c>
      <c r="F526">
        <v>10314</v>
      </c>
      <c r="G526" t="s">
        <v>10088</v>
      </c>
      <c r="H526" t="s">
        <v>10124</v>
      </c>
      <c r="I526" t="s">
        <v>10168</v>
      </c>
      <c r="J526" t="s">
        <v>10208</v>
      </c>
      <c r="K526" t="s">
        <v>10217</v>
      </c>
      <c r="M526" t="s">
        <v>10449</v>
      </c>
      <c r="N526" t="s">
        <v>10650</v>
      </c>
      <c r="P526" t="s">
        <v>10749</v>
      </c>
      <c r="Q526" t="s">
        <v>10765</v>
      </c>
      <c r="R526" t="s">
        <v>10820</v>
      </c>
      <c r="T526">
        <v>29587.92</v>
      </c>
      <c r="U526">
        <v>2465.66</v>
      </c>
      <c r="V526">
        <v>72</v>
      </c>
      <c r="W526">
        <v>1</v>
      </c>
      <c r="X526">
        <v>0</v>
      </c>
      <c r="Z526">
        <v>236.89</v>
      </c>
      <c r="AA526">
        <v>40.592063</v>
      </c>
      <c r="AB526">
        <v>-74.1324</v>
      </c>
      <c r="AD526" t="s">
        <v>10840</v>
      </c>
      <c r="AG526" t="s">
        <v>10858</v>
      </c>
      <c r="AH526" t="s">
        <v>10862</v>
      </c>
      <c r="AI526">
        <v>285</v>
      </c>
      <c r="AJ526" t="s">
        <v>10208</v>
      </c>
      <c r="AL526">
        <v>2.9</v>
      </c>
      <c r="AM526" t="s">
        <v>10883</v>
      </c>
      <c r="AN526" t="s">
        <v>10928</v>
      </c>
      <c r="AO526" t="s">
        <v>10999</v>
      </c>
      <c r="AP526" t="s">
        <v>11063</v>
      </c>
      <c r="AR526" t="s">
        <v>11354</v>
      </c>
      <c r="AS526" t="s">
        <v>11593</v>
      </c>
      <c r="BA526" t="s">
        <v>11737</v>
      </c>
      <c r="BB526">
        <v>0</v>
      </c>
      <c r="BC526">
        <v>0</v>
      </c>
      <c r="BD526">
        <v>0</v>
      </c>
      <c r="BE526">
        <v>0</v>
      </c>
      <c r="BF526">
        <v>3</v>
      </c>
      <c r="BG526">
        <v>0</v>
      </c>
    </row>
    <row r="527" spans="1:59">
      <c r="A527" s="1">
        <f>HYPERLINK("https://lsnyc.legalserver.org/matter/dynamic-profile/view/1904239","19-1904239")</f>
        <v>0</v>
      </c>
      <c r="B527" t="s">
        <v>510</v>
      </c>
      <c r="C527" t="s">
        <v>5430</v>
      </c>
      <c r="D527" t="s">
        <v>9928</v>
      </c>
      <c r="E527" t="s">
        <v>10075</v>
      </c>
      <c r="F527">
        <v>11221</v>
      </c>
      <c r="G527" t="s">
        <v>10093</v>
      </c>
      <c r="H527" t="s">
        <v>10119</v>
      </c>
      <c r="I527" t="s">
        <v>10168</v>
      </c>
      <c r="J527" t="s">
        <v>10213</v>
      </c>
      <c r="K527" t="s">
        <v>10217</v>
      </c>
      <c r="M527" t="s">
        <v>10392</v>
      </c>
      <c r="N527" t="s">
        <v>10650</v>
      </c>
      <c r="P527" t="s">
        <v>10749</v>
      </c>
      <c r="Q527" t="s">
        <v>10769</v>
      </c>
      <c r="R527" t="s">
        <v>10825</v>
      </c>
      <c r="T527">
        <v>20800</v>
      </c>
      <c r="U527">
        <v>1733.33</v>
      </c>
      <c r="V527">
        <v>53</v>
      </c>
      <c r="W527">
        <v>1</v>
      </c>
      <c r="X527">
        <v>0</v>
      </c>
      <c r="Z527">
        <v>166.53</v>
      </c>
      <c r="AA527">
        <v>40.692296</v>
      </c>
      <c r="AB527">
        <v>-73.938714</v>
      </c>
      <c r="AD527" t="s">
        <v>10840</v>
      </c>
      <c r="AG527" t="s">
        <v>10858</v>
      </c>
      <c r="AH527" t="s">
        <v>10862</v>
      </c>
      <c r="AI527">
        <v>239</v>
      </c>
      <c r="AJ527" t="s">
        <v>10213</v>
      </c>
      <c r="AL527">
        <v>2</v>
      </c>
      <c r="AM527" t="s">
        <v>10889</v>
      </c>
      <c r="AN527" t="s">
        <v>10914</v>
      </c>
      <c r="AO527" t="s">
        <v>11011</v>
      </c>
      <c r="AP527" t="s">
        <v>11052</v>
      </c>
      <c r="AR527" t="s">
        <v>11257</v>
      </c>
      <c r="AS527" t="s">
        <v>11595</v>
      </c>
      <c r="BA527" t="s">
        <v>11740</v>
      </c>
      <c r="BB527">
        <v>0</v>
      </c>
      <c r="BC527">
        <v>0</v>
      </c>
      <c r="BD527">
        <v>0</v>
      </c>
      <c r="BE527">
        <v>0</v>
      </c>
      <c r="BF527">
        <v>2</v>
      </c>
      <c r="BG527">
        <v>0</v>
      </c>
    </row>
    <row r="528" spans="1:59">
      <c r="A528" s="1">
        <f>HYPERLINK("https://lsnyc.legalserver.org/matter/dynamic-profile/view/1904240","19-1904240")</f>
        <v>0</v>
      </c>
      <c r="B528" t="s">
        <v>514</v>
      </c>
      <c r="C528" t="s">
        <v>5430</v>
      </c>
      <c r="D528" t="s">
        <v>9928</v>
      </c>
      <c r="E528" t="s">
        <v>10075</v>
      </c>
      <c r="F528">
        <v>11221</v>
      </c>
      <c r="G528" t="s">
        <v>10093</v>
      </c>
      <c r="H528" t="s">
        <v>10119</v>
      </c>
      <c r="I528" t="s">
        <v>10168</v>
      </c>
      <c r="J528" t="s">
        <v>10213</v>
      </c>
      <c r="K528" t="s">
        <v>10217</v>
      </c>
      <c r="M528" t="s">
        <v>10392</v>
      </c>
      <c r="N528" t="s">
        <v>10650</v>
      </c>
      <c r="P528" t="s">
        <v>10749</v>
      </c>
      <c r="Q528" t="s">
        <v>10769</v>
      </c>
      <c r="R528" t="s">
        <v>10824</v>
      </c>
      <c r="T528">
        <v>40000</v>
      </c>
      <c r="U528">
        <v>3333.33</v>
      </c>
      <c r="V528">
        <v>57</v>
      </c>
      <c r="W528">
        <v>1</v>
      </c>
      <c r="X528">
        <v>1</v>
      </c>
      <c r="Z528">
        <v>236.55</v>
      </c>
      <c r="AA528">
        <v>40.692296</v>
      </c>
      <c r="AB528">
        <v>-73.938714</v>
      </c>
      <c r="AD528" t="s">
        <v>10839</v>
      </c>
      <c r="AG528" t="s">
        <v>10858</v>
      </c>
      <c r="AH528" t="s">
        <v>10862</v>
      </c>
      <c r="AI528">
        <v>239</v>
      </c>
      <c r="AJ528" t="s">
        <v>10213</v>
      </c>
      <c r="AL528">
        <v>0</v>
      </c>
      <c r="AM528" t="s">
        <v>10889</v>
      </c>
      <c r="AN528" t="s">
        <v>10914</v>
      </c>
      <c r="AO528" t="s">
        <v>11011</v>
      </c>
      <c r="AP528" t="s">
        <v>11052</v>
      </c>
      <c r="AR528" t="s">
        <v>11257</v>
      </c>
      <c r="AS528" t="s">
        <v>11595</v>
      </c>
      <c r="AT528" t="s">
        <v>11641</v>
      </c>
      <c r="AX528" t="s">
        <v>10838</v>
      </c>
      <c r="BA528" t="s">
        <v>11740</v>
      </c>
      <c r="BB528">
        <v>0</v>
      </c>
      <c r="BC528">
        <v>0</v>
      </c>
      <c r="BD528">
        <v>0</v>
      </c>
      <c r="BE528">
        <v>0</v>
      </c>
      <c r="BF528">
        <v>2</v>
      </c>
      <c r="BG528">
        <v>0</v>
      </c>
    </row>
    <row r="529" spans="1:59">
      <c r="A529" s="1">
        <f>HYPERLINK("https://lsnyc.legalserver.org/matter/dynamic-profile/view/1904241","19-1904241")</f>
        <v>0</v>
      </c>
      <c r="B529" t="s">
        <v>523</v>
      </c>
      <c r="C529" t="s">
        <v>5441</v>
      </c>
      <c r="D529" t="s">
        <v>9929</v>
      </c>
      <c r="E529" t="s">
        <v>10075</v>
      </c>
      <c r="F529">
        <v>10303</v>
      </c>
      <c r="G529" t="s">
        <v>10088</v>
      </c>
      <c r="H529" t="s">
        <v>10119</v>
      </c>
      <c r="I529" t="s">
        <v>10168</v>
      </c>
      <c r="J529" t="s">
        <v>10208</v>
      </c>
      <c r="K529" t="s">
        <v>10218</v>
      </c>
      <c r="L529" t="s">
        <v>10140</v>
      </c>
      <c r="M529" t="s">
        <v>10259</v>
      </c>
      <c r="N529" t="s">
        <v>10654</v>
      </c>
      <c r="P529" t="s">
        <v>10749</v>
      </c>
      <c r="Q529" t="s">
        <v>10774</v>
      </c>
      <c r="R529" t="s">
        <v>10824</v>
      </c>
      <c r="T529">
        <v>31992</v>
      </c>
      <c r="U529">
        <v>2666</v>
      </c>
      <c r="V529">
        <v>26</v>
      </c>
      <c r="W529">
        <v>1</v>
      </c>
      <c r="X529">
        <v>2</v>
      </c>
      <c r="Y529" t="s">
        <v>10830</v>
      </c>
      <c r="Z529">
        <v>149.99</v>
      </c>
      <c r="AA529">
        <v>40.638473</v>
      </c>
      <c r="AB529">
        <v>-74.17099399999999</v>
      </c>
      <c r="AD529" t="s">
        <v>10839</v>
      </c>
      <c r="AG529" t="s">
        <v>10858</v>
      </c>
      <c r="AH529" t="s">
        <v>10862</v>
      </c>
      <c r="AI529">
        <v>285</v>
      </c>
      <c r="AJ529" t="s">
        <v>10208</v>
      </c>
      <c r="AK529" t="s">
        <v>10838</v>
      </c>
      <c r="AL529">
        <v>2.3</v>
      </c>
      <c r="AM529" t="s">
        <v>10883</v>
      </c>
      <c r="AN529" t="s">
        <v>10928</v>
      </c>
      <c r="AO529" t="s">
        <v>11006</v>
      </c>
      <c r="AP529" t="s">
        <v>11051</v>
      </c>
      <c r="AQ529" t="s">
        <v>11148</v>
      </c>
      <c r="AR529" t="s">
        <v>11257</v>
      </c>
      <c r="AS529" t="s">
        <v>11593</v>
      </c>
      <c r="AY529" t="s">
        <v>10830</v>
      </c>
      <c r="AZ529" t="s">
        <v>11707</v>
      </c>
      <c r="BA529" t="s">
        <v>11739</v>
      </c>
      <c r="BB529">
        <v>0</v>
      </c>
      <c r="BC529">
        <v>0</v>
      </c>
      <c r="BD529">
        <v>0</v>
      </c>
      <c r="BE529">
        <v>0</v>
      </c>
      <c r="BF529">
        <v>4</v>
      </c>
      <c r="BG529">
        <v>0</v>
      </c>
    </row>
    <row r="530" spans="1:59">
      <c r="A530" s="1">
        <f>HYPERLINK("https://lsnyc.legalserver.org/matter/dynamic-profile/view/1904242","19-1904242")</f>
        <v>0</v>
      </c>
      <c r="B530" t="s">
        <v>518</v>
      </c>
      <c r="C530" t="s">
        <v>5430</v>
      </c>
      <c r="D530" t="s">
        <v>9928</v>
      </c>
      <c r="E530" t="s">
        <v>10075</v>
      </c>
      <c r="F530">
        <v>11221</v>
      </c>
      <c r="G530" t="s">
        <v>10093</v>
      </c>
      <c r="H530" t="s">
        <v>10119</v>
      </c>
      <c r="I530" t="s">
        <v>10168</v>
      </c>
      <c r="J530" t="s">
        <v>10213</v>
      </c>
      <c r="K530" t="s">
        <v>10217</v>
      </c>
      <c r="M530" t="s">
        <v>10392</v>
      </c>
      <c r="N530" t="s">
        <v>10650</v>
      </c>
      <c r="P530" t="s">
        <v>10749</v>
      </c>
      <c r="Q530" t="s">
        <v>10769</v>
      </c>
      <c r="R530" t="s">
        <v>10824</v>
      </c>
      <c r="T530">
        <v>52000</v>
      </c>
      <c r="U530">
        <v>4333.33</v>
      </c>
      <c r="V530">
        <v>58</v>
      </c>
      <c r="W530">
        <v>5</v>
      </c>
      <c r="X530">
        <v>2</v>
      </c>
      <c r="Z530">
        <v>133.3</v>
      </c>
      <c r="AA530">
        <v>40.692296</v>
      </c>
      <c r="AB530">
        <v>-73.938714</v>
      </c>
      <c r="AD530" t="s">
        <v>10839</v>
      </c>
      <c r="AG530" t="s">
        <v>10858</v>
      </c>
      <c r="AH530" t="s">
        <v>10862</v>
      </c>
      <c r="AI530">
        <v>239</v>
      </c>
      <c r="AJ530" t="s">
        <v>10213</v>
      </c>
      <c r="AL530">
        <v>0</v>
      </c>
      <c r="AM530" t="s">
        <v>10889</v>
      </c>
      <c r="AN530" t="s">
        <v>10914</v>
      </c>
      <c r="AO530" t="s">
        <v>11011</v>
      </c>
      <c r="AP530" t="s">
        <v>11052</v>
      </c>
      <c r="AR530" t="s">
        <v>11257</v>
      </c>
      <c r="AS530" t="s">
        <v>11595</v>
      </c>
      <c r="AT530" t="s">
        <v>11641</v>
      </c>
      <c r="BA530" t="s">
        <v>11740</v>
      </c>
      <c r="BB530">
        <v>0</v>
      </c>
      <c r="BC530">
        <v>0</v>
      </c>
      <c r="BD530">
        <v>0</v>
      </c>
      <c r="BE530">
        <v>0</v>
      </c>
      <c r="BF530">
        <v>2</v>
      </c>
      <c r="BG530">
        <v>0</v>
      </c>
    </row>
    <row r="531" spans="1:59">
      <c r="A531" s="1">
        <f>HYPERLINK("https://lsnyc.legalserver.org/matter/dynamic-profile/view/1904243","19-1904243")</f>
        <v>0</v>
      </c>
      <c r="B531" t="s">
        <v>524</v>
      </c>
      <c r="C531" t="s">
        <v>5442</v>
      </c>
      <c r="D531" t="s">
        <v>9925</v>
      </c>
      <c r="E531" t="s">
        <v>10075</v>
      </c>
      <c r="F531">
        <v>10021</v>
      </c>
      <c r="G531" t="s">
        <v>10090</v>
      </c>
      <c r="H531" t="s">
        <v>10119</v>
      </c>
      <c r="I531" t="s">
        <v>10169</v>
      </c>
      <c r="J531" t="s">
        <v>10210</v>
      </c>
      <c r="K531" t="s">
        <v>10217</v>
      </c>
      <c r="M531" t="s">
        <v>10322</v>
      </c>
      <c r="N531" t="s">
        <v>10706</v>
      </c>
      <c r="P531" t="s">
        <v>10753</v>
      </c>
      <c r="Q531" t="s">
        <v>10763</v>
      </c>
      <c r="R531" t="s">
        <v>10823</v>
      </c>
      <c r="T531">
        <v>0</v>
      </c>
      <c r="U531">
        <v>0</v>
      </c>
      <c r="V531">
        <v>39</v>
      </c>
      <c r="W531">
        <v>1</v>
      </c>
      <c r="X531">
        <v>0</v>
      </c>
      <c r="Z531">
        <v>0</v>
      </c>
      <c r="AA531">
        <v>40.770374</v>
      </c>
      <c r="AB531">
        <v>-73.959551</v>
      </c>
      <c r="AD531" t="s">
        <v>10839</v>
      </c>
      <c r="AF531" t="s">
        <v>10842</v>
      </c>
      <c r="AG531" t="s">
        <v>10859</v>
      </c>
      <c r="AH531" t="s">
        <v>10868</v>
      </c>
      <c r="AI531">
        <v>237</v>
      </c>
      <c r="AJ531" t="s">
        <v>10212</v>
      </c>
      <c r="AL531">
        <v>0.4</v>
      </c>
      <c r="AM531" t="s">
        <v>10891</v>
      </c>
      <c r="AN531" t="s">
        <v>10971</v>
      </c>
      <c r="AO531" t="s">
        <v>11026</v>
      </c>
      <c r="AP531" t="s">
        <v>11091</v>
      </c>
      <c r="AR531" t="s">
        <v>11267</v>
      </c>
      <c r="AS531" t="s">
        <v>9925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</row>
    <row r="532" spans="1:59">
      <c r="A532" s="1">
        <f>HYPERLINK("https://lsnyc.legalserver.org/matter/dynamic-profile/view/1904244","19-1904244")</f>
        <v>0</v>
      </c>
      <c r="B532" t="s">
        <v>525</v>
      </c>
      <c r="C532" t="s">
        <v>5443</v>
      </c>
      <c r="D532" t="s">
        <v>9925</v>
      </c>
      <c r="E532" t="s">
        <v>10075</v>
      </c>
      <c r="F532">
        <v>10030</v>
      </c>
      <c r="G532" t="s">
        <v>10093</v>
      </c>
      <c r="H532" t="s">
        <v>10127</v>
      </c>
      <c r="I532" t="s">
        <v>10168</v>
      </c>
      <c r="J532" t="s">
        <v>10213</v>
      </c>
      <c r="K532" t="s">
        <v>10217</v>
      </c>
      <c r="M532" t="s">
        <v>10253</v>
      </c>
      <c r="N532" t="s">
        <v>10649</v>
      </c>
      <c r="P532" t="s">
        <v>10753</v>
      </c>
      <c r="Q532" t="s">
        <v>10763</v>
      </c>
      <c r="R532" t="s">
        <v>10821</v>
      </c>
      <c r="T532">
        <v>0</v>
      </c>
      <c r="U532">
        <v>0</v>
      </c>
      <c r="V532">
        <v>24</v>
      </c>
      <c r="W532">
        <v>1</v>
      </c>
      <c r="X532">
        <v>0</v>
      </c>
      <c r="Z532">
        <v>0</v>
      </c>
      <c r="AA532">
        <v>40.81492</v>
      </c>
      <c r="AB532">
        <v>-73.94439800000001</v>
      </c>
      <c r="AD532" t="s">
        <v>10839</v>
      </c>
      <c r="AF532" t="s">
        <v>10844</v>
      </c>
      <c r="AG532" t="s">
        <v>10859</v>
      </c>
      <c r="AH532" t="s">
        <v>10868</v>
      </c>
      <c r="AI532">
        <v>239</v>
      </c>
      <c r="AJ532" t="s">
        <v>10213</v>
      </c>
      <c r="AL532">
        <v>2</v>
      </c>
      <c r="AM532" t="s">
        <v>10887</v>
      </c>
      <c r="AN532" t="s">
        <v>10936</v>
      </c>
      <c r="AO532" t="s">
        <v>11016</v>
      </c>
      <c r="AP532" t="s">
        <v>11076</v>
      </c>
      <c r="AQ532" t="s">
        <v>11109</v>
      </c>
      <c r="AR532" t="s">
        <v>11267</v>
      </c>
      <c r="AS532" t="s">
        <v>9925</v>
      </c>
      <c r="AT532" t="s">
        <v>11641</v>
      </c>
      <c r="AX532" t="s">
        <v>10837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</row>
    <row r="533" spans="1:59">
      <c r="A533" s="1">
        <f>HYPERLINK("https://lsnyc.legalserver.org/matter/dynamic-profile/view/1904245","19-1904245")</f>
        <v>0</v>
      </c>
      <c r="B533" t="s">
        <v>526</v>
      </c>
      <c r="C533" t="s">
        <v>5444</v>
      </c>
      <c r="D533" t="s">
        <v>9938</v>
      </c>
      <c r="E533" t="s">
        <v>10075</v>
      </c>
      <c r="F533">
        <v>11432</v>
      </c>
      <c r="G533" t="s">
        <v>10092</v>
      </c>
      <c r="H533" t="s">
        <v>10119</v>
      </c>
      <c r="I533" t="s">
        <v>10179</v>
      </c>
      <c r="J533" t="s">
        <v>10212</v>
      </c>
      <c r="K533" t="s">
        <v>10218</v>
      </c>
      <c r="L533" t="s">
        <v>10119</v>
      </c>
      <c r="M533" t="s">
        <v>10374</v>
      </c>
      <c r="N533" t="s">
        <v>10674</v>
      </c>
      <c r="O533" t="s">
        <v>10699</v>
      </c>
      <c r="P533" t="s">
        <v>10754</v>
      </c>
      <c r="Q533" t="s">
        <v>10775</v>
      </c>
      <c r="R533" t="s">
        <v>10828</v>
      </c>
      <c r="T533">
        <v>8940</v>
      </c>
      <c r="U533">
        <v>745</v>
      </c>
      <c r="V533">
        <v>45</v>
      </c>
      <c r="W533">
        <v>1</v>
      </c>
      <c r="X533">
        <v>1</v>
      </c>
      <c r="Y533" t="s">
        <v>10829</v>
      </c>
      <c r="Z533">
        <v>52.87</v>
      </c>
      <c r="AA533">
        <v>40.709266</v>
      </c>
      <c r="AB533">
        <v>-73.804187</v>
      </c>
      <c r="AD533" t="s">
        <v>10839</v>
      </c>
      <c r="AF533" t="s">
        <v>10842</v>
      </c>
      <c r="AG533" t="s">
        <v>10859</v>
      </c>
      <c r="AH533" t="s">
        <v>10865</v>
      </c>
      <c r="AI533">
        <v>237</v>
      </c>
      <c r="AJ533" t="s">
        <v>10212</v>
      </c>
      <c r="AK533" t="s">
        <v>10837</v>
      </c>
      <c r="AL533">
        <v>1</v>
      </c>
      <c r="AM533" t="s">
        <v>10890</v>
      </c>
      <c r="AN533" t="s">
        <v>10944</v>
      </c>
      <c r="AO533" t="s">
        <v>11020</v>
      </c>
      <c r="AP533" t="s">
        <v>11081</v>
      </c>
      <c r="AR533" t="s">
        <v>11257</v>
      </c>
      <c r="AS533" t="s">
        <v>11594</v>
      </c>
      <c r="AT533" t="s">
        <v>11641</v>
      </c>
      <c r="AX533" t="s">
        <v>10838</v>
      </c>
      <c r="AY533" t="s">
        <v>10829</v>
      </c>
      <c r="AZ533" t="s">
        <v>11683</v>
      </c>
      <c r="BA533" t="s">
        <v>11741</v>
      </c>
      <c r="BB533">
        <v>0</v>
      </c>
      <c r="BC533">
        <v>0</v>
      </c>
      <c r="BD533">
        <v>0</v>
      </c>
      <c r="BE533">
        <v>0</v>
      </c>
      <c r="BF533">
        <v>1</v>
      </c>
      <c r="BG533">
        <v>0</v>
      </c>
    </row>
    <row r="534" spans="1:59">
      <c r="A534" s="1">
        <f>HYPERLINK("https://lsnyc.legalserver.org/matter/dynamic-profile/view/1904246","19-1904246")</f>
        <v>0</v>
      </c>
      <c r="B534" t="s">
        <v>527</v>
      </c>
      <c r="C534" t="s">
        <v>5445</v>
      </c>
      <c r="D534" t="s">
        <v>9931</v>
      </c>
      <c r="E534" t="s">
        <v>10075</v>
      </c>
      <c r="F534">
        <v>11358</v>
      </c>
      <c r="G534" t="s">
        <v>10092</v>
      </c>
      <c r="H534" t="s">
        <v>10119</v>
      </c>
      <c r="I534" t="s">
        <v>10168</v>
      </c>
      <c r="J534" t="s">
        <v>10212</v>
      </c>
      <c r="K534" t="s">
        <v>10218</v>
      </c>
      <c r="L534" t="s">
        <v>10145</v>
      </c>
      <c r="M534" t="s">
        <v>10363</v>
      </c>
      <c r="N534" t="s">
        <v>10706</v>
      </c>
      <c r="P534" t="s">
        <v>10756</v>
      </c>
      <c r="Q534" t="s">
        <v>10802</v>
      </c>
      <c r="R534" t="s">
        <v>10825</v>
      </c>
      <c r="T534">
        <v>29000</v>
      </c>
      <c r="U534">
        <v>2416.67</v>
      </c>
      <c r="V534">
        <v>33</v>
      </c>
      <c r="W534">
        <v>2</v>
      </c>
      <c r="X534">
        <v>0</v>
      </c>
      <c r="Y534" t="s">
        <v>10829</v>
      </c>
      <c r="Z534">
        <v>171.5</v>
      </c>
      <c r="AA534">
        <v>40.77096</v>
      </c>
      <c r="AB534">
        <v>-73.800929</v>
      </c>
      <c r="AD534" t="s">
        <v>10839</v>
      </c>
      <c r="AG534" t="s">
        <v>10858</v>
      </c>
      <c r="AH534" t="s">
        <v>10868</v>
      </c>
      <c r="AI534">
        <v>237</v>
      </c>
      <c r="AJ534" t="s">
        <v>10212</v>
      </c>
      <c r="AK534" t="s">
        <v>10838</v>
      </c>
      <c r="AL534">
        <v>0.5</v>
      </c>
      <c r="AM534" t="s">
        <v>10890</v>
      </c>
      <c r="AN534" t="s">
        <v>10927</v>
      </c>
      <c r="AO534" t="s">
        <v>11022</v>
      </c>
      <c r="AP534" t="s">
        <v>11080</v>
      </c>
      <c r="AR534" t="s">
        <v>11257</v>
      </c>
      <c r="AS534" t="s">
        <v>11594</v>
      </c>
      <c r="AY534" t="s">
        <v>10829</v>
      </c>
      <c r="AZ534" t="s">
        <v>11708</v>
      </c>
      <c r="BA534" t="s">
        <v>11741</v>
      </c>
      <c r="BB534">
        <v>0</v>
      </c>
      <c r="BC534">
        <v>0</v>
      </c>
      <c r="BD534">
        <v>0</v>
      </c>
      <c r="BE534">
        <v>0</v>
      </c>
      <c r="BF534">
        <v>1</v>
      </c>
      <c r="BG534">
        <v>0</v>
      </c>
    </row>
    <row r="535" spans="1:59">
      <c r="A535" s="1">
        <f>HYPERLINK("https://lsnyc.legalserver.org/matter/dynamic-profile/view/1904247","19-1904247")</f>
        <v>0</v>
      </c>
      <c r="B535" t="s">
        <v>528</v>
      </c>
      <c r="C535" t="s">
        <v>5446</v>
      </c>
      <c r="D535" t="s">
        <v>9938</v>
      </c>
      <c r="E535" t="s">
        <v>10075</v>
      </c>
      <c r="F535">
        <v>11432</v>
      </c>
      <c r="G535" t="s">
        <v>10092</v>
      </c>
      <c r="H535" t="s">
        <v>10119</v>
      </c>
      <c r="I535" t="s">
        <v>10168</v>
      </c>
      <c r="J535" t="s">
        <v>10212</v>
      </c>
      <c r="K535" t="s">
        <v>10218</v>
      </c>
      <c r="L535" t="s">
        <v>10119</v>
      </c>
      <c r="M535" t="s">
        <v>10374</v>
      </c>
      <c r="N535" t="s">
        <v>10674</v>
      </c>
      <c r="O535" t="s">
        <v>10699</v>
      </c>
      <c r="P535" t="s">
        <v>10754</v>
      </c>
      <c r="Q535" t="s">
        <v>10775</v>
      </c>
      <c r="R535" t="s">
        <v>10828</v>
      </c>
      <c r="T535">
        <v>0</v>
      </c>
      <c r="U535">
        <v>0</v>
      </c>
      <c r="V535">
        <v>39</v>
      </c>
      <c r="W535">
        <v>1</v>
      </c>
      <c r="X535">
        <v>1</v>
      </c>
      <c r="Y535" t="s">
        <v>10829</v>
      </c>
      <c r="Z535">
        <v>0</v>
      </c>
      <c r="AA535">
        <v>40.713265</v>
      </c>
      <c r="AB535">
        <v>-73.79189599999999</v>
      </c>
      <c r="AD535" t="s">
        <v>10839</v>
      </c>
      <c r="AG535" t="s">
        <v>10858</v>
      </c>
      <c r="AH535" t="s">
        <v>10865</v>
      </c>
      <c r="AI535">
        <v>237</v>
      </c>
      <c r="AJ535" t="s">
        <v>10212</v>
      </c>
      <c r="AK535" t="s">
        <v>10837</v>
      </c>
      <c r="AL535">
        <v>1</v>
      </c>
      <c r="AM535" t="s">
        <v>10890</v>
      </c>
      <c r="AN535" t="s">
        <v>10944</v>
      </c>
      <c r="AO535" t="s">
        <v>11022</v>
      </c>
      <c r="AP535" t="s">
        <v>11081</v>
      </c>
      <c r="AR535" t="s">
        <v>11267</v>
      </c>
      <c r="AS535" t="s">
        <v>11594</v>
      </c>
      <c r="AT535" t="s">
        <v>11641</v>
      </c>
      <c r="AX535" t="s">
        <v>10838</v>
      </c>
      <c r="AY535" t="s">
        <v>10829</v>
      </c>
      <c r="AZ535" t="s">
        <v>11683</v>
      </c>
      <c r="BA535" t="s">
        <v>11741</v>
      </c>
      <c r="BB535">
        <v>0</v>
      </c>
      <c r="BC535">
        <v>0</v>
      </c>
      <c r="BD535">
        <v>0</v>
      </c>
      <c r="BE535">
        <v>0</v>
      </c>
      <c r="BF535">
        <v>1</v>
      </c>
      <c r="BG535">
        <v>0</v>
      </c>
    </row>
    <row r="536" spans="1:59">
      <c r="A536" s="1">
        <f>HYPERLINK("https://lsnyc.legalserver.org/matter/dynamic-profile/view/1904249","19-1904249")</f>
        <v>0</v>
      </c>
      <c r="B536" t="s">
        <v>529</v>
      </c>
      <c r="C536" t="s">
        <v>5447</v>
      </c>
      <c r="D536" t="s">
        <v>9928</v>
      </c>
      <c r="E536" t="s">
        <v>10075</v>
      </c>
      <c r="F536">
        <v>11221</v>
      </c>
      <c r="G536" t="s">
        <v>10093</v>
      </c>
      <c r="H536" t="s">
        <v>10119</v>
      </c>
      <c r="I536" t="s">
        <v>10169</v>
      </c>
      <c r="J536" t="s">
        <v>10213</v>
      </c>
      <c r="K536" t="s">
        <v>10218</v>
      </c>
      <c r="L536" t="s">
        <v>10110</v>
      </c>
      <c r="M536" t="s">
        <v>10309</v>
      </c>
      <c r="N536" t="s">
        <v>10706</v>
      </c>
      <c r="P536" t="s">
        <v>10753</v>
      </c>
      <c r="Q536" t="s">
        <v>10763</v>
      </c>
      <c r="R536" t="s">
        <v>10821</v>
      </c>
      <c r="T536">
        <v>31200</v>
      </c>
      <c r="U536">
        <v>2600</v>
      </c>
      <c r="V536">
        <v>36</v>
      </c>
      <c r="W536">
        <v>1</v>
      </c>
      <c r="X536">
        <v>0</v>
      </c>
      <c r="Y536" t="s">
        <v>10829</v>
      </c>
      <c r="Z536">
        <v>249.8</v>
      </c>
      <c r="AA536">
        <v>40.689283</v>
      </c>
      <c r="AB536">
        <v>-73.913355</v>
      </c>
      <c r="AD536" t="s">
        <v>10841</v>
      </c>
      <c r="AF536" t="s">
        <v>10842</v>
      </c>
      <c r="AG536" t="s">
        <v>10859</v>
      </c>
      <c r="AH536" t="s">
        <v>10860</v>
      </c>
      <c r="AI536">
        <v>237</v>
      </c>
      <c r="AJ536" t="s">
        <v>10212</v>
      </c>
      <c r="AK536" t="s">
        <v>10838</v>
      </c>
      <c r="AL536">
        <v>0.7</v>
      </c>
      <c r="AM536" t="s">
        <v>10889</v>
      </c>
      <c r="AN536" t="s">
        <v>10920</v>
      </c>
      <c r="AO536" t="s">
        <v>11011</v>
      </c>
      <c r="AP536" t="s">
        <v>11058</v>
      </c>
      <c r="AR536" t="s">
        <v>11257</v>
      </c>
      <c r="AS536" t="s">
        <v>11595</v>
      </c>
      <c r="AW536" t="s">
        <v>11668</v>
      </c>
      <c r="AY536" t="s">
        <v>10829</v>
      </c>
      <c r="AZ536" t="s">
        <v>11709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</row>
    <row r="537" spans="1:59">
      <c r="A537" s="1">
        <f>HYPERLINK("https://lsnyc.legalserver.org/matter/dynamic-profile/view/1904250","19-1904250")</f>
        <v>0</v>
      </c>
      <c r="B537" t="s">
        <v>530</v>
      </c>
      <c r="C537" t="s">
        <v>5448</v>
      </c>
      <c r="D537" t="s">
        <v>9948</v>
      </c>
      <c r="E537" t="s">
        <v>10075</v>
      </c>
      <c r="F537">
        <v>11691</v>
      </c>
      <c r="G537" t="s">
        <v>10092</v>
      </c>
      <c r="H537" t="s">
        <v>10119</v>
      </c>
      <c r="I537" t="s">
        <v>10168</v>
      </c>
      <c r="J537" t="s">
        <v>10212</v>
      </c>
      <c r="K537" t="s">
        <v>10218</v>
      </c>
      <c r="L537" t="s">
        <v>10109</v>
      </c>
      <c r="M537" t="s">
        <v>10258</v>
      </c>
      <c r="N537" t="s">
        <v>10650</v>
      </c>
      <c r="P537" t="s">
        <v>10749</v>
      </c>
      <c r="Q537" t="s">
        <v>10765</v>
      </c>
      <c r="R537" t="s">
        <v>10824</v>
      </c>
      <c r="T537">
        <v>9120</v>
      </c>
      <c r="U537">
        <v>760</v>
      </c>
      <c r="V537">
        <v>59</v>
      </c>
      <c r="W537">
        <v>2</v>
      </c>
      <c r="X537">
        <v>2</v>
      </c>
      <c r="Y537" t="s">
        <v>10831</v>
      </c>
      <c r="Z537">
        <v>35.42</v>
      </c>
      <c r="AA537">
        <v>40.595616</v>
      </c>
      <c r="AB537">
        <v>-73.782765</v>
      </c>
      <c r="AD537" t="s">
        <v>10839</v>
      </c>
      <c r="AG537" t="s">
        <v>10858</v>
      </c>
      <c r="AH537" t="s">
        <v>10862</v>
      </c>
      <c r="AI537">
        <v>237</v>
      </c>
      <c r="AJ537" t="s">
        <v>10212</v>
      </c>
      <c r="AK537" t="s">
        <v>10882</v>
      </c>
      <c r="AL537">
        <v>5.5</v>
      </c>
      <c r="AM537" t="s">
        <v>10892</v>
      </c>
      <c r="AN537" t="s">
        <v>10930</v>
      </c>
      <c r="AO537" t="s">
        <v>11017</v>
      </c>
      <c r="AP537" t="s">
        <v>11082</v>
      </c>
      <c r="AQ537" t="s">
        <v>11101</v>
      </c>
      <c r="AR537" t="s">
        <v>11263</v>
      </c>
      <c r="AS537" t="s">
        <v>11594</v>
      </c>
      <c r="AT537" t="s">
        <v>11641</v>
      </c>
      <c r="AY537" t="s">
        <v>10831</v>
      </c>
      <c r="AZ537" t="s">
        <v>11687</v>
      </c>
      <c r="BA537" t="s">
        <v>11738</v>
      </c>
      <c r="BB537">
        <v>0</v>
      </c>
      <c r="BC537">
        <v>0</v>
      </c>
      <c r="BD537">
        <v>0</v>
      </c>
      <c r="BE537">
        <v>0</v>
      </c>
      <c r="BF537">
        <v>5</v>
      </c>
      <c r="BG537">
        <v>0</v>
      </c>
    </row>
    <row r="538" spans="1:59">
      <c r="A538" s="1">
        <f>HYPERLINK("https://lsnyc.legalserver.org/matter/dynamic-profile/view/1904251","19-1904251")</f>
        <v>0</v>
      </c>
      <c r="B538" t="s">
        <v>530</v>
      </c>
      <c r="C538" t="s">
        <v>5448</v>
      </c>
      <c r="D538" t="s">
        <v>9948</v>
      </c>
      <c r="E538" t="s">
        <v>10075</v>
      </c>
      <c r="F538">
        <v>11691</v>
      </c>
      <c r="G538" t="s">
        <v>10092</v>
      </c>
      <c r="H538" t="s">
        <v>10119</v>
      </c>
      <c r="I538" t="s">
        <v>10168</v>
      </c>
      <c r="J538" t="s">
        <v>10212</v>
      </c>
      <c r="K538" t="s">
        <v>10218</v>
      </c>
      <c r="L538" t="s">
        <v>10121</v>
      </c>
      <c r="M538" t="s">
        <v>10408</v>
      </c>
      <c r="N538" t="s">
        <v>10650</v>
      </c>
      <c r="P538" t="s">
        <v>10751</v>
      </c>
      <c r="Q538" t="s">
        <v>10761</v>
      </c>
      <c r="R538" t="s">
        <v>10824</v>
      </c>
      <c r="T538">
        <v>9120</v>
      </c>
      <c r="U538">
        <v>760</v>
      </c>
      <c r="V538">
        <v>59</v>
      </c>
      <c r="W538">
        <v>2</v>
      </c>
      <c r="X538">
        <v>2</v>
      </c>
      <c r="Y538" t="s">
        <v>10833</v>
      </c>
      <c r="Z538">
        <v>35.42</v>
      </c>
      <c r="AA538">
        <v>40.595616</v>
      </c>
      <c r="AB538">
        <v>-73.782765</v>
      </c>
      <c r="AD538" t="s">
        <v>10839</v>
      </c>
      <c r="AG538" t="s">
        <v>10858</v>
      </c>
      <c r="AH538" t="s">
        <v>10862</v>
      </c>
      <c r="AI538">
        <v>237</v>
      </c>
      <c r="AJ538" t="s">
        <v>10212</v>
      </c>
      <c r="AK538" t="s">
        <v>10882</v>
      </c>
      <c r="AL538">
        <v>1.15</v>
      </c>
      <c r="AM538" t="s">
        <v>10892</v>
      </c>
      <c r="AN538" t="s">
        <v>10930</v>
      </c>
      <c r="AO538" t="s">
        <v>11017</v>
      </c>
      <c r="AP538" t="s">
        <v>11082</v>
      </c>
      <c r="AR538" t="s">
        <v>11263</v>
      </c>
      <c r="AS538" t="s">
        <v>11594</v>
      </c>
      <c r="AT538" t="s">
        <v>11641</v>
      </c>
      <c r="AY538" t="s">
        <v>10833</v>
      </c>
      <c r="AZ538" t="s">
        <v>11688</v>
      </c>
      <c r="BA538" t="s">
        <v>11737</v>
      </c>
      <c r="BB538">
        <v>0</v>
      </c>
      <c r="BC538">
        <v>0</v>
      </c>
      <c r="BD538">
        <v>0</v>
      </c>
      <c r="BE538">
        <v>0</v>
      </c>
      <c r="BF538">
        <v>3</v>
      </c>
      <c r="BG538">
        <v>0</v>
      </c>
    </row>
    <row r="539" spans="1:59">
      <c r="A539" s="1">
        <f>HYPERLINK("https://lsnyc.legalserver.org/matter/dynamic-profile/view/1904252","19-1904252")</f>
        <v>0</v>
      </c>
      <c r="B539" t="s">
        <v>531</v>
      </c>
      <c r="C539" t="s">
        <v>5449</v>
      </c>
      <c r="D539" t="s">
        <v>9925</v>
      </c>
      <c r="E539" t="s">
        <v>10075</v>
      </c>
      <c r="F539">
        <v>10031</v>
      </c>
      <c r="G539" t="s">
        <v>10090</v>
      </c>
      <c r="H539" t="s">
        <v>10119</v>
      </c>
      <c r="I539" t="s">
        <v>10169</v>
      </c>
      <c r="J539" t="s">
        <v>10210</v>
      </c>
      <c r="K539" t="s">
        <v>10217</v>
      </c>
      <c r="M539" t="s">
        <v>10412</v>
      </c>
      <c r="N539" t="s">
        <v>10712</v>
      </c>
      <c r="P539" t="s">
        <v>10753</v>
      </c>
      <c r="Q539" t="s">
        <v>10763</v>
      </c>
      <c r="R539" t="s">
        <v>10821</v>
      </c>
      <c r="T539">
        <v>0</v>
      </c>
      <c r="U539">
        <v>0</v>
      </c>
      <c r="V539">
        <v>43</v>
      </c>
      <c r="W539">
        <v>1</v>
      </c>
      <c r="X539">
        <v>1</v>
      </c>
      <c r="Z539">
        <v>0</v>
      </c>
      <c r="AA539">
        <v>40.82834</v>
      </c>
      <c r="AB539">
        <v>-73.942213</v>
      </c>
      <c r="AD539" t="s">
        <v>10839</v>
      </c>
      <c r="AF539" t="s">
        <v>10842</v>
      </c>
      <c r="AG539" t="s">
        <v>10859</v>
      </c>
      <c r="AH539" t="s">
        <v>10865</v>
      </c>
      <c r="AI539">
        <v>230</v>
      </c>
      <c r="AJ539" t="s">
        <v>10210</v>
      </c>
      <c r="AL539">
        <v>2.5</v>
      </c>
      <c r="AM539" t="s">
        <v>10887</v>
      </c>
      <c r="AN539" t="s">
        <v>10943</v>
      </c>
      <c r="AO539" t="s">
        <v>11016</v>
      </c>
      <c r="AP539" t="s">
        <v>11076</v>
      </c>
      <c r="AQ539" t="s">
        <v>11109</v>
      </c>
      <c r="AR539" t="s">
        <v>11267</v>
      </c>
      <c r="AS539" t="s">
        <v>9925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</row>
    <row r="540" spans="1:59">
      <c r="A540" s="1">
        <f>HYPERLINK("https://lsnyc.legalserver.org/matter/dynamic-profile/view/1904253","19-1904253")</f>
        <v>0</v>
      </c>
      <c r="B540" t="s">
        <v>532</v>
      </c>
      <c r="C540" t="s">
        <v>5450</v>
      </c>
      <c r="D540" t="s">
        <v>9926</v>
      </c>
      <c r="E540" t="s">
        <v>10075</v>
      </c>
      <c r="F540">
        <v>10462</v>
      </c>
      <c r="G540" t="s">
        <v>10090</v>
      </c>
      <c r="H540" t="s">
        <v>10118</v>
      </c>
      <c r="I540" t="s">
        <v>10180</v>
      </c>
      <c r="J540" t="s">
        <v>10210</v>
      </c>
      <c r="K540" t="s">
        <v>10218</v>
      </c>
      <c r="L540" t="s">
        <v>10156</v>
      </c>
      <c r="M540" t="s">
        <v>10424</v>
      </c>
      <c r="N540" t="s">
        <v>10673</v>
      </c>
      <c r="P540" t="s">
        <v>10753</v>
      </c>
      <c r="Q540" t="s">
        <v>10763</v>
      </c>
      <c r="R540" t="s">
        <v>10824</v>
      </c>
      <c r="T540">
        <v>0</v>
      </c>
      <c r="U540">
        <v>0</v>
      </c>
      <c r="V540">
        <v>42</v>
      </c>
      <c r="W540">
        <v>2</v>
      </c>
      <c r="X540">
        <v>5</v>
      </c>
      <c r="Y540" t="s">
        <v>10833</v>
      </c>
      <c r="Z540">
        <v>0</v>
      </c>
      <c r="AA540">
        <v>40.838478</v>
      </c>
      <c r="AB540">
        <v>-73.86343100000001</v>
      </c>
      <c r="AD540" t="s">
        <v>10839</v>
      </c>
      <c r="AF540" t="s">
        <v>10846</v>
      </c>
      <c r="AG540" t="s">
        <v>10859</v>
      </c>
      <c r="AH540" t="s">
        <v>10864</v>
      </c>
      <c r="AI540">
        <v>230</v>
      </c>
      <c r="AJ540" t="s">
        <v>10210</v>
      </c>
      <c r="AK540" t="s">
        <v>10837</v>
      </c>
      <c r="AL540">
        <v>1.9</v>
      </c>
      <c r="AM540" t="s">
        <v>10885</v>
      </c>
      <c r="AN540" t="s">
        <v>10908</v>
      </c>
      <c r="AO540" t="s">
        <v>11001</v>
      </c>
      <c r="AP540" t="s">
        <v>11046</v>
      </c>
      <c r="AQ540" t="s">
        <v>11109</v>
      </c>
      <c r="AR540" t="s">
        <v>11267</v>
      </c>
      <c r="AS540" t="s">
        <v>9926</v>
      </c>
      <c r="AT540" t="s">
        <v>11641</v>
      </c>
      <c r="AX540" t="s">
        <v>10838</v>
      </c>
      <c r="AY540" t="s">
        <v>10833</v>
      </c>
      <c r="AZ540" t="s">
        <v>11689</v>
      </c>
      <c r="BA540" t="s">
        <v>11739</v>
      </c>
      <c r="BB540">
        <v>0</v>
      </c>
      <c r="BC540">
        <v>0</v>
      </c>
      <c r="BD540">
        <v>0</v>
      </c>
      <c r="BE540">
        <v>0</v>
      </c>
      <c r="BF540">
        <v>4</v>
      </c>
      <c r="BG540">
        <v>0</v>
      </c>
    </row>
    <row r="541" spans="1:59">
      <c r="A541" s="1">
        <f>HYPERLINK("https://lsnyc.legalserver.org/matter/dynamic-profile/view/1904254","19-1904254")</f>
        <v>0</v>
      </c>
      <c r="B541" t="s">
        <v>533</v>
      </c>
      <c r="C541" t="s">
        <v>5451</v>
      </c>
      <c r="D541" t="s">
        <v>9930</v>
      </c>
      <c r="E541" t="s">
        <v>10075</v>
      </c>
      <c r="F541">
        <v>11373</v>
      </c>
      <c r="G541" t="s">
        <v>10092</v>
      </c>
      <c r="H541" t="s">
        <v>10118</v>
      </c>
      <c r="I541" t="s">
        <v>10169</v>
      </c>
      <c r="J541" t="s">
        <v>10212</v>
      </c>
      <c r="K541" t="s">
        <v>10217</v>
      </c>
      <c r="M541" t="s">
        <v>10347</v>
      </c>
      <c r="N541" t="s">
        <v>10693</v>
      </c>
      <c r="P541" t="s">
        <v>10749</v>
      </c>
      <c r="Q541" t="s">
        <v>10765</v>
      </c>
      <c r="R541" t="s">
        <v>10821</v>
      </c>
      <c r="T541">
        <v>15600</v>
      </c>
      <c r="U541">
        <v>1300</v>
      </c>
      <c r="V541">
        <v>39</v>
      </c>
      <c r="W541">
        <v>2</v>
      </c>
      <c r="X541">
        <v>1</v>
      </c>
      <c r="Z541">
        <v>73.14</v>
      </c>
      <c r="AA541">
        <v>40.742389</v>
      </c>
      <c r="AB541">
        <v>-73.883375</v>
      </c>
      <c r="AD541" t="s">
        <v>10840</v>
      </c>
      <c r="AG541" t="s">
        <v>10858</v>
      </c>
      <c r="AH541" t="s">
        <v>10862</v>
      </c>
      <c r="AI541">
        <v>237</v>
      </c>
      <c r="AJ541" t="s">
        <v>10212</v>
      </c>
      <c r="AL541">
        <v>0.75</v>
      </c>
      <c r="AM541" t="s">
        <v>10890</v>
      </c>
      <c r="AN541" t="s">
        <v>10949</v>
      </c>
      <c r="AO541" t="s">
        <v>11009</v>
      </c>
      <c r="AP541" t="s">
        <v>11053</v>
      </c>
      <c r="AR541" t="s">
        <v>11257</v>
      </c>
      <c r="AS541" t="s">
        <v>11594</v>
      </c>
      <c r="BA541" t="s">
        <v>11738</v>
      </c>
      <c r="BB541">
        <v>0</v>
      </c>
      <c r="BC541">
        <v>0</v>
      </c>
      <c r="BD541">
        <v>0</v>
      </c>
      <c r="BE541">
        <v>0</v>
      </c>
      <c r="BF541">
        <v>5</v>
      </c>
      <c r="BG541">
        <v>0</v>
      </c>
    </row>
    <row r="542" spans="1:59">
      <c r="A542" s="1">
        <f>HYPERLINK("https://lsnyc.legalserver.org/matter/dynamic-profile/view/1904255","19-1904255")</f>
        <v>0</v>
      </c>
      <c r="B542" t="s">
        <v>534</v>
      </c>
      <c r="C542" t="s">
        <v>5452</v>
      </c>
      <c r="D542" t="s">
        <v>9926</v>
      </c>
      <c r="E542" t="s">
        <v>10075</v>
      </c>
      <c r="F542">
        <v>10453</v>
      </c>
      <c r="G542" t="s">
        <v>10090</v>
      </c>
      <c r="H542" t="s">
        <v>10118</v>
      </c>
      <c r="I542" t="s">
        <v>10168</v>
      </c>
      <c r="J542" t="s">
        <v>10210</v>
      </c>
      <c r="K542" t="s">
        <v>10217</v>
      </c>
      <c r="M542" t="s">
        <v>10333</v>
      </c>
      <c r="N542" t="s">
        <v>10683</v>
      </c>
      <c r="P542" t="s">
        <v>10757</v>
      </c>
      <c r="Q542" t="s">
        <v>10789</v>
      </c>
      <c r="R542" t="s">
        <v>10822</v>
      </c>
      <c r="T542">
        <v>9240.120000000001</v>
      </c>
      <c r="U542">
        <v>770.01</v>
      </c>
      <c r="V542">
        <v>58</v>
      </c>
      <c r="W542">
        <v>1</v>
      </c>
      <c r="X542">
        <v>0</v>
      </c>
      <c r="Z542">
        <v>73.98</v>
      </c>
      <c r="AA542">
        <v>40.846364</v>
      </c>
      <c r="AB542">
        <v>-73.91416700000001</v>
      </c>
      <c r="AD542" t="s">
        <v>10839</v>
      </c>
      <c r="AG542" t="s">
        <v>10858</v>
      </c>
      <c r="AH542" t="s">
        <v>10874</v>
      </c>
      <c r="AI542">
        <v>230</v>
      </c>
      <c r="AJ542" t="s">
        <v>10210</v>
      </c>
      <c r="AL542">
        <v>8.449999999999999</v>
      </c>
      <c r="AM542" t="s">
        <v>10884</v>
      </c>
      <c r="AN542" t="s">
        <v>10929</v>
      </c>
      <c r="AO542" t="s">
        <v>11013</v>
      </c>
      <c r="AP542" t="s">
        <v>11045</v>
      </c>
      <c r="AQ542" t="s">
        <v>11121</v>
      </c>
      <c r="AR542" t="s">
        <v>11268</v>
      </c>
      <c r="AS542" t="s">
        <v>9926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</row>
    <row r="543" spans="1:59">
      <c r="A543" s="1">
        <f>HYPERLINK("https://lsnyc.legalserver.org/matter/dynamic-profile/view/1904256","19-1904256")</f>
        <v>0</v>
      </c>
      <c r="B543" t="s">
        <v>535</v>
      </c>
      <c r="C543" t="s">
        <v>5453</v>
      </c>
      <c r="D543" t="s">
        <v>9928</v>
      </c>
      <c r="E543" t="s">
        <v>10075</v>
      </c>
      <c r="F543">
        <v>11221</v>
      </c>
      <c r="G543" t="s">
        <v>10093</v>
      </c>
      <c r="H543" t="s">
        <v>10118</v>
      </c>
      <c r="I543" t="s">
        <v>10168</v>
      </c>
      <c r="J543" t="s">
        <v>10213</v>
      </c>
      <c r="K543" t="s">
        <v>10217</v>
      </c>
      <c r="M543" t="s">
        <v>10392</v>
      </c>
      <c r="N543" t="s">
        <v>10650</v>
      </c>
      <c r="P543" t="s">
        <v>10749</v>
      </c>
      <c r="Q543" t="s">
        <v>10769</v>
      </c>
      <c r="R543" t="s">
        <v>10825</v>
      </c>
      <c r="T543">
        <v>80000</v>
      </c>
      <c r="U543">
        <v>6666.67</v>
      </c>
      <c r="V543">
        <v>51</v>
      </c>
      <c r="W543">
        <v>3</v>
      </c>
      <c r="X543">
        <v>2</v>
      </c>
      <c r="Z543">
        <v>265.16</v>
      </c>
      <c r="AA543">
        <v>40.692299</v>
      </c>
      <c r="AB543">
        <v>-73.938599</v>
      </c>
      <c r="AD543" t="s">
        <v>10839</v>
      </c>
      <c r="AG543" t="s">
        <v>10858</v>
      </c>
      <c r="AH543" t="s">
        <v>10862</v>
      </c>
      <c r="AI543">
        <v>239</v>
      </c>
      <c r="AJ543" t="s">
        <v>10213</v>
      </c>
      <c r="AL543">
        <v>0</v>
      </c>
      <c r="AM543" t="s">
        <v>10889</v>
      </c>
      <c r="AN543" t="s">
        <v>10914</v>
      </c>
      <c r="AO543" t="s">
        <v>11011</v>
      </c>
      <c r="AP543" t="s">
        <v>11052</v>
      </c>
      <c r="AR543" t="s">
        <v>11257</v>
      </c>
      <c r="AS543" t="s">
        <v>11595</v>
      </c>
      <c r="BA543" t="s">
        <v>11740</v>
      </c>
      <c r="BB543">
        <v>0</v>
      </c>
      <c r="BC543">
        <v>0</v>
      </c>
      <c r="BD543">
        <v>0</v>
      </c>
      <c r="BE543">
        <v>0</v>
      </c>
      <c r="BF543">
        <v>2</v>
      </c>
      <c r="BG543">
        <v>0</v>
      </c>
    </row>
    <row r="544" spans="1:59">
      <c r="A544" s="1">
        <f>HYPERLINK("https://lsnyc.legalserver.org/matter/dynamic-profile/view/1904257","19-1904257")</f>
        <v>0</v>
      </c>
      <c r="B544" t="s">
        <v>536</v>
      </c>
      <c r="C544" t="s">
        <v>5453</v>
      </c>
      <c r="D544" t="s">
        <v>9928</v>
      </c>
      <c r="E544" t="s">
        <v>10075</v>
      </c>
      <c r="F544">
        <v>11221</v>
      </c>
      <c r="G544" t="s">
        <v>10093</v>
      </c>
      <c r="H544" t="s">
        <v>10118</v>
      </c>
      <c r="I544" t="s">
        <v>10168</v>
      </c>
      <c r="J544" t="s">
        <v>10213</v>
      </c>
      <c r="K544" t="s">
        <v>10217</v>
      </c>
      <c r="M544" t="s">
        <v>10392</v>
      </c>
      <c r="N544" t="s">
        <v>10650</v>
      </c>
      <c r="P544" t="s">
        <v>10749</v>
      </c>
      <c r="Q544" t="s">
        <v>10769</v>
      </c>
      <c r="R544" t="s">
        <v>10824</v>
      </c>
      <c r="T544">
        <v>18820</v>
      </c>
      <c r="U544">
        <v>1568.33</v>
      </c>
      <c r="V544">
        <v>58</v>
      </c>
      <c r="W544">
        <v>1</v>
      </c>
      <c r="X544">
        <v>0</v>
      </c>
      <c r="Z544">
        <v>150.68</v>
      </c>
      <c r="AA544">
        <v>40.692299</v>
      </c>
      <c r="AB544">
        <v>-73.938599</v>
      </c>
      <c r="AD544" t="s">
        <v>10839</v>
      </c>
      <c r="AG544" t="s">
        <v>10858</v>
      </c>
      <c r="AH544" t="s">
        <v>10862</v>
      </c>
      <c r="AI544">
        <v>239</v>
      </c>
      <c r="AJ544" t="s">
        <v>10213</v>
      </c>
      <c r="AL544">
        <v>0</v>
      </c>
      <c r="AM544" t="s">
        <v>10889</v>
      </c>
      <c r="AN544" t="s">
        <v>10914</v>
      </c>
      <c r="AO544" t="s">
        <v>11011</v>
      </c>
      <c r="AP544" t="s">
        <v>11052</v>
      </c>
      <c r="AR544" t="s">
        <v>11328</v>
      </c>
      <c r="AS544" t="s">
        <v>11595</v>
      </c>
      <c r="BA544" t="s">
        <v>11740</v>
      </c>
      <c r="BB544">
        <v>0</v>
      </c>
      <c r="BC544">
        <v>0</v>
      </c>
      <c r="BD544">
        <v>0</v>
      </c>
      <c r="BE544">
        <v>0</v>
      </c>
      <c r="BF544">
        <v>2</v>
      </c>
      <c r="BG544">
        <v>0</v>
      </c>
    </row>
    <row r="545" spans="1:59">
      <c r="A545" s="1">
        <f>HYPERLINK("https://lsnyc.legalserver.org/matter/dynamic-profile/view/1904258","19-1904258")</f>
        <v>0</v>
      </c>
      <c r="B545" t="s">
        <v>537</v>
      </c>
      <c r="C545" t="s">
        <v>5454</v>
      </c>
      <c r="D545" t="s">
        <v>9929</v>
      </c>
      <c r="E545" t="s">
        <v>10075</v>
      </c>
      <c r="F545">
        <v>10303</v>
      </c>
      <c r="G545" t="s">
        <v>10088</v>
      </c>
      <c r="H545" t="s">
        <v>10118</v>
      </c>
      <c r="I545" t="s">
        <v>10168</v>
      </c>
      <c r="J545" t="s">
        <v>10208</v>
      </c>
      <c r="K545" t="s">
        <v>10217</v>
      </c>
      <c r="M545" t="s">
        <v>10259</v>
      </c>
      <c r="N545" t="s">
        <v>10655</v>
      </c>
      <c r="P545" t="s">
        <v>10749</v>
      </c>
      <c r="Q545" t="s">
        <v>10767</v>
      </c>
      <c r="R545" t="s">
        <v>10824</v>
      </c>
      <c r="T545">
        <v>31200</v>
      </c>
      <c r="U545">
        <v>2600</v>
      </c>
      <c r="V545">
        <v>39</v>
      </c>
      <c r="W545">
        <v>1</v>
      </c>
      <c r="X545">
        <v>2</v>
      </c>
      <c r="Z545">
        <v>146.27</v>
      </c>
      <c r="AA545">
        <v>40.631469</v>
      </c>
      <c r="AB545">
        <v>-74.163929</v>
      </c>
      <c r="AD545" t="s">
        <v>10839</v>
      </c>
      <c r="AG545" t="s">
        <v>10858</v>
      </c>
      <c r="AH545" t="s">
        <v>10862</v>
      </c>
      <c r="AI545">
        <v>285</v>
      </c>
      <c r="AJ545" t="s">
        <v>10208</v>
      </c>
      <c r="AL545">
        <v>4.9</v>
      </c>
      <c r="AM545" t="s">
        <v>10883</v>
      </c>
      <c r="AN545" t="s">
        <v>10928</v>
      </c>
      <c r="AO545" t="s">
        <v>11006</v>
      </c>
      <c r="AP545" t="s">
        <v>11051</v>
      </c>
      <c r="AR545" t="s">
        <v>11257</v>
      </c>
      <c r="AS545" t="s">
        <v>11593</v>
      </c>
      <c r="BA545" t="s">
        <v>11738</v>
      </c>
      <c r="BB545">
        <v>0</v>
      </c>
      <c r="BC545">
        <v>0</v>
      </c>
      <c r="BD545">
        <v>0</v>
      </c>
      <c r="BE545">
        <v>0</v>
      </c>
      <c r="BF545">
        <v>5</v>
      </c>
      <c r="BG545">
        <v>0</v>
      </c>
    </row>
    <row r="546" spans="1:59">
      <c r="A546" s="1">
        <f>HYPERLINK("https://lsnyc.legalserver.org/matter/dynamic-profile/view/1904259","19-1904259")</f>
        <v>0</v>
      </c>
      <c r="B546" t="s">
        <v>538</v>
      </c>
      <c r="C546" t="s">
        <v>5455</v>
      </c>
      <c r="D546" t="s">
        <v>9928</v>
      </c>
      <c r="E546" t="s">
        <v>10075</v>
      </c>
      <c r="F546">
        <v>11221</v>
      </c>
      <c r="G546" t="s">
        <v>10093</v>
      </c>
      <c r="H546" t="s">
        <v>10118</v>
      </c>
      <c r="I546" t="s">
        <v>10168</v>
      </c>
      <c r="J546" t="s">
        <v>10213</v>
      </c>
      <c r="K546" t="s">
        <v>10217</v>
      </c>
      <c r="M546" t="s">
        <v>10268</v>
      </c>
      <c r="N546" t="s">
        <v>10667</v>
      </c>
      <c r="P546" t="s">
        <v>10749</v>
      </c>
      <c r="Q546" t="s">
        <v>10765</v>
      </c>
      <c r="R546" t="s">
        <v>10824</v>
      </c>
      <c r="T546">
        <v>23920</v>
      </c>
      <c r="U546">
        <v>1993.33</v>
      </c>
      <c r="V546">
        <v>51</v>
      </c>
      <c r="W546">
        <v>2</v>
      </c>
      <c r="X546">
        <v>1</v>
      </c>
      <c r="Z546">
        <v>112.14</v>
      </c>
      <c r="AA546">
        <v>40.688319</v>
      </c>
      <c r="AB546">
        <v>-73.943147</v>
      </c>
      <c r="AD546" t="s">
        <v>10839</v>
      </c>
      <c r="AG546" t="s">
        <v>10858</v>
      </c>
      <c r="AH546" t="s">
        <v>10862</v>
      </c>
      <c r="AI546">
        <v>239</v>
      </c>
      <c r="AJ546" t="s">
        <v>10213</v>
      </c>
      <c r="AL546">
        <v>0.9</v>
      </c>
      <c r="AM546" t="s">
        <v>10889</v>
      </c>
      <c r="AN546" t="s">
        <v>10914</v>
      </c>
      <c r="AO546" t="s">
        <v>11007</v>
      </c>
      <c r="AP546" t="s">
        <v>11052</v>
      </c>
      <c r="AR546" t="s">
        <v>11281</v>
      </c>
      <c r="AS546" t="s">
        <v>11595</v>
      </c>
      <c r="BA546" t="s">
        <v>11741</v>
      </c>
      <c r="BB546">
        <v>0</v>
      </c>
      <c r="BC546">
        <v>0</v>
      </c>
      <c r="BD546">
        <v>0</v>
      </c>
      <c r="BE546">
        <v>0</v>
      </c>
      <c r="BF546">
        <v>1</v>
      </c>
      <c r="BG546">
        <v>0</v>
      </c>
    </row>
    <row r="547" spans="1:59">
      <c r="A547" s="1">
        <f>HYPERLINK("https://lsnyc.legalserver.org/matter/dynamic-profile/view/1904260","19-1904260")</f>
        <v>0</v>
      </c>
      <c r="B547" t="s">
        <v>539</v>
      </c>
      <c r="C547" t="s">
        <v>5430</v>
      </c>
      <c r="D547" t="s">
        <v>9928</v>
      </c>
      <c r="E547" t="s">
        <v>10075</v>
      </c>
      <c r="F547">
        <v>11221</v>
      </c>
      <c r="G547" t="s">
        <v>10093</v>
      </c>
      <c r="H547" t="s">
        <v>10118</v>
      </c>
      <c r="I547" t="s">
        <v>10168</v>
      </c>
      <c r="J547" t="s">
        <v>10213</v>
      </c>
      <c r="K547" t="s">
        <v>10217</v>
      </c>
      <c r="M547" t="s">
        <v>10392</v>
      </c>
      <c r="N547" t="s">
        <v>10650</v>
      </c>
      <c r="P547" t="s">
        <v>10749</v>
      </c>
      <c r="Q547" t="s">
        <v>10769</v>
      </c>
      <c r="R547" t="s">
        <v>10822</v>
      </c>
      <c r="T547">
        <v>85000</v>
      </c>
      <c r="U547">
        <v>7083.33</v>
      </c>
      <c r="V547">
        <v>57</v>
      </c>
      <c r="W547">
        <v>3</v>
      </c>
      <c r="X547">
        <v>0</v>
      </c>
      <c r="Z547">
        <v>398.5</v>
      </c>
      <c r="AA547">
        <v>40.692296</v>
      </c>
      <c r="AB547">
        <v>-73.938714</v>
      </c>
      <c r="AD547" t="s">
        <v>10840</v>
      </c>
      <c r="AG547" t="s">
        <v>10858</v>
      </c>
      <c r="AH547" t="s">
        <v>10862</v>
      </c>
      <c r="AI547">
        <v>239</v>
      </c>
      <c r="AJ547" t="s">
        <v>10213</v>
      </c>
      <c r="AL547">
        <v>0</v>
      </c>
      <c r="AM547" t="s">
        <v>10889</v>
      </c>
      <c r="AN547" t="s">
        <v>10914</v>
      </c>
      <c r="AO547" t="s">
        <v>11011</v>
      </c>
      <c r="AP547" t="s">
        <v>11052</v>
      </c>
      <c r="AR547" t="s">
        <v>11257</v>
      </c>
      <c r="AS547" t="s">
        <v>11595</v>
      </c>
      <c r="AT547" t="s">
        <v>11642</v>
      </c>
      <c r="BA547" t="s">
        <v>11740</v>
      </c>
      <c r="BB547">
        <v>0</v>
      </c>
      <c r="BC547">
        <v>0</v>
      </c>
      <c r="BD547">
        <v>0</v>
      </c>
      <c r="BE547">
        <v>0</v>
      </c>
      <c r="BF547">
        <v>2</v>
      </c>
      <c r="BG547">
        <v>0</v>
      </c>
    </row>
    <row r="548" spans="1:59">
      <c r="A548" s="1">
        <f>HYPERLINK("https://lsnyc.legalserver.org/matter/dynamic-profile/view/1904261","19-1904261")</f>
        <v>0</v>
      </c>
      <c r="B548" t="s">
        <v>540</v>
      </c>
      <c r="C548" t="s">
        <v>5456</v>
      </c>
      <c r="D548" t="s">
        <v>9928</v>
      </c>
      <c r="E548" t="s">
        <v>10075</v>
      </c>
      <c r="F548">
        <v>11226</v>
      </c>
      <c r="G548" t="s">
        <v>10093</v>
      </c>
      <c r="H548" t="s">
        <v>10118</v>
      </c>
      <c r="I548" t="s">
        <v>10168</v>
      </c>
      <c r="J548" t="s">
        <v>10213</v>
      </c>
      <c r="K548" t="s">
        <v>10217</v>
      </c>
      <c r="M548" t="s">
        <v>10304</v>
      </c>
      <c r="N548" t="s">
        <v>10671</v>
      </c>
      <c r="P548" t="s">
        <v>10749</v>
      </c>
      <c r="Q548" t="s">
        <v>10765</v>
      </c>
      <c r="R548" t="s">
        <v>10824</v>
      </c>
      <c r="T548">
        <v>33000</v>
      </c>
      <c r="U548">
        <v>2750</v>
      </c>
      <c r="V548">
        <v>34</v>
      </c>
      <c r="W548">
        <v>1</v>
      </c>
      <c r="X548">
        <v>2</v>
      </c>
      <c r="Z548">
        <v>154.71</v>
      </c>
      <c r="AA548">
        <v>40.640455</v>
      </c>
      <c r="AB548">
        <v>-73.958355</v>
      </c>
      <c r="AD548" t="s">
        <v>10839</v>
      </c>
      <c r="AG548" t="s">
        <v>10858</v>
      </c>
      <c r="AH548" t="s">
        <v>10861</v>
      </c>
      <c r="AI548">
        <v>234</v>
      </c>
      <c r="AJ548" t="s">
        <v>10214</v>
      </c>
      <c r="AL548">
        <v>0.95</v>
      </c>
      <c r="AM548" t="s">
        <v>10888</v>
      </c>
      <c r="AN548" t="s">
        <v>10932</v>
      </c>
      <c r="AO548" t="s">
        <v>11008</v>
      </c>
      <c r="AP548" t="s">
        <v>11050</v>
      </c>
      <c r="AR548" t="s">
        <v>11257</v>
      </c>
      <c r="AS548" t="s">
        <v>11595</v>
      </c>
      <c r="AT548" t="s">
        <v>11641</v>
      </c>
      <c r="AX548" t="s">
        <v>10838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</row>
    <row r="549" spans="1:59">
      <c r="A549" s="1">
        <f>HYPERLINK("https://lsnyc.legalserver.org/matter/dynamic-profile/view/1904262","19-1904262")</f>
        <v>0</v>
      </c>
      <c r="B549" t="s">
        <v>541</v>
      </c>
      <c r="C549" t="s">
        <v>5430</v>
      </c>
      <c r="D549" t="s">
        <v>9928</v>
      </c>
      <c r="E549" t="s">
        <v>10075</v>
      </c>
      <c r="F549">
        <v>11221</v>
      </c>
      <c r="G549" t="s">
        <v>10093</v>
      </c>
      <c r="H549" t="s">
        <v>10118</v>
      </c>
      <c r="I549" t="s">
        <v>10168</v>
      </c>
      <c r="J549" t="s">
        <v>10213</v>
      </c>
      <c r="K549" t="s">
        <v>10217</v>
      </c>
      <c r="M549" t="s">
        <v>10392</v>
      </c>
      <c r="N549" t="s">
        <v>10650</v>
      </c>
      <c r="P549" t="s">
        <v>10749</v>
      </c>
      <c r="Q549" t="s">
        <v>10769</v>
      </c>
      <c r="R549" t="s">
        <v>10824</v>
      </c>
      <c r="T549">
        <v>14000</v>
      </c>
      <c r="U549">
        <v>1166.67</v>
      </c>
      <c r="V549">
        <v>41</v>
      </c>
      <c r="W549">
        <v>1</v>
      </c>
      <c r="X549">
        <v>1</v>
      </c>
      <c r="Z549">
        <v>82.79000000000001</v>
      </c>
      <c r="AA549">
        <v>40.692296</v>
      </c>
      <c r="AB549">
        <v>-73.938714</v>
      </c>
      <c r="AD549" t="s">
        <v>10839</v>
      </c>
      <c r="AF549" t="s">
        <v>10843</v>
      </c>
      <c r="AG549" t="s">
        <v>10859</v>
      </c>
      <c r="AH549" t="s">
        <v>10862</v>
      </c>
      <c r="AI549">
        <v>239</v>
      </c>
      <c r="AJ549" t="s">
        <v>10213</v>
      </c>
      <c r="AL549">
        <v>0</v>
      </c>
      <c r="AM549" t="s">
        <v>10889</v>
      </c>
      <c r="AN549" t="s">
        <v>10914</v>
      </c>
      <c r="AO549" t="s">
        <v>11011</v>
      </c>
      <c r="AP549" t="s">
        <v>11052</v>
      </c>
      <c r="AR549" t="s">
        <v>11262</v>
      </c>
      <c r="AS549" t="s">
        <v>11595</v>
      </c>
      <c r="AT549" t="s">
        <v>11641</v>
      </c>
      <c r="BA549" t="s">
        <v>11740</v>
      </c>
      <c r="BB549">
        <v>0</v>
      </c>
      <c r="BC549">
        <v>0</v>
      </c>
      <c r="BD549">
        <v>0</v>
      </c>
      <c r="BE549">
        <v>0</v>
      </c>
      <c r="BF549">
        <v>2</v>
      </c>
      <c r="BG549">
        <v>0</v>
      </c>
    </row>
    <row r="550" spans="1:59">
      <c r="A550" s="1">
        <f>HYPERLINK("https://lsnyc.legalserver.org/matter/dynamic-profile/view/1904264","19-1904264")</f>
        <v>0</v>
      </c>
      <c r="B550" t="s">
        <v>542</v>
      </c>
      <c r="C550" t="s">
        <v>5457</v>
      </c>
      <c r="D550" t="s">
        <v>9926</v>
      </c>
      <c r="E550" t="s">
        <v>10075</v>
      </c>
      <c r="F550">
        <v>10452</v>
      </c>
      <c r="G550" t="s">
        <v>10090</v>
      </c>
      <c r="H550" t="s">
        <v>10128</v>
      </c>
      <c r="I550" t="s">
        <v>10168</v>
      </c>
      <c r="J550" t="s">
        <v>10210</v>
      </c>
      <c r="K550" t="s">
        <v>10217</v>
      </c>
      <c r="M550" t="s">
        <v>10450</v>
      </c>
      <c r="N550" t="s">
        <v>10650</v>
      </c>
      <c r="P550" t="s">
        <v>10749</v>
      </c>
      <c r="Q550" t="s">
        <v>10765</v>
      </c>
      <c r="R550" t="s">
        <v>10821</v>
      </c>
      <c r="T550">
        <v>35100</v>
      </c>
      <c r="U550">
        <v>2925</v>
      </c>
      <c r="V550">
        <v>43</v>
      </c>
      <c r="W550">
        <v>1</v>
      </c>
      <c r="X550">
        <v>3</v>
      </c>
      <c r="Z550">
        <v>136.31</v>
      </c>
      <c r="AA550">
        <v>40.841131</v>
      </c>
      <c r="AB550">
        <v>-73.925557</v>
      </c>
      <c r="AD550" t="s">
        <v>10839</v>
      </c>
      <c r="AG550" t="s">
        <v>10858</v>
      </c>
      <c r="AH550" t="s">
        <v>10861</v>
      </c>
      <c r="AI550">
        <v>234</v>
      </c>
      <c r="AJ550" t="s">
        <v>10214</v>
      </c>
      <c r="AL550">
        <v>2.1</v>
      </c>
      <c r="AM550" t="s">
        <v>10884</v>
      </c>
      <c r="AN550" t="s">
        <v>10929</v>
      </c>
      <c r="AO550" t="s">
        <v>11013</v>
      </c>
      <c r="AP550" t="s">
        <v>11055</v>
      </c>
      <c r="AR550" t="s">
        <v>11257</v>
      </c>
      <c r="AS550" t="s">
        <v>9926</v>
      </c>
      <c r="AT550" t="s">
        <v>11641</v>
      </c>
      <c r="AX550" t="s">
        <v>10838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</row>
    <row r="551" spans="1:59">
      <c r="A551" s="1">
        <f>HYPERLINK("https://lsnyc.legalserver.org/matter/dynamic-profile/view/1904266","19-1904266")</f>
        <v>0</v>
      </c>
      <c r="B551" t="s">
        <v>543</v>
      </c>
      <c r="C551" t="s">
        <v>5458</v>
      </c>
      <c r="D551" t="s">
        <v>9969</v>
      </c>
      <c r="E551" t="s">
        <v>10075</v>
      </c>
      <c r="F551">
        <v>10954</v>
      </c>
      <c r="G551" t="s">
        <v>10089</v>
      </c>
      <c r="H551" t="s">
        <v>10118</v>
      </c>
      <c r="I551" t="s">
        <v>10168</v>
      </c>
      <c r="J551" t="s">
        <v>10209</v>
      </c>
      <c r="K551" t="s">
        <v>10217</v>
      </c>
      <c r="M551" t="s">
        <v>10270</v>
      </c>
      <c r="N551" t="s">
        <v>10671</v>
      </c>
      <c r="P551" t="s">
        <v>10754</v>
      </c>
      <c r="Q551" t="s">
        <v>10775</v>
      </c>
      <c r="R551" t="s">
        <v>10827</v>
      </c>
      <c r="T551">
        <v>0</v>
      </c>
      <c r="U551">
        <v>0</v>
      </c>
      <c r="V551">
        <v>56</v>
      </c>
      <c r="W551">
        <v>1</v>
      </c>
      <c r="X551">
        <v>0</v>
      </c>
      <c r="Z551">
        <v>0</v>
      </c>
      <c r="AA551">
        <v>41.07582</v>
      </c>
      <c r="AB551">
        <v>-74.03411</v>
      </c>
      <c r="AD551" t="s">
        <v>10839</v>
      </c>
      <c r="AG551" t="s">
        <v>10858</v>
      </c>
      <c r="AH551" t="s">
        <v>10871</v>
      </c>
      <c r="AI551">
        <v>234</v>
      </c>
      <c r="AJ551" t="s">
        <v>10214</v>
      </c>
      <c r="AL551">
        <v>1</v>
      </c>
      <c r="AM551" t="s">
        <v>10896</v>
      </c>
      <c r="AN551" t="s">
        <v>10972</v>
      </c>
      <c r="AO551" t="s">
        <v>11027</v>
      </c>
      <c r="AR551" t="s">
        <v>11267</v>
      </c>
      <c r="AS551" t="s">
        <v>9925</v>
      </c>
      <c r="AT551" t="s">
        <v>11641</v>
      </c>
      <c r="AX551" t="s">
        <v>10837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</row>
    <row r="552" spans="1:59">
      <c r="A552" s="1">
        <f>HYPERLINK("https://lsnyc.legalserver.org/matter/dynamic-profile/view/1904267","19-1904267")</f>
        <v>0</v>
      </c>
      <c r="B552" t="s">
        <v>544</v>
      </c>
      <c r="C552" t="s">
        <v>5459</v>
      </c>
      <c r="D552" t="s">
        <v>9925</v>
      </c>
      <c r="E552" t="s">
        <v>10075</v>
      </c>
      <c r="F552">
        <v>10032</v>
      </c>
      <c r="G552" t="s">
        <v>10089</v>
      </c>
      <c r="H552" t="s">
        <v>10118</v>
      </c>
      <c r="I552" t="s">
        <v>10168</v>
      </c>
      <c r="J552" t="s">
        <v>10209</v>
      </c>
      <c r="K552" t="s">
        <v>10218</v>
      </c>
      <c r="L552" t="s">
        <v>10105</v>
      </c>
      <c r="M552" t="s">
        <v>10451</v>
      </c>
      <c r="N552" t="s">
        <v>10650</v>
      </c>
      <c r="P552" t="s">
        <v>10749</v>
      </c>
      <c r="Q552" t="s">
        <v>10765</v>
      </c>
      <c r="R552" t="s">
        <v>10824</v>
      </c>
      <c r="T552">
        <v>31200</v>
      </c>
      <c r="U552">
        <v>2600</v>
      </c>
      <c r="V552">
        <v>84</v>
      </c>
      <c r="W552">
        <v>1</v>
      </c>
      <c r="X552">
        <v>0</v>
      </c>
      <c r="Y552" t="s">
        <v>10829</v>
      </c>
      <c r="Z552">
        <v>249.8</v>
      </c>
      <c r="AA552">
        <v>40.837494</v>
      </c>
      <c r="AB552">
        <v>-73.94560300000001</v>
      </c>
      <c r="AD552" t="s">
        <v>10840</v>
      </c>
      <c r="AG552" t="s">
        <v>10858</v>
      </c>
      <c r="AH552" t="s">
        <v>10862</v>
      </c>
      <c r="AI552">
        <v>236</v>
      </c>
      <c r="AJ552" t="s">
        <v>10209</v>
      </c>
      <c r="AK552" t="s">
        <v>10838</v>
      </c>
      <c r="AL552">
        <v>1.5</v>
      </c>
      <c r="AM552" t="s">
        <v>10887</v>
      </c>
      <c r="AN552" t="s">
        <v>10943</v>
      </c>
      <c r="AO552" t="s">
        <v>11019</v>
      </c>
      <c r="AP552" t="s">
        <v>11073</v>
      </c>
      <c r="AR552" t="s">
        <v>11355</v>
      </c>
      <c r="AS552" t="s">
        <v>9925</v>
      </c>
      <c r="AT552" t="s">
        <v>11642</v>
      </c>
      <c r="AX552" t="s">
        <v>11678</v>
      </c>
      <c r="AY552" t="s">
        <v>10829</v>
      </c>
      <c r="AZ552" t="s">
        <v>11681</v>
      </c>
      <c r="BA552" t="s">
        <v>11741</v>
      </c>
      <c r="BB552">
        <v>0</v>
      </c>
      <c r="BC552">
        <v>0</v>
      </c>
      <c r="BD552">
        <v>0</v>
      </c>
      <c r="BE552">
        <v>0</v>
      </c>
      <c r="BF552">
        <v>1</v>
      </c>
      <c r="BG552">
        <v>0</v>
      </c>
    </row>
    <row r="553" spans="1:59">
      <c r="A553" s="1">
        <f>HYPERLINK("https://lsnyc.legalserver.org/matter/dynamic-profile/view/1904268","19-1904268")</f>
        <v>0</v>
      </c>
      <c r="B553" t="s">
        <v>545</v>
      </c>
      <c r="C553" t="s">
        <v>5430</v>
      </c>
      <c r="D553" t="s">
        <v>9928</v>
      </c>
      <c r="E553" t="s">
        <v>10075</v>
      </c>
      <c r="F553">
        <v>11221</v>
      </c>
      <c r="G553" t="s">
        <v>10093</v>
      </c>
      <c r="H553" t="s">
        <v>10118</v>
      </c>
      <c r="I553" t="s">
        <v>10168</v>
      </c>
      <c r="J553" t="s">
        <v>10213</v>
      </c>
      <c r="K553" t="s">
        <v>10217</v>
      </c>
      <c r="M553" t="s">
        <v>10392</v>
      </c>
      <c r="N553" t="s">
        <v>10650</v>
      </c>
      <c r="P553" t="s">
        <v>10749</v>
      </c>
      <c r="Q553" t="s">
        <v>10769</v>
      </c>
      <c r="R553" t="s">
        <v>10824</v>
      </c>
      <c r="T553">
        <v>48000</v>
      </c>
      <c r="U553">
        <v>4000</v>
      </c>
      <c r="V553">
        <v>53</v>
      </c>
      <c r="W553">
        <v>1</v>
      </c>
      <c r="X553">
        <v>0</v>
      </c>
      <c r="Z553">
        <v>384.31</v>
      </c>
      <c r="AA553">
        <v>40.692296</v>
      </c>
      <c r="AB553">
        <v>-73.938714</v>
      </c>
      <c r="AD553" t="s">
        <v>10840</v>
      </c>
      <c r="AG553" t="s">
        <v>10858</v>
      </c>
      <c r="AH553" t="s">
        <v>10862</v>
      </c>
      <c r="AI553">
        <v>239</v>
      </c>
      <c r="AJ553" t="s">
        <v>10213</v>
      </c>
      <c r="AL553">
        <v>0</v>
      </c>
      <c r="AM553" t="s">
        <v>10889</v>
      </c>
      <c r="AN553" t="s">
        <v>10914</v>
      </c>
      <c r="AO553" t="s">
        <v>11011</v>
      </c>
      <c r="AP553" t="s">
        <v>11052</v>
      </c>
      <c r="AR553" t="s">
        <v>11257</v>
      </c>
      <c r="AS553" t="s">
        <v>11595</v>
      </c>
      <c r="AT553" t="s">
        <v>11642</v>
      </c>
      <c r="BA553" t="s">
        <v>11740</v>
      </c>
      <c r="BB553">
        <v>0</v>
      </c>
      <c r="BC553">
        <v>0</v>
      </c>
      <c r="BD553">
        <v>0</v>
      </c>
      <c r="BE553">
        <v>0</v>
      </c>
      <c r="BF553">
        <v>2</v>
      </c>
      <c r="BG553">
        <v>0</v>
      </c>
    </row>
    <row r="554" spans="1:59">
      <c r="A554" s="1">
        <f>HYPERLINK("https://lsnyc.legalserver.org/matter/dynamic-profile/view/1904270","19-1904270")</f>
        <v>0</v>
      </c>
      <c r="B554" t="s">
        <v>546</v>
      </c>
      <c r="C554" t="s">
        <v>5460</v>
      </c>
      <c r="D554" t="s">
        <v>9929</v>
      </c>
      <c r="E554" t="s">
        <v>10075</v>
      </c>
      <c r="F554">
        <v>10303</v>
      </c>
      <c r="G554" t="s">
        <v>10088</v>
      </c>
      <c r="H554" t="s">
        <v>10118</v>
      </c>
      <c r="I554" t="s">
        <v>10168</v>
      </c>
      <c r="J554" t="s">
        <v>10208</v>
      </c>
      <c r="K554" t="s">
        <v>10217</v>
      </c>
      <c r="M554" t="s">
        <v>10240</v>
      </c>
      <c r="N554" t="s">
        <v>10655</v>
      </c>
      <c r="P554" t="s">
        <v>10749</v>
      </c>
      <c r="Q554" t="s">
        <v>10767</v>
      </c>
      <c r="R554" t="s">
        <v>10824</v>
      </c>
      <c r="T554">
        <v>3480</v>
      </c>
      <c r="U554">
        <v>290</v>
      </c>
      <c r="V554">
        <v>45</v>
      </c>
      <c r="W554">
        <v>1</v>
      </c>
      <c r="X554">
        <v>1</v>
      </c>
      <c r="Z554">
        <v>20.58</v>
      </c>
      <c r="AA554">
        <v>40.630237</v>
      </c>
      <c r="AB554">
        <v>-74.162661</v>
      </c>
      <c r="AD554" t="s">
        <v>10839</v>
      </c>
      <c r="AG554" t="s">
        <v>10858</v>
      </c>
      <c r="AH554" t="s">
        <v>10862</v>
      </c>
      <c r="AI554">
        <v>285</v>
      </c>
      <c r="AJ554" t="s">
        <v>10208</v>
      </c>
      <c r="AL554">
        <v>7.4</v>
      </c>
      <c r="AM554" t="s">
        <v>10883</v>
      </c>
      <c r="AN554" t="s">
        <v>10928</v>
      </c>
      <c r="AO554" t="s">
        <v>11006</v>
      </c>
      <c r="AP554" t="s">
        <v>11051</v>
      </c>
      <c r="AR554" t="s">
        <v>11311</v>
      </c>
      <c r="AS554" t="s">
        <v>11593</v>
      </c>
      <c r="BA554" t="s">
        <v>11738</v>
      </c>
      <c r="BB554">
        <v>0</v>
      </c>
      <c r="BC554">
        <v>0</v>
      </c>
      <c r="BD554">
        <v>0</v>
      </c>
      <c r="BE554">
        <v>0</v>
      </c>
      <c r="BF554">
        <v>5</v>
      </c>
      <c r="BG554">
        <v>0</v>
      </c>
    </row>
    <row r="555" spans="1:59">
      <c r="A555" s="1">
        <f>HYPERLINK("https://lsnyc.legalserver.org/matter/dynamic-profile/view/1904271","19-1904271")</f>
        <v>0</v>
      </c>
      <c r="B555" t="s">
        <v>547</v>
      </c>
      <c r="C555" t="s">
        <v>5461</v>
      </c>
      <c r="D555" t="s">
        <v>9949</v>
      </c>
      <c r="E555" t="s">
        <v>10075</v>
      </c>
      <c r="F555">
        <v>11413</v>
      </c>
      <c r="G555" t="s">
        <v>10092</v>
      </c>
      <c r="H555" t="s">
        <v>10118</v>
      </c>
      <c r="I555" t="s">
        <v>10168</v>
      </c>
      <c r="J555" t="s">
        <v>10212</v>
      </c>
      <c r="K555" t="s">
        <v>10218</v>
      </c>
      <c r="L555" t="s">
        <v>10106</v>
      </c>
      <c r="M555" t="s">
        <v>10452</v>
      </c>
      <c r="N555" t="s">
        <v>10678</v>
      </c>
      <c r="P555" t="s">
        <v>10749</v>
      </c>
      <c r="Q555" t="s">
        <v>10769</v>
      </c>
      <c r="R555" t="s">
        <v>10824</v>
      </c>
      <c r="T555">
        <v>67200</v>
      </c>
      <c r="U555">
        <v>5600</v>
      </c>
      <c r="V555">
        <v>36</v>
      </c>
      <c r="W555">
        <v>2</v>
      </c>
      <c r="X555">
        <v>0</v>
      </c>
      <c r="Y555" t="s">
        <v>10829</v>
      </c>
      <c r="Z555">
        <v>397.4</v>
      </c>
      <c r="AA555">
        <v>40.673134</v>
      </c>
      <c r="AB555">
        <v>-73.762265</v>
      </c>
      <c r="AD555" t="s">
        <v>10840</v>
      </c>
      <c r="AG555" t="s">
        <v>10858</v>
      </c>
      <c r="AH555" t="s">
        <v>10860</v>
      </c>
      <c r="AI555">
        <v>237</v>
      </c>
      <c r="AJ555" t="s">
        <v>10212</v>
      </c>
      <c r="AK555" t="s">
        <v>10838</v>
      </c>
      <c r="AL555">
        <v>2</v>
      </c>
      <c r="AM555" t="s">
        <v>10892</v>
      </c>
      <c r="AN555" t="s">
        <v>10955</v>
      </c>
      <c r="AO555" t="s">
        <v>11017</v>
      </c>
      <c r="AP555" t="s">
        <v>11082</v>
      </c>
      <c r="AR555" t="s">
        <v>11356</v>
      </c>
      <c r="AS555" t="s">
        <v>11594</v>
      </c>
      <c r="AY555" t="s">
        <v>10829</v>
      </c>
      <c r="AZ555" t="s">
        <v>11681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</row>
    <row r="556" spans="1:59">
      <c r="A556" s="1">
        <f>HYPERLINK("https://lsnyc.legalserver.org/matter/dynamic-profile/view/1904272","19-1904272")</f>
        <v>0</v>
      </c>
      <c r="B556" t="s">
        <v>548</v>
      </c>
      <c r="C556" t="s">
        <v>5462</v>
      </c>
      <c r="D556" t="s">
        <v>9928</v>
      </c>
      <c r="E556" t="s">
        <v>10075</v>
      </c>
      <c r="F556">
        <v>11238</v>
      </c>
      <c r="G556" t="s">
        <v>10093</v>
      </c>
      <c r="H556" t="s">
        <v>10118</v>
      </c>
      <c r="I556" t="s">
        <v>10168</v>
      </c>
      <c r="J556" t="s">
        <v>10213</v>
      </c>
      <c r="K556" t="s">
        <v>10218</v>
      </c>
      <c r="L556" t="s">
        <v>10123</v>
      </c>
      <c r="M556" t="s">
        <v>10436</v>
      </c>
      <c r="N556" t="s">
        <v>10710</v>
      </c>
      <c r="P556" t="s">
        <v>10750</v>
      </c>
      <c r="Q556" t="s">
        <v>10760</v>
      </c>
      <c r="R556" t="s">
        <v>10824</v>
      </c>
      <c r="T556">
        <v>78000</v>
      </c>
      <c r="U556">
        <v>6500</v>
      </c>
      <c r="V556">
        <v>54</v>
      </c>
      <c r="W556">
        <v>1</v>
      </c>
      <c r="X556">
        <v>0</v>
      </c>
      <c r="Y556" t="s">
        <v>10829</v>
      </c>
      <c r="Z556">
        <v>624.5</v>
      </c>
      <c r="AA556">
        <v>40.680156</v>
      </c>
      <c r="AB556">
        <v>-73.971056</v>
      </c>
      <c r="AD556" t="s">
        <v>10839</v>
      </c>
      <c r="AG556" t="s">
        <v>10858</v>
      </c>
      <c r="AH556" t="s">
        <v>10861</v>
      </c>
      <c r="AI556">
        <v>234</v>
      </c>
      <c r="AJ556" t="s">
        <v>10214</v>
      </c>
      <c r="AK556" t="s">
        <v>10838</v>
      </c>
      <c r="AL556">
        <v>0.9</v>
      </c>
      <c r="AM556" t="s">
        <v>10888</v>
      </c>
      <c r="AN556" t="s">
        <v>10923</v>
      </c>
      <c r="AO556" t="s">
        <v>11007</v>
      </c>
      <c r="AP556" t="s">
        <v>11061</v>
      </c>
      <c r="AR556" t="s">
        <v>11257</v>
      </c>
      <c r="AS556" t="s">
        <v>11595</v>
      </c>
      <c r="AT556" t="s">
        <v>11641</v>
      </c>
      <c r="AX556" t="s">
        <v>10838</v>
      </c>
      <c r="AY556" t="s">
        <v>10829</v>
      </c>
      <c r="AZ556" t="s">
        <v>11679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</row>
    <row r="557" spans="1:59">
      <c r="A557" s="1">
        <f>HYPERLINK("https://lsnyc.legalserver.org/matter/dynamic-profile/view/1904273","19-1904273")</f>
        <v>0</v>
      </c>
      <c r="B557" t="s">
        <v>549</v>
      </c>
      <c r="C557" t="s">
        <v>5430</v>
      </c>
      <c r="D557" t="s">
        <v>9928</v>
      </c>
      <c r="E557" t="s">
        <v>10075</v>
      </c>
      <c r="F557">
        <v>11221</v>
      </c>
      <c r="G557" t="s">
        <v>10093</v>
      </c>
      <c r="H557" t="s">
        <v>10118</v>
      </c>
      <c r="I557" t="s">
        <v>10168</v>
      </c>
      <c r="J557" t="s">
        <v>10213</v>
      </c>
      <c r="K557" t="s">
        <v>10217</v>
      </c>
      <c r="M557" t="s">
        <v>10392</v>
      </c>
      <c r="N557" t="s">
        <v>10650</v>
      </c>
      <c r="P557" t="s">
        <v>10749</v>
      </c>
      <c r="Q557" t="s">
        <v>10769</v>
      </c>
      <c r="R557" t="s">
        <v>10824</v>
      </c>
      <c r="T557">
        <v>9100</v>
      </c>
      <c r="U557">
        <v>758.33</v>
      </c>
      <c r="V557">
        <v>30</v>
      </c>
      <c r="W557">
        <v>1</v>
      </c>
      <c r="X557">
        <v>0</v>
      </c>
      <c r="Z557">
        <v>72.86</v>
      </c>
      <c r="AA557">
        <v>40.692296</v>
      </c>
      <c r="AB557">
        <v>-73.938714</v>
      </c>
      <c r="AD557" t="s">
        <v>10840</v>
      </c>
      <c r="AG557" t="s">
        <v>10858</v>
      </c>
      <c r="AH557" t="s">
        <v>10862</v>
      </c>
      <c r="AI557">
        <v>239</v>
      </c>
      <c r="AJ557" t="s">
        <v>10213</v>
      </c>
      <c r="AL557">
        <v>0</v>
      </c>
      <c r="AM557" t="s">
        <v>10889</v>
      </c>
      <c r="AN557" t="s">
        <v>10914</v>
      </c>
      <c r="AO557" t="s">
        <v>11011</v>
      </c>
      <c r="AP557" t="s">
        <v>11052</v>
      </c>
      <c r="AR557" t="s">
        <v>11257</v>
      </c>
      <c r="AS557" t="s">
        <v>11595</v>
      </c>
      <c r="AT557" t="s">
        <v>11642</v>
      </c>
      <c r="BA557" t="s">
        <v>11740</v>
      </c>
      <c r="BB557">
        <v>0</v>
      </c>
      <c r="BC557">
        <v>0</v>
      </c>
      <c r="BD557">
        <v>0</v>
      </c>
      <c r="BE557">
        <v>0</v>
      </c>
      <c r="BF557">
        <v>2</v>
      </c>
      <c r="BG557">
        <v>0</v>
      </c>
    </row>
    <row r="558" spans="1:59">
      <c r="A558" s="1">
        <f>HYPERLINK("https://lsnyc.legalserver.org/matter/dynamic-profile/view/1904274","19-1904274")</f>
        <v>0</v>
      </c>
      <c r="B558" t="s">
        <v>550</v>
      </c>
      <c r="C558" t="s">
        <v>5463</v>
      </c>
      <c r="D558" t="s">
        <v>9925</v>
      </c>
      <c r="E558" t="s">
        <v>10075</v>
      </c>
      <c r="F558">
        <v>10013</v>
      </c>
      <c r="G558" t="s">
        <v>10089</v>
      </c>
      <c r="H558" t="s">
        <v>10118</v>
      </c>
      <c r="I558" t="s">
        <v>10181</v>
      </c>
      <c r="J558" t="s">
        <v>10209</v>
      </c>
      <c r="K558" t="s">
        <v>10217</v>
      </c>
      <c r="M558" t="s">
        <v>10453</v>
      </c>
      <c r="N558" t="s">
        <v>10650</v>
      </c>
      <c r="P558" t="s">
        <v>10749</v>
      </c>
      <c r="Q558" t="s">
        <v>10765</v>
      </c>
      <c r="R558" t="s">
        <v>10827</v>
      </c>
      <c r="T558">
        <v>20280</v>
      </c>
      <c r="U558">
        <v>1690</v>
      </c>
      <c r="V558">
        <v>73</v>
      </c>
      <c r="W558">
        <v>2</v>
      </c>
      <c r="X558">
        <v>0</v>
      </c>
      <c r="Z558">
        <v>119.93</v>
      </c>
      <c r="AA558">
        <v>40.71717</v>
      </c>
      <c r="AB558">
        <v>-73.99975499999999</v>
      </c>
      <c r="AD558" t="s">
        <v>10840</v>
      </c>
      <c r="AG558" t="s">
        <v>10858</v>
      </c>
      <c r="AH558" t="s">
        <v>10862</v>
      </c>
      <c r="AI558">
        <v>236</v>
      </c>
      <c r="AJ558" t="s">
        <v>10209</v>
      </c>
      <c r="AL558">
        <v>1</v>
      </c>
      <c r="AM558" t="s">
        <v>10886</v>
      </c>
      <c r="AN558" t="s">
        <v>10963</v>
      </c>
      <c r="AO558" t="s">
        <v>11004</v>
      </c>
      <c r="AP558" t="s">
        <v>11093</v>
      </c>
      <c r="AR558" t="s">
        <v>11293</v>
      </c>
      <c r="AS558" t="s">
        <v>9925</v>
      </c>
      <c r="BA558" t="s">
        <v>11742</v>
      </c>
      <c r="BB558">
        <v>0</v>
      </c>
      <c r="BC558">
        <v>0</v>
      </c>
      <c r="BD558">
        <v>0</v>
      </c>
      <c r="BE558">
        <v>0</v>
      </c>
      <c r="BF558">
        <v>7</v>
      </c>
      <c r="BG558">
        <v>0</v>
      </c>
    </row>
    <row r="559" spans="1:59">
      <c r="A559" s="1">
        <f>HYPERLINK("https://lsnyc.legalserver.org/matter/dynamic-profile/view/1904275","19-1904275")</f>
        <v>0</v>
      </c>
      <c r="B559" t="s">
        <v>551</v>
      </c>
      <c r="C559" t="s">
        <v>5464</v>
      </c>
      <c r="D559" t="s">
        <v>9928</v>
      </c>
      <c r="E559" t="s">
        <v>10075</v>
      </c>
      <c r="F559">
        <v>11223</v>
      </c>
      <c r="G559" t="s">
        <v>10093</v>
      </c>
      <c r="H559" t="s">
        <v>10118</v>
      </c>
      <c r="I559" t="s">
        <v>10169</v>
      </c>
      <c r="J559" t="s">
        <v>10213</v>
      </c>
      <c r="K559" t="s">
        <v>10217</v>
      </c>
      <c r="M559" t="s">
        <v>10315</v>
      </c>
      <c r="N559" t="s">
        <v>10686</v>
      </c>
      <c r="P559" t="s">
        <v>10750</v>
      </c>
      <c r="Q559" t="s">
        <v>10778</v>
      </c>
      <c r="R559" t="s">
        <v>10821</v>
      </c>
      <c r="T559">
        <v>33768</v>
      </c>
      <c r="U559">
        <v>2814</v>
      </c>
      <c r="V559">
        <v>54</v>
      </c>
      <c r="W559">
        <v>3</v>
      </c>
      <c r="X559">
        <v>0</v>
      </c>
      <c r="Z559">
        <v>158.31</v>
      </c>
      <c r="AA559">
        <v>40.596615</v>
      </c>
      <c r="AB559">
        <v>-73.978104</v>
      </c>
      <c r="AD559" t="s">
        <v>10839</v>
      </c>
      <c r="AG559" t="s">
        <v>10858</v>
      </c>
      <c r="AH559" t="s">
        <v>10861</v>
      </c>
      <c r="AI559">
        <v>234</v>
      </c>
      <c r="AJ559" t="s">
        <v>10214</v>
      </c>
      <c r="AL559">
        <v>5.55</v>
      </c>
      <c r="AM559" t="s">
        <v>10883</v>
      </c>
      <c r="AN559" t="s">
        <v>10969</v>
      </c>
      <c r="AO559" t="s">
        <v>11023</v>
      </c>
      <c r="AP559" t="s">
        <v>11087</v>
      </c>
      <c r="AR559" t="s">
        <v>11357</v>
      </c>
      <c r="AS559" t="s">
        <v>11595</v>
      </c>
      <c r="AT559" t="s">
        <v>11641</v>
      </c>
      <c r="AX559" t="s">
        <v>10838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</row>
    <row r="560" spans="1:59">
      <c r="A560" s="1">
        <f>HYPERLINK("https://lsnyc.legalserver.org/matter/dynamic-profile/view/1904276","19-1904276")</f>
        <v>0</v>
      </c>
      <c r="B560" t="s">
        <v>552</v>
      </c>
      <c r="C560" t="s">
        <v>5430</v>
      </c>
      <c r="D560" t="s">
        <v>9928</v>
      </c>
      <c r="E560" t="s">
        <v>10075</v>
      </c>
      <c r="F560">
        <v>11221</v>
      </c>
      <c r="G560" t="s">
        <v>10093</v>
      </c>
      <c r="H560" t="s">
        <v>10118</v>
      </c>
      <c r="I560" t="s">
        <v>10168</v>
      </c>
      <c r="J560" t="s">
        <v>10213</v>
      </c>
      <c r="K560" t="s">
        <v>10217</v>
      </c>
      <c r="M560" t="s">
        <v>10392</v>
      </c>
      <c r="N560" t="s">
        <v>10650</v>
      </c>
      <c r="P560" t="s">
        <v>10749</v>
      </c>
      <c r="Q560" t="s">
        <v>10769</v>
      </c>
      <c r="R560" t="s">
        <v>10822</v>
      </c>
      <c r="T560">
        <v>18476.9</v>
      </c>
      <c r="U560">
        <v>1539.74</v>
      </c>
      <c r="V560">
        <v>55</v>
      </c>
      <c r="W560">
        <v>1</v>
      </c>
      <c r="X560">
        <v>0</v>
      </c>
      <c r="Z560">
        <v>147.93</v>
      </c>
      <c r="AA560">
        <v>40.692296</v>
      </c>
      <c r="AB560">
        <v>-73.938714</v>
      </c>
      <c r="AD560" t="s">
        <v>10839</v>
      </c>
      <c r="AG560" t="s">
        <v>10858</v>
      </c>
      <c r="AH560" t="s">
        <v>10862</v>
      </c>
      <c r="AI560">
        <v>239</v>
      </c>
      <c r="AJ560" t="s">
        <v>10213</v>
      </c>
      <c r="AL560">
        <v>0</v>
      </c>
      <c r="AM560" t="s">
        <v>10889</v>
      </c>
      <c r="AN560" t="s">
        <v>10914</v>
      </c>
      <c r="AO560" t="s">
        <v>11011</v>
      </c>
      <c r="AP560" t="s">
        <v>11052</v>
      </c>
      <c r="AR560" t="s">
        <v>11262</v>
      </c>
      <c r="AS560" t="s">
        <v>11595</v>
      </c>
      <c r="AT560" t="s">
        <v>11641</v>
      </c>
      <c r="BA560" t="s">
        <v>11740</v>
      </c>
      <c r="BB560">
        <v>0</v>
      </c>
      <c r="BC560">
        <v>0</v>
      </c>
      <c r="BD560">
        <v>0</v>
      </c>
      <c r="BE560">
        <v>0</v>
      </c>
      <c r="BF560">
        <v>2</v>
      </c>
      <c r="BG560">
        <v>0</v>
      </c>
    </row>
    <row r="561" spans="1:59">
      <c r="A561" s="1">
        <f>HYPERLINK("https://lsnyc.legalserver.org/matter/dynamic-profile/view/1904277","19-1904277")</f>
        <v>0</v>
      </c>
      <c r="B561" t="s">
        <v>553</v>
      </c>
      <c r="C561" t="s">
        <v>5465</v>
      </c>
      <c r="D561" t="s">
        <v>9926</v>
      </c>
      <c r="E561" t="s">
        <v>10075</v>
      </c>
      <c r="F561">
        <v>10460</v>
      </c>
      <c r="G561" t="s">
        <v>10090</v>
      </c>
      <c r="H561" t="s">
        <v>10118</v>
      </c>
      <c r="I561" t="s">
        <v>10168</v>
      </c>
      <c r="J561" t="s">
        <v>10210</v>
      </c>
      <c r="K561" t="s">
        <v>10217</v>
      </c>
      <c r="M561" t="s">
        <v>10397</v>
      </c>
      <c r="N561" t="s">
        <v>10650</v>
      </c>
      <c r="P561" t="s">
        <v>10749</v>
      </c>
      <c r="Q561" t="s">
        <v>10765</v>
      </c>
      <c r="R561" t="s">
        <v>10824</v>
      </c>
      <c r="T561">
        <v>14160</v>
      </c>
      <c r="U561">
        <v>1180</v>
      </c>
      <c r="V561">
        <v>59</v>
      </c>
      <c r="W561">
        <v>2</v>
      </c>
      <c r="X561">
        <v>0</v>
      </c>
      <c r="Z561">
        <v>83.73999999999999</v>
      </c>
      <c r="AA561">
        <v>40.831778</v>
      </c>
      <c r="AB561">
        <v>-73.885413</v>
      </c>
      <c r="AD561" t="s">
        <v>10839</v>
      </c>
      <c r="AG561" t="s">
        <v>10858</v>
      </c>
      <c r="AH561" t="s">
        <v>10861</v>
      </c>
      <c r="AI561">
        <v>234</v>
      </c>
      <c r="AJ561" t="s">
        <v>10214</v>
      </c>
      <c r="AL561">
        <v>2.3</v>
      </c>
      <c r="AM561" t="s">
        <v>10884</v>
      </c>
      <c r="AN561" t="s">
        <v>10968</v>
      </c>
      <c r="AO561" t="s">
        <v>11001</v>
      </c>
      <c r="AP561" t="s">
        <v>11062</v>
      </c>
      <c r="AR561" t="s">
        <v>11298</v>
      </c>
      <c r="AS561" t="s">
        <v>9926</v>
      </c>
      <c r="AT561" t="s">
        <v>11641</v>
      </c>
      <c r="AX561" t="s">
        <v>10838</v>
      </c>
      <c r="BA561" t="s">
        <v>11740</v>
      </c>
      <c r="BB561">
        <v>0</v>
      </c>
      <c r="BC561">
        <v>0</v>
      </c>
      <c r="BD561">
        <v>0</v>
      </c>
      <c r="BE561">
        <v>0</v>
      </c>
      <c r="BF561">
        <v>2</v>
      </c>
      <c r="BG561">
        <v>0</v>
      </c>
    </row>
    <row r="562" spans="1:59">
      <c r="A562" s="1">
        <f>HYPERLINK("https://lsnyc.legalserver.org/matter/dynamic-profile/view/1904279","19-1904279")</f>
        <v>0</v>
      </c>
      <c r="B562" t="s">
        <v>554</v>
      </c>
      <c r="C562" t="s">
        <v>5466</v>
      </c>
      <c r="D562" t="s">
        <v>9929</v>
      </c>
      <c r="E562" t="s">
        <v>10075</v>
      </c>
      <c r="F562">
        <v>10310</v>
      </c>
      <c r="G562" t="s">
        <v>10088</v>
      </c>
      <c r="H562" t="s">
        <v>10118</v>
      </c>
      <c r="I562" t="s">
        <v>10168</v>
      </c>
      <c r="J562" t="s">
        <v>10208</v>
      </c>
      <c r="K562" t="s">
        <v>10217</v>
      </c>
      <c r="M562" t="s">
        <v>10254</v>
      </c>
      <c r="N562" t="s">
        <v>10655</v>
      </c>
      <c r="P562" t="s">
        <v>10749</v>
      </c>
      <c r="Q562" t="s">
        <v>10767</v>
      </c>
      <c r="R562" t="s">
        <v>10824</v>
      </c>
      <c r="T562">
        <v>0</v>
      </c>
      <c r="U562">
        <v>0</v>
      </c>
      <c r="V562">
        <v>37</v>
      </c>
      <c r="W562">
        <v>1</v>
      </c>
      <c r="X562">
        <v>2</v>
      </c>
      <c r="Z562">
        <v>0</v>
      </c>
      <c r="AA562">
        <v>40.635746</v>
      </c>
      <c r="AB562">
        <v>-74.11912700000001</v>
      </c>
      <c r="AD562" t="s">
        <v>10839</v>
      </c>
      <c r="AG562" t="s">
        <v>10858</v>
      </c>
      <c r="AH562" t="s">
        <v>10862</v>
      </c>
      <c r="AI562">
        <v>285</v>
      </c>
      <c r="AJ562" t="s">
        <v>10208</v>
      </c>
      <c r="AL562">
        <v>2.3</v>
      </c>
      <c r="AM562" t="s">
        <v>10883</v>
      </c>
      <c r="AN562" t="s">
        <v>10913</v>
      </c>
      <c r="AO562" t="s">
        <v>11006</v>
      </c>
      <c r="AP562" t="s">
        <v>11051</v>
      </c>
      <c r="AR562" t="s">
        <v>11267</v>
      </c>
      <c r="AS562" t="s">
        <v>11593</v>
      </c>
      <c r="BA562" t="s">
        <v>11738</v>
      </c>
      <c r="BB562">
        <v>0</v>
      </c>
      <c r="BC562">
        <v>0</v>
      </c>
      <c r="BD562">
        <v>0</v>
      </c>
      <c r="BE562">
        <v>0</v>
      </c>
      <c r="BF562">
        <v>5</v>
      </c>
      <c r="BG562">
        <v>0</v>
      </c>
    </row>
    <row r="563" spans="1:59">
      <c r="A563" s="1">
        <f>HYPERLINK("https://lsnyc.legalserver.org/matter/dynamic-profile/view/1904280","19-1904280")</f>
        <v>0</v>
      </c>
      <c r="B563" t="s">
        <v>555</v>
      </c>
      <c r="C563" t="s">
        <v>5467</v>
      </c>
      <c r="D563" t="s">
        <v>9928</v>
      </c>
      <c r="E563" t="s">
        <v>10075</v>
      </c>
      <c r="F563">
        <v>11207</v>
      </c>
      <c r="G563" t="s">
        <v>10093</v>
      </c>
      <c r="H563" t="s">
        <v>10118</v>
      </c>
      <c r="I563" t="s">
        <v>10169</v>
      </c>
      <c r="J563" t="s">
        <v>10213</v>
      </c>
      <c r="K563" t="s">
        <v>10218</v>
      </c>
      <c r="L563" t="s">
        <v>10096</v>
      </c>
      <c r="M563" t="s">
        <v>10245</v>
      </c>
      <c r="N563" t="s">
        <v>10657</v>
      </c>
      <c r="P563" t="s">
        <v>10749</v>
      </c>
      <c r="Q563" t="s">
        <v>10765</v>
      </c>
      <c r="R563" t="s">
        <v>10821</v>
      </c>
      <c r="T563">
        <v>38640</v>
      </c>
      <c r="U563">
        <v>3220</v>
      </c>
      <c r="V563">
        <v>74</v>
      </c>
      <c r="W563">
        <v>2</v>
      </c>
      <c r="X563">
        <v>0</v>
      </c>
      <c r="Y563" t="s">
        <v>10829</v>
      </c>
      <c r="Z563">
        <v>228.5</v>
      </c>
      <c r="AA563">
        <v>40.671076</v>
      </c>
      <c r="AB563">
        <v>-73.888211</v>
      </c>
      <c r="AD563" t="s">
        <v>10839</v>
      </c>
      <c r="AG563" t="s">
        <v>10858</v>
      </c>
      <c r="AH563" t="s">
        <v>10862</v>
      </c>
      <c r="AI563">
        <v>239</v>
      </c>
      <c r="AJ563" t="s">
        <v>10213</v>
      </c>
      <c r="AK563" t="s">
        <v>10838</v>
      </c>
      <c r="AL563">
        <v>1.85</v>
      </c>
      <c r="AM563" t="s">
        <v>10889</v>
      </c>
      <c r="AN563" t="s">
        <v>10946</v>
      </c>
      <c r="AO563" t="s">
        <v>11011</v>
      </c>
      <c r="AP563" t="s">
        <v>11060</v>
      </c>
      <c r="AR563" t="s">
        <v>11268</v>
      </c>
      <c r="AS563" t="s">
        <v>11595</v>
      </c>
      <c r="AT563" t="s">
        <v>11641</v>
      </c>
      <c r="AV563" t="s">
        <v>11656</v>
      </c>
      <c r="AW563" t="s">
        <v>11645</v>
      </c>
      <c r="AX563" t="s">
        <v>10838</v>
      </c>
      <c r="AY563" t="s">
        <v>10829</v>
      </c>
      <c r="AZ563" t="s">
        <v>11681</v>
      </c>
      <c r="BA563" t="s">
        <v>11740</v>
      </c>
      <c r="BB563">
        <v>0</v>
      </c>
      <c r="BC563">
        <v>0</v>
      </c>
      <c r="BD563">
        <v>0</v>
      </c>
      <c r="BE563">
        <v>0</v>
      </c>
      <c r="BF563">
        <v>2</v>
      </c>
      <c r="BG563">
        <v>0</v>
      </c>
    </row>
    <row r="564" spans="1:59">
      <c r="A564" s="1">
        <f>HYPERLINK("https://lsnyc.legalserver.org/matter/dynamic-profile/view/1904281","19-1904281")</f>
        <v>0</v>
      </c>
      <c r="B564" t="s">
        <v>556</v>
      </c>
      <c r="C564" t="s">
        <v>5468</v>
      </c>
      <c r="D564" t="s">
        <v>9928</v>
      </c>
      <c r="E564" t="s">
        <v>10075</v>
      </c>
      <c r="F564">
        <v>11212</v>
      </c>
      <c r="G564" t="s">
        <v>10093</v>
      </c>
      <c r="H564" t="s">
        <v>10118</v>
      </c>
      <c r="I564" t="s">
        <v>10168</v>
      </c>
      <c r="J564" t="s">
        <v>10213</v>
      </c>
      <c r="K564" t="s">
        <v>10217</v>
      </c>
      <c r="M564" t="s">
        <v>10454</v>
      </c>
      <c r="N564" t="s">
        <v>10650</v>
      </c>
      <c r="P564" t="s">
        <v>10749</v>
      </c>
      <c r="Q564" t="s">
        <v>10765</v>
      </c>
      <c r="R564" t="s">
        <v>10824</v>
      </c>
      <c r="T564">
        <v>28584</v>
      </c>
      <c r="U564">
        <v>2382</v>
      </c>
      <c r="V564">
        <v>59</v>
      </c>
      <c r="W564">
        <v>4</v>
      </c>
      <c r="X564">
        <v>0</v>
      </c>
      <c r="Z564">
        <v>111.01</v>
      </c>
      <c r="AA564">
        <v>40.65802</v>
      </c>
      <c r="AB564">
        <v>-73.912869</v>
      </c>
      <c r="AC564" t="s">
        <v>10838</v>
      </c>
      <c r="AD564" t="s">
        <v>10840</v>
      </c>
      <c r="AG564" t="s">
        <v>10858</v>
      </c>
      <c r="AH564" t="s">
        <v>10861</v>
      </c>
      <c r="AI564">
        <v>234</v>
      </c>
      <c r="AJ564" t="s">
        <v>10214</v>
      </c>
      <c r="AL564">
        <v>1</v>
      </c>
      <c r="AM564" t="s">
        <v>10888</v>
      </c>
      <c r="AN564" t="s">
        <v>10925</v>
      </c>
      <c r="AO564" t="s">
        <v>11012</v>
      </c>
      <c r="AP564" t="s">
        <v>11060</v>
      </c>
      <c r="AR564" t="s">
        <v>11263</v>
      </c>
      <c r="AS564" t="s">
        <v>11595</v>
      </c>
      <c r="AT564" t="s">
        <v>11642</v>
      </c>
      <c r="AX564" t="s">
        <v>10838</v>
      </c>
      <c r="BA564" t="s">
        <v>11740</v>
      </c>
      <c r="BB564">
        <v>0</v>
      </c>
      <c r="BC564">
        <v>0</v>
      </c>
      <c r="BD564">
        <v>0</v>
      </c>
      <c r="BE564">
        <v>0</v>
      </c>
      <c r="BF564">
        <v>2</v>
      </c>
      <c r="BG564">
        <v>0</v>
      </c>
    </row>
    <row r="565" spans="1:59">
      <c r="A565" s="1">
        <f>HYPERLINK("https://lsnyc.legalserver.org/matter/dynamic-profile/view/1904283","19-1904283")</f>
        <v>0</v>
      </c>
      <c r="B565" t="s">
        <v>557</v>
      </c>
      <c r="C565" t="s">
        <v>5469</v>
      </c>
      <c r="D565" t="s">
        <v>9970</v>
      </c>
      <c r="E565" t="s">
        <v>10079</v>
      </c>
      <c r="F565">
        <v>15301</v>
      </c>
      <c r="G565" t="s">
        <v>10093</v>
      </c>
      <c r="H565" t="s">
        <v>10118</v>
      </c>
      <c r="I565" t="s">
        <v>10168</v>
      </c>
      <c r="J565" t="s">
        <v>10213</v>
      </c>
      <c r="K565" t="s">
        <v>10218</v>
      </c>
      <c r="L565" t="s">
        <v>10155</v>
      </c>
      <c r="M565" t="s">
        <v>10330</v>
      </c>
      <c r="N565" t="s">
        <v>10710</v>
      </c>
      <c r="P565" t="s">
        <v>10750</v>
      </c>
      <c r="Q565" t="s">
        <v>10760</v>
      </c>
      <c r="R565" t="s">
        <v>10820</v>
      </c>
      <c r="T565">
        <v>10884</v>
      </c>
      <c r="U565">
        <v>907</v>
      </c>
      <c r="V565">
        <v>63</v>
      </c>
      <c r="W565">
        <v>1</v>
      </c>
      <c r="X565">
        <v>0</v>
      </c>
      <c r="Y565" t="s">
        <v>10829</v>
      </c>
      <c r="Z565">
        <v>87.14</v>
      </c>
      <c r="AA565">
        <v>40.170346</v>
      </c>
      <c r="AB565">
        <v>-80.314042</v>
      </c>
      <c r="AD565" t="s">
        <v>10839</v>
      </c>
      <c r="AG565" t="s">
        <v>10858</v>
      </c>
      <c r="AH565" t="s">
        <v>10861</v>
      </c>
      <c r="AI565">
        <v>234</v>
      </c>
      <c r="AJ565" t="s">
        <v>10214</v>
      </c>
      <c r="AK565" t="s">
        <v>10838</v>
      </c>
      <c r="AL565">
        <v>2.6</v>
      </c>
      <c r="AR565" t="s">
        <v>11300</v>
      </c>
      <c r="AS565" t="s">
        <v>9970</v>
      </c>
      <c r="AT565" t="s">
        <v>11641</v>
      </c>
      <c r="AX565" t="s">
        <v>10838</v>
      </c>
      <c r="AY565" t="s">
        <v>10829</v>
      </c>
      <c r="AZ565" t="s">
        <v>11679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</row>
    <row r="566" spans="1:59">
      <c r="A566" s="1">
        <f>HYPERLINK("https://lsnyc.legalserver.org/matter/dynamic-profile/view/1904284","19-1904284")</f>
        <v>0</v>
      </c>
      <c r="B566" t="s">
        <v>558</v>
      </c>
      <c r="C566" t="s">
        <v>5470</v>
      </c>
      <c r="D566" t="s">
        <v>9929</v>
      </c>
      <c r="E566" t="s">
        <v>10075</v>
      </c>
      <c r="F566">
        <v>10314</v>
      </c>
      <c r="G566" t="s">
        <v>10088</v>
      </c>
      <c r="H566" t="s">
        <v>10118</v>
      </c>
      <c r="I566" t="s">
        <v>10168</v>
      </c>
      <c r="J566" t="s">
        <v>10208</v>
      </c>
      <c r="K566" t="s">
        <v>10217</v>
      </c>
      <c r="M566" t="s">
        <v>10254</v>
      </c>
      <c r="N566" t="s">
        <v>10655</v>
      </c>
      <c r="P566" t="s">
        <v>10749</v>
      </c>
      <c r="Q566" t="s">
        <v>10767</v>
      </c>
      <c r="R566" t="s">
        <v>10824</v>
      </c>
      <c r="T566">
        <v>26878.8</v>
      </c>
      <c r="U566">
        <v>2239.9</v>
      </c>
      <c r="V566">
        <v>49</v>
      </c>
      <c r="W566">
        <v>1</v>
      </c>
      <c r="X566">
        <v>1</v>
      </c>
      <c r="Z566">
        <v>158.95</v>
      </c>
      <c r="AA566">
        <v>40.60882</v>
      </c>
      <c r="AB566">
        <v>-74.118709</v>
      </c>
      <c r="AD566" t="s">
        <v>10839</v>
      </c>
      <c r="AG566" t="s">
        <v>10858</v>
      </c>
      <c r="AH566" t="s">
        <v>10862</v>
      </c>
      <c r="AI566">
        <v>285</v>
      </c>
      <c r="AJ566" t="s">
        <v>10208</v>
      </c>
      <c r="AL566">
        <v>5</v>
      </c>
      <c r="AM566" t="s">
        <v>10883</v>
      </c>
      <c r="AN566" t="s">
        <v>10928</v>
      </c>
      <c r="AO566" t="s">
        <v>10999</v>
      </c>
      <c r="AP566" t="s">
        <v>11051</v>
      </c>
      <c r="AR566" t="s">
        <v>11257</v>
      </c>
      <c r="AS566" t="s">
        <v>11593</v>
      </c>
      <c r="BA566" t="s">
        <v>11738</v>
      </c>
      <c r="BB566">
        <v>0</v>
      </c>
      <c r="BC566">
        <v>0</v>
      </c>
      <c r="BD566">
        <v>0</v>
      </c>
      <c r="BE566">
        <v>0</v>
      </c>
      <c r="BF566">
        <v>5</v>
      </c>
      <c r="BG566">
        <v>0</v>
      </c>
    </row>
    <row r="567" spans="1:59">
      <c r="A567" s="1">
        <f>HYPERLINK("https://lsnyc.legalserver.org/matter/dynamic-profile/view/1904286","19-1904286")</f>
        <v>0</v>
      </c>
      <c r="B567" t="s">
        <v>559</v>
      </c>
      <c r="C567" t="s">
        <v>5471</v>
      </c>
      <c r="D567" t="s">
        <v>9928</v>
      </c>
      <c r="E567" t="s">
        <v>10075</v>
      </c>
      <c r="F567">
        <v>11220</v>
      </c>
      <c r="G567" t="s">
        <v>10093</v>
      </c>
      <c r="H567" t="s">
        <v>10118</v>
      </c>
      <c r="I567" t="s">
        <v>10169</v>
      </c>
      <c r="J567" t="s">
        <v>10213</v>
      </c>
      <c r="K567" t="s">
        <v>10218</v>
      </c>
      <c r="L567" t="s">
        <v>10133</v>
      </c>
      <c r="M567" t="s">
        <v>10238</v>
      </c>
      <c r="N567" t="s">
        <v>10657</v>
      </c>
      <c r="P567" t="s">
        <v>10749</v>
      </c>
      <c r="Q567" t="s">
        <v>10765</v>
      </c>
      <c r="R567" t="s">
        <v>10821</v>
      </c>
      <c r="T567">
        <v>12660</v>
      </c>
      <c r="U567">
        <v>1055</v>
      </c>
      <c r="V567">
        <v>67</v>
      </c>
      <c r="W567">
        <v>3</v>
      </c>
      <c r="X567">
        <v>0</v>
      </c>
      <c r="Y567" t="s">
        <v>10829</v>
      </c>
      <c r="Z567">
        <v>59.35</v>
      </c>
      <c r="AA567">
        <v>40.646597</v>
      </c>
      <c r="AB567">
        <v>-74.006395</v>
      </c>
      <c r="AD567" t="s">
        <v>10840</v>
      </c>
      <c r="AG567" t="s">
        <v>10858</v>
      </c>
      <c r="AH567" t="s">
        <v>10862</v>
      </c>
      <c r="AI567">
        <v>239</v>
      </c>
      <c r="AJ567" t="s">
        <v>10213</v>
      </c>
      <c r="AK567" t="s">
        <v>10882</v>
      </c>
      <c r="AL567">
        <v>0.5</v>
      </c>
      <c r="AM567" t="s">
        <v>10886</v>
      </c>
      <c r="AN567" t="s">
        <v>10921</v>
      </c>
      <c r="AO567" t="s">
        <v>11005</v>
      </c>
      <c r="AP567" t="s">
        <v>11069</v>
      </c>
      <c r="AR567" t="s">
        <v>11268</v>
      </c>
      <c r="AS567" t="s">
        <v>11595</v>
      </c>
      <c r="AT567" t="s">
        <v>11642</v>
      </c>
      <c r="AV567" t="s">
        <v>11655</v>
      </c>
      <c r="AW567" t="s">
        <v>11666</v>
      </c>
      <c r="AX567" t="s">
        <v>10838</v>
      </c>
      <c r="AY567" t="s">
        <v>10829</v>
      </c>
      <c r="AZ567" t="s">
        <v>11681</v>
      </c>
      <c r="BA567" t="s">
        <v>11742</v>
      </c>
      <c r="BB567">
        <v>0</v>
      </c>
      <c r="BC567">
        <v>0</v>
      </c>
      <c r="BD567">
        <v>0</v>
      </c>
      <c r="BE567">
        <v>0</v>
      </c>
      <c r="BF567">
        <v>7</v>
      </c>
      <c r="BG567">
        <v>0</v>
      </c>
    </row>
    <row r="568" spans="1:59">
      <c r="A568" s="1">
        <f>HYPERLINK("https://lsnyc.legalserver.org/matter/dynamic-profile/view/1904287","19-1904287")</f>
        <v>0</v>
      </c>
      <c r="B568" t="s">
        <v>560</v>
      </c>
      <c r="C568" t="s">
        <v>5472</v>
      </c>
      <c r="D568" t="s">
        <v>9929</v>
      </c>
      <c r="E568" t="s">
        <v>10075</v>
      </c>
      <c r="F568">
        <v>10303</v>
      </c>
      <c r="G568" t="s">
        <v>10088</v>
      </c>
      <c r="H568" t="s">
        <v>10118</v>
      </c>
      <c r="I568" t="s">
        <v>10168</v>
      </c>
      <c r="J568" t="s">
        <v>10208</v>
      </c>
      <c r="K568" t="s">
        <v>10217</v>
      </c>
      <c r="M568" t="s">
        <v>10243</v>
      </c>
      <c r="N568" t="s">
        <v>10655</v>
      </c>
      <c r="P568" t="s">
        <v>10749</v>
      </c>
      <c r="Q568" t="s">
        <v>10767</v>
      </c>
      <c r="R568" t="s">
        <v>10823</v>
      </c>
      <c r="T568">
        <v>16119.96</v>
      </c>
      <c r="U568">
        <v>1343.33</v>
      </c>
      <c r="V568">
        <v>62</v>
      </c>
      <c r="W568">
        <v>2</v>
      </c>
      <c r="X568">
        <v>1</v>
      </c>
      <c r="Z568">
        <v>75.56999999999999</v>
      </c>
      <c r="AA568">
        <v>40.631372</v>
      </c>
      <c r="AB568">
        <v>-74.162691</v>
      </c>
      <c r="AD568" t="s">
        <v>10839</v>
      </c>
      <c r="AG568" t="s">
        <v>10858</v>
      </c>
      <c r="AH568" t="s">
        <v>10862</v>
      </c>
      <c r="AI568">
        <v>285</v>
      </c>
      <c r="AJ568" t="s">
        <v>10208</v>
      </c>
      <c r="AL568">
        <v>7.8</v>
      </c>
      <c r="AM568" t="s">
        <v>10883</v>
      </c>
      <c r="AN568" t="s">
        <v>10928</v>
      </c>
      <c r="AO568" t="s">
        <v>11006</v>
      </c>
      <c r="AP568" t="s">
        <v>11051</v>
      </c>
      <c r="AR568" t="s">
        <v>11257</v>
      </c>
      <c r="AS568" t="s">
        <v>11593</v>
      </c>
      <c r="BA568" t="s">
        <v>11738</v>
      </c>
      <c r="BB568">
        <v>0</v>
      </c>
      <c r="BC568">
        <v>0</v>
      </c>
      <c r="BD568">
        <v>0</v>
      </c>
      <c r="BE568">
        <v>0</v>
      </c>
      <c r="BF568">
        <v>5</v>
      </c>
      <c r="BG568">
        <v>0</v>
      </c>
    </row>
    <row r="569" spans="1:59">
      <c r="A569" s="1">
        <f>HYPERLINK("https://lsnyc.legalserver.org/matter/dynamic-profile/view/1904288","19-1904288")</f>
        <v>0</v>
      </c>
      <c r="B569" t="s">
        <v>561</v>
      </c>
      <c r="C569" t="s">
        <v>5473</v>
      </c>
      <c r="D569" t="s">
        <v>9928</v>
      </c>
      <c r="E569" t="s">
        <v>10075</v>
      </c>
      <c r="F569">
        <v>11206</v>
      </c>
      <c r="G569" t="s">
        <v>10093</v>
      </c>
      <c r="H569" t="s">
        <v>10118</v>
      </c>
      <c r="I569" t="s">
        <v>10168</v>
      </c>
      <c r="J569" t="s">
        <v>10213</v>
      </c>
      <c r="K569" t="s">
        <v>10217</v>
      </c>
      <c r="M569" t="s">
        <v>10304</v>
      </c>
      <c r="N569" t="s">
        <v>10671</v>
      </c>
      <c r="P569" t="s">
        <v>10749</v>
      </c>
      <c r="Q569" t="s">
        <v>10765</v>
      </c>
      <c r="R569" t="s">
        <v>10824</v>
      </c>
      <c r="T569">
        <v>4500</v>
      </c>
      <c r="U569">
        <v>375</v>
      </c>
      <c r="V569">
        <v>35</v>
      </c>
      <c r="W569">
        <v>1</v>
      </c>
      <c r="X569">
        <v>1</v>
      </c>
      <c r="Z569">
        <v>26.61</v>
      </c>
      <c r="AA569">
        <v>40.692349</v>
      </c>
      <c r="AB569">
        <v>-73.94738700000001</v>
      </c>
      <c r="AD569" t="s">
        <v>10840</v>
      </c>
      <c r="AG569" t="s">
        <v>10858</v>
      </c>
      <c r="AH569" t="s">
        <v>10861</v>
      </c>
      <c r="AI569">
        <v>234</v>
      </c>
      <c r="AJ569" t="s">
        <v>10214</v>
      </c>
      <c r="AL569">
        <v>0.9</v>
      </c>
      <c r="AM569" t="s">
        <v>10889</v>
      </c>
      <c r="AN569" t="s">
        <v>10914</v>
      </c>
      <c r="AO569" t="s">
        <v>11007</v>
      </c>
      <c r="AP569" t="s">
        <v>11052</v>
      </c>
      <c r="AR569" t="s">
        <v>11255</v>
      </c>
      <c r="AS569" t="s">
        <v>9925</v>
      </c>
      <c r="AT569" t="s">
        <v>11642</v>
      </c>
      <c r="AX569" t="s">
        <v>10838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</row>
    <row r="570" spans="1:59">
      <c r="A570" s="1">
        <f>HYPERLINK("https://lsnyc.legalserver.org/matter/dynamic-profile/view/1904289","19-1904289")</f>
        <v>0</v>
      </c>
      <c r="B570" t="s">
        <v>562</v>
      </c>
      <c r="C570" t="s">
        <v>5474</v>
      </c>
      <c r="D570" t="s">
        <v>9925</v>
      </c>
      <c r="E570" t="s">
        <v>10075</v>
      </c>
      <c r="F570">
        <v>10040</v>
      </c>
      <c r="G570" t="s">
        <v>10089</v>
      </c>
      <c r="H570" t="s">
        <v>10118</v>
      </c>
      <c r="I570" t="s">
        <v>10168</v>
      </c>
      <c r="J570" t="s">
        <v>10209</v>
      </c>
      <c r="K570" t="s">
        <v>10218</v>
      </c>
      <c r="L570" t="s">
        <v>10105</v>
      </c>
      <c r="M570" t="s">
        <v>10451</v>
      </c>
      <c r="N570" t="s">
        <v>10650</v>
      </c>
      <c r="P570" t="s">
        <v>10749</v>
      </c>
      <c r="Q570" t="s">
        <v>10765</v>
      </c>
      <c r="R570" t="s">
        <v>10821</v>
      </c>
      <c r="T570">
        <v>23640</v>
      </c>
      <c r="U570">
        <v>1970</v>
      </c>
      <c r="V570">
        <v>78</v>
      </c>
      <c r="W570">
        <v>2</v>
      </c>
      <c r="X570">
        <v>0</v>
      </c>
      <c r="Y570" t="s">
        <v>10830</v>
      </c>
      <c r="Z570">
        <v>139.8</v>
      </c>
      <c r="AA570">
        <v>40.854559</v>
      </c>
      <c r="AB570">
        <v>-73.931196</v>
      </c>
      <c r="AD570" t="s">
        <v>10839</v>
      </c>
      <c r="AG570" t="s">
        <v>10858</v>
      </c>
      <c r="AH570" t="s">
        <v>10862</v>
      </c>
      <c r="AI570">
        <v>236</v>
      </c>
      <c r="AJ570" t="s">
        <v>10209</v>
      </c>
      <c r="AK570" t="s">
        <v>10838</v>
      </c>
      <c r="AL570">
        <v>2.1</v>
      </c>
      <c r="AM570" t="s">
        <v>10887</v>
      </c>
      <c r="AN570" t="s">
        <v>10937</v>
      </c>
      <c r="AO570" t="s">
        <v>11019</v>
      </c>
      <c r="AP570" t="s">
        <v>11074</v>
      </c>
      <c r="AR570" t="s">
        <v>11358</v>
      </c>
      <c r="AS570" t="s">
        <v>9925</v>
      </c>
      <c r="AT570" t="s">
        <v>11641</v>
      </c>
      <c r="AX570" t="s">
        <v>10838</v>
      </c>
      <c r="AY570" t="s">
        <v>10830</v>
      </c>
      <c r="AZ570" t="s">
        <v>11697</v>
      </c>
      <c r="BA570" t="s">
        <v>11740</v>
      </c>
      <c r="BB570">
        <v>0</v>
      </c>
      <c r="BC570">
        <v>0</v>
      </c>
      <c r="BD570">
        <v>0</v>
      </c>
      <c r="BE570">
        <v>0</v>
      </c>
      <c r="BF570">
        <v>2</v>
      </c>
      <c r="BG570">
        <v>0</v>
      </c>
    </row>
    <row r="571" spans="1:59">
      <c r="A571" s="1">
        <f>HYPERLINK("https://lsnyc.legalserver.org/matter/dynamic-profile/view/1904290","19-1904290")</f>
        <v>0</v>
      </c>
      <c r="B571" t="s">
        <v>563</v>
      </c>
      <c r="C571" t="s">
        <v>5475</v>
      </c>
      <c r="D571" t="s">
        <v>9928</v>
      </c>
      <c r="E571" t="s">
        <v>10075</v>
      </c>
      <c r="F571">
        <v>11233</v>
      </c>
      <c r="G571" t="s">
        <v>10093</v>
      </c>
      <c r="H571" t="s">
        <v>10118</v>
      </c>
      <c r="I571" t="s">
        <v>10168</v>
      </c>
      <c r="J571" t="s">
        <v>10213</v>
      </c>
      <c r="K571" t="s">
        <v>10218</v>
      </c>
      <c r="L571" t="s">
        <v>10128</v>
      </c>
      <c r="M571" t="s">
        <v>10245</v>
      </c>
      <c r="N571" t="s">
        <v>10657</v>
      </c>
      <c r="P571" t="s">
        <v>10749</v>
      </c>
      <c r="Q571" t="s">
        <v>10765</v>
      </c>
      <c r="R571" t="s">
        <v>10824</v>
      </c>
      <c r="T571">
        <v>54000</v>
      </c>
      <c r="U571">
        <v>4500</v>
      </c>
      <c r="V571">
        <v>45</v>
      </c>
      <c r="W571">
        <v>1</v>
      </c>
      <c r="X571">
        <v>0</v>
      </c>
      <c r="Y571" t="s">
        <v>10829</v>
      </c>
      <c r="Z571">
        <v>432.35</v>
      </c>
      <c r="AA571">
        <v>40.679781</v>
      </c>
      <c r="AB571">
        <v>-73.923458</v>
      </c>
      <c r="AD571" t="s">
        <v>10839</v>
      </c>
      <c r="AG571" t="s">
        <v>10858</v>
      </c>
      <c r="AH571" t="s">
        <v>10862</v>
      </c>
      <c r="AI571">
        <v>239</v>
      </c>
      <c r="AJ571" t="s">
        <v>10213</v>
      </c>
      <c r="AK571" t="s">
        <v>10838</v>
      </c>
      <c r="AL571">
        <v>0.95</v>
      </c>
      <c r="AM571" t="s">
        <v>10889</v>
      </c>
      <c r="AN571" t="s">
        <v>10922</v>
      </c>
      <c r="AO571" t="s">
        <v>11007</v>
      </c>
      <c r="AP571" t="s">
        <v>11064</v>
      </c>
      <c r="AR571" t="s">
        <v>11257</v>
      </c>
      <c r="AS571" t="s">
        <v>11595</v>
      </c>
      <c r="AT571" t="s">
        <v>11641</v>
      </c>
      <c r="AV571" t="s">
        <v>11656</v>
      </c>
      <c r="AW571" t="s">
        <v>11645</v>
      </c>
      <c r="AY571" t="s">
        <v>10829</v>
      </c>
      <c r="AZ571" t="s">
        <v>11681</v>
      </c>
      <c r="BA571" t="s">
        <v>11742</v>
      </c>
      <c r="BB571">
        <v>0</v>
      </c>
      <c r="BC571">
        <v>0</v>
      </c>
      <c r="BD571">
        <v>0</v>
      </c>
      <c r="BE571">
        <v>0</v>
      </c>
      <c r="BF571">
        <v>7</v>
      </c>
      <c r="BG571">
        <v>0</v>
      </c>
    </row>
    <row r="572" spans="1:59">
      <c r="A572" s="1">
        <f>HYPERLINK("https://lsnyc.legalserver.org/matter/dynamic-profile/view/1904293","19-1904293")</f>
        <v>0</v>
      </c>
      <c r="B572" t="s">
        <v>564</v>
      </c>
      <c r="C572" t="s">
        <v>5476</v>
      </c>
      <c r="D572" t="s">
        <v>9955</v>
      </c>
      <c r="E572" t="s">
        <v>10075</v>
      </c>
      <c r="F572">
        <v>11692</v>
      </c>
      <c r="G572" t="s">
        <v>10092</v>
      </c>
      <c r="H572" t="s">
        <v>10118</v>
      </c>
      <c r="I572" t="s">
        <v>10168</v>
      </c>
      <c r="J572" t="s">
        <v>10212</v>
      </c>
      <c r="K572" t="s">
        <v>10218</v>
      </c>
      <c r="L572" t="s">
        <v>10157</v>
      </c>
      <c r="M572" t="s">
        <v>10342</v>
      </c>
      <c r="N572" t="s">
        <v>10650</v>
      </c>
      <c r="P572" t="s">
        <v>10749</v>
      </c>
      <c r="Q572" t="s">
        <v>10765</v>
      </c>
      <c r="R572" t="s">
        <v>10820</v>
      </c>
      <c r="T572">
        <v>10800</v>
      </c>
      <c r="U572">
        <v>900</v>
      </c>
      <c r="V572">
        <v>58</v>
      </c>
      <c r="W572">
        <v>1</v>
      </c>
      <c r="X572">
        <v>0</v>
      </c>
      <c r="Y572" t="s">
        <v>10829</v>
      </c>
      <c r="Z572">
        <v>86.47</v>
      </c>
      <c r="AA572">
        <v>40.588715</v>
      </c>
      <c r="AB572">
        <v>-73.790651</v>
      </c>
      <c r="AD572" t="s">
        <v>10839</v>
      </c>
      <c r="AG572" t="s">
        <v>10858</v>
      </c>
      <c r="AH572" t="s">
        <v>10861</v>
      </c>
      <c r="AI572">
        <v>234</v>
      </c>
      <c r="AJ572" t="s">
        <v>10214</v>
      </c>
      <c r="AK572" t="s">
        <v>10838</v>
      </c>
      <c r="AL572">
        <v>2.85</v>
      </c>
      <c r="AM572" t="s">
        <v>10892</v>
      </c>
      <c r="AN572" t="s">
        <v>10930</v>
      </c>
      <c r="AO572" t="s">
        <v>11017</v>
      </c>
      <c r="AP572" t="s">
        <v>11082</v>
      </c>
      <c r="AR572" t="s">
        <v>11274</v>
      </c>
      <c r="AS572" t="s">
        <v>11594</v>
      </c>
      <c r="AT572" t="s">
        <v>11641</v>
      </c>
      <c r="AX572" t="s">
        <v>10838</v>
      </c>
      <c r="AY572" t="s">
        <v>10829</v>
      </c>
      <c r="AZ572" t="s">
        <v>11681</v>
      </c>
      <c r="BA572" t="s">
        <v>11741</v>
      </c>
      <c r="BB572">
        <v>0</v>
      </c>
      <c r="BC572">
        <v>0</v>
      </c>
      <c r="BD572">
        <v>0</v>
      </c>
      <c r="BE572">
        <v>0</v>
      </c>
      <c r="BF572">
        <v>1</v>
      </c>
      <c r="BG572">
        <v>0</v>
      </c>
    </row>
    <row r="573" spans="1:59">
      <c r="A573" s="1">
        <f>HYPERLINK("https://lsnyc.legalserver.org/matter/dynamic-profile/view/1904294","19-1904294")</f>
        <v>0</v>
      </c>
      <c r="B573" t="s">
        <v>565</v>
      </c>
      <c r="C573" t="s">
        <v>5477</v>
      </c>
      <c r="D573" t="s">
        <v>9926</v>
      </c>
      <c r="E573" t="s">
        <v>10075</v>
      </c>
      <c r="F573">
        <v>10462</v>
      </c>
      <c r="G573" t="s">
        <v>10090</v>
      </c>
      <c r="H573" t="s">
        <v>10118</v>
      </c>
      <c r="I573" t="s">
        <v>10168</v>
      </c>
      <c r="J573" t="s">
        <v>10210</v>
      </c>
      <c r="K573" t="s">
        <v>10217</v>
      </c>
      <c r="M573" t="s">
        <v>10455</v>
      </c>
      <c r="N573" t="s">
        <v>10677</v>
      </c>
      <c r="P573" t="s">
        <v>10756</v>
      </c>
      <c r="Q573" t="s">
        <v>10787</v>
      </c>
      <c r="R573" t="s">
        <v>10825</v>
      </c>
      <c r="T573">
        <v>23112</v>
      </c>
      <c r="U573">
        <v>1926</v>
      </c>
      <c r="V573">
        <v>70</v>
      </c>
      <c r="W573">
        <v>1</v>
      </c>
      <c r="X573">
        <v>0</v>
      </c>
      <c r="Z573">
        <v>185.04</v>
      </c>
      <c r="AA573">
        <v>40.847425</v>
      </c>
      <c r="AB573">
        <v>-73.85657399999999</v>
      </c>
      <c r="AD573" t="s">
        <v>10839</v>
      </c>
      <c r="AG573" t="s">
        <v>10858</v>
      </c>
      <c r="AH573" t="s">
        <v>10861</v>
      </c>
      <c r="AI573">
        <v>234</v>
      </c>
      <c r="AJ573" t="s">
        <v>10214</v>
      </c>
      <c r="AL573">
        <v>1</v>
      </c>
      <c r="AM573" t="s">
        <v>10885</v>
      </c>
      <c r="AN573" t="s">
        <v>10911</v>
      </c>
      <c r="AO573" t="s">
        <v>11002</v>
      </c>
      <c r="AP573" t="s">
        <v>11049</v>
      </c>
      <c r="AQ573" t="s">
        <v>11149</v>
      </c>
      <c r="AR573" t="s">
        <v>11345</v>
      </c>
      <c r="AS573" t="s">
        <v>9926</v>
      </c>
      <c r="AT573" t="s">
        <v>11641</v>
      </c>
      <c r="AX573" t="s">
        <v>10838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</row>
    <row r="574" spans="1:59">
      <c r="A574" s="1">
        <f>HYPERLINK("https://lsnyc.legalserver.org/matter/dynamic-profile/view/1904295","19-1904295")</f>
        <v>0</v>
      </c>
      <c r="B574" t="s">
        <v>566</v>
      </c>
      <c r="C574" t="s">
        <v>5478</v>
      </c>
      <c r="D574" t="s">
        <v>9948</v>
      </c>
      <c r="E574" t="s">
        <v>10075</v>
      </c>
      <c r="F574">
        <v>11691</v>
      </c>
      <c r="G574" t="s">
        <v>10089</v>
      </c>
      <c r="H574" t="s">
        <v>10118</v>
      </c>
      <c r="I574" t="s">
        <v>10168</v>
      </c>
      <c r="J574" t="s">
        <v>10209</v>
      </c>
      <c r="K574" t="s">
        <v>10217</v>
      </c>
      <c r="M574" t="s">
        <v>10301</v>
      </c>
      <c r="N574" t="s">
        <v>10665</v>
      </c>
      <c r="P574" t="s">
        <v>10751</v>
      </c>
      <c r="Q574" t="s">
        <v>10773</v>
      </c>
      <c r="R574" t="s">
        <v>10824</v>
      </c>
      <c r="T574">
        <v>0</v>
      </c>
      <c r="U574">
        <v>0</v>
      </c>
      <c r="V574">
        <v>25</v>
      </c>
      <c r="W574">
        <v>1</v>
      </c>
      <c r="X574">
        <v>0</v>
      </c>
      <c r="Z574">
        <v>0</v>
      </c>
      <c r="AA574">
        <v>40.604376</v>
      </c>
      <c r="AB574">
        <v>-73.74751000000001</v>
      </c>
      <c r="AD574" t="s">
        <v>10840</v>
      </c>
      <c r="AG574" t="s">
        <v>10858</v>
      </c>
      <c r="AH574" t="s">
        <v>10861</v>
      </c>
      <c r="AI574">
        <v>236</v>
      </c>
      <c r="AJ574" t="s">
        <v>10209</v>
      </c>
      <c r="AL574">
        <v>2</v>
      </c>
      <c r="AM574" t="s">
        <v>10892</v>
      </c>
      <c r="AN574" t="s">
        <v>10958</v>
      </c>
      <c r="AO574" t="s">
        <v>11017</v>
      </c>
      <c r="AP574" t="s">
        <v>11082</v>
      </c>
      <c r="AQ574" t="s">
        <v>11115</v>
      </c>
      <c r="AR574" t="s">
        <v>11267</v>
      </c>
      <c r="AS574" t="s">
        <v>11594</v>
      </c>
      <c r="AT574" t="s">
        <v>11642</v>
      </c>
      <c r="AX574" t="s">
        <v>10838</v>
      </c>
      <c r="BA574" t="s">
        <v>11740</v>
      </c>
      <c r="BB574">
        <v>0</v>
      </c>
      <c r="BC574">
        <v>0</v>
      </c>
      <c r="BD574">
        <v>0</v>
      </c>
      <c r="BE574">
        <v>0</v>
      </c>
      <c r="BF574">
        <v>2</v>
      </c>
      <c r="BG574">
        <v>0</v>
      </c>
    </row>
    <row r="575" spans="1:59">
      <c r="A575" s="1">
        <f>HYPERLINK("https://lsnyc.legalserver.org/matter/dynamic-profile/view/1904297","19-1904297")</f>
        <v>0</v>
      </c>
      <c r="B575" t="s">
        <v>567</v>
      </c>
      <c r="C575" t="s">
        <v>5479</v>
      </c>
      <c r="D575" t="s">
        <v>9955</v>
      </c>
      <c r="E575" t="s">
        <v>10075</v>
      </c>
      <c r="F575">
        <v>11692</v>
      </c>
      <c r="G575" t="s">
        <v>10092</v>
      </c>
      <c r="H575" t="s">
        <v>10118</v>
      </c>
      <c r="I575" t="s">
        <v>10168</v>
      </c>
      <c r="J575" t="s">
        <v>10212</v>
      </c>
      <c r="K575" t="s">
        <v>10217</v>
      </c>
      <c r="M575" t="s">
        <v>10325</v>
      </c>
      <c r="N575" t="s">
        <v>10671</v>
      </c>
      <c r="P575" t="s">
        <v>10751</v>
      </c>
      <c r="Q575" t="s">
        <v>10786</v>
      </c>
      <c r="R575" t="s">
        <v>10824</v>
      </c>
      <c r="T575">
        <v>15636</v>
      </c>
      <c r="U575">
        <v>1303</v>
      </c>
      <c r="V575">
        <v>57</v>
      </c>
      <c r="W575">
        <v>3</v>
      </c>
      <c r="X575">
        <v>0</v>
      </c>
      <c r="Z575">
        <v>73.31</v>
      </c>
      <c r="AA575">
        <v>40.597107</v>
      </c>
      <c r="AB575">
        <v>-73.787963</v>
      </c>
      <c r="AD575" t="s">
        <v>10839</v>
      </c>
      <c r="AG575" t="s">
        <v>10858</v>
      </c>
      <c r="AH575" t="s">
        <v>10861</v>
      </c>
      <c r="AI575">
        <v>234</v>
      </c>
      <c r="AJ575" t="s">
        <v>10214</v>
      </c>
      <c r="AL575">
        <v>7.3</v>
      </c>
      <c r="AM575" t="s">
        <v>10892</v>
      </c>
      <c r="AN575" t="s">
        <v>10930</v>
      </c>
      <c r="AO575" t="s">
        <v>11017</v>
      </c>
      <c r="AP575" t="s">
        <v>11082</v>
      </c>
      <c r="AR575" t="s">
        <v>11263</v>
      </c>
      <c r="AS575" t="s">
        <v>11594</v>
      </c>
      <c r="AT575" t="s">
        <v>11641</v>
      </c>
      <c r="AX575" t="s">
        <v>10838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</row>
    <row r="576" spans="1:59">
      <c r="A576" s="1">
        <f>HYPERLINK("https://lsnyc.legalserver.org/matter/dynamic-profile/view/1904298","19-1904298")</f>
        <v>0</v>
      </c>
      <c r="B576" t="s">
        <v>568</v>
      </c>
      <c r="C576" t="s">
        <v>5480</v>
      </c>
      <c r="D576" t="s">
        <v>9928</v>
      </c>
      <c r="E576" t="s">
        <v>10075</v>
      </c>
      <c r="F576">
        <v>11213</v>
      </c>
      <c r="G576" t="s">
        <v>10093</v>
      </c>
      <c r="H576" t="s">
        <v>10118</v>
      </c>
      <c r="I576" t="s">
        <v>10168</v>
      </c>
      <c r="J576" t="s">
        <v>10213</v>
      </c>
      <c r="K576" t="s">
        <v>10217</v>
      </c>
      <c r="M576" t="s">
        <v>10456</v>
      </c>
      <c r="N576" t="s">
        <v>10650</v>
      </c>
      <c r="P576" t="s">
        <v>10749</v>
      </c>
      <c r="Q576" t="s">
        <v>10765</v>
      </c>
      <c r="R576" t="s">
        <v>10821</v>
      </c>
      <c r="T576">
        <v>10800</v>
      </c>
      <c r="U576">
        <v>900</v>
      </c>
      <c r="V576">
        <v>86</v>
      </c>
      <c r="W576">
        <v>1</v>
      </c>
      <c r="X576">
        <v>0</v>
      </c>
      <c r="Z576">
        <v>86.47</v>
      </c>
      <c r="AA576">
        <v>40.66854</v>
      </c>
      <c r="AB576">
        <v>-73.93455899999999</v>
      </c>
      <c r="AD576" t="s">
        <v>10839</v>
      </c>
      <c r="AG576" t="s">
        <v>10858</v>
      </c>
      <c r="AH576" t="s">
        <v>10862</v>
      </c>
      <c r="AI576">
        <v>239</v>
      </c>
      <c r="AJ576" t="s">
        <v>10213</v>
      </c>
      <c r="AL576">
        <v>14.9</v>
      </c>
      <c r="AM576" t="s">
        <v>10888</v>
      </c>
      <c r="AN576" t="s">
        <v>10912</v>
      </c>
      <c r="AO576" t="s">
        <v>11005</v>
      </c>
      <c r="AP576" t="s">
        <v>11061</v>
      </c>
      <c r="AR576" t="s">
        <v>11268</v>
      </c>
      <c r="AS576" t="s">
        <v>11595</v>
      </c>
      <c r="BA576" t="s">
        <v>11738</v>
      </c>
      <c r="BB576">
        <v>0</v>
      </c>
      <c r="BC576">
        <v>0</v>
      </c>
      <c r="BD576">
        <v>0</v>
      </c>
      <c r="BE576">
        <v>0</v>
      </c>
      <c r="BF576">
        <v>5</v>
      </c>
      <c r="BG576">
        <v>0</v>
      </c>
    </row>
    <row r="577" spans="1:59">
      <c r="A577" s="1">
        <f>HYPERLINK("https://lsnyc.legalserver.org/matter/dynamic-profile/view/1904299","19-1904299")</f>
        <v>0</v>
      </c>
      <c r="B577" t="s">
        <v>569</v>
      </c>
      <c r="C577" t="s">
        <v>5481</v>
      </c>
      <c r="D577" t="s">
        <v>9928</v>
      </c>
      <c r="E577" t="s">
        <v>10075</v>
      </c>
      <c r="F577">
        <v>11215</v>
      </c>
      <c r="G577" t="s">
        <v>10093</v>
      </c>
      <c r="H577" t="s">
        <v>10118</v>
      </c>
      <c r="I577" t="s">
        <v>10168</v>
      </c>
      <c r="J577" t="s">
        <v>10213</v>
      </c>
      <c r="K577" t="s">
        <v>10218</v>
      </c>
      <c r="L577" t="s">
        <v>10118</v>
      </c>
      <c r="M577" t="s">
        <v>10437</v>
      </c>
      <c r="N577" t="s">
        <v>10644</v>
      </c>
      <c r="P577" t="s">
        <v>10754</v>
      </c>
      <c r="Q577" t="s">
        <v>10777</v>
      </c>
      <c r="R577" t="s">
        <v>10821</v>
      </c>
      <c r="T577">
        <v>114300</v>
      </c>
      <c r="U577">
        <v>9525</v>
      </c>
      <c r="V577">
        <v>70</v>
      </c>
      <c r="W577">
        <v>2</v>
      </c>
      <c r="X577">
        <v>0</v>
      </c>
      <c r="Y577" t="s">
        <v>10830</v>
      </c>
      <c r="Z577">
        <v>675.9299999999999</v>
      </c>
      <c r="AA577">
        <v>40.671934</v>
      </c>
      <c r="AB577">
        <v>-73.97366100000001</v>
      </c>
      <c r="AC577" t="s">
        <v>10837</v>
      </c>
      <c r="AD577" t="s">
        <v>10840</v>
      </c>
      <c r="AG577" t="s">
        <v>10858</v>
      </c>
      <c r="AH577" t="s">
        <v>10866</v>
      </c>
      <c r="AI577">
        <v>239</v>
      </c>
      <c r="AJ577" t="s">
        <v>10213</v>
      </c>
      <c r="AK577" t="s">
        <v>10838</v>
      </c>
      <c r="AL577">
        <v>2.65</v>
      </c>
      <c r="AM577" t="s">
        <v>10888</v>
      </c>
      <c r="AN577" t="s">
        <v>10917</v>
      </c>
      <c r="AO577" t="s">
        <v>11008</v>
      </c>
      <c r="AP577" t="s">
        <v>11059</v>
      </c>
      <c r="AQ577" t="s">
        <v>11128</v>
      </c>
      <c r="AR577" t="s">
        <v>11345</v>
      </c>
      <c r="AS577" t="s">
        <v>11595</v>
      </c>
      <c r="AY577" t="s">
        <v>10830</v>
      </c>
      <c r="AZ577" t="s">
        <v>11691</v>
      </c>
      <c r="BA577" t="s">
        <v>11740</v>
      </c>
      <c r="BB577">
        <v>0</v>
      </c>
      <c r="BC577">
        <v>0</v>
      </c>
      <c r="BD577">
        <v>0</v>
      </c>
      <c r="BE577">
        <v>0</v>
      </c>
      <c r="BF577">
        <v>2</v>
      </c>
      <c r="BG577">
        <v>0</v>
      </c>
    </row>
    <row r="578" spans="1:59">
      <c r="A578" s="1">
        <f>HYPERLINK("https://lsnyc.legalserver.org/matter/dynamic-profile/view/1904301","19-1904301")</f>
        <v>0</v>
      </c>
      <c r="B578" t="s">
        <v>570</v>
      </c>
      <c r="C578" t="s">
        <v>5482</v>
      </c>
      <c r="D578" t="s">
        <v>9955</v>
      </c>
      <c r="E578" t="s">
        <v>10075</v>
      </c>
      <c r="F578">
        <v>11692</v>
      </c>
      <c r="G578" t="s">
        <v>10092</v>
      </c>
      <c r="H578" t="s">
        <v>10118</v>
      </c>
      <c r="I578" t="s">
        <v>10168</v>
      </c>
      <c r="J578" t="s">
        <v>10212</v>
      </c>
      <c r="K578" t="s">
        <v>10218</v>
      </c>
      <c r="L578" t="s">
        <v>10138</v>
      </c>
      <c r="M578" t="s">
        <v>10441</v>
      </c>
      <c r="N578" t="s">
        <v>10656</v>
      </c>
      <c r="P578" t="s">
        <v>10751</v>
      </c>
      <c r="Q578" t="s">
        <v>10768</v>
      </c>
      <c r="R578" t="s">
        <v>10824</v>
      </c>
      <c r="T578">
        <v>19800</v>
      </c>
      <c r="U578">
        <v>1650</v>
      </c>
      <c r="V578">
        <v>22</v>
      </c>
      <c r="W578">
        <v>2</v>
      </c>
      <c r="X578">
        <v>0</v>
      </c>
      <c r="Y578" t="s">
        <v>10829</v>
      </c>
      <c r="Z578">
        <v>117.09</v>
      </c>
      <c r="AA578">
        <v>40.593034</v>
      </c>
      <c r="AB578">
        <v>-73.78585699999999</v>
      </c>
      <c r="AD578" t="s">
        <v>10839</v>
      </c>
      <c r="AG578" t="s">
        <v>10858</v>
      </c>
      <c r="AH578" t="s">
        <v>10861</v>
      </c>
      <c r="AI578">
        <v>234</v>
      </c>
      <c r="AJ578" t="s">
        <v>10214</v>
      </c>
      <c r="AK578" t="s">
        <v>10882</v>
      </c>
      <c r="AL578">
        <v>7.3</v>
      </c>
      <c r="AM578" t="s">
        <v>10892</v>
      </c>
      <c r="AN578" t="s">
        <v>10930</v>
      </c>
      <c r="AO578" t="s">
        <v>11017</v>
      </c>
      <c r="AP578" t="s">
        <v>11082</v>
      </c>
      <c r="AR578" t="s">
        <v>11262</v>
      </c>
      <c r="AS578" t="s">
        <v>11594</v>
      </c>
      <c r="AT578" t="s">
        <v>11641</v>
      </c>
      <c r="AX578" t="s">
        <v>10838</v>
      </c>
      <c r="AY578" t="s">
        <v>10829</v>
      </c>
      <c r="AZ578" t="s">
        <v>11682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</row>
    <row r="579" spans="1:59">
      <c r="A579" s="1">
        <f>HYPERLINK("https://lsnyc.legalserver.org/matter/dynamic-profile/view/1904302","19-1904302")</f>
        <v>0</v>
      </c>
      <c r="B579" t="s">
        <v>571</v>
      </c>
      <c r="C579" t="s">
        <v>5483</v>
      </c>
      <c r="D579" t="s">
        <v>9925</v>
      </c>
      <c r="E579" t="s">
        <v>10075</v>
      </c>
      <c r="F579">
        <v>10019</v>
      </c>
      <c r="G579" t="s">
        <v>10089</v>
      </c>
      <c r="H579" t="s">
        <v>10118</v>
      </c>
      <c r="I579" t="s">
        <v>10168</v>
      </c>
      <c r="J579" t="s">
        <v>10209</v>
      </c>
      <c r="K579" t="s">
        <v>10217</v>
      </c>
      <c r="M579" t="s">
        <v>10270</v>
      </c>
      <c r="N579" t="s">
        <v>10671</v>
      </c>
      <c r="P579" t="s">
        <v>10754</v>
      </c>
      <c r="Q579" t="s">
        <v>10766</v>
      </c>
      <c r="R579" t="s">
        <v>10820</v>
      </c>
      <c r="T579">
        <v>0</v>
      </c>
      <c r="U579">
        <v>0</v>
      </c>
      <c r="V579">
        <v>35</v>
      </c>
      <c r="W579">
        <v>1</v>
      </c>
      <c r="X579">
        <v>0</v>
      </c>
      <c r="Z579">
        <v>0</v>
      </c>
      <c r="AA579">
        <v>40.766106</v>
      </c>
      <c r="AB579">
        <v>-73.991772</v>
      </c>
      <c r="AD579" t="s">
        <v>10839</v>
      </c>
      <c r="AG579" t="s">
        <v>10858</v>
      </c>
      <c r="AH579" t="s">
        <v>10861</v>
      </c>
      <c r="AI579">
        <v>234</v>
      </c>
      <c r="AJ579" t="s">
        <v>10214</v>
      </c>
      <c r="AL579">
        <v>1</v>
      </c>
      <c r="AM579" t="s">
        <v>10894</v>
      </c>
      <c r="AN579" t="s">
        <v>10964</v>
      </c>
      <c r="AO579" t="s">
        <v>11019</v>
      </c>
      <c r="AP579" t="s">
        <v>11090</v>
      </c>
      <c r="AR579" t="s">
        <v>11267</v>
      </c>
      <c r="AS579" t="s">
        <v>9925</v>
      </c>
      <c r="AT579" t="s">
        <v>11641</v>
      </c>
      <c r="AX579" t="s">
        <v>10838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</row>
    <row r="580" spans="1:59">
      <c r="A580" s="1">
        <f>HYPERLINK("https://lsnyc.legalserver.org/matter/dynamic-profile/view/1904303","19-1904303")</f>
        <v>0</v>
      </c>
      <c r="B580" t="s">
        <v>572</v>
      </c>
      <c r="C580" t="s">
        <v>5484</v>
      </c>
      <c r="D580" t="s">
        <v>9925</v>
      </c>
      <c r="E580" t="s">
        <v>10075</v>
      </c>
      <c r="F580">
        <v>10034</v>
      </c>
      <c r="G580" t="s">
        <v>10089</v>
      </c>
      <c r="H580" t="s">
        <v>10118</v>
      </c>
      <c r="I580" t="s">
        <v>10169</v>
      </c>
      <c r="J580" t="s">
        <v>10209</v>
      </c>
      <c r="K580" t="s">
        <v>10217</v>
      </c>
      <c r="M580" t="s">
        <v>10451</v>
      </c>
      <c r="N580" t="s">
        <v>10650</v>
      </c>
      <c r="P580" t="s">
        <v>10749</v>
      </c>
      <c r="Q580" t="s">
        <v>10765</v>
      </c>
      <c r="R580" t="s">
        <v>10821</v>
      </c>
      <c r="T580">
        <v>35600</v>
      </c>
      <c r="U580">
        <v>2966.67</v>
      </c>
      <c r="V580">
        <v>51</v>
      </c>
      <c r="W580">
        <v>3</v>
      </c>
      <c r="X580">
        <v>0</v>
      </c>
      <c r="Z580">
        <v>166.9</v>
      </c>
      <c r="AA580">
        <v>40.863996</v>
      </c>
      <c r="AB580">
        <v>-73.924363</v>
      </c>
      <c r="AD580" t="s">
        <v>10839</v>
      </c>
      <c r="AG580" t="s">
        <v>10858</v>
      </c>
      <c r="AH580" t="s">
        <v>10862</v>
      </c>
      <c r="AI580">
        <v>236</v>
      </c>
      <c r="AJ580" t="s">
        <v>10209</v>
      </c>
      <c r="AL580">
        <v>19.37</v>
      </c>
      <c r="AM580" t="s">
        <v>10887</v>
      </c>
      <c r="AN580" t="s">
        <v>10937</v>
      </c>
      <c r="AO580" t="s">
        <v>11019</v>
      </c>
      <c r="AP580" t="s">
        <v>11074</v>
      </c>
      <c r="AR580" t="s">
        <v>11257</v>
      </c>
      <c r="AS580" t="s">
        <v>9925</v>
      </c>
      <c r="AT580" t="s">
        <v>11641</v>
      </c>
      <c r="AX580" t="s">
        <v>10838</v>
      </c>
      <c r="BA580" t="s">
        <v>11738</v>
      </c>
      <c r="BB580">
        <v>0</v>
      </c>
      <c r="BC580">
        <v>0</v>
      </c>
      <c r="BD580">
        <v>0</v>
      </c>
      <c r="BE580">
        <v>0</v>
      </c>
      <c r="BF580">
        <v>5</v>
      </c>
      <c r="BG580">
        <v>0</v>
      </c>
    </row>
    <row r="581" spans="1:59">
      <c r="A581" s="1">
        <f>HYPERLINK("https://lsnyc.legalserver.org/matter/dynamic-profile/view/1904304","19-1904304")</f>
        <v>0</v>
      </c>
      <c r="B581" t="s">
        <v>573</v>
      </c>
      <c r="C581" t="s">
        <v>5485</v>
      </c>
      <c r="D581" t="s">
        <v>9928</v>
      </c>
      <c r="E581" t="s">
        <v>10075</v>
      </c>
      <c r="F581">
        <v>11213</v>
      </c>
      <c r="G581" t="s">
        <v>10093</v>
      </c>
      <c r="H581" t="s">
        <v>10119</v>
      </c>
      <c r="J581" t="s">
        <v>10213</v>
      </c>
      <c r="K581" t="s">
        <v>10217</v>
      </c>
      <c r="M581" t="s">
        <v>10457</v>
      </c>
      <c r="N581" t="s">
        <v>10698</v>
      </c>
      <c r="P581" t="s">
        <v>10751</v>
      </c>
      <c r="Q581" t="s">
        <v>10761</v>
      </c>
      <c r="R581" t="s">
        <v>10824</v>
      </c>
      <c r="T581">
        <v>4160</v>
      </c>
      <c r="U581">
        <v>346.67</v>
      </c>
      <c r="V581">
        <v>39</v>
      </c>
      <c r="W581">
        <v>1</v>
      </c>
      <c r="X581">
        <v>0</v>
      </c>
      <c r="Z581">
        <v>33.31</v>
      </c>
      <c r="AA581">
        <v>40.679443</v>
      </c>
      <c r="AB581">
        <v>-73.94138599999999</v>
      </c>
      <c r="AD581" t="s">
        <v>10839</v>
      </c>
      <c r="AG581" t="s">
        <v>10858</v>
      </c>
      <c r="AH581" t="s">
        <v>10868</v>
      </c>
      <c r="AI581">
        <v>239</v>
      </c>
      <c r="AJ581" t="s">
        <v>10213</v>
      </c>
      <c r="AL581">
        <v>14.75</v>
      </c>
      <c r="AM581" t="s">
        <v>10889</v>
      </c>
      <c r="AN581" t="s">
        <v>10914</v>
      </c>
      <c r="AO581" t="s">
        <v>11007</v>
      </c>
      <c r="AP581" t="s">
        <v>11052</v>
      </c>
      <c r="AR581" t="s">
        <v>11255</v>
      </c>
      <c r="AS581" t="s">
        <v>11595</v>
      </c>
      <c r="AT581" t="s">
        <v>11641</v>
      </c>
      <c r="AX581" t="s">
        <v>10838</v>
      </c>
      <c r="BA581" t="s">
        <v>11742</v>
      </c>
      <c r="BB581">
        <v>0</v>
      </c>
      <c r="BC581">
        <v>0</v>
      </c>
      <c r="BD581">
        <v>0</v>
      </c>
      <c r="BE581">
        <v>0</v>
      </c>
      <c r="BF581">
        <v>7</v>
      </c>
      <c r="BG581">
        <v>0</v>
      </c>
    </row>
    <row r="582" spans="1:59">
      <c r="A582" s="1">
        <f>HYPERLINK("https://lsnyc.legalserver.org/matter/dynamic-profile/view/1904305","19-1904305")</f>
        <v>0</v>
      </c>
      <c r="B582" t="s">
        <v>574</v>
      </c>
      <c r="C582" t="s">
        <v>5486</v>
      </c>
      <c r="D582" t="s">
        <v>9926</v>
      </c>
      <c r="E582" t="s">
        <v>10075</v>
      </c>
      <c r="F582">
        <v>10456</v>
      </c>
      <c r="G582" t="s">
        <v>10090</v>
      </c>
      <c r="H582" t="s">
        <v>10118</v>
      </c>
      <c r="I582" t="s">
        <v>10168</v>
      </c>
      <c r="J582" t="s">
        <v>10210</v>
      </c>
      <c r="K582" t="s">
        <v>10217</v>
      </c>
      <c r="M582" t="s">
        <v>10458</v>
      </c>
      <c r="N582" t="s">
        <v>10666</v>
      </c>
      <c r="P582" t="s">
        <v>10749</v>
      </c>
      <c r="Q582" t="s">
        <v>10765</v>
      </c>
      <c r="R582" t="s">
        <v>10824</v>
      </c>
      <c r="T582">
        <v>41000</v>
      </c>
      <c r="U582">
        <v>3416.67</v>
      </c>
      <c r="V582">
        <v>50</v>
      </c>
      <c r="W582">
        <v>1</v>
      </c>
      <c r="X582">
        <v>4</v>
      </c>
      <c r="Z582">
        <v>135.9</v>
      </c>
      <c r="AA582">
        <v>40.825512</v>
      </c>
      <c r="AB582">
        <v>-73.907017</v>
      </c>
      <c r="AD582" t="s">
        <v>10839</v>
      </c>
      <c r="AG582" t="s">
        <v>10858</v>
      </c>
      <c r="AH582" t="s">
        <v>10862</v>
      </c>
      <c r="AI582">
        <v>230</v>
      </c>
      <c r="AJ582" t="s">
        <v>10210</v>
      </c>
      <c r="AL582">
        <v>5.8</v>
      </c>
      <c r="AM582" t="s">
        <v>10884</v>
      </c>
      <c r="AN582" t="s">
        <v>10918</v>
      </c>
      <c r="AO582" t="s">
        <v>11001</v>
      </c>
      <c r="AP582" t="s">
        <v>11055</v>
      </c>
      <c r="AR582" t="s">
        <v>11257</v>
      </c>
      <c r="AS582" t="s">
        <v>9926</v>
      </c>
      <c r="AT582" t="s">
        <v>11641</v>
      </c>
      <c r="BA582" t="s">
        <v>11738</v>
      </c>
      <c r="BB582">
        <v>0</v>
      </c>
      <c r="BC582">
        <v>0</v>
      </c>
      <c r="BD582">
        <v>0</v>
      </c>
      <c r="BE582">
        <v>0</v>
      </c>
      <c r="BF582">
        <v>5</v>
      </c>
      <c r="BG582">
        <v>0</v>
      </c>
    </row>
    <row r="583" spans="1:59">
      <c r="A583" s="1">
        <f>HYPERLINK("https://lsnyc.legalserver.org/matter/dynamic-profile/view/1904306","19-1904306")</f>
        <v>0</v>
      </c>
      <c r="B583" t="s">
        <v>575</v>
      </c>
      <c r="C583" t="s">
        <v>5487</v>
      </c>
      <c r="D583" t="s">
        <v>9925</v>
      </c>
      <c r="E583" t="s">
        <v>10075</v>
      </c>
      <c r="F583">
        <v>10032</v>
      </c>
      <c r="G583" t="s">
        <v>10089</v>
      </c>
      <c r="H583" t="s">
        <v>10118</v>
      </c>
      <c r="I583" t="s">
        <v>10168</v>
      </c>
      <c r="J583" t="s">
        <v>10209</v>
      </c>
      <c r="K583" t="s">
        <v>10217</v>
      </c>
      <c r="M583" t="s">
        <v>10459</v>
      </c>
      <c r="N583" t="s">
        <v>10656</v>
      </c>
      <c r="P583" t="s">
        <v>10751</v>
      </c>
      <c r="Q583" t="s">
        <v>10780</v>
      </c>
      <c r="R583" t="s">
        <v>10825</v>
      </c>
      <c r="T583">
        <v>43160</v>
      </c>
      <c r="U583">
        <v>3596.67</v>
      </c>
      <c r="V583">
        <v>34</v>
      </c>
      <c r="W583">
        <v>2</v>
      </c>
      <c r="X583">
        <v>4</v>
      </c>
      <c r="Z583">
        <v>124.78</v>
      </c>
      <c r="AA583">
        <v>40.837473</v>
      </c>
      <c r="AB583">
        <v>-73.94640699999999</v>
      </c>
      <c r="AD583" t="s">
        <v>10840</v>
      </c>
      <c r="AG583" t="s">
        <v>10858</v>
      </c>
      <c r="AH583" t="s">
        <v>10861</v>
      </c>
      <c r="AI583">
        <v>234</v>
      </c>
      <c r="AJ583" t="s">
        <v>10214</v>
      </c>
      <c r="AL583">
        <v>35.5</v>
      </c>
      <c r="AM583" t="s">
        <v>10887</v>
      </c>
      <c r="AN583" t="s">
        <v>10943</v>
      </c>
      <c r="AO583" t="s">
        <v>11019</v>
      </c>
      <c r="AP583" t="s">
        <v>11073</v>
      </c>
      <c r="AR583" t="s">
        <v>11359</v>
      </c>
      <c r="AS583" t="s">
        <v>9925</v>
      </c>
      <c r="AT583" t="s">
        <v>11642</v>
      </c>
      <c r="AX583" t="s">
        <v>10838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</row>
    <row r="584" spans="1:59">
      <c r="A584" s="1">
        <f>HYPERLINK("https://lsnyc.legalserver.org/matter/dynamic-profile/view/1904307","19-1904307")</f>
        <v>0</v>
      </c>
      <c r="B584" t="s">
        <v>576</v>
      </c>
      <c r="C584" t="s">
        <v>5488</v>
      </c>
      <c r="D584" t="s">
        <v>9928</v>
      </c>
      <c r="E584" t="s">
        <v>10075</v>
      </c>
      <c r="F584">
        <v>11207</v>
      </c>
      <c r="G584" t="s">
        <v>10091</v>
      </c>
      <c r="H584" t="s">
        <v>10118</v>
      </c>
      <c r="I584" t="s">
        <v>10169</v>
      </c>
      <c r="J584" t="s">
        <v>10211</v>
      </c>
      <c r="K584" t="s">
        <v>10217</v>
      </c>
      <c r="M584" t="s">
        <v>10231</v>
      </c>
      <c r="N584" t="s">
        <v>10647</v>
      </c>
      <c r="P584" t="s">
        <v>10752</v>
      </c>
      <c r="Q584" t="s">
        <v>10762</v>
      </c>
      <c r="R584" t="s">
        <v>10821</v>
      </c>
      <c r="T584">
        <v>28800</v>
      </c>
      <c r="U584">
        <v>2400</v>
      </c>
      <c r="V584">
        <v>60</v>
      </c>
      <c r="W584">
        <v>3</v>
      </c>
      <c r="X584">
        <v>1</v>
      </c>
      <c r="Z584">
        <v>111.84</v>
      </c>
      <c r="AA584">
        <v>40.667242</v>
      </c>
      <c r="AB584">
        <v>-73.897938</v>
      </c>
      <c r="AD584" t="s">
        <v>10840</v>
      </c>
      <c r="AG584" t="s">
        <v>10858</v>
      </c>
      <c r="AH584" t="s">
        <v>10861</v>
      </c>
      <c r="AI584">
        <v>234</v>
      </c>
      <c r="AJ584" t="s">
        <v>10214</v>
      </c>
      <c r="AL584">
        <v>5</v>
      </c>
      <c r="AM584" t="s">
        <v>10889</v>
      </c>
      <c r="AN584" t="s">
        <v>10946</v>
      </c>
      <c r="AO584" t="s">
        <v>11012</v>
      </c>
      <c r="AP584" t="s">
        <v>11060</v>
      </c>
      <c r="AR584" t="s">
        <v>11257</v>
      </c>
      <c r="AS584" t="s">
        <v>11595</v>
      </c>
      <c r="AT584" t="s">
        <v>11642</v>
      </c>
      <c r="AX584" t="s">
        <v>10838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</row>
    <row r="585" spans="1:59">
      <c r="A585" s="1">
        <f>HYPERLINK("https://lsnyc.legalserver.org/matter/dynamic-profile/view/1904308","19-1904308")</f>
        <v>0</v>
      </c>
      <c r="B585" t="s">
        <v>577</v>
      </c>
      <c r="C585" t="s">
        <v>5489</v>
      </c>
      <c r="D585" t="s">
        <v>9925</v>
      </c>
      <c r="E585" t="s">
        <v>10075</v>
      </c>
      <c r="F585">
        <v>10034</v>
      </c>
      <c r="G585" t="s">
        <v>10089</v>
      </c>
      <c r="H585" t="s">
        <v>10118</v>
      </c>
      <c r="I585" t="s">
        <v>10168</v>
      </c>
      <c r="J585" t="s">
        <v>10209</v>
      </c>
      <c r="K585" t="s">
        <v>10217</v>
      </c>
      <c r="M585" t="s">
        <v>10460</v>
      </c>
      <c r="N585" t="s">
        <v>10650</v>
      </c>
      <c r="P585" t="s">
        <v>10749</v>
      </c>
      <c r="Q585" t="s">
        <v>10765</v>
      </c>
      <c r="R585" t="s">
        <v>10822</v>
      </c>
      <c r="T585">
        <v>60000</v>
      </c>
      <c r="U585">
        <v>5000</v>
      </c>
      <c r="V585">
        <v>45</v>
      </c>
      <c r="W585">
        <v>2</v>
      </c>
      <c r="X585">
        <v>0</v>
      </c>
      <c r="Z585">
        <v>354.82</v>
      </c>
      <c r="AA585">
        <v>40.867043</v>
      </c>
      <c r="AB585">
        <v>-73.930609</v>
      </c>
      <c r="AD585" t="s">
        <v>10839</v>
      </c>
      <c r="AG585" t="s">
        <v>10858</v>
      </c>
      <c r="AH585" t="s">
        <v>10862</v>
      </c>
      <c r="AI585">
        <v>236</v>
      </c>
      <c r="AJ585" t="s">
        <v>10209</v>
      </c>
      <c r="AL585">
        <v>0</v>
      </c>
      <c r="AM585" t="s">
        <v>10887</v>
      </c>
      <c r="AN585" t="s">
        <v>10937</v>
      </c>
      <c r="AO585" t="s">
        <v>11019</v>
      </c>
      <c r="AP585" t="s">
        <v>11074</v>
      </c>
      <c r="AR585" t="s">
        <v>11257</v>
      </c>
      <c r="AS585" t="s">
        <v>9925</v>
      </c>
      <c r="AT585" t="s">
        <v>11641</v>
      </c>
      <c r="AX585" t="s">
        <v>10838</v>
      </c>
      <c r="BA585" t="s">
        <v>11742</v>
      </c>
      <c r="BB585">
        <v>0</v>
      </c>
      <c r="BC585">
        <v>0</v>
      </c>
      <c r="BD585">
        <v>0</v>
      </c>
      <c r="BE585">
        <v>0</v>
      </c>
      <c r="BF585">
        <v>7</v>
      </c>
      <c r="BG585">
        <v>0</v>
      </c>
    </row>
    <row r="586" spans="1:59">
      <c r="A586" s="1">
        <f>HYPERLINK("https://lsnyc.legalserver.org/matter/dynamic-profile/view/1904309","19-1904309")</f>
        <v>0</v>
      </c>
      <c r="B586" t="s">
        <v>578</v>
      </c>
      <c r="C586" t="s">
        <v>5490</v>
      </c>
      <c r="D586" t="s">
        <v>9965</v>
      </c>
      <c r="E586" t="s">
        <v>10075</v>
      </c>
      <c r="F586">
        <v>11101</v>
      </c>
      <c r="G586" t="s">
        <v>10092</v>
      </c>
      <c r="H586" t="s">
        <v>10118</v>
      </c>
      <c r="I586" t="s">
        <v>10169</v>
      </c>
      <c r="J586" t="s">
        <v>10212</v>
      </c>
      <c r="K586" t="s">
        <v>10217</v>
      </c>
      <c r="M586" t="s">
        <v>10461</v>
      </c>
      <c r="N586" t="s">
        <v>10713</v>
      </c>
      <c r="P586" t="s">
        <v>10753</v>
      </c>
      <c r="Q586" t="s">
        <v>10763</v>
      </c>
      <c r="R586" t="s">
        <v>10823</v>
      </c>
      <c r="T586">
        <v>16800</v>
      </c>
      <c r="U586">
        <v>1400</v>
      </c>
      <c r="V586">
        <v>32</v>
      </c>
      <c r="W586">
        <v>1</v>
      </c>
      <c r="X586">
        <v>2</v>
      </c>
      <c r="Z586">
        <v>78.76000000000001</v>
      </c>
      <c r="AA586">
        <v>40.760221</v>
      </c>
      <c r="AB586">
        <v>-73.93748600000001</v>
      </c>
      <c r="AD586" t="s">
        <v>10839</v>
      </c>
      <c r="AF586" t="s">
        <v>10842</v>
      </c>
      <c r="AG586" t="s">
        <v>10859</v>
      </c>
      <c r="AH586" t="s">
        <v>10865</v>
      </c>
      <c r="AI586">
        <v>237</v>
      </c>
      <c r="AJ586" t="s">
        <v>10212</v>
      </c>
      <c r="AL586">
        <v>8.5</v>
      </c>
      <c r="AQ586" t="s">
        <v>11119</v>
      </c>
      <c r="AR586" t="s">
        <v>11257</v>
      </c>
      <c r="AS586" t="s">
        <v>11594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</row>
    <row r="587" spans="1:59">
      <c r="A587" s="1">
        <f>HYPERLINK("https://lsnyc.legalserver.org/matter/dynamic-profile/view/1904310","19-1904310")</f>
        <v>0</v>
      </c>
      <c r="B587" t="s">
        <v>579</v>
      </c>
      <c r="C587" t="s">
        <v>5491</v>
      </c>
      <c r="D587" t="s">
        <v>9928</v>
      </c>
      <c r="E587" t="s">
        <v>10075</v>
      </c>
      <c r="F587">
        <v>11220</v>
      </c>
      <c r="G587" t="s">
        <v>10093</v>
      </c>
      <c r="H587" t="s">
        <v>10118</v>
      </c>
      <c r="I587" t="s">
        <v>10168</v>
      </c>
      <c r="J587" t="s">
        <v>10213</v>
      </c>
      <c r="K587" t="s">
        <v>10217</v>
      </c>
      <c r="M587" t="s">
        <v>10462</v>
      </c>
      <c r="N587" t="s">
        <v>10675</v>
      </c>
      <c r="O587" t="s">
        <v>10748</v>
      </c>
      <c r="P587" t="s">
        <v>10750</v>
      </c>
      <c r="Q587" t="s">
        <v>10760</v>
      </c>
      <c r="R587" t="s">
        <v>10824</v>
      </c>
      <c r="T587">
        <v>58472</v>
      </c>
      <c r="U587">
        <v>4872.67</v>
      </c>
      <c r="V587">
        <v>67</v>
      </c>
      <c r="W587">
        <v>3</v>
      </c>
      <c r="X587">
        <v>0</v>
      </c>
      <c r="Z587">
        <v>274.13</v>
      </c>
      <c r="AA587">
        <v>40.641795</v>
      </c>
      <c r="AB587">
        <v>-74.010572</v>
      </c>
      <c r="AC587" t="s">
        <v>10837</v>
      </c>
      <c r="AD587" t="s">
        <v>10840</v>
      </c>
      <c r="AG587" t="s">
        <v>10858</v>
      </c>
      <c r="AH587" t="s">
        <v>10866</v>
      </c>
      <c r="AI587">
        <v>239</v>
      </c>
      <c r="AJ587" t="s">
        <v>10213</v>
      </c>
      <c r="AL587">
        <v>1.65</v>
      </c>
      <c r="AM587" t="s">
        <v>10886</v>
      </c>
      <c r="AN587" t="s">
        <v>10921</v>
      </c>
      <c r="AO587" t="s">
        <v>11005</v>
      </c>
      <c r="AP587" t="s">
        <v>11069</v>
      </c>
      <c r="AQ587" t="s">
        <v>11141</v>
      </c>
      <c r="AR587" t="s">
        <v>11360</v>
      </c>
      <c r="AS587" t="s">
        <v>11595</v>
      </c>
      <c r="AT587" t="s">
        <v>11642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</row>
    <row r="588" spans="1:59">
      <c r="A588" s="1">
        <f>HYPERLINK("https://lsnyc.legalserver.org/matter/dynamic-profile/view/1904311","19-1904311")</f>
        <v>0</v>
      </c>
      <c r="B588" t="s">
        <v>580</v>
      </c>
      <c r="C588" t="s">
        <v>5492</v>
      </c>
      <c r="D588" t="s">
        <v>9936</v>
      </c>
      <c r="E588" t="s">
        <v>10075</v>
      </c>
      <c r="F588">
        <v>11103</v>
      </c>
      <c r="G588" t="s">
        <v>10092</v>
      </c>
      <c r="H588" t="s">
        <v>10118</v>
      </c>
      <c r="I588" t="s">
        <v>10168</v>
      </c>
      <c r="J588" t="s">
        <v>10212</v>
      </c>
      <c r="K588" t="s">
        <v>10217</v>
      </c>
      <c r="M588" t="s">
        <v>10461</v>
      </c>
      <c r="N588" t="s">
        <v>10713</v>
      </c>
      <c r="P588" t="s">
        <v>10753</v>
      </c>
      <c r="Q588" t="s">
        <v>10763</v>
      </c>
      <c r="R588" t="s">
        <v>10820</v>
      </c>
      <c r="T588">
        <v>24000</v>
      </c>
      <c r="U588">
        <v>2000</v>
      </c>
      <c r="V588">
        <v>45</v>
      </c>
      <c r="W588">
        <v>2</v>
      </c>
      <c r="X588">
        <v>2</v>
      </c>
      <c r="Z588">
        <v>93.2</v>
      </c>
      <c r="AA588">
        <v>40.765938</v>
      </c>
      <c r="AB588">
        <v>-73.907974</v>
      </c>
      <c r="AD588" t="s">
        <v>10840</v>
      </c>
      <c r="AF588" t="s">
        <v>10843</v>
      </c>
      <c r="AG588" t="s">
        <v>10859</v>
      </c>
      <c r="AH588" t="s">
        <v>10865</v>
      </c>
      <c r="AI588">
        <v>237</v>
      </c>
      <c r="AJ588" t="s">
        <v>10212</v>
      </c>
      <c r="AL588">
        <v>5.37</v>
      </c>
      <c r="AM588" t="s">
        <v>10885</v>
      </c>
      <c r="AN588" t="s">
        <v>10954</v>
      </c>
      <c r="AO588" t="s">
        <v>11003</v>
      </c>
      <c r="AP588" t="s">
        <v>11084</v>
      </c>
      <c r="AQ588" t="s">
        <v>11131</v>
      </c>
      <c r="AR588" t="s">
        <v>11257</v>
      </c>
      <c r="AS588" t="s">
        <v>11594</v>
      </c>
      <c r="BA588" t="s">
        <v>11739</v>
      </c>
      <c r="BB588">
        <v>0</v>
      </c>
      <c r="BC588">
        <v>0</v>
      </c>
      <c r="BD588">
        <v>0</v>
      </c>
      <c r="BE588">
        <v>0</v>
      </c>
      <c r="BF588">
        <v>4</v>
      </c>
      <c r="BG588">
        <v>0</v>
      </c>
    </row>
    <row r="589" spans="1:59">
      <c r="A589" s="1">
        <f>HYPERLINK("https://lsnyc.legalserver.org/matter/dynamic-profile/view/1904312","19-1904312")</f>
        <v>0</v>
      </c>
      <c r="B589" t="s">
        <v>581</v>
      </c>
      <c r="C589" t="s">
        <v>5493</v>
      </c>
      <c r="D589" t="s">
        <v>9932</v>
      </c>
      <c r="E589" t="s">
        <v>10075</v>
      </c>
      <c r="F589">
        <v>11368</v>
      </c>
      <c r="G589" t="s">
        <v>10091</v>
      </c>
      <c r="H589" t="s">
        <v>10118</v>
      </c>
      <c r="I589" t="s">
        <v>10168</v>
      </c>
      <c r="J589" t="s">
        <v>10214</v>
      </c>
      <c r="K589" t="s">
        <v>10217</v>
      </c>
      <c r="M589" t="s">
        <v>10286</v>
      </c>
      <c r="N589" t="s">
        <v>10671</v>
      </c>
      <c r="P589" t="s">
        <v>10752</v>
      </c>
      <c r="Q589" t="s">
        <v>10762</v>
      </c>
      <c r="R589" t="s">
        <v>10824</v>
      </c>
      <c r="T589">
        <v>15258</v>
      </c>
      <c r="U589">
        <v>1271.5</v>
      </c>
      <c r="V589">
        <v>33</v>
      </c>
      <c r="W589">
        <v>1</v>
      </c>
      <c r="X589">
        <v>0</v>
      </c>
      <c r="Z589">
        <v>122.16</v>
      </c>
      <c r="AA589">
        <v>40.744704</v>
      </c>
      <c r="AB589">
        <v>-73.854418</v>
      </c>
      <c r="AD589" t="s">
        <v>10839</v>
      </c>
      <c r="AG589" t="s">
        <v>10858</v>
      </c>
      <c r="AH589" t="s">
        <v>10861</v>
      </c>
      <c r="AI589">
        <v>234</v>
      </c>
      <c r="AJ589" t="s">
        <v>10214</v>
      </c>
      <c r="AL589">
        <v>1</v>
      </c>
      <c r="AM589" t="s">
        <v>10885</v>
      </c>
      <c r="AN589" t="s">
        <v>10949</v>
      </c>
      <c r="AO589" t="s">
        <v>11014</v>
      </c>
      <c r="AP589" t="s">
        <v>11068</v>
      </c>
      <c r="AR589" t="s">
        <v>11298</v>
      </c>
      <c r="AS589" t="s">
        <v>11594</v>
      </c>
      <c r="AT589" t="s">
        <v>11641</v>
      </c>
      <c r="AX589" t="s">
        <v>10837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</row>
    <row r="590" spans="1:59">
      <c r="A590" s="1">
        <f>HYPERLINK("https://lsnyc.legalserver.org/matter/dynamic-profile/view/1904313","19-1904313")</f>
        <v>0</v>
      </c>
      <c r="B590" t="s">
        <v>582</v>
      </c>
      <c r="C590" t="s">
        <v>5494</v>
      </c>
      <c r="D590" t="s">
        <v>9928</v>
      </c>
      <c r="E590" t="s">
        <v>10075</v>
      </c>
      <c r="F590">
        <v>11226</v>
      </c>
      <c r="G590" t="s">
        <v>10093</v>
      </c>
      <c r="H590" t="s">
        <v>10118</v>
      </c>
      <c r="I590" t="s">
        <v>10168</v>
      </c>
      <c r="J590" t="s">
        <v>10213</v>
      </c>
      <c r="K590" t="s">
        <v>10218</v>
      </c>
      <c r="L590" t="s">
        <v>10118</v>
      </c>
      <c r="M590" t="s">
        <v>10437</v>
      </c>
      <c r="N590" t="s">
        <v>10675</v>
      </c>
      <c r="P590" t="s">
        <v>10751</v>
      </c>
      <c r="Q590" t="s">
        <v>10803</v>
      </c>
      <c r="R590" t="s">
        <v>10824</v>
      </c>
      <c r="T590">
        <v>57024</v>
      </c>
      <c r="U590">
        <v>4752</v>
      </c>
      <c r="V590">
        <v>64</v>
      </c>
      <c r="W590">
        <v>2</v>
      </c>
      <c r="X590">
        <v>0</v>
      </c>
      <c r="Y590" t="s">
        <v>10829</v>
      </c>
      <c r="Z590">
        <v>337.22</v>
      </c>
      <c r="AA590">
        <v>40.637114</v>
      </c>
      <c r="AB590">
        <v>-73.959035</v>
      </c>
      <c r="AC590" t="s">
        <v>10837</v>
      </c>
      <c r="AD590" t="s">
        <v>10839</v>
      </c>
      <c r="AG590" t="s">
        <v>10858</v>
      </c>
      <c r="AH590" t="s">
        <v>10866</v>
      </c>
      <c r="AI590">
        <v>239</v>
      </c>
      <c r="AJ590" t="s">
        <v>10213</v>
      </c>
      <c r="AK590" t="s">
        <v>10838</v>
      </c>
      <c r="AL590">
        <v>1.15</v>
      </c>
      <c r="AM590" t="s">
        <v>10888</v>
      </c>
      <c r="AN590" t="s">
        <v>10932</v>
      </c>
      <c r="AO590" t="s">
        <v>11008</v>
      </c>
      <c r="AP590" t="s">
        <v>11050</v>
      </c>
      <c r="AR590" t="s">
        <v>11361</v>
      </c>
      <c r="AS590" t="s">
        <v>11595</v>
      </c>
      <c r="AY590" t="s">
        <v>10829</v>
      </c>
      <c r="AZ590" t="s">
        <v>11710</v>
      </c>
      <c r="BA590" t="s">
        <v>11741</v>
      </c>
      <c r="BB590">
        <v>0</v>
      </c>
      <c r="BC590">
        <v>0</v>
      </c>
      <c r="BD590">
        <v>0</v>
      </c>
      <c r="BE590">
        <v>0</v>
      </c>
      <c r="BF590">
        <v>1</v>
      </c>
      <c r="BG590">
        <v>0</v>
      </c>
    </row>
    <row r="591" spans="1:59">
      <c r="A591" s="1">
        <f>HYPERLINK("https://lsnyc.legalserver.org/matter/dynamic-profile/view/1904314","19-1904314")</f>
        <v>0</v>
      </c>
      <c r="B591" t="s">
        <v>583</v>
      </c>
      <c r="C591" t="s">
        <v>5495</v>
      </c>
      <c r="D591" t="s">
        <v>9928</v>
      </c>
      <c r="E591" t="s">
        <v>10075</v>
      </c>
      <c r="F591">
        <v>11233</v>
      </c>
      <c r="G591" t="s">
        <v>10093</v>
      </c>
      <c r="H591" t="s">
        <v>10118</v>
      </c>
      <c r="I591" t="s">
        <v>10168</v>
      </c>
      <c r="J591" t="s">
        <v>10213</v>
      </c>
      <c r="K591" t="s">
        <v>10217</v>
      </c>
      <c r="M591" t="s">
        <v>10280</v>
      </c>
      <c r="N591" t="s">
        <v>10656</v>
      </c>
      <c r="P591" t="s">
        <v>10751</v>
      </c>
      <c r="Q591" t="s">
        <v>10780</v>
      </c>
      <c r="R591" t="s">
        <v>10821</v>
      </c>
      <c r="T591">
        <v>11724</v>
      </c>
      <c r="U591">
        <v>977</v>
      </c>
      <c r="V591">
        <v>21</v>
      </c>
      <c r="W591">
        <v>5</v>
      </c>
      <c r="X591">
        <v>2</v>
      </c>
      <c r="Z591">
        <v>30.05</v>
      </c>
      <c r="AA591">
        <v>40.668026</v>
      </c>
      <c r="AB591">
        <v>-73.924845</v>
      </c>
      <c r="AD591" t="s">
        <v>10839</v>
      </c>
      <c r="AG591" t="s">
        <v>10858</v>
      </c>
      <c r="AH591" t="s">
        <v>10871</v>
      </c>
      <c r="AI591">
        <v>234</v>
      </c>
      <c r="AJ591" t="s">
        <v>10214</v>
      </c>
      <c r="AL591">
        <v>3.5</v>
      </c>
      <c r="AM591" t="s">
        <v>10888</v>
      </c>
      <c r="AN591" t="s">
        <v>10922</v>
      </c>
      <c r="AO591" t="s">
        <v>11005</v>
      </c>
      <c r="AP591" t="s">
        <v>11064</v>
      </c>
      <c r="AR591" t="s">
        <v>11362</v>
      </c>
      <c r="AS591" t="s">
        <v>11595</v>
      </c>
      <c r="AT591" t="s">
        <v>11641</v>
      </c>
      <c r="AX591" t="s">
        <v>10838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</row>
    <row r="592" spans="1:59">
      <c r="A592" s="1">
        <f>HYPERLINK("https://lsnyc.legalserver.org/matter/dynamic-profile/view/1904315","19-1904315")</f>
        <v>0</v>
      </c>
      <c r="B592" t="s">
        <v>584</v>
      </c>
      <c r="C592" t="s">
        <v>5496</v>
      </c>
      <c r="D592" t="s">
        <v>9926</v>
      </c>
      <c r="E592" t="s">
        <v>10075</v>
      </c>
      <c r="F592">
        <v>10453</v>
      </c>
      <c r="G592" t="s">
        <v>10090</v>
      </c>
      <c r="H592" t="s">
        <v>10118</v>
      </c>
      <c r="I592" t="s">
        <v>10169</v>
      </c>
      <c r="J592" t="s">
        <v>10210</v>
      </c>
      <c r="K592" t="s">
        <v>10217</v>
      </c>
      <c r="M592" t="s">
        <v>10286</v>
      </c>
      <c r="N592" t="s">
        <v>10677</v>
      </c>
      <c r="P592" t="s">
        <v>10751</v>
      </c>
      <c r="Q592" t="s">
        <v>10786</v>
      </c>
      <c r="R592" t="s">
        <v>10821</v>
      </c>
      <c r="T592">
        <v>15120</v>
      </c>
      <c r="U592">
        <v>1260</v>
      </c>
      <c r="V592">
        <v>64</v>
      </c>
      <c r="W592">
        <v>2</v>
      </c>
      <c r="X592">
        <v>0</v>
      </c>
      <c r="Z592">
        <v>89.41</v>
      </c>
      <c r="AA592">
        <v>40.846574</v>
      </c>
      <c r="AB592">
        <v>-73.915316</v>
      </c>
      <c r="AD592" t="s">
        <v>10839</v>
      </c>
      <c r="AG592" t="s">
        <v>10858</v>
      </c>
      <c r="AH592" t="s">
        <v>10861</v>
      </c>
      <c r="AI592">
        <v>234</v>
      </c>
      <c r="AJ592" t="s">
        <v>10214</v>
      </c>
      <c r="AL592">
        <v>0.75</v>
      </c>
      <c r="AM592" t="s">
        <v>10884</v>
      </c>
      <c r="AN592" t="s">
        <v>10929</v>
      </c>
      <c r="AO592" t="s">
        <v>11013</v>
      </c>
      <c r="AP592" t="s">
        <v>11045</v>
      </c>
      <c r="AR592" t="s">
        <v>11257</v>
      </c>
      <c r="AS592" t="s">
        <v>9926</v>
      </c>
      <c r="AT592" t="s">
        <v>11641</v>
      </c>
      <c r="AX592" t="s">
        <v>10838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</row>
    <row r="593" spans="1:59">
      <c r="A593" s="1">
        <f>HYPERLINK("https://lsnyc.legalserver.org/matter/dynamic-profile/view/1904316","19-1904316")</f>
        <v>0</v>
      </c>
      <c r="B593" t="s">
        <v>585</v>
      </c>
      <c r="C593" t="s">
        <v>5497</v>
      </c>
      <c r="D593" t="s">
        <v>9929</v>
      </c>
      <c r="E593" t="s">
        <v>10075</v>
      </c>
      <c r="F593">
        <v>10302</v>
      </c>
      <c r="G593" t="s">
        <v>10093</v>
      </c>
      <c r="H593" t="s">
        <v>10118</v>
      </c>
      <c r="I593" t="s">
        <v>10168</v>
      </c>
      <c r="J593" t="s">
        <v>10213</v>
      </c>
      <c r="K593" t="s">
        <v>10218</v>
      </c>
      <c r="L593" t="s">
        <v>10118</v>
      </c>
      <c r="M593" t="s">
        <v>10437</v>
      </c>
      <c r="N593" t="s">
        <v>10675</v>
      </c>
      <c r="P593" t="s">
        <v>10749</v>
      </c>
      <c r="Q593" t="s">
        <v>10765</v>
      </c>
      <c r="R593" t="s">
        <v>10824</v>
      </c>
      <c r="T593">
        <v>59076</v>
      </c>
      <c r="U593">
        <v>4923</v>
      </c>
      <c r="V593">
        <v>62</v>
      </c>
      <c r="W593">
        <v>1</v>
      </c>
      <c r="X593">
        <v>0</v>
      </c>
      <c r="Y593" t="s">
        <v>10829</v>
      </c>
      <c r="Z593">
        <v>472.99</v>
      </c>
      <c r="AA593">
        <v>40.631994</v>
      </c>
      <c r="AB593">
        <v>-74.13211099999999</v>
      </c>
      <c r="AC593" t="s">
        <v>10837</v>
      </c>
      <c r="AD593" t="s">
        <v>10840</v>
      </c>
      <c r="AG593" t="s">
        <v>10858</v>
      </c>
      <c r="AH593" t="s">
        <v>10866</v>
      </c>
      <c r="AI593">
        <v>239</v>
      </c>
      <c r="AJ593" t="s">
        <v>10213</v>
      </c>
      <c r="AK593" t="s">
        <v>10838</v>
      </c>
      <c r="AL593">
        <v>1.4</v>
      </c>
      <c r="AM593" t="s">
        <v>10883</v>
      </c>
      <c r="AN593" t="s">
        <v>10913</v>
      </c>
      <c r="AO593" t="s">
        <v>11006</v>
      </c>
      <c r="AP593" t="s">
        <v>11051</v>
      </c>
      <c r="AR593" t="s">
        <v>11363</v>
      </c>
      <c r="AS593" t="s">
        <v>11593</v>
      </c>
      <c r="AT593" t="s">
        <v>11642</v>
      </c>
      <c r="AY593" t="s">
        <v>10829</v>
      </c>
      <c r="AZ593" t="s">
        <v>11681</v>
      </c>
      <c r="BA593" t="s">
        <v>11741</v>
      </c>
      <c r="BB593">
        <v>0</v>
      </c>
      <c r="BC593">
        <v>0</v>
      </c>
      <c r="BD593">
        <v>0</v>
      </c>
      <c r="BE593">
        <v>0</v>
      </c>
      <c r="BF593">
        <v>1</v>
      </c>
      <c r="BG593">
        <v>0</v>
      </c>
    </row>
    <row r="594" spans="1:59">
      <c r="A594" s="1">
        <f>HYPERLINK("https://lsnyc.legalserver.org/matter/dynamic-profile/view/1904318","19-1904318")</f>
        <v>0</v>
      </c>
      <c r="B594" t="s">
        <v>586</v>
      </c>
      <c r="C594" t="s">
        <v>5498</v>
      </c>
      <c r="D594" t="s">
        <v>9938</v>
      </c>
      <c r="E594" t="s">
        <v>10075</v>
      </c>
      <c r="F594">
        <v>11432</v>
      </c>
      <c r="G594" t="s">
        <v>10092</v>
      </c>
      <c r="H594" t="s">
        <v>10118</v>
      </c>
      <c r="I594" t="s">
        <v>10168</v>
      </c>
      <c r="J594" t="s">
        <v>10212</v>
      </c>
      <c r="K594" t="s">
        <v>10217</v>
      </c>
      <c r="M594" t="s">
        <v>10242</v>
      </c>
      <c r="N594" t="s">
        <v>10656</v>
      </c>
      <c r="P594" t="s">
        <v>10751</v>
      </c>
      <c r="Q594" t="s">
        <v>10780</v>
      </c>
      <c r="R594" t="s">
        <v>10827</v>
      </c>
      <c r="T594">
        <v>0</v>
      </c>
      <c r="U594">
        <v>0</v>
      </c>
      <c r="V594">
        <v>43</v>
      </c>
      <c r="W594">
        <v>2</v>
      </c>
      <c r="X594">
        <v>0</v>
      </c>
      <c r="Z594">
        <v>0</v>
      </c>
      <c r="AA594">
        <v>40.712393</v>
      </c>
      <c r="AB594">
        <v>-73.787544</v>
      </c>
      <c r="AD594" t="s">
        <v>10839</v>
      </c>
      <c r="AG594" t="s">
        <v>10858</v>
      </c>
      <c r="AH594" t="s">
        <v>10866</v>
      </c>
      <c r="AI594">
        <v>237</v>
      </c>
      <c r="AJ594" t="s">
        <v>10212</v>
      </c>
      <c r="AL594">
        <v>1.4</v>
      </c>
      <c r="AM594" t="s">
        <v>10892</v>
      </c>
      <c r="AN594" t="s">
        <v>10955</v>
      </c>
      <c r="AO594" t="s">
        <v>11020</v>
      </c>
      <c r="AP594" t="s">
        <v>11081</v>
      </c>
      <c r="AQ594" t="s">
        <v>11150</v>
      </c>
      <c r="AR594" t="s">
        <v>11267</v>
      </c>
      <c r="AS594" t="s">
        <v>11594</v>
      </c>
      <c r="BA594" t="s">
        <v>11739</v>
      </c>
      <c r="BB594">
        <v>0</v>
      </c>
      <c r="BC594">
        <v>0</v>
      </c>
      <c r="BD594">
        <v>0</v>
      </c>
      <c r="BE594">
        <v>0</v>
      </c>
      <c r="BF594">
        <v>4</v>
      </c>
      <c r="BG594">
        <v>0</v>
      </c>
    </row>
    <row r="595" spans="1:59">
      <c r="A595" s="1">
        <f>HYPERLINK("https://lsnyc.legalserver.org/matter/dynamic-profile/view/1904319","19-1904319")</f>
        <v>0</v>
      </c>
      <c r="B595" t="s">
        <v>587</v>
      </c>
      <c r="C595" t="s">
        <v>5499</v>
      </c>
      <c r="D595" t="s">
        <v>9928</v>
      </c>
      <c r="E595" t="s">
        <v>10075</v>
      </c>
      <c r="F595">
        <v>11233</v>
      </c>
      <c r="G595" t="s">
        <v>10091</v>
      </c>
      <c r="H595" t="s">
        <v>10118</v>
      </c>
      <c r="I595" t="s">
        <v>10168</v>
      </c>
      <c r="J595" t="s">
        <v>10214</v>
      </c>
      <c r="K595" t="s">
        <v>10218</v>
      </c>
      <c r="L595" t="s">
        <v>10110</v>
      </c>
      <c r="M595" t="s">
        <v>10286</v>
      </c>
      <c r="N595" t="s">
        <v>10671</v>
      </c>
      <c r="P595" t="s">
        <v>10752</v>
      </c>
      <c r="Q595" t="s">
        <v>10762</v>
      </c>
      <c r="R595" t="s">
        <v>10822</v>
      </c>
      <c r="T595">
        <v>24948</v>
      </c>
      <c r="U595">
        <v>2079</v>
      </c>
      <c r="V595">
        <v>66</v>
      </c>
      <c r="W595">
        <v>1</v>
      </c>
      <c r="X595">
        <v>0</v>
      </c>
      <c r="Y595" t="s">
        <v>10829</v>
      </c>
      <c r="Z595">
        <v>199.74</v>
      </c>
      <c r="AA595">
        <v>40.675746</v>
      </c>
      <c r="AB595">
        <v>-73.91373400000001</v>
      </c>
      <c r="AD595" t="s">
        <v>10839</v>
      </c>
      <c r="AG595" t="s">
        <v>10858</v>
      </c>
      <c r="AH595" t="s">
        <v>10863</v>
      </c>
      <c r="AI595">
        <v>234</v>
      </c>
      <c r="AJ595" t="s">
        <v>10214</v>
      </c>
      <c r="AK595" t="s">
        <v>10882</v>
      </c>
      <c r="AL595">
        <v>0.6</v>
      </c>
      <c r="AM595" t="s">
        <v>10889</v>
      </c>
      <c r="AN595" t="s">
        <v>10922</v>
      </c>
      <c r="AO595" t="s">
        <v>11007</v>
      </c>
      <c r="AP595" t="s">
        <v>11064</v>
      </c>
      <c r="AR595" t="s">
        <v>11364</v>
      </c>
      <c r="AS595" t="s">
        <v>11595</v>
      </c>
      <c r="AT595" t="s">
        <v>11641</v>
      </c>
      <c r="AX595" t="s">
        <v>10838</v>
      </c>
      <c r="AY595" t="s">
        <v>10829</v>
      </c>
      <c r="AZ595" t="s">
        <v>11680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</row>
    <row r="596" spans="1:59">
      <c r="A596" s="1">
        <f>HYPERLINK("https://lsnyc.legalserver.org/matter/dynamic-profile/view/1904321","19-1904321")</f>
        <v>0</v>
      </c>
      <c r="B596" t="s">
        <v>588</v>
      </c>
      <c r="C596" t="s">
        <v>5500</v>
      </c>
      <c r="D596" t="s">
        <v>9928</v>
      </c>
      <c r="E596" t="s">
        <v>10075</v>
      </c>
      <c r="F596">
        <v>11212</v>
      </c>
      <c r="G596" t="s">
        <v>10093</v>
      </c>
      <c r="H596" t="s">
        <v>10118</v>
      </c>
      <c r="I596" t="s">
        <v>10168</v>
      </c>
      <c r="J596" t="s">
        <v>10213</v>
      </c>
      <c r="K596" t="s">
        <v>10218</v>
      </c>
      <c r="L596" t="s">
        <v>10112</v>
      </c>
      <c r="M596" t="s">
        <v>10414</v>
      </c>
      <c r="N596" t="s">
        <v>10671</v>
      </c>
      <c r="P596" t="s">
        <v>10749</v>
      </c>
      <c r="Q596" t="s">
        <v>10767</v>
      </c>
      <c r="R596" t="s">
        <v>10824</v>
      </c>
      <c r="T596">
        <v>6240</v>
      </c>
      <c r="U596">
        <v>520</v>
      </c>
      <c r="V596">
        <v>24</v>
      </c>
      <c r="W596">
        <v>2</v>
      </c>
      <c r="X596">
        <v>2</v>
      </c>
      <c r="Y596" t="s">
        <v>10829</v>
      </c>
      <c r="Z596">
        <v>24.23</v>
      </c>
      <c r="AA596">
        <v>40.663032</v>
      </c>
      <c r="AB596">
        <v>-73.90837999999999</v>
      </c>
      <c r="AC596" t="s">
        <v>10837</v>
      </c>
      <c r="AD596" t="s">
        <v>10839</v>
      </c>
      <c r="AG596" t="s">
        <v>10858</v>
      </c>
      <c r="AH596" t="s">
        <v>10861</v>
      </c>
      <c r="AI596">
        <v>234</v>
      </c>
      <c r="AJ596" t="s">
        <v>10214</v>
      </c>
      <c r="AK596" t="s">
        <v>10882</v>
      </c>
      <c r="AL596">
        <v>1.3</v>
      </c>
      <c r="AM596" t="s">
        <v>10888</v>
      </c>
      <c r="AN596" t="s">
        <v>10922</v>
      </c>
      <c r="AO596" t="s">
        <v>11005</v>
      </c>
      <c r="AP596" t="s">
        <v>11064</v>
      </c>
      <c r="AR596" t="s">
        <v>11255</v>
      </c>
      <c r="AS596" t="s">
        <v>11595</v>
      </c>
      <c r="AT596" t="s">
        <v>11641</v>
      </c>
      <c r="AX596" t="s">
        <v>10838</v>
      </c>
      <c r="AY596" t="s">
        <v>10829</v>
      </c>
      <c r="AZ596" t="s">
        <v>11681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</row>
    <row r="597" spans="1:59">
      <c r="A597" s="1">
        <f>HYPERLINK("https://lsnyc.legalserver.org/matter/dynamic-profile/view/1904324","19-1904324")</f>
        <v>0</v>
      </c>
      <c r="B597" t="s">
        <v>589</v>
      </c>
      <c r="C597" t="s">
        <v>5501</v>
      </c>
      <c r="D597" t="s">
        <v>9928</v>
      </c>
      <c r="E597" t="s">
        <v>10075</v>
      </c>
      <c r="F597">
        <v>11221</v>
      </c>
      <c r="G597" t="s">
        <v>10093</v>
      </c>
      <c r="H597" t="s">
        <v>10118</v>
      </c>
      <c r="I597" t="s">
        <v>10168</v>
      </c>
      <c r="J597" t="s">
        <v>10213</v>
      </c>
      <c r="K597" t="s">
        <v>10217</v>
      </c>
      <c r="M597" t="s">
        <v>10263</v>
      </c>
      <c r="N597" t="s">
        <v>10650</v>
      </c>
      <c r="O597" t="s">
        <v>10653</v>
      </c>
      <c r="P597" t="s">
        <v>10749</v>
      </c>
      <c r="Q597" t="s">
        <v>10765</v>
      </c>
      <c r="R597" t="s">
        <v>10824</v>
      </c>
      <c r="T597">
        <v>0</v>
      </c>
      <c r="U597">
        <v>0</v>
      </c>
      <c r="V597">
        <v>54</v>
      </c>
      <c r="W597">
        <v>1</v>
      </c>
      <c r="X597">
        <v>0</v>
      </c>
      <c r="Z597">
        <v>0</v>
      </c>
      <c r="AA597">
        <v>40.687087</v>
      </c>
      <c r="AB597">
        <v>-73.93310200000001</v>
      </c>
      <c r="AD597" t="s">
        <v>10840</v>
      </c>
      <c r="AG597" t="s">
        <v>10858</v>
      </c>
      <c r="AH597" t="s">
        <v>10862</v>
      </c>
      <c r="AI597">
        <v>239</v>
      </c>
      <c r="AJ597" t="s">
        <v>10213</v>
      </c>
      <c r="AL597">
        <v>2</v>
      </c>
      <c r="AM597" t="s">
        <v>10889</v>
      </c>
      <c r="AN597" t="s">
        <v>10914</v>
      </c>
      <c r="AO597" t="s">
        <v>11007</v>
      </c>
      <c r="AP597" t="s">
        <v>11052</v>
      </c>
      <c r="AQ597" t="s">
        <v>11101</v>
      </c>
      <c r="AR597" t="s">
        <v>11266</v>
      </c>
      <c r="AS597" t="s">
        <v>11595</v>
      </c>
      <c r="BA597" t="s">
        <v>11737</v>
      </c>
      <c r="BB597">
        <v>0</v>
      </c>
      <c r="BC597">
        <v>0</v>
      </c>
      <c r="BD597">
        <v>0</v>
      </c>
      <c r="BE597">
        <v>0</v>
      </c>
      <c r="BF597">
        <v>3</v>
      </c>
      <c r="BG597">
        <v>0</v>
      </c>
    </row>
    <row r="598" spans="1:59">
      <c r="A598" s="1">
        <f>HYPERLINK("https://lsnyc.legalserver.org/matter/dynamic-profile/view/1904325","19-1904325")</f>
        <v>0</v>
      </c>
      <c r="B598" t="s">
        <v>590</v>
      </c>
      <c r="C598" t="s">
        <v>5502</v>
      </c>
      <c r="D598" t="s">
        <v>9928</v>
      </c>
      <c r="E598" t="s">
        <v>10075</v>
      </c>
      <c r="F598">
        <v>11233</v>
      </c>
      <c r="G598" t="s">
        <v>10093</v>
      </c>
      <c r="H598" t="s">
        <v>10118</v>
      </c>
      <c r="I598" t="s">
        <v>10168</v>
      </c>
      <c r="J598" t="s">
        <v>10213</v>
      </c>
      <c r="K598" t="s">
        <v>10218</v>
      </c>
      <c r="L598" t="s">
        <v>10112</v>
      </c>
      <c r="M598" t="s">
        <v>10429</v>
      </c>
      <c r="N598" t="s">
        <v>10657</v>
      </c>
      <c r="P598" t="s">
        <v>10749</v>
      </c>
      <c r="Q598" t="s">
        <v>10765</v>
      </c>
      <c r="R598" t="s">
        <v>10824</v>
      </c>
      <c r="T598">
        <v>14628</v>
      </c>
      <c r="U598">
        <v>1219</v>
      </c>
      <c r="V598">
        <v>66</v>
      </c>
      <c r="W598">
        <v>2</v>
      </c>
      <c r="X598">
        <v>0</v>
      </c>
      <c r="Y598" t="s">
        <v>10829</v>
      </c>
      <c r="Z598">
        <v>86.51000000000001</v>
      </c>
      <c r="AA598">
        <v>40.681549</v>
      </c>
      <c r="AB598">
        <v>-73.92219299999999</v>
      </c>
      <c r="AD598" t="s">
        <v>10839</v>
      </c>
      <c r="AG598" t="s">
        <v>10858</v>
      </c>
      <c r="AH598" t="s">
        <v>10862</v>
      </c>
      <c r="AI598">
        <v>239</v>
      </c>
      <c r="AJ598" t="s">
        <v>10213</v>
      </c>
      <c r="AK598" t="s">
        <v>10838</v>
      </c>
      <c r="AL598">
        <v>1.1</v>
      </c>
      <c r="AM598" t="s">
        <v>10889</v>
      </c>
      <c r="AN598" t="s">
        <v>10922</v>
      </c>
      <c r="AO598" t="s">
        <v>11007</v>
      </c>
      <c r="AP598" t="s">
        <v>11064</v>
      </c>
      <c r="AR598" t="s">
        <v>11268</v>
      </c>
      <c r="AS598" t="s">
        <v>11595</v>
      </c>
      <c r="AT598" t="s">
        <v>11641</v>
      </c>
      <c r="AY598" t="s">
        <v>10829</v>
      </c>
      <c r="AZ598" t="s">
        <v>11681</v>
      </c>
      <c r="BA598" t="s">
        <v>11741</v>
      </c>
      <c r="BB598">
        <v>0</v>
      </c>
      <c r="BC598">
        <v>0</v>
      </c>
      <c r="BD598">
        <v>0</v>
      </c>
      <c r="BE598">
        <v>0</v>
      </c>
      <c r="BF598">
        <v>1</v>
      </c>
      <c r="BG598">
        <v>0</v>
      </c>
    </row>
    <row r="599" spans="1:59">
      <c r="A599" s="1">
        <f>HYPERLINK("https://lsnyc.legalserver.org/matter/dynamic-profile/view/1904326","19-1904326")</f>
        <v>0</v>
      </c>
      <c r="B599" t="s">
        <v>591</v>
      </c>
      <c r="C599" t="s">
        <v>5503</v>
      </c>
      <c r="D599" t="s">
        <v>9926</v>
      </c>
      <c r="E599" t="s">
        <v>10075</v>
      </c>
      <c r="F599">
        <v>10472</v>
      </c>
      <c r="G599" t="s">
        <v>10093</v>
      </c>
      <c r="H599" t="s">
        <v>10118</v>
      </c>
      <c r="I599" t="s">
        <v>10169</v>
      </c>
      <c r="J599" t="s">
        <v>10213</v>
      </c>
      <c r="K599" t="s">
        <v>10217</v>
      </c>
      <c r="M599" t="s">
        <v>10330</v>
      </c>
      <c r="N599" t="s">
        <v>10710</v>
      </c>
      <c r="P599" t="s">
        <v>10750</v>
      </c>
      <c r="Q599" t="s">
        <v>10760</v>
      </c>
      <c r="R599" t="s">
        <v>10823</v>
      </c>
      <c r="T599">
        <v>20400</v>
      </c>
      <c r="U599">
        <v>1700</v>
      </c>
      <c r="V599">
        <v>66</v>
      </c>
      <c r="W599">
        <v>1</v>
      </c>
      <c r="X599">
        <v>0</v>
      </c>
      <c r="Z599">
        <v>163.33</v>
      </c>
      <c r="AA599">
        <v>40.830676</v>
      </c>
      <c r="AB599">
        <v>-73.869679</v>
      </c>
      <c r="AD599" t="s">
        <v>10840</v>
      </c>
      <c r="AG599" t="s">
        <v>10858</v>
      </c>
      <c r="AH599" t="s">
        <v>10861</v>
      </c>
      <c r="AI599">
        <v>234</v>
      </c>
      <c r="AJ599" t="s">
        <v>10214</v>
      </c>
      <c r="AL599">
        <v>4.15</v>
      </c>
      <c r="AM599" t="s">
        <v>10884</v>
      </c>
      <c r="AN599" t="s">
        <v>10908</v>
      </c>
      <c r="AO599" t="s">
        <v>11001</v>
      </c>
      <c r="AP599" t="s">
        <v>11046</v>
      </c>
      <c r="AR599" t="s">
        <v>11300</v>
      </c>
      <c r="AS599" t="s">
        <v>9926</v>
      </c>
      <c r="AT599" t="s">
        <v>11642</v>
      </c>
      <c r="AX599" t="s">
        <v>10838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</row>
    <row r="600" spans="1:59">
      <c r="A600" s="1">
        <f>HYPERLINK("https://lsnyc.legalserver.org/matter/dynamic-profile/view/1904327","19-1904327")</f>
        <v>0</v>
      </c>
      <c r="B600" t="s">
        <v>592</v>
      </c>
      <c r="D600" t="s">
        <v>9932</v>
      </c>
      <c r="E600" t="s">
        <v>10075</v>
      </c>
      <c r="F600">
        <v>11368</v>
      </c>
      <c r="G600" t="s">
        <v>10092</v>
      </c>
      <c r="H600" t="s">
        <v>10118</v>
      </c>
      <c r="I600" t="s">
        <v>10169</v>
      </c>
      <c r="J600" t="s">
        <v>10212</v>
      </c>
      <c r="K600" t="s">
        <v>10217</v>
      </c>
      <c r="M600" t="s">
        <v>10461</v>
      </c>
      <c r="N600" t="s">
        <v>10713</v>
      </c>
      <c r="P600" t="s">
        <v>10753</v>
      </c>
      <c r="Q600" t="s">
        <v>10763</v>
      </c>
      <c r="R600" t="s">
        <v>10823</v>
      </c>
      <c r="T600">
        <v>18000</v>
      </c>
      <c r="U600">
        <v>1500</v>
      </c>
      <c r="V600">
        <v>48</v>
      </c>
      <c r="W600">
        <v>2</v>
      </c>
      <c r="X600">
        <v>1</v>
      </c>
      <c r="Z600">
        <v>84.39</v>
      </c>
      <c r="AA600">
        <v>0</v>
      </c>
      <c r="AB600">
        <v>0</v>
      </c>
      <c r="AD600" t="s">
        <v>10839</v>
      </c>
      <c r="AF600" t="s">
        <v>10843</v>
      </c>
      <c r="AG600" t="s">
        <v>10859</v>
      </c>
      <c r="AH600" t="s">
        <v>10865</v>
      </c>
      <c r="AI600">
        <v>237</v>
      </c>
      <c r="AJ600" t="s">
        <v>10212</v>
      </c>
      <c r="AL600">
        <v>2.5</v>
      </c>
      <c r="AQ600" t="s">
        <v>11151</v>
      </c>
      <c r="AR600" t="s">
        <v>11257</v>
      </c>
      <c r="AS600" t="s">
        <v>11594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</row>
    <row r="601" spans="1:59">
      <c r="A601" s="1">
        <f>HYPERLINK("https://lsnyc.legalserver.org/matter/dynamic-profile/view/1904328","19-1904328")</f>
        <v>0</v>
      </c>
      <c r="B601" t="s">
        <v>593</v>
      </c>
      <c r="C601" t="s">
        <v>5504</v>
      </c>
      <c r="D601" t="s">
        <v>9928</v>
      </c>
      <c r="E601" t="s">
        <v>10075</v>
      </c>
      <c r="F601">
        <v>11212</v>
      </c>
      <c r="G601" t="s">
        <v>10093</v>
      </c>
      <c r="H601" t="s">
        <v>10118</v>
      </c>
      <c r="I601" t="s">
        <v>10168</v>
      </c>
      <c r="J601" t="s">
        <v>10213</v>
      </c>
      <c r="K601" t="s">
        <v>10218</v>
      </c>
      <c r="L601" t="s">
        <v>10136</v>
      </c>
      <c r="M601" t="s">
        <v>10256</v>
      </c>
      <c r="N601" t="s">
        <v>10644</v>
      </c>
      <c r="P601" t="s">
        <v>10749</v>
      </c>
      <c r="Q601" t="s">
        <v>10765</v>
      </c>
      <c r="R601" t="s">
        <v>10824</v>
      </c>
      <c r="T601">
        <v>14400</v>
      </c>
      <c r="U601">
        <v>1200</v>
      </c>
      <c r="V601">
        <v>65</v>
      </c>
      <c r="W601">
        <v>1</v>
      </c>
      <c r="X601">
        <v>0</v>
      </c>
      <c r="Y601" t="s">
        <v>10832</v>
      </c>
      <c r="Z601">
        <v>115.29</v>
      </c>
      <c r="AA601">
        <v>40.660948</v>
      </c>
      <c r="AB601">
        <v>-73.914902</v>
      </c>
      <c r="AD601" t="s">
        <v>10839</v>
      </c>
      <c r="AG601" t="s">
        <v>10858</v>
      </c>
      <c r="AH601" t="s">
        <v>10869</v>
      </c>
      <c r="AI601">
        <v>239</v>
      </c>
      <c r="AJ601" t="s">
        <v>10213</v>
      </c>
      <c r="AK601" t="s">
        <v>10882</v>
      </c>
      <c r="AL601">
        <v>17.25</v>
      </c>
      <c r="AM601" t="s">
        <v>10888</v>
      </c>
      <c r="AN601" t="s">
        <v>10922</v>
      </c>
      <c r="AO601" t="s">
        <v>11012</v>
      </c>
      <c r="AP601" t="s">
        <v>11060</v>
      </c>
      <c r="AQ601" t="s">
        <v>11101</v>
      </c>
      <c r="AR601" t="s">
        <v>11268</v>
      </c>
      <c r="AS601" t="s">
        <v>11595</v>
      </c>
      <c r="AT601" t="s">
        <v>11641</v>
      </c>
      <c r="AX601" t="s">
        <v>10838</v>
      </c>
      <c r="AY601" t="s">
        <v>10832</v>
      </c>
      <c r="AZ601" t="s">
        <v>11687</v>
      </c>
      <c r="BA601" t="s">
        <v>11738</v>
      </c>
      <c r="BB601">
        <v>0</v>
      </c>
      <c r="BC601">
        <v>0</v>
      </c>
      <c r="BD601">
        <v>0</v>
      </c>
      <c r="BE601">
        <v>0</v>
      </c>
      <c r="BF601">
        <v>5</v>
      </c>
      <c r="BG601">
        <v>0</v>
      </c>
    </row>
    <row r="602" spans="1:59">
      <c r="A602" s="1">
        <f>HYPERLINK("https://lsnyc.legalserver.org/matter/dynamic-profile/view/1904329","19-1904329")</f>
        <v>0</v>
      </c>
      <c r="B602" t="s">
        <v>594</v>
      </c>
      <c r="C602" t="s">
        <v>5505</v>
      </c>
      <c r="D602" t="s">
        <v>9941</v>
      </c>
      <c r="E602" t="s">
        <v>10075</v>
      </c>
      <c r="F602">
        <v>11429</v>
      </c>
      <c r="G602" t="s">
        <v>10092</v>
      </c>
      <c r="H602" t="s">
        <v>10118</v>
      </c>
      <c r="I602" t="s">
        <v>10169</v>
      </c>
      <c r="J602" t="s">
        <v>10212</v>
      </c>
      <c r="K602" t="s">
        <v>10218</v>
      </c>
      <c r="L602" t="s">
        <v>4843</v>
      </c>
      <c r="M602" t="s">
        <v>10273</v>
      </c>
      <c r="N602" t="s">
        <v>10672</v>
      </c>
      <c r="P602" t="s">
        <v>10750</v>
      </c>
      <c r="Q602" t="s">
        <v>10778</v>
      </c>
      <c r="R602" t="s">
        <v>10821</v>
      </c>
      <c r="T602">
        <v>0</v>
      </c>
      <c r="U602">
        <v>0</v>
      </c>
      <c r="V602">
        <v>50</v>
      </c>
      <c r="W602">
        <v>1</v>
      </c>
      <c r="X602">
        <v>2</v>
      </c>
      <c r="Y602" t="s">
        <v>10833</v>
      </c>
      <c r="Z602">
        <v>0</v>
      </c>
      <c r="AA602">
        <v>40.713991</v>
      </c>
      <c r="AB602">
        <v>-73.74660900000001</v>
      </c>
      <c r="AD602" t="s">
        <v>10839</v>
      </c>
      <c r="AG602" t="s">
        <v>10858</v>
      </c>
      <c r="AH602" t="s">
        <v>10870</v>
      </c>
      <c r="AI602">
        <v>237</v>
      </c>
      <c r="AJ602" t="s">
        <v>10212</v>
      </c>
      <c r="AK602" t="s">
        <v>10838</v>
      </c>
      <c r="AL602">
        <v>3.3</v>
      </c>
      <c r="AM602" t="s">
        <v>10892</v>
      </c>
      <c r="AN602" t="s">
        <v>10940</v>
      </c>
      <c r="AO602" t="s">
        <v>11020</v>
      </c>
      <c r="AP602" t="s">
        <v>11075</v>
      </c>
      <c r="AR602" t="s">
        <v>11267</v>
      </c>
      <c r="AS602" t="s">
        <v>11594</v>
      </c>
      <c r="AY602" t="s">
        <v>10833</v>
      </c>
      <c r="AZ602" t="s">
        <v>11695</v>
      </c>
      <c r="BB602">
        <v>719</v>
      </c>
      <c r="BC602">
        <v>0</v>
      </c>
      <c r="BD602">
        <v>0</v>
      </c>
      <c r="BE602">
        <v>0</v>
      </c>
      <c r="BF602">
        <v>0</v>
      </c>
      <c r="BG602">
        <v>0</v>
      </c>
    </row>
    <row r="603" spans="1:59">
      <c r="A603" s="1">
        <f>HYPERLINK("https://lsnyc.legalserver.org/matter/dynamic-profile/view/1904330","19-1904330")</f>
        <v>0</v>
      </c>
      <c r="B603" t="s">
        <v>595</v>
      </c>
      <c r="C603" t="s">
        <v>5506</v>
      </c>
      <c r="D603" t="s">
        <v>9926</v>
      </c>
      <c r="E603" t="s">
        <v>10075</v>
      </c>
      <c r="F603">
        <v>10451</v>
      </c>
      <c r="G603" t="s">
        <v>10090</v>
      </c>
      <c r="H603" t="s">
        <v>10118</v>
      </c>
      <c r="I603" t="s">
        <v>10168</v>
      </c>
      <c r="J603" t="s">
        <v>10210</v>
      </c>
      <c r="K603" t="s">
        <v>10217</v>
      </c>
      <c r="M603" t="s">
        <v>10336</v>
      </c>
      <c r="N603" t="s">
        <v>10677</v>
      </c>
      <c r="P603" t="s">
        <v>10754</v>
      </c>
      <c r="Q603" t="s">
        <v>10770</v>
      </c>
      <c r="R603" t="s">
        <v>10821</v>
      </c>
      <c r="T603">
        <v>11952</v>
      </c>
      <c r="U603">
        <v>996</v>
      </c>
      <c r="V603">
        <v>62</v>
      </c>
      <c r="W603">
        <v>1</v>
      </c>
      <c r="X603">
        <v>0</v>
      </c>
      <c r="Z603">
        <v>95.69</v>
      </c>
      <c r="AA603">
        <v>40.81314</v>
      </c>
      <c r="AB603">
        <v>-73.92523300000001</v>
      </c>
      <c r="AD603" t="s">
        <v>10840</v>
      </c>
      <c r="AF603" t="s">
        <v>10843</v>
      </c>
      <c r="AG603" t="s">
        <v>10859</v>
      </c>
      <c r="AH603" t="s">
        <v>10861</v>
      </c>
      <c r="AI603">
        <v>234</v>
      </c>
      <c r="AJ603" t="s">
        <v>10214</v>
      </c>
      <c r="AL603">
        <v>10.75</v>
      </c>
      <c r="AM603" t="s">
        <v>10884</v>
      </c>
      <c r="AN603" t="s">
        <v>10924</v>
      </c>
      <c r="AO603" t="s">
        <v>11013</v>
      </c>
      <c r="AP603" t="s">
        <v>11066</v>
      </c>
      <c r="AQ603" t="s">
        <v>11152</v>
      </c>
      <c r="AR603" t="s">
        <v>11365</v>
      </c>
      <c r="AS603" t="s">
        <v>9926</v>
      </c>
      <c r="AT603" t="s">
        <v>11642</v>
      </c>
      <c r="AX603" t="s">
        <v>10838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</row>
    <row r="604" spans="1:59">
      <c r="A604" s="1">
        <f>HYPERLINK("https://lsnyc.legalserver.org/matter/dynamic-profile/view/1904332","19-1904332")</f>
        <v>0</v>
      </c>
      <c r="B604" t="s">
        <v>596</v>
      </c>
      <c r="D604" t="s">
        <v>9932</v>
      </c>
      <c r="E604" t="s">
        <v>10075</v>
      </c>
      <c r="F604">
        <v>11368</v>
      </c>
      <c r="G604" t="s">
        <v>10092</v>
      </c>
      <c r="H604" t="s">
        <v>10118</v>
      </c>
      <c r="I604" t="s">
        <v>10169</v>
      </c>
      <c r="J604" t="s">
        <v>10212</v>
      </c>
      <c r="K604" t="s">
        <v>10217</v>
      </c>
      <c r="M604" t="s">
        <v>10461</v>
      </c>
      <c r="N604" t="s">
        <v>10713</v>
      </c>
      <c r="P604" t="s">
        <v>10753</v>
      </c>
      <c r="Q604" t="s">
        <v>10763</v>
      </c>
      <c r="R604" t="s">
        <v>10823</v>
      </c>
      <c r="T604">
        <v>16800</v>
      </c>
      <c r="U604">
        <v>1400</v>
      </c>
      <c r="V604">
        <v>36</v>
      </c>
      <c r="W604">
        <v>2</v>
      </c>
      <c r="X604">
        <v>2</v>
      </c>
      <c r="Z604">
        <v>65.23999999999999</v>
      </c>
      <c r="AA604">
        <v>0</v>
      </c>
      <c r="AB604">
        <v>0</v>
      </c>
      <c r="AD604" t="s">
        <v>10840</v>
      </c>
      <c r="AF604" t="s">
        <v>10850</v>
      </c>
      <c r="AG604" t="s">
        <v>10859</v>
      </c>
      <c r="AH604" t="s">
        <v>10865</v>
      </c>
      <c r="AI604">
        <v>237</v>
      </c>
      <c r="AJ604" t="s">
        <v>10212</v>
      </c>
      <c r="AL604">
        <v>2.5</v>
      </c>
      <c r="AQ604" t="s">
        <v>11153</v>
      </c>
      <c r="AR604" t="s">
        <v>11257</v>
      </c>
      <c r="AS604" t="s">
        <v>11594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</row>
    <row r="605" spans="1:59">
      <c r="A605" s="1">
        <f>HYPERLINK("https://lsnyc.legalserver.org/matter/dynamic-profile/view/1904333","19-1904333")</f>
        <v>0</v>
      </c>
      <c r="B605" t="s">
        <v>597</v>
      </c>
      <c r="C605" t="s">
        <v>5507</v>
      </c>
      <c r="D605" t="s">
        <v>9925</v>
      </c>
      <c r="E605" t="s">
        <v>10075</v>
      </c>
      <c r="F605">
        <v>10034</v>
      </c>
      <c r="G605" t="s">
        <v>10089</v>
      </c>
      <c r="H605" t="s">
        <v>10118</v>
      </c>
      <c r="I605" t="s">
        <v>10169</v>
      </c>
      <c r="J605" t="s">
        <v>10209</v>
      </c>
      <c r="K605" t="s">
        <v>10217</v>
      </c>
      <c r="M605" t="s">
        <v>10460</v>
      </c>
      <c r="N605" t="s">
        <v>10650</v>
      </c>
      <c r="P605" t="s">
        <v>10749</v>
      </c>
      <c r="Q605" t="s">
        <v>10765</v>
      </c>
      <c r="R605" t="s">
        <v>10821</v>
      </c>
      <c r="T605">
        <v>33000</v>
      </c>
      <c r="U605">
        <v>2750</v>
      </c>
      <c r="V605">
        <v>52</v>
      </c>
      <c r="W605">
        <v>3</v>
      </c>
      <c r="X605">
        <v>0</v>
      </c>
      <c r="Z605">
        <v>154.71</v>
      </c>
      <c r="AA605">
        <v>40.86592</v>
      </c>
      <c r="AB605">
        <v>-73.923812</v>
      </c>
      <c r="AD605" t="s">
        <v>10840</v>
      </c>
      <c r="AF605" t="s">
        <v>10843</v>
      </c>
      <c r="AG605" t="s">
        <v>10859</v>
      </c>
      <c r="AH605" t="s">
        <v>10862</v>
      </c>
      <c r="AI605">
        <v>236</v>
      </c>
      <c r="AJ605" t="s">
        <v>10209</v>
      </c>
      <c r="AL605">
        <v>0</v>
      </c>
      <c r="AM605" t="s">
        <v>10887</v>
      </c>
      <c r="AN605" t="s">
        <v>10937</v>
      </c>
      <c r="AO605" t="s">
        <v>11019</v>
      </c>
      <c r="AP605" t="s">
        <v>11074</v>
      </c>
      <c r="AR605" t="s">
        <v>11257</v>
      </c>
      <c r="AS605" t="s">
        <v>9925</v>
      </c>
      <c r="AT605" t="s">
        <v>11642</v>
      </c>
      <c r="AX605" t="s">
        <v>10838</v>
      </c>
      <c r="BA605" t="s">
        <v>11742</v>
      </c>
      <c r="BB605">
        <v>0</v>
      </c>
      <c r="BC605">
        <v>0</v>
      </c>
      <c r="BD605">
        <v>0</v>
      </c>
      <c r="BE605">
        <v>0</v>
      </c>
      <c r="BF605">
        <v>7</v>
      </c>
      <c r="BG605">
        <v>0</v>
      </c>
    </row>
    <row r="606" spans="1:59">
      <c r="A606" s="1">
        <f>HYPERLINK("https://lsnyc.legalserver.org/matter/dynamic-profile/view/1904334","19-1904334")</f>
        <v>0</v>
      </c>
      <c r="B606" t="s">
        <v>598</v>
      </c>
      <c r="C606" t="s">
        <v>5508</v>
      </c>
      <c r="D606" t="s">
        <v>9926</v>
      </c>
      <c r="E606" t="s">
        <v>10075</v>
      </c>
      <c r="F606">
        <v>10455</v>
      </c>
      <c r="G606" t="s">
        <v>10090</v>
      </c>
      <c r="H606" t="s">
        <v>10118</v>
      </c>
      <c r="I606" t="s">
        <v>10168</v>
      </c>
      <c r="J606" t="s">
        <v>10210</v>
      </c>
      <c r="K606" t="s">
        <v>10217</v>
      </c>
      <c r="M606" t="s">
        <v>10463</v>
      </c>
      <c r="N606" t="s">
        <v>10650</v>
      </c>
      <c r="P606" t="s">
        <v>10749</v>
      </c>
      <c r="Q606" t="s">
        <v>10765</v>
      </c>
      <c r="R606" t="s">
        <v>10821</v>
      </c>
      <c r="T606">
        <v>2496</v>
      </c>
      <c r="U606">
        <v>208</v>
      </c>
      <c r="V606">
        <v>39</v>
      </c>
      <c r="W606">
        <v>1</v>
      </c>
      <c r="X606">
        <v>2</v>
      </c>
      <c r="Z606">
        <v>11.7</v>
      </c>
      <c r="AA606">
        <v>40.814695</v>
      </c>
      <c r="AB606">
        <v>-73.910837</v>
      </c>
      <c r="AD606" t="s">
        <v>10839</v>
      </c>
      <c r="AF606" t="s">
        <v>10843</v>
      </c>
      <c r="AG606" t="s">
        <v>10859</v>
      </c>
      <c r="AH606" t="s">
        <v>10871</v>
      </c>
      <c r="AI606">
        <v>230</v>
      </c>
      <c r="AJ606" t="s">
        <v>10210</v>
      </c>
      <c r="AL606">
        <v>7</v>
      </c>
      <c r="AM606" t="s">
        <v>10884</v>
      </c>
      <c r="AN606" t="s">
        <v>10924</v>
      </c>
      <c r="AO606" t="s">
        <v>11013</v>
      </c>
      <c r="AP606" t="s">
        <v>11062</v>
      </c>
      <c r="AR606" t="s">
        <v>11296</v>
      </c>
      <c r="AS606" t="s">
        <v>9926</v>
      </c>
      <c r="AT606" t="s">
        <v>11641</v>
      </c>
      <c r="AX606" t="s">
        <v>10838</v>
      </c>
      <c r="BA606" t="s">
        <v>11739</v>
      </c>
      <c r="BB606">
        <v>0</v>
      </c>
      <c r="BC606">
        <v>0</v>
      </c>
      <c r="BD606">
        <v>0</v>
      </c>
      <c r="BE606">
        <v>0</v>
      </c>
      <c r="BF606">
        <v>4</v>
      </c>
      <c r="BG606">
        <v>0</v>
      </c>
    </row>
    <row r="607" spans="1:59">
      <c r="A607" s="1">
        <f>HYPERLINK("https://lsnyc.legalserver.org/matter/dynamic-profile/view/1904335","19-1904335")</f>
        <v>0</v>
      </c>
      <c r="B607" t="s">
        <v>599</v>
      </c>
      <c r="C607" t="s">
        <v>5509</v>
      </c>
      <c r="D607" t="s">
        <v>9928</v>
      </c>
      <c r="E607" t="s">
        <v>10075</v>
      </c>
      <c r="F607">
        <v>11221</v>
      </c>
      <c r="G607" t="s">
        <v>10093</v>
      </c>
      <c r="H607" t="s">
        <v>10118</v>
      </c>
      <c r="I607" t="s">
        <v>10168</v>
      </c>
      <c r="J607" t="s">
        <v>10213</v>
      </c>
      <c r="K607" t="s">
        <v>10217</v>
      </c>
      <c r="M607" t="s">
        <v>10429</v>
      </c>
      <c r="N607" t="s">
        <v>10657</v>
      </c>
      <c r="P607" t="s">
        <v>10749</v>
      </c>
      <c r="Q607" t="s">
        <v>10767</v>
      </c>
      <c r="R607" t="s">
        <v>10824</v>
      </c>
      <c r="T607">
        <v>5700</v>
      </c>
      <c r="U607">
        <v>475</v>
      </c>
      <c r="V607">
        <v>65</v>
      </c>
      <c r="W607">
        <v>2</v>
      </c>
      <c r="X607">
        <v>0</v>
      </c>
      <c r="Z607">
        <v>33.71</v>
      </c>
      <c r="AA607">
        <v>40.688084</v>
      </c>
      <c r="AB607">
        <v>-73.93353399999999</v>
      </c>
      <c r="AD607" t="s">
        <v>10839</v>
      </c>
      <c r="AG607" t="s">
        <v>10858</v>
      </c>
      <c r="AH607" t="s">
        <v>10862</v>
      </c>
      <c r="AI607">
        <v>239</v>
      </c>
      <c r="AJ607" t="s">
        <v>10213</v>
      </c>
      <c r="AL607">
        <v>9.800000000000001</v>
      </c>
      <c r="AM607" t="s">
        <v>10889</v>
      </c>
      <c r="AN607" t="s">
        <v>10914</v>
      </c>
      <c r="AO607" t="s">
        <v>11007</v>
      </c>
      <c r="AP607" t="s">
        <v>11052</v>
      </c>
      <c r="AR607" t="s">
        <v>11253</v>
      </c>
      <c r="AS607" t="s">
        <v>11595</v>
      </c>
      <c r="AT607" t="s">
        <v>11641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</row>
    <row r="608" spans="1:59">
      <c r="A608" s="1">
        <f>HYPERLINK("https://lsnyc.legalserver.org/matter/dynamic-profile/view/1904337","19-1904337")</f>
        <v>0</v>
      </c>
      <c r="B608" t="s">
        <v>600</v>
      </c>
      <c r="C608" t="s">
        <v>5510</v>
      </c>
      <c r="D608" t="s">
        <v>9948</v>
      </c>
      <c r="E608" t="s">
        <v>10075</v>
      </c>
      <c r="F608">
        <v>11691</v>
      </c>
      <c r="G608" t="s">
        <v>10092</v>
      </c>
      <c r="H608" t="s">
        <v>10118</v>
      </c>
      <c r="I608" t="s">
        <v>10168</v>
      </c>
      <c r="J608" t="s">
        <v>10212</v>
      </c>
      <c r="K608" t="s">
        <v>10218</v>
      </c>
      <c r="L608" t="s">
        <v>10112</v>
      </c>
      <c r="M608" t="s">
        <v>10342</v>
      </c>
      <c r="N608" t="s">
        <v>10711</v>
      </c>
      <c r="P608" t="s">
        <v>10749</v>
      </c>
      <c r="Q608" t="s">
        <v>10765</v>
      </c>
      <c r="R608" t="s">
        <v>10824</v>
      </c>
      <c r="T608">
        <v>0</v>
      </c>
      <c r="U608">
        <v>0</v>
      </c>
      <c r="V608">
        <v>26</v>
      </c>
      <c r="W608">
        <v>1</v>
      </c>
      <c r="X608">
        <v>2</v>
      </c>
      <c r="Y608" t="s">
        <v>10829</v>
      </c>
      <c r="Z608">
        <v>0</v>
      </c>
      <c r="AA608">
        <v>40.604846</v>
      </c>
      <c r="AB608">
        <v>-73.756513</v>
      </c>
      <c r="AD608" t="s">
        <v>10839</v>
      </c>
      <c r="AF608" t="s">
        <v>10842</v>
      </c>
      <c r="AG608" t="s">
        <v>10859</v>
      </c>
      <c r="AH608" t="s">
        <v>10862</v>
      </c>
      <c r="AI608">
        <v>237</v>
      </c>
      <c r="AJ608" t="s">
        <v>10212</v>
      </c>
      <c r="AK608" t="s">
        <v>10837</v>
      </c>
      <c r="AL608">
        <v>1.2</v>
      </c>
      <c r="AM608" t="s">
        <v>10892</v>
      </c>
      <c r="AN608" t="s">
        <v>10930</v>
      </c>
      <c r="AO608" t="s">
        <v>11017</v>
      </c>
      <c r="AP608" t="s">
        <v>11082</v>
      </c>
      <c r="AR608" t="s">
        <v>11267</v>
      </c>
      <c r="AS608" t="s">
        <v>11594</v>
      </c>
      <c r="AY608" t="s">
        <v>10829</v>
      </c>
      <c r="AZ608" t="s">
        <v>11681</v>
      </c>
      <c r="BA608" t="s">
        <v>11741</v>
      </c>
      <c r="BB608">
        <v>0</v>
      </c>
      <c r="BC608">
        <v>0</v>
      </c>
      <c r="BD608">
        <v>0</v>
      </c>
      <c r="BE608">
        <v>0</v>
      </c>
      <c r="BF608">
        <v>1</v>
      </c>
      <c r="BG608">
        <v>0</v>
      </c>
    </row>
    <row r="609" spans="1:59">
      <c r="A609" s="1">
        <f>HYPERLINK("https://lsnyc.legalserver.org/matter/dynamic-profile/view/1904338","19-1904338")</f>
        <v>0</v>
      </c>
      <c r="B609" t="s">
        <v>601</v>
      </c>
      <c r="C609" t="s">
        <v>5511</v>
      </c>
      <c r="D609" t="s">
        <v>9928</v>
      </c>
      <c r="E609" t="s">
        <v>10075</v>
      </c>
      <c r="F609">
        <v>11234</v>
      </c>
      <c r="G609" t="s">
        <v>10093</v>
      </c>
      <c r="H609" t="s">
        <v>10118</v>
      </c>
      <c r="I609" t="s">
        <v>10168</v>
      </c>
      <c r="J609" t="s">
        <v>10213</v>
      </c>
      <c r="K609" t="s">
        <v>10218</v>
      </c>
      <c r="L609" t="s">
        <v>10118</v>
      </c>
      <c r="M609" t="s">
        <v>10437</v>
      </c>
      <c r="N609" t="s">
        <v>10675</v>
      </c>
      <c r="P609" t="s">
        <v>10756</v>
      </c>
      <c r="Q609" t="s">
        <v>10802</v>
      </c>
      <c r="R609" t="s">
        <v>10820</v>
      </c>
      <c r="T609">
        <v>7740</v>
      </c>
      <c r="U609">
        <v>645</v>
      </c>
      <c r="V609">
        <v>65</v>
      </c>
      <c r="W609">
        <v>3</v>
      </c>
      <c r="X609">
        <v>0</v>
      </c>
      <c r="Y609" t="s">
        <v>10829</v>
      </c>
      <c r="Z609">
        <v>36.29</v>
      </c>
      <c r="AA609">
        <v>40.616596</v>
      </c>
      <c r="AB609">
        <v>-73.91727899999999</v>
      </c>
      <c r="AC609" t="s">
        <v>10837</v>
      </c>
      <c r="AD609" t="s">
        <v>10840</v>
      </c>
      <c r="AG609" t="s">
        <v>10858</v>
      </c>
      <c r="AH609" t="s">
        <v>10866</v>
      </c>
      <c r="AI609">
        <v>239</v>
      </c>
      <c r="AJ609" t="s">
        <v>10213</v>
      </c>
      <c r="AK609" t="s">
        <v>10838</v>
      </c>
      <c r="AL609">
        <v>1.3</v>
      </c>
      <c r="AM609" t="s">
        <v>10889</v>
      </c>
      <c r="AN609" t="s">
        <v>10959</v>
      </c>
      <c r="AO609" t="s">
        <v>11012</v>
      </c>
      <c r="AP609" t="s">
        <v>11072</v>
      </c>
      <c r="AQ609" t="s">
        <v>11154</v>
      </c>
      <c r="AR609" t="s">
        <v>11263</v>
      </c>
      <c r="AS609" t="s">
        <v>11595</v>
      </c>
      <c r="AT609" t="s">
        <v>11642</v>
      </c>
      <c r="AY609" t="s">
        <v>10829</v>
      </c>
      <c r="AZ609" t="s">
        <v>11708</v>
      </c>
      <c r="BA609" t="s">
        <v>11741</v>
      </c>
      <c r="BB609">
        <v>0</v>
      </c>
      <c r="BC609">
        <v>0</v>
      </c>
      <c r="BD609">
        <v>0</v>
      </c>
      <c r="BE609">
        <v>0</v>
      </c>
      <c r="BF609">
        <v>1</v>
      </c>
      <c r="BG609">
        <v>0</v>
      </c>
    </row>
    <row r="610" spans="1:59">
      <c r="A610" s="1">
        <f>HYPERLINK("https://lsnyc.legalserver.org/matter/dynamic-profile/view/1904340","19-1904340")</f>
        <v>0</v>
      </c>
      <c r="B610" t="s">
        <v>602</v>
      </c>
      <c r="C610" t="s">
        <v>5512</v>
      </c>
      <c r="D610" t="s">
        <v>9928</v>
      </c>
      <c r="E610" t="s">
        <v>10075</v>
      </c>
      <c r="F610">
        <v>11211</v>
      </c>
      <c r="G610" t="s">
        <v>10093</v>
      </c>
      <c r="H610" t="s">
        <v>10118</v>
      </c>
      <c r="I610" t="s">
        <v>10168</v>
      </c>
      <c r="J610" t="s">
        <v>10213</v>
      </c>
      <c r="K610" t="s">
        <v>10218</v>
      </c>
      <c r="L610" t="s">
        <v>10112</v>
      </c>
      <c r="M610" t="s">
        <v>10429</v>
      </c>
      <c r="N610" t="s">
        <v>10657</v>
      </c>
      <c r="P610" t="s">
        <v>10749</v>
      </c>
      <c r="Q610" t="s">
        <v>10765</v>
      </c>
      <c r="R610" t="s">
        <v>10824</v>
      </c>
      <c r="T610">
        <v>20000</v>
      </c>
      <c r="U610">
        <v>1666.67</v>
      </c>
      <c r="V610">
        <v>57</v>
      </c>
      <c r="W610">
        <v>1</v>
      </c>
      <c r="X610">
        <v>0</v>
      </c>
      <c r="Y610" t="s">
        <v>10829</v>
      </c>
      <c r="Z610">
        <v>160.13</v>
      </c>
      <c r="AA610">
        <v>40.715631</v>
      </c>
      <c r="AB610">
        <v>-73.953957</v>
      </c>
      <c r="AD610" t="s">
        <v>10840</v>
      </c>
      <c r="AG610" t="s">
        <v>10858</v>
      </c>
      <c r="AH610" t="s">
        <v>10862</v>
      </c>
      <c r="AI610">
        <v>239</v>
      </c>
      <c r="AJ610" t="s">
        <v>10213</v>
      </c>
      <c r="AK610" t="s">
        <v>10838</v>
      </c>
      <c r="AL610">
        <v>0.7</v>
      </c>
      <c r="AM610" t="s">
        <v>10891</v>
      </c>
      <c r="AN610" t="s">
        <v>10939</v>
      </c>
      <c r="AO610" t="s">
        <v>11011</v>
      </c>
      <c r="AP610" t="s">
        <v>11054</v>
      </c>
      <c r="AR610" t="s">
        <v>11276</v>
      </c>
      <c r="AS610" t="s">
        <v>11595</v>
      </c>
      <c r="AT610" t="s">
        <v>11642</v>
      </c>
      <c r="AY610" t="s">
        <v>10829</v>
      </c>
      <c r="AZ610" t="s">
        <v>11681</v>
      </c>
      <c r="BA610" t="s">
        <v>11741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0</v>
      </c>
    </row>
    <row r="611" spans="1:59">
      <c r="A611" s="1">
        <f>HYPERLINK("https://lsnyc.legalserver.org/matter/dynamic-profile/view/1904341","19-1904341")</f>
        <v>0</v>
      </c>
      <c r="B611" t="s">
        <v>603</v>
      </c>
      <c r="C611" t="s">
        <v>5513</v>
      </c>
      <c r="D611" t="s">
        <v>9928</v>
      </c>
      <c r="E611" t="s">
        <v>10075</v>
      </c>
      <c r="F611">
        <v>11203</v>
      </c>
      <c r="G611" t="s">
        <v>10093</v>
      </c>
      <c r="H611" t="s">
        <v>10118</v>
      </c>
      <c r="I611" t="s">
        <v>10168</v>
      </c>
      <c r="J611" t="s">
        <v>10213</v>
      </c>
      <c r="K611" t="s">
        <v>10217</v>
      </c>
      <c r="M611" t="s">
        <v>10239</v>
      </c>
      <c r="N611" t="s">
        <v>10671</v>
      </c>
      <c r="P611" t="s">
        <v>10749</v>
      </c>
      <c r="Q611" t="s">
        <v>10765</v>
      </c>
      <c r="R611" t="s">
        <v>10824</v>
      </c>
      <c r="T611">
        <v>21036</v>
      </c>
      <c r="U611">
        <v>1753</v>
      </c>
      <c r="V611">
        <v>59</v>
      </c>
      <c r="W611">
        <v>4</v>
      </c>
      <c r="X611">
        <v>0</v>
      </c>
      <c r="Z611">
        <v>81.69</v>
      </c>
      <c r="AA611">
        <v>40.662955</v>
      </c>
      <c r="AB611">
        <v>-73.934809</v>
      </c>
      <c r="AD611" t="s">
        <v>10839</v>
      </c>
      <c r="AG611" t="s">
        <v>10858</v>
      </c>
      <c r="AH611" t="s">
        <v>10871</v>
      </c>
      <c r="AI611">
        <v>234</v>
      </c>
      <c r="AJ611" t="s">
        <v>10214</v>
      </c>
      <c r="AL611">
        <v>2.1</v>
      </c>
      <c r="AM611" t="s">
        <v>10888</v>
      </c>
      <c r="AN611" t="s">
        <v>10912</v>
      </c>
      <c r="AO611" t="s">
        <v>11005</v>
      </c>
      <c r="AP611" t="s">
        <v>11064</v>
      </c>
      <c r="AR611" t="s">
        <v>11290</v>
      </c>
      <c r="AS611" t="s">
        <v>11595</v>
      </c>
      <c r="AT611" t="s">
        <v>11641</v>
      </c>
      <c r="AX611" t="s">
        <v>10838</v>
      </c>
      <c r="BA611" t="s">
        <v>11741</v>
      </c>
      <c r="BB611">
        <v>0</v>
      </c>
      <c r="BC611">
        <v>0</v>
      </c>
      <c r="BD611">
        <v>0</v>
      </c>
      <c r="BE611">
        <v>0</v>
      </c>
      <c r="BF611">
        <v>1</v>
      </c>
      <c r="BG611">
        <v>0</v>
      </c>
    </row>
    <row r="612" spans="1:59">
      <c r="A612" s="1">
        <f>HYPERLINK("https://lsnyc.legalserver.org/matter/dynamic-profile/view/1904342","19-1904342")</f>
        <v>0</v>
      </c>
      <c r="B612" t="s">
        <v>604</v>
      </c>
      <c r="C612" t="s">
        <v>5508</v>
      </c>
      <c r="D612" t="s">
        <v>9926</v>
      </c>
      <c r="E612" t="s">
        <v>10075</v>
      </c>
      <c r="F612">
        <v>10455</v>
      </c>
      <c r="G612" t="s">
        <v>10090</v>
      </c>
      <c r="H612" t="s">
        <v>10118</v>
      </c>
      <c r="I612" t="s">
        <v>10169</v>
      </c>
      <c r="J612" t="s">
        <v>10210</v>
      </c>
      <c r="K612" t="s">
        <v>10217</v>
      </c>
      <c r="M612" t="s">
        <v>10463</v>
      </c>
      <c r="N612" t="s">
        <v>10650</v>
      </c>
      <c r="P612" t="s">
        <v>10749</v>
      </c>
      <c r="Q612" t="s">
        <v>10765</v>
      </c>
      <c r="R612" t="s">
        <v>10821</v>
      </c>
      <c r="T612">
        <v>0</v>
      </c>
      <c r="U612">
        <v>0</v>
      </c>
      <c r="V612">
        <v>49</v>
      </c>
      <c r="W612">
        <v>2</v>
      </c>
      <c r="X612">
        <v>0</v>
      </c>
      <c r="Z612">
        <v>0</v>
      </c>
      <c r="AA612">
        <v>40.814695</v>
      </c>
      <c r="AB612">
        <v>-73.910837</v>
      </c>
      <c r="AD612" t="s">
        <v>10840</v>
      </c>
      <c r="AF612" t="s">
        <v>10844</v>
      </c>
      <c r="AG612" t="s">
        <v>10859</v>
      </c>
      <c r="AH612" t="s">
        <v>10862</v>
      </c>
      <c r="AI612">
        <v>230</v>
      </c>
      <c r="AJ612" t="s">
        <v>10210</v>
      </c>
      <c r="AL612">
        <v>1.5</v>
      </c>
      <c r="AM612" t="s">
        <v>10884</v>
      </c>
      <c r="AN612" t="s">
        <v>10924</v>
      </c>
      <c r="AO612" t="s">
        <v>11013</v>
      </c>
      <c r="AP612" t="s">
        <v>11062</v>
      </c>
      <c r="AR612" t="s">
        <v>11267</v>
      </c>
      <c r="AS612" t="s">
        <v>9926</v>
      </c>
      <c r="AX612" t="s">
        <v>10837</v>
      </c>
      <c r="BA612" t="s">
        <v>11739</v>
      </c>
      <c r="BB612">
        <v>0</v>
      </c>
      <c r="BC612">
        <v>0</v>
      </c>
      <c r="BD612">
        <v>0</v>
      </c>
      <c r="BE612">
        <v>0</v>
      </c>
      <c r="BF612">
        <v>4</v>
      </c>
      <c r="BG612">
        <v>0</v>
      </c>
    </row>
    <row r="613" spans="1:59">
      <c r="A613" s="1">
        <f>HYPERLINK("https://lsnyc.legalserver.org/matter/dynamic-profile/view/1904343","19-1904343")</f>
        <v>0</v>
      </c>
      <c r="B613" t="s">
        <v>605</v>
      </c>
      <c r="C613" t="s">
        <v>5514</v>
      </c>
      <c r="D613" t="s">
        <v>9929</v>
      </c>
      <c r="E613" t="s">
        <v>10075</v>
      </c>
      <c r="F613">
        <v>10312</v>
      </c>
      <c r="G613" t="s">
        <v>10093</v>
      </c>
      <c r="H613" t="s">
        <v>10118</v>
      </c>
      <c r="I613" t="s">
        <v>10168</v>
      </c>
      <c r="J613" t="s">
        <v>10213</v>
      </c>
      <c r="K613" t="s">
        <v>10218</v>
      </c>
      <c r="L613" t="s">
        <v>10121</v>
      </c>
      <c r="M613" t="s">
        <v>10317</v>
      </c>
      <c r="N613" t="s">
        <v>10671</v>
      </c>
      <c r="P613" t="s">
        <v>10751</v>
      </c>
      <c r="Q613" t="s">
        <v>10786</v>
      </c>
      <c r="R613" t="s">
        <v>10827</v>
      </c>
      <c r="T613">
        <v>5940</v>
      </c>
      <c r="U613">
        <v>495</v>
      </c>
      <c r="V613">
        <v>60</v>
      </c>
      <c r="W613">
        <v>1</v>
      </c>
      <c r="X613">
        <v>0</v>
      </c>
      <c r="Y613" t="s">
        <v>10829</v>
      </c>
      <c r="Z613">
        <v>47.56</v>
      </c>
      <c r="AA613">
        <v>40.540937</v>
      </c>
      <c r="AB613">
        <v>-74.17433</v>
      </c>
      <c r="AD613" t="s">
        <v>10840</v>
      </c>
      <c r="AG613" t="s">
        <v>10858</v>
      </c>
      <c r="AH613" t="s">
        <v>10861</v>
      </c>
      <c r="AI613">
        <v>234</v>
      </c>
      <c r="AJ613" t="s">
        <v>10214</v>
      </c>
      <c r="AK613" t="s">
        <v>10838</v>
      </c>
      <c r="AL613">
        <v>4.05</v>
      </c>
      <c r="AM613" t="s">
        <v>10883</v>
      </c>
      <c r="AN613" t="s">
        <v>10906</v>
      </c>
      <c r="AO613" t="s">
        <v>10999</v>
      </c>
      <c r="AP613" t="s">
        <v>11044</v>
      </c>
      <c r="AR613" t="s">
        <v>11263</v>
      </c>
      <c r="AS613" t="s">
        <v>11593</v>
      </c>
      <c r="AT613" t="s">
        <v>11642</v>
      </c>
      <c r="AX613" t="s">
        <v>10838</v>
      </c>
      <c r="AY613" t="s">
        <v>10829</v>
      </c>
      <c r="AZ613" t="s">
        <v>11682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</row>
    <row r="614" spans="1:59">
      <c r="A614" s="1">
        <f>HYPERLINK("https://lsnyc.legalserver.org/matter/dynamic-profile/view/1904345","19-1904345")</f>
        <v>0</v>
      </c>
      <c r="B614" t="s">
        <v>606</v>
      </c>
      <c r="C614" t="s">
        <v>5515</v>
      </c>
      <c r="D614" t="s">
        <v>9928</v>
      </c>
      <c r="E614" t="s">
        <v>10075</v>
      </c>
      <c r="F614">
        <v>11212</v>
      </c>
      <c r="G614" t="s">
        <v>10093</v>
      </c>
      <c r="H614" t="s">
        <v>10118</v>
      </c>
      <c r="I614" t="s">
        <v>10168</v>
      </c>
      <c r="J614" t="s">
        <v>10213</v>
      </c>
      <c r="K614" t="s">
        <v>10217</v>
      </c>
      <c r="M614" t="s">
        <v>10464</v>
      </c>
      <c r="N614" t="s">
        <v>10657</v>
      </c>
      <c r="P614" t="s">
        <v>10755</v>
      </c>
      <c r="Q614" t="s">
        <v>10772</v>
      </c>
      <c r="R614" t="s">
        <v>10824</v>
      </c>
      <c r="T614">
        <v>56754.68</v>
      </c>
      <c r="U614">
        <v>4729.56</v>
      </c>
      <c r="V614">
        <v>55</v>
      </c>
      <c r="W614">
        <v>1</v>
      </c>
      <c r="X614">
        <v>4</v>
      </c>
      <c r="Z614">
        <v>188.12</v>
      </c>
      <c r="AA614">
        <v>40.664878</v>
      </c>
      <c r="AB614">
        <v>-73.906019</v>
      </c>
      <c r="AD614" t="s">
        <v>10839</v>
      </c>
      <c r="AG614" t="s">
        <v>10858</v>
      </c>
      <c r="AH614" t="s">
        <v>10862</v>
      </c>
      <c r="AI614">
        <v>239</v>
      </c>
      <c r="AJ614" t="s">
        <v>10213</v>
      </c>
      <c r="AL614">
        <v>2.25</v>
      </c>
      <c r="AM614" t="s">
        <v>10888</v>
      </c>
      <c r="AN614" t="s">
        <v>10922</v>
      </c>
      <c r="AO614" t="s">
        <v>11005</v>
      </c>
      <c r="AP614" t="s">
        <v>11064</v>
      </c>
      <c r="AR614" t="s">
        <v>11280</v>
      </c>
      <c r="AS614" t="s">
        <v>11595</v>
      </c>
      <c r="AT614" t="s">
        <v>11641</v>
      </c>
      <c r="BA614" t="s">
        <v>11742</v>
      </c>
      <c r="BB614">
        <v>0</v>
      </c>
      <c r="BC614">
        <v>0</v>
      </c>
      <c r="BD614">
        <v>0</v>
      </c>
      <c r="BE614">
        <v>0</v>
      </c>
      <c r="BF614">
        <v>7</v>
      </c>
      <c r="BG614">
        <v>0</v>
      </c>
    </row>
    <row r="615" spans="1:59">
      <c r="A615" s="1">
        <f>HYPERLINK("https://lsnyc.legalserver.org/matter/dynamic-profile/view/1904346","19-1904346")</f>
        <v>0</v>
      </c>
      <c r="B615" t="s">
        <v>607</v>
      </c>
      <c r="C615" t="s">
        <v>5516</v>
      </c>
      <c r="D615" t="s">
        <v>9925</v>
      </c>
      <c r="E615" t="s">
        <v>10075</v>
      </c>
      <c r="F615">
        <v>10029</v>
      </c>
      <c r="G615" t="s">
        <v>10089</v>
      </c>
      <c r="H615" t="s">
        <v>10118</v>
      </c>
      <c r="I615" t="s">
        <v>10182</v>
      </c>
      <c r="J615" t="s">
        <v>10209</v>
      </c>
      <c r="K615" t="s">
        <v>10218</v>
      </c>
      <c r="L615" t="s">
        <v>10134</v>
      </c>
      <c r="M615" t="s">
        <v>10442</v>
      </c>
      <c r="N615" t="s">
        <v>10671</v>
      </c>
      <c r="P615" t="s">
        <v>10749</v>
      </c>
      <c r="Q615" t="s">
        <v>10767</v>
      </c>
      <c r="R615" t="s">
        <v>10827</v>
      </c>
      <c r="T615">
        <v>6000</v>
      </c>
      <c r="U615">
        <v>500</v>
      </c>
      <c r="V615">
        <v>62</v>
      </c>
      <c r="W615">
        <v>2</v>
      </c>
      <c r="X615">
        <v>1</v>
      </c>
      <c r="Y615" t="s">
        <v>10830</v>
      </c>
      <c r="Z615">
        <v>28.13</v>
      </c>
      <c r="AA615">
        <v>40.787431</v>
      </c>
      <c r="AB615">
        <v>-73.949442</v>
      </c>
      <c r="AD615" t="s">
        <v>10840</v>
      </c>
      <c r="AG615" t="s">
        <v>10858</v>
      </c>
      <c r="AH615" t="s">
        <v>10861</v>
      </c>
      <c r="AI615">
        <v>234</v>
      </c>
      <c r="AJ615" t="s">
        <v>10214</v>
      </c>
      <c r="AK615" t="s">
        <v>10882</v>
      </c>
      <c r="AL615">
        <v>1</v>
      </c>
      <c r="AM615" t="s">
        <v>10887</v>
      </c>
      <c r="AN615" t="s">
        <v>10926</v>
      </c>
      <c r="AO615" t="s">
        <v>11016</v>
      </c>
      <c r="AP615" t="s">
        <v>11094</v>
      </c>
      <c r="AR615" t="s">
        <v>11260</v>
      </c>
      <c r="AS615" t="s">
        <v>9925</v>
      </c>
      <c r="AT615" t="s">
        <v>11642</v>
      </c>
      <c r="AX615" t="s">
        <v>10838</v>
      </c>
      <c r="AY615" t="s">
        <v>10830</v>
      </c>
      <c r="AZ615" t="s">
        <v>11690</v>
      </c>
      <c r="BA615" t="s">
        <v>11740</v>
      </c>
      <c r="BB615">
        <v>0</v>
      </c>
      <c r="BC615">
        <v>0</v>
      </c>
      <c r="BD615">
        <v>0</v>
      </c>
      <c r="BE615">
        <v>0</v>
      </c>
      <c r="BF615">
        <v>2</v>
      </c>
      <c r="BG615">
        <v>0</v>
      </c>
    </row>
    <row r="616" spans="1:59">
      <c r="A616" s="1">
        <f>HYPERLINK("https://lsnyc.legalserver.org/matter/dynamic-profile/view/1904347","19-1904347")</f>
        <v>0</v>
      </c>
      <c r="B616" t="s">
        <v>608</v>
      </c>
      <c r="C616" t="s">
        <v>5517</v>
      </c>
      <c r="D616" t="s">
        <v>9928</v>
      </c>
      <c r="E616" t="s">
        <v>10075</v>
      </c>
      <c r="F616">
        <v>11211</v>
      </c>
      <c r="G616" t="s">
        <v>10091</v>
      </c>
      <c r="H616" t="s">
        <v>10118</v>
      </c>
      <c r="I616" t="s">
        <v>10168</v>
      </c>
      <c r="J616" t="s">
        <v>10211</v>
      </c>
      <c r="K616" t="s">
        <v>10217</v>
      </c>
      <c r="M616" t="s">
        <v>10231</v>
      </c>
      <c r="N616" t="s">
        <v>10647</v>
      </c>
      <c r="P616" t="s">
        <v>10752</v>
      </c>
      <c r="Q616" t="s">
        <v>10762</v>
      </c>
      <c r="R616" t="s">
        <v>10824</v>
      </c>
      <c r="T616">
        <v>9084</v>
      </c>
      <c r="U616">
        <v>757</v>
      </c>
      <c r="V616">
        <v>58</v>
      </c>
      <c r="W616">
        <v>1</v>
      </c>
      <c r="X616">
        <v>0</v>
      </c>
      <c r="Z616">
        <v>72.73</v>
      </c>
      <c r="AA616">
        <v>40.710395</v>
      </c>
      <c r="AB616">
        <v>-73.958466</v>
      </c>
      <c r="AD616" t="s">
        <v>10840</v>
      </c>
      <c r="AG616" t="s">
        <v>10858</v>
      </c>
      <c r="AH616" t="s">
        <v>10861</v>
      </c>
      <c r="AI616">
        <v>234</v>
      </c>
      <c r="AJ616" t="s">
        <v>10214</v>
      </c>
      <c r="AL616">
        <v>3.45</v>
      </c>
      <c r="AM616" t="s">
        <v>10886</v>
      </c>
      <c r="AN616" t="s">
        <v>10942</v>
      </c>
      <c r="AO616" t="s">
        <v>11011</v>
      </c>
      <c r="AP616" t="s">
        <v>11071</v>
      </c>
      <c r="AR616" t="s">
        <v>11317</v>
      </c>
      <c r="AS616" t="s">
        <v>11595</v>
      </c>
      <c r="AT616" t="s">
        <v>11642</v>
      </c>
      <c r="AX616" t="s">
        <v>10838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</row>
    <row r="617" spans="1:59">
      <c r="A617" s="1">
        <f>HYPERLINK("https://lsnyc.legalserver.org/matter/dynamic-profile/view/1904350","19-1904350")</f>
        <v>0</v>
      </c>
      <c r="B617" t="s">
        <v>609</v>
      </c>
      <c r="C617" t="s">
        <v>5518</v>
      </c>
      <c r="D617" t="s">
        <v>9925</v>
      </c>
      <c r="E617" t="s">
        <v>10075</v>
      </c>
      <c r="F617">
        <v>10030</v>
      </c>
      <c r="G617" t="s">
        <v>10089</v>
      </c>
      <c r="H617" t="s">
        <v>10118</v>
      </c>
      <c r="I617" t="s">
        <v>10169</v>
      </c>
      <c r="J617" t="s">
        <v>10209</v>
      </c>
      <c r="K617" t="s">
        <v>10217</v>
      </c>
      <c r="M617" t="s">
        <v>10302</v>
      </c>
      <c r="N617" t="s">
        <v>10681</v>
      </c>
      <c r="P617" t="s">
        <v>10754</v>
      </c>
      <c r="Q617" t="s">
        <v>10777</v>
      </c>
      <c r="R617" t="s">
        <v>10821</v>
      </c>
      <c r="T617">
        <v>0</v>
      </c>
      <c r="U617">
        <v>0</v>
      </c>
      <c r="V617">
        <v>27</v>
      </c>
      <c r="W617">
        <v>1</v>
      </c>
      <c r="X617">
        <v>1</v>
      </c>
      <c r="Z617">
        <v>0</v>
      </c>
      <c r="AA617">
        <v>40.820709</v>
      </c>
      <c r="AB617">
        <v>-73.938659</v>
      </c>
      <c r="AD617" t="s">
        <v>10839</v>
      </c>
      <c r="AG617" t="s">
        <v>10858</v>
      </c>
      <c r="AH617" t="s">
        <v>10865</v>
      </c>
      <c r="AI617">
        <v>236</v>
      </c>
      <c r="AJ617" t="s">
        <v>10209</v>
      </c>
      <c r="AL617">
        <v>9.5</v>
      </c>
      <c r="AM617" t="s">
        <v>10887</v>
      </c>
      <c r="AN617" t="s">
        <v>10943</v>
      </c>
      <c r="AO617" t="s">
        <v>11016</v>
      </c>
      <c r="AP617" t="s">
        <v>11076</v>
      </c>
      <c r="AQ617" t="s">
        <v>11128</v>
      </c>
      <c r="AR617" t="s">
        <v>11267</v>
      </c>
      <c r="AS617" t="s">
        <v>9925</v>
      </c>
      <c r="AT617" t="s">
        <v>11641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</row>
    <row r="618" spans="1:59">
      <c r="A618" s="1">
        <f>HYPERLINK("https://lsnyc.legalserver.org/matter/dynamic-profile/view/1904351","19-1904351")</f>
        <v>0</v>
      </c>
      <c r="B618" t="s">
        <v>610</v>
      </c>
      <c r="C618" t="s">
        <v>5519</v>
      </c>
      <c r="D618" t="s">
        <v>9926</v>
      </c>
      <c r="E618" t="s">
        <v>10075</v>
      </c>
      <c r="F618">
        <v>10472</v>
      </c>
      <c r="G618" t="s">
        <v>10090</v>
      </c>
      <c r="H618" t="s">
        <v>10118</v>
      </c>
      <c r="I618" t="s">
        <v>10168</v>
      </c>
      <c r="J618" t="s">
        <v>10210</v>
      </c>
      <c r="K618" t="s">
        <v>10217</v>
      </c>
      <c r="M618" t="s">
        <v>10230</v>
      </c>
      <c r="N618" t="s">
        <v>10688</v>
      </c>
      <c r="P618" t="s">
        <v>10751</v>
      </c>
      <c r="Q618" t="s">
        <v>10761</v>
      </c>
      <c r="R618" t="s">
        <v>10820</v>
      </c>
      <c r="T618">
        <v>12573.6</v>
      </c>
      <c r="U618">
        <v>1047.8</v>
      </c>
      <c r="V618">
        <v>38</v>
      </c>
      <c r="W618">
        <v>1</v>
      </c>
      <c r="X618">
        <v>1</v>
      </c>
      <c r="Z618">
        <v>74.36</v>
      </c>
      <c r="AA618">
        <v>40.831688</v>
      </c>
      <c r="AB618">
        <v>-73.870509</v>
      </c>
      <c r="AD618" t="s">
        <v>10839</v>
      </c>
      <c r="AG618" t="s">
        <v>10858</v>
      </c>
      <c r="AH618" t="s">
        <v>10862</v>
      </c>
      <c r="AI618">
        <v>230</v>
      </c>
      <c r="AJ618" t="s">
        <v>10210</v>
      </c>
      <c r="AL618">
        <v>7.25</v>
      </c>
      <c r="AM618" t="s">
        <v>10884</v>
      </c>
      <c r="AN618" t="s">
        <v>10908</v>
      </c>
      <c r="AO618" t="s">
        <v>11001</v>
      </c>
      <c r="AP618" t="s">
        <v>11046</v>
      </c>
      <c r="AR618" t="s">
        <v>11306</v>
      </c>
      <c r="AS618" t="s">
        <v>9926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</row>
    <row r="619" spans="1:59">
      <c r="A619" s="1">
        <f>HYPERLINK("https://lsnyc.legalserver.org/matter/dynamic-profile/view/1904355","19-1904355")</f>
        <v>0</v>
      </c>
      <c r="B619" t="s">
        <v>611</v>
      </c>
      <c r="C619" t="s">
        <v>5520</v>
      </c>
      <c r="D619" t="s">
        <v>9928</v>
      </c>
      <c r="E619" t="s">
        <v>10075</v>
      </c>
      <c r="F619">
        <v>11233</v>
      </c>
      <c r="G619" t="s">
        <v>10093</v>
      </c>
      <c r="H619" t="s">
        <v>10118</v>
      </c>
      <c r="I619" t="s">
        <v>10168</v>
      </c>
      <c r="J619" t="s">
        <v>10213</v>
      </c>
      <c r="K619" t="s">
        <v>10217</v>
      </c>
      <c r="M619" t="s">
        <v>10293</v>
      </c>
      <c r="N619" t="s">
        <v>10680</v>
      </c>
      <c r="P619" t="s">
        <v>10749</v>
      </c>
      <c r="Q619" t="s">
        <v>10765</v>
      </c>
      <c r="R619" t="s">
        <v>10824</v>
      </c>
      <c r="T619">
        <v>26000</v>
      </c>
      <c r="U619">
        <v>2166.67</v>
      </c>
      <c r="V619">
        <v>64</v>
      </c>
      <c r="W619">
        <v>2</v>
      </c>
      <c r="X619">
        <v>1</v>
      </c>
      <c r="Z619">
        <v>121.89</v>
      </c>
      <c r="AA619">
        <v>40.684925</v>
      </c>
      <c r="AB619">
        <v>-73.931183</v>
      </c>
      <c r="AD619" t="s">
        <v>10839</v>
      </c>
      <c r="AG619" t="s">
        <v>10858</v>
      </c>
      <c r="AH619" t="s">
        <v>10867</v>
      </c>
      <c r="AI619">
        <v>239</v>
      </c>
      <c r="AJ619" t="s">
        <v>10213</v>
      </c>
      <c r="AL619">
        <v>11.25</v>
      </c>
      <c r="AM619" t="s">
        <v>10889</v>
      </c>
      <c r="AN619" t="s">
        <v>10914</v>
      </c>
      <c r="AO619" t="s">
        <v>11007</v>
      </c>
      <c r="AP619" t="s">
        <v>11052</v>
      </c>
      <c r="AR619" t="s">
        <v>11257</v>
      </c>
      <c r="AS619" t="s">
        <v>11595</v>
      </c>
      <c r="BA619" t="s">
        <v>11738</v>
      </c>
      <c r="BB619">
        <v>0</v>
      </c>
      <c r="BC619">
        <v>0</v>
      </c>
      <c r="BD619">
        <v>0</v>
      </c>
      <c r="BE619">
        <v>0</v>
      </c>
      <c r="BF619">
        <v>5</v>
      </c>
      <c r="BG619">
        <v>0</v>
      </c>
    </row>
    <row r="620" spans="1:59">
      <c r="A620" s="1">
        <f>HYPERLINK("https://lsnyc.legalserver.org/matter/dynamic-profile/view/1904356","19-1904356")</f>
        <v>0</v>
      </c>
      <c r="B620" t="s">
        <v>612</v>
      </c>
      <c r="C620" t="s">
        <v>5521</v>
      </c>
      <c r="D620" t="s">
        <v>9925</v>
      </c>
      <c r="E620" t="s">
        <v>10075</v>
      </c>
      <c r="F620">
        <v>10065</v>
      </c>
      <c r="G620" t="s">
        <v>10089</v>
      </c>
      <c r="H620" t="s">
        <v>10118</v>
      </c>
      <c r="I620" t="s">
        <v>10168</v>
      </c>
      <c r="J620" t="s">
        <v>10209</v>
      </c>
      <c r="K620" t="s">
        <v>10217</v>
      </c>
      <c r="M620" t="s">
        <v>10266</v>
      </c>
      <c r="N620" t="s">
        <v>10673</v>
      </c>
      <c r="P620" t="s">
        <v>10753</v>
      </c>
      <c r="Q620" t="s">
        <v>10763</v>
      </c>
      <c r="R620" t="s">
        <v>10826</v>
      </c>
      <c r="T620">
        <v>0</v>
      </c>
      <c r="U620">
        <v>0</v>
      </c>
      <c r="V620">
        <v>34</v>
      </c>
      <c r="W620">
        <v>1</v>
      </c>
      <c r="X620">
        <v>0</v>
      </c>
      <c r="Z620">
        <v>0</v>
      </c>
      <c r="AA620">
        <v>40.762193</v>
      </c>
      <c r="AB620">
        <v>-73.95974699999999</v>
      </c>
      <c r="AD620" t="s">
        <v>10839</v>
      </c>
      <c r="AF620" t="s">
        <v>10842</v>
      </c>
      <c r="AG620" t="s">
        <v>10859</v>
      </c>
      <c r="AH620" t="s">
        <v>10864</v>
      </c>
      <c r="AI620">
        <v>236</v>
      </c>
      <c r="AJ620" t="s">
        <v>10209</v>
      </c>
      <c r="AL620">
        <v>4.5</v>
      </c>
      <c r="AM620" t="s">
        <v>10891</v>
      </c>
      <c r="AN620" t="s">
        <v>10971</v>
      </c>
      <c r="AO620" t="s">
        <v>11026</v>
      </c>
      <c r="AP620" t="s">
        <v>11094</v>
      </c>
      <c r="AQ620" t="s">
        <v>11140</v>
      </c>
      <c r="AR620" t="s">
        <v>11257</v>
      </c>
      <c r="AS620" t="s">
        <v>9925</v>
      </c>
      <c r="BA620" t="s">
        <v>11740</v>
      </c>
      <c r="BB620">
        <v>0</v>
      </c>
      <c r="BC620">
        <v>0</v>
      </c>
      <c r="BD620">
        <v>0</v>
      </c>
      <c r="BE620">
        <v>0</v>
      </c>
      <c r="BF620">
        <v>2</v>
      </c>
      <c r="BG620">
        <v>0</v>
      </c>
    </row>
    <row r="621" spans="1:59">
      <c r="A621" s="1">
        <f>HYPERLINK("https://lsnyc.legalserver.org/matter/dynamic-profile/view/1904357","19-1904357")</f>
        <v>0</v>
      </c>
      <c r="B621" t="s">
        <v>613</v>
      </c>
      <c r="C621" t="s">
        <v>5522</v>
      </c>
      <c r="D621" t="s">
        <v>9931</v>
      </c>
      <c r="E621" t="s">
        <v>10075</v>
      </c>
      <c r="F621">
        <v>11358</v>
      </c>
      <c r="G621" t="s">
        <v>10092</v>
      </c>
      <c r="H621" t="s">
        <v>10118</v>
      </c>
      <c r="J621" t="s">
        <v>10212</v>
      </c>
      <c r="K621" t="s">
        <v>10217</v>
      </c>
      <c r="M621" t="s">
        <v>10282</v>
      </c>
      <c r="N621" t="s">
        <v>10714</v>
      </c>
      <c r="O621" t="s">
        <v>10648</v>
      </c>
      <c r="P621" t="s">
        <v>10753</v>
      </c>
      <c r="Q621" t="s">
        <v>10763</v>
      </c>
      <c r="R621" t="s">
        <v>10821</v>
      </c>
      <c r="T621">
        <v>6344</v>
      </c>
      <c r="U621">
        <v>528.67</v>
      </c>
      <c r="V621">
        <v>29</v>
      </c>
      <c r="W621">
        <v>1</v>
      </c>
      <c r="X621">
        <v>1</v>
      </c>
      <c r="Z621">
        <v>37.52</v>
      </c>
      <c r="AA621">
        <v>40.754375</v>
      </c>
      <c r="AB621">
        <v>-73.806421</v>
      </c>
      <c r="AD621" t="s">
        <v>10839</v>
      </c>
      <c r="AF621" t="s">
        <v>10844</v>
      </c>
      <c r="AG621" t="s">
        <v>10859</v>
      </c>
      <c r="AH621" t="s">
        <v>10864</v>
      </c>
      <c r="AI621">
        <v>237</v>
      </c>
      <c r="AJ621" t="s">
        <v>10212</v>
      </c>
      <c r="AL621">
        <v>6.95</v>
      </c>
      <c r="AM621" t="s">
        <v>10890</v>
      </c>
      <c r="AN621" t="s">
        <v>10927</v>
      </c>
      <c r="AO621" t="s">
        <v>11009</v>
      </c>
      <c r="AP621" t="s">
        <v>11067</v>
      </c>
      <c r="AQ621" t="s">
        <v>11096</v>
      </c>
      <c r="AR621" t="s">
        <v>11293</v>
      </c>
      <c r="AS621" t="s">
        <v>11594</v>
      </c>
      <c r="AX621" t="s">
        <v>10838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</row>
    <row r="622" spans="1:59">
      <c r="A622" s="1">
        <f>HYPERLINK("https://lsnyc.legalserver.org/matter/dynamic-profile/view/1904358","19-1904358")</f>
        <v>0</v>
      </c>
      <c r="B622" t="s">
        <v>614</v>
      </c>
      <c r="C622" t="s">
        <v>5523</v>
      </c>
      <c r="D622" t="s">
        <v>9948</v>
      </c>
      <c r="E622" t="s">
        <v>10075</v>
      </c>
      <c r="F622">
        <v>11691</v>
      </c>
      <c r="G622" t="s">
        <v>10092</v>
      </c>
      <c r="H622" t="s">
        <v>10118</v>
      </c>
      <c r="I622" t="s">
        <v>10168</v>
      </c>
      <c r="J622" t="s">
        <v>10212</v>
      </c>
      <c r="K622" t="s">
        <v>10218</v>
      </c>
      <c r="L622" t="s">
        <v>10107</v>
      </c>
      <c r="M622" t="s">
        <v>10398</v>
      </c>
      <c r="N622" t="s">
        <v>10694</v>
      </c>
      <c r="P622" t="s">
        <v>10751</v>
      </c>
      <c r="Q622" t="s">
        <v>10780</v>
      </c>
      <c r="R622" t="s">
        <v>10824</v>
      </c>
      <c r="T622">
        <v>20800</v>
      </c>
      <c r="U622">
        <v>1733.33</v>
      </c>
      <c r="V622">
        <v>54</v>
      </c>
      <c r="W622">
        <v>2</v>
      </c>
      <c r="X622">
        <v>0</v>
      </c>
      <c r="Y622" t="s">
        <v>10829</v>
      </c>
      <c r="Z622">
        <v>123</v>
      </c>
      <c r="AA622">
        <v>40.595551</v>
      </c>
      <c r="AB622">
        <v>-73.74200399999999</v>
      </c>
      <c r="AD622" t="s">
        <v>10839</v>
      </c>
      <c r="AF622" t="s">
        <v>10843</v>
      </c>
      <c r="AG622" t="s">
        <v>10859</v>
      </c>
      <c r="AH622" t="s">
        <v>10866</v>
      </c>
      <c r="AI622">
        <v>237</v>
      </c>
      <c r="AJ622" t="s">
        <v>10212</v>
      </c>
      <c r="AK622" t="s">
        <v>10838</v>
      </c>
      <c r="AL622">
        <v>4.75</v>
      </c>
      <c r="AM622" t="s">
        <v>10892</v>
      </c>
      <c r="AN622" t="s">
        <v>10958</v>
      </c>
      <c r="AO622" t="s">
        <v>11024</v>
      </c>
      <c r="AP622" t="s">
        <v>11082</v>
      </c>
      <c r="AQ622" t="s">
        <v>11118</v>
      </c>
      <c r="AR622" t="s">
        <v>11257</v>
      </c>
      <c r="AS622" t="s">
        <v>11594</v>
      </c>
      <c r="AT622" t="s">
        <v>11641</v>
      </c>
      <c r="AX622" t="s">
        <v>10838</v>
      </c>
      <c r="AY622" t="s">
        <v>10829</v>
      </c>
      <c r="AZ622" t="s">
        <v>11682</v>
      </c>
      <c r="BA622" t="s">
        <v>11741</v>
      </c>
      <c r="BB622">
        <v>0</v>
      </c>
      <c r="BC622">
        <v>0</v>
      </c>
      <c r="BD622">
        <v>0</v>
      </c>
      <c r="BE622">
        <v>0</v>
      </c>
      <c r="BF622">
        <v>1</v>
      </c>
      <c r="BG622">
        <v>0</v>
      </c>
    </row>
    <row r="623" spans="1:59">
      <c r="A623" s="1">
        <f>HYPERLINK("https://lsnyc.legalserver.org/matter/dynamic-profile/view/1904359","19-1904359")</f>
        <v>0</v>
      </c>
      <c r="B623" t="s">
        <v>615</v>
      </c>
      <c r="C623" t="s">
        <v>5524</v>
      </c>
      <c r="D623" t="s">
        <v>9928</v>
      </c>
      <c r="E623" t="s">
        <v>10075</v>
      </c>
      <c r="F623">
        <v>11216</v>
      </c>
      <c r="G623" t="s">
        <v>10093</v>
      </c>
      <c r="H623" t="s">
        <v>10118</v>
      </c>
      <c r="I623" t="s">
        <v>10168</v>
      </c>
      <c r="J623" t="s">
        <v>10213</v>
      </c>
      <c r="K623" t="s">
        <v>10218</v>
      </c>
      <c r="L623" t="s">
        <v>10220</v>
      </c>
      <c r="M623" t="s">
        <v>10465</v>
      </c>
      <c r="N623" t="s">
        <v>10667</v>
      </c>
      <c r="P623" t="s">
        <v>10749</v>
      </c>
      <c r="Q623" t="s">
        <v>10765</v>
      </c>
      <c r="R623" t="s">
        <v>10824</v>
      </c>
      <c r="T623">
        <v>31200</v>
      </c>
      <c r="U623">
        <v>2600</v>
      </c>
      <c r="V623">
        <v>47</v>
      </c>
      <c r="W623">
        <v>1</v>
      </c>
      <c r="X623">
        <v>0</v>
      </c>
      <c r="Y623" t="s">
        <v>10831</v>
      </c>
      <c r="Z623">
        <v>249.8</v>
      </c>
      <c r="AA623">
        <v>40.682886</v>
      </c>
      <c r="AB623">
        <v>-73.938254</v>
      </c>
      <c r="AD623" t="s">
        <v>10839</v>
      </c>
      <c r="AG623" t="s">
        <v>10858</v>
      </c>
      <c r="AH623" t="s">
        <v>10862</v>
      </c>
      <c r="AI623">
        <v>239</v>
      </c>
      <c r="AJ623" t="s">
        <v>10213</v>
      </c>
      <c r="AK623" t="s">
        <v>10882</v>
      </c>
      <c r="AL623">
        <v>5.7</v>
      </c>
      <c r="AM623" t="s">
        <v>10889</v>
      </c>
      <c r="AN623" t="s">
        <v>10914</v>
      </c>
      <c r="AO623" t="s">
        <v>11007</v>
      </c>
      <c r="AP623" t="s">
        <v>11052</v>
      </c>
      <c r="AQ623" t="s">
        <v>11101</v>
      </c>
      <c r="AR623" t="s">
        <v>11257</v>
      </c>
      <c r="AS623" t="s">
        <v>11595</v>
      </c>
      <c r="AY623" t="s">
        <v>10831</v>
      </c>
      <c r="AZ623" t="s">
        <v>11687</v>
      </c>
      <c r="BA623" t="s">
        <v>11738</v>
      </c>
      <c r="BB623">
        <v>0</v>
      </c>
      <c r="BC623">
        <v>0</v>
      </c>
      <c r="BD623">
        <v>0</v>
      </c>
      <c r="BE623">
        <v>0</v>
      </c>
      <c r="BF623">
        <v>5</v>
      </c>
      <c r="BG623">
        <v>0</v>
      </c>
    </row>
    <row r="624" spans="1:59">
      <c r="A624" s="1">
        <f>HYPERLINK("https://lsnyc.legalserver.org/matter/dynamic-profile/view/1904360","19-1904360")</f>
        <v>0</v>
      </c>
      <c r="B624" t="s">
        <v>616</v>
      </c>
      <c r="C624" t="s">
        <v>5525</v>
      </c>
      <c r="D624" t="s">
        <v>9926</v>
      </c>
      <c r="E624" t="s">
        <v>10075</v>
      </c>
      <c r="F624">
        <v>10457</v>
      </c>
      <c r="G624" t="s">
        <v>10090</v>
      </c>
      <c r="H624" t="s">
        <v>10118</v>
      </c>
      <c r="I624" t="s">
        <v>10169</v>
      </c>
      <c r="J624" t="s">
        <v>10210</v>
      </c>
      <c r="K624" t="s">
        <v>10217</v>
      </c>
      <c r="M624" t="s">
        <v>10395</v>
      </c>
      <c r="N624" t="s">
        <v>10688</v>
      </c>
      <c r="P624" t="s">
        <v>10755</v>
      </c>
      <c r="Q624" t="s">
        <v>10772</v>
      </c>
      <c r="R624" t="s">
        <v>10821</v>
      </c>
      <c r="T624">
        <v>0</v>
      </c>
      <c r="U624">
        <v>0</v>
      </c>
      <c r="V624">
        <v>12</v>
      </c>
      <c r="W624">
        <v>1</v>
      </c>
      <c r="X624">
        <v>3</v>
      </c>
      <c r="Z624">
        <v>0</v>
      </c>
      <c r="AA624">
        <v>40.846335</v>
      </c>
      <c r="AB624">
        <v>-73.908563</v>
      </c>
      <c r="AD624" t="s">
        <v>10840</v>
      </c>
      <c r="AG624" t="s">
        <v>10858</v>
      </c>
      <c r="AH624" t="s">
        <v>10877</v>
      </c>
      <c r="AI624">
        <v>230</v>
      </c>
      <c r="AJ624" t="s">
        <v>10210</v>
      </c>
      <c r="AL624">
        <v>0.6</v>
      </c>
      <c r="AM624" t="s">
        <v>10884</v>
      </c>
      <c r="AN624" t="s">
        <v>10931</v>
      </c>
      <c r="AO624" t="s">
        <v>11000</v>
      </c>
      <c r="AP624" t="s">
        <v>11056</v>
      </c>
      <c r="AR624" t="s">
        <v>11279</v>
      </c>
      <c r="AS624" t="s">
        <v>9926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</row>
    <row r="625" spans="1:59">
      <c r="A625" s="1">
        <f>HYPERLINK("https://lsnyc.legalserver.org/matter/dynamic-profile/view/1904361","19-1904361")</f>
        <v>0</v>
      </c>
      <c r="B625" t="s">
        <v>617</v>
      </c>
      <c r="C625" t="s">
        <v>5526</v>
      </c>
      <c r="D625" t="s">
        <v>9926</v>
      </c>
      <c r="E625" t="s">
        <v>10075</v>
      </c>
      <c r="F625">
        <v>10467</v>
      </c>
      <c r="G625" t="s">
        <v>10090</v>
      </c>
      <c r="H625" t="s">
        <v>10118</v>
      </c>
      <c r="I625" t="s">
        <v>10168</v>
      </c>
      <c r="J625" t="s">
        <v>10210</v>
      </c>
      <c r="K625" t="s">
        <v>10218</v>
      </c>
      <c r="L625" t="s">
        <v>10147</v>
      </c>
      <c r="M625" t="s">
        <v>10262</v>
      </c>
      <c r="N625" t="s">
        <v>10651</v>
      </c>
      <c r="P625" t="s">
        <v>10749</v>
      </c>
      <c r="Q625" t="s">
        <v>10765</v>
      </c>
      <c r="R625" t="s">
        <v>10823</v>
      </c>
      <c r="T625">
        <v>52400</v>
      </c>
      <c r="U625">
        <v>4366.67</v>
      </c>
      <c r="V625">
        <v>31</v>
      </c>
      <c r="W625">
        <v>2</v>
      </c>
      <c r="X625">
        <v>1</v>
      </c>
      <c r="Y625" t="s">
        <v>10829</v>
      </c>
      <c r="Z625">
        <v>245.66</v>
      </c>
      <c r="AA625">
        <v>40.863458</v>
      </c>
      <c r="AB625">
        <v>-73.868163</v>
      </c>
      <c r="AD625" t="s">
        <v>10840</v>
      </c>
      <c r="AG625" t="s">
        <v>10858</v>
      </c>
      <c r="AH625" t="s">
        <v>10862</v>
      </c>
      <c r="AI625">
        <v>230</v>
      </c>
      <c r="AJ625" t="s">
        <v>10210</v>
      </c>
      <c r="AK625" t="s">
        <v>10882</v>
      </c>
      <c r="AL625">
        <v>0.6</v>
      </c>
      <c r="AM625" t="s">
        <v>10885</v>
      </c>
      <c r="AN625" t="s">
        <v>10938</v>
      </c>
      <c r="AO625" t="s">
        <v>11002</v>
      </c>
      <c r="AP625" t="s">
        <v>11056</v>
      </c>
      <c r="AR625" t="s">
        <v>11295</v>
      </c>
      <c r="AS625" t="s">
        <v>9926</v>
      </c>
      <c r="AT625" t="s">
        <v>11642</v>
      </c>
      <c r="AX625" t="s">
        <v>10838</v>
      </c>
      <c r="AY625" t="s">
        <v>10829</v>
      </c>
      <c r="AZ625" t="s">
        <v>11681</v>
      </c>
      <c r="BA625" t="s">
        <v>11741</v>
      </c>
      <c r="BB625">
        <v>0</v>
      </c>
      <c r="BC625">
        <v>0</v>
      </c>
      <c r="BD625">
        <v>0</v>
      </c>
      <c r="BE625">
        <v>0</v>
      </c>
      <c r="BF625">
        <v>1</v>
      </c>
      <c r="BG625">
        <v>0</v>
      </c>
    </row>
    <row r="626" spans="1:59">
      <c r="A626" s="1">
        <f>HYPERLINK("https://lsnyc.legalserver.org/matter/dynamic-profile/view/1904362","19-1904362")</f>
        <v>0</v>
      </c>
      <c r="B626" t="s">
        <v>618</v>
      </c>
      <c r="C626" t="s">
        <v>5527</v>
      </c>
      <c r="D626" t="s">
        <v>9928</v>
      </c>
      <c r="E626" t="s">
        <v>10075</v>
      </c>
      <c r="F626">
        <v>11213</v>
      </c>
      <c r="G626" t="s">
        <v>10093</v>
      </c>
      <c r="H626" t="s">
        <v>10118</v>
      </c>
      <c r="J626" t="s">
        <v>10213</v>
      </c>
      <c r="K626" t="s">
        <v>10217</v>
      </c>
      <c r="M626" t="s">
        <v>10378</v>
      </c>
      <c r="N626" t="s">
        <v>10698</v>
      </c>
      <c r="P626" t="s">
        <v>10749</v>
      </c>
      <c r="Q626" t="s">
        <v>10765</v>
      </c>
      <c r="R626" t="s">
        <v>10824</v>
      </c>
      <c r="T626">
        <v>10200</v>
      </c>
      <c r="U626">
        <v>850</v>
      </c>
      <c r="V626">
        <v>58</v>
      </c>
      <c r="W626">
        <v>1</v>
      </c>
      <c r="X626">
        <v>0</v>
      </c>
      <c r="Z626">
        <v>81.67</v>
      </c>
      <c r="AA626">
        <v>40.672713</v>
      </c>
      <c r="AB626">
        <v>-73.925726</v>
      </c>
      <c r="AD626" t="s">
        <v>10839</v>
      </c>
      <c r="AG626" t="s">
        <v>10858</v>
      </c>
      <c r="AH626" t="s">
        <v>10868</v>
      </c>
      <c r="AI626">
        <v>239</v>
      </c>
      <c r="AJ626" t="s">
        <v>10213</v>
      </c>
      <c r="AL626">
        <v>3.5</v>
      </c>
      <c r="AM626" t="s">
        <v>10888</v>
      </c>
      <c r="AN626" t="s">
        <v>10922</v>
      </c>
      <c r="AO626" t="s">
        <v>11007</v>
      </c>
      <c r="AP626" t="s">
        <v>11052</v>
      </c>
      <c r="AR626" t="s">
        <v>11253</v>
      </c>
      <c r="AS626" t="s">
        <v>11595</v>
      </c>
      <c r="AT626" t="s">
        <v>11641</v>
      </c>
      <c r="AX626" t="s">
        <v>10838</v>
      </c>
      <c r="BA626" t="s">
        <v>11742</v>
      </c>
      <c r="BB626">
        <v>0</v>
      </c>
      <c r="BC626">
        <v>0</v>
      </c>
      <c r="BD626">
        <v>0</v>
      </c>
      <c r="BE626">
        <v>0</v>
      </c>
      <c r="BF626">
        <v>7</v>
      </c>
      <c r="BG626">
        <v>0</v>
      </c>
    </row>
    <row r="627" spans="1:59">
      <c r="A627" s="1">
        <f>HYPERLINK("https://lsnyc.legalserver.org/matter/dynamic-profile/view/1904363","19-1904363")</f>
        <v>0</v>
      </c>
      <c r="B627" t="s">
        <v>619</v>
      </c>
      <c r="C627" t="s">
        <v>5528</v>
      </c>
      <c r="D627" t="s">
        <v>9929</v>
      </c>
      <c r="E627" t="s">
        <v>10075</v>
      </c>
      <c r="F627">
        <v>10301</v>
      </c>
      <c r="G627" t="s">
        <v>10088</v>
      </c>
      <c r="H627" t="s">
        <v>10128</v>
      </c>
      <c r="I627" t="s">
        <v>10168</v>
      </c>
      <c r="J627" t="s">
        <v>10208</v>
      </c>
      <c r="K627" t="s">
        <v>10217</v>
      </c>
      <c r="M627" t="s">
        <v>10257</v>
      </c>
      <c r="N627" t="s">
        <v>10650</v>
      </c>
      <c r="P627" t="s">
        <v>10749</v>
      </c>
      <c r="Q627" t="s">
        <v>10765</v>
      </c>
      <c r="R627" t="s">
        <v>10824</v>
      </c>
      <c r="T627">
        <v>25479.96</v>
      </c>
      <c r="U627">
        <v>2123.33</v>
      </c>
      <c r="V627">
        <v>30</v>
      </c>
      <c r="W627">
        <v>1</v>
      </c>
      <c r="X627">
        <v>2</v>
      </c>
      <c r="Z627">
        <v>119.46</v>
      </c>
      <c r="AA627">
        <v>40.645519</v>
      </c>
      <c r="AB627">
        <v>-74.08039100000001</v>
      </c>
      <c r="AD627" t="s">
        <v>10839</v>
      </c>
      <c r="AG627" t="s">
        <v>10858</v>
      </c>
      <c r="AH627" t="s">
        <v>10862</v>
      </c>
      <c r="AI627">
        <v>285</v>
      </c>
      <c r="AJ627" t="s">
        <v>10208</v>
      </c>
      <c r="AL627">
        <v>24.55</v>
      </c>
      <c r="AM627" t="s">
        <v>10883</v>
      </c>
      <c r="AN627" t="s">
        <v>10913</v>
      </c>
      <c r="AO627" t="s">
        <v>11006</v>
      </c>
      <c r="AP627" t="s">
        <v>11051</v>
      </c>
      <c r="AR627" t="s">
        <v>11257</v>
      </c>
      <c r="AS627" t="s">
        <v>11593</v>
      </c>
      <c r="BA627" t="s">
        <v>11738</v>
      </c>
      <c r="BB627">
        <v>0</v>
      </c>
      <c r="BC627">
        <v>0</v>
      </c>
      <c r="BD627">
        <v>0</v>
      </c>
      <c r="BE627">
        <v>0</v>
      </c>
      <c r="BF627">
        <v>5</v>
      </c>
      <c r="BG627">
        <v>0</v>
      </c>
    </row>
    <row r="628" spans="1:59">
      <c r="A628" s="1">
        <f>HYPERLINK("https://lsnyc.legalserver.org/matter/dynamic-profile/view/1904364","19-1904364")</f>
        <v>0</v>
      </c>
      <c r="B628" t="s">
        <v>620</v>
      </c>
      <c r="C628" t="s">
        <v>5529</v>
      </c>
      <c r="D628" t="s">
        <v>9926</v>
      </c>
      <c r="E628" t="s">
        <v>10075</v>
      </c>
      <c r="F628">
        <v>10473</v>
      </c>
      <c r="G628" t="s">
        <v>10090</v>
      </c>
      <c r="H628" t="s">
        <v>10112</v>
      </c>
      <c r="I628" t="s">
        <v>10169</v>
      </c>
      <c r="J628" t="s">
        <v>10210</v>
      </c>
      <c r="K628" t="s">
        <v>10217</v>
      </c>
      <c r="M628" t="s">
        <v>10279</v>
      </c>
      <c r="N628" t="s">
        <v>10646</v>
      </c>
      <c r="P628" t="s">
        <v>10749</v>
      </c>
      <c r="Q628" t="s">
        <v>10765</v>
      </c>
      <c r="R628" t="s">
        <v>10823</v>
      </c>
      <c r="T628">
        <v>48470.24</v>
      </c>
      <c r="U628">
        <v>4039.19</v>
      </c>
      <c r="V628">
        <v>39</v>
      </c>
      <c r="W628">
        <v>1</v>
      </c>
      <c r="X628">
        <v>1</v>
      </c>
      <c r="Z628">
        <v>286.64</v>
      </c>
      <c r="AA628">
        <v>40.815172</v>
      </c>
      <c r="AB628">
        <v>-73.866784</v>
      </c>
      <c r="AD628" t="s">
        <v>10839</v>
      </c>
      <c r="AG628" t="s">
        <v>10858</v>
      </c>
      <c r="AH628" t="s">
        <v>10862</v>
      </c>
      <c r="AI628">
        <v>230</v>
      </c>
      <c r="AJ628" t="s">
        <v>10210</v>
      </c>
      <c r="AL628">
        <v>1.5</v>
      </c>
      <c r="AM628" t="s">
        <v>10884</v>
      </c>
      <c r="AN628" t="s">
        <v>10968</v>
      </c>
      <c r="AO628" t="s">
        <v>11001</v>
      </c>
      <c r="AP628" t="s">
        <v>11046</v>
      </c>
      <c r="AR628" t="s">
        <v>11257</v>
      </c>
      <c r="AS628" t="s">
        <v>9926</v>
      </c>
      <c r="AT628" t="s">
        <v>11641</v>
      </c>
      <c r="AV628" t="s">
        <v>11656</v>
      </c>
      <c r="AW628" t="s">
        <v>11645</v>
      </c>
      <c r="AX628" t="s">
        <v>10838</v>
      </c>
      <c r="BA628" t="s">
        <v>11741</v>
      </c>
      <c r="BB628">
        <v>0</v>
      </c>
      <c r="BC628">
        <v>0</v>
      </c>
      <c r="BD628">
        <v>0</v>
      </c>
      <c r="BE628">
        <v>0</v>
      </c>
      <c r="BF628">
        <v>1</v>
      </c>
      <c r="BG628">
        <v>0</v>
      </c>
    </row>
    <row r="629" spans="1:59">
      <c r="A629" s="1">
        <f>HYPERLINK("https://lsnyc.legalserver.org/matter/dynamic-profile/view/1904365","19-1904365")</f>
        <v>0</v>
      </c>
      <c r="B629" t="s">
        <v>621</v>
      </c>
      <c r="C629" t="s">
        <v>5530</v>
      </c>
      <c r="D629" t="s">
        <v>9932</v>
      </c>
      <c r="E629" t="s">
        <v>10075</v>
      </c>
      <c r="F629">
        <v>11368</v>
      </c>
      <c r="G629" t="s">
        <v>10092</v>
      </c>
      <c r="H629" t="s">
        <v>10112</v>
      </c>
      <c r="I629" t="s">
        <v>10168</v>
      </c>
      <c r="J629" t="s">
        <v>10212</v>
      </c>
      <c r="K629" t="s">
        <v>10217</v>
      </c>
      <c r="M629" t="s">
        <v>10312</v>
      </c>
      <c r="N629" t="s">
        <v>10695</v>
      </c>
      <c r="P629" t="s">
        <v>10749</v>
      </c>
      <c r="Q629" t="s">
        <v>10765</v>
      </c>
      <c r="R629" t="s">
        <v>10824</v>
      </c>
      <c r="T629">
        <v>14568</v>
      </c>
      <c r="U629">
        <v>1214</v>
      </c>
      <c r="V629">
        <v>63</v>
      </c>
      <c r="W629">
        <v>1</v>
      </c>
      <c r="X629">
        <v>0</v>
      </c>
      <c r="Z629">
        <v>116.64</v>
      </c>
      <c r="AA629">
        <v>40.755804</v>
      </c>
      <c r="AB629">
        <v>-73.86269299999999</v>
      </c>
      <c r="AD629" t="s">
        <v>10840</v>
      </c>
      <c r="AG629" t="s">
        <v>10858</v>
      </c>
      <c r="AH629" t="s">
        <v>10862</v>
      </c>
      <c r="AI629">
        <v>237</v>
      </c>
      <c r="AJ629" t="s">
        <v>10212</v>
      </c>
      <c r="AL629">
        <v>6.95</v>
      </c>
      <c r="AM629" t="s">
        <v>10885</v>
      </c>
      <c r="AN629" t="s">
        <v>10916</v>
      </c>
      <c r="AO629" t="s">
        <v>11014</v>
      </c>
      <c r="AP629" t="s">
        <v>11068</v>
      </c>
      <c r="AQ629" t="s">
        <v>11101</v>
      </c>
      <c r="AR629" t="s">
        <v>11366</v>
      </c>
      <c r="AS629" t="s">
        <v>11594</v>
      </c>
      <c r="AT629" t="s">
        <v>11642</v>
      </c>
      <c r="AX629" t="s">
        <v>10837</v>
      </c>
      <c r="BA629" t="s">
        <v>11738</v>
      </c>
      <c r="BB629">
        <v>0</v>
      </c>
      <c r="BC629">
        <v>0</v>
      </c>
      <c r="BD629">
        <v>0</v>
      </c>
      <c r="BE629">
        <v>0</v>
      </c>
      <c r="BF629">
        <v>5</v>
      </c>
      <c r="BG629">
        <v>0</v>
      </c>
    </row>
    <row r="630" spans="1:59">
      <c r="A630" s="1">
        <f>HYPERLINK("https://lsnyc.legalserver.org/matter/dynamic-profile/view/1904367","19-1904367")</f>
        <v>0</v>
      </c>
      <c r="B630" t="s">
        <v>622</v>
      </c>
      <c r="C630" t="s">
        <v>5531</v>
      </c>
      <c r="D630" t="s">
        <v>9925</v>
      </c>
      <c r="E630" t="s">
        <v>10075</v>
      </c>
      <c r="F630">
        <v>10033</v>
      </c>
      <c r="G630" t="s">
        <v>10089</v>
      </c>
      <c r="H630" t="s">
        <v>10112</v>
      </c>
      <c r="I630" t="s">
        <v>10169</v>
      </c>
      <c r="J630" t="s">
        <v>10209</v>
      </c>
      <c r="K630" t="s">
        <v>10217</v>
      </c>
      <c r="M630" t="s">
        <v>10451</v>
      </c>
      <c r="N630" t="s">
        <v>10650</v>
      </c>
      <c r="P630" t="s">
        <v>10749</v>
      </c>
      <c r="Q630" t="s">
        <v>10765</v>
      </c>
      <c r="R630" t="s">
        <v>10821</v>
      </c>
      <c r="T630">
        <v>9936</v>
      </c>
      <c r="U630">
        <v>828</v>
      </c>
      <c r="V630">
        <v>72</v>
      </c>
      <c r="W630">
        <v>1</v>
      </c>
      <c r="X630">
        <v>0</v>
      </c>
      <c r="Z630">
        <v>79.55</v>
      </c>
      <c r="AA630">
        <v>40.850314</v>
      </c>
      <c r="AB630">
        <v>-73.939312</v>
      </c>
      <c r="AD630" t="s">
        <v>10839</v>
      </c>
      <c r="AG630" t="s">
        <v>10858</v>
      </c>
      <c r="AH630" t="s">
        <v>10862</v>
      </c>
      <c r="AI630">
        <v>236</v>
      </c>
      <c r="AJ630" t="s">
        <v>10209</v>
      </c>
      <c r="AL630">
        <v>0.2</v>
      </c>
      <c r="AM630" t="s">
        <v>10887</v>
      </c>
      <c r="AN630" t="s">
        <v>10943</v>
      </c>
      <c r="AO630" t="s">
        <v>11019</v>
      </c>
      <c r="AP630" t="s">
        <v>11074</v>
      </c>
      <c r="AR630" t="s">
        <v>11268</v>
      </c>
      <c r="AS630" t="s">
        <v>9925</v>
      </c>
      <c r="AT630" t="s">
        <v>11641</v>
      </c>
      <c r="AX630" t="s">
        <v>10838</v>
      </c>
      <c r="BA630" t="s">
        <v>11738</v>
      </c>
      <c r="BB630">
        <v>0</v>
      </c>
      <c r="BC630">
        <v>0</v>
      </c>
      <c r="BD630">
        <v>0</v>
      </c>
      <c r="BE630">
        <v>0</v>
      </c>
      <c r="BF630">
        <v>5</v>
      </c>
      <c r="BG630">
        <v>0</v>
      </c>
    </row>
    <row r="631" spans="1:59">
      <c r="A631" s="1">
        <f>HYPERLINK("https://lsnyc.legalserver.org/matter/dynamic-profile/view/1904368","19-1904368")</f>
        <v>0</v>
      </c>
      <c r="B631" t="s">
        <v>623</v>
      </c>
      <c r="C631" t="s">
        <v>5532</v>
      </c>
      <c r="D631" t="s">
        <v>9932</v>
      </c>
      <c r="E631" t="s">
        <v>10075</v>
      </c>
      <c r="F631">
        <v>11368</v>
      </c>
      <c r="G631" t="s">
        <v>10092</v>
      </c>
      <c r="H631" t="s">
        <v>10112</v>
      </c>
      <c r="I631" t="s">
        <v>10169</v>
      </c>
      <c r="J631" t="s">
        <v>10212</v>
      </c>
      <c r="K631" t="s">
        <v>10217</v>
      </c>
      <c r="M631" t="s">
        <v>10320</v>
      </c>
      <c r="N631" t="s">
        <v>10679</v>
      </c>
      <c r="P631" t="s">
        <v>10758</v>
      </c>
      <c r="Q631" t="s">
        <v>10804</v>
      </c>
      <c r="R631" t="s">
        <v>10823</v>
      </c>
      <c r="T631">
        <v>0</v>
      </c>
      <c r="U631">
        <v>0</v>
      </c>
      <c r="V631">
        <v>15</v>
      </c>
      <c r="W631">
        <v>1</v>
      </c>
      <c r="X631">
        <v>2</v>
      </c>
      <c r="Z631">
        <v>0</v>
      </c>
      <c r="AA631">
        <v>40.75075</v>
      </c>
      <c r="AB631">
        <v>-73.859342</v>
      </c>
      <c r="AD631" t="s">
        <v>10839</v>
      </c>
      <c r="AF631" t="s">
        <v>10842</v>
      </c>
      <c r="AG631" t="s">
        <v>10859</v>
      </c>
      <c r="AH631" t="s">
        <v>10864</v>
      </c>
      <c r="AI631">
        <v>237</v>
      </c>
      <c r="AJ631" t="s">
        <v>10212</v>
      </c>
      <c r="AL631">
        <v>10</v>
      </c>
      <c r="AM631" t="s">
        <v>10885</v>
      </c>
      <c r="AN631" t="s">
        <v>10949</v>
      </c>
      <c r="AO631" t="s">
        <v>11014</v>
      </c>
      <c r="AP631" t="s">
        <v>11068</v>
      </c>
      <c r="AR631" t="s">
        <v>11267</v>
      </c>
      <c r="AS631" t="s">
        <v>11594</v>
      </c>
      <c r="BA631" t="s">
        <v>11738</v>
      </c>
      <c r="BB631">
        <v>0</v>
      </c>
      <c r="BC631">
        <v>0</v>
      </c>
      <c r="BD631">
        <v>0</v>
      </c>
      <c r="BE631">
        <v>0</v>
      </c>
      <c r="BF631">
        <v>5</v>
      </c>
      <c r="BG631">
        <v>0</v>
      </c>
    </row>
    <row r="632" spans="1:59">
      <c r="A632" s="1">
        <f>HYPERLINK("https://lsnyc.legalserver.org/matter/dynamic-profile/view/1904369","19-1904369")</f>
        <v>0</v>
      </c>
      <c r="B632" t="s">
        <v>624</v>
      </c>
      <c r="C632" t="s">
        <v>5533</v>
      </c>
      <c r="D632" t="s">
        <v>9926</v>
      </c>
      <c r="E632" t="s">
        <v>10075</v>
      </c>
      <c r="F632">
        <v>10454</v>
      </c>
      <c r="G632" t="s">
        <v>10090</v>
      </c>
      <c r="H632" t="s">
        <v>10112</v>
      </c>
      <c r="I632" t="s">
        <v>10169</v>
      </c>
      <c r="J632" t="s">
        <v>10210</v>
      </c>
      <c r="K632" t="s">
        <v>10217</v>
      </c>
      <c r="M632" t="s">
        <v>10380</v>
      </c>
      <c r="N632" t="s">
        <v>10677</v>
      </c>
      <c r="P632" t="s">
        <v>10753</v>
      </c>
      <c r="Q632" t="s">
        <v>10763</v>
      </c>
      <c r="R632" t="s">
        <v>10821</v>
      </c>
      <c r="T632">
        <v>0</v>
      </c>
      <c r="U632">
        <v>0</v>
      </c>
      <c r="V632">
        <v>83</v>
      </c>
      <c r="W632">
        <v>1</v>
      </c>
      <c r="X632">
        <v>0</v>
      </c>
      <c r="Z632">
        <v>0</v>
      </c>
      <c r="AA632">
        <v>40.807499</v>
      </c>
      <c r="AB632">
        <v>-73.921599</v>
      </c>
      <c r="AD632" t="s">
        <v>10839</v>
      </c>
      <c r="AF632" t="s">
        <v>10843</v>
      </c>
      <c r="AG632" t="s">
        <v>10859</v>
      </c>
      <c r="AH632" t="s">
        <v>10864</v>
      </c>
      <c r="AI632">
        <v>230</v>
      </c>
      <c r="AJ632" t="s">
        <v>10210</v>
      </c>
      <c r="AL632">
        <v>3</v>
      </c>
      <c r="AM632" t="s">
        <v>10884</v>
      </c>
      <c r="AN632" t="s">
        <v>10924</v>
      </c>
      <c r="AO632" t="s">
        <v>11013</v>
      </c>
      <c r="AP632" t="s">
        <v>11066</v>
      </c>
      <c r="AQ632" t="s">
        <v>11131</v>
      </c>
      <c r="AR632" t="s">
        <v>11267</v>
      </c>
      <c r="AS632" t="s">
        <v>9926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</row>
    <row r="633" spans="1:59">
      <c r="A633" s="1">
        <f>HYPERLINK("https://lsnyc.legalserver.org/matter/dynamic-profile/view/1904370","19-1904370")</f>
        <v>0</v>
      </c>
      <c r="B633" t="s">
        <v>625</v>
      </c>
      <c r="C633" t="s">
        <v>5534</v>
      </c>
      <c r="D633" t="s">
        <v>9928</v>
      </c>
      <c r="E633" t="s">
        <v>10075</v>
      </c>
      <c r="F633">
        <v>11233</v>
      </c>
      <c r="G633" t="s">
        <v>10093</v>
      </c>
      <c r="H633" t="s">
        <v>10118</v>
      </c>
      <c r="I633" t="s">
        <v>10168</v>
      </c>
      <c r="J633" t="s">
        <v>10213</v>
      </c>
      <c r="K633" t="s">
        <v>10218</v>
      </c>
      <c r="L633" t="s">
        <v>10111</v>
      </c>
      <c r="M633" t="s">
        <v>10298</v>
      </c>
      <c r="N633" t="s">
        <v>10657</v>
      </c>
      <c r="P633" t="s">
        <v>10749</v>
      </c>
      <c r="Q633" t="s">
        <v>10767</v>
      </c>
      <c r="R633" t="s">
        <v>10824</v>
      </c>
      <c r="T633">
        <v>119000</v>
      </c>
      <c r="U633">
        <v>9916.67</v>
      </c>
      <c r="V633">
        <v>49</v>
      </c>
      <c r="W633">
        <v>3</v>
      </c>
      <c r="X633">
        <v>1</v>
      </c>
      <c r="Y633" t="s">
        <v>10829</v>
      </c>
      <c r="Z633">
        <v>462.14</v>
      </c>
      <c r="AA633">
        <v>40.681372</v>
      </c>
      <c r="AB633">
        <v>-73.908523</v>
      </c>
      <c r="AD633" t="s">
        <v>10839</v>
      </c>
      <c r="AG633" t="s">
        <v>10858</v>
      </c>
      <c r="AH633" t="s">
        <v>10862</v>
      </c>
      <c r="AI633">
        <v>239</v>
      </c>
      <c r="AJ633" t="s">
        <v>10213</v>
      </c>
      <c r="AK633" t="s">
        <v>10882</v>
      </c>
      <c r="AL633">
        <v>1.5</v>
      </c>
      <c r="AM633" t="s">
        <v>10889</v>
      </c>
      <c r="AN633" t="s">
        <v>10922</v>
      </c>
      <c r="AO633" t="s">
        <v>11011</v>
      </c>
      <c r="AP633" t="s">
        <v>11058</v>
      </c>
      <c r="AQ633" t="s">
        <v>11144</v>
      </c>
      <c r="AR633" t="s">
        <v>11257</v>
      </c>
      <c r="AS633" t="s">
        <v>11595</v>
      </c>
      <c r="AY633" t="s">
        <v>10829</v>
      </c>
      <c r="AZ633" t="s">
        <v>11681</v>
      </c>
      <c r="BA633" t="s">
        <v>11741</v>
      </c>
      <c r="BB633">
        <v>0</v>
      </c>
      <c r="BC633">
        <v>0</v>
      </c>
      <c r="BD633">
        <v>0</v>
      </c>
      <c r="BE633">
        <v>0</v>
      </c>
      <c r="BF633">
        <v>1</v>
      </c>
      <c r="BG633">
        <v>0</v>
      </c>
    </row>
    <row r="634" spans="1:59">
      <c r="A634" s="1">
        <f>HYPERLINK("https://lsnyc.legalserver.org/matter/dynamic-profile/view/1904371","19-1904371")</f>
        <v>0</v>
      </c>
      <c r="B634" t="s">
        <v>626</v>
      </c>
      <c r="C634" t="s">
        <v>5535</v>
      </c>
      <c r="D634" t="s">
        <v>9925</v>
      </c>
      <c r="E634" t="s">
        <v>10075</v>
      </c>
      <c r="F634">
        <v>10025</v>
      </c>
      <c r="G634" t="s">
        <v>10089</v>
      </c>
      <c r="H634" t="s">
        <v>10112</v>
      </c>
      <c r="I634" t="s">
        <v>10168</v>
      </c>
      <c r="J634" t="s">
        <v>10209</v>
      </c>
      <c r="K634" t="s">
        <v>10217</v>
      </c>
      <c r="M634" t="s">
        <v>10453</v>
      </c>
      <c r="N634" t="s">
        <v>10702</v>
      </c>
      <c r="P634" t="s">
        <v>10749</v>
      </c>
      <c r="Q634" t="s">
        <v>10765</v>
      </c>
      <c r="R634" t="s">
        <v>10820</v>
      </c>
      <c r="T634">
        <v>16000</v>
      </c>
      <c r="U634">
        <v>1333.33</v>
      </c>
      <c r="V634">
        <v>61</v>
      </c>
      <c r="W634">
        <v>1</v>
      </c>
      <c r="X634">
        <v>0</v>
      </c>
      <c r="Z634">
        <v>128.1</v>
      </c>
      <c r="AA634">
        <v>40.794686</v>
      </c>
      <c r="AB634">
        <v>-73.975555</v>
      </c>
      <c r="AD634" t="s">
        <v>10840</v>
      </c>
      <c r="AG634" t="s">
        <v>10858</v>
      </c>
      <c r="AH634" t="s">
        <v>10862</v>
      </c>
      <c r="AI634">
        <v>236</v>
      </c>
      <c r="AJ634" t="s">
        <v>10209</v>
      </c>
      <c r="AL634">
        <v>13.3</v>
      </c>
      <c r="AM634" t="s">
        <v>10894</v>
      </c>
      <c r="AN634" t="s">
        <v>10953</v>
      </c>
      <c r="AO634" t="s">
        <v>11019</v>
      </c>
      <c r="AP634" t="s">
        <v>11089</v>
      </c>
      <c r="AR634" t="s">
        <v>11257</v>
      </c>
      <c r="AS634" t="s">
        <v>9925</v>
      </c>
      <c r="BA634" t="s">
        <v>11738</v>
      </c>
      <c r="BB634">
        <v>0</v>
      </c>
      <c r="BC634">
        <v>0</v>
      </c>
      <c r="BD634">
        <v>0</v>
      </c>
      <c r="BE634">
        <v>0</v>
      </c>
      <c r="BF634">
        <v>5</v>
      </c>
      <c r="BG634">
        <v>0</v>
      </c>
    </row>
    <row r="635" spans="1:59">
      <c r="A635" s="1">
        <f>HYPERLINK("https://lsnyc.legalserver.org/matter/dynamic-profile/view/1904372","19-1904372")</f>
        <v>0</v>
      </c>
      <c r="B635" t="s">
        <v>627</v>
      </c>
      <c r="C635" t="s">
        <v>5536</v>
      </c>
      <c r="D635" t="s">
        <v>9971</v>
      </c>
      <c r="E635" t="s">
        <v>10075</v>
      </c>
      <c r="F635">
        <v>11720</v>
      </c>
      <c r="G635" t="s">
        <v>10093</v>
      </c>
      <c r="H635" t="s">
        <v>10112</v>
      </c>
      <c r="I635" t="s">
        <v>10168</v>
      </c>
      <c r="J635" t="s">
        <v>10213</v>
      </c>
      <c r="K635" t="s">
        <v>10218</v>
      </c>
      <c r="L635" t="s">
        <v>10130</v>
      </c>
      <c r="M635" t="s">
        <v>10436</v>
      </c>
      <c r="N635" t="s">
        <v>10710</v>
      </c>
      <c r="P635" t="s">
        <v>10750</v>
      </c>
      <c r="Q635" t="s">
        <v>10760</v>
      </c>
      <c r="R635" t="s">
        <v>10820</v>
      </c>
      <c r="T635">
        <v>18204</v>
      </c>
      <c r="U635">
        <v>1517</v>
      </c>
      <c r="V635">
        <v>65</v>
      </c>
      <c r="W635">
        <v>2</v>
      </c>
      <c r="X635">
        <v>0</v>
      </c>
      <c r="Y635" t="s">
        <v>10829</v>
      </c>
      <c r="Z635">
        <v>107.65</v>
      </c>
      <c r="AA635">
        <v>40.866638</v>
      </c>
      <c r="AB635">
        <v>-73.065381</v>
      </c>
      <c r="AC635" t="s">
        <v>10837</v>
      </c>
      <c r="AD635" t="s">
        <v>10840</v>
      </c>
      <c r="AG635" t="s">
        <v>10858</v>
      </c>
      <c r="AH635" t="s">
        <v>10861</v>
      </c>
      <c r="AI635">
        <v>234</v>
      </c>
      <c r="AJ635" t="s">
        <v>10214</v>
      </c>
      <c r="AK635" t="s">
        <v>10838</v>
      </c>
      <c r="AL635">
        <v>1.2</v>
      </c>
      <c r="AM635" t="s">
        <v>10897</v>
      </c>
      <c r="AN635" t="s">
        <v>10973</v>
      </c>
      <c r="AO635" t="s">
        <v>11028</v>
      </c>
      <c r="AR635" t="s">
        <v>11360</v>
      </c>
      <c r="AS635" t="s">
        <v>11602</v>
      </c>
      <c r="AT635" t="s">
        <v>11642</v>
      </c>
      <c r="AX635" t="s">
        <v>10838</v>
      </c>
      <c r="AY635" t="s">
        <v>10829</v>
      </c>
      <c r="AZ635" t="s">
        <v>11679</v>
      </c>
      <c r="BA635" t="s">
        <v>11742</v>
      </c>
      <c r="BB635">
        <v>0</v>
      </c>
      <c r="BC635">
        <v>0</v>
      </c>
      <c r="BD635">
        <v>0</v>
      </c>
      <c r="BE635">
        <v>0</v>
      </c>
      <c r="BF635">
        <v>7</v>
      </c>
      <c r="BG635">
        <v>0</v>
      </c>
    </row>
    <row r="636" spans="1:59">
      <c r="A636" s="1">
        <f>HYPERLINK("https://lsnyc.legalserver.org/matter/dynamic-profile/view/1904373","19-1904373")</f>
        <v>0</v>
      </c>
      <c r="B636" t="s">
        <v>628</v>
      </c>
      <c r="C636" t="s">
        <v>5537</v>
      </c>
      <c r="D636" t="s">
        <v>9925</v>
      </c>
      <c r="E636" t="s">
        <v>10075</v>
      </c>
      <c r="F636">
        <v>10031</v>
      </c>
      <c r="G636" t="s">
        <v>10089</v>
      </c>
      <c r="H636" t="s">
        <v>10112</v>
      </c>
      <c r="I636" t="s">
        <v>10168</v>
      </c>
      <c r="J636" t="s">
        <v>10209</v>
      </c>
      <c r="K636" t="s">
        <v>10217</v>
      </c>
      <c r="M636" t="s">
        <v>10388</v>
      </c>
      <c r="N636" t="s">
        <v>10702</v>
      </c>
      <c r="P636" t="s">
        <v>10749</v>
      </c>
      <c r="Q636" t="s">
        <v>10765</v>
      </c>
      <c r="R636" t="s">
        <v>10825</v>
      </c>
      <c r="T636">
        <v>3000</v>
      </c>
      <c r="U636">
        <v>250</v>
      </c>
      <c r="V636">
        <v>39</v>
      </c>
      <c r="W636">
        <v>1</v>
      </c>
      <c r="X636">
        <v>0</v>
      </c>
      <c r="Z636">
        <v>24.02</v>
      </c>
      <c r="AA636">
        <v>40.824287</v>
      </c>
      <c r="AB636">
        <v>-73.954489</v>
      </c>
      <c r="AD636" t="s">
        <v>10840</v>
      </c>
      <c r="AG636" t="s">
        <v>10858</v>
      </c>
      <c r="AH636" t="s">
        <v>10861</v>
      </c>
      <c r="AI636">
        <v>236</v>
      </c>
      <c r="AJ636" t="s">
        <v>10209</v>
      </c>
      <c r="AL636">
        <v>29.25</v>
      </c>
      <c r="AM636" t="s">
        <v>10887</v>
      </c>
      <c r="AN636" t="s">
        <v>10943</v>
      </c>
      <c r="AO636" t="s">
        <v>11019</v>
      </c>
      <c r="AP636" t="s">
        <v>11073</v>
      </c>
      <c r="AR636" t="s">
        <v>11255</v>
      </c>
      <c r="AS636" t="s">
        <v>9925</v>
      </c>
      <c r="BA636" t="s">
        <v>11738</v>
      </c>
      <c r="BB636">
        <v>0</v>
      </c>
      <c r="BC636">
        <v>0</v>
      </c>
      <c r="BD636">
        <v>0</v>
      </c>
      <c r="BE636">
        <v>0</v>
      </c>
      <c r="BF636">
        <v>5</v>
      </c>
      <c r="BG636">
        <v>0</v>
      </c>
    </row>
    <row r="637" spans="1:59">
      <c r="A637" s="1">
        <f>HYPERLINK("https://lsnyc.legalserver.org/matter/dynamic-profile/view/1904374","19-1904374")</f>
        <v>0</v>
      </c>
      <c r="B637" t="s">
        <v>287</v>
      </c>
      <c r="C637" t="s">
        <v>5538</v>
      </c>
      <c r="D637" t="s">
        <v>9928</v>
      </c>
      <c r="E637" t="s">
        <v>10075</v>
      </c>
      <c r="F637">
        <v>11207</v>
      </c>
      <c r="G637" t="s">
        <v>10093</v>
      </c>
      <c r="H637" t="s">
        <v>10118</v>
      </c>
      <c r="I637" t="s">
        <v>10168</v>
      </c>
      <c r="J637" t="s">
        <v>10213</v>
      </c>
      <c r="K637" t="s">
        <v>10218</v>
      </c>
      <c r="L637" t="s">
        <v>10154</v>
      </c>
      <c r="M637" t="s">
        <v>10298</v>
      </c>
      <c r="N637" t="s">
        <v>10657</v>
      </c>
      <c r="P637" t="s">
        <v>10752</v>
      </c>
      <c r="Q637" t="s">
        <v>10805</v>
      </c>
      <c r="R637" t="s">
        <v>10824</v>
      </c>
      <c r="T637">
        <v>36000</v>
      </c>
      <c r="U637">
        <v>3000</v>
      </c>
      <c r="V637">
        <v>49</v>
      </c>
      <c r="W637">
        <v>3</v>
      </c>
      <c r="X637">
        <v>1</v>
      </c>
      <c r="Y637" t="s">
        <v>10829</v>
      </c>
      <c r="Z637">
        <v>139.81</v>
      </c>
      <c r="AA637">
        <v>40.663144</v>
      </c>
      <c r="AB637">
        <v>-73.88296699999999</v>
      </c>
      <c r="AD637" t="s">
        <v>10839</v>
      </c>
      <c r="AG637" t="s">
        <v>10858</v>
      </c>
      <c r="AH637" t="s">
        <v>10862</v>
      </c>
      <c r="AI637">
        <v>239</v>
      </c>
      <c r="AJ637" t="s">
        <v>10213</v>
      </c>
      <c r="AK637" t="s">
        <v>10838</v>
      </c>
      <c r="AL637">
        <v>0.5</v>
      </c>
      <c r="AM637" t="s">
        <v>10889</v>
      </c>
      <c r="AN637" t="s">
        <v>10946</v>
      </c>
      <c r="AO637" t="s">
        <v>11012</v>
      </c>
      <c r="AP637" t="s">
        <v>11060</v>
      </c>
      <c r="AQ637" t="s">
        <v>11155</v>
      </c>
      <c r="AR637" t="s">
        <v>11257</v>
      </c>
      <c r="AS637" t="s">
        <v>11595</v>
      </c>
      <c r="AY637" t="s">
        <v>10829</v>
      </c>
      <c r="AZ637" t="s">
        <v>11680</v>
      </c>
      <c r="BA637" t="s">
        <v>11741</v>
      </c>
      <c r="BB637">
        <v>0</v>
      </c>
      <c r="BC637">
        <v>0</v>
      </c>
      <c r="BD637">
        <v>0</v>
      </c>
      <c r="BE637">
        <v>0</v>
      </c>
      <c r="BF637">
        <v>1</v>
      </c>
      <c r="BG637">
        <v>0</v>
      </c>
    </row>
    <row r="638" spans="1:59">
      <c r="A638" s="1">
        <f>HYPERLINK("https://lsnyc.legalserver.org/matter/dynamic-profile/view/1904375","19-1904375")</f>
        <v>0</v>
      </c>
      <c r="B638" t="s">
        <v>502</v>
      </c>
      <c r="C638" t="s">
        <v>5422</v>
      </c>
      <c r="D638" t="s">
        <v>9925</v>
      </c>
      <c r="E638" t="s">
        <v>10075</v>
      </c>
      <c r="F638">
        <v>10035</v>
      </c>
      <c r="G638" t="s">
        <v>10089</v>
      </c>
      <c r="H638" t="s">
        <v>10119</v>
      </c>
      <c r="I638" t="s">
        <v>10168</v>
      </c>
      <c r="J638" t="s">
        <v>10209</v>
      </c>
      <c r="K638" t="s">
        <v>10217</v>
      </c>
      <c r="M638" t="s">
        <v>10403</v>
      </c>
      <c r="N638" t="s">
        <v>10707</v>
      </c>
      <c r="P638" t="s">
        <v>10751</v>
      </c>
      <c r="Q638" t="s">
        <v>10776</v>
      </c>
      <c r="R638" t="s">
        <v>10824</v>
      </c>
      <c r="T638">
        <v>11232</v>
      </c>
      <c r="U638">
        <v>936</v>
      </c>
      <c r="V638">
        <v>45</v>
      </c>
      <c r="W638">
        <v>1</v>
      </c>
      <c r="X638">
        <v>1</v>
      </c>
      <c r="Z638">
        <v>66.42</v>
      </c>
      <c r="AA638">
        <v>40.800389</v>
      </c>
      <c r="AB638">
        <v>-73.941298</v>
      </c>
      <c r="AD638" t="s">
        <v>10839</v>
      </c>
      <c r="AG638" t="s">
        <v>10858</v>
      </c>
      <c r="AH638" t="s">
        <v>10868</v>
      </c>
      <c r="AI638">
        <v>236</v>
      </c>
      <c r="AJ638" t="s">
        <v>10209</v>
      </c>
      <c r="AL638">
        <v>12</v>
      </c>
      <c r="AM638" t="s">
        <v>10887</v>
      </c>
      <c r="AN638" t="s">
        <v>10926</v>
      </c>
      <c r="AO638" t="s">
        <v>11016</v>
      </c>
      <c r="AP638" t="s">
        <v>11076</v>
      </c>
      <c r="AQ638" t="s">
        <v>11156</v>
      </c>
      <c r="AR638" t="s">
        <v>11274</v>
      </c>
      <c r="AS638" t="s">
        <v>9925</v>
      </c>
      <c r="AT638" t="s">
        <v>11641</v>
      </c>
      <c r="AX638" t="s">
        <v>10837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</row>
    <row r="639" spans="1:59">
      <c r="A639" s="1">
        <f>HYPERLINK("https://lsnyc.legalserver.org/matter/dynamic-profile/view/1904376","19-1904376")</f>
        <v>0</v>
      </c>
      <c r="B639" t="s">
        <v>629</v>
      </c>
      <c r="C639" t="s">
        <v>5539</v>
      </c>
      <c r="D639" t="s">
        <v>9928</v>
      </c>
      <c r="E639" t="s">
        <v>10075</v>
      </c>
      <c r="F639">
        <v>11223</v>
      </c>
      <c r="G639" t="s">
        <v>10091</v>
      </c>
      <c r="H639" t="s">
        <v>10112</v>
      </c>
      <c r="I639" t="s">
        <v>10168</v>
      </c>
      <c r="J639" t="s">
        <v>10214</v>
      </c>
      <c r="K639" t="s">
        <v>10217</v>
      </c>
      <c r="M639" t="s">
        <v>10286</v>
      </c>
      <c r="N639" t="s">
        <v>10671</v>
      </c>
      <c r="P639" t="s">
        <v>10751</v>
      </c>
      <c r="Q639" t="s">
        <v>10761</v>
      </c>
      <c r="R639" t="s">
        <v>10821</v>
      </c>
      <c r="T639">
        <v>9252</v>
      </c>
      <c r="U639">
        <v>771</v>
      </c>
      <c r="V639">
        <v>54</v>
      </c>
      <c r="W639">
        <v>1</v>
      </c>
      <c r="X639">
        <v>0</v>
      </c>
      <c r="Z639">
        <v>74.08</v>
      </c>
      <c r="AA639">
        <v>40.593175</v>
      </c>
      <c r="AB639">
        <v>-73.97982</v>
      </c>
      <c r="AD639" t="s">
        <v>10839</v>
      </c>
      <c r="AG639" t="s">
        <v>10858</v>
      </c>
      <c r="AH639" t="s">
        <v>10861</v>
      </c>
      <c r="AI639">
        <v>234</v>
      </c>
      <c r="AJ639" t="s">
        <v>10214</v>
      </c>
      <c r="AL639">
        <v>0.5</v>
      </c>
      <c r="AM639" t="s">
        <v>10883</v>
      </c>
      <c r="AN639" t="s">
        <v>10965</v>
      </c>
      <c r="AO639" t="s">
        <v>11006</v>
      </c>
      <c r="AP639" t="s">
        <v>11087</v>
      </c>
      <c r="AR639" t="s">
        <v>11274</v>
      </c>
      <c r="AS639" t="s">
        <v>11595</v>
      </c>
      <c r="AT639" t="s">
        <v>11641</v>
      </c>
      <c r="AX639" t="s">
        <v>10838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</row>
    <row r="640" spans="1:59">
      <c r="A640" s="1">
        <f>HYPERLINK("https://lsnyc.legalserver.org/matter/dynamic-profile/view/1904378","19-1904378")</f>
        <v>0</v>
      </c>
      <c r="B640" t="s">
        <v>630</v>
      </c>
      <c r="C640" t="s">
        <v>5540</v>
      </c>
      <c r="D640" t="s">
        <v>9928</v>
      </c>
      <c r="E640" t="s">
        <v>10075</v>
      </c>
      <c r="F640">
        <v>11226</v>
      </c>
      <c r="G640" t="s">
        <v>10093</v>
      </c>
      <c r="H640" t="s">
        <v>10116</v>
      </c>
      <c r="I640" t="s">
        <v>10168</v>
      </c>
      <c r="J640" t="s">
        <v>10213</v>
      </c>
      <c r="K640" t="s">
        <v>10217</v>
      </c>
      <c r="M640" t="s">
        <v>10280</v>
      </c>
      <c r="N640" t="s">
        <v>10671</v>
      </c>
      <c r="P640" t="s">
        <v>10751</v>
      </c>
      <c r="Q640" t="s">
        <v>10780</v>
      </c>
      <c r="R640" t="s">
        <v>10824</v>
      </c>
      <c r="T640">
        <v>0</v>
      </c>
      <c r="U640">
        <v>0</v>
      </c>
      <c r="V640">
        <v>51</v>
      </c>
      <c r="W640">
        <v>1</v>
      </c>
      <c r="X640">
        <v>0</v>
      </c>
      <c r="Z640">
        <v>0</v>
      </c>
      <c r="AA640">
        <v>40.653401</v>
      </c>
      <c r="AB640">
        <v>-73.94815699999999</v>
      </c>
      <c r="AD640" t="s">
        <v>10839</v>
      </c>
      <c r="AF640" t="s">
        <v>10843</v>
      </c>
      <c r="AG640" t="s">
        <v>10859</v>
      </c>
      <c r="AH640" t="s">
        <v>10861</v>
      </c>
      <c r="AI640">
        <v>234</v>
      </c>
      <c r="AJ640" t="s">
        <v>10214</v>
      </c>
      <c r="AL640">
        <v>0.5</v>
      </c>
      <c r="AM640" t="s">
        <v>10888</v>
      </c>
      <c r="AN640" t="s">
        <v>10912</v>
      </c>
      <c r="AO640" t="s">
        <v>11005</v>
      </c>
      <c r="AP640" t="s">
        <v>11050</v>
      </c>
      <c r="AR640" t="s">
        <v>11267</v>
      </c>
      <c r="AS640" t="s">
        <v>11595</v>
      </c>
      <c r="AT640" t="s">
        <v>11641</v>
      </c>
      <c r="AX640" t="s">
        <v>10838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</row>
    <row r="641" spans="1:59">
      <c r="A641" s="1">
        <f>HYPERLINK("https://lsnyc.legalserver.org/matter/dynamic-profile/view/1904379","19-1904379")</f>
        <v>0</v>
      </c>
      <c r="B641" t="s">
        <v>631</v>
      </c>
      <c r="C641" t="s">
        <v>5271</v>
      </c>
      <c r="D641" t="s">
        <v>9925</v>
      </c>
      <c r="E641" t="s">
        <v>10075</v>
      </c>
      <c r="F641">
        <v>10024</v>
      </c>
      <c r="G641" t="s">
        <v>10089</v>
      </c>
      <c r="H641" t="s">
        <v>10112</v>
      </c>
      <c r="I641" t="s">
        <v>10168</v>
      </c>
      <c r="J641" t="s">
        <v>10209</v>
      </c>
      <c r="K641" t="s">
        <v>10217</v>
      </c>
      <c r="M641" t="s">
        <v>10396</v>
      </c>
      <c r="N641" t="s">
        <v>10650</v>
      </c>
      <c r="P641" t="s">
        <v>10749</v>
      </c>
      <c r="Q641" t="s">
        <v>10765</v>
      </c>
      <c r="R641" t="s">
        <v>10820</v>
      </c>
      <c r="T641">
        <v>58500</v>
      </c>
      <c r="U641">
        <v>4875</v>
      </c>
      <c r="V641">
        <v>30</v>
      </c>
      <c r="W641">
        <v>1</v>
      </c>
      <c r="X641">
        <v>0</v>
      </c>
      <c r="Z641">
        <v>468.37</v>
      </c>
      <c r="AA641">
        <v>40.784487</v>
      </c>
      <c r="AB641">
        <v>-73.973958</v>
      </c>
      <c r="AD641" t="s">
        <v>10839</v>
      </c>
      <c r="AG641" t="s">
        <v>10858</v>
      </c>
      <c r="AH641" t="s">
        <v>10862</v>
      </c>
      <c r="AI641">
        <v>236</v>
      </c>
      <c r="AJ641" t="s">
        <v>10209</v>
      </c>
      <c r="AL641">
        <v>0.1</v>
      </c>
      <c r="AM641" t="s">
        <v>10894</v>
      </c>
      <c r="AN641" t="s">
        <v>10953</v>
      </c>
      <c r="AO641" t="s">
        <v>11013</v>
      </c>
      <c r="AP641" t="s">
        <v>11089</v>
      </c>
      <c r="AR641" t="s">
        <v>11257</v>
      </c>
      <c r="AS641" t="s">
        <v>9925</v>
      </c>
      <c r="AT641" t="s">
        <v>11641</v>
      </c>
      <c r="AX641" t="s">
        <v>10838</v>
      </c>
      <c r="BA641" t="s">
        <v>11742</v>
      </c>
      <c r="BB641">
        <v>0</v>
      </c>
      <c r="BC641">
        <v>0</v>
      </c>
      <c r="BD641">
        <v>0</v>
      </c>
      <c r="BE641">
        <v>0</v>
      </c>
      <c r="BF641">
        <v>7</v>
      </c>
      <c r="BG641">
        <v>0</v>
      </c>
    </row>
    <row r="642" spans="1:59">
      <c r="A642" s="1">
        <f>HYPERLINK("https://lsnyc.legalserver.org/matter/dynamic-profile/view/1904380","19-1904380")</f>
        <v>0</v>
      </c>
      <c r="B642" t="s">
        <v>632</v>
      </c>
      <c r="C642" t="s">
        <v>5541</v>
      </c>
      <c r="D642" t="s">
        <v>9951</v>
      </c>
      <c r="E642" t="s">
        <v>10075</v>
      </c>
      <c r="F642">
        <v>11417</v>
      </c>
      <c r="G642" t="s">
        <v>10093</v>
      </c>
      <c r="H642" t="s">
        <v>10112</v>
      </c>
      <c r="I642" t="s">
        <v>10169</v>
      </c>
      <c r="J642" t="s">
        <v>10213</v>
      </c>
      <c r="K642" t="s">
        <v>10218</v>
      </c>
      <c r="L642" t="s">
        <v>10221</v>
      </c>
      <c r="M642" t="s">
        <v>10253</v>
      </c>
      <c r="N642" t="s">
        <v>10649</v>
      </c>
      <c r="P642" t="s">
        <v>10753</v>
      </c>
      <c r="Q642" t="s">
        <v>10763</v>
      </c>
      <c r="R642" t="s">
        <v>10821</v>
      </c>
      <c r="T642">
        <v>4512</v>
      </c>
      <c r="U642">
        <v>376</v>
      </c>
      <c r="V642">
        <v>36</v>
      </c>
      <c r="W642">
        <v>1</v>
      </c>
      <c r="X642">
        <v>0</v>
      </c>
      <c r="Y642" t="s">
        <v>10833</v>
      </c>
      <c r="Z642">
        <v>36.12</v>
      </c>
      <c r="AA642">
        <v>40.673579</v>
      </c>
      <c r="AB642">
        <v>-73.846664</v>
      </c>
      <c r="AD642" t="s">
        <v>10840</v>
      </c>
      <c r="AF642" t="s">
        <v>10842</v>
      </c>
      <c r="AG642" t="s">
        <v>10859</v>
      </c>
      <c r="AH642" t="s">
        <v>10864</v>
      </c>
      <c r="AI642">
        <v>239</v>
      </c>
      <c r="AJ642" t="s">
        <v>10213</v>
      </c>
      <c r="AK642" t="s">
        <v>10838</v>
      </c>
      <c r="AL642">
        <v>5</v>
      </c>
      <c r="AM642" t="s">
        <v>10889</v>
      </c>
      <c r="AN642" t="s">
        <v>10958</v>
      </c>
      <c r="AO642" t="s">
        <v>11024</v>
      </c>
      <c r="AP642" t="s">
        <v>11088</v>
      </c>
      <c r="AQ642" t="s">
        <v>11109</v>
      </c>
      <c r="AR642" t="s">
        <v>11333</v>
      </c>
      <c r="AS642" t="s">
        <v>11594</v>
      </c>
      <c r="AT642" t="s">
        <v>11642</v>
      </c>
      <c r="AX642" t="s">
        <v>10837</v>
      </c>
      <c r="AY642" t="s">
        <v>10833</v>
      </c>
      <c r="AZ642" t="s">
        <v>11711</v>
      </c>
      <c r="BA642" t="s">
        <v>11739</v>
      </c>
      <c r="BB642">
        <v>0</v>
      </c>
      <c r="BC642">
        <v>0</v>
      </c>
      <c r="BD642">
        <v>0</v>
      </c>
      <c r="BE642">
        <v>0</v>
      </c>
      <c r="BF642">
        <v>4</v>
      </c>
      <c r="BG642">
        <v>0</v>
      </c>
    </row>
    <row r="643" spans="1:59">
      <c r="A643" s="1">
        <f>HYPERLINK("https://lsnyc.legalserver.org/matter/dynamic-profile/view/1904383","19-1904383")</f>
        <v>0</v>
      </c>
      <c r="B643" t="s">
        <v>633</v>
      </c>
      <c r="C643" t="s">
        <v>5542</v>
      </c>
      <c r="D643" t="s">
        <v>9951</v>
      </c>
      <c r="E643" t="s">
        <v>10075</v>
      </c>
      <c r="F643">
        <v>11416</v>
      </c>
      <c r="G643" t="s">
        <v>10092</v>
      </c>
      <c r="H643" t="s">
        <v>10112</v>
      </c>
      <c r="I643" t="s">
        <v>10168</v>
      </c>
      <c r="J643" t="s">
        <v>10212</v>
      </c>
      <c r="K643" t="s">
        <v>10217</v>
      </c>
      <c r="M643" t="s">
        <v>10398</v>
      </c>
      <c r="N643" t="s">
        <v>10694</v>
      </c>
      <c r="P643" t="s">
        <v>10751</v>
      </c>
      <c r="Q643" t="s">
        <v>10780</v>
      </c>
      <c r="R643" t="s">
        <v>10820</v>
      </c>
      <c r="T643">
        <v>11280</v>
      </c>
      <c r="U643">
        <v>940</v>
      </c>
      <c r="V643">
        <v>54</v>
      </c>
      <c r="W643">
        <v>2</v>
      </c>
      <c r="X643">
        <v>0</v>
      </c>
      <c r="Z643">
        <v>66.70999999999999</v>
      </c>
      <c r="AA643">
        <v>40.68647</v>
      </c>
      <c r="AB643">
        <v>-73.844266</v>
      </c>
      <c r="AD643" t="s">
        <v>10839</v>
      </c>
      <c r="AG643" t="s">
        <v>10858</v>
      </c>
      <c r="AH643" t="s">
        <v>10871</v>
      </c>
      <c r="AI643">
        <v>234</v>
      </c>
      <c r="AJ643" t="s">
        <v>10214</v>
      </c>
      <c r="AL643">
        <v>38.2</v>
      </c>
      <c r="AM643" t="s">
        <v>10886</v>
      </c>
      <c r="AN643" t="s">
        <v>10945</v>
      </c>
      <c r="AO643" t="s">
        <v>11024</v>
      </c>
      <c r="AP643" t="s">
        <v>11088</v>
      </c>
      <c r="AR643" t="s">
        <v>11323</v>
      </c>
      <c r="AS643" t="s">
        <v>11594</v>
      </c>
      <c r="AT643" t="s">
        <v>11641</v>
      </c>
      <c r="AX643" t="s">
        <v>10838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</row>
    <row r="644" spans="1:59">
      <c r="A644" s="1">
        <f>HYPERLINK("https://lsnyc.legalserver.org/matter/dynamic-profile/view/1904384","19-1904384")</f>
        <v>0</v>
      </c>
      <c r="B644" t="s">
        <v>634</v>
      </c>
      <c r="C644" t="s">
        <v>5543</v>
      </c>
      <c r="D644" t="s">
        <v>9929</v>
      </c>
      <c r="E644" t="s">
        <v>10075</v>
      </c>
      <c r="F644">
        <v>10304</v>
      </c>
      <c r="G644" t="s">
        <v>10088</v>
      </c>
      <c r="H644" t="s">
        <v>10124</v>
      </c>
      <c r="I644" t="s">
        <v>10168</v>
      </c>
      <c r="J644" t="s">
        <v>10208</v>
      </c>
      <c r="K644" t="s">
        <v>10217</v>
      </c>
      <c r="M644" t="s">
        <v>10449</v>
      </c>
      <c r="N644" t="s">
        <v>10650</v>
      </c>
      <c r="P644" t="s">
        <v>10749</v>
      </c>
      <c r="Q644" t="s">
        <v>10765</v>
      </c>
      <c r="R644" t="s">
        <v>10824</v>
      </c>
      <c r="T644">
        <v>8808</v>
      </c>
      <c r="U644">
        <v>734</v>
      </c>
      <c r="V644">
        <v>63</v>
      </c>
      <c r="W644">
        <v>1</v>
      </c>
      <c r="X644">
        <v>0</v>
      </c>
      <c r="Z644">
        <v>70.52</v>
      </c>
      <c r="AA644">
        <v>40.617504</v>
      </c>
      <c r="AB644">
        <v>-74.075422</v>
      </c>
      <c r="AD644" t="s">
        <v>10839</v>
      </c>
      <c r="AG644" t="s">
        <v>10858</v>
      </c>
      <c r="AH644" t="s">
        <v>10862</v>
      </c>
      <c r="AI644">
        <v>285</v>
      </c>
      <c r="AJ644" t="s">
        <v>10208</v>
      </c>
      <c r="AL644">
        <v>3.5</v>
      </c>
      <c r="AM644" t="s">
        <v>10883</v>
      </c>
      <c r="AN644" t="s">
        <v>10913</v>
      </c>
      <c r="AO644" t="s">
        <v>11006</v>
      </c>
      <c r="AP644" t="s">
        <v>11051</v>
      </c>
      <c r="AR644" t="s">
        <v>11331</v>
      </c>
      <c r="AS644" t="s">
        <v>11593</v>
      </c>
      <c r="BA644" t="s">
        <v>11737</v>
      </c>
      <c r="BB644">
        <v>0</v>
      </c>
      <c r="BC644">
        <v>0</v>
      </c>
      <c r="BD644">
        <v>0</v>
      </c>
      <c r="BE644">
        <v>0</v>
      </c>
      <c r="BF644">
        <v>3</v>
      </c>
      <c r="BG644">
        <v>0</v>
      </c>
    </row>
    <row r="645" spans="1:59">
      <c r="A645" s="1">
        <f>HYPERLINK("https://lsnyc.legalserver.org/matter/dynamic-profile/view/1904386","19-1904386")</f>
        <v>0</v>
      </c>
      <c r="B645" t="s">
        <v>635</v>
      </c>
      <c r="C645" t="s">
        <v>5544</v>
      </c>
      <c r="D645" t="s">
        <v>9932</v>
      </c>
      <c r="E645" t="s">
        <v>10075</v>
      </c>
      <c r="F645">
        <v>11368</v>
      </c>
      <c r="G645" t="s">
        <v>10088</v>
      </c>
      <c r="H645" t="s">
        <v>10129</v>
      </c>
      <c r="I645" t="s">
        <v>10169</v>
      </c>
      <c r="J645" t="s">
        <v>10208</v>
      </c>
      <c r="K645" t="s">
        <v>10217</v>
      </c>
      <c r="M645" t="s">
        <v>10466</v>
      </c>
      <c r="N645" t="s">
        <v>10673</v>
      </c>
      <c r="P645" t="s">
        <v>10753</v>
      </c>
      <c r="Q645" t="s">
        <v>10763</v>
      </c>
      <c r="R645" t="s">
        <v>10821</v>
      </c>
      <c r="T645">
        <v>6240</v>
      </c>
      <c r="U645">
        <v>520</v>
      </c>
      <c r="V645">
        <v>27</v>
      </c>
      <c r="W645">
        <v>1</v>
      </c>
      <c r="X645">
        <v>0</v>
      </c>
      <c r="Z645">
        <v>49.96</v>
      </c>
      <c r="AA645">
        <v>40.757437</v>
      </c>
      <c r="AB645">
        <v>-73.86003100000001</v>
      </c>
      <c r="AD645" t="s">
        <v>10839</v>
      </c>
      <c r="AF645" t="s">
        <v>10842</v>
      </c>
      <c r="AG645" t="s">
        <v>10859</v>
      </c>
      <c r="AH645" t="s">
        <v>10864</v>
      </c>
      <c r="AI645">
        <v>285</v>
      </c>
      <c r="AJ645" t="s">
        <v>10208</v>
      </c>
      <c r="AL645">
        <v>0.1</v>
      </c>
      <c r="AM645" t="s">
        <v>10885</v>
      </c>
      <c r="AN645" t="s">
        <v>10916</v>
      </c>
      <c r="AO645" t="s">
        <v>11014</v>
      </c>
      <c r="AP645" t="s">
        <v>11068</v>
      </c>
      <c r="AR645" t="s">
        <v>11257</v>
      </c>
      <c r="AS645" t="s">
        <v>11594</v>
      </c>
      <c r="AX645" t="s">
        <v>10837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</row>
    <row r="646" spans="1:59">
      <c r="A646" s="1">
        <f>HYPERLINK("https://lsnyc.legalserver.org/matter/dynamic-profile/view/1904387","19-1904387")</f>
        <v>0</v>
      </c>
      <c r="B646" t="s">
        <v>636</v>
      </c>
      <c r="C646" t="s">
        <v>5545</v>
      </c>
      <c r="D646" t="s">
        <v>9928</v>
      </c>
      <c r="E646" t="s">
        <v>10075</v>
      </c>
      <c r="F646">
        <v>11249</v>
      </c>
      <c r="G646" t="s">
        <v>10093</v>
      </c>
      <c r="H646" t="s">
        <v>10112</v>
      </c>
      <c r="I646" t="s">
        <v>10168</v>
      </c>
      <c r="J646" t="s">
        <v>10213</v>
      </c>
      <c r="K646" t="s">
        <v>10217</v>
      </c>
      <c r="M646" t="s">
        <v>10467</v>
      </c>
      <c r="N646" t="s">
        <v>10664</v>
      </c>
      <c r="P646" t="s">
        <v>10749</v>
      </c>
      <c r="Q646" t="s">
        <v>10765</v>
      </c>
      <c r="R646" t="s">
        <v>10820</v>
      </c>
      <c r="T646">
        <v>7356</v>
      </c>
      <c r="U646">
        <v>613</v>
      </c>
      <c r="V646">
        <v>69</v>
      </c>
      <c r="W646">
        <v>1</v>
      </c>
      <c r="X646">
        <v>0</v>
      </c>
      <c r="Z646">
        <v>58.9</v>
      </c>
      <c r="AA646">
        <v>40.703266</v>
      </c>
      <c r="AB646">
        <v>-73.963581</v>
      </c>
      <c r="AD646" t="s">
        <v>10839</v>
      </c>
      <c r="AG646" t="s">
        <v>10858</v>
      </c>
      <c r="AH646" t="s">
        <v>10862</v>
      </c>
      <c r="AI646">
        <v>239</v>
      </c>
      <c r="AJ646" t="s">
        <v>10213</v>
      </c>
      <c r="AL646">
        <v>0</v>
      </c>
      <c r="AM646" t="s">
        <v>10886</v>
      </c>
      <c r="AN646" t="s">
        <v>10939</v>
      </c>
      <c r="AO646" t="s">
        <v>11004</v>
      </c>
      <c r="AP646" t="s">
        <v>11054</v>
      </c>
      <c r="AR646" t="s">
        <v>11289</v>
      </c>
      <c r="AS646" t="s">
        <v>11595</v>
      </c>
      <c r="AT646" t="s">
        <v>11641</v>
      </c>
      <c r="BA646" t="s">
        <v>11742</v>
      </c>
      <c r="BB646">
        <v>0</v>
      </c>
      <c r="BC646">
        <v>0</v>
      </c>
      <c r="BD646">
        <v>0</v>
      </c>
      <c r="BE646">
        <v>0</v>
      </c>
      <c r="BF646">
        <v>7</v>
      </c>
      <c r="BG646">
        <v>0</v>
      </c>
    </row>
    <row r="647" spans="1:59">
      <c r="A647" s="1">
        <f>HYPERLINK("https://lsnyc.legalserver.org/matter/dynamic-profile/view/1904388","19-1904388")</f>
        <v>0</v>
      </c>
      <c r="B647" t="s">
        <v>637</v>
      </c>
      <c r="C647" t="s">
        <v>5546</v>
      </c>
      <c r="D647" t="s">
        <v>9972</v>
      </c>
      <c r="E647" t="s">
        <v>10078</v>
      </c>
      <c r="F647">
        <v>34655</v>
      </c>
      <c r="G647" t="s">
        <v>10093</v>
      </c>
      <c r="H647" t="s">
        <v>10112</v>
      </c>
      <c r="I647" t="s">
        <v>10168</v>
      </c>
      <c r="J647" t="s">
        <v>10213</v>
      </c>
      <c r="K647" t="s">
        <v>10218</v>
      </c>
      <c r="L647" t="s">
        <v>10095</v>
      </c>
      <c r="M647" t="s">
        <v>10436</v>
      </c>
      <c r="N647" t="s">
        <v>10710</v>
      </c>
      <c r="P647" t="s">
        <v>10750</v>
      </c>
      <c r="Q647" t="s">
        <v>10760</v>
      </c>
      <c r="R647" t="s">
        <v>10821</v>
      </c>
      <c r="T647">
        <v>24657.48</v>
      </c>
      <c r="U647">
        <v>2054.79</v>
      </c>
      <c r="V647">
        <v>62</v>
      </c>
      <c r="W647">
        <v>2</v>
      </c>
      <c r="X647">
        <v>0</v>
      </c>
      <c r="Y647" t="s">
        <v>10829</v>
      </c>
      <c r="Z647">
        <v>145.82</v>
      </c>
      <c r="AA647">
        <v>28.212543</v>
      </c>
      <c r="AB647">
        <v>-82.69202799999999</v>
      </c>
      <c r="AD647" t="s">
        <v>10840</v>
      </c>
      <c r="AG647" t="s">
        <v>10858</v>
      </c>
      <c r="AH647" t="s">
        <v>10861</v>
      </c>
      <c r="AI647">
        <v>234</v>
      </c>
      <c r="AJ647" t="s">
        <v>10214</v>
      </c>
      <c r="AK647" t="s">
        <v>10838</v>
      </c>
      <c r="AL647">
        <v>1.25</v>
      </c>
      <c r="AQ647" t="s">
        <v>11157</v>
      </c>
      <c r="AR647" t="s">
        <v>11328</v>
      </c>
      <c r="AS647" t="s">
        <v>11603</v>
      </c>
      <c r="AT647" t="s">
        <v>11642</v>
      </c>
      <c r="AX647" t="s">
        <v>10838</v>
      </c>
      <c r="AY647" t="s">
        <v>10829</v>
      </c>
      <c r="AZ647" t="s">
        <v>11679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</row>
    <row r="648" spans="1:59">
      <c r="A648" s="1">
        <f>HYPERLINK("https://lsnyc.legalserver.org/matter/dynamic-profile/view/1904389","19-1904389")</f>
        <v>0</v>
      </c>
      <c r="B648" t="s">
        <v>638</v>
      </c>
      <c r="C648" t="s">
        <v>5547</v>
      </c>
      <c r="D648" t="s">
        <v>9925</v>
      </c>
      <c r="E648" t="s">
        <v>10075</v>
      </c>
      <c r="F648">
        <v>10031</v>
      </c>
      <c r="G648" t="s">
        <v>10089</v>
      </c>
      <c r="H648" t="s">
        <v>10112</v>
      </c>
      <c r="I648" t="s">
        <v>10168</v>
      </c>
      <c r="J648" t="s">
        <v>10209</v>
      </c>
      <c r="K648" t="s">
        <v>10217</v>
      </c>
      <c r="M648" t="s">
        <v>10391</v>
      </c>
      <c r="N648" t="s">
        <v>10702</v>
      </c>
      <c r="P648" t="s">
        <v>10749</v>
      </c>
      <c r="Q648" t="s">
        <v>10765</v>
      </c>
      <c r="R648" t="s">
        <v>10827</v>
      </c>
      <c r="T648">
        <v>11391</v>
      </c>
      <c r="U648">
        <v>949.25</v>
      </c>
      <c r="V648">
        <v>58</v>
      </c>
      <c r="W648">
        <v>1</v>
      </c>
      <c r="X648">
        <v>1</v>
      </c>
      <c r="Z648">
        <v>67.36</v>
      </c>
      <c r="AA648">
        <v>40.824581</v>
      </c>
      <c r="AB648">
        <v>-73.948427</v>
      </c>
      <c r="AD648" t="s">
        <v>10839</v>
      </c>
      <c r="AG648" t="s">
        <v>10858</v>
      </c>
      <c r="AH648" t="s">
        <v>10862</v>
      </c>
      <c r="AI648">
        <v>236</v>
      </c>
      <c r="AJ648" t="s">
        <v>10209</v>
      </c>
      <c r="AL648">
        <v>18.3</v>
      </c>
      <c r="AM648" t="s">
        <v>10887</v>
      </c>
      <c r="AN648" t="s">
        <v>10943</v>
      </c>
      <c r="AO648" t="s">
        <v>11019</v>
      </c>
      <c r="AP648" t="s">
        <v>11073</v>
      </c>
      <c r="AR648" t="s">
        <v>11307</v>
      </c>
      <c r="AS648" t="s">
        <v>9925</v>
      </c>
      <c r="BA648" t="s">
        <v>11738</v>
      </c>
      <c r="BB648">
        <v>0</v>
      </c>
      <c r="BC648">
        <v>0</v>
      </c>
      <c r="BD648">
        <v>0</v>
      </c>
      <c r="BE648">
        <v>0</v>
      </c>
      <c r="BF648">
        <v>5</v>
      </c>
      <c r="BG648">
        <v>0</v>
      </c>
    </row>
    <row r="649" spans="1:59">
      <c r="A649" s="1">
        <f>HYPERLINK("https://lsnyc.legalserver.org/matter/dynamic-profile/view/1904390","19-1904390")</f>
        <v>0</v>
      </c>
      <c r="B649" t="s">
        <v>639</v>
      </c>
      <c r="C649" t="s">
        <v>5548</v>
      </c>
      <c r="D649" t="s">
        <v>9926</v>
      </c>
      <c r="E649" t="s">
        <v>10075</v>
      </c>
      <c r="F649">
        <v>10458</v>
      </c>
      <c r="G649" t="s">
        <v>10090</v>
      </c>
      <c r="H649" t="s">
        <v>10112</v>
      </c>
      <c r="I649" t="s">
        <v>10168</v>
      </c>
      <c r="J649" t="s">
        <v>10210</v>
      </c>
      <c r="K649" t="s">
        <v>10217</v>
      </c>
      <c r="M649" t="s">
        <v>10380</v>
      </c>
      <c r="N649" t="s">
        <v>10649</v>
      </c>
      <c r="P649" t="s">
        <v>10753</v>
      </c>
      <c r="Q649" t="s">
        <v>10763</v>
      </c>
      <c r="R649" t="s">
        <v>10824</v>
      </c>
      <c r="T649">
        <v>0</v>
      </c>
      <c r="U649">
        <v>0</v>
      </c>
      <c r="V649">
        <v>36</v>
      </c>
      <c r="W649">
        <v>1</v>
      </c>
      <c r="X649">
        <v>3</v>
      </c>
      <c r="Z649">
        <v>0</v>
      </c>
      <c r="AA649">
        <v>40.866385</v>
      </c>
      <c r="AB649">
        <v>-73.89047100000001</v>
      </c>
      <c r="AD649" t="s">
        <v>10839</v>
      </c>
      <c r="AF649" t="s">
        <v>10843</v>
      </c>
      <c r="AG649" t="s">
        <v>10859</v>
      </c>
      <c r="AH649" t="s">
        <v>10864</v>
      </c>
      <c r="AI649">
        <v>230</v>
      </c>
      <c r="AJ649" t="s">
        <v>10210</v>
      </c>
      <c r="AL649">
        <v>6</v>
      </c>
      <c r="AM649" t="s">
        <v>10887</v>
      </c>
      <c r="AN649" t="s">
        <v>10907</v>
      </c>
      <c r="AO649" t="s">
        <v>11000</v>
      </c>
      <c r="AP649" t="s">
        <v>11056</v>
      </c>
      <c r="AQ649" t="s">
        <v>11158</v>
      </c>
      <c r="AR649" t="s">
        <v>11267</v>
      </c>
      <c r="AS649" t="s">
        <v>9926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</row>
    <row r="650" spans="1:59">
      <c r="A650" s="1">
        <f>HYPERLINK("https://lsnyc.legalserver.org/matter/dynamic-profile/view/1904391","19-1904391")</f>
        <v>0</v>
      </c>
      <c r="B650" t="s">
        <v>640</v>
      </c>
      <c r="C650" t="s">
        <v>5549</v>
      </c>
      <c r="D650" t="s">
        <v>9926</v>
      </c>
      <c r="E650" t="s">
        <v>10075</v>
      </c>
      <c r="F650">
        <v>10470</v>
      </c>
      <c r="G650" t="s">
        <v>10091</v>
      </c>
      <c r="H650" t="s">
        <v>10112</v>
      </c>
      <c r="I650" t="s">
        <v>10168</v>
      </c>
      <c r="J650" t="s">
        <v>10214</v>
      </c>
      <c r="K650" t="s">
        <v>10217</v>
      </c>
      <c r="M650" t="s">
        <v>10286</v>
      </c>
      <c r="N650" t="s">
        <v>10646</v>
      </c>
      <c r="P650" t="s">
        <v>10749</v>
      </c>
      <c r="Q650" t="s">
        <v>10765</v>
      </c>
      <c r="R650" t="s">
        <v>10826</v>
      </c>
      <c r="T650">
        <v>80000</v>
      </c>
      <c r="U650">
        <v>6666.67</v>
      </c>
      <c r="V650">
        <v>41</v>
      </c>
      <c r="W650">
        <v>1</v>
      </c>
      <c r="X650">
        <v>1</v>
      </c>
      <c r="Z650">
        <v>473.09</v>
      </c>
      <c r="AA650">
        <v>40.898966</v>
      </c>
      <c r="AB650">
        <v>-73.86880600000001</v>
      </c>
      <c r="AD650" t="s">
        <v>10839</v>
      </c>
      <c r="AG650" t="s">
        <v>10858</v>
      </c>
      <c r="AH650" t="s">
        <v>10861</v>
      </c>
      <c r="AI650">
        <v>234</v>
      </c>
      <c r="AJ650" t="s">
        <v>10214</v>
      </c>
      <c r="AL650">
        <v>1.2</v>
      </c>
      <c r="AM650" t="s">
        <v>10893</v>
      </c>
      <c r="AN650" t="s">
        <v>10919</v>
      </c>
      <c r="AO650" t="s">
        <v>11002</v>
      </c>
      <c r="AP650" t="s">
        <v>11057</v>
      </c>
      <c r="AR650" t="s">
        <v>11257</v>
      </c>
      <c r="AS650" t="s">
        <v>9926</v>
      </c>
      <c r="AT650" t="s">
        <v>11641</v>
      </c>
      <c r="AX650" t="s">
        <v>10838</v>
      </c>
      <c r="BA650" t="s">
        <v>11741</v>
      </c>
      <c r="BB650">
        <v>0</v>
      </c>
      <c r="BC650">
        <v>0</v>
      </c>
      <c r="BD650">
        <v>0</v>
      </c>
      <c r="BE650">
        <v>0</v>
      </c>
      <c r="BF650">
        <v>1</v>
      </c>
      <c r="BG650">
        <v>0</v>
      </c>
    </row>
    <row r="651" spans="1:59">
      <c r="A651" s="1">
        <f>HYPERLINK("https://lsnyc.legalserver.org/matter/dynamic-profile/view/1904392","19-1904392")</f>
        <v>0</v>
      </c>
      <c r="B651" t="s">
        <v>641</v>
      </c>
      <c r="C651" t="s">
        <v>5550</v>
      </c>
      <c r="D651" t="s">
        <v>9928</v>
      </c>
      <c r="E651" t="s">
        <v>10075</v>
      </c>
      <c r="F651">
        <v>11212</v>
      </c>
      <c r="G651" t="s">
        <v>10093</v>
      </c>
      <c r="H651" t="s">
        <v>10112</v>
      </c>
      <c r="I651" t="s">
        <v>10168</v>
      </c>
      <c r="J651" t="s">
        <v>10213</v>
      </c>
      <c r="K651" t="s">
        <v>10217</v>
      </c>
      <c r="M651" t="s">
        <v>10253</v>
      </c>
      <c r="N651" t="s">
        <v>10673</v>
      </c>
      <c r="P651" t="s">
        <v>10758</v>
      </c>
      <c r="Q651" t="s">
        <v>10804</v>
      </c>
      <c r="R651" t="s">
        <v>10824</v>
      </c>
      <c r="T651">
        <v>0</v>
      </c>
      <c r="U651">
        <v>0</v>
      </c>
      <c r="V651">
        <v>16</v>
      </c>
      <c r="W651">
        <v>1</v>
      </c>
      <c r="X651">
        <v>1</v>
      </c>
      <c r="Z651">
        <v>0</v>
      </c>
      <c r="AA651">
        <v>40.667246</v>
      </c>
      <c r="AB651">
        <v>-73.91042400000001</v>
      </c>
      <c r="AD651" t="s">
        <v>10839</v>
      </c>
      <c r="AF651" t="s">
        <v>10842</v>
      </c>
      <c r="AG651" t="s">
        <v>10859</v>
      </c>
      <c r="AH651" t="s">
        <v>10864</v>
      </c>
      <c r="AI651">
        <v>239</v>
      </c>
      <c r="AJ651" t="s">
        <v>10213</v>
      </c>
      <c r="AL651">
        <v>0.4</v>
      </c>
      <c r="AM651" t="s">
        <v>10888</v>
      </c>
      <c r="AN651" t="s">
        <v>10922</v>
      </c>
      <c r="AO651" t="s">
        <v>11005</v>
      </c>
      <c r="AP651" t="s">
        <v>11064</v>
      </c>
      <c r="AR651" t="s">
        <v>11267</v>
      </c>
      <c r="AS651" t="s">
        <v>11595</v>
      </c>
      <c r="BA651" t="s">
        <v>11738</v>
      </c>
      <c r="BB651">
        <v>0</v>
      </c>
      <c r="BC651">
        <v>0</v>
      </c>
      <c r="BD651">
        <v>0</v>
      </c>
      <c r="BE651">
        <v>0</v>
      </c>
      <c r="BF651">
        <v>5</v>
      </c>
      <c r="BG651">
        <v>0</v>
      </c>
    </row>
    <row r="652" spans="1:59">
      <c r="A652" s="1">
        <f>HYPERLINK("https://lsnyc.legalserver.org/matter/dynamic-profile/view/1904393","19-1904393")</f>
        <v>0</v>
      </c>
      <c r="B652" t="s">
        <v>642</v>
      </c>
      <c r="C652" t="s">
        <v>5551</v>
      </c>
      <c r="D652" t="s">
        <v>9929</v>
      </c>
      <c r="E652" t="s">
        <v>10075</v>
      </c>
      <c r="F652">
        <v>10314</v>
      </c>
      <c r="G652" t="s">
        <v>10088</v>
      </c>
      <c r="H652" t="s">
        <v>10112</v>
      </c>
      <c r="I652" t="s">
        <v>10168</v>
      </c>
      <c r="J652" t="s">
        <v>10208</v>
      </c>
      <c r="K652" t="s">
        <v>10217</v>
      </c>
      <c r="M652" t="s">
        <v>10468</v>
      </c>
      <c r="N652" t="s">
        <v>10644</v>
      </c>
      <c r="P652" t="s">
        <v>10749</v>
      </c>
      <c r="Q652" t="s">
        <v>10759</v>
      </c>
      <c r="R652" t="s">
        <v>10820</v>
      </c>
      <c r="T652">
        <v>25748.4</v>
      </c>
      <c r="U652">
        <v>2145.7</v>
      </c>
      <c r="V652">
        <v>68</v>
      </c>
      <c r="W652">
        <v>4</v>
      </c>
      <c r="X652">
        <v>0</v>
      </c>
      <c r="Z652">
        <v>99.98999999999999</v>
      </c>
      <c r="AA652">
        <v>40.602855</v>
      </c>
      <c r="AB652">
        <v>-74.170807</v>
      </c>
      <c r="AD652" t="s">
        <v>10840</v>
      </c>
      <c r="AG652" t="s">
        <v>10858</v>
      </c>
      <c r="AH652" t="s">
        <v>10860</v>
      </c>
      <c r="AI652">
        <v>285</v>
      </c>
      <c r="AJ652" t="s">
        <v>10208</v>
      </c>
      <c r="AL652">
        <v>2.1</v>
      </c>
      <c r="AM652" t="s">
        <v>10883</v>
      </c>
      <c r="AN652" t="s">
        <v>10928</v>
      </c>
      <c r="AO652" t="s">
        <v>10999</v>
      </c>
      <c r="AP652" t="s">
        <v>11063</v>
      </c>
      <c r="AR652" t="s">
        <v>11268</v>
      </c>
      <c r="AS652" t="s">
        <v>11593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</row>
    <row r="653" spans="1:59">
      <c r="A653" s="1">
        <f>HYPERLINK("https://lsnyc.legalserver.org/matter/dynamic-profile/view/1904394","19-1904394")</f>
        <v>0</v>
      </c>
      <c r="B653" t="s">
        <v>643</v>
      </c>
      <c r="C653" t="s">
        <v>5552</v>
      </c>
      <c r="D653" t="s">
        <v>9925</v>
      </c>
      <c r="E653" t="s">
        <v>10075</v>
      </c>
      <c r="F653">
        <v>10031</v>
      </c>
      <c r="G653" t="s">
        <v>10089</v>
      </c>
      <c r="H653" t="s">
        <v>10112</v>
      </c>
      <c r="I653" t="s">
        <v>10168</v>
      </c>
      <c r="J653" t="s">
        <v>10209</v>
      </c>
      <c r="K653" t="s">
        <v>10217</v>
      </c>
      <c r="M653" t="s">
        <v>10270</v>
      </c>
      <c r="N653" t="s">
        <v>10691</v>
      </c>
      <c r="P653" t="s">
        <v>10754</v>
      </c>
      <c r="Q653" t="s">
        <v>10770</v>
      </c>
      <c r="R653" t="s">
        <v>10824</v>
      </c>
      <c r="T653">
        <v>10620</v>
      </c>
      <c r="U653">
        <v>885</v>
      </c>
      <c r="V653">
        <v>54</v>
      </c>
      <c r="W653">
        <v>1</v>
      </c>
      <c r="X653">
        <v>0</v>
      </c>
      <c r="Z653">
        <v>85.03</v>
      </c>
      <c r="AA653">
        <v>40.823866</v>
      </c>
      <c r="AB653">
        <v>-73.948955</v>
      </c>
      <c r="AD653" t="s">
        <v>10840</v>
      </c>
      <c r="AG653" t="s">
        <v>10858</v>
      </c>
      <c r="AH653" t="s">
        <v>10861</v>
      </c>
      <c r="AI653">
        <v>234</v>
      </c>
      <c r="AJ653" t="s">
        <v>10214</v>
      </c>
      <c r="AL653">
        <v>0.6</v>
      </c>
      <c r="AM653" t="s">
        <v>10887</v>
      </c>
      <c r="AN653" t="s">
        <v>10943</v>
      </c>
      <c r="AO653" t="s">
        <v>11016</v>
      </c>
      <c r="AP653" t="s">
        <v>11073</v>
      </c>
      <c r="AR653" t="s">
        <v>11331</v>
      </c>
      <c r="AS653" t="s">
        <v>9925</v>
      </c>
      <c r="AT653" t="s">
        <v>11642</v>
      </c>
      <c r="AX653" t="s">
        <v>10838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</row>
    <row r="654" spans="1:59">
      <c r="A654" s="1">
        <f>HYPERLINK("https://lsnyc.legalserver.org/matter/dynamic-profile/view/1904395","19-1904395")</f>
        <v>0</v>
      </c>
      <c r="B654" t="s">
        <v>644</v>
      </c>
      <c r="C654" t="s">
        <v>5553</v>
      </c>
      <c r="D654" t="s">
        <v>9928</v>
      </c>
      <c r="E654" t="s">
        <v>10075</v>
      </c>
      <c r="F654">
        <v>11213</v>
      </c>
      <c r="G654" t="s">
        <v>10093</v>
      </c>
      <c r="H654" t="s">
        <v>10112</v>
      </c>
      <c r="I654" t="s">
        <v>10168</v>
      </c>
      <c r="J654" t="s">
        <v>10213</v>
      </c>
      <c r="K654" t="s">
        <v>10217</v>
      </c>
      <c r="M654" t="s">
        <v>10253</v>
      </c>
      <c r="N654" t="s">
        <v>10649</v>
      </c>
      <c r="P654" t="s">
        <v>10753</v>
      </c>
      <c r="Q654" t="s">
        <v>10763</v>
      </c>
      <c r="R654" t="s">
        <v>10824</v>
      </c>
      <c r="T654">
        <v>0</v>
      </c>
      <c r="U654">
        <v>0</v>
      </c>
      <c r="V654">
        <v>63</v>
      </c>
      <c r="W654">
        <v>1</v>
      </c>
      <c r="X654">
        <v>0</v>
      </c>
      <c r="Z654">
        <v>0</v>
      </c>
      <c r="AA654">
        <v>40.664666</v>
      </c>
      <c r="AB654">
        <v>-73.93313499999999</v>
      </c>
      <c r="AD654" t="s">
        <v>10839</v>
      </c>
      <c r="AF654" t="s">
        <v>10843</v>
      </c>
      <c r="AG654" t="s">
        <v>10859</v>
      </c>
      <c r="AH654" t="s">
        <v>10871</v>
      </c>
      <c r="AI654">
        <v>239</v>
      </c>
      <c r="AJ654" t="s">
        <v>10213</v>
      </c>
      <c r="AL654">
        <v>0</v>
      </c>
      <c r="AM654" t="s">
        <v>10888</v>
      </c>
      <c r="AN654" t="s">
        <v>10912</v>
      </c>
      <c r="AO654" t="s">
        <v>11005</v>
      </c>
      <c r="AP654" t="s">
        <v>11061</v>
      </c>
      <c r="AQ654" t="s">
        <v>11159</v>
      </c>
      <c r="AR654" t="s">
        <v>11267</v>
      </c>
      <c r="AS654" t="s">
        <v>11595</v>
      </c>
      <c r="BA654" t="s">
        <v>11739</v>
      </c>
      <c r="BB654">
        <v>0</v>
      </c>
      <c r="BC654">
        <v>0</v>
      </c>
      <c r="BD654">
        <v>0</v>
      </c>
      <c r="BE654">
        <v>0</v>
      </c>
      <c r="BF654">
        <v>4</v>
      </c>
      <c r="BG654">
        <v>0</v>
      </c>
    </row>
    <row r="655" spans="1:59">
      <c r="A655" s="1">
        <f>HYPERLINK("https://lsnyc.legalserver.org/matter/dynamic-profile/view/1904396","19-1904396")</f>
        <v>0</v>
      </c>
      <c r="B655" t="s">
        <v>645</v>
      </c>
      <c r="C655" t="s">
        <v>5554</v>
      </c>
      <c r="D655" t="s">
        <v>9928</v>
      </c>
      <c r="E655" t="s">
        <v>10075</v>
      </c>
      <c r="F655">
        <v>11216</v>
      </c>
      <c r="G655" t="s">
        <v>10092</v>
      </c>
      <c r="H655" t="s">
        <v>10112</v>
      </c>
      <c r="J655" t="s">
        <v>10212</v>
      </c>
      <c r="K655" t="s">
        <v>10217</v>
      </c>
      <c r="M655" t="s">
        <v>10242</v>
      </c>
      <c r="N655" t="s">
        <v>10694</v>
      </c>
      <c r="P655" t="s">
        <v>10751</v>
      </c>
      <c r="Q655" t="s">
        <v>10780</v>
      </c>
      <c r="R655" t="s">
        <v>10824</v>
      </c>
      <c r="T655">
        <v>0</v>
      </c>
      <c r="U655">
        <v>0</v>
      </c>
      <c r="V655">
        <v>37</v>
      </c>
      <c r="W655">
        <v>2</v>
      </c>
      <c r="X655">
        <v>0</v>
      </c>
      <c r="Z655">
        <v>0</v>
      </c>
      <c r="AA655">
        <v>40.678973</v>
      </c>
      <c r="AB655">
        <v>-73.94430199999999</v>
      </c>
      <c r="AD655" t="s">
        <v>10840</v>
      </c>
      <c r="AG655" t="s">
        <v>10858</v>
      </c>
      <c r="AH655" t="s">
        <v>10860</v>
      </c>
      <c r="AI655">
        <v>237</v>
      </c>
      <c r="AJ655" t="s">
        <v>10212</v>
      </c>
      <c r="AL655">
        <v>8.699999999999999</v>
      </c>
      <c r="AM655" t="s">
        <v>10889</v>
      </c>
      <c r="AN655" t="s">
        <v>10914</v>
      </c>
      <c r="AO655" t="s">
        <v>11007</v>
      </c>
      <c r="AP655" t="s">
        <v>11052</v>
      </c>
      <c r="AR655" t="s">
        <v>11267</v>
      </c>
      <c r="AS655" t="s">
        <v>11595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</row>
    <row r="656" spans="1:59">
      <c r="A656" s="1">
        <f>HYPERLINK("https://lsnyc.legalserver.org/matter/dynamic-profile/view/1904397","19-1904397")</f>
        <v>0</v>
      </c>
      <c r="B656" t="s">
        <v>646</v>
      </c>
      <c r="C656" t="s">
        <v>5555</v>
      </c>
      <c r="D656" t="s">
        <v>9926</v>
      </c>
      <c r="E656" t="s">
        <v>10075</v>
      </c>
      <c r="F656">
        <v>10458</v>
      </c>
      <c r="G656" t="s">
        <v>10093</v>
      </c>
      <c r="H656" t="s">
        <v>10112</v>
      </c>
      <c r="I656" t="s">
        <v>10169</v>
      </c>
      <c r="J656" t="s">
        <v>10213</v>
      </c>
      <c r="K656" t="s">
        <v>10217</v>
      </c>
      <c r="M656" t="s">
        <v>10253</v>
      </c>
      <c r="N656" t="s">
        <v>10679</v>
      </c>
      <c r="P656" t="s">
        <v>10753</v>
      </c>
      <c r="Q656" t="s">
        <v>10763</v>
      </c>
      <c r="R656" t="s">
        <v>10821</v>
      </c>
      <c r="T656">
        <v>0</v>
      </c>
      <c r="U656">
        <v>0</v>
      </c>
      <c r="V656">
        <v>22</v>
      </c>
      <c r="W656">
        <v>3</v>
      </c>
      <c r="X656">
        <v>1</v>
      </c>
      <c r="Z656">
        <v>0</v>
      </c>
      <c r="AA656">
        <v>40.86814</v>
      </c>
      <c r="AB656">
        <v>-73.888514</v>
      </c>
      <c r="AD656" t="s">
        <v>10839</v>
      </c>
      <c r="AF656" t="s">
        <v>10842</v>
      </c>
      <c r="AG656" t="s">
        <v>10859</v>
      </c>
      <c r="AH656" t="s">
        <v>10864</v>
      </c>
      <c r="AI656">
        <v>239</v>
      </c>
      <c r="AJ656" t="s">
        <v>10213</v>
      </c>
      <c r="AL656">
        <v>0.1</v>
      </c>
      <c r="AM656" t="s">
        <v>10887</v>
      </c>
      <c r="AN656" t="s">
        <v>10907</v>
      </c>
      <c r="AO656" t="s">
        <v>11000</v>
      </c>
      <c r="AP656" t="s">
        <v>11056</v>
      </c>
      <c r="AQ656" t="s">
        <v>11160</v>
      </c>
      <c r="AR656" t="s">
        <v>11267</v>
      </c>
      <c r="AS656" t="s">
        <v>9926</v>
      </c>
      <c r="BA656" t="s">
        <v>11739</v>
      </c>
      <c r="BB656">
        <v>0</v>
      </c>
      <c r="BC656">
        <v>0</v>
      </c>
      <c r="BD656">
        <v>0</v>
      </c>
      <c r="BE656">
        <v>0</v>
      </c>
      <c r="BF656">
        <v>4</v>
      </c>
      <c r="BG656">
        <v>0</v>
      </c>
    </row>
    <row r="657" spans="1:59">
      <c r="A657" s="1">
        <f>HYPERLINK("https://lsnyc.legalserver.org/matter/dynamic-profile/view/1904398","19-1904398")</f>
        <v>0</v>
      </c>
      <c r="B657" t="s">
        <v>647</v>
      </c>
      <c r="C657" t="s">
        <v>5556</v>
      </c>
      <c r="D657" t="s">
        <v>9928</v>
      </c>
      <c r="E657" t="s">
        <v>10075</v>
      </c>
      <c r="F657">
        <v>11212</v>
      </c>
      <c r="G657" t="s">
        <v>10093</v>
      </c>
      <c r="H657" t="s">
        <v>10112</v>
      </c>
      <c r="I657" t="s">
        <v>10168</v>
      </c>
      <c r="J657" t="s">
        <v>10213</v>
      </c>
      <c r="K657" t="s">
        <v>10218</v>
      </c>
      <c r="L657" t="s">
        <v>10112</v>
      </c>
      <c r="M657" t="s">
        <v>10392</v>
      </c>
      <c r="N657" t="s">
        <v>10650</v>
      </c>
      <c r="P657" t="s">
        <v>10749</v>
      </c>
      <c r="Q657" t="s">
        <v>10765</v>
      </c>
      <c r="R657" t="s">
        <v>10824</v>
      </c>
      <c r="T657">
        <v>15072</v>
      </c>
      <c r="U657">
        <v>1256</v>
      </c>
      <c r="V657">
        <v>69</v>
      </c>
      <c r="W657">
        <v>2</v>
      </c>
      <c r="X657">
        <v>0</v>
      </c>
      <c r="Y657" t="s">
        <v>10830</v>
      </c>
      <c r="Z657">
        <v>89.13</v>
      </c>
      <c r="AA657">
        <v>40.654841</v>
      </c>
      <c r="AB657">
        <v>-73.914902</v>
      </c>
      <c r="AD657" t="s">
        <v>10839</v>
      </c>
      <c r="AG657" t="s">
        <v>10858</v>
      </c>
      <c r="AH657" t="s">
        <v>10862</v>
      </c>
      <c r="AI657">
        <v>239</v>
      </c>
      <c r="AJ657" t="s">
        <v>10213</v>
      </c>
      <c r="AK657" t="s">
        <v>10838</v>
      </c>
      <c r="AL657">
        <v>1.5</v>
      </c>
      <c r="AM657" t="s">
        <v>10888</v>
      </c>
      <c r="AN657" t="s">
        <v>10925</v>
      </c>
      <c r="AO657" t="s">
        <v>11008</v>
      </c>
      <c r="AP657" t="s">
        <v>11060</v>
      </c>
      <c r="AR657" t="s">
        <v>11263</v>
      </c>
      <c r="AS657" t="s">
        <v>11595</v>
      </c>
      <c r="AT657" t="s">
        <v>11641</v>
      </c>
      <c r="AX657" t="s">
        <v>10838</v>
      </c>
      <c r="AY657" t="s">
        <v>10830</v>
      </c>
      <c r="AZ657" t="s">
        <v>11707</v>
      </c>
      <c r="BA657" t="s">
        <v>11740</v>
      </c>
      <c r="BB657">
        <v>0</v>
      </c>
      <c r="BC657">
        <v>0</v>
      </c>
      <c r="BD657">
        <v>0</v>
      </c>
      <c r="BE657">
        <v>0</v>
      </c>
      <c r="BF657">
        <v>2</v>
      </c>
      <c r="BG657">
        <v>0</v>
      </c>
    </row>
    <row r="658" spans="1:59">
      <c r="A658" s="1">
        <f>HYPERLINK("https://lsnyc.legalserver.org/matter/dynamic-profile/view/1904399","19-1904399")</f>
        <v>0</v>
      </c>
      <c r="B658" t="s">
        <v>648</v>
      </c>
      <c r="C658" t="s">
        <v>5557</v>
      </c>
      <c r="D658" t="s">
        <v>9926</v>
      </c>
      <c r="E658" t="s">
        <v>10075</v>
      </c>
      <c r="F658">
        <v>10462</v>
      </c>
      <c r="G658" t="s">
        <v>10090</v>
      </c>
      <c r="H658" t="s">
        <v>10094</v>
      </c>
      <c r="I658" t="s">
        <v>10168</v>
      </c>
      <c r="J658" t="s">
        <v>10210</v>
      </c>
      <c r="K658" t="s">
        <v>10218</v>
      </c>
      <c r="L658" t="s">
        <v>10136</v>
      </c>
      <c r="M658" t="s">
        <v>10469</v>
      </c>
      <c r="N658" t="s">
        <v>10651</v>
      </c>
      <c r="P658" t="s">
        <v>10749</v>
      </c>
      <c r="Q658" t="s">
        <v>10765</v>
      </c>
      <c r="R658" t="s">
        <v>10824</v>
      </c>
      <c r="T658">
        <v>0</v>
      </c>
      <c r="U658">
        <v>0</v>
      </c>
      <c r="V658">
        <v>43</v>
      </c>
      <c r="W658">
        <v>2</v>
      </c>
      <c r="X658">
        <v>0</v>
      </c>
      <c r="Y658" t="s">
        <v>10831</v>
      </c>
      <c r="Z658">
        <v>0</v>
      </c>
      <c r="AA658">
        <v>40.835869</v>
      </c>
      <c r="AB658">
        <v>-73.854495</v>
      </c>
      <c r="AD658" t="s">
        <v>10839</v>
      </c>
      <c r="AG658" t="s">
        <v>10858</v>
      </c>
      <c r="AH658" t="s">
        <v>10862</v>
      </c>
      <c r="AI658">
        <v>230</v>
      </c>
      <c r="AJ658" t="s">
        <v>10210</v>
      </c>
      <c r="AK658" t="s">
        <v>10882</v>
      </c>
      <c r="AL658">
        <v>4.5</v>
      </c>
      <c r="AM658" t="s">
        <v>10885</v>
      </c>
      <c r="AN658" t="s">
        <v>10908</v>
      </c>
      <c r="AO658" t="s">
        <v>11002</v>
      </c>
      <c r="AP658" t="s">
        <v>11046</v>
      </c>
      <c r="AR658" t="s">
        <v>11279</v>
      </c>
      <c r="AS658" t="s">
        <v>9926</v>
      </c>
      <c r="AT658" t="s">
        <v>11641</v>
      </c>
      <c r="AX658" t="s">
        <v>10838</v>
      </c>
      <c r="AY658" t="s">
        <v>10831</v>
      </c>
      <c r="AZ658" t="s">
        <v>11687</v>
      </c>
      <c r="BA658" t="s">
        <v>11738</v>
      </c>
      <c r="BB658">
        <v>0</v>
      </c>
      <c r="BC658">
        <v>0</v>
      </c>
      <c r="BD658">
        <v>9570.129999999999</v>
      </c>
      <c r="BE658">
        <v>0</v>
      </c>
      <c r="BF658">
        <v>5</v>
      </c>
      <c r="BG658">
        <v>0</v>
      </c>
    </row>
    <row r="659" spans="1:59">
      <c r="A659" s="1">
        <f>HYPERLINK("https://lsnyc.legalserver.org/matter/dynamic-profile/view/1904400","19-1904400")</f>
        <v>0</v>
      </c>
      <c r="B659" t="s">
        <v>649</v>
      </c>
      <c r="C659" t="s">
        <v>5558</v>
      </c>
      <c r="D659" t="s">
        <v>9928</v>
      </c>
      <c r="E659" t="s">
        <v>10075</v>
      </c>
      <c r="F659">
        <v>11234</v>
      </c>
      <c r="G659" t="s">
        <v>10093</v>
      </c>
      <c r="H659" t="s">
        <v>10112</v>
      </c>
      <c r="J659" t="s">
        <v>10213</v>
      </c>
      <c r="K659" t="s">
        <v>10218</v>
      </c>
      <c r="L659" t="s">
        <v>10166</v>
      </c>
      <c r="M659" t="s">
        <v>10470</v>
      </c>
      <c r="N659" t="s">
        <v>10653</v>
      </c>
      <c r="P659" t="s">
        <v>10749</v>
      </c>
      <c r="Q659" t="s">
        <v>10769</v>
      </c>
      <c r="R659" t="s">
        <v>10825</v>
      </c>
      <c r="T659">
        <v>46654</v>
      </c>
      <c r="U659">
        <v>3887.83</v>
      </c>
      <c r="V659">
        <v>53</v>
      </c>
      <c r="W659">
        <v>2</v>
      </c>
      <c r="X659">
        <v>0</v>
      </c>
      <c r="Y659" t="s">
        <v>10830</v>
      </c>
      <c r="Z659">
        <v>275.9</v>
      </c>
      <c r="AA659">
        <v>40.624582</v>
      </c>
      <c r="AB659">
        <v>-73.909558</v>
      </c>
      <c r="AD659" t="s">
        <v>10839</v>
      </c>
      <c r="AG659" t="s">
        <v>10858</v>
      </c>
      <c r="AH659" t="s">
        <v>10860</v>
      </c>
      <c r="AI659">
        <v>239</v>
      </c>
      <c r="AJ659" t="s">
        <v>10213</v>
      </c>
      <c r="AK659" t="s">
        <v>10838</v>
      </c>
      <c r="AL659">
        <v>2.4</v>
      </c>
      <c r="AM659" t="s">
        <v>10889</v>
      </c>
      <c r="AN659" t="s">
        <v>10959</v>
      </c>
      <c r="AO659" t="s">
        <v>11012</v>
      </c>
      <c r="AP659" t="s">
        <v>11072</v>
      </c>
      <c r="AR659" t="s">
        <v>11257</v>
      </c>
      <c r="AS659" t="s">
        <v>11595</v>
      </c>
      <c r="AY659" t="s">
        <v>10830</v>
      </c>
      <c r="AZ659" t="s">
        <v>11684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</row>
    <row r="660" spans="1:59">
      <c r="A660" s="1">
        <f>HYPERLINK("https://lsnyc.legalserver.org/matter/dynamic-profile/view/1904401","19-1904401")</f>
        <v>0</v>
      </c>
      <c r="B660" t="s">
        <v>650</v>
      </c>
      <c r="C660" t="s">
        <v>5559</v>
      </c>
      <c r="D660" t="s">
        <v>9928</v>
      </c>
      <c r="E660" t="s">
        <v>10075</v>
      </c>
      <c r="F660">
        <v>11207</v>
      </c>
      <c r="G660" t="s">
        <v>10093</v>
      </c>
      <c r="H660" t="s">
        <v>10112</v>
      </c>
      <c r="I660" t="s">
        <v>10168</v>
      </c>
      <c r="J660" t="s">
        <v>10213</v>
      </c>
      <c r="K660" t="s">
        <v>10217</v>
      </c>
      <c r="M660" t="s">
        <v>10253</v>
      </c>
      <c r="N660" t="s">
        <v>10649</v>
      </c>
      <c r="P660" t="s">
        <v>10753</v>
      </c>
      <c r="Q660" t="s">
        <v>10763</v>
      </c>
      <c r="R660" t="s">
        <v>10824</v>
      </c>
      <c r="T660">
        <v>14400</v>
      </c>
      <c r="U660">
        <v>1200</v>
      </c>
      <c r="V660">
        <v>31</v>
      </c>
      <c r="W660">
        <v>2</v>
      </c>
      <c r="X660">
        <v>3</v>
      </c>
      <c r="Z660">
        <v>47.73</v>
      </c>
      <c r="AA660">
        <v>40.669807</v>
      </c>
      <c r="AB660">
        <v>-73.88612500000001</v>
      </c>
      <c r="AD660" t="s">
        <v>10839</v>
      </c>
      <c r="AF660" t="s">
        <v>10842</v>
      </c>
      <c r="AG660" t="s">
        <v>10859</v>
      </c>
      <c r="AH660" t="s">
        <v>10861</v>
      </c>
      <c r="AI660">
        <v>239</v>
      </c>
      <c r="AJ660" t="s">
        <v>10213</v>
      </c>
      <c r="AL660">
        <v>1.25</v>
      </c>
      <c r="AM660" t="s">
        <v>10889</v>
      </c>
      <c r="AN660" t="s">
        <v>10946</v>
      </c>
      <c r="AO660" t="s">
        <v>11012</v>
      </c>
      <c r="AP660" t="s">
        <v>11060</v>
      </c>
      <c r="AQ660" t="s">
        <v>11109</v>
      </c>
      <c r="AR660" t="s">
        <v>11257</v>
      </c>
      <c r="AS660" t="s">
        <v>11595</v>
      </c>
      <c r="BA660" t="s">
        <v>11739</v>
      </c>
      <c r="BB660">
        <v>0</v>
      </c>
      <c r="BC660">
        <v>0</v>
      </c>
      <c r="BD660">
        <v>0</v>
      </c>
      <c r="BE660">
        <v>0</v>
      </c>
      <c r="BF660">
        <v>4</v>
      </c>
      <c r="BG660">
        <v>0</v>
      </c>
    </row>
    <row r="661" spans="1:59">
      <c r="A661" s="1">
        <f>HYPERLINK("https://lsnyc.legalserver.org/matter/dynamic-profile/view/1904402","19-1904402")</f>
        <v>0</v>
      </c>
      <c r="B661" t="s">
        <v>651</v>
      </c>
      <c r="C661" t="s">
        <v>5560</v>
      </c>
      <c r="D661" t="s">
        <v>9925</v>
      </c>
      <c r="E661" t="s">
        <v>10075</v>
      </c>
      <c r="F661">
        <v>10031</v>
      </c>
      <c r="G661" t="s">
        <v>10089</v>
      </c>
      <c r="H661" t="s">
        <v>10112</v>
      </c>
      <c r="I661" t="s">
        <v>10168</v>
      </c>
      <c r="J661" t="s">
        <v>10209</v>
      </c>
      <c r="K661" t="s">
        <v>10218</v>
      </c>
      <c r="L661" t="s">
        <v>10105</v>
      </c>
      <c r="M661" t="s">
        <v>10471</v>
      </c>
      <c r="N661" t="s">
        <v>10702</v>
      </c>
      <c r="P661" t="s">
        <v>10749</v>
      </c>
      <c r="Q661" t="s">
        <v>10774</v>
      </c>
      <c r="R661" t="s">
        <v>10824</v>
      </c>
      <c r="T661">
        <v>38400</v>
      </c>
      <c r="U661">
        <v>3200</v>
      </c>
      <c r="V661">
        <v>37</v>
      </c>
      <c r="W661">
        <v>1</v>
      </c>
      <c r="X661">
        <v>0</v>
      </c>
      <c r="Y661" t="s">
        <v>10829</v>
      </c>
      <c r="Z661">
        <v>307.45</v>
      </c>
      <c r="AA661">
        <v>40.822065</v>
      </c>
      <c r="AB661">
        <v>-73.95614500000001</v>
      </c>
      <c r="AD661" t="s">
        <v>10839</v>
      </c>
      <c r="AG661" t="s">
        <v>10858</v>
      </c>
      <c r="AH661" t="s">
        <v>10862</v>
      </c>
      <c r="AI661">
        <v>236</v>
      </c>
      <c r="AJ661" t="s">
        <v>10209</v>
      </c>
      <c r="AK661" t="s">
        <v>10838</v>
      </c>
      <c r="AL661">
        <v>0.8</v>
      </c>
      <c r="AM661" t="s">
        <v>10887</v>
      </c>
      <c r="AN661" t="s">
        <v>10936</v>
      </c>
      <c r="AO661" t="s">
        <v>11019</v>
      </c>
      <c r="AP661" t="s">
        <v>11073</v>
      </c>
      <c r="AR661" t="s">
        <v>11257</v>
      </c>
      <c r="AS661" t="s">
        <v>9925</v>
      </c>
      <c r="AY661" t="s">
        <v>10829</v>
      </c>
      <c r="AZ661" t="s">
        <v>11681</v>
      </c>
      <c r="BA661" t="s">
        <v>11741</v>
      </c>
      <c r="BB661">
        <v>0</v>
      </c>
      <c r="BC661">
        <v>0</v>
      </c>
      <c r="BD661">
        <v>0</v>
      </c>
      <c r="BE661">
        <v>0</v>
      </c>
      <c r="BF661">
        <v>1</v>
      </c>
      <c r="BG661">
        <v>0</v>
      </c>
    </row>
    <row r="662" spans="1:59">
      <c r="A662" s="1">
        <f>HYPERLINK("https://lsnyc.legalserver.org/matter/dynamic-profile/view/1904403","19-1904403")</f>
        <v>0</v>
      </c>
      <c r="B662" t="s">
        <v>652</v>
      </c>
      <c r="C662" t="s">
        <v>5561</v>
      </c>
      <c r="D662" t="s">
        <v>9925</v>
      </c>
      <c r="E662" t="s">
        <v>10075</v>
      </c>
      <c r="F662">
        <v>10026</v>
      </c>
      <c r="G662" t="s">
        <v>10089</v>
      </c>
      <c r="H662" t="s">
        <v>10112</v>
      </c>
      <c r="I662" t="s">
        <v>10168</v>
      </c>
      <c r="J662" t="s">
        <v>10209</v>
      </c>
      <c r="K662" t="s">
        <v>10217</v>
      </c>
      <c r="M662" t="s">
        <v>10391</v>
      </c>
      <c r="N662" t="s">
        <v>10702</v>
      </c>
      <c r="P662" t="s">
        <v>10749</v>
      </c>
      <c r="Q662" t="s">
        <v>10765</v>
      </c>
      <c r="R662" t="s">
        <v>10824</v>
      </c>
      <c r="T662">
        <v>12000</v>
      </c>
      <c r="U662">
        <v>1000</v>
      </c>
      <c r="V662">
        <v>47</v>
      </c>
      <c r="W662">
        <v>1</v>
      </c>
      <c r="X662">
        <v>0</v>
      </c>
      <c r="Z662">
        <v>96.08</v>
      </c>
      <c r="AA662">
        <v>40.80077</v>
      </c>
      <c r="AB662">
        <v>-73.952996</v>
      </c>
      <c r="AD662" t="s">
        <v>10840</v>
      </c>
      <c r="AG662" t="s">
        <v>10858</v>
      </c>
      <c r="AH662" t="s">
        <v>10861</v>
      </c>
      <c r="AI662">
        <v>236</v>
      </c>
      <c r="AJ662" t="s">
        <v>10209</v>
      </c>
      <c r="AL662">
        <v>1.5</v>
      </c>
      <c r="AM662" t="s">
        <v>10887</v>
      </c>
      <c r="AN662" t="s">
        <v>10936</v>
      </c>
      <c r="AO662" t="s">
        <v>11016</v>
      </c>
      <c r="AP662" t="s">
        <v>11076</v>
      </c>
      <c r="AR662" t="s">
        <v>11276</v>
      </c>
      <c r="AS662" t="s">
        <v>9925</v>
      </c>
      <c r="BA662" t="s">
        <v>11738</v>
      </c>
      <c r="BB662">
        <v>0</v>
      </c>
      <c r="BC662">
        <v>0</v>
      </c>
      <c r="BD662">
        <v>0</v>
      </c>
      <c r="BE662">
        <v>0</v>
      </c>
      <c r="BF662">
        <v>5</v>
      </c>
      <c r="BG662">
        <v>0</v>
      </c>
    </row>
    <row r="663" spans="1:59">
      <c r="A663" s="1">
        <f>HYPERLINK("https://lsnyc.legalserver.org/matter/dynamic-profile/view/1904404","19-1904404")</f>
        <v>0</v>
      </c>
      <c r="B663" t="s">
        <v>653</v>
      </c>
      <c r="C663" t="s">
        <v>5562</v>
      </c>
      <c r="D663" t="s">
        <v>9928</v>
      </c>
      <c r="E663" t="s">
        <v>10075</v>
      </c>
      <c r="F663">
        <v>11223</v>
      </c>
      <c r="G663" t="s">
        <v>10091</v>
      </c>
      <c r="H663" t="s">
        <v>10112</v>
      </c>
      <c r="I663" t="s">
        <v>10168</v>
      </c>
      <c r="J663" t="s">
        <v>10214</v>
      </c>
      <c r="K663" t="s">
        <v>10217</v>
      </c>
      <c r="M663" t="s">
        <v>10286</v>
      </c>
      <c r="N663" t="s">
        <v>10671</v>
      </c>
      <c r="P663" t="s">
        <v>10751</v>
      </c>
      <c r="Q663" t="s">
        <v>10768</v>
      </c>
      <c r="R663" t="s">
        <v>10820</v>
      </c>
      <c r="T663">
        <v>1200</v>
      </c>
      <c r="U663">
        <v>100</v>
      </c>
      <c r="V663">
        <v>66</v>
      </c>
      <c r="W663">
        <v>1</v>
      </c>
      <c r="X663">
        <v>0</v>
      </c>
      <c r="Z663">
        <v>9.609999999999999</v>
      </c>
      <c r="AA663">
        <v>40.601139</v>
      </c>
      <c r="AB663">
        <v>-73.963317</v>
      </c>
      <c r="AD663" t="s">
        <v>10839</v>
      </c>
      <c r="AG663" t="s">
        <v>10858</v>
      </c>
      <c r="AH663" t="s">
        <v>10871</v>
      </c>
      <c r="AI663">
        <v>234</v>
      </c>
      <c r="AJ663" t="s">
        <v>10214</v>
      </c>
      <c r="AL663">
        <v>0.6</v>
      </c>
      <c r="AM663" t="s">
        <v>10883</v>
      </c>
      <c r="AN663" t="s">
        <v>10965</v>
      </c>
      <c r="AO663" t="s">
        <v>11023</v>
      </c>
      <c r="AP663" t="s">
        <v>11087</v>
      </c>
      <c r="AR663" t="s">
        <v>11257</v>
      </c>
      <c r="AS663" t="s">
        <v>11595</v>
      </c>
      <c r="AT663" t="s">
        <v>11641</v>
      </c>
      <c r="AX663" t="s">
        <v>10838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</row>
    <row r="664" spans="1:59">
      <c r="A664" s="1">
        <f>HYPERLINK("https://lsnyc.legalserver.org/matter/dynamic-profile/view/1904405","19-1904405")</f>
        <v>0</v>
      </c>
      <c r="B664" t="s">
        <v>654</v>
      </c>
      <c r="C664" t="s">
        <v>5563</v>
      </c>
      <c r="D664" t="s">
        <v>9928</v>
      </c>
      <c r="E664" t="s">
        <v>10075</v>
      </c>
      <c r="F664">
        <v>11210</v>
      </c>
      <c r="G664" t="s">
        <v>10093</v>
      </c>
      <c r="H664" t="s">
        <v>10112</v>
      </c>
      <c r="I664" t="s">
        <v>10177</v>
      </c>
      <c r="J664" t="s">
        <v>10213</v>
      </c>
      <c r="K664" t="s">
        <v>10217</v>
      </c>
      <c r="M664" t="s">
        <v>10253</v>
      </c>
      <c r="N664" t="s">
        <v>10649</v>
      </c>
      <c r="P664" t="s">
        <v>10753</v>
      </c>
      <c r="Q664" t="s">
        <v>10763</v>
      </c>
      <c r="R664" t="s">
        <v>10824</v>
      </c>
      <c r="T664">
        <v>0</v>
      </c>
      <c r="U664">
        <v>0</v>
      </c>
      <c r="V664">
        <v>29</v>
      </c>
      <c r="W664">
        <v>1</v>
      </c>
      <c r="X664">
        <v>0</v>
      </c>
      <c r="Z664">
        <v>0</v>
      </c>
      <c r="AA664">
        <v>40.624295</v>
      </c>
      <c r="AB664">
        <v>-73.94088499999999</v>
      </c>
      <c r="AD664" t="s">
        <v>10839</v>
      </c>
      <c r="AF664" t="s">
        <v>10842</v>
      </c>
      <c r="AG664" t="s">
        <v>10859</v>
      </c>
      <c r="AH664" t="s">
        <v>10864</v>
      </c>
      <c r="AI664">
        <v>239</v>
      </c>
      <c r="AJ664" t="s">
        <v>10213</v>
      </c>
      <c r="AL664">
        <v>1.5</v>
      </c>
      <c r="AM664" t="s">
        <v>10888</v>
      </c>
      <c r="AN664" t="s">
        <v>10957</v>
      </c>
      <c r="AO664" t="s">
        <v>11015</v>
      </c>
      <c r="AP664" t="s">
        <v>11065</v>
      </c>
      <c r="AQ664" t="s">
        <v>11142</v>
      </c>
      <c r="AR664" t="s">
        <v>11267</v>
      </c>
      <c r="AS664" t="s">
        <v>11595</v>
      </c>
      <c r="BA664" t="s">
        <v>11739</v>
      </c>
      <c r="BB664">
        <v>0</v>
      </c>
      <c r="BC664">
        <v>0</v>
      </c>
      <c r="BD664">
        <v>0</v>
      </c>
      <c r="BE664">
        <v>0</v>
      </c>
      <c r="BF664">
        <v>4</v>
      </c>
      <c r="BG664">
        <v>0</v>
      </c>
    </row>
    <row r="665" spans="1:59">
      <c r="A665" s="1">
        <f>HYPERLINK("https://lsnyc.legalserver.org/matter/dynamic-profile/view/1904406","19-1904406")</f>
        <v>0</v>
      </c>
      <c r="B665" t="s">
        <v>139</v>
      </c>
      <c r="C665" t="s">
        <v>5078</v>
      </c>
      <c r="D665" t="s">
        <v>9926</v>
      </c>
      <c r="E665" t="s">
        <v>10075</v>
      </c>
      <c r="F665">
        <v>10453</v>
      </c>
      <c r="G665" t="s">
        <v>10089</v>
      </c>
      <c r="H665" t="s">
        <v>10112</v>
      </c>
      <c r="I665" t="s">
        <v>10169</v>
      </c>
      <c r="J665" t="s">
        <v>10209</v>
      </c>
      <c r="K665" t="s">
        <v>10217</v>
      </c>
      <c r="M665" t="s">
        <v>10278</v>
      </c>
      <c r="N665" t="s">
        <v>10673</v>
      </c>
      <c r="P665" t="s">
        <v>10753</v>
      </c>
      <c r="Q665" t="s">
        <v>10763</v>
      </c>
      <c r="R665" t="s">
        <v>10821</v>
      </c>
      <c r="T665">
        <v>10512</v>
      </c>
      <c r="U665">
        <v>876</v>
      </c>
      <c r="V665">
        <v>37</v>
      </c>
      <c r="W665">
        <v>4</v>
      </c>
      <c r="X665">
        <v>0</v>
      </c>
      <c r="Z665">
        <v>40.82</v>
      </c>
      <c r="AA665">
        <v>40.849619</v>
      </c>
      <c r="AB665">
        <v>-73.90656300000001</v>
      </c>
      <c r="AD665" t="s">
        <v>10839</v>
      </c>
      <c r="AF665" t="s">
        <v>10845</v>
      </c>
      <c r="AG665" t="s">
        <v>10859</v>
      </c>
      <c r="AH665" t="s">
        <v>10864</v>
      </c>
      <c r="AI665">
        <v>236</v>
      </c>
      <c r="AJ665" t="s">
        <v>10209</v>
      </c>
      <c r="AL665">
        <v>7.5</v>
      </c>
      <c r="AM665" t="s">
        <v>10884</v>
      </c>
      <c r="AN665" t="s">
        <v>10931</v>
      </c>
      <c r="AO665" t="s">
        <v>11000</v>
      </c>
      <c r="AP665" t="s">
        <v>11045</v>
      </c>
      <c r="AQ665" t="s">
        <v>11161</v>
      </c>
      <c r="AR665" t="s">
        <v>11284</v>
      </c>
      <c r="AS665" t="s">
        <v>9926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</row>
    <row r="666" spans="1:59">
      <c r="A666" s="1">
        <f>HYPERLINK("https://lsnyc.legalserver.org/matter/dynamic-profile/view/1904407","19-1904407")</f>
        <v>0</v>
      </c>
      <c r="B666" t="s">
        <v>655</v>
      </c>
      <c r="C666" t="s">
        <v>5564</v>
      </c>
      <c r="D666" t="s">
        <v>9928</v>
      </c>
      <c r="E666" t="s">
        <v>10075</v>
      </c>
      <c r="F666">
        <v>11236</v>
      </c>
      <c r="G666" t="s">
        <v>10093</v>
      </c>
      <c r="H666" t="s">
        <v>10112</v>
      </c>
      <c r="I666" t="s">
        <v>10168</v>
      </c>
      <c r="J666" t="s">
        <v>10213</v>
      </c>
      <c r="K666" t="s">
        <v>10217</v>
      </c>
      <c r="M666" t="s">
        <v>10253</v>
      </c>
      <c r="N666" t="s">
        <v>10673</v>
      </c>
      <c r="P666" t="s">
        <v>10753</v>
      </c>
      <c r="Q666" t="s">
        <v>10763</v>
      </c>
      <c r="R666" t="s">
        <v>10824</v>
      </c>
      <c r="T666">
        <v>200</v>
      </c>
      <c r="U666">
        <v>16.67</v>
      </c>
      <c r="V666">
        <v>64</v>
      </c>
      <c r="W666">
        <v>1</v>
      </c>
      <c r="X666">
        <v>0</v>
      </c>
      <c r="Z666">
        <v>1.6</v>
      </c>
      <c r="AA666">
        <v>40.643427</v>
      </c>
      <c r="AB666">
        <v>-73.90526800000001</v>
      </c>
      <c r="AC666" t="s">
        <v>10837</v>
      </c>
      <c r="AD666" t="s">
        <v>10840</v>
      </c>
      <c r="AF666" t="s">
        <v>10843</v>
      </c>
      <c r="AG666" t="s">
        <v>10859</v>
      </c>
      <c r="AH666" t="s">
        <v>10861</v>
      </c>
      <c r="AI666">
        <v>239</v>
      </c>
      <c r="AJ666" t="s">
        <v>10213</v>
      </c>
      <c r="AL666">
        <v>1.5</v>
      </c>
      <c r="AM666" t="s">
        <v>10889</v>
      </c>
      <c r="AN666" t="s">
        <v>10925</v>
      </c>
      <c r="AO666" t="s">
        <v>11012</v>
      </c>
      <c r="AP666" t="s">
        <v>11072</v>
      </c>
      <c r="AQ666" t="s">
        <v>11159</v>
      </c>
      <c r="AR666" t="s">
        <v>10180</v>
      </c>
      <c r="AS666" t="s">
        <v>11595</v>
      </c>
      <c r="BA666" t="s">
        <v>11739</v>
      </c>
      <c r="BB666">
        <v>0</v>
      </c>
      <c r="BC666">
        <v>0</v>
      </c>
      <c r="BD666">
        <v>0</v>
      </c>
      <c r="BE666">
        <v>0</v>
      </c>
      <c r="BF666">
        <v>4</v>
      </c>
      <c r="BG666">
        <v>0</v>
      </c>
    </row>
    <row r="667" spans="1:59">
      <c r="A667" s="1">
        <f>HYPERLINK("https://lsnyc.legalserver.org/matter/dynamic-profile/view/1904408","19-1904408")</f>
        <v>0</v>
      </c>
      <c r="B667" t="s">
        <v>656</v>
      </c>
      <c r="C667" t="s">
        <v>5565</v>
      </c>
      <c r="D667" t="s">
        <v>9928</v>
      </c>
      <c r="E667" t="s">
        <v>10075</v>
      </c>
      <c r="F667">
        <v>11216</v>
      </c>
      <c r="G667" t="s">
        <v>10093</v>
      </c>
      <c r="H667" t="s">
        <v>10112</v>
      </c>
      <c r="I667" t="s">
        <v>10168</v>
      </c>
      <c r="J667" t="s">
        <v>10213</v>
      </c>
      <c r="K667" t="s">
        <v>10217</v>
      </c>
      <c r="M667" t="s">
        <v>10467</v>
      </c>
      <c r="N667" t="s">
        <v>10667</v>
      </c>
      <c r="P667" t="s">
        <v>10749</v>
      </c>
      <c r="Q667" t="s">
        <v>10765</v>
      </c>
      <c r="R667" t="s">
        <v>10824</v>
      </c>
      <c r="T667">
        <v>4800</v>
      </c>
      <c r="U667">
        <v>400</v>
      </c>
      <c r="V667">
        <v>33</v>
      </c>
      <c r="W667">
        <v>1</v>
      </c>
      <c r="X667">
        <v>2</v>
      </c>
      <c r="Z667">
        <v>22.5</v>
      </c>
      <c r="AA667">
        <v>40.683381</v>
      </c>
      <c r="AB667">
        <v>-73.95047099999999</v>
      </c>
      <c r="AD667" t="s">
        <v>10839</v>
      </c>
      <c r="AF667" t="s">
        <v>10843</v>
      </c>
      <c r="AG667" t="s">
        <v>10859</v>
      </c>
      <c r="AH667" t="s">
        <v>10862</v>
      </c>
      <c r="AI667">
        <v>239</v>
      </c>
      <c r="AJ667" t="s">
        <v>10213</v>
      </c>
      <c r="AL667">
        <v>5.8</v>
      </c>
      <c r="AM667" t="s">
        <v>10889</v>
      </c>
      <c r="AN667" t="s">
        <v>10923</v>
      </c>
      <c r="AO667" t="s">
        <v>11007</v>
      </c>
      <c r="AP667" t="s">
        <v>11052</v>
      </c>
      <c r="AR667" t="s">
        <v>11255</v>
      </c>
      <c r="AS667" t="s">
        <v>11595</v>
      </c>
      <c r="BA667" t="s">
        <v>11742</v>
      </c>
      <c r="BB667">
        <v>0</v>
      </c>
      <c r="BC667">
        <v>0</v>
      </c>
      <c r="BD667">
        <v>0</v>
      </c>
      <c r="BE667">
        <v>0</v>
      </c>
      <c r="BF667">
        <v>7</v>
      </c>
      <c r="BG667">
        <v>0</v>
      </c>
    </row>
    <row r="668" spans="1:59">
      <c r="A668" s="1">
        <f>HYPERLINK("https://lsnyc.legalserver.org/matter/dynamic-profile/view/1904410","19-1904410")</f>
        <v>0</v>
      </c>
      <c r="B668" t="s">
        <v>657</v>
      </c>
      <c r="C668" t="s">
        <v>5566</v>
      </c>
      <c r="D668" t="s">
        <v>9928</v>
      </c>
      <c r="E668" t="s">
        <v>10075</v>
      </c>
      <c r="F668">
        <v>11207</v>
      </c>
      <c r="G668" t="s">
        <v>10093</v>
      </c>
      <c r="H668" t="s">
        <v>10112</v>
      </c>
      <c r="I668" t="s">
        <v>10168</v>
      </c>
      <c r="J668" t="s">
        <v>10213</v>
      </c>
      <c r="K668" t="s">
        <v>10218</v>
      </c>
      <c r="L668" t="s">
        <v>10095</v>
      </c>
      <c r="M668" t="s">
        <v>10253</v>
      </c>
      <c r="N668" t="s">
        <v>10673</v>
      </c>
      <c r="P668" t="s">
        <v>10753</v>
      </c>
      <c r="Q668" t="s">
        <v>10763</v>
      </c>
      <c r="R668" t="s">
        <v>10828</v>
      </c>
      <c r="T668">
        <v>0</v>
      </c>
      <c r="U668">
        <v>0</v>
      </c>
      <c r="V668">
        <v>29</v>
      </c>
      <c r="W668">
        <v>1</v>
      </c>
      <c r="X668">
        <v>0</v>
      </c>
      <c r="Y668" t="s">
        <v>10833</v>
      </c>
      <c r="Z668">
        <v>0</v>
      </c>
      <c r="AA668">
        <v>40.689058</v>
      </c>
      <c r="AB668">
        <v>-73.90885400000001</v>
      </c>
      <c r="AD668" t="s">
        <v>10840</v>
      </c>
      <c r="AF668" t="s">
        <v>10842</v>
      </c>
      <c r="AG668" t="s">
        <v>10859</v>
      </c>
      <c r="AH668" t="s">
        <v>10861</v>
      </c>
      <c r="AI668">
        <v>239</v>
      </c>
      <c r="AJ668" t="s">
        <v>10213</v>
      </c>
      <c r="AK668" t="s">
        <v>10838</v>
      </c>
      <c r="AL668">
        <v>5.25</v>
      </c>
      <c r="AM668" t="s">
        <v>10886</v>
      </c>
      <c r="AN668" t="s">
        <v>10920</v>
      </c>
      <c r="AO668" t="s">
        <v>11011</v>
      </c>
      <c r="AP668" t="s">
        <v>11058</v>
      </c>
      <c r="AQ668" t="s">
        <v>11109</v>
      </c>
      <c r="AR668" t="s">
        <v>11267</v>
      </c>
      <c r="AS668" t="s">
        <v>11595</v>
      </c>
      <c r="AY668" t="s">
        <v>10833</v>
      </c>
      <c r="AZ668" t="s">
        <v>11711</v>
      </c>
      <c r="BA668" t="s">
        <v>11739</v>
      </c>
      <c r="BB668">
        <v>0</v>
      </c>
      <c r="BC668">
        <v>0</v>
      </c>
      <c r="BD668">
        <v>0</v>
      </c>
      <c r="BE668">
        <v>0</v>
      </c>
      <c r="BF668">
        <v>4</v>
      </c>
      <c r="BG668">
        <v>0</v>
      </c>
    </row>
    <row r="669" spans="1:59">
      <c r="A669" s="1">
        <f>HYPERLINK("https://lsnyc.legalserver.org/matter/dynamic-profile/view/1904411","19-1904411")</f>
        <v>0</v>
      </c>
      <c r="B669" t="s">
        <v>658</v>
      </c>
      <c r="C669" t="s">
        <v>5567</v>
      </c>
      <c r="D669" t="s">
        <v>9965</v>
      </c>
      <c r="E669" t="s">
        <v>10075</v>
      </c>
      <c r="F669">
        <v>11101</v>
      </c>
      <c r="G669" t="s">
        <v>10093</v>
      </c>
      <c r="H669" t="s">
        <v>10112</v>
      </c>
      <c r="J669" t="s">
        <v>10213</v>
      </c>
      <c r="K669" t="s">
        <v>10218</v>
      </c>
      <c r="L669" t="s">
        <v>4843</v>
      </c>
      <c r="M669" t="s">
        <v>10309</v>
      </c>
      <c r="N669" t="s">
        <v>10662</v>
      </c>
      <c r="P669" t="s">
        <v>10751</v>
      </c>
      <c r="Q669" t="s">
        <v>10761</v>
      </c>
      <c r="R669" t="s">
        <v>10820</v>
      </c>
      <c r="T669">
        <v>11064</v>
      </c>
      <c r="U669">
        <v>922</v>
      </c>
      <c r="V669">
        <v>63</v>
      </c>
      <c r="W669">
        <v>3</v>
      </c>
      <c r="X669">
        <v>0</v>
      </c>
      <c r="Y669" t="s">
        <v>10830</v>
      </c>
      <c r="Z669">
        <v>51.87</v>
      </c>
      <c r="AA669">
        <v>40.736218</v>
      </c>
      <c r="AB669">
        <v>-73.936764</v>
      </c>
      <c r="AD669" t="s">
        <v>10839</v>
      </c>
      <c r="AG669" t="s">
        <v>10858</v>
      </c>
      <c r="AH669" t="s">
        <v>10868</v>
      </c>
      <c r="AI669">
        <v>239</v>
      </c>
      <c r="AJ669" t="s">
        <v>10213</v>
      </c>
      <c r="AK669" t="s">
        <v>10838</v>
      </c>
      <c r="AL669">
        <v>3.75</v>
      </c>
      <c r="AR669" t="s">
        <v>11254</v>
      </c>
      <c r="AS669" t="s">
        <v>11594</v>
      </c>
      <c r="AT669" t="s">
        <v>11641</v>
      </c>
      <c r="AX669" t="s">
        <v>10837</v>
      </c>
      <c r="AY669" t="s">
        <v>10830</v>
      </c>
      <c r="AZ669" t="s">
        <v>11701</v>
      </c>
      <c r="BA669" t="s">
        <v>11742</v>
      </c>
      <c r="BB669">
        <v>0</v>
      </c>
      <c r="BC669">
        <v>0</v>
      </c>
      <c r="BD669">
        <v>0</v>
      </c>
      <c r="BE669">
        <v>0</v>
      </c>
      <c r="BF669">
        <v>7</v>
      </c>
      <c r="BG669">
        <v>0</v>
      </c>
    </row>
    <row r="670" spans="1:59">
      <c r="A670" s="1">
        <f>HYPERLINK("https://lsnyc.legalserver.org/matter/dynamic-profile/view/1904412","19-1904412")</f>
        <v>0</v>
      </c>
      <c r="B670" t="s">
        <v>659</v>
      </c>
      <c r="C670" t="s">
        <v>5568</v>
      </c>
      <c r="D670" t="s">
        <v>9938</v>
      </c>
      <c r="E670" t="s">
        <v>10075</v>
      </c>
      <c r="F670">
        <v>11433</v>
      </c>
      <c r="G670" t="s">
        <v>10092</v>
      </c>
      <c r="H670" t="s">
        <v>10112</v>
      </c>
      <c r="J670" t="s">
        <v>10212</v>
      </c>
      <c r="K670" t="s">
        <v>10218</v>
      </c>
      <c r="L670" t="s">
        <v>10142</v>
      </c>
      <c r="M670" t="s">
        <v>10363</v>
      </c>
      <c r="N670" t="s">
        <v>10657</v>
      </c>
      <c r="P670" t="s">
        <v>10753</v>
      </c>
      <c r="Q670" t="s">
        <v>10763</v>
      </c>
      <c r="R670" t="s">
        <v>10824</v>
      </c>
      <c r="T670">
        <v>0</v>
      </c>
      <c r="U670">
        <v>0</v>
      </c>
      <c r="V670">
        <v>19</v>
      </c>
      <c r="W670">
        <v>4</v>
      </c>
      <c r="X670">
        <v>2</v>
      </c>
      <c r="Y670" t="s">
        <v>10829</v>
      </c>
      <c r="Z670">
        <v>0</v>
      </c>
      <c r="AA670">
        <v>40.698418</v>
      </c>
      <c r="AB670">
        <v>-73.78044</v>
      </c>
      <c r="AD670" t="s">
        <v>10840</v>
      </c>
      <c r="AF670" t="s">
        <v>10843</v>
      </c>
      <c r="AG670" t="s">
        <v>10859</v>
      </c>
      <c r="AH670" t="s">
        <v>10860</v>
      </c>
      <c r="AI670">
        <v>237</v>
      </c>
      <c r="AJ670" t="s">
        <v>10212</v>
      </c>
      <c r="AK670" t="s">
        <v>10838</v>
      </c>
      <c r="AL670">
        <v>0.4</v>
      </c>
      <c r="AM670" t="s">
        <v>10892</v>
      </c>
      <c r="AN670" t="s">
        <v>10955</v>
      </c>
      <c r="AO670" t="s">
        <v>11020</v>
      </c>
      <c r="AP670" t="s">
        <v>11075</v>
      </c>
      <c r="AR670" t="s">
        <v>11267</v>
      </c>
      <c r="AS670" t="s">
        <v>11594</v>
      </c>
      <c r="AY670" t="s">
        <v>10829</v>
      </c>
      <c r="AZ670" t="s">
        <v>11709</v>
      </c>
      <c r="BA670" t="s">
        <v>11741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0</v>
      </c>
    </row>
    <row r="671" spans="1:59">
      <c r="A671" s="1">
        <f>HYPERLINK("https://lsnyc.legalserver.org/matter/dynamic-profile/view/1904413","19-1904413")</f>
        <v>0</v>
      </c>
      <c r="B671" t="s">
        <v>660</v>
      </c>
      <c r="C671" t="s">
        <v>5569</v>
      </c>
      <c r="D671" t="s">
        <v>9926</v>
      </c>
      <c r="E671" t="s">
        <v>10075</v>
      </c>
      <c r="F671">
        <v>10461</v>
      </c>
      <c r="G671" t="s">
        <v>10090</v>
      </c>
      <c r="H671" t="s">
        <v>10112</v>
      </c>
      <c r="I671" t="s">
        <v>10168</v>
      </c>
      <c r="J671" t="s">
        <v>10210</v>
      </c>
      <c r="K671" t="s">
        <v>10218</v>
      </c>
      <c r="L671" t="s">
        <v>10109</v>
      </c>
      <c r="M671" t="s">
        <v>10262</v>
      </c>
      <c r="N671" t="s">
        <v>10666</v>
      </c>
      <c r="P671" t="s">
        <v>10749</v>
      </c>
      <c r="Q671" t="s">
        <v>10765</v>
      </c>
      <c r="R671" t="s">
        <v>10821</v>
      </c>
      <c r="T671">
        <v>10400</v>
      </c>
      <c r="U671">
        <v>866.67</v>
      </c>
      <c r="V671">
        <v>46</v>
      </c>
      <c r="W671">
        <v>2</v>
      </c>
      <c r="X671">
        <v>1</v>
      </c>
      <c r="Y671" t="s">
        <v>10829</v>
      </c>
      <c r="Z671">
        <v>48.76</v>
      </c>
      <c r="AA671">
        <v>40.845635</v>
      </c>
      <c r="AB671">
        <v>-73.82848199999999</v>
      </c>
      <c r="AD671" t="s">
        <v>10839</v>
      </c>
      <c r="AG671" t="s">
        <v>10858</v>
      </c>
      <c r="AH671" t="s">
        <v>10862</v>
      </c>
      <c r="AI671">
        <v>230</v>
      </c>
      <c r="AJ671" t="s">
        <v>10210</v>
      </c>
      <c r="AK671" t="s">
        <v>10882</v>
      </c>
      <c r="AL671">
        <v>0.4</v>
      </c>
      <c r="AM671" t="s">
        <v>10885</v>
      </c>
      <c r="AN671" t="s">
        <v>10911</v>
      </c>
      <c r="AO671" t="s">
        <v>11002</v>
      </c>
      <c r="AP671" t="s">
        <v>11049</v>
      </c>
      <c r="AR671" t="s">
        <v>11257</v>
      </c>
      <c r="AS671" t="s">
        <v>9926</v>
      </c>
      <c r="AT671" t="s">
        <v>11641</v>
      </c>
      <c r="AY671" t="s">
        <v>10829</v>
      </c>
      <c r="AZ671" t="s">
        <v>11681</v>
      </c>
      <c r="BA671" t="s">
        <v>11741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0</v>
      </c>
    </row>
    <row r="672" spans="1:59">
      <c r="A672" s="1">
        <f>HYPERLINK("https://lsnyc.legalserver.org/matter/dynamic-profile/view/1904414","19-1904414")</f>
        <v>0</v>
      </c>
      <c r="B672" t="s">
        <v>661</v>
      </c>
      <c r="C672" t="s">
        <v>5570</v>
      </c>
      <c r="D672" t="s">
        <v>9925</v>
      </c>
      <c r="E672" t="s">
        <v>10075</v>
      </c>
      <c r="F672">
        <v>10039</v>
      </c>
      <c r="G672" t="s">
        <v>10089</v>
      </c>
      <c r="H672" t="s">
        <v>10112</v>
      </c>
      <c r="I672" t="s">
        <v>10168</v>
      </c>
      <c r="J672" t="s">
        <v>10209</v>
      </c>
      <c r="K672" t="s">
        <v>10218</v>
      </c>
      <c r="L672" t="s">
        <v>10133</v>
      </c>
      <c r="M672" t="s">
        <v>10229</v>
      </c>
      <c r="N672" t="s">
        <v>10645</v>
      </c>
      <c r="P672" t="s">
        <v>10750</v>
      </c>
      <c r="Q672" t="s">
        <v>10779</v>
      </c>
      <c r="R672" t="s">
        <v>10824</v>
      </c>
      <c r="T672">
        <v>20800</v>
      </c>
      <c r="U672">
        <v>1733.33</v>
      </c>
      <c r="V672">
        <v>48</v>
      </c>
      <c r="W672">
        <v>1</v>
      </c>
      <c r="X672">
        <v>0</v>
      </c>
      <c r="Y672" t="s">
        <v>10829</v>
      </c>
      <c r="Z672">
        <v>166.53</v>
      </c>
      <c r="AA672">
        <v>40.827469</v>
      </c>
      <c r="AB672">
        <v>-73.939243</v>
      </c>
      <c r="AD672" t="s">
        <v>10839</v>
      </c>
      <c r="AG672" t="s">
        <v>10858</v>
      </c>
      <c r="AH672" t="s">
        <v>10861</v>
      </c>
      <c r="AI672">
        <v>234</v>
      </c>
      <c r="AJ672" t="s">
        <v>10214</v>
      </c>
      <c r="AK672" t="s">
        <v>10838</v>
      </c>
      <c r="AL672">
        <v>1.95</v>
      </c>
      <c r="AM672" t="s">
        <v>10887</v>
      </c>
      <c r="AN672" t="s">
        <v>10943</v>
      </c>
      <c r="AO672" t="s">
        <v>11016</v>
      </c>
      <c r="AP672" t="s">
        <v>11076</v>
      </c>
      <c r="AR672" t="s">
        <v>11257</v>
      </c>
      <c r="AS672" t="s">
        <v>9925</v>
      </c>
      <c r="AT672" t="s">
        <v>11641</v>
      </c>
      <c r="AX672" t="s">
        <v>10838</v>
      </c>
      <c r="AY672" t="s">
        <v>10829</v>
      </c>
      <c r="AZ672" t="s">
        <v>11679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</row>
    <row r="673" spans="1:59">
      <c r="A673" s="1">
        <f>HYPERLINK("https://lsnyc.legalserver.org/matter/dynamic-profile/view/1904415","19-1904415")</f>
        <v>0</v>
      </c>
      <c r="B673" t="s">
        <v>662</v>
      </c>
      <c r="C673" t="s">
        <v>5571</v>
      </c>
      <c r="D673" t="s">
        <v>9925</v>
      </c>
      <c r="E673" t="s">
        <v>10075</v>
      </c>
      <c r="F673">
        <v>10026</v>
      </c>
      <c r="G673" t="s">
        <v>10089</v>
      </c>
      <c r="H673" t="s">
        <v>10112</v>
      </c>
      <c r="I673" t="s">
        <v>10168</v>
      </c>
      <c r="J673" t="s">
        <v>10209</v>
      </c>
      <c r="K673" t="s">
        <v>10217</v>
      </c>
      <c r="M673" t="s">
        <v>10471</v>
      </c>
      <c r="N673" t="s">
        <v>10702</v>
      </c>
      <c r="P673" t="s">
        <v>10749</v>
      </c>
      <c r="Q673" t="s">
        <v>10765</v>
      </c>
      <c r="R673" t="s">
        <v>10824</v>
      </c>
      <c r="T673">
        <v>47100</v>
      </c>
      <c r="U673">
        <v>3925</v>
      </c>
      <c r="V673">
        <v>59</v>
      </c>
      <c r="W673">
        <v>3</v>
      </c>
      <c r="X673">
        <v>1</v>
      </c>
      <c r="Z673">
        <v>182.91</v>
      </c>
      <c r="AA673">
        <v>40.80236</v>
      </c>
      <c r="AB673">
        <v>-73.95116</v>
      </c>
      <c r="AD673" t="s">
        <v>10840</v>
      </c>
      <c r="AF673" t="s">
        <v>10843</v>
      </c>
      <c r="AG673" t="s">
        <v>10859</v>
      </c>
      <c r="AH673" t="s">
        <v>10861</v>
      </c>
      <c r="AI673">
        <v>236</v>
      </c>
      <c r="AJ673" t="s">
        <v>10209</v>
      </c>
      <c r="AL673">
        <v>17.5</v>
      </c>
      <c r="AM673" t="s">
        <v>10887</v>
      </c>
      <c r="AN673" t="s">
        <v>10936</v>
      </c>
      <c r="AO673" t="s">
        <v>11016</v>
      </c>
      <c r="AP673" t="s">
        <v>11076</v>
      </c>
      <c r="AR673" t="s">
        <v>11257</v>
      </c>
      <c r="AS673" t="s">
        <v>9925</v>
      </c>
      <c r="BA673" t="s">
        <v>11738</v>
      </c>
      <c r="BB673">
        <v>0</v>
      </c>
      <c r="BC673">
        <v>0</v>
      </c>
      <c r="BD673">
        <v>0</v>
      </c>
      <c r="BE673">
        <v>0</v>
      </c>
      <c r="BF673">
        <v>5</v>
      </c>
      <c r="BG673">
        <v>0</v>
      </c>
    </row>
    <row r="674" spans="1:59">
      <c r="A674" s="1">
        <f>HYPERLINK("https://lsnyc.legalserver.org/matter/dynamic-profile/view/1904416","19-1904416")</f>
        <v>0</v>
      </c>
      <c r="B674" t="s">
        <v>663</v>
      </c>
      <c r="C674" t="s">
        <v>5572</v>
      </c>
      <c r="D674" t="s">
        <v>9928</v>
      </c>
      <c r="E674" t="s">
        <v>10075</v>
      </c>
      <c r="F674">
        <v>11207</v>
      </c>
      <c r="G674" t="s">
        <v>10093</v>
      </c>
      <c r="H674" t="s">
        <v>10112</v>
      </c>
      <c r="I674" t="s">
        <v>10176</v>
      </c>
      <c r="J674" t="s">
        <v>10213</v>
      </c>
      <c r="K674" t="s">
        <v>10218</v>
      </c>
      <c r="L674" t="s">
        <v>10135</v>
      </c>
      <c r="M674" t="s">
        <v>10253</v>
      </c>
      <c r="N674" t="s">
        <v>10673</v>
      </c>
      <c r="P674" t="s">
        <v>10753</v>
      </c>
      <c r="Q674" t="s">
        <v>10763</v>
      </c>
      <c r="R674" t="s">
        <v>10824</v>
      </c>
      <c r="T674">
        <v>0</v>
      </c>
      <c r="U674">
        <v>0</v>
      </c>
      <c r="V674">
        <v>51</v>
      </c>
      <c r="W674">
        <v>1</v>
      </c>
      <c r="X674">
        <v>1</v>
      </c>
      <c r="Y674" t="s">
        <v>10830</v>
      </c>
      <c r="Z674">
        <v>0</v>
      </c>
      <c r="AA674">
        <v>40.666089</v>
      </c>
      <c r="AB674">
        <v>-73.89838</v>
      </c>
      <c r="AD674" t="s">
        <v>10839</v>
      </c>
      <c r="AF674" t="s">
        <v>10844</v>
      </c>
      <c r="AG674" t="s">
        <v>10859</v>
      </c>
      <c r="AH674" t="s">
        <v>10864</v>
      </c>
      <c r="AI674">
        <v>239</v>
      </c>
      <c r="AJ674" t="s">
        <v>10213</v>
      </c>
      <c r="AK674" t="s">
        <v>10838</v>
      </c>
      <c r="AL674">
        <v>3.5</v>
      </c>
      <c r="AM674" t="s">
        <v>10889</v>
      </c>
      <c r="AN674" t="s">
        <v>10946</v>
      </c>
      <c r="AO674" t="s">
        <v>11012</v>
      </c>
      <c r="AP674" t="s">
        <v>11060</v>
      </c>
      <c r="AQ674" t="s">
        <v>11109</v>
      </c>
      <c r="AR674" t="s">
        <v>11267</v>
      </c>
      <c r="AS674" t="s">
        <v>11595</v>
      </c>
      <c r="AY674" t="s">
        <v>10830</v>
      </c>
      <c r="AZ674" t="s">
        <v>11699</v>
      </c>
      <c r="BA674" t="s">
        <v>11739</v>
      </c>
      <c r="BB674">
        <v>0</v>
      </c>
      <c r="BC674">
        <v>0</v>
      </c>
      <c r="BD674">
        <v>0</v>
      </c>
      <c r="BE674">
        <v>0</v>
      </c>
      <c r="BF674">
        <v>4</v>
      </c>
      <c r="BG674">
        <v>0</v>
      </c>
    </row>
    <row r="675" spans="1:59">
      <c r="A675" s="1">
        <f>HYPERLINK("https://lsnyc.legalserver.org/matter/dynamic-profile/view/1904417","19-1904417")</f>
        <v>0</v>
      </c>
      <c r="B675" t="s">
        <v>664</v>
      </c>
      <c r="C675" t="s">
        <v>5573</v>
      </c>
      <c r="D675" t="s">
        <v>9973</v>
      </c>
      <c r="E675" t="s">
        <v>10075</v>
      </c>
      <c r="F675">
        <v>10702</v>
      </c>
      <c r="G675" t="s">
        <v>10089</v>
      </c>
      <c r="H675" t="s">
        <v>10112</v>
      </c>
      <c r="I675" t="s">
        <v>10168</v>
      </c>
      <c r="J675" t="s">
        <v>10209</v>
      </c>
      <c r="K675" t="s">
        <v>10217</v>
      </c>
      <c r="M675" t="s">
        <v>10229</v>
      </c>
      <c r="N675" t="s">
        <v>10645</v>
      </c>
      <c r="O675" t="s">
        <v>10645</v>
      </c>
      <c r="P675" t="s">
        <v>10750</v>
      </c>
      <c r="Q675" t="s">
        <v>10779</v>
      </c>
      <c r="R675" t="s">
        <v>10824</v>
      </c>
      <c r="T675">
        <v>0</v>
      </c>
      <c r="U675">
        <v>0</v>
      </c>
      <c r="V675">
        <v>41</v>
      </c>
      <c r="W675">
        <v>1</v>
      </c>
      <c r="X675">
        <v>0</v>
      </c>
      <c r="Z675">
        <v>0</v>
      </c>
      <c r="AA675">
        <v>40.93</v>
      </c>
      <c r="AB675">
        <v>-73.90000000000001</v>
      </c>
      <c r="AD675" t="s">
        <v>10839</v>
      </c>
      <c r="AG675" t="s">
        <v>10858</v>
      </c>
      <c r="AH675" t="s">
        <v>10871</v>
      </c>
      <c r="AI675">
        <v>234</v>
      </c>
      <c r="AJ675" t="s">
        <v>10214</v>
      </c>
      <c r="AL675">
        <v>8</v>
      </c>
      <c r="AR675" t="s">
        <v>11279</v>
      </c>
      <c r="AS675" t="s">
        <v>11604</v>
      </c>
      <c r="AT675" t="s">
        <v>11641</v>
      </c>
      <c r="AX675" t="s">
        <v>10838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</row>
    <row r="676" spans="1:59">
      <c r="A676" s="1">
        <f>HYPERLINK("https://lsnyc.legalserver.org/matter/dynamic-profile/view/1904418","19-1904418")</f>
        <v>0</v>
      </c>
      <c r="B676" t="s">
        <v>665</v>
      </c>
      <c r="C676" t="s">
        <v>5574</v>
      </c>
      <c r="D676" t="s">
        <v>9928</v>
      </c>
      <c r="E676" t="s">
        <v>10075</v>
      </c>
      <c r="F676">
        <v>11207</v>
      </c>
      <c r="G676" t="s">
        <v>10089</v>
      </c>
      <c r="H676" t="s">
        <v>10112</v>
      </c>
      <c r="I676" t="s">
        <v>10168</v>
      </c>
      <c r="J676" t="s">
        <v>10209</v>
      </c>
      <c r="K676" t="s">
        <v>10217</v>
      </c>
      <c r="M676" t="s">
        <v>10266</v>
      </c>
      <c r="N676" t="s">
        <v>10673</v>
      </c>
      <c r="P676" t="s">
        <v>10753</v>
      </c>
      <c r="Q676" t="s">
        <v>10763</v>
      </c>
      <c r="R676" t="s">
        <v>10824</v>
      </c>
      <c r="T676">
        <v>60000</v>
      </c>
      <c r="U676">
        <v>5000</v>
      </c>
      <c r="V676">
        <v>39</v>
      </c>
      <c r="W676">
        <v>2</v>
      </c>
      <c r="X676">
        <v>3</v>
      </c>
      <c r="Z676">
        <v>198.87</v>
      </c>
      <c r="AA676">
        <v>40.663483</v>
      </c>
      <c r="AB676">
        <v>-73.89740500000001</v>
      </c>
      <c r="AC676" t="s">
        <v>10837</v>
      </c>
      <c r="AD676" t="s">
        <v>10839</v>
      </c>
      <c r="AF676" t="s">
        <v>10843</v>
      </c>
      <c r="AG676" t="s">
        <v>10859</v>
      </c>
      <c r="AH676" t="s">
        <v>10864</v>
      </c>
      <c r="AI676">
        <v>236</v>
      </c>
      <c r="AJ676" t="s">
        <v>10209</v>
      </c>
      <c r="AL676">
        <v>30.15</v>
      </c>
      <c r="AM676" t="s">
        <v>10889</v>
      </c>
      <c r="AN676" t="s">
        <v>10946</v>
      </c>
      <c r="AO676" t="s">
        <v>11012</v>
      </c>
      <c r="AP676" t="s">
        <v>11060</v>
      </c>
      <c r="AQ676" t="s">
        <v>11162</v>
      </c>
      <c r="AR676" t="s">
        <v>11257</v>
      </c>
      <c r="AS676" t="s">
        <v>11595</v>
      </c>
      <c r="BA676" t="s">
        <v>11739</v>
      </c>
      <c r="BB676">
        <v>0</v>
      </c>
      <c r="BC676">
        <v>0</v>
      </c>
      <c r="BD676">
        <v>0</v>
      </c>
      <c r="BE676">
        <v>0</v>
      </c>
      <c r="BF676">
        <v>4</v>
      </c>
      <c r="BG676">
        <v>0</v>
      </c>
    </row>
    <row r="677" spans="1:59">
      <c r="A677" s="1">
        <f>HYPERLINK("https://lsnyc.legalserver.org/matter/dynamic-profile/view/1904419","19-1904419")</f>
        <v>0</v>
      </c>
      <c r="B677" t="s">
        <v>666</v>
      </c>
      <c r="C677" t="s">
        <v>5575</v>
      </c>
      <c r="D677" t="s">
        <v>9928</v>
      </c>
      <c r="E677" t="s">
        <v>10075</v>
      </c>
      <c r="F677">
        <v>11213</v>
      </c>
      <c r="G677" t="s">
        <v>10093</v>
      </c>
      <c r="H677" t="s">
        <v>10112</v>
      </c>
      <c r="I677" t="s">
        <v>10168</v>
      </c>
      <c r="J677" t="s">
        <v>10213</v>
      </c>
      <c r="K677" t="s">
        <v>10217</v>
      </c>
      <c r="M677" t="s">
        <v>10439</v>
      </c>
      <c r="N677" t="s">
        <v>10650</v>
      </c>
      <c r="P677" t="s">
        <v>10749</v>
      </c>
      <c r="Q677" t="s">
        <v>10765</v>
      </c>
      <c r="R677" t="s">
        <v>10821</v>
      </c>
      <c r="T677">
        <v>41600</v>
      </c>
      <c r="U677">
        <v>3466.67</v>
      </c>
      <c r="V677">
        <v>35</v>
      </c>
      <c r="W677">
        <v>1</v>
      </c>
      <c r="X677">
        <v>0</v>
      </c>
      <c r="Z677">
        <v>333.07</v>
      </c>
      <c r="AA677">
        <v>40.664746</v>
      </c>
      <c r="AB677">
        <v>-73.934788</v>
      </c>
      <c r="AD677" t="s">
        <v>10840</v>
      </c>
      <c r="AG677" t="s">
        <v>10858</v>
      </c>
      <c r="AH677" t="s">
        <v>10862</v>
      </c>
      <c r="AI677">
        <v>239</v>
      </c>
      <c r="AJ677" t="s">
        <v>10213</v>
      </c>
      <c r="AL677">
        <v>2.35</v>
      </c>
      <c r="AM677" t="s">
        <v>10888</v>
      </c>
      <c r="AN677" t="s">
        <v>10912</v>
      </c>
      <c r="AO677" t="s">
        <v>11005</v>
      </c>
      <c r="AP677" t="s">
        <v>11061</v>
      </c>
      <c r="AQ677" t="s">
        <v>11101</v>
      </c>
      <c r="AR677" t="s">
        <v>11276</v>
      </c>
      <c r="AS677" t="s">
        <v>11595</v>
      </c>
      <c r="AT677" t="s">
        <v>11642</v>
      </c>
      <c r="AX677" t="s">
        <v>10838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</row>
    <row r="678" spans="1:59">
      <c r="A678" s="1">
        <f>HYPERLINK("https://lsnyc.legalserver.org/matter/dynamic-profile/view/1904420","19-1904420")</f>
        <v>0</v>
      </c>
      <c r="B678" t="s">
        <v>667</v>
      </c>
      <c r="C678" t="s">
        <v>5576</v>
      </c>
      <c r="D678" t="s">
        <v>9926</v>
      </c>
      <c r="E678" t="s">
        <v>10075</v>
      </c>
      <c r="F678">
        <v>10473</v>
      </c>
      <c r="G678" t="s">
        <v>10090</v>
      </c>
      <c r="H678" t="s">
        <v>10112</v>
      </c>
      <c r="I678" t="s">
        <v>10168</v>
      </c>
      <c r="J678" t="s">
        <v>10210</v>
      </c>
      <c r="K678" t="s">
        <v>10218</v>
      </c>
      <c r="L678" t="s">
        <v>10139</v>
      </c>
      <c r="M678" t="s">
        <v>10336</v>
      </c>
      <c r="N678" t="s">
        <v>10671</v>
      </c>
      <c r="P678" t="s">
        <v>10754</v>
      </c>
      <c r="Q678" t="s">
        <v>10782</v>
      </c>
      <c r="R678" t="s">
        <v>10821</v>
      </c>
      <c r="T678">
        <v>12840</v>
      </c>
      <c r="U678">
        <v>1070</v>
      </c>
      <c r="V678">
        <v>55</v>
      </c>
      <c r="W678">
        <v>1</v>
      </c>
      <c r="X678">
        <v>0</v>
      </c>
      <c r="Y678" t="s">
        <v>10829</v>
      </c>
      <c r="Z678">
        <v>102.8</v>
      </c>
      <c r="AA678">
        <v>40.817487</v>
      </c>
      <c r="AB678">
        <v>-73.86641899999999</v>
      </c>
      <c r="AD678" t="s">
        <v>10839</v>
      </c>
      <c r="AG678" t="s">
        <v>10858</v>
      </c>
      <c r="AH678" t="s">
        <v>10875</v>
      </c>
      <c r="AI678">
        <v>234</v>
      </c>
      <c r="AJ678" t="s">
        <v>10214</v>
      </c>
      <c r="AK678" t="s">
        <v>10837</v>
      </c>
      <c r="AL678">
        <v>2.3</v>
      </c>
      <c r="AM678" t="s">
        <v>10884</v>
      </c>
      <c r="AN678" t="s">
        <v>10968</v>
      </c>
      <c r="AO678" t="s">
        <v>11001</v>
      </c>
      <c r="AP678" t="s">
        <v>11046</v>
      </c>
      <c r="AR678" t="s">
        <v>11367</v>
      </c>
      <c r="AS678" t="s">
        <v>9926</v>
      </c>
      <c r="AT678" t="s">
        <v>11641</v>
      </c>
      <c r="AX678" t="s">
        <v>10838</v>
      </c>
      <c r="AY678" t="s">
        <v>10829</v>
      </c>
      <c r="AZ678" t="s">
        <v>11683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</row>
    <row r="679" spans="1:59">
      <c r="A679" s="1">
        <f>HYPERLINK("https://lsnyc.legalserver.org/matter/dynamic-profile/view/1904421","19-1904421")</f>
        <v>0</v>
      </c>
      <c r="B679" t="s">
        <v>668</v>
      </c>
      <c r="C679" t="s">
        <v>5577</v>
      </c>
      <c r="D679" t="s">
        <v>9948</v>
      </c>
      <c r="E679" t="s">
        <v>10075</v>
      </c>
      <c r="F679">
        <v>11691</v>
      </c>
      <c r="G679" t="s">
        <v>10091</v>
      </c>
      <c r="H679" t="s">
        <v>10112</v>
      </c>
      <c r="I679" t="s">
        <v>10168</v>
      </c>
      <c r="J679" t="s">
        <v>10211</v>
      </c>
      <c r="K679" t="s">
        <v>10217</v>
      </c>
      <c r="M679" t="s">
        <v>10231</v>
      </c>
      <c r="N679" t="s">
        <v>10647</v>
      </c>
      <c r="P679" t="s">
        <v>10752</v>
      </c>
      <c r="Q679" t="s">
        <v>10762</v>
      </c>
      <c r="R679" t="s">
        <v>10824</v>
      </c>
      <c r="T679">
        <v>10572</v>
      </c>
      <c r="U679">
        <v>881</v>
      </c>
      <c r="V679">
        <v>61</v>
      </c>
      <c r="W679">
        <v>1</v>
      </c>
      <c r="X679">
        <v>0</v>
      </c>
      <c r="Z679">
        <v>84.64</v>
      </c>
      <c r="AA679">
        <v>40.59618</v>
      </c>
      <c r="AB679">
        <v>-73.77346</v>
      </c>
      <c r="AD679" t="s">
        <v>10840</v>
      </c>
      <c r="AG679" t="s">
        <v>10858</v>
      </c>
      <c r="AH679" t="s">
        <v>10861</v>
      </c>
      <c r="AI679">
        <v>234</v>
      </c>
      <c r="AJ679" t="s">
        <v>10214</v>
      </c>
      <c r="AL679">
        <v>1.4</v>
      </c>
      <c r="AM679" t="s">
        <v>10892</v>
      </c>
      <c r="AN679" t="s">
        <v>10930</v>
      </c>
      <c r="AO679" t="s">
        <v>11017</v>
      </c>
      <c r="AP679" t="s">
        <v>11082</v>
      </c>
      <c r="AR679" t="s">
        <v>11282</v>
      </c>
      <c r="AS679" t="s">
        <v>11594</v>
      </c>
      <c r="AT679" t="s">
        <v>11642</v>
      </c>
      <c r="AX679" t="s">
        <v>10838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</row>
    <row r="680" spans="1:59">
      <c r="A680" s="1">
        <f>HYPERLINK("https://lsnyc.legalserver.org/matter/dynamic-profile/view/1904422","19-1904422")</f>
        <v>0</v>
      </c>
      <c r="B680" t="s">
        <v>669</v>
      </c>
      <c r="C680" t="s">
        <v>5578</v>
      </c>
      <c r="D680" t="s">
        <v>9928</v>
      </c>
      <c r="E680" t="s">
        <v>10075</v>
      </c>
      <c r="F680">
        <v>11237</v>
      </c>
      <c r="G680" t="s">
        <v>10093</v>
      </c>
      <c r="H680" t="s">
        <v>10112</v>
      </c>
      <c r="I680" t="s">
        <v>10168</v>
      </c>
      <c r="J680" t="s">
        <v>10213</v>
      </c>
      <c r="K680" t="s">
        <v>10218</v>
      </c>
      <c r="L680" t="s">
        <v>10129</v>
      </c>
      <c r="M680" t="s">
        <v>10290</v>
      </c>
      <c r="N680" t="s">
        <v>10665</v>
      </c>
      <c r="P680" t="s">
        <v>10751</v>
      </c>
      <c r="Q680" t="s">
        <v>10773</v>
      </c>
      <c r="R680" t="s">
        <v>10824</v>
      </c>
      <c r="T680">
        <v>31200</v>
      </c>
      <c r="U680">
        <v>2600</v>
      </c>
      <c r="V680">
        <v>46</v>
      </c>
      <c r="W680">
        <v>2</v>
      </c>
      <c r="X680">
        <v>2</v>
      </c>
      <c r="Y680" t="s">
        <v>10830</v>
      </c>
      <c r="Z680">
        <v>121.17</v>
      </c>
      <c r="AA680">
        <v>40.696442</v>
      </c>
      <c r="AB680">
        <v>-73.917428</v>
      </c>
      <c r="AD680" t="s">
        <v>10840</v>
      </c>
      <c r="AG680" t="s">
        <v>10858</v>
      </c>
      <c r="AH680" t="s">
        <v>10871</v>
      </c>
      <c r="AI680">
        <v>234</v>
      </c>
      <c r="AJ680" t="s">
        <v>10214</v>
      </c>
      <c r="AK680" t="s">
        <v>10838</v>
      </c>
      <c r="AL680">
        <v>18.26</v>
      </c>
      <c r="AR680" t="s">
        <v>11257</v>
      </c>
      <c r="AS680" t="s">
        <v>11595</v>
      </c>
      <c r="AT680" t="s">
        <v>11642</v>
      </c>
      <c r="AX680" t="s">
        <v>10838</v>
      </c>
      <c r="AY680" t="s">
        <v>10830</v>
      </c>
      <c r="AZ680" t="s">
        <v>11682</v>
      </c>
      <c r="BA680" t="s">
        <v>11740</v>
      </c>
      <c r="BB680">
        <v>0</v>
      </c>
      <c r="BC680">
        <v>0</v>
      </c>
      <c r="BD680">
        <v>0</v>
      </c>
      <c r="BE680">
        <v>0</v>
      </c>
      <c r="BF680">
        <v>2</v>
      </c>
      <c r="BG680">
        <v>0</v>
      </c>
    </row>
    <row r="681" spans="1:59">
      <c r="A681" s="1">
        <f>HYPERLINK("https://lsnyc.legalserver.org/matter/dynamic-profile/view/1904423","19-1904423")</f>
        <v>0</v>
      </c>
      <c r="B681" t="s">
        <v>77</v>
      </c>
      <c r="C681" t="s">
        <v>5018</v>
      </c>
      <c r="D681" t="s">
        <v>9929</v>
      </c>
      <c r="E681" t="s">
        <v>10075</v>
      </c>
      <c r="F681">
        <v>10304</v>
      </c>
      <c r="G681" t="s">
        <v>10088</v>
      </c>
      <c r="H681" t="s">
        <v>10124</v>
      </c>
      <c r="I681" t="s">
        <v>10168</v>
      </c>
      <c r="J681" t="s">
        <v>10208</v>
      </c>
      <c r="K681" t="s">
        <v>10217</v>
      </c>
      <c r="M681" t="s">
        <v>10259</v>
      </c>
      <c r="N681" t="s">
        <v>10650</v>
      </c>
      <c r="P681" t="s">
        <v>10749</v>
      </c>
      <c r="Q681" t="s">
        <v>10765</v>
      </c>
      <c r="R681" t="s">
        <v>10824</v>
      </c>
      <c r="T681">
        <v>10536</v>
      </c>
      <c r="U681">
        <v>878</v>
      </c>
      <c r="V681">
        <v>65</v>
      </c>
      <c r="W681">
        <v>1</v>
      </c>
      <c r="X681">
        <v>0</v>
      </c>
      <c r="Z681">
        <v>84.36</v>
      </c>
      <c r="AA681">
        <v>40.623662</v>
      </c>
      <c r="AB681">
        <v>-74.080727</v>
      </c>
      <c r="AD681" t="s">
        <v>10840</v>
      </c>
      <c r="AG681" t="s">
        <v>10858</v>
      </c>
      <c r="AH681" t="s">
        <v>10862</v>
      </c>
      <c r="AI681">
        <v>285</v>
      </c>
      <c r="AJ681" t="s">
        <v>10208</v>
      </c>
      <c r="AL681">
        <v>8.300000000000001</v>
      </c>
      <c r="AM681" t="s">
        <v>10883</v>
      </c>
      <c r="AN681" t="s">
        <v>10913</v>
      </c>
      <c r="AO681" t="s">
        <v>11006</v>
      </c>
      <c r="AP681" t="s">
        <v>11051</v>
      </c>
      <c r="AR681" t="s">
        <v>11274</v>
      </c>
      <c r="AS681" t="s">
        <v>11593</v>
      </c>
      <c r="BA681" t="s">
        <v>11738</v>
      </c>
      <c r="BB681">
        <v>0</v>
      </c>
      <c r="BC681">
        <v>0</v>
      </c>
      <c r="BD681">
        <v>0</v>
      </c>
      <c r="BE681">
        <v>0</v>
      </c>
      <c r="BF681">
        <v>5</v>
      </c>
      <c r="BG681">
        <v>0</v>
      </c>
    </row>
    <row r="682" spans="1:59">
      <c r="A682" s="1">
        <f>HYPERLINK("https://lsnyc.legalserver.org/matter/dynamic-profile/view/1904425","19-1904425")</f>
        <v>0</v>
      </c>
      <c r="B682" t="s">
        <v>656</v>
      </c>
      <c r="C682" t="s">
        <v>5565</v>
      </c>
      <c r="D682" t="s">
        <v>9928</v>
      </c>
      <c r="E682" t="s">
        <v>10075</v>
      </c>
      <c r="F682">
        <v>11216</v>
      </c>
      <c r="G682" t="s">
        <v>10093</v>
      </c>
      <c r="H682" t="s">
        <v>10112</v>
      </c>
      <c r="I682" t="s">
        <v>10168</v>
      </c>
      <c r="J682" t="s">
        <v>10213</v>
      </c>
      <c r="K682" t="s">
        <v>10217</v>
      </c>
      <c r="M682" t="s">
        <v>10467</v>
      </c>
      <c r="N682" t="s">
        <v>10668</v>
      </c>
      <c r="P682" t="s">
        <v>10751</v>
      </c>
      <c r="Q682" t="s">
        <v>10761</v>
      </c>
      <c r="R682" t="s">
        <v>10824</v>
      </c>
      <c r="T682">
        <v>4800</v>
      </c>
      <c r="U682">
        <v>400</v>
      </c>
      <c r="V682">
        <v>33</v>
      </c>
      <c r="W682">
        <v>1</v>
      </c>
      <c r="X682">
        <v>2</v>
      </c>
      <c r="Z682">
        <v>22.5</v>
      </c>
      <c r="AA682">
        <v>40.683381</v>
      </c>
      <c r="AB682">
        <v>-73.95047099999999</v>
      </c>
      <c r="AD682" t="s">
        <v>10839</v>
      </c>
      <c r="AF682" t="s">
        <v>10843</v>
      </c>
      <c r="AG682" t="s">
        <v>10859</v>
      </c>
      <c r="AH682" t="s">
        <v>10862</v>
      </c>
      <c r="AI682">
        <v>239</v>
      </c>
      <c r="AJ682" t="s">
        <v>10213</v>
      </c>
      <c r="AL682">
        <v>3.8</v>
      </c>
      <c r="AM682" t="s">
        <v>10889</v>
      </c>
      <c r="AN682" t="s">
        <v>10923</v>
      </c>
      <c r="AO682" t="s">
        <v>11007</v>
      </c>
      <c r="AP682" t="s">
        <v>11052</v>
      </c>
      <c r="AR682" t="s">
        <v>11255</v>
      </c>
      <c r="AS682" t="s">
        <v>11595</v>
      </c>
      <c r="BA682" t="s">
        <v>11742</v>
      </c>
      <c r="BB682">
        <v>0</v>
      </c>
      <c r="BC682">
        <v>0</v>
      </c>
      <c r="BD682">
        <v>0</v>
      </c>
      <c r="BE682">
        <v>0</v>
      </c>
      <c r="BF682">
        <v>7</v>
      </c>
      <c r="BG682">
        <v>0</v>
      </c>
    </row>
    <row r="683" spans="1:59">
      <c r="A683" s="1">
        <f>HYPERLINK("https://lsnyc.legalserver.org/matter/dynamic-profile/view/1904426","19-1904426")</f>
        <v>0</v>
      </c>
      <c r="B683" t="s">
        <v>670</v>
      </c>
      <c r="C683" t="s">
        <v>5579</v>
      </c>
      <c r="D683" t="s">
        <v>9925</v>
      </c>
      <c r="E683" t="s">
        <v>10075</v>
      </c>
      <c r="F683">
        <v>10031</v>
      </c>
      <c r="G683" t="s">
        <v>10089</v>
      </c>
      <c r="H683" t="s">
        <v>10112</v>
      </c>
      <c r="I683" t="s">
        <v>10168</v>
      </c>
      <c r="J683" t="s">
        <v>10209</v>
      </c>
      <c r="K683" t="s">
        <v>10217</v>
      </c>
      <c r="M683" t="s">
        <v>10471</v>
      </c>
      <c r="N683" t="s">
        <v>10702</v>
      </c>
      <c r="P683" t="s">
        <v>10749</v>
      </c>
      <c r="Q683" t="s">
        <v>10765</v>
      </c>
      <c r="R683" t="s">
        <v>10824</v>
      </c>
      <c r="T683">
        <v>33648</v>
      </c>
      <c r="U683">
        <v>2804</v>
      </c>
      <c r="V683">
        <v>50</v>
      </c>
      <c r="W683">
        <v>4</v>
      </c>
      <c r="X683">
        <v>0</v>
      </c>
      <c r="Z683">
        <v>130.67</v>
      </c>
      <c r="AA683">
        <v>40.827443</v>
      </c>
      <c r="AB683">
        <v>-73.94349099999999</v>
      </c>
      <c r="AD683" t="s">
        <v>10839</v>
      </c>
      <c r="AG683" t="s">
        <v>10858</v>
      </c>
      <c r="AH683" t="s">
        <v>10862</v>
      </c>
      <c r="AI683">
        <v>236</v>
      </c>
      <c r="AJ683" t="s">
        <v>10209</v>
      </c>
      <c r="AL683">
        <v>3</v>
      </c>
      <c r="AM683" t="s">
        <v>10887</v>
      </c>
      <c r="AN683" t="s">
        <v>10943</v>
      </c>
      <c r="AO683" t="s">
        <v>11016</v>
      </c>
      <c r="AP683" t="s">
        <v>11076</v>
      </c>
      <c r="AR683" t="s">
        <v>11368</v>
      </c>
      <c r="AS683" t="s">
        <v>9925</v>
      </c>
      <c r="BA683" t="s">
        <v>11738</v>
      </c>
      <c r="BB683">
        <v>0</v>
      </c>
      <c r="BC683">
        <v>0</v>
      </c>
      <c r="BD683">
        <v>0</v>
      </c>
      <c r="BE683">
        <v>0</v>
      </c>
      <c r="BF683">
        <v>5</v>
      </c>
      <c r="BG683">
        <v>0</v>
      </c>
    </row>
    <row r="684" spans="1:59">
      <c r="A684" s="1">
        <f>HYPERLINK("https://lsnyc.legalserver.org/matter/dynamic-profile/view/1904427","19-1904427")</f>
        <v>0</v>
      </c>
      <c r="B684" t="s">
        <v>306</v>
      </c>
      <c r="C684" t="s">
        <v>5580</v>
      </c>
      <c r="D684" t="s">
        <v>9926</v>
      </c>
      <c r="E684" t="s">
        <v>10075</v>
      </c>
      <c r="F684">
        <v>10468</v>
      </c>
      <c r="G684" t="s">
        <v>10091</v>
      </c>
      <c r="H684" t="s">
        <v>10112</v>
      </c>
      <c r="I684" t="s">
        <v>10169</v>
      </c>
      <c r="J684" t="s">
        <v>10211</v>
      </c>
      <c r="K684" t="s">
        <v>10217</v>
      </c>
      <c r="M684" t="s">
        <v>10307</v>
      </c>
      <c r="N684" t="s">
        <v>10671</v>
      </c>
      <c r="P684" t="s">
        <v>10752</v>
      </c>
      <c r="Q684" t="s">
        <v>10762</v>
      </c>
      <c r="R684" t="s">
        <v>10821</v>
      </c>
      <c r="T684">
        <v>20800</v>
      </c>
      <c r="U684">
        <v>1733.33</v>
      </c>
      <c r="V684">
        <v>56</v>
      </c>
      <c r="W684">
        <v>1</v>
      </c>
      <c r="X684">
        <v>0</v>
      </c>
      <c r="Z684">
        <v>166.53</v>
      </c>
      <c r="AA684">
        <v>40.863303</v>
      </c>
      <c r="AB684">
        <v>-73.89845800000001</v>
      </c>
      <c r="AD684" t="s">
        <v>10840</v>
      </c>
      <c r="AG684" t="s">
        <v>10858</v>
      </c>
      <c r="AH684" t="s">
        <v>10861</v>
      </c>
      <c r="AI684">
        <v>234</v>
      </c>
      <c r="AJ684" t="s">
        <v>10214</v>
      </c>
      <c r="AL684">
        <v>0.75</v>
      </c>
      <c r="AM684" t="s">
        <v>10887</v>
      </c>
      <c r="AN684" t="s">
        <v>10907</v>
      </c>
      <c r="AO684" t="s">
        <v>11000</v>
      </c>
      <c r="AP684" t="s">
        <v>11045</v>
      </c>
      <c r="AR684" t="s">
        <v>11257</v>
      </c>
      <c r="AS684" t="s">
        <v>9926</v>
      </c>
      <c r="AT684" t="s">
        <v>11642</v>
      </c>
      <c r="AX684" t="s">
        <v>10838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</row>
    <row r="685" spans="1:59">
      <c r="A685" s="1">
        <f>HYPERLINK("https://lsnyc.legalserver.org/matter/dynamic-profile/view/1904428","19-1904428")</f>
        <v>0</v>
      </c>
      <c r="B685" t="s">
        <v>671</v>
      </c>
      <c r="C685" t="s">
        <v>5581</v>
      </c>
      <c r="D685" t="s">
        <v>9925</v>
      </c>
      <c r="E685" t="s">
        <v>10075</v>
      </c>
      <c r="F685">
        <v>10026</v>
      </c>
      <c r="G685" t="s">
        <v>10089</v>
      </c>
      <c r="H685" t="s">
        <v>10112</v>
      </c>
      <c r="I685" t="s">
        <v>10168</v>
      </c>
      <c r="J685" t="s">
        <v>10209</v>
      </c>
      <c r="K685" t="s">
        <v>10217</v>
      </c>
      <c r="M685" t="s">
        <v>10379</v>
      </c>
      <c r="N685" t="s">
        <v>10715</v>
      </c>
      <c r="P685" t="s">
        <v>10751</v>
      </c>
      <c r="Q685" t="s">
        <v>10776</v>
      </c>
      <c r="R685" t="s">
        <v>10824</v>
      </c>
      <c r="T685">
        <v>26562</v>
      </c>
      <c r="U685">
        <v>2213.5</v>
      </c>
      <c r="V685">
        <v>44</v>
      </c>
      <c r="W685">
        <v>3</v>
      </c>
      <c r="X685">
        <v>3</v>
      </c>
      <c r="Z685">
        <v>76.79000000000001</v>
      </c>
      <c r="AA685">
        <v>40.803363</v>
      </c>
      <c r="AB685">
        <v>-73.956551</v>
      </c>
      <c r="AD685" t="s">
        <v>10840</v>
      </c>
      <c r="AF685" t="s">
        <v>10843</v>
      </c>
      <c r="AG685" t="s">
        <v>10859</v>
      </c>
      <c r="AH685" t="s">
        <v>10862</v>
      </c>
      <c r="AI685">
        <v>236</v>
      </c>
      <c r="AJ685" t="s">
        <v>10209</v>
      </c>
      <c r="AL685">
        <v>0</v>
      </c>
      <c r="AM685" t="s">
        <v>10887</v>
      </c>
      <c r="AN685" t="s">
        <v>10936</v>
      </c>
      <c r="AO685" t="s">
        <v>11016</v>
      </c>
      <c r="AP685" t="s">
        <v>11076</v>
      </c>
      <c r="AR685" t="s">
        <v>11257</v>
      </c>
      <c r="AS685" t="s">
        <v>9925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</row>
    <row r="686" spans="1:59">
      <c r="A686" s="1">
        <f>HYPERLINK("https://lsnyc.legalserver.org/matter/dynamic-profile/view/1904429","19-1904429")</f>
        <v>0</v>
      </c>
      <c r="B686" t="s">
        <v>139</v>
      </c>
      <c r="C686" t="s">
        <v>5078</v>
      </c>
      <c r="D686" t="s">
        <v>9926</v>
      </c>
      <c r="E686" t="s">
        <v>10075</v>
      </c>
      <c r="F686">
        <v>10453</v>
      </c>
      <c r="G686" t="s">
        <v>10089</v>
      </c>
      <c r="H686" t="s">
        <v>10112</v>
      </c>
      <c r="I686" t="s">
        <v>10168</v>
      </c>
      <c r="J686" t="s">
        <v>10209</v>
      </c>
      <c r="K686" t="s">
        <v>10217</v>
      </c>
      <c r="M686" t="s">
        <v>10278</v>
      </c>
      <c r="N686" t="s">
        <v>10673</v>
      </c>
      <c r="P686" t="s">
        <v>10753</v>
      </c>
      <c r="Q686" t="s">
        <v>10763</v>
      </c>
      <c r="R686" t="s">
        <v>10821</v>
      </c>
      <c r="T686">
        <v>30512</v>
      </c>
      <c r="U686">
        <v>2542.67</v>
      </c>
      <c r="V686">
        <v>37</v>
      </c>
      <c r="W686">
        <v>4</v>
      </c>
      <c r="X686">
        <v>0</v>
      </c>
      <c r="Z686">
        <v>118.49</v>
      </c>
      <c r="AA686">
        <v>40.849619</v>
      </c>
      <c r="AB686">
        <v>-73.90656300000001</v>
      </c>
      <c r="AD686" t="s">
        <v>10839</v>
      </c>
      <c r="AF686" t="s">
        <v>10845</v>
      </c>
      <c r="AG686" t="s">
        <v>10859</v>
      </c>
      <c r="AH686" t="s">
        <v>10864</v>
      </c>
      <c r="AI686">
        <v>236</v>
      </c>
      <c r="AJ686" t="s">
        <v>10209</v>
      </c>
      <c r="AL686">
        <v>0</v>
      </c>
      <c r="AM686" t="s">
        <v>10884</v>
      </c>
      <c r="AN686" t="s">
        <v>10931</v>
      </c>
      <c r="AO686" t="s">
        <v>11000</v>
      </c>
      <c r="AP686" t="s">
        <v>11045</v>
      </c>
      <c r="AQ686" t="s">
        <v>11163</v>
      </c>
      <c r="AR686" t="s">
        <v>11284</v>
      </c>
      <c r="AS686" t="s">
        <v>9926</v>
      </c>
      <c r="AX686" t="s">
        <v>10837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</row>
    <row r="687" spans="1:59">
      <c r="A687" s="1">
        <f>HYPERLINK("https://lsnyc.legalserver.org/matter/dynamic-profile/view/1904430","19-1904430")</f>
        <v>0</v>
      </c>
      <c r="B687" t="s">
        <v>672</v>
      </c>
      <c r="C687" t="s">
        <v>5582</v>
      </c>
      <c r="D687" t="s">
        <v>9925</v>
      </c>
      <c r="E687" t="s">
        <v>10075</v>
      </c>
      <c r="F687">
        <v>10029</v>
      </c>
      <c r="G687" t="s">
        <v>10089</v>
      </c>
      <c r="H687" t="s">
        <v>10112</v>
      </c>
      <c r="I687" t="s">
        <v>10168</v>
      </c>
      <c r="J687" t="s">
        <v>10209</v>
      </c>
      <c r="K687" t="s">
        <v>10218</v>
      </c>
      <c r="L687" t="s">
        <v>10155</v>
      </c>
      <c r="M687" t="s">
        <v>10300</v>
      </c>
      <c r="N687" t="s">
        <v>10671</v>
      </c>
      <c r="P687" t="s">
        <v>10754</v>
      </c>
      <c r="Q687" t="s">
        <v>10775</v>
      </c>
      <c r="R687" t="s">
        <v>10827</v>
      </c>
      <c r="T687">
        <v>0</v>
      </c>
      <c r="U687">
        <v>0</v>
      </c>
      <c r="V687">
        <v>28</v>
      </c>
      <c r="W687">
        <v>1</v>
      </c>
      <c r="X687">
        <v>0</v>
      </c>
      <c r="Y687" t="s">
        <v>10830</v>
      </c>
      <c r="Z687">
        <v>0</v>
      </c>
      <c r="AA687">
        <v>40.791641</v>
      </c>
      <c r="AB687">
        <v>-73.944799</v>
      </c>
      <c r="AD687" t="s">
        <v>10839</v>
      </c>
      <c r="AF687" t="s">
        <v>10842</v>
      </c>
      <c r="AG687" t="s">
        <v>10859</v>
      </c>
      <c r="AH687" t="s">
        <v>10861</v>
      </c>
      <c r="AI687">
        <v>234</v>
      </c>
      <c r="AJ687" t="s">
        <v>10214</v>
      </c>
      <c r="AK687" t="s">
        <v>10837</v>
      </c>
      <c r="AL687">
        <v>4.2</v>
      </c>
      <c r="AR687" t="s">
        <v>11267</v>
      </c>
      <c r="AS687" t="s">
        <v>9925</v>
      </c>
      <c r="AT687" t="s">
        <v>11641</v>
      </c>
      <c r="AX687" t="s">
        <v>10838</v>
      </c>
      <c r="AY687" t="s">
        <v>10830</v>
      </c>
      <c r="AZ687" t="s">
        <v>11691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</row>
    <row r="688" spans="1:59">
      <c r="A688" s="1">
        <f>HYPERLINK("https://lsnyc.legalserver.org/matter/dynamic-profile/view/1904431","19-1904431")</f>
        <v>0</v>
      </c>
      <c r="B688" t="s">
        <v>673</v>
      </c>
      <c r="C688" t="s">
        <v>5583</v>
      </c>
      <c r="D688" t="s">
        <v>9926</v>
      </c>
      <c r="E688" t="s">
        <v>10075</v>
      </c>
      <c r="F688">
        <v>10452</v>
      </c>
      <c r="G688" t="s">
        <v>10090</v>
      </c>
      <c r="H688" t="s">
        <v>10112</v>
      </c>
      <c r="I688" t="s">
        <v>10168</v>
      </c>
      <c r="J688" t="s">
        <v>10210</v>
      </c>
      <c r="K688" t="s">
        <v>10217</v>
      </c>
      <c r="M688" t="s">
        <v>10322</v>
      </c>
      <c r="N688" t="s">
        <v>10671</v>
      </c>
      <c r="P688" t="s">
        <v>10754</v>
      </c>
      <c r="Q688" t="s">
        <v>10784</v>
      </c>
      <c r="R688" t="s">
        <v>10821</v>
      </c>
      <c r="T688">
        <v>1896</v>
      </c>
      <c r="U688">
        <v>158</v>
      </c>
      <c r="V688">
        <v>33</v>
      </c>
      <c r="W688">
        <v>1</v>
      </c>
      <c r="X688">
        <v>0</v>
      </c>
      <c r="Z688">
        <v>15.18</v>
      </c>
      <c r="AA688">
        <v>40.836242</v>
      </c>
      <c r="AB688">
        <v>-73.916808</v>
      </c>
      <c r="AD688" t="s">
        <v>10839</v>
      </c>
      <c r="AG688" t="s">
        <v>10858</v>
      </c>
      <c r="AH688" t="s">
        <v>10861</v>
      </c>
      <c r="AI688">
        <v>234</v>
      </c>
      <c r="AJ688" t="s">
        <v>10214</v>
      </c>
      <c r="AL688">
        <v>1</v>
      </c>
      <c r="AM688" t="s">
        <v>10884</v>
      </c>
      <c r="AN688" t="s">
        <v>10924</v>
      </c>
      <c r="AO688" t="s">
        <v>11013</v>
      </c>
      <c r="AP688" t="s">
        <v>11055</v>
      </c>
      <c r="AR688" t="s">
        <v>11255</v>
      </c>
      <c r="AS688" t="s">
        <v>9926</v>
      </c>
      <c r="AT688" t="s">
        <v>11641</v>
      </c>
      <c r="AX688" t="s">
        <v>10837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</row>
    <row r="689" spans="1:59">
      <c r="A689" s="1">
        <f>HYPERLINK("https://lsnyc.legalserver.org/matter/dynamic-profile/view/1904432","19-1904432")</f>
        <v>0</v>
      </c>
      <c r="B689" t="s">
        <v>674</v>
      </c>
      <c r="C689" t="s">
        <v>5584</v>
      </c>
      <c r="D689" t="s">
        <v>9925</v>
      </c>
      <c r="E689" t="s">
        <v>10075</v>
      </c>
      <c r="F689">
        <v>10009</v>
      </c>
      <c r="G689" t="s">
        <v>10089</v>
      </c>
      <c r="H689" t="s">
        <v>10112</v>
      </c>
      <c r="I689" t="s">
        <v>10169</v>
      </c>
      <c r="J689" t="s">
        <v>10209</v>
      </c>
      <c r="K689" t="s">
        <v>10218</v>
      </c>
      <c r="L689" t="s">
        <v>10095</v>
      </c>
      <c r="M689" t="s">
        <v>10472</v>
      </c>
      <c r="N689" t="s">
        <v>10691</v>
      </c>
      <c r="P689" t="s">
        <v>10751</v>
      </c>
      <c r="Q689" t="s">
        <v>10761</v>
      </c>
      <c r="R689" t="s">
        <v>10821</v>
      </c>
      <c r="T689">
        <v>6936</v>
      </c>
      <c r="U689">
        <v>578</v>
      </c>
      <c r="V689">
        <v>38</v>
      </c>
      <c r="W689">
        <v>1</v>
      </c>
      <c r="X689">
        <v>2</v>
      </c>
      <c r="Y689" t="s">
        <v>10829</v>
      </c>
      <c r="Z689">
        <v>32.52</v>
      </c>
      <c r="AA689">
        <v>40.723821</v>
      </c>
      <c r="AB689">
        <v>-73.975409</v>
      </c>
      <c r="AD689" t="s">
        <v>10839</v>
      </c>
      <c r="AF689" t="s">
        <v>10843</v>
      </c>
      <c r="AG689" t="s">
        <v>10859</v>
      </c>
      <c r="AH689" t="s">
        <v>10861</v>
      </c>
      <c r="AI689">
        <v>234</v>
      </c>
      <c r="AJ689" t="s">
        <v>10214</v>
      </c>
      <c r="AK689" t="s">
        <v>10838</v>
      </c>
      <c r="AL689">
        <v>2.1</v>
      </c>
      <c r="AM689" t="s">
        <v>10886</v>
      </c>
      <c r="AN689" t="s">
        <v>10910</v>
      </c>
      <c r="AO689" t="s">
        <v>11021</v>
      </c>
      <c r="AP689" t="s">
        <v>11048</v>
      </c>
      <c r="AR689" t="s">
        <v>11344</v>
      </c>
      <c r="AS689" t="s">
        <v>9925</v>
      </c>
      <c r="AT689" t="s">
        <v>11641</v>
      </c>
      <c r="AX689" t="s">
        <v>10838</v>
      </c>
      <c r="AY689" t="s">
        <v>10829</v>
      </c>
      <c r="AZ689" t="s">
        <v>11682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</row>
    <row r="690" spans="1:59">
      <c r="A690" s="1">
        <f>HYPERLINK("https://lsnyc.legalserver.org/matter/dynamic-profile/view/1904433","19-1904433")</f>
        <v>0</v>
      </c>
      <c r="B690" t="s">
        <v>675</v>
      </c>
      <c r="C690" t="s">
        <v>5585</v>
      </c>
      <c r="D690" t="s">
        <v>9929</v>
      </c>
      <c r="E690" t="s">
        <v>10075</v>
      </c>
      <c r="F690">
        <v>10306</v>
      </c>
      <c r="G690" t="s">
        <v>10088</v>
      </c>
      <c r="H690" t="s">
        <v>10112</v>
      </c>
      <c r="I690" t="s">
        <v>10168</v>
      </c>
      <c r="J690" t="s">
        <v>10208</v>
      </c>
      <c r="K690" t="s">
        <v>10217</v>
      </c>
      <c r="M690" t="s">
        <v>10259</v>
      </c>
      <c r="N690" t="s">
        <v>10650</v>
      </c>
      <c r="P690" t="s">
        <v>10749</v>
      </c>
      <c r="Q690" t="s">
        <v>10765</v>
      </c>
      <c r="R690" t="s">
        <v>10820</v>
      </c>
      <c r="T690">
        <v>31752</v>
      </c>
      <c r="U690">
        <v>2646</v>
      </c>
      <c r="V690">
        <v>30</v>
      </c>
      <c r="W690">
        <v>3</v>
      </c>
      <c r="X690">
        <v>0</v>
      </c>
      <c r="Z690">
        <v>148.86</v>
      </c>
      <c r="AA690">
        <v>40.557404</v>
      </c>
      <c r="AB690">
        <v>-74.112737</v>
      </c>
      <c r="AD690" t="s">
        <v>10840</v>
      </c>
      <c r="AG690" t="s">
        <v>10858</v>
      </c>
      <c r="AH690" t="s">
        <v>10862</v>
      </c>
      <c r="AI690">
        <v>285</v>
      </c>
      <c r="AJ690" t="s">
        <v>10208</v>
      </c>
      <c r="AL690">
        <v>6.3</v>
      </c>
      <c r="AM690" t="s">
        <v>10883</v>
      </c>
      <c r="AN690" t="s">
        <v>10915</v>
      </c>
      <c r="AO690" t="s">
        <v>10999</v>
      </c>
      <c r="AP690" t="s">
        <v>11063</v>
      </c>
      <c r="AR690" t="s">
        <v>11295</v>
      </c>
      <c r="AS690" t="s">
        <v>11593</v>
      </c>
      <c r="BA690" t="s">
        <v>11738</v>
      </c>
      <c r="BB690">
        <v>0</v>
      </c>
      <c r="BC690">
        <v>0</v>
      </c>
      <c r="BD690">
        <v>0</v>
      </c>
      <c r="BE690">
        <v>0</v>
      </c>
      <c r="BF690">
        <v>5</v>
      </c>
      <c r="BG690">
        <v>0</v>
      </c>
    </row>
    <row r="691" spans="1:59">
      <c r="A691" s="1">
        <f>HYPERLINK("https://lsnyc.legalserver.org/matter/dynamic-profile/view/1904434","19-1904434")</f>
        <v>0</v>
      </c>
      <c r="B691" t="s">
        <v>676</v>
      </c>
      <c r="C691" t="s">
        <v>5586</v>
      </c>
      <c r="D691" t="s">
        <v>9928</v>
      </c>
      <c r="E691" t="s">
        <v>10075</v>
      </c>
      <c r="F691">
        <v>11221</v>
      </c>
      <c r="G691" t="s">
        <v>10093</v>
      </c>
      <c r="H691" t="s">
        <v>10112</v>
      </c>
      <c r="I691" t="s">
        <v>10168</v>
      </c>
      <c r="J691" t="s">
        <v>10213</v>
      </c>
      <c r="K691" t="s">
        <v>10218</v>
      </c>
      <c r="L691" t="s">
        <v>10106</v>
      </c>
      <c r="M691" t="s">
        <v>10435</v>
      </c>
      <c r="N691" t="s">
        <v>10665</v>
      </c>
      <c r="P691" t="s">
        <v>10750</v>
      </c>
      <c r="Q691" t="s">
        <v>10779</v>
      </c>
      <c r="R691" t="s">
        <v>10824</v>
      </c>
      <c r="T691">
        <v>0</v>
      </c>
      <c r="U691">
        <v>0</v>
      </c>
      <c r="V691">
        <v>25</v>
      </c>
      <c r="W691">
        <v>1</v>
      </c>
      <c r="X691">
        <v>0</v>
      </c>
      <c r="Y691" t="s">
        <v>10829</v>
      </c>
      <c r="Z691">
        <v>0</v>
      </c>
      <c r="AA691">
        <v>40.684679</v>
      </c>
      <c r="AB691">
        <v>-73.94275500000001</v>
      </c>
      <c r="AD691" t="s">
        <v>10839</v>
      </c>
      <c r="AG691" t="s">
        <v>10858</v>
      </c>
      <c r="AH691" t="s">
        <v>10871</v>
      </c>
      <c r="AI691">
        <v>234</v>
      </c>
      <c r="AJ691" t="s">
        <v>10214</v>
      </c>
      <c r="AK691" t="s">
        <v>10838</v>
      </c>
      <c r="AL691">
        <v>2.25</v>
      </c>
      <c r="AM691" t="s">
        <v>10889</v>
      </c>
      <c r="AN691" t="s">
        <v>10914</v>
      </c>
      <c r="AO691" t="s">
        <v>11007</v>
      </c>
      <c r="AP691" t="s">
        <v>11052</v>
      </c>
      <c r="AR691" t="s">
        <v>11267</v>
      </c>
      <c r="AS691" t="s">
        <v>11595</v>
      </c>
      <c r="AT691" t="s">
        <v>11641</v>
      </c>
      <c r="AX691" t="s">
        <v>10838</v>
      </c>
      <c r="AY691" t="s">
        <v>10829</v>
      </c>
      <c r="AZ691" t="s">
        <v>11679</v>
      </c>
      <c r="BA691" t="s">
        <v>11741</v>
      </c>
      <c r="BB691">
        <v>0</v>
      </c>
      <c r="BC691">
        <v>0</v>
      </c>
      <c r="BD691">
        <v>0</v>
      </c>
      <c r="BE691">
        <v>0</v>
      </c>
      <c r="BF691">
        <v>1</v>
      </c>
      <c r="BG691">
        <v>0</v>
      </c>
    </row>
    <row r="692" spans="1:59">
      <c r="A692" s="1">
        <f>HYPERLINK("https://lsnyc.legalserver.org/matter/dynamic-profile/view/1904435","19-1904435")</f>
        <v>0</v>
      </c>
      <c r="B692" t="s">
        <v>677</v>
      </c>
      <c r="C692" t="s">
        <v>5587</v>
      </c>
      <c r="D692" t="s">
        <v>9974</v>
      </c>
      <c r="E692" t="s">
        <v>10075</v>
      </c>
      <c r="F692">
        <v>14212</v>
      </c>
      <c r="G692" t="s">
        <v>10092</v>
      </c>
      <c r="H692" t="s">
        <v>10112</v>
      </c>
      <c r="I692" t="s">
        <v>10168</v>
      </c>
      <c r="J692" t="s">
        <v>10212</v>
      </c>
      <c r="K692" t="s">
        <v>10217</v>
      </c>
      <c r="M692" t="s">
        <v>10428</v>
      </c>
      <c r="N692" t="s">
        <v>10650</v>
      </c>
      <c r="P692" t="s">
        <v>10749</v>
      </c>
      <c r="Q692" t="s">
        <v>10791</v>
      </c>
      <c r="R692" t="s">
        <v>10827</v>
      </c>
      <c r="T692">
        <v>20700</v>
      </c>
      <c r="U692">
        <v>1725</v>
      </c>
      <c r="V692">
        <v>40</v>
      </c>
      <c r="W692">
        <v>3</v>
      </c>
      <c r="X692">
        <v>1</v>
      </c>
      <c r="Z692">
        <v>80.39</v>
      </c>
      <c r="AA692">
        <v>42.89828</v>
      </c>
      <c r="AB692">
        <v>-78.83536700000001</v>
      </c>
      <c r="AD692" t="s">
        <v>10840</v>
      </c>
      <c r="AG692" t="s">
        <v>10858</v>
      </c>
      <c r="AH692" t="s">
        <v>10862</v>
      </c>
      <c r="AI692">
        <v>237</v>
      </c>
      <c r="AJ692" t="s">
        <v>10212</v>
      </c>
      <c r="AL692">
        <v>17.6</v>
      </c>
      <c r="AQ692" t="s">
        <v>11133</v>
      </c>
      <c r="AR692" t="s">
        <v>11295</v>
      </c>
      <c r="AS692" t="s">
        <v>11605</v>
      </c>
      <c r="BA692" t="s">
        <v>11738</v>
      </c>
      <c r="BB692">
        <v>0</v>
      </c>
      <c r="BC692">
        <v>0</v>
      </c>
      <c r="BD692">
        <v>0</v>
      </c>
      <c r="BE692">
        <v>0</v>
      </c>
      <c r="BF692">
        <v>5</v>
      </c>
      <c r="BG692">
        <v>0</v>
      </c>
    </row>
    <row r="693" spans="1:59">
      <c r="A693" s="1">
        <f>HYPERLINK("https://lsnyc.legalserver.org/matter/dynamic-profile/view/1904436","19-1904436")</f>
        <v>0</v>
      </c>
      <c r="B693" t="s">
        <v>678</v>
      </c>
      <c r="C693" t="s">
        <v>5588</v>
      </c>
      <c r="D693" t="s">
        <v>9926</v>
      </c>
      <c r="E693" t="s">
        <v>10075</v>
      </c>
      <c r="F693">
        <v>10456</v>
      </c>
      <c r="G693" t="s">
        <v>10090</v>
      </c>
      <c r="H693" t="s">
        <v>10112</v>
      </c>
      <c r="I693" t="s">
        <v>10168</v>
      </c>
      <c r="J693" t="s">
        <v>10210</v>
      </c>
      <c r="K693" t="s">
        <v>10218</v>
      </c>
      <c r="L693" t="s">
        <v>10146</v>
      </c>
      <c r="M693" t="s">
        <v>10336</v>
      </c>
      <c r="N693" t="s">
        <v>10687</v>
      </c>
      <c r="P693" t="s">
        <v>10754</v>
      </c>
      <c r="Q693" t="s">
        <v>10766</v>
      </c>
      <c r="R693" t="s">
        <v>10821</v>
      </c>
      <c r="T693">
        <v>26312</v>
      </c>
      <c r="U693">
        <v>2192.67</v>
      </c>
      <c r="V693">
        <v>38</v>
      </c>
      <c r="W693">
        <v>1</v>
      </c>
      <c r="X693">
        <v>0</v>
      </c>
      <c r="Y693" t="s">
        <v>10829</v>
      </c>
      <c r="Z693">
        <v>210.66</v>
      </c>
      <c r="AA693">
        <v>40.823997</v>
      </c>
      <c r="AB693">
        <v>-73.90755299999999</v>
      </c>
      <c r="AC693" t="s">
        <v>10837</v>
      </c>
      <c r="AD693" t="s">
        <v>10840</v>
      </c>
      <c r="AG693" t="s">
        <v>10858</v>
      </c>
      <c r="AH693" t="s">
        <v>10862</v>
      </c>
      <c r="AI693">
        <v>230</v>
      </c>
      <c r="AJ693" t="s">
        <v>10210</v>
      </c>
      <c r="AK693" t="s">
        <v>10837</v>
      </c>
      <c r="AL693">
        <v>4.4</v>
      </c>
      <c r="AM693" t="s">
        <v>10884</v>
      </c>
      <c r="AN693" t="s">
        <v>10918</v>
      </c>
      <c r="AO693" t="s">
        <v>11001</v>
      </c>
      <c r="AP693" t="s">
        <v>11055</v>
      </c>
      <c r="AR693" t="s">
        <v>11257</v>
      </c>
      <c r="AS693" t="s">
        <v>9926</v>
      </c>
      <c r="AT693" t="s">
        <v>11642</v>
      </c>
      <c r="AX693" t="s">
        <v>10838</v>
      </c>
      <c r="AY693" t="s">
        <v>10829</v>
      </c>
      <c r="AZ693" t="s">
        <v>11683</v>
      </c>
      <c r="BA693" t="s">
        <v>11741</v>
      </c>
      <c r="BB693">
        <v>0</v>
      </c>
      <c r="BC693">
        <v>0</v>
      </c>
      <c r="BD693">
        <v>0</v>
      </c>
      <c r="BE693">
        <v>0</v>
      </c>
      <c r="BF693">
        <v>1</v>
      </c>
      <c r="BG693">
        <v>0</v>
      </c>
    </row>
    <row r="694" spans="1:59">
      <c r="A694" s="1">
        <f>HYPERLINK("https://lsnyc.legalserver.org/matter/dynamic-profile/view/1904437","19-1904437")</f>
        <v>0</v>
      </c>
      <c r="B694" t="s">
        <v>679</v>
      </c>
      <c r="C694" t="s">
        <v>5589</v>
      </c>
      <c r="D694" t="s">
        <v>9925</v>
      </c>
      <c r="E694" t="s">
        <v>10075</v>
      </c>
      <c r="F694">
        <v>10027</v>
      </c>
      <c r="G694" t="s">
        <v>10089</v>
      </c>
      <c r="H694" t="s">
        <v>10112</v>
      </c>
      <c r="I694" t="s">
        <v>10168</v>
      </c>
      <c r="J694" t="s">
        <v>10209</v>
      </c>
      <c r="K694" t="s">
        <v>10217</v>
      </c>
      <c r="M694" t="s">
        <v>10432</v>
      </c>
      <c r="N694" t="s">
        <v>10715</v>
      </c>
      <c r="P694" t="s">
        <v>10751</v>
      </c>
      <c r="Q694" t="s">
        <v>10776</v>
      </c>
      <c r="R694" t="s">
        <v>10824</v>
      </c>
      <c r="T694">
        <v>26000</v>
      </c>
      <c r="U694">
        <v>2166.67</v>
      </c>
      <c r="V694">
        <v>40</v>
      </c>
      <c r="W694">
        <v>2</v>
      </c>
      <c r="X694">
        <v>2</v>
      </c>
      <c r="Z694">
        <v>100.97</v>
      </c>
      <c r="AA694">
        <v>40.806713</v>
      </c>
      <c r="AB694">
        <v>-73.949506</v>
      </c>
      <c r="AD694" t="s">
        <v>10840</v>
      </c>
      <c r="AG694" t="s">
        <v>10858</v>
      </c>
      <c r="AH694" t="s">
        <v>10862</v>
      </c>
      <c r="AI694">
        <v>236</v>
      </c>
      <c r="AJ694" t="s">
        <v>10209</v>
      </c>
      <c r="AL694">
        <v>0</v>
      </c>
      <c r="AM694" t="s">
        <v>10887</v>
      </c>
      <c r="AN694" t="s">
        <v>10936</v>
      </c>
      <c r="AO694" t="s">
        <v>11016</v>
      </c>
      <c r="AP694" t="s">
        <v>11076</v>
      </c>
      <c r="AR694" t="s">
        <v>11257</v>
      </c>
      <c r="AS694" t="s">
        <v>9925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</row>
    <row r="695" spans="1:59">
      <c r="A695" s="1">
        <f>HYPERLINK("https://lsnyc.legalserver.org/matter/dynamic-profile/view/1904438","19-1904438")</f>
        <v>0</v>
      </c>
      <c r="B695" t="s">
        <v>680</v>
      </c>
      <c r="C695" t="s">
        <v>5590</v>
      </c>
      <c r="D695" t="s">
        <v>9928</v>
      </c>
      <c r="E695" t="s">
        <v>10075</v>
      </c>
      <c r="F695">
        <v>11211</v>
      </c>
      <c r="G695" t="s">
        <v>10093</v>
      </c>
      <c r="H695" t="s">
        <v>10112</v>
      </c>
      <c r="I695" t="s">
        <v>10168</v>
      </c>
      <c r="J695" t="s">
        <v>10213</v>
      </c>
      <c r="K695" t="s">
        <v>10218</v>
      </c>
      <c r="L695" t="s">
        <v>10128</v>
      </c>
      <c r="M695" t="s">
        <v>10317</v>
      </c>
      <c r="N695" t="s">
        <v>10671</v>
      </c>
      <c r="P695" t="s">
        <v>10757</v>
      </c>
      <c r="Q695" t="s">
        <v>10789</v>
      </c>
      <c r="R695" t="s">
        <v>10821</v>
      </c>
      <c r="T695">
        <v>10020</v>
      </c>
      <c r="U695">
        <v>835</v>
      </c>
      <c r="V695">
        <v>58</v>
      </c>
      <c r="W695">
        <v>1</v>
      </c>
      <c r="X695">
        <v>0</v>
      </c>
      <c r="Y695" t="s">
        <v>10829</v>
      </c>
      <c r="Z695">
        <v>80.22</v>
      </c>
      <c r="AA695">
        <v>40.709735</v>
      </c>
      <c r="AB695">
        <v>-73.95075799999999</v>
      </c>
      <c r="AD695" t="s">
        <v>10839</v>
      </c>
      <c r="AG695" t="s">
        <v>10858</v>
      </c>
      <c r="AH695" t="s">
        <v>10861</v>
      </c>
      <c r="AI695">
        <v>234</v>
      </c>
      <c r="AJ695" t="s">
        <v>10214</v>
      </c>
      <c r="AK695" t="s">
        <v>10838</v>
      </c>
      <c r="AL695">
        <v>3.05</v>
      </c>
      <c r="AM695" t="s">
        <v>10886</v>
      </c>
      <c r="AN695" t="s">
        <v>10942</v>
      </c>
      <c r="AO695" t="s">
        <v>11011</v>
      </c>
      <c r="AP695" t="s">
        <v>11071</v>
      </c>
      <c r="AR695" t="s">
        <v>11369</v>
      </c>
      <c r="AS695" t="s">
        <v>11595</v>
      </c>
      <c r="AT695" t="s">
        <v>11641</v>
      </c>
      <c r="AX695" t="s">
        <v>10838</v>
      </c>
      <c r="AY695" t="s">
        <v>10829</v>
      </c>
      <c r="AZ695" t="s">
        <v>11703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</row>
    <row r="696" spans="1:59">
      <c r="A696" s="1">
        <f>HYPERLINK("https://lsnyc.legalserver.org/matter/dynamic-profile/view/1904439","19-1904439")</f>
        <v>0</v>
      </c>
      <c r="B696" t="s">
        <v>681</v>
      </c>
      <c r="C696" t="s">
        <v>5271</v>
      </c>
      <c r="D696" t="s">
        <v>9925</v>
      </c>
      <c r="E696" t="s">
        <v>10075</v>
      </c>
      <c r="F696">
        <v>10024</v>
      </c>
      <c r="G696" t="s">
        <v>10089</v>
      </c>
      <c r="H696" t="s">
        <v>10112</v>
      </c>
      <c r="I696" t="s">
        <v>10168</v>
      </c>
      <c r="J696" t="s">
        <v>10209</v>
      </c>
      <c r="K696" t="s">
        <v>10218</v>
      </c>
      <c r="L696" t="s">
        <v>10147</v>
      </c>
      <c r="M696" t="s">
        <v>10396</v>
      </c>
      <c r="N696" t="s">
        <v>10650</v>
      </c>
      <c r="P696" t="s">
        <v>10749</v>
      </c>
      <c r="Q696" t="s">
        <v>10765</v>
      </c>
      <c r="R696" t="s">
        <v>10820</v>
      </c>
      <c r="T696">
        <v>12000</v>
      </c>
      <c r="U696">
        <v>1000</v>
      </c>
      <c r="V696">
        <v>42</v>
      </c>
      <c r="W696">
        <v>1</v>
      </c>
      <c r="X696">
        <v>0</v>
      </c>
      <c r="Y696" t="s">
        <v>10829</v>
      </c>
      <c r="Z696">
        <v>96.08</v>
      </c>
      <c r="AA696">
        <v>40.784487</v>
      </c>
      <c r="AB696">
        <v>-73.973958</v>
      </c>
      <c r="AD696" t="s">
        <v>10840</v>
      </c>
      <c r="AG696" t="s">
        <v>10858</v>
      </c>
      <c r="AH696" t="s">
        <v>10862</v>
      </c>
      <c r="AI696">
        <v>236</v>
      </c>
      <c r="AJ696" t="s">
        <v>10209</v>
      </c>
      <c r="AK696" t="s">
        <v>10838</v>
      </c>
      <c r="AL696">
        <v>41</v>
      </c>
      <c r="AM696" t="s">
        <v>10894</v>
      </c>
      <c r="AN696" t="s">
        <v>10953</v>
      </c>
      <c r="AO696" t="s">
        <v>11013</v>
      </c>
      <c r="AP696" t="s">
        <v>11089</v>
      </c>
      <c r="AR696" t="s">
        <v>11257</v>
      </c>
      <c r="AS696" t="s">
        <v>9925</v>
      </c>
      <c r="AT696" t="s">
        <v>11642</v>
      </c>
      <c r="AY696" t="s">
        <v>10829</v>
      </c>
      <c r="AZ696" t="s">
        <v>11681</v>
      </c>
      <c r="BA696" t="s">
        <v>11741</v>
      </c>
      <c r="BB696">
        <v>0</v>
      </c>
      <c r="BC696">
        <v>0</v>
      </c>
      <c r="BD696">
        <v>0</v>
      </c>
      <c r="BE696">
        <v>0</v>
      </c>
      <c r="BF696">
        <v>1</v>
      </c>
      <c r="BG696">
        <v>0</v>
      </c>
    </row>
    <row r="697" spans="1:59">
      <c r="A697" s="1">
        <f>HYPERLINK("https://lsnyc.legalserver.org/matter/dynamic-profile/view/1904441","19-1904441")</f>
        <v>0</v>
      </c>
      <c r="B697" t="s">
        <v>682</v>
      </c>
      <c r="C697" t="s">
        <v>5088</v>
      </c>
      <c r="D697" t="s">
        <v>9926</v>
      </c>
      <c r="E697" t="s">
        <v>10075</v>
      </c>
      <c r="F697">
        <v>10460</v>
      </c>
      <c r="G697" t="s">
        <v>10090</v>
      </c>
      <c r="H697" t="s">
        <v>10112</v>
      </c>
      <c r="I697" t="s">
        <v>10168</v>
      </c>
      <c r="J697" t="s">
        <v>10210</v>
      </c>
      <c r="K697" t="s">
        <v>10217</v>
      </c>
      <c r="M697" t="s">
        <v>10272</v>
      </c>
      <c r="N697" t="s">
        <v>10650</v>
      </c>
      <c r="P697" t="s">
        <v>10749</v>
      </c>
      <c r="Q697" t="s">
        <v>10765</v>
      </c>
      <c r="R697" t="s">
        <v>10824</v>
      </c>
      <c r="T697">
        <v>9684</v>
      </c>
      <c r="U697">
        <v>807</v>
      </c>
      <c r="V697">
        <v>66</v>
      </c>
      <c r="W697">
        <v>1</v>
      </c>
      <c r="X697">
        <v>0</v>
      </c>
      <c r="Z697">
        <v>77.53</v>
      </c>
      <c r="AA697">
        <v>40.846284</v>
      </c>
      <c r="AB697">
        <v>-73.884609</v>
      </c>
      <c r="AD697" t="s">
        <v>10839</v>
      </c>
      <c r="AG697" t="s">
        <v>10858</v>
      </c>
      <c r="AH697" t="s">
        <v>10862</v>
      </c>
      <c r="AI697">
        <v>230</v>
      </c>
      <c r="AJ697" t="s">
        <v>10210</v>
      </c>
      <c r="AL697">
        <v>0</v>
      </c>
      <c r="AM697" t="s">
        <v>10884</v>
      </c>
      <c r="AN697" t="s">
        <v>10918</v>
      </c>
      <c r="AO697" t="s">
        <v>11000</v>
      </c>
      <c r="AP697" t="s">
        <v>11056</v>
      </c>
      <c r="AR697" t="s">
        <v>11300</v>
      </c>
      <c r="AS697" t="s">
        <v>9926</v>
      </c>
      <c r="AT697" t="s">
        <v>11641</v>
      </c>
      <c r="BA697" t="s">
        <v>11737</v>
      </c>
      <c r="BB697">
        <v>0</v>
      </c>
      <c r="BC697">
        <v>0</v>
      </c>
      <c r="BD697">
        <v>0</v>
      </c>
      <c r="BE697">
        <v>0</v>
      </c>
      <c r="BF697">
        <v>3</v>
      </c>
      <c r="BG697">
        <v>0</v>
      </c>
    </row>
    <row r="698" spans="1:59">
      <c r="A698" s="1">
        <f>HYPERLINK("https://lsnyc.legalserver.org/matter/dynamic-profile/view/1904442","19-1904442")</f>
        <v>0</v>
      </c>
      <c r="B698" t="s">
        <v>612</v>
      </c>
      <c r="C698" t="s">
        <v>5591</v>
      </c>
      <c r="D698" t="s">
        <v>9928</v>
      </c>
      <c r="E698" t="s">
        <v>10075</v>
      </c>
      <c r="F698">
        <v>11219</v>
      </c>
      <c r="G698" t="s">
        <v>10092</v>
      </c>
      <c r="H698" t="s">
        <v>10112</v>
      </c>
      <c r="I698" t="s">
        <v>10169</v>
      </c>
      <c r="J698" t="s">
        <v>10212</v>
      </c>
      <c r="K698" t="s">
        <v>10217</v>
      </c>
      <c r="M698" t="s">
        <v>10374</v>
      </c>
      <c r="N698" t="s">
        <v>10692</v>
      </c>
      <c r="P698" t="s">
        <v>10754</v>
      </c>
      <c r="Q698" t="s">
        <v>10775</v>
      </c>
      <c r="R698" t="s">
        <v>10821</v>
      </c>
      <c r="T698">
        <v>31200</v>
      </c>
      <c r="U698">
        <v>2600</v>
      </c>
      <c r="V698">
        <v>34</v>
      </c>
      <c r="W698">
        <v>1</v>
      </c>
      <c r="X698">
        <v>1</v>
      </c>
      <c r="Z698">
        <v>184.51</v>
      </c>
      <c r="AA698">
        <v>40.639027</v>
      </c>
      <c r="AB698">
        <v>-73.994749</v>
      </c>
      <c r="AD698" t="s">
        <v>10839</v>
      </c>
      <c r="AG698" t="s">
        <v>10858</v>
      </c>
      <c r="AH698" t="s">
        <v>10865</v>
      </c>
      <c r="AI698">
        <v>237</v>
      </c>
      <c r="AJ698" t="s">
        <v>10212</v>
      </c>
      <c r="AL698">
        <v>1.5</v>
      </c>
      <c r="AM698" t="s">
        <v>10894</v>
      </c>
      <c r="AN698" t="s">
        <v>10947</v>
      </c>
      <c r="AO698" t="s">
        <v>11015</v>
      </c>
      <c r="AP698" t="s">
        <v>11079</v>
      </c>
      <c r="AR698" t="s">
        <v>11257</v>
      </c>
      <c r="AS698" t="s">
        <v>11595</v>
      </c>
      <c r="AT698" t="s">
        <v>11641</v>
      </c>
      <c r="AX698" t="s">
        <v>10838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</row>
    <row r="699" spans="1:59">
      <c r="A699" s="1">
        <f>HYPERLINK("https://lsnyc.legalserver.org/matter/dynamic-profile/view/1904443","19-1904443")</f>
        <v>0</v>
      </c>
      <c r="B699" t="s">
        <v>683</v>
      </c>
      <c r="C699" t="s">
        <v>5592</v>
      </c>
      <c r="D699" t="s">
        <v>9928</v>
      </c>
      <c r="E699" t="s">
        <v>10075</v>
      </c>
      <c r="F699">
        <v>11205</v>
      </c>
      <c r="G699" t="s">
        <v>10093</v>
      </c>
      <c r="H699" t="s">
        <v>10112</v>
      </c>
      <c r="I699" t="s">
        <v>10168</v>
      </c>
      <c r="J699" t="s">
        <v>10213</v>
      </c>
      <c r="K699" t="s">
        <v>10217</v>
      </c>
      <c r="M699" t="s">
        <v>10290</v>
      </c>
      <c r="N699" t="s">
        <v>10665</v>
      </c>
      <c r="P699" t="s">
        <v>10751</v>
      </c>
      <c r="Q699" t="s">
        <v>10773</v>
      </c>
      <c r="R699" t="s">
        <v>10822</v>
      </c>
      <c r="T699">
        <v>0</v>
      </c>
      <c r="U699">
        <v>0</v>
      </c>
      <c r="V699">
        <v>26</v>
      </c>
      <c r="W699">
        <v>1</v>
      </c>
      <c r="X699">
        <v>0</v>
      </c>
      <c r="Z699">
        <v>0</v>
      </c>
      <c r="AA699">
        <v>40.689996</v>
      </c>
      <c r="AB699">
        <v>-73.959861</v>
      </c>
      <c r="AD699" t="s">
        <v>10840</v>
      </c>
      <c r="AG699" t="s">
        <v>10858</v>
      </c>
      <c r="AH699" t="s">
        <v>10861</v>
      </c>
      <c r="AI699">
        <v>234</v>
      </c>
      <c r="AJ699" t="s">
        <v>10214</v>
      </c>
      <c r="AL699">
        <v>7</v>
      </c>
      <c r="AM699" t="s">
        <v>10889</v>
      </c>
      <c r="AN699" t="s">
        <v>10923</v>
      </c>
      <c r="AO699" t="s">
        <v>11007</v>
      </c>
      <c r="AP699" t="s">
        <v>11061</v>
      </c>
      <c r="AR699" t="s">
        <v>11267</v>
      </c>
      <c r="AS699" t="s">
        <v>11595</v>
      </c>
      <c r="AT699" t="s">
        <v>11642</v>
      </c>
      <c r="AX699" t="s">
        <v>10838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</row>
    <row r="700" spans="1:59">
      <c r="A700" s="1">
        <f>HYPERLINK("https://lsnyc.legalserver.org/matter/dynamic-profile/view/1904444","19-1904444")</f>
        <v>0</v>
      </c>
      <c r="B700" t="s">
        <v>684</v>
      </c>
      <c r="C700" t="s">
        <v>5593</v>
      </c>
      <c r="D700" t="s">
        <v>9925</v>
      </c>
      <c r="E700" t="s">
        <v>10075</v>
      </c>
      <c r="F700">
        <v>10023</v>
      </c>
      <c r="G700" t="s">
        <v>10089</v>
      </c>
      <c r="H700" t="s">
        <v>10112</v>
      </c>
      <c r="I700" t="s">
        <v>10168</v>
      </c>
      <c r="J700" t="s">
        <v>10209</v>
      </c>
      <c r="K700" t="s">
        <v>10218</v>
      </c>
      <c r="L700" t="s">
        <v>10123</v>
      </c>
      <c r="M700" t="s">
        <v>10270</v>
      </c>
      <c r="N700" t="s">
        <v>10716</v>
      </c>
      <c r="P700" t="s">
        <v>10754</v>
      </c>
      <c r="Q700" t="s">
        <v>10766</v>
      </c>
      <c r="R700" t="s">
        <v>10824</v>
      </c>
      <c r="T700">
        <v>23832</v>
      </c>
      <c r="U700">
        <v>1986</v>
      </c>
      <c r="V700">
        <v>53</v>
      </c>
      <c r="W700">
        <v>1</v>
      </c>
      <c r="X700">
        <v>0</v>
      </c>
      <c r="Y700" t="s">
        <v>10829</v>
      </c>
      <c r="Z700">
        <v>190.81</v>
      </c>
      <c r="AA700">
        <v>40.773433</v>
      </c>
      <c r="AB700">
        <v>-73.985798</v>
      </c>
      <c r="AD700" t="s">
        <v>10840</v>
      </c>
      <c r="AG700" t="s">
        <v>10858</v>
      </c>
      <c r="AH700" t="s">
        <v>10861</v>
      </c>
      <c r="AI700">
        <v>234</v>
      </c>
      <c r="AJ700" t="s">
        <v>10214</v>
      </c>
      <c r="AK700" t="s">
        <v>10837</v>
      </c>
      <c r="AL700">
        <v>1.2</v>
      </c>
      <c r="AM700" t="s">
        <v>10894</v>
      </c>
      <c r="AN700" t="s">
        <v>10964</v>
      </c>
      <c r="AO700" t="s">
        <v>11019</v>
      </c>
      <c r="AP700" t="s">
        <v>11089</v>
      </c>
      <c r="AQ700" t="s">
        <v>11112</v>
      </c>
      <c r="AR700" t="s">
        <v>11370</v>
      </c>
      <c r="AS700" t="s">
        <v>9925</v>
      </c>
      <c r="AT700" t="s">
        <v>11642</v>
      </c>
      <c r="AX700" t="s">
        <v>10838</v>
      </c>
      <c r="AY700" t="s">
        <v>10829</v>
      </c>
      <c r="AZ700" t="s">
        <v>11683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</row>
    <row r="701" spans="1:59">
      <c r="A701" s="1">
        <f>HYPERLINK("https://lsnyc.legalserver.org/matter/dynamic-profile/view/1904446","19-1904446")</f>
        <v>0</v>
      </c>
      <c r="B701" t="s">
        <v>685</v>
      </c>
      <c r="C701" t="s">
        <v>5088</v>
      </c>
      <c r="D701" t="s">
        <v>9926</v>
      </c>
      <c r="E701" t="s">
        <v>10075</v>
      </c>
      <c r="F701">
        <v>10460</v>
      </c>
      <c r="G701" t="s">
        <v>10090</v>
      </c>
      <c r="H701" t="s">
        <v>10112</v>
      </c>
      <c r="I701" t="s">
        <v>10168</v>
      </c>
      <c r="J701" t="s">
        <v>10210</v>
      </c>
      <c r="K701" t="s">
        <v>10217</v>
      </c>
      <c r="M701" t="s">
        <v>10272</v>
      </c>
      <c r="N701" t="s">
        <v>10650</v>
      </c>
      <c r="P701" t="s">
        <v>10749</v>
      </c>
      <c r="Q701" t="s">
        <v>10765</v>
      </c>
      <c r="R701" t="s">
        <v>10824</v>
      </c>
      <c r="T701">
        <v>27040</v>
      </c>
      <c r="U701">
        <v>2253.33</v>
      </c>
      <c r="V701">
        <v>40</v>
      </c>
      <c r="W701">
        <v>1</v>
      </c>
      <c r="X701">
        <v>1</v>
      </c>
      <c r="Z701">
        <v>159.91</v>
      </c>
      <c r="AA701">
        <v>40.846284</v>
      </c>
      <c r="AB701">
        <v>-73.884609</v>
      </c>
      <c r="AD701" t="s">
        <v>10839</v>
      </c>
      <c r="AG701" t="s">
        <v>10858</v>
      </c>
      <c r="AH701" t="s">
        <v>10862</v>
      </c>
      <c r="AI701">
        <v>230</v>
      </c>
      <c r="AJ701" t="s">
        <v>10210</v>
      </c>
      <c r="AL701">
        <v>0</v>
      </c>
      <c r="AM701" t="s">
        <v>10884</v>
      </c>
      <c r="AN701" t="s">
        <v>10918</v>
      </c>
      <c r="AO701" t="s">
        <v>11000</v>
      </c>
      <c r="AP701" t="s">
        <v>11056</v>
      </c>
      <c r="AR701" t="s">
        <v>11257</v>
      </c>
      <c r="AS701" t="s">
        <v>9926</v>
      </c>
      <c r="AT701" t="s">
        <v>11641</v>
      </c>
      <c r="BA701" t="s">
        <v>11737</v>
      </c>
      <c r="BB701">
        <v>0</v>
      </c>
      <c r="BC701">
        <v>0</v>
      </c>
      <c r="BD701">
        <v>0</v>
      </c>
      <c r="BE701">
        <v>0</v>
      </c>
      <c r="BF701">
        <v>3</v>
      </c>
      <c r="BG701">
        <v>0</v>
      </c>
    </row>
    <row r="702" spans="1:59">
      <c r="A702" s="1">
        <f>HYPERLINK("https://lsnyc.legalserver.org/matter/dynamic-profile/view/1904447","19-1904447")</f>
        <v>0</v>
      </c>
      <c r="B702" t="s">
        <v>686</v>
      </c>
      <c r="C702" t="s">
        <v>5594</v>
      </c>
      <c r="D702" t="s">
        <v>9925</v>
      </c>
      <c r="E702" t="s">
        <v>10075</v>
      </c>
      <c r="F702">
        <v>10023</v>
      </c>
      <c r="G702" t="s">
        <v>10089</v>
      </c>
      <c r="H702" t="s">
        <v>10112</v>
      </c>
      <c r="I702" t="s">
        <v>10168</v>
      </c>
      <c r="J702" t="s">
        <v>10209</v>
      </c>
      <c r="K702" t="s">
        <v>10217</v>
      </c>
      <c r="M702" t="s">
        <v>10453</v>
      </c>
      <c r="N702" t="s">
        <v>10703</v>
      </c>
      <c r="P702" t="s">
        <v>10749</v>
      </c>
      <c r="Q702" t="s">
        <v>10765</v>
      </c>
      <c r="R702" t="s">
        <v>10824</v>
      </c>
      <c r="T702">
        <v>26000</v>
      </c>
      <c r="U702">
        <v>2166.67</v>
      </c>
      <c r="V702">
        <v>46</v>
      </c>
      <c r="W702">
        <v>1</v>
      </c>
      <c r="X702">
        <v>1</v>
      </c>
      <c r="Z702">
        <v>153.76</v>
      </c>
      <c r="AA702">
        <v>40.774165</v>
      </c>
      <c r="AB702">
        <v>-73.989293</v>
      </c>
      <c r="AD702" t="s">
        <v>10839</v>
      </c>
      <c r="AG702" t="s">
        <v>10858</v>
      </c>
      <c r="AH702" t="s">
        <v>10861</v>
      </c>
      <c r="AI702">
        <v>236</v>
      </c>
      <c r="AJ702" t="s">
        <v>10209</v>
      </c>
      <c r="AL702">
        <v>10.6</v>
      </c>
      <c r="AM702" t="s">
        <v>10894</v>
      </c>
      <c r="AN702" t="s">
        <v>10964</v>
      </c>
      <c r="AO702" t="s">
        <v>11019</v>
      </c>
      <c r="AP702" t="s">
        <v>11089</v>
      </c>
      <c r="AR702" t="s">
        <v>11257</v>
      </c>
      <c r="AS702" t="s">
        <v>9925</v>
      </c>
      <c r="BA702" t="s">
        <v>11738</v>
      </c>
      <c r="BB702">
        <v>0</v>
      </c>
      <c r="BC702">
        <v>0</v>
      </c>
      <c r="BD702">
        <v>0</v>
      </c>
      <c r="BE702">
        <v>0</v>
      </c>
      <c r="BF702">
        <v>5</v>
      </c>
      <c r="BG702">
        <v>0</v>
      </c>
    </row>
    <row r="703" spans="1:59">
      <c r="A703" s="1">
        <f>HYPERLINK("https://lsnyc.legalserver.org/matter/dynamic-profile/view/1904449","19-1904449")</f>
        <v>0</v>
      </c>
      <c r="B703" t="s">
        <v>687</v>
      </c>
      <c r="C703" t="s">
        <v>5595</v>
      </c>
      <c r="D703" t="s">
        <v>9926</v>
      </c>
      <c r="E703" t="s">
        <v>10075</v>
      </c>
      <c r="F703">
        <v>10452</v>
      </c>
      <c r="G703" t="s">
        <v>10090</v>
      </c>
      <c r="H703" t="s">
        <v>10112</v>
      </c>
      <c r="I703" t="s">
        <v>10169</v>
      </c>
      <c r="J703" t="s">
        <v>10210</v>
      </c>
      <c r="K703" t="s">
        <v>10217</v>
      </c>
      <c r="M703" t="s">
        <v>10397</v>
      </c>
      <c r="N703" t="s">
        <v>10650</v>
      </c>
      <c r="P703" t="s">
        <v>10749</v>
      </c>
      <c r="Q703" t="s">
        <v>10765</v>
      </c>
      <c r="R703" t="s">
        <v>10821</v>
      </c>
      <c r="T703">
        <v>10536</v>
      </c>
      <c r="U703">
        <v>878</v>
      </c>
      <c r="V703">
        <v>62</v>
      </c>
      <c r="W703">
        <v>1</v>
      </c>
      <c r="X703">
        <v>2</v>
      </c>
      <c r="Z703">
        <v>49.4</v>
      </c>
      <c r="AA703">
        <v>40.830631</v>
      </c>
      <c r="AB703">
        <v>-73.928129</v>
      </c>
      <c r="AD703" t="s">
        <v>10839</v>
      </c>
      <c r="AF703" t="s">
        <v>10843</v>
      </c>
      <c r="AG703" t="s">
        <v>10859</v>
      </c>
      <c r="AH703" t="s">
        <v>10861</v>
      </c>
      <c r="AI703">
        <v>234</v>
      </c>
      <c r="AJ703" t="s">
        <v>10214</v>
      </c>
      <c r="AL703">
        <v>1.5</v>
      </c>
      <c r="AM703" t="s">
        <v>10884</v>
      </c>
      <c r="AN703" t="s">
        <v>10929</v>
      </c>
      <c r="AO703" t="s">
        <v>11013</v>
      </c>
      <c r="AP703" t="s">
        <v>11066</v>
      </c>
      <c r="AR703" t="s">
        <v>11371</v>
      </c>
      <c r="AS703" t="s">
        <v>9926</v>
      </c>
      <c r="AT703" t="s">
        <v>11641</v>
      </c>
      <c r="AX703" t="s">
        <v>10838</v>
      </c>
      <c r="BA703" t="s">
        <v>11741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0</v>
      </c>
    </row>
    <row r="704" spans="1:59">
      <c r="A704" s="1">
        <f>HYPERLINK("https://lsnyc.legalserver.org/matter/dynamic-profile/view/1904451","19-1904451")</f>
        <v>0</v>
      </c>
      <c r="B704" t="s">
        <v>688</v>
      </c>
      <c r="C704" t="s">
        <v>5596</v>
      </c>
      <c r="D704" t="s">
        <v>9935</v>
      </c>
      <c r="E704" t="s">
        <v>10075</v>
      </c>
      <c r="F704">
        <v>11369</v>
      </c>
      <c r="G704" t="s">
        <v>10092</v>
      </c>
      <c r="H704" t="s">
        <v>10112</v>
      </c>
      <c r="I704" t="s">
        <v>10168</v>
      </c>
      <c r="J704" t="s">
        <v>10212</v>
      </c>
      <c r="K704" t="s">
        <v>10218</v>
      </c>
      <c r="L704" t="s">
        <v>10140</v>
      </c>
      <c r="M704" t="s">
        <v>10340</v>
      </c>
      <c r="N704" t="s">
        <v>10694</v>
      </c>
      <c r="P704" t="s">
        <v>10751</v>
      </c>
      <c r="Q704" t="s">
        <v>10780</v>
      </c>
      <c r="R704" t="s">
        <v>10820</v>
      </c>
      <c r="T704">
        <v>2208</v>
      </c>
      <c r="U704">
        <v>184</v>
      </c>
      <c r="V704">
        <v>52</v>
      </c>
      <c r="W704">
        <v>1</v>
      </c>
      <c r="X704">
        <v>0</v>
      </c>
      <c r="Y704" t="s">
        <v>10829</v>
      </c>
      <c r="Z704">
        <v>17.68</v>
      </c>
      <c r="AA704">
        <v>40.764484</v>
      </c>
      <c r="AB704">
        <v>-73.86328</v>
      </c>
      <c r="AD704" t="s">
        <v>10839</v>
      </c>
      <c r="AG704" t="s">
        <v>10858</v>
      </c>
      <c r="AH704" t="s">
        <v>10871</v>
      </c>
      <c r="AI704">
        <v>234</v>
      </c>
      <c r="AJ704" t="s">
        <v>10214</v>
      </c>
      <c r="AK704" t="s">
        <v>10838</v>
      </c>
      <c r="AL704">
        <v>4.5</v>
      </c>
      <c r="AM704" t="s">
        <v>10885</v>
      </c>
      <c r="AN704" t="s">
        <v>10916</v>
      </c>
      <c r="AO704" t="s">
        <v>11014</v>
      </c>
      <c r="AP704" t="s">
        <v>11068</v>
      </c>
      <c r="AR704" t="s">
        <v>11311</v>
      </c>
      <c r="AS704" t="s">
        <v>11594</v>
      </c>
      <c r="AT704" t="s">
        <v>11641</v>
      </c>
      <c r="AX704" t="s">
        <v>10838</v>
      </c>
      <c r="AY704" t="s">
        <v>10829</v>
      </c>
      <c r="AZ704" t="s">
        <v>11682</v>
      </c>
      <c r="BA704" t="s">
        <v>11741</v>
      </c>
      <c r="BB704">
        <v>0</v>
      </c>
      <c r="BC704">
        <v>0</v>
      </c>
      <c r="BD704">
        <v>0</v>
      </c>
      <c r="BE704">
        <v>0</v>
      </c>
      <c r="BF704">
        <v>1</v>
      </c>
      <c r="BG704">
        <v>0</v>
      </c>
    </row>
    <row r="705" spans="1:59">
      <c r="A705" s="1">
        <f>HYPERLINK("https://lsnyc.legalserver.org/matter/dynamic-profile/view/1904452","19-1904452")</f>
        <v>0</v>
      </c>
      <c r="B705" t="s">
        <v>689</v>
      </c>
      <c r="C705" t="s">
        <v>5597</v>
      </c>
      <c r="D705" t="s">
        <v>9931</v>
      </c>
      <c r="E705" t="s">
        <v>10075</v>
      </c>
      <c r="F705">
        <v>11355</v>
      </c>
      <c r="G705" t="s">
        <v>10092</v>
      </c>
      <c r="H705" t="s">
        <v>10112</v>
      </c>
      <c r="I705" t="s">
        <v>10182</v>
      </c>
      <c r="J705" t="s">
        <v>10212</v>
      </c>
      <c r="K705" t="s">
        <v>10217</v>
      </c>
      <c r="M705" t="s">
        <v>10473</v>
      </c>
      <c r="N705" t="s">
        <v>10671</v>
      </c>
      <c r="P705" t="s">
        <v>10749</v>
      </c>
      <c r="Q705" t="s">
        <v>10769</v>
      </c>
      <c r="R705" t="s">
        <v>10827</v>
      </c>
      <c r="T705">
        <v>33000</v>
      </c>
      <c r="U705">
        <v>2750</v>
      </c>
      <c r="V705">
        <v>49</v>
      </c>
      <c r="W705">
        <v>2</v>
      </c>
      <c r="X705">
        <v>4</v>
      </c>
      <c r="Z705">
        <v>95.40000000000001</v>
      </c>
      <c r="AA705">
        <v>40.752952</v>
      </c>
      <c r="AB705">
        <v>-73.81035199999999</v>
      </c>
      <c r="AD705" t="s">
        <v>10840</v>
      </c>
      <c r="AG705" t="s">
        <v>10858</v>
      </c>
      <c r="AH705" t="s">
        <v>10861</v>
      </c>
      <c r="AI705">
        <v>234</v>
      </c>
      <c r="AJ705" t="s">
        <v>10214</v>
      </c>
      <c r="AL705">
        <v>3.9</v>
      </c>
      <c r="AM705" t="s">
        <v>10890</v>
      </c>
      <c r="AN705" t="s">
        <v>10927</v>
      </c>
      <c r="AO705" t="s">
        <v>11009</v>
      </c>
      <c r="AP705" t="s">
        <v>11067</v>
      </c>
      <c r="AR705" t="s">
        <v>11356</v>
      </c>
      <c r="AS705" t="s">
        <v>11594</v>
      </c>
      <c r="AT705" t="s">
        <v>11642</v>
      </c>
      <c r="AX705" t="s">
        <v>10838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</row>
    <row r="706" spans="1:59">
      <c r="A706" s="1">
        <f>HYPERLINK("https://lsnyc.legalserver.org/matter/dynamic-profile/view/1904453","19-1904453")</f>
        <v>0</v>
      </c>
      <c r="B706" t="s">
        <v>690</v>
      </c>
      <c r="C706" t="s">
        <v>5598</v>
      </c>
      <c r="D706" t="s">
        <v>9928</v>
      </c>
      <c r="E706" t="s">
        <v>10075</v>
      </c>
      <c r="F706">
        <v>11233</v>
      </c>
      <c r="G706" t="s">
        <v>10093</v>
      </c>
      <c r="H706" t="s">
        <v>10112</v>
      </c>
      <c r="I706" t="s">
        <v>10168</v>
      </c>
      <c r="J706" t="s">
        <v>10213</v>
      </c>
      <c r="K706" t="s">
        <v>10217</v>
      </c>
      <c r="M706" t="s">
        <v>10280</v>
      </c>
      <c r="N706" t="s">
        <v>10656</v>
      </c>
      <c r="P706" t="s">
        <v>10751</v>
      </c>
      <c r="Q706" t="s">
        <v>10768</v>
      </c>
      <c r="R706" t="s">
        <v>10824</v>
      </c>
      <c r="T706">
        <v>18720</v>
      </c>
      <c r="U706">
        <v>1560</v>
      </c>
      <c r="V706">
        <v>49</v>
      </c>
      <c r="W706">
        <v>1</v>
      </c>
      <c r="X706">
        <v>0</v>
      </c>
      <c r="Z706">
        <v>149.88</v>
      </c>
      <c r="AA706">
        <v>40.682113</v>
      </c>
      <c r="AB706">
        <v>-73.932056</v>
      </c>
      <c r="AD706" t="s">
        <v>10839</v>
      </c>
      <c r="AG706" t="s">
        <v>10858</v>
      </c>
      <c r="AH706" t="s">
        <v>10861</v>
      </c>
      <c r="AI706">
        <v>234</v>
      </c>
      <c r="AJ706" t="s">
        <v>10214</v>
      </c>
      <c r="AL706">
        <v>3</v>
      </c>
      <c r="AM706" t="s">
        <v>10889</v>
      </c>
      <c r="AN706" t="s">
        <v>10914</v>
      </c>
      <c r="AO706" t="s">
        <v>11007</v>
      </c>
      <c r="AP706" t="s">
        <v>11052</v>
      </c>
      <c r="AR706" t="s">
        <v>11257</v>
      </c>
      <c r="AS706" t="s">
        <v>11595</v>
      </c>
      <c r="AT706" t="s">
        <v>11641</v>
      </c>
      <c r="AX706" t="s">
        <v>10838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</row>
    <row r="707" spans="1:59">
      <c r="A707" s="1">
        <f>HYPERLINK("https://lsnyc.legalserver.org/matter/dynamic-profile/view/1904454","19-1904454")</f>
        <v>0</v>
      </c>
      <c r="B707" t="s">
        <v>691</v>
      </c>
      <c r="C707" t="s">
        <v>5599</v>
      </c>
      <c r="D707" t="s">
        <v>9925</v>
      </c>
      <c r="E707" t="s">
        <v>10075</v>
      </c>
      <c r="F707">
        <v>10026</v>
      </c>
      <c r="G707" t="s">
        <v>10089</v>
      </c>
      <c r="H707" t="s">
        <v>10112</v>
      </c>
      <c r="I707" t="s">
        <v>10168</v>
      </c>
      <c r="J707" t="s">
        <v>10209</v>
      </c>
      <c r="K707" t="s">
        <v>10218</v>
      </c>
      <c r="L707" t="s">
        <v>10145</v>
      </c>
      <c r="M707" t="s">
        <v>10474</v>
      </c>
      <c r="N707" t="s">
        <v>10688</v>
      </c>
      <c r="P707" t="s">
        <v>10751</v>
      </c>
      <c r="Q707" t="s">
        <v>10776</v>
      </c>
      <c r="R707" t="s">
        <v>10825</v>
      </c>
      <c r="T707">
        <v>18000</v>
      </c>
      <c r="U707">
        <v>1500</v>
      </c>
      <c r="V707">
        <v>64</v>
      </c>
      <c r="W707">
        <v>1</v>
      </c>
      <c r="X707">
        <v>1</v>
      </c>
      <c r="Y707" t="s">
        <v>10833</v>
      </c>
      <c r="Z707">
        <v>106.45</v>
      </c>
      <c r="AA707">
        <v>40.803276</v>
      </c>
      <c r="AB707">
        <v>-73.95543000000001</v>
      </c>
      <c r="AD707" t="s">
        <v>10840</v>
      </c>
      <c r="AG707" t="s">
        <v>10858</v>
      </c>
      <c r="AH707" t="s">
        <v>10862</v>
      </c>
      <c r="AI707">
        <v>236</v>
      </c>
      <c r="AJ707" t="s">
        <v>10209</v>
      </c>
      <c r="AK707" t="s">
        <v>10882</v>
      </c>
      <c r="AL707">
        <v>16.2</v>
      </c>
      <c r="AR707" t="s">
        <v>11257</v>
      </c>
      <c r="AS707" t="s">
        <v>9925</v>
      </c>
      <c r="AY707" t="s">
        <v>10833</v>
      </c>
      <c r="AZ707" t="s">
        <v>11710</v>
      </c>
      <c r="BB707">
        <v>0</v>
      </c>
      <c r="BC707">
        <v>0</v>
      </c>
      <c r="BD707">
        <v>12100.36</v>
      </c>
      <c r="BE707">
        <v>0</v>
      </c>
      <c r="BF707">
        <v>0</v>
      </c>
      <c r="BG707">
        <v>0</v>
      </c>
    </row>
    <row r="708" spans="1:59">
      <c r="A708" s="1">
        <f>HYPERLINK("https://lsnyc.legalserver.org/matter/dynamic-profile/view/1904455","19-1904455")</f>
        <v>0</v>
      </c>
      <c r="B708" t="s">
        <v>692</v>
      </c>
      <c r="C708" t="s">
        <v>5600</v>
      </c>
      <c r="D708" t="s">
        <v>9975</v>
      </c>
      <c r="E708" t="s">
        <v>10075</v>
      </c>
      <c r="F708">
        <v>11415</v>
      </c>
      <c r="G708" t="s">
        <v>10092</v>
      </c>
      <c r="H708" t="s">
        <v>10112</v>
      </c>
      <c r="I708" t="s">
        <v>10168</v>
      </c>
      <c r="J708" t="s">
        <v>10212</v>
      </c>
      <c r="K708" t="s">
        <v>10217</v>
      </c>
      <c r="M708" t="s">
        <v>10475</v>
      </c>
      <c r="N708" t="s">
        <v>10650</v>
      </c>
      <c r="P708" t="s">
        <v>10749</v>
      </c>
      <c r="Q708" t="s">
        <v>10765</v>
      </c>
      <c r="R708" t="s">
        <v>10826</v>
      </c>
      <c r="T708">
        <v>16740</v>
      </c>
      <c r="U708">
        <v>1395</v>
      </c>
      <c r="V708">
        <v>49</v>
      </c>
      <c r="W708">
        <v>1</v>
      </c>
      <c r="X708">
        <v>0</v>
      </c>
      <c r="Z708">
        <v>134.03</v>
      </c>
      <c r="AA708">
        <v>40.707302</v>
      </c>
      <c r="AB708">
        <v>-73.834321</v>
      </c>
      <c r="AD708" t="s">
        <v>10840</v>
      </c>
      <c r="AG708" t="s">
        <v>10858</v>
      </c>
      <c r="AH708" t="s">
        <v>10862</v>
      </c>
      <c r="AI708">
        <v>237</v>
      </c>
      <c r="AJ708" t="s">
        <v>10212</v>
      </c>
      <c r="AL708">
        <v>14.01</v>
      </c>
      <c r="AM708" t="s">
        <v>10890</v>
      </c>
      <c r="AN708" t="s">
        <v>10962</v>
      </c>
      <c r="AO708" t="s">
        <v>11020</v>
      </c>
      <c r="AP708" t="s">
        <v>11083</v>
      </c>
      <c r="AR708" t="s">
        <v>11298</v>
      </c>
      <c r="AS708" t="s">
        <v>11594</v>
      </c>
      <c r="AT708" t="s">
        <v>11642</v>
      </c>
      <c r="BA708" t="s">
        <v>11738</v>
      </c>
      <c r="BB708">
        <v>0</v>
      </c>
      <c r="BC708">
        <v>0</v>
      </c>
      <c r="BD708">
        <v>0</v>
      </c>
      <c r="BE708">
        <v>0</v>
      </c>
      <c r="BF708">
        <v>5</v>
      </c>
      <c r="BG708">
        <v>0</v>
      </c>
    </row>
    <row r="709" spans="1:59">
      <c r="A709" s="1">
        <f>HYPERLINK("https://lsnyc.legalserver.org/matter/dynamic-profile/view/1904456","19-1904456")</f>
        <v>0</v>
      </c>
      <c r="B709" t="s">
        <v>693</v>
      </c>
      <c r="C709" t="s">
        <v>5601</v>
      </c>
      <c r="D709" t="s">
        <v>9926</v>
      </c>
      <c r="E709" t="s">
        <v>10075</v>
      </c>
      <c r="F709">
        <v>10453</v>
      </c>
      <c r="G709" t="s">
        <v>10090</v>
      </c>
      <c r="H709" t="s">
        <v>10112</v>
      </c>
      <c r="I709" t="s">
        <v>10169</v>
      </c>
      <c r="J709" t="s">
        <v>10210</v>
      </c>
      <c r="K709" t="s">
        <v>10217</v>
      </c>
      <c r="M709" t="s">
        <v>10463</v>
      </c>
      <c r="N709" t="s">
        <v>10650</v>
      </c>
      <c r="P709" t="s">
        <v>10749</v>
      </c>
      <c r="Q709" t="s">
        <v>10765</v>
      </c>
      <c r="R709" t="s">
        <v>10821</v>
      </c>
      <c r="T709">
        <v>76000</v>
      </c>
      <c r="U709">
        <v>6333.33</v>
      </c>
      <c r="V709">
        <v>44</v>
      </c>
      <c r="W709">
        <v>2</v>
      </c>
      <c r="X709">
        <v>0</v>
      </c>
      <c r="Z709">
        <v>449.44</v>
      </c>
      <c r="AA709">
        <v>40.846849</v>
      </c>
      <c r="AB709">
        <v>-73.90953500000001</v>
      </c>
      <c r="AD709" t="s">
        <v>10840</v>
      </c>
      <c r="AG709" t="s">
        <v>10858</v>
      </c>
      <c r="AH709" t="s">
        <v>10862</v>
      </c>
      <c r="AI709">
        <v>230</v>
      </c>
      <c r="AJ709" t="s">
        <v>10210</v>
      </c>
      <c r="AL709">
        <v>17.1</v>
      </c>
      <c r="AM709" t="s">
        <v>10884</v>
      </c>
      <c r="AN709" t="s">
        <v>10931</v>
      </c>
      <c r="AO709" t="s">
        <v>11000</v>
      </c>
      <c r="AP709" t="s">
        <v>11045</v>
      </c>
      <c r="AR709" t="s">
        <v>11257</v>
      </c>
      <c r="AS709" t="s">
        <v>9926</v>
      </c>
      <c r="BA709" t="s">
        <v>11739</v>
      </c>
      <c r="BB709">
        <v>0</v>
      </c>
      <c r="BC709">
        <v>0</v>
      </c>
      <c r="BD709">
        <v>0</v>
      </c>
      <c r="BE709">
        <v>0</v>
      </c>
      <c r="BF709">
        <v>4</v>
      </c>
      <c r="BG709">
        <v>0</v>
      </c>
    </row>
    <row r="710" spans="1:59">
      <c r="A710" s="1">
        <f>HYPERLINK("https://lsnyc.legalserver.org/matter/dynamic-profile/view/1904457","19-1904457")</f>
        <v>0</v>
      </c>
      <c r="B710" t="s">
        <v>694</v>
      </c>
      <c r="C710" t="s">
        <v>5602</v>
      </c>
      <c r="D710" t="s">
        <v>9925</v>
      </c>
      <c r="E710" t="s">
        <v>10075</v>
      </c>
      <c r="F710">
        <v>10025</v>
      </c>
      <c r="G710" t="s">
        <v>10089</v>
      </c>
      <c r="H710" t="s">
        <v>10112</v>
      </c>
      <c r="I710" t="s">
        <v>10168</v>
      </c>
      <c r="J710" t="s">
        <v>10209</v>
      </c>
      <c r="K710" t="s">
        <v>10217</v>
      </c>
      <c r="M710" t="s">
        <v>10476</v>
      </c>
      <c r="N710" t="s">
        <v>10702</v>
      </c>
      <c r="P710" t="s">
        <v>10749</v>
      </c>
      <c r="Q710" t="s">
        <v>10765</v>
      </c>
      <c r="R710" t="s">
        <v>10825</v>
      </c>
      <c r="T710">
        <v>10500</v>
      </c>
      <c r="U710">
        <v>875</v>
      </c>
      <c r="V710">
        <v>69</v>
      </c>
      <c r="W710">
        <v>1</v>
      </c>
      <c r="X710">
        <v>0</v>
      </c>
      <c r="Z710">
        <v>84.06999999999999</v>
      </c>
      <c r="AA710">
        <v>40.792694</v>
      </c>
      <c r="AB710">
        <v>-73.97457799999999</v>
      </c>
      <c r="AD710" t="s">
        <v>10822</v>
      </c>
      <c r="AG710" t="s">
        <v>10858</v>
      </c>
      <c r="AH710" t="s">
        <v>10862</v>
      </c>
      <c r="AI710">
        <v>236</v>
      </c>
      <c r="AJ710" t="s">
        <v>10209</v>
      </c>
      <c r="AL710">
        <v>1.2</v>
      </c>
      <c r="AM710" t="s">
        <v>10894</v>
      </c>
      <c r="AN710" t="s">
        <v>10964</v>
      </c>
      <c r="AO710" t="s">
        <v>11019</v>
      </c>
      <c r="AP710" t="s">
        <v>11089</v>
      </c>
      <c r="AR710" t="s">
        <v>11274</v>
      </c>
      <c r="AS710" t="s">
        <v>9925</v>
      </c>
      <c r="BA710" t="s">
        <v>11742</v>
      </c>
      <c r="BB710">
        <v>0</v>
      </c>
      <c r="BC710">
        <v>0</v>
      </c>
      <c r="BD710">
        <v>0</v>
      </c>
      <c r="BE710">
        <v>0</v>
      </c>
      <c r="BF710">
        <v>7</v>
      </c>
      <c r="BG710">
        <v>0</v>
      </c>
    </row>
    <row r="711" spans="1:59">
      <c r="A711" s="1">
        <f>HYPERLINK("https://lsnyc.legalserver.org/matter/dynamic-profile/view/1904458","19-1904458")</f>
        <v>0</v>
      </c>
      <c r="B711" t="s">
        <v>695</v>
      </c>
      <c r="C711" t="s">
        <v>5603</v>
      </c>
      <c r="D711" t="s">
        <v>9931</v>
      </c>
      <c r="E711" t="s">
        <v>10075</v>
      </c>
      <c r="F711">
        <v>11367</v>
      </c>
      <c r="G711" t="s">
        <v>10091</v>
      </c>
      <c r="H711" t="s">
        <v>10112</v>
      </c>
      <c r="I711" t="s">
        <v>10168</v>
      </c>
      <c r="J711" t="s">
        <v>10211</v>
      </c>
      <c r="K711" t="s">
        <v>10217</v>
      </c>
      <c r="M711" t="s">
        <v>10231</v>
      </c>
      <c r="N711" t="s">
        <v>10647</v>
      </c>
      <c r="P711" t="s">
        <v>10752</v>
      </c>
      <c r="Q711" t="s">
        <v>10762</v>
      </c>
      <c r="R711" t="s">
        <v>10822</v>
      </c>
      <c r="T711">
        <v>17724</v>
      </c>
      <c r="U711">
        <v>1477</v>
      </c>
      <c r="V711">
        <v>59</v>
      </c>
      <c r="W711">
        <v>1</v>
      </c>
      <c r="X711">
        <v>0</v>
      </c>
      <c r="Z711">
        <v>141.91</v>
      </c>
      <c r="AA711">
        <v>40.733397</v>
      </c>
      <c r="AB711">
        <v>-73.815319</v>
      </c>
      <c r="AD711" t="s">
        <v>10839</v>
      </c>
      <c r="AG711" t="s">
        <v>10858</v>
      </c>
      <c r="AH711" t="s">
        <v>10863</v>
      </c>
      <c r="AI711">
        <v>234</v>
      </c>
      <c r="AJ711" t="s">
        <v>10214</v>
      </c>
      <c r="AL711">
        <v>1.1</v>
      </c>
      <c r="AM711" t="s">
        <v>10890</v>
      </c>
      <c r="AN711" t="s">
        <v>10962</v>
      </c>
      <c r="AO711" t="s">
        <v>11009</v>
      </c>
      <c r="AP711" t="s">
        <v>11081</v>
      </c>
      <c r="AR711" t="s">
        <v>11298</v>
      </c>
      <c r="AS711" t="s">
        <v>11594</v>
      </c>
      <c r="AT711" t="s">
        <v>11641</v>
      </c>
      <c r="AX711" t="s">
        <v>10838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</row>
    <row r="712" spans="1:59">
      <c r="A712" s="1">
        <f>HYPERLINK("https://lsnyc.legalserver.org/matter/dynamic-profile/view/1904459","19-1904459")</f>
        <v>0</v>
      </c>
      <c r="B712" t="s">
        <v>696</v>
      </c>
      <c r="C712" t="s">
        <v>5604</v>
      </c>
      <c r="D712" t="s">
        <v>9928</v>
      </c>
      <c r="E712" t="s">
        <v>10075</v>
      </c>
      <c r="F712">
        <v>11204</v>
      </c>
      <c r="G712" t="s">
        <v>10093</v>
      </c>
      <c r="H712" t="s">
        <v>10112</v>
      </c>
      <c r="I712" t="s">
        <v>10171</v>
      </c>
      <c r="J712" t="s">
        <v>10213</v>
      </c>
      <c r="K712" t="s">
        <v>10218</v>
      </c>
      <c r="L712" t="s">
        <v>10128</v>
      </c>
      <c r="M712" t="s">
        <v>10443</v>
      </c>
      <c r="N712" t="s">
        <v>10657</v>
      </c>
      <c r="P712" t="s">
        <v>10749</v>
      </c>
      <c r="Q712" t="s">
        <v>10765</v>
      </c>
      <c r="R712" t="s">
        <v>10820</v>
      </c>
      <c r="T712">
        <v>20000</v>
      </c>
      <c r="U712">
        <v>1666.67</v>
      </c>
      <c r="V712">
        <v>41</v>
      </c>
      <c r="W712">
        <v>3</v>
      </c>
      <c r="X712">
        <v>1</v>
      </c>
      <c r="Y712" t="s">
        <v>10829</v>
      </c>
      <c r="Z712">
        <v>77.67</v>
      </c>
      <c r="AA712">
        <v>40.725941</v>
      </c>
      <c r="AB712">
        <v>-73.980301</v>
      </c>
      <c r="AD712" t="s">
        <v>10839</v>
      </c>
      <c r="AF712" t="s">
        <v>10846</v>
      </c>
      <c r="AG712" t="s">
        <v>10859</v>
      </c>
      <c r="AH712" t="s">
        <v>10862</v>
      </c>
      <c r="AI712">
        <v>239</v>
      </c>
      <c r="AJ712" t="s">
        <v>10213</v>
      </c>
      <c r="AK712" t="s">
        <v>10838</v>
      </c>
      <c r="AL712">
        <v>2.5</v>
      </c>
      <c r="AR712" t="s">
        <v>11257</v>
      </c>
      <c r="AS712" t="s">
        <v>11595</v>
      </c>
      <c r="AY712" t="s">
        <v>10829</v>
      </c>
      <c r="AZ712" t="s">
        <v>11681</v>
      </c>
      <c r="BA712" t="s">
        <v>11741</v>
      </c>
      <c r="BB712">
        <v>0</v>
      </c>
      <c r="BC712">
        <v>0</v>
      </c>
      <c r="BD712">
        <v>0</v>
      </c>
      <c r="BE712">
        <v>0</v>
      </c>
      <c r="BF712">
        <v>1</v>
      </c>
      <c r="BG712">
        <v>0</v>
      </c>
    </row>
    <row r="713" spans="1:59">
      <c r="A713" s="1">
        <f>HYPERLINK("https://lsnyc.legalserver.org/matter/dynamic-profile/view/1904460","19-1904460")</f>
        <v>0</v>
      </c>
      <c r="B713" t="s">
        <v>697</v>
      </c>
      <c r="C713" t="s">
        <v>5605</v>
      </c>
      <c r="D713" t="s">
        <v>9928</v>
      </c>
      <c r="E713" t="s">
        <v>10075</v>
      </c>
      <c r="F713">
        <v>11221</v>
      </c>
      <c r="G713" t="s">
        <v>10093</v>
      </c>
      <c r="H713" t="s">
        <v>10112</v>
      </c>
      <c r="I713" t="s">
        <v>10168</v>
      </c>
      <c r="J713" t="s">
        <v>10213</v>
      </c>
      <c r="K713" t="s">
        <v>10217</v>
      </c>
      <c r="M713" t="s">
        <v>10361</v>
      </c>
      <c r="N713" t="s">
        <v>10667</v>
      </c>
      <c r="P713" t="s">
        <v>10749</v>
      </c>
      <c r="Q713" t="s">
        <v>10765</v>
      </c>
      <c r="R713" t="s">
        <v>10824</v>
      </c>
      <c r="T713">
        <v>30000</v>
      </c>
      <c r="U713">
        <v>2500</v>
      </c>
      <c r="V713">
        <v>27</v>
      </c>
      <c r="W713">
        <v>2</v>
      </c>
      <c r="X713">
        <v>0</v>
      </c>
      <c r="Z713">
        <v>177.41</v>
      </c>
      <c r="AA713">
        <v>40.692569</v>
      </c>
      <c r="AB713">
        <v>-73.939413</v>
      </c>
      <c r="AD713" t="s">
        <v>10840</v>
      </c>
      <c r="AG713" t="s">
        <v>10858</v>
      </c>
      <c r="AH713" t="s">
        <v>10862</v>
      </c>
      <c r="AI713">
        <v>239</v>
      </c>
      <c r="AJ713" t="s">
        <v>10213</v>
      </c>
      <c r="AL713">
        <v>6.1</v>
      </c>
      <c r="AQ713" t="s">
        <v>11101</v>
      </c>
      <c r="AR713" t="s">
        <v>11257</v>
      </c>
      <c r="AS713" t="s">
        <v>11595</v>
      </c>
      <c r="BA713" t="s">
        <v>11738</v>
      </c>
      <c r="BB713">
        <v>0</v>
      </c>
      <c r="BC713">
        <v>0</v>
      </c>
      <c r="BD713">
        <v>0</v>
      </c>
      <c r="BE713">
        <v>0</v>
      </c>
      <c r="BF713">
        <v>5</v>
      </c>
      <c r="BG713">
        <v>0</v>
      </c>
    </row>
    <row r="714" spans="1:59">
      <c r="A714" s="1">
        <f>HYPERLINK("https://lsnyc.legalserver.org/matter/dynamic-profile/view/1904462","19-1904462")</f>
        <v>0</v>
      </c>
      <c r="B714" t="s">
        <v>698</v>
      </c>
      <c r="C714" t="s">
        <v>5606</v>
      </c>
      <c r="D714" t="s">
        <v>9928</v>
      </c>
      <c r="E714" t="s">
        <v>10075</v>
      </c>
      <c r="F714">
        <v>11232</v>
      </c>
      <c r="G714" t="s">
        <v>10093</v>
      </c>
      <c r="H714" t="s">
        <v>10114</v>
      </c>
      <c r="I714" t="s">
        <v>10179</v>
      </c>
      <c r="J714" t="s">
        <v>10213</v>
      </c>
      <c r="K714" t="s">
        <v>10217</v>
      </c>
      <c r="M714" t="s">
        <v>10390</v>
      </c>
      <c r="N714" t="s">
        <v>10644</v>
      </c>
      <c r="P714" t="s">
        <v>10749</v>
      </c>
      <c r="Q714" t="s">
        <v>10791</v>
      </c>
      <c r="R714" t="s">
        <v>10827</v>
      </c>
      <c r="T714">
        <v>21600</v>
      </c>
      <c r="U714">
        <v>1800</v>
      </c>
      <c r="V714">
        <v>65</v>
      </c>
      <c r="W714">
        <v>2</v>
      </c>
      <c r="X714">
        <v>1</v>
      </c>
      <c r="Z714">
        <v>101.27</v>
      </c>
      <c r="AA714">
        <v>40.644714</v>
      </c>
      <c r="AB714">
        <v>-73.99808299999999</v>
      </c>
      <c r="AD714" t="s">
        <v>10840</v>
      </c>
      <c r="AG714" t="s">
        <v>10858</v>
      </c>
      <c r="AH714" t="s">
        <v>10869</v>
      </c>
      <c r="AI714">
        <v>239</v>
      </c>
      <c r="AJ714" t="s">
        <v>10213</v>
      </c>
      <c r="AL714">
        <v>2.25</v>
      </c>
      <c r="AM714" t="s">
        <v>10886</v>
      </c>
      <c r="AN714" t="s">
        <v>10921</v>
      </c>
      <c r="AO714" t="s">
        <v>11015</v>
      </c>
      <c r="AP714" t="s">
        <v>11069</v>
      </c>
      <c r="AQ714" t="s">
        <v>11100</v>
      </c>
      <c r="AR714" t="s">
        <v>11268</v>
      </c>
      <c r="AS714" t="s">
        <v>11595</v>
      </c>
      <c r="BA714" t="s">
        <v>11742</v>
      </c>
      <c r="BB714">
        <v>0</v>
      </c>
      <c r="BC714">
        <v>0</v>
      </c>
      <c r="BD714">
        <v>0</v>
      </c>
      <c r="BE714">
        <v>0</v>
      </c>
      <c r="BF714">
        <v>7</v>
      </c>
      <c r="BG714">
        <v>0</v>
      </c>
    </row>
    <row r="715" spans="1:59">
      <c r="A715" s="1">
        <f>HYPERLINK("https://lsnyc.legalserver.org/matter/dynamic-profile/view/1904463","19-1904463")</f>
        <v>0</v>
      </c>
      <c r="B715" t="s">
        <v>699</v>
      </c>
      <c r="C715" t="s">
        <v>5607</v>
      </c>
      <c r="D715" t="s">
        <v>9928</v>
      </c>
      <c r="E715" t="s">
        <v>10075</v>
      </c>
      <c r="F715">
        <v>11238</v>
      </c>
      <c r="G715" t="s">
        <v>10093</v>
      </c>
      <c r="H715" t="s">
        <v>10112</v>
      </c>
      <c r="I715" t="s">
        <v>10168</v>
      </c>
      <c r="J715" t="s">
        <v>10213</v>
      </c>
      <c r="K715" t="s">
        <v>10217</v>
      </c>
      <c r="M715" t="s">
        <v>10414</v>
      </c>
      <c r="N715" t="s">
        <v>10690</v>
      </c>
      <c r="P715" t="s">
        <v>10749</v>
      </c>
      <c r="Q715" t="s">
        <v>10765</v>
      </c>
      <c r="R715" t="s">
        <v>10824</v>
      </c>
      <c r="T715">
        <v>18240</v>
      </c>
      <c r="U715">
        <v>1520</v>
      </c>
      <c r="V715">
        <v>49</v>
      </c>
      <c r="W715">
        <v>1</v>
      </c>
      <c r="X715">
        <v>0</v>
      </c>
      <c r="Z715">
        <v>146.04</v>
      </c>
      <c r="AA715">
        <v>40.684546</v>
      </c>
      <c r="AB715">
        <v>-73.959446</v>
      </c>
      <c r="AC715" t="s">
        <v>10837</v>
      </c>
      <c r="AD715" t="s">
        <v>10840</v>
      </c>
      <c r="AF715" t="s">
        <v>10843</v>
      </c>
      <c r="AG715" t="s">
        <v>10859</v>
      </c>
      <c r="AH715" t="s">
        <v>10862</v>
      </c>
      <c r="AI715">
        <v>239</v>
      </c>
      <c r="AJ715" t="s">
        <v>10213</v>
      </c>
      <c r="AL715">
        <v>4</v>
      </c>
      <c r="AM715" t="s">
        <v>10889</v>
      </c>
      <c r="AN715" t="s">
        <v>10923</v>
      </c>
      <c r="AO715" t="s">
        <v>11007</v>
      </c>
      <c r="AP715" t="s">
        <v>11061</v>
      </c>
      <c r="AR715" t="s">
        <v>11303</v>
      </c>
      <c r="AS715" t="s">
        <v>9925</v>
      </c>
      <c r="AT715" t="s">
        <v>11642</v>
      </c>
      <c r="BA715" t="s">
        <v>11740</v>
      </c>
      <c r="BB715">
        <v>0</v>
      </c>
      <c r="BC715">
        <v>0</v>
      </c>
      <c r="BD715">
        <v>0</v>
      </c>
      <c r="BE715">
        <v>0</v>
      </c>
      <c r="BF715">
        <v>2</v>
      </c>
      <c r="BG715">
        <v>0</v>
      </c>
    </row>
    <row r="716" spans="1:59">
      <c r="A716" s="1">
        <f>HYPERLINK("https://lsnyc.legalserver.org/matter/dynamic-profile/view/1904464","19-1904464")</f>
        <v>0</v>
      </c>
      <c r="B716" t="s">
        <v>700</v>
      </c>
      <c r="C716" t="s">
        <v>5608</v>
      </c>
      <c r="D716" t="s">
        <v>9926</v>
      </c>
      <c r="E716" t="s">
        <v>10075</v>
      </c>
      <c r="F716">
        <v>10470</v>
      </c>
      <c r="G716" t="s">
        <v>10090</v>
      </c>
      <c r="H716" t="s">
        <v>10097</v>
      </c>
      <c r="I716" t="s">
        <v>10168</v>
      </c>
      <c r="J716" t="s">
        <v>10210</v>
      </c>
      <c r="K716" t="s">
        <v>10217</v>
      </c>
      <c r="M716" t="s">
        <v>10477</v>
      </c>
      <c r="N716" t="s">
        <v>10650</v>
      </c>
      <c r="P716" t="s">
        <v>10749</v>
      </c>
      <c r="Q716" t="s">
        <v>10765</v>
      </c>
      <c r="R716" t="s">
        <v>10824</v>
      </c>
      <c r="T716">
        <v>27720</v>
      </c>
      <c r="U716">
        <v>2310</v>
      </c>
      <c r="V716">
        <v>32</v>
      </c>
      <c r="W716">
        <v>1</v>
      </c>
      <c r="X716">
        <v>2</v>
      </c>
      <c r="Z716">
        <v>129.96</v>
      </c>
      <c r="AA716">
        <v>40.905429</v>
      </c>
      <c r="AB716">
        <v>-73.847713</v>
      </c>
      <c r="AD716" t="s">
        <v>10839</v>
      </c>
      <c r="AG716" t="s">
        <v>10858</v>
      </c>
      <c r="AH716" t="s">
        <v>10862</v>
      </c>
      <c r="AI716">
        <v>230</v>
      </c>
      <c r="AJ716" t="s">
        <v>10210</v>
      </c>
      <c r="AL716">
        <v>2.5</v>
      </c>
      <c r="AM716" t="s">
        <v>10893</v>
      </c>
      <c r="AN716" t="s">
        <v>10919</v>
      </c>
      <c r="AO716" t="s">
        <v>11010</v>
      </c>
      <c r="AP716" t="s">
        <v>11057</v>
      </c>
      <c r="AR716" t="s">
        <v>11372</v>
      </c>
      <c r="AS716" t="s">
        <v>9926</v>
      </c>
      <c r="AT716" t="s">
        <v>11641</v>
      </c>
      <c r="BA716" t="s">
        <v>11738</v>
      </c>
      <c r="BB716">
        <v>0</v>
      </c>
      <c r="BC716">
        <v>0</v>
      </c>
      <c r="BD716">
        <v>0</v>
      </c>
      <c r="BE716">
        <v>0</v>
      </c>
      <c r="BF716">
        <v>5</v>
      </c>
      <c r="BG716">
        <v>0</v>
      </c>
    </row>
    <row r="717" spans="1:59">
      <c r="A717" s="1">
        <f>HYPERLINK("https://lsnyc.legalserver.org/matter/dynamic-profile/view/1904465","19-1904465")</f>
        <v>0</v>
      </c>
      <c r="B717" t="s">
        <v>701</v>
      </c>
      <c r="C717" t="s">
        <v>5609</v>
      </c>
      <c r="D717" t="s">
        <v>9926</v>
      </c>
      <c r="E717" t="s">
        <v>10075</v>
      </c>
      <c r="F717">
        <v>10467</v>
      </c>
      <c r="G717" t="s">
        <v>10090</v>
      </c>
      <c r="H717" t="s">
        <v>10112</v>
      </c>
      <c r="I717" t="s">
        <v>10168</v>
      </c>
      <c r="J717" t="s">
        <v>10210</v>
      </c>
      <c r="K717" t="s">
        <v>10218</v>
      </c>
      <c r="L717" t="s">
        <v>10146</v>
      </c>
      <c r="M717" t="s">
        <v>10334</v>
      </c>
      <c r="N717" t="s">
        <v>10675</v>
      </c>
      <c r="P717" t="s">
        <v>10749</v>
      </c>
      <c r="Q717" t="s">
        <v>10765</v>
      </c>
      <c r="R717" t="s">
        <v>10824</v>
      </c>
      <c r="T717">
        <v>15678</v>
      </c>
      <c r="U717">
        <v>1306.5</v>
      </c>
      <c r="V717">
        <v>55</v>
      </c>
      <c r="W717">
        <v>1</v>
      </c>
      <c r="X717">
        <v>1</v>
      </c>
      <c r="Y717" t="s">
        <v>10829</v>
      </c>
      <c r="Z717">
        <v>92.70999999999999</v>
      </c>
      <c r="AA717">
        <v>40.86838</v>
      </c>
      <c r="AB717">
        <v>-73.869169</v>
      </c>
      <c r="AC717" t="s">
        <v>10837</v>
      </c>
      <c r="AD717" t="s">
        <v>10839</v>
      </c>
      <c r="AG717" t="s">
        <v>10858</v>
      </c>
      <c r="AH717" t="s">
        <v>10862</v>
      </c>
      <c r="AI717">
        <v>230</v>
      </c>
      <c r="AJ717" t="s">
        <v>10210</v>
      </c>
      <c r="AK717" t="s">
        <v>10838</v>
      </c>
      <c r="AL717">
        <v>1.75</v>
      </c>
      <c r="AM717" t="s">
        <v>10885</v>
      </c>
      <c r="AN717" t="s">
        <v>10938</v>
      </c>
      <c r="AO717" t="s">
        <v>11010</v>
      </c>
      <c r="AP717" t="s">
        <v>11056</v>
      </c>
      <c r="AR717" t="s">
        <v>11257</v>
      </c>
      <c r="AS717" t="s">
        <v>9926</v>
      </c>
      <c r="AT717" t="s">
        <v>11641</v>
      </c>
      <c r="AX717" t="s">
        <v>10838</v>
      </c>
      <c r="AY717" t="s">
        <v>10829</v>
      </c>
      <c r="AZ717" t="s">
        <v>11681</v>
      </c>
      <c r="BA717" t="s">
        <v>11738</v>
      </c>
      <c r="BB717">
        <v>0</v>
      </c>
      <c r="BC717">
        <v>0</v>
      </c>
      <c r="BD717">
        <v>0</v>
      </c>
      <c r="BE717">
        <v>0</v>
      </c>
      <c r="BF717">
        <v>5</v>
      </c>
      <c r="BG717">
        <v>0</v>
      </c>
    </row>
    <row r="718" spans="1:59">
      <c r="A718" s="1">
        <f>HYPERLINK("https://lsnyc.legalserver.org/matter/dynamic-profile/view/1904467","19-1904467")</f>
        <v>0</v>
      </c>
      <c r="B718" t="s">
        <v>648</v>
      </c>
      <c r="C718" t="s">
        <v>5557</v>
      </c>
      <c r="D718" t="s">
        <v>9926</v>
      </c>
      <c r="E718" t="s">
        <v>10075</v>
      </c>
      <c r="F718">
        <v>10462</v>
      </c>
      <c r="G718" t="s">
        <v>10090</v>
      </c>
      <c r="H718" t="s">
        <v>10094</v>
      </c>
      <c r="I718" t="s">
        <v>10168</v>
      </c>
      <c r="J718" t="s">
        <v>10210</v>
      </c>
      <c r="K718" t="s">
        <v>10217</v>
      </c>
      <c r="M718" t="s">
        <v>10469</v>
      </c>
      <c r="N718" t="s">
        <v>10651</v>
      </c>
      <c r="P718" t="s">
        <v>10749</v>
      </c>
      <c r="Q718" t="s">
        <v>10765</v>
      </c>
      <c r="R718" t="s">
        <v>10824</v>
      </c>
      <c r="T718">
        <v>0</v>
      </c>
      <c r="U718">
        <v>0</v>
      </c>
      <c r="V718">
        <v>43</v>
      </c>
      <c r="W718">
        <v>2</v>
      </c>
      <c r="X718">
        <v>0</v>
      </c>
      <c r="Z718">
        <v>0</v>
      </c>
      <c r="AA718">
        <v>40.835869</v>
      </c>
      <c r="AB718">
        <v>-73.854495</v>
      </c>
      <c r="AD718" t="s">
        <v>10839</v>
      </c>
      <c r="AG718" t="s">
        <v>10858</v>
      </c>
      <c r="AH718" t="s">
        <v>10862</v>
      </c>
      <c r="AI718">
        <v>230</v>
      </c>
      <c r="AJ718" t="s">
        <v>10210</v>
      </c>
      <c r="AL718">
        <v>4</v>
      </c>
      <c r="AM718" t="s">
        <v>10885</v>
      </c>
      <c r="AN718" t="s">
        <v>10908</v>
      </c>
      <c r="AO718" t="s">
        <v>11002</v>
      </c>
      <c r="AP718" t="s">
        <v>11046</v>
      </c>
      <c r="AR718" t="s">
        <v>11281</v>
      </c>
      <c r="AS718" t="s">
        <v>9926</v>
      </c>
      <c r="AT718" t="s">
        <v>11641</v>
      </c>
      <c r="AX718" t="s">
        <v>10838</v>
      </c>
      <c r="BA718" t="s">
        <v>11738</v>
      </c>
      <c r="BB718">
        <v>0</v>
      </c>
      <c r="BC718">
        <v>0</v>
      </c>
      <c r="BD718">
        <v>0</v>
      </c>
      <c r="BE718">
        <v>0</v>
      </c>
      <c r="BF718">
        <v>5</v>
      </c>
      <c r="BG718">
        <v>0</v>
      </c>
    </row>
    <row r="719" spans="1:59">
      <c r="A719" s="1">
        <f>HYPERLINK("https://lsnyc.legalserver.org/matter/dynamic-profile/view/1904470","19-1904470")</f>
        <v>0</v>
      </c>
      <c r="B719" t="s">
        <v>702</v>
      </c>
      <c r="C719" t="s">
        <v>5610</v>
      </c>
      <c r="D719" t="s">
        <v>9926</v>
      </c>
      <c r="E719" t="s">
        <v>10075</v>
      </c>
      <c r="F719">
        <v>10456</v>
      </c>
      <c r="G719" t="s">
        <v>10090</v>
      </c>
      <c r="H719" t="s">
        <v>10107</v>
      </c>
      <c r="I719" t="s">
        <v>10168</v>
      </c>
      <c r="J719" t="s">
        <v>10210</v>
      </c>
      <c r="K719" t="s">
        <v>10217</v>
      </c>
      <c r="M719" t="s">
        <v>10310</v>
      </c>
      <c r="N719" t="s">
        <v>10683</v>
      </c>
      <c r="P719" t="s">
        <v>10754</v>
      </c>
      <c r="Q719" t="s">
        <v>10777</v>
      </c>
      <c r="R719" t="s">
        <v>10823</v>
      </c>
      <c r="T719">
        <v>23400</v>
      </c>
      <c r="U719">
        <v>1950</v>
      </c>
      <c r="V719">
        <v>26</v>
      </c>
      <c r="W719">
        <v>1</v>
      </c>
      <c r="X719">
        <v>1</v>
      </c>
      <c r="Z719">
        <v>138.38</v>
      </c>
      <c r="AA719">
        <v>40.835408</v>
      </c>
      <c r="AB719">
        <v>-73.91474100000001</v>
      </c>
      <c r="AD719" t="s">
        <v>10839</v>
      </c>
      <c r="AG719" t="s">
        <v>10858</v>
      </c>
      <c r="AH719" t="s">
        <v>10865</v>
      </c>
      <c r="AI719">
        <v>230</v>
      </c>
      <c r="AJ719" t="s">
        <v>10210</v>
      </c>
      <c r="AL719">
        <v>1</v>
      </c>
      <c r="AM719" t="s">
        <v>10884</v>
      </c>
      <c r="AN719" t="s">
        <v>10929</v>
      </c>
      <c r="AO719" t="s">
        <v>11000</v>
      </c>
      <c r="AP719" t="s">
        <v>11055</v>
      </c>
      <c r="AQ719" t="s">
        <v>11128</v>
      </c>
      <c r="AR719" t="s">
        <v>11257</v>
      </c>
      <c r="AS719" t="s">
        <v>9926</v>
      </c>
      <c r="AT719" t="s">
        <v>11641</v>
      </c>
      <c r="AV719" t="s">
        <v>11656</v>
      </c>
      <c r="AW719" t="s">
        <v>11645</v>
      </c>
      <c r="AX719" t="s">
        <v>10838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</row>
    <row r="720" spans="1:59">
      <c r="A720" s="1">
        <f>HYPERLINK("https://lsnyc.legalserver.org/matter/dynamic-profile/view/1904471","19-1904471")</f>
        <v>0</v>
      </c>
      <c r="B720" t="s">
        <v>703</v>
      </c>
      <c r="C720" t="s">
        <v>5611</v>
      </c>
      <c r="D720" t="s">
        <v>9929</v>
      </c>
      <c r="E720" t="s">
        <v>10075</v>
      </c>
      <c r="F720">
        <v>10306</v>
      </c>
      <c r="G720" t="s">
        <v>10088</v>
      </c>
      <c r="H720" t="s">
        <v>10105</v>
      </c>
      <c r="I720" t="s">
        <v>10168</v>
      </c>
      <c r="J720" t="s">
        <v>10208</v>
      </c>
      <c r="K720" t="s">
        <v>10218</v>
      </c>
      <c r="L720" t="s">
        <v>10128</v>
      </c>
      <c r="M720" t="s">
        <v>10259</v>
      </c>
      <c r="N720" t="s">
        <v>10654</v>
      </c>
      <c r="P720" t="s">
        <v>10749</v>
      </c>
      <c r="Q720" t="s">
        <v>10765</v>
      </c>
      <c r="R720" t="s">
        <v>10822</v>
      </c>
      <c r="T720">
        <v>19350</v>
      </c>
      <c r="U720">
        <v>1612.5</v>
      </c>
      <c r="V720">
        <v>24</v>
      </c>
      <c r="W720">
        <v>1</v>
      </c>
      <c r="X720">
        <v>1</v>
      </c>
      <c r="Y720" t="s">
        <v>10829</v>
      </c>
      <c r="Z720">
        <v>114.43</v>
      </c>
      <c r="AA720">
        <v>40.587836</v>
      </c>
      <c r="AB720">
        <v>-74.10224599999999</v>
      </c>
      <c r="AD720" t="s">
        <v>10839</v>
      </c>
      <c r="AG720" t="s">
        <v>10858</v>
      </c>
      <c r="AH720" t="s">
        <v>10862</v>
      </c>
      <c r="AI720">
        <v>285</v>
      </c>
      <c r="AJ720" t="s">
        <v>10208</v>
      </c>
      <c r="AK720" t="s">
        <v>10838</v>
      </c>
      <c r="AL720">
        <v>1.6</v>
      </c>
      <c r="AM720" t="s">
        <v>10883</v>
      </c>
      <c r="AN720" t="s">
        <v>10928</v>
      </c>
      <c r="AO720" t="s">
        <v>10999</v>
      </c>
      <c r="AP720" t="s">
        <v>11063</v>
      </c>
      <c r="AR720" t="s">
        <v>11257</v>
      </c>
      <c r="AS720" t="s">
        <v>11593</v>
      </c>
      <c r="AY720" t="s">
        <v>10829</v>
      </c>
      <c r="AZ720" t="s">
        <v>11681</v>
      </c>
      <c r="BA720" t="s">
        <v>11741</v>
      </c>
      <c r="BB720">
        <v>0</v>
      </c>
      <c r="BC720">
        <v>0</v>
      </c>
      <c r="BD720">
        <v>0</v>
      </c>
      <c r="BE720">
        <v>0</v>
      </c>
      <c r="BF720">
        <v>1</v>
      </c>
      <c r="BG720">
        <v>0</v>
      </c>
    </row>
    <row r="721" spans="1:59">
      <c r="A721" s="1">
        <f>HYPERLINK("https://lsnyc.legalserver.org/matter/dynamic-profile/view/1904472","19-1904472")</f>
        <v>0</v>
      </c>
      <c r="B721" t="s">
        <v>704</v>
      </c>
      <c r="C721" t="s">
        <v>5612</v>
      </c>
      <c r="D721" t="s">
        <v>9928</v>
      </c>
      <c r="E721" t="s">
        <v>10075</v>
      </c>
      <c r="F721">
        <v>11218</v>
      </c>
      <c r="G721" t="s">
        <v>10093</v>
      </c>
      <c r="H721" t="s">
        <v>10112</v>
      </c>
      <c r="I721" t="s">
        <v>10168</v>
      </c>
      <c r="J721" t="s">
        <v>10213</v>
      </c>
      <c r="K721" t="s">
        <v>10218</v>
      </c>
      <c r="L721" t="s">
        <v>10147</v>
      </c>
      <c r="M721" t="s">
        <v>10370</v>
      </c>
      <c r="N721" t="s">
        <v>10662</v>
      </c>
      <c r="P721" t="s">
        <v>10751</v>
      </c>
      <c r="Q721" t="s">
        <v>10780</v>
      </c>
      <c r="R721" t="s">
        <v>10825</v>
      </c>
      <c r="T721">
        <v>9000</v>
      </c>
      <c r="U721">
        <v>750</v>
      </c>
      <c r="V721">
        <v>62</v>
      </c>
      <c r="W721">
        <v>1</v>
      </c>
      <c r="X721">
        <v>0</v>
      </c>
      <c r="Y721" t="s">
        <v>10829</v>
      </c>
      <c r="Z721">
        <v>72.06</v>
      </c>
      <c r="AA721">
        <v>40.650783</v>
      </c>
      <c r="AB721">
        <v>-73.974968</v>
      </c>
      <c r="AD721" t="s">
        <v>10839</v>
      </c>
      <c r="AG721" t="s">
        <v>10858</v>
      </c>
      <c r="AH721" t="s">
        <v>10866</v>
      </c>
      <c r="AI721">
        <v>239</v>
      </c>
      <c r="AJ721" t="s">
        <v>10213</v>
      </c>
      <c r="AK721" t="s">
        <v>10838</v>
      </c>
      <c r="AL721">
        <v>1</v>
      </c>
      <c r="AM721" t="s">
        <v>10888</v>
      </c>
      <c r="AN721" t="s">
        <v>10941</v>
      </c>
      <c r="AO721" t="s">
        <v>11008</v>
      </c>
      <c r="AP721" t="s">
        <v>11059</v>
      </c>
      <c r="AR721" t="s">
        <v>11300</v>
      </c>
      <c r="AS721" t="s">
        <v>11595</v>
      </c>
      <c r="AT721" t="s">
        <v>11641</v>
      </c>
      <c r="AX721" t="s">
        <v>10837</v>
      </c>
      <c r="AY721" t="s">
        <v>10829</v>
      </c>
      <c r="AZ721" t="s">
        <v>11682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</row>
    <row r="722" spans="1:59">
      <c r="A722" s="1">
        <f>HYPERLINK("https://lsnyc.legalserver.org/matter/dynamic-profile/view/1904473","19-1904473")</f>
        <v>0</v>
      </c>
      <c r="B722" t="s">
        <v>705</v>
      </c>
      <c r="C722" t="s">
        <v>5613</v>
      </c>
      <c r="D722" t="s">
        <v>9950</v>
      </c>
      <c r="E722" t="s">
        <v>10075</v>
      </c>
      <c r="F722">
        <v>11418</v>
      </c>
      <c r="G722" t="s">
        <v>10092</v>
      </c>
      <c r="H722" t="s">
        <v>10112</v>
      </c>
      <c r="I722" t="s">
        <v>10183</v>
      </c>
      <c r="J722" t="s">
        <v>10212</v>
      </c>
      <c r="K722" t="s">
        <v>10217</v>
      </c>
      <c r="M722" t="s">
        <v>10350</v>
      </c>
      <c r="N722" t="s">
        <v>10692</v>
      </c>
      <c r="P722" t="s">
        <v>10754</v>
      </c>
      <c r="Q722" t="s">
        <v>10766</v>
      </c>
      <c r="R722" t="s">
        <v>10820</v>
      </c>
      <c r="T722">
        <v>40000</v>
      </c>
      <c r="U722">
        <v>3333.33</v>
      </c>
      <c r="V722">
        <v>52</v>
      </c>
      <c r="W722">
        <v>1</v>
      </c>
      <c r="X722">
        <v>1</v>
      </c>
      <c r="Z722">
        <v>236.55</v>
      </c>
      <c r="AA722">
        <v>40.70617</v>
      </c>
      <c r="AB722">
        <v>-73.835733</v>
      </c>
      <c r="AD722" t="s">
        <v>10839</v>
      </c>
      <c r="AG722" t="s">
        <v>10858</v>
      </c>
      <c r="AH722" t="s">
        <v>10865</v>
      </c>
      <c r="AI722">
        <v>237</v>
      </c>
      <c r="AJ722" t="s">
        <v>10212</v>
      </c>
      <c r="AL722">
        <v>22.25</v>
      </c>
      <c r="AM722" t="s">
        <v>10890</v>
      </c>
      <c r="AN722" t="s">
        <v>10952</v>
      </c>
      <c r="AO722" t="s">
        <v>11020</v>
      </c>
      <c r="AP722" t="s">
        <v>11083</v>
      </c>
      <c r="AR722" t="s">
        <v>11257</v>
      </c>
      <c r="AS722" t="s">
        <v>11594</v>
      </c>
      <c r="BA722" t="s">
        <v>11738</v>
      </c>
      <c r="BB722">
        <v>0</v>
      </c>
      <c r="BC722">
        <v>0</v>
      </c>
      <c r="BD722">
        <v>0</v>
      </c>
      <c r="BE722">
        <v>0</v>
      </c>
      <c r="BF722">
        <v>5</v>
      </c>
      <c r="BG722">
        <v>0</v>
      </c>
    </row>
    <row r="723" spans="1:59">
      <c r="A723" s="1">
        <f>HYPERLINK("https://lsnyc.legalserver.org/matter/dynamic-profile/view/1904474","19-1904474")</f>
        <v>0</v>
      </c>
      <c r="B723" t="s">
        <v>706</v>
      </c>
      <c r="C723" t="s">
        <v>5614</v>
      </c>
      <c r="D723" t="s">
        <v>9925</v>
      </c>
      <c r="E723" t="s">
        <v>10075</v>
      </c>
      <c r="F723">
        <v>10002</v>
      </c>
      <c r="G723" t="s">
        <v>10089</v>
      </c>
      <c r="H723" t="s">
        <v>10112</v>
      </c>
      <c r="J723" t="s">
        <v>10209</v>
      </c>
      <c r="K723" t="s">
        <v>10218</v>
      </c>
      <c r="L723" t="s">
        <v>10109</v>
      </c>
      <c r="M723" t="s">
        <v>10447</v>
      </c>
      <c r="N723" t="s">
        <v>10707</v>
      </c>
      <c r="P723" t="s">
        <v>10751</v>
      </c>
      <c r="Q723" t="s">
        <v>10796</v>
      </c>
      <c r="R723" t="s">
        <v>10821</v>
      </c>
      <c r="T723">
        <v>19500</v>
      </c>
      <c r="U723">
        <v>1625</v>
      </c>
      <c r="V723">
        <v>58</v>
      </c>
      <c r="W723">
        <v>1</v>
      </c>
      <c r="X723">
        <v>0</v>
      </c>
      <c r="Y723" t="s">
        <v>10829</v>
      </c>
      <c r="Z723">
        <v>156.12</v>
      </c>
      <c r="AA723">
        <v>40.723393</v>
      </c>
      <c r="AB723">
        <v>-73.99191</v>
      </c>
      <c r="AD723" t="s">
        <v>10840</v>
      </c>
      <c r="AG723" t="s">
        <v>10858</v>
      </c>
      <c r="AH723" t="s">
        <v>10868</v>
      </c>
      <c r="AI723">
        <v>236</v>
      </c>
      <c r="AJ723" t="s">
        <v>10209</v>
      </c>
      <c r="AK723" t="s">
        <v>10838</v>
      </c>
      <c r="AL723">
        <v>1</v>
      </c>
      <c r="AM723" t="s">
        <v>10886</v>
      </c>
      <c r="AN723" t="s">
        <v>10963</v>
      </c>
      <c r="AO723" t="s">
        <v>11004</v>
      </c>
      <c r="AP723" t="s">
        <v>11093</v>
      </c>
      <c r="AR723" t="s">
        <v>11268</v>
      </c>
      <c r="AS723" t="s">
        <v>9925</v>
      </c>
      <c r="AT723" t="s">
        <v>11642</v>
      </c>
      <c r="AX723" t="s">
        <v>10837</v>
      </c>
      <c r="AY723" t="s">
        <v>10829</v>
      </c>
      <c r="AZ723" t="s">
        <v>11682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</row>
    <row r="724" spans="1:59">
      <c r="A724" s="1">
        <f>HYPERLINK("https://lsnyc.legalserver.org/matter/dynamic-profile/view/1904475","19-1904475")</f>
        <v>0</v>
      </c>
      <c r="B724" t="s">
        <v>707</v>
      </c>
      <c r="C724" t="s">
        <v>5615</v>
      </c>
      <c r="D724" t="s">
        <v>9976</v>
      </c>
      <c r="E724" t="s">
        <v>10075</v>
      </c>
      <c r="F724">
        <v>11426</v>
      </c>
      <c r="G724" t="s">
        <v>10093</v>
      </c>
      <c r="H724" t="s">
        <v>10112</v>
      </c>
      <c r="I724" t="s">
        <v>10168</v>
      </c>
      <c r="J724" t="s">
        <v>10213</v>
      </c>
      <c r="K724" t="s">
        <v>10217</v>
      </c>
      <c r="M724" t="s">
        <v>10378</v>
      </c>
      <c r="N724" t="s">
        <v>10662</v>
      </c>
      <c r="P724" t="s">
        <v>10754</v>
      </c>
      <c r="Q724" t="s">
        <v>10784</v>
      </c>
      <c r="R724" t="s">
        <v>10820</v>
      </c>
      <c r="T724">
        <v>14400</v>
      </c>
      <c r="U724">
        <v>1200</v>
      </c>
      <c r="V724">
        <v>22</v>
      </c>
      <c r="W724">
        <v>1</v>
      </c>
      <c r="X724">
        <v>0</v>
      </c>
      <c r="Z724">
        <v>115.29</v>
      </c>
      <c r="AA724">
        <v>40.726849</v>
      </c>
      <c r="AB724">
        <v>-73.728706</v>
      </c>
      <c r="AD724" t="s">
        <v>10840</v>
      </c>
      <c r="AG724" t="s">
        <v>10858</v>
      </c>
      <c r="AH724" t="s">
        <v>10868</v>
      </c>
      <c r="AI724">
        <v>239</v>
      </c>
      <c r="AJ724" t="s">
        <v>10213</v>
      </c>
      <c r="AL724">
        <v>2.3</v>
      </c>
      <c r="AM724" t="s">
        <v>10895</v>
      </c>
      <c r="AN724" t="s">
        <v>10940</v>
      </c>
      <c r="AO724" t="s">
        <v>11022</v>
      </c>
      <c r="AP724" t="s">
        <v>11078</v>
      </c>
      <c r="AQ724" t="s">
        <v>11117</v>
      </c>
      <c r="AR724" t="s">
        <v>11257</v>
      </c>
      <c r="AS724" t="s">
        <v>11594</v>
      </c>
      <c r="AT724" t="s">
        <v>11642</v>
      </c>
      <c r="AX724" t="s">
        <v>10837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</row>
    <row r="725" spans="1:59">
      <c r="A725" s="1">
        <f>HYPERLINK("https://lsnyc.legalserver.org/matter/dynamic-profile/view/1904477","19-1904477")</f>
        <v>0</v>
      </c>
      <c r="B725" t="s">
        <v>708</v>
      </c>
      <c r="C725" t="s">
        <v>5616</v>
      </c>
      <c r="D725" t="s">
        <v>9926</v>
      </c>
      <c r="E725" t="s">
        <v>10075</v>
      </c>
      <c r="F725">
        <v>10472</v>
      </c>
      <c r="G725" t="s">
        <v>10090</v>
      </c>
      <c r="H725" t="s">
        <v>10112</v>
      </c>
      <c r="I725" t="s">
        <v>10169</v>
      </c>
      <c r="J725" t="s">
        <v>10210</v>
      </c>
      <c r="K725" t="s">
        <v>10217</v>
      </c>
      <c r="M725" t="s">
        <v>10346</v>
      </c>
      <c r="N725" t="s">
        <v>10671</v>
      </c>
      <c r="P725" t="s">
        <v>10751</v>
      </c>
      <c r="Q725" t="s">
        <v>10776</v>
      </c>
      <c r="R725" t="s">
        <v>10821</v>
      </c>
      <c r="T725">
        <v>3084</v>
      </c>
      <c r="U725">
        <v>257</v>
      </c>
      <c r="V725">
        <v>41</v>
      </c>
      <c r="W725">
        <v>1</v>
      </c>
      <c r="X725">
        <v>2</v>
      </c>
      <c r="Z725">
        <v>14.46</v>
      </c>
      <c r="AA725">
        <v>40.825493</v>
      </c>
      <c r="AB725">
        <v>-73.876283</v>
      </c>
      <c r="AD725" t="s">
        <v>10839</v>
      </c>
      <c r="AF725" t="s">
        <v>10842</v>
      </c>
      <c r="AG725" t="s">
        <v>10859</v>
      </c>
      <c r="AH725" t="s">
        <v>10874</v>
      </c>
      <c r="AI725">
        <v>230</v>
      </c>
      <c r="AJ725" t="s">
        <v>10210</v>
      </c>
      <c r="AL725">
        <v>3.25</v>
      </c>
      <c r="AM725" t="s">
        <v>10884</v>
      </c>
      <c r="AN725" t="s">
        <v>10968</v>
      </c>
      <c r="AO725" t="s">
        <v>11001</v>
      </c>
      <c r="AP725" t="s">
        <v>11046</v>
      </c>
      <c r="AR725" t="s">
        <v>11322</v>
      </c>
      <c r="AS725" t="s">
        <v>9926</v>
      </c>
      <c r="AT725" t="s">
        <v>11641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</row>
    <row r="726" spans="1:59">
      <c r="A726" s="1">
        <f>HYPERLINK("https://lsnyc.legalserver.org/matter/dynamic-profile/view/1904479","19-1904479")</f>
        <v>0</v>
      </c>
      <c r="B726" t="s">
        <v>709</v>
      </c>
      <c r="C726" t="s">
        <v>5617</v>
      </c>
      <c r="D726" t="s">
        <v>9929</v>
      </c>
      <c r="E726" t="s">
        <v>10075</v>
      </c>
      <c r="F726">
        <v>10312</v>
      </c>
      <c r="G726" t="s">
        <v>10088</v>
      </c>
      <c r="H726" t="s">
        <v>10119</v>
      </c>
      <c r="I726" t="s">
        <v>10168</v>
      </c>
      <c r="J726" t="s">
        <v>10208</v>
      </c>
      <c r="K726" t="s">
        <v>10218</v>
      </c>
      <c r="L726" t="s">
        <v>10143</v>
      </c>
      <c r="M726" t="s">
        <v>10478</v>
      </c>
      <c r="N726" t="s">
        <v>10663</v>
      </c>
      <c r="P726" t="s">
        <v>10755</v>
      </c>
      <c r="Q726" t="s">
        <v>10772</v>
      </c>
      <c r="R726" t="s">
        <v>10820</v>
      </c>
      <c r="T726">
        <v>92000</v>
      </c>
      <c r="U726">
        <v>7666.67</v>
      </c>
      <c r="V726">
        <v>7</v>
      </c>
      <c r="W726">
        <v>2</v>
      </c>
      <c r="X726">
        <v>2</v>
      </c>
      <c r="Y726" t="s">
        <v>10829</v>
      </c>
      <c r="Z726">
        <v>357.28</v>
      </c>
      <c r="AA726">
        <v>40.535384</v>
      </c>
      <c r="AB726">
        <v>-74.194407</v>
      </c>
      <c r="AD726" t="s">
        <v>10839</v>
      </c>
      <c r="AG726" t="s">
        <v>10858</v>
      </c>
      <c r="AH726" t="s">
        <v>10861</v>
      </c>
      <c r="AI726">
        <v>285</v>
      </c>
      <c r="AJ726" t="s">
        <v>10208</v>
      </c>
      <c r="AK726" t="s">
        <v>10838</v>
      </c>
      <c r="AL726">
        <v>0.5</v>
      </c>
      <c r="AM726" t="s">
        <v>10883</v>
      </c>
      <c r="AN726" t="s">
        <v>10906</v>
      </c>
      <c r="AO726" t="s">
        <v>10999</v>
      </c>
      <c r="AP726" t="s">
        <v>11044</v>
      </c>
      <c r="AR726" t="s">
        <v>11257</v>
      </c>
      <c r="AS726" t="s">
        <v>11593</v>
      </c>
      <c r="AT726" t="s">
        <v>11641</v>
      </c>
      <c r="AX726" t="s">
        <v>10838</v>
      </c>
      <c r="AY726" t="s">
        <v>10829</v>
      </c>
      <c r="AZ726" t="s">
        <v>11712</v>
      </c>
      <c r="BA726" t="s">
        <v>11741</v>
      </c>
      <c r="BB726">
        <v>0</v>
      </c>
      <c r="BC726">
        <v>0</v>
      </c>
      <c r="BD726">
        <v>0</v>
      </c>
      <c r="BE726">
        <v>0</v>
      </c>
      <c r="BF726">
        <v>1</v>
      </c>
      <c r="BG726">
        <v>0</v>
      </c>
    </row>
    <row r="727" spans="1:59">
      <c r="A727" s="1">
        <f>HYPERLINK("https://lsnyc.legalserver.org/matter/dynamic-profile/view/1904480","19-1904480")</f>
        <v>0</v>
      </c>
      <c r="B727" t="s">
        <v>710</v>
      </c>
      <c r="C727" t="s">
        <v>5618</v>
      </c>
      <c r="D727" t="s">
        <v>9929</v>
      </c>
      <c r="E727" t="s">
        <v>10075</v>
      </c>
      <c r="F727">
        <v>10301</v>
      </c>
      <c r="G727" t="s">
        <v>10088</v>
      </c>
      <c r="H727" t="s">
        <v>10107</v>
      </c>
      <c r="I727" t="s">
        <v>10168</v>
      </c>
      <c r="J727" t="s">
        <v>10208</v>
      </c>
      <c r="K727" t="s">
        <v>10217</v>
      </c>
      <c r="M727" t="s">
        <v>10228</v>
      </c>
      <c r="N727" t="s">
        <v>10644</v>
      </c>
      <c r="P727" t="s">
        <v>10749</v>
      </c>
      <c r="Q727" t="s">
        <v>10759</v>
      </c>
      <c r="R727" t="s">
        <v>10824</v>
      </c>
      <c r="T727">
        <v>32400</v>
      </c>
      <c r="U727">
        <v>2700</v>
      </c>
      <c r="V727">
        <v>64</v>
      </c>
      <c r="W727">
        <v>2</v>
      </c>
      <c r="X727">
        <v>0</v>
      </c>
      <c r="Z727">
        <v>191.6</v>
      </c>
      <c r="AA727">
        <v>40.64646</v>
      </c>
      <c r="AB727">
        <v>-74.08616499999999</v>
      </c>
      <c r="AD727" t="s">
        <v>10839</v>
      </c>
      <c r="AG727" t="s">
        <v>10858</v>
      </c>
      <c r="AH727" t="s">
        <v>10860</v>
      </c>
      <c r="AI727">
        <v>285</v>
      </c>
      <c r="AJ727" t="s">
        <v>10208</v>
      </c>
      <c r="AL727">
        <v>5.8</v>
      </c>
      <c r="AM727" t="s">
        <v>10883</v>
      </c>
      <c r="AN727" t="s">
        <v>10913</v>
      </c>
      <c r="AO727" t="s">
        <v>11006</v>
      </c>
      <c r="AP727" t="s">
        <v>11051</v>
      </c>
      <c r="AR727" t="s">
        <v>11373</v>
      </c>
      <c r="AS727" t="s">
        <v>11593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</row>
    <row r="728" spans="1:59">
      <c r="A728" s="1">
        <f>HYPERLINK("https://lsnyc.legalserver.org/matter/dynamic-profile/view/1904481","19-1904481")</f>
        <v>0</v>
      </c>
      <c r="B728" t="s">
        <v>711</v>
      </c>
      <c r="C728" t="s">
        <v>5619</v>
      </c>
      <c r="D728" t="s">
        <v>9977</v>
      </c>
      <c r="E728" t="s">
        <v>10075</v>
      </c>
      <c r="F728">
        <v>11360</v>
      </c>
      <c r="G728" t="s">
        <v>10088</v>
      </c>
      <c r="H728" t="s">
        <v>10118</v>
      </c>
      <c r="I728" t="s">
        <v>10168</v>
      </c>
      <c r="J728" t="s">
        <v>10208</v>
      </c>
      <c r="K728" t="s">
        <v>10217</v>
      </c>
      <c r="M728" t="s">
        <v>10479</v>
      </c>
      <c r="N728" t="s">
        <v>10652</v>
      </c>
      <c r="P728" t="s">
        <v>10754</v>
      </c>
      <c r="Q728" t="s">
        <v>10771</v>
      </c>
      <c r="R728" t="s">
        <v>10825</v>
      </c>
      <c r="T728">
        <v>70000</v>
      </c>
      <c r="U728">
        <v>5833.33</v>
      </c>
      <c r="V728">
        <v>34</v>
      </c>
      <c r="W728">
        <v>1</v>
      </c>
      <c r="X728">
        <v>3</v>
      </c>
      <c r="Z728">
        <v>271.84</v>
      </c>
      <c r="AA728">
        <v>40.773998</v>
      </c>
      <c r="AB728">
        <v>-73.78708899999999</v>
      </c>
      <c r="AD728" t="s">
        <v>10839</v>
      </c>
      <c r="AG728" t="s">
        <v>10858</v>
      </c>
      <c r="AH728" t="s">
        <v>10861</v>
      </c>
      <c r="AI728">
        <v>285</v>
      </c>
      <c r="AJ728" t="s">
        <v>10208</v>
      </c>
      <c r="AL728">
        <v>2.2</v>
      </c>
      <c r="AM728" t="s">
        <v>10890</v>
      </c>
      <c r="AN728" t="s">
        <v>10948</v>
      </c>
      <c r="AO728" t="s">
        <v>11022</v>
      </c>
      <c r="AP728" t="s">
        <v>11080</v>
      </c>
      <c r="AQ728" t="s">
        <v>11102</v>
      </c>
      <c r="AR728" t="s">
        <v>11257</v>
      </c>
      <c r="AS728" t="s">
        <v>11594</v>
      </c>
      <c r="AT728" t="s">
        <v>11641</v>
      </c>
      <c r="AX728" t="s">
        <v>10838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</row>
    <row r="729" spans="1:59">
      <c r="A729" s="1">
        <f>HYPERLINK("https://lsnyc.legalserver.org/matter/dynamic-profile/view/1904482","19-1904482")</f>
        <v>0</v>
      </c>
      <c r="B729" t="s">
        <v>712</v>
      </c>
      <c r="C729" t="s">
        <v>5620</v>
      </c>
      <c r="D729" t="s">
        <v>9925</v>
      </c>
      <c r="E729" t="s">
        <v>10075</v>
      </c>
      <c r="F729">
        <v>10002</v>
      </c>
      <c r="G729" t="s">
        <v>10089</v>
      </c>
      <c r="H729" t="s">
        <v>10107</v>
      </c>
      <c r="I729" t="s">
        <v>10169</v>
      </c>
      <c r="J729" t="s">
        <v>10209</v>
      </c>
      <c r="K729" t="s">
        <v>10217</v>
      </c>
      <c r="M729" t="s">
        <v>10480</v>
      </c>
      <c r="N729" t="s">
        <v>10703</v>
      </c>
      <c r="P729" t="s">
        <v>10749</v>
      </c>
      <c r="Q729" t="s">
        <v>10767</v>
      </c>
      <c r="R729" t="s">
        <v>10821</v>
      </c>
      <c r="T729">
        <v>9252</v>
      </c>
      <c r="U729">
        <v>771</v>
      </c>
      <c r="V729">
        <v>78</v>
      </c>
      <c r="W729">
        <v>1</v>
      </c>
      <c r="X729">
        <v>0</v>
      </c>
      <c r="Z729">
        <v>74.08</v>
      </c>
      <c r="AA729">
        <v>40.715781</v>
      </c>
      <c r="AB729">
        <v>-73.976669</v>
      </c>
      <c r="AD729" t="s">
        <v>10839</v>
      </c>
      <c r="AG729" t="s">
        <v>10858</v>
      </c>
      <c r="AH729" t="s">
        <v>10864</v>
      </c>
      <c r="AI729">
        <v>236</v>
      </c>
      <c r="AJ729" t="s">
        <v>10209</v>
      </c>
      <c r="AL729">
        <v>1.75</v>
      </c>
      <c r="AM729" t="s">
        <v>10886</v>
      </c>
      <c r="AN729" t="s">
        <v>10910</v>
      </c>
      <c r="AO729" t="s">
        <v>11004</v>
      </c>
      <c r="AP729" t="s">
        <v>11048</v>
      </c>
      <c r="AR729" t="s">
        <v>11374</v>
      </c>
      <c r="AS729" t="s">
        <v>9925</v>
      </c>
      <c r="BA729" t="s">
        <v>11742</v>
      </c>
      <c r="BB729">
        <v>0</v>
      </c>
      <c r="BC729">
        <v>0</v>
      </c>
      <c r="BD729">
        <v>0</v>
      </c>
      <c r="BE729">
        <v>0</v>
      </c>
      <c r="BF729">
        <v>7</v>
      </c>
      <c r="BG729">
        <v>0</v>
      </c>
    </row>
    <row r="730" spans="1:59">
      <c r="A730" s="1">
        <f>HYPERLINK("https://lsnyc.legalserver.org/matter/dynamic-profile/view/1904483","19-1904483")</f>
        <v>0</v>
      </c>
      <c r="B730" t="s">
        <v>713</v>
      </c>
      <c r="C730" t="s">
        <v>5608</v>
      </c>
      <c r="D730" t="s">
        <v>9926</v>
      </c>
      <c r="E730" t="s">
        <v>10075</v>
      </c>
      <c r="F730">
        <v>10470</v>
      </c>
      <c r="G730" t="s">
        <v>10090</v>
      </c>
      <c r="H730" t="s">
        <v>10107</v>
      </c>
      <c r="J730" t="s">
        <v>10210</v>
      </c>
      <c r="K730" t="s">
        <v>10217</v>
      </c>
      <c r="M730" t="s">
        <v>10477</v>
      </c>
      <c r="N730" t="s">
        <v>10650</v>
      </c>
      <c r="P730" t="s">
        <v>10749</v>
      </c>
      <c r="Q730" t="s">
        <v>10765</v>
      </c>
      <c r="R730" t="s">
        <v>10821</v>
      </c>
      <c r="T730">
        <v>13294.56</v>
      </c>
      <c r="U730">
        <v>1107.88</v>
      </c>
      <c r="V730">
        <v>48</v>
      </c>
      <c r="W730">
        <v>1</v>
      </c>
      <c r="X730">
        <v>0</v>
      </c>
      <c r="Z730">
        <v>106.44</v>
      </c>
      <c r="AA730">
        <v>40.905429</v>
      </c>
      <c r="AB730">
        <v>-73.847713</v>
      </c>
      <c r="AD730" t="s">
        <v>10839</v>
      </c>
      <c r="AG730" t="s">
        <v>10858</v>
      </c>
      <c r="AH730" t="s">
        <v>10862</v>
      </c>
      <c r="AI730">
        <v>230</v>
      </c>
      <c r="AJ730" t="s">
        <v>10210</v>
      </c>
      <c r="AL730">
        <v>0</v>
      </c>
      <c r="AM730" t="s">
        <v>10893</v>
      </c>
      <c r="AN730" t="s">
        <v>10919</v>
      </c>
      <c r="AO730" t="s">
        <v>11010</v>
      </c>
      <c r="AP730" t="s">
        <v>11057</v>
      </c>
      <c r="AR730" t="s">
        <v>11263</v>
      </c>
      <c r="AS730" t="s">
        <v>9926</v>
      </c>
      <c r="BA730" t="s">
        <v>11738</v>
      </c>
      <c r="BB730">
        <v>0</v>
      </c>
      <c r="BC730">
        <v>0</v>
      </c>
      <c r="BD730">
        <v>0</v>
      </c>
      <c r="BE730">
        <v>0</v>
      </c>
      <c r="BF730">
        <v>5</v>
      </c>
      <c r="BG730">
        <v>0</v>
      </c>
    </row>
    <row r="731" spans="1:59">
      <c r="A731" s="1">
        <f>HYPERLINK("https://lsnyc.legalserver.org/matter/dynamic-profile/view/1904484","19-1904484")</f>
        <v>0</v>
      </c>
      <c r="B731" t="s">
        <v>714</v>
      </c>
      <c r="C731" t="s">
        <v>5608</v>
      </c>
      <c r="D731" t="s">
        <v>9926</v>
      </c>
      <c r="E731" t="s">
        <v>10075</v>
      </c>
      <c r="F731">
        <v>10470</v>
      </c>
      <c r="G731" t="s">
        <v>10090</v>
      </c>
      <c r="H731" t="s">
        <v>10107</v>
      </c>
      <c r="I731" t="s">
        <v>10168</v>
      </c>
      <c r="J731" t="s">
        <v>10210</v>
      </c>
      <c r="K731" t="s">
        <v>10217</v>
      </c>
      <c r="M731" t="s">
        <v>10477</v>
      </c>
      <c r="N731" t="s">
        <v>10650</v>
      </c>
      <c r="P731" t="s">
        <v>10749</v>
      </c>
      <c r="Q731" t="s">
        <v>10765</v>
      </c>
      <c r="R731" t="s">
        <v>10821</v>
      </c>
      <c r="T731">
        <v>56020</v>
      </c>
      <c r="U731">
        <v>4668.33</v>
      </c>
      <c r="V731">
        <v>67</v>
      </c>
      <c r="W731">
        <v>2</v>
      </c>
      <c r="X731">
        <v>0</v>
      </c>
      <c r="Z731">
        <v>331.28</v>
      </c>
      <c r="AA731">
        <v>40.905429</v>
      </c>
      <c r="AB731">
        <v>-73.847713</v>
      </c>
      <c r="AD731" t="s">
        <v>10839</v>
      </c>
      <c r="AG731" t="s">
        <v>10858</v>
      </c>
      <c r="AH731" t="s">
        <v>10862</v>
      </c>
      <c r="AI731">
        <v>230</v>
      </c>
      <c r="AJ731" t="s">
        <v>10210</v>
      </c>
      <c r="AL731">
        <v>42.5</v>
      </c>
      <c r="AM731" t="s">
        <v>10893</v>
      </c>
      <c r="AN731" t="s">
        <v>10919</v>
      </c>
      <c r="AO731" t="s">
        <v>11010</v>
      </c>
      <c r="AP731" t="s">
        <v>11057</v>
      </c>
      <c r="AR731" t="s">
        <v>11287</v>
      </c>
      <c r="AS731" t="s">
        <v>9926</v>
      </c>
      <c r="BA731" t="s">
        <v>11738</v>
      </c>
      <c r="BB731">
        <v>0</v>
      </c>
      <c r="BC731">
        <v>0</v>
      </c>
      <c r="BD731">
        <v>0</v>
      </c>
      <c r="BE731">
        <v>0</v>
      </c>
      <c r="BF731">
        <v>5</v>
      </c>
      <c r="BG731">
        <v>0</v>
      </c>
    </row>
    <row r="732" spans="1:59">
      <c r="A732" s="1">
        <f>HYPERLINK("https://lsnyc.legalserver.org/matter/dynamic-profile/view/1904485","19-1904485")</f>
        <v>0</v>
      </c>
      <c r="B732" t="s">
        <v>715</v>
      </c>
      <c r="C732" t="s">
        <v>5621</v>
      </c>
      <c r="D732" t="s">
        <v>9926</v>
      </c>
      <c r="E732" t="s">
        <v>10075</v>
      </c>
      <c r="F732">
        <v>10472</v>
      </c>
      <c r="G732" t="s">
        <v>10093</v>
      </c>
      <c r="H732" t="s">
        <v>10107</v>
      </c>
      <c r="I732" t="s">
        <v>10168</v>
      </c>
      <c r="J732" t="s">
        <v>10213</v>
      </c>
      <c r="K732" t="s">
        <v>10217</v>
      </c>
      <c r="M732" t="s">
        <v>10280</v>
      </c>
      <c r="N732" t="s">
        <v>10656</v>
      </c>
      <c r="P732" t="s">
        <v>10751</v>
      </c>
      <c r="Q732" t="s">
        <v>10780</v>
      </c>
      <c r="R732" t="s">
        <v>10821</v>
      </c>
      <c r="T732">
        <v>6432</v>
      </c>
      <c r="U732">
        <v>536</v>
      </c>
      <c r="V732">
        <v>24</v>
      </c>
      <c r="W732">
        <v>1</v>
      </c>
      <c r="X732">
        <v>0</v>
      </c>
      <c r="Z732">
        <v>51.5</v>
      </c>
      <c r="AA732">
        <v>40.827489</v>
      </c>
      <c r="AB732">
        <v>-73.875297</v>
      </c>
      <c r="AD732" t="s">
        <v>10839</v>
      </c>
      <c r="AG732" t="s">
        <v>10858</v>
      </c>
      <c r="AH732" t="s">
        <v>10861</v>
      </c>
      <c r="AI732">
        <v>234</v>
      </c>
      <c r="AJ732" t="s">
        <v>10214</v>
      </c>
      <c r="AL732">
        <v>3.1</v>
      </c>
      <c r="AM732" t="s">
        <v>10884</v>
      </c>
      <c r="AN732" t="s">
        <v>10968</v>
      </c>
      <c r="AO732" t="s">
        <v>11001</v>
      </c>
      <c r="AP732" t="s">
        <v>11046</v>
      </c>
      <c r="AR732" t="s">
        <v>11255</v>
      </c>
      <c r="AS732" t="s">
        <v>9926</v>
      </c>
      <c r="AT732" t="s">
        <v>11641</v>
      </c>
      <c r="AX732" t="s">
        <v>10838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</row>
    <row r="733" spans="1:59">
      <c r="A733" s="1">
        <f>HYPERLINK("https://lsnyc.legalserver.org/matter/dynamic-profile/view/1904486","19-1904486")</f>
        <v>0</v>
      </c>
      <c r="B733" t="s">
        <v>716</v>
      </c>
      <c r="C733" t="s">
        <v>5608</v>
      </c>
      <c r="D733" t="s">
        <v>9926</v>
      </c>
      <c r="E733" t="s">
        <v>10075</v>
      </c>
      <c r="F733">
        <v>10470</v>
      </c>
      <c r="G733" t="s">
        <v>10090</v>
      </c>
      <c r="H733" t="s">
        <v>10107</v>
      </c>
      <c r="I733" t="s">
        <v>10168</v>
      </c>
      <c r="J733" t="s">
        <v>10210</v>
      </c>
      <c r="K733" t="s">
        <v>10217</v>
      </c>
      <c r="M733" t="s">
        <v>10477</v>
      </c>
      <c r="N733" t="s">
        <v>10650</v>
      </c>
      <c r="P733" t="s">
        <v>10749</v>
      </c>
      <c r="Q733" t="s">
        <v>10765</v>
      </c>
      <c r="R733" t="s">
        <v>10822</v>
      </c>
      <c r="T733">
        <v>13017.6</v>
      </c>
      <c r="U733">
        <v>1084.8</v>
      </c>
      <c r="V733">
        <v>68</v>
      </c>
      <c r="W733">
        <v>1</v>
      </c>
      <c r="X733">
        <v>0</v>
      </c>
      <c r="Z733">
        <v>104.22</v>
      </c>
      <c r="AA733">
        <v>40.905429</v>
      </c>
      <c r="AB733">
        <v>-73.847713</v>
      </c>
      <c r="AD733" t="s">
        <v>10839</v>
      </c>
      <c r="AG733" t="s">
        <v>10858</v>
      </c>
      <c r="AH733" t="s">
        <v>10862</v>
      </c>
      <c r="AI733">
        <v>230</v>
      </c>
      <c r="AJ733" t="s">
        <v>10210</v>
      </c>
      <c r="AL733">
        <v>0</v>
      </c>
      <c r="AM733" t="s">
        <v>10893</v>
      </c>
      <c r="AN733" t="s">
        <v>10919</v>
      </c>
      <c r="AO733" t="s">
        <v>11010</v>
      </c>
      <c r="AP733" t="s">
        <v>11057</v>
      </c>
      <c r="AR733" t="s">
        <v>11268</v>
      </c>
      <c r="AS733" t="s">
        <v>9926</v>
      </c>
      <c r="BA733" t="s">
        <v>11738</v>
      </c>
      <c r="BB733">
        <v>0</v>
      </c>
      <c r="BC733">
        <v>0</v>
      </c>
      <c r="BD733">
        <v>0</v>
      </c>
      <c r="BE733">
        <v>0</v>
      </c>
      <c r="BF733">
        <v>5</v>
      </c>
      <c r="BG733">
        <v>0</v>
      </c>
    </row>
    <row r="734" spans="1:59">
      <c r="A734" s="1">
        <f>HYPERLINK("https://lsnyc.legalserver.org/matter/dynamic-profile/view/1904487","19-1904487")</f>
        <v>0</v>
      </c>
      <c r="B734" t="s">
        <v>717</v>
      </c>
      <c r="C734" t="s">
        <v>5622</v>
      </c>
      <c r="D734" t="s">
        <v>9929</v>
      </c>
      <c r="E734" t="s">
        <v>10075</v>
      </c>
      <c r="F734">
        <v>10303</v>
      </c>
      <c r="G734" t="s">
        <v>10091</v>
      </c>
      <c r="H734" t="s">
        <v>10107</v>
      </c>
      <c r="I734" t="s">
        <v>10168</v>
      </c>
      <c r="J734" t="s">
        <v>10211</v>
      </c>
      <c r="K734" t="s">
        <v>10217</v>
      </c>
      <c r="M734" t="s">
        <v>10307</v>
      </c>
      <c r="N734" t="s">
        <v>10671</v>
      </c>
      <c r="P734" t="s">
        <v>10752</v>
      </c>
      <c r="Q734" t="s">
        <v>10762</v>
      </c>
      <c r="R734" t="s">
        <v>10824</v>
      </c>
      <c r="T734">
        <v>11000</v>
      </c>
      <c r="U734">
        <v>916.67</v>
      </c>
      <c r="V734">
        <v>47</v>
      </c>
      <c r="W734">
        <v>1</v>
      </c>
      <c r="X734">
        <v>0</v>
      </c>
      <c r="Z734">
        <v>88.06999999999999</v>
      </c>
      <c r="AA734">
        <v>0</v>
      </c>
      <c r="AB734">
        <v>0</v>
      </c>
      <c r="AD734" t="s">
        <v>10839</v>
      </c>
      <c r="AG734" t="s">
        <v>10858</v>
      </c>
      <c r="AH734" t="s">
        <v>10861</v>
      </c>
      <c r="AI734">
        <v>234</v>
      </c>
      <c r="AJ734" t="s">
        <v>10214</v>
      </c>
      <c r="AL734">
        <v>1</v>
      </c>
      <c r="AR734" t="s">
        <v>11274</v>
      </c>
      <c r="AS734" t="s">
        <v>11593</v>
      </c>
      <c r="AT734" t="s">
        <v>11641</v>
      </c>
      <c r="AX734" t="s">
        <v>10838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</row>
    <row r="735" spans="1:59">
      <c r="A735" s="1">
        <f>HYPERLINK("https://lsnyc.legalserver.org/matter/dynamic-profile/view/1904488","19-1904488")</f>
        <v>0</v>
      </c>
      <c r="B735" t="s">
        <v>718</v>
      </c>
      <c r="C735" t="s">
        <v>5623</v>
      </c>
      <c r="D735" t="s">
        <v>9928</v>
      </c>
      <c r="E735" t="s">
        <v>10075</v>
      </c>
      <c r="F735">
        <v>11233</v>
      </c>
      <c r="G735" t="s">
        <v>10093</v>
      </c>
      <c r="H735" t="s">
        <v>10107</v>
      </c>
      <c r="I735" t="s">
        <v>10168</v>
      </c>
      <c r="J735" t="s">
        <v>10213</v>
      </c>
      <c r="K735" t="s">
        <v>10218</v>
      </c>
      <c r="L735" t="s">
        <v>10107</v>
      </c>
      <c r="M735" t="s">
        <v>10481</v>
      </c>
      <c r="N735" t="s">
        <v>10650</v>
      </c>
      <c r="P735" t="s">
        <v>10749</v>
      </c>
      <c r="Q735" t="s">
        <v>10765</v>
      </c>
      <c r="R735" t="s">
        <v>10823</v>
      </c>
      <c r="T735">
        <v>32000</v>
      </c>
      <c r="U735">
        <v>2666.67</v>
      </c>
      <c r="V735">
        <v>42</v>
      </c>
      <c r="W735">
        <v>1</v>
      </c>
      <c r="X735">
        <v>4</v>
      </c>
      <c r="Y735" t="s">
        <v>10829</v>
      </c>
      <c r="Z735">
        <v>106.07</v>
      </c>
      <c r="AA735">
        <v>40.667222</v>
      </c>
      <c r="AB735">
        <v>-73.92395</v>
      </c>
      <c r="AD735" t="s">
        <v>10839</v>
      </c>
      <c r="AG735" t="s">
        <v>10858</v>
      </c>
      <c r="AH735" t="s">
        <v>10861</v>
      </c>
      <c r="AI735">
        <v>234</v>
      </c>
      <c r="AJ735" t="s">
        <v>10214</v>
      </c>
      <c r="AK735" t="s">
        <v>10838</v>
      </c>
      <c r="AL735">
        <v>0.5</v>
      </c>
      <c r="AM735" t="s">
        <v>10888</v>
      </c>
      <c r="AN735" t="s">
        <v>10922</v>
      </c>
      <c r="AO735" t="s">
        <v>11005</v>
      </c>
      <c r="AP735" t="s">
        <v>11064</v>
      </c>
      <c r="AR735" t="s">
        <v>11257</v>
      </c>
      <c r="AS735" t="s">
        <v>11595</v>
      </c>
      <c r="AT735" t="s">
        <v>11641</v>
      </c>
      <c r="AX735" t="s">
        <v>10838</v>
      </c>
      <c r="AY735" t="s">
        <v>10829</v>
      </c>
      <c r="AZ735" t="s">
        <v>11681</v>
      </c>
      <c r="BA735" t="s">
        <v>11741</v>
      </c>
      <c r="BB735">
        <v>0</v>
      </c>
      <c r="BC735">
        <v>0</v>
      </c>
      <c r="BD735">
        <v>0</v>
      </c>
      <c r="BE735">
        <v>0</v>
      </c>
      <c r="BF735">
        <v>1</v>
      </c>
      <c r="BG735">
        <v>0</v>
      </c>
    </row>
    <row r="736" spans="1:59">
      <c r="A736" s="1">
        <f>HYPERLINK("https://lsnyc.legalserver.org/matter/dynamic-profile/view/1904489","19-1904489")</f>
        <v>0</v>
      </c>
      <c r="B736" t="s">
        <v>120</v>
      </c>
      <c r="C736" t="s">
        <v>5608</v>
      </c>
      <c r="D736" t="s">
        <v>9926</v>
      </c>
      <c r="E736" t="s">
        <v>10075</v>
      </c>
      <c r="F736">
        <v>10470</v>
      </c>
      <c r="G736" t="s">
        <v>10090</v>
      </c>
      <c r="H736" t="s">
        <v>10107</v>
      </c>
      <c r="I736" t="s">
        <v>10168</v>
      </c>
      <c r="J736" t="s">
        <v>10210</v>
      </c>
      <c r="K736" t="s">
        <v>10217</v>
      </c>
      <c r="M736" t="s">
        <v>10477</v>
      </c>
      <c r="N736" t="s">
        <v>10650</v>
      </c>
      <c r="P736" t="s">
        <v>10749</v>
      </c>
      <c r="Q736" t="s">
        <v>10765</v>
      </c>
      <c r="R736" t="s">
        <v>10820</v>
      </c>
      <c r="T736">
        <v>16826.4</v>
      </c>
      <c r="U736">
        <v>1402.2</v>
      </c>
      <c r="V736">
        <v>70</v>
      </c>
      <c r="W736">
        <v>2</v>
      </c>
      <c r="X736">
        <v>0</v>
      </c>
      <c r="Z736">
        <v>99.51000000000001</v>
      </c>
      <c r="AA736">
        <v>40.905429</v>
      </c>
      <c r="AB736">
        <v>-73.847713</v>
      </c>
      <c r="AD736" t="s">
        <v>10839</v>
      </c>
      <c r="AG736" t="s">
        <v>10858</v>
      </c>
      <c r="AH736" t="s">
        <v>10862</v>
      </c>
      <c r="AI736">
        <v>230</v>
      </c>
      <c r="AJ736" t="s">
        <v>10210</v>
      </c>
      <c r="AL736">
        <v>0</v>
      </c>
      <c r="AM736" t="s">
        <v>10893</v>
      </c>
      <c r="AN736" t="s">
        <v>10919</v>
      </c>
      <c r="AO736" t="s">
        <v>11010</v>
      </c>
      <c r="AP736" t="s">
        <v>11057</v>
      </c>
      <c r="AR736" t="s">
        <v>11268</v>
      </c>
      <c r="AS736" t="s">
        <v>9926</v>
      </c>
      <c r="BA736" t="s">
        <v>11738</v>
      </c>
      <c r="BB736">
        <v>0</v>
      </c>
      <c r="BC736">
        <v>0</v>
      </c>
      <c r="BD736">
        <v>0</v>
      </c>
      <c r="BE736">
        <v>0</v>
      </c>
      <c r="BF736">
        <v>5</v>
      </c>
      <c r="BG736">
        <v>0</v>
      </c>
    </row>
    <row r="737" spans="1:59">
      <c r="A737" s="1">
        <f>HYPERLINK("https://lsnyc.legalserver.org/matter/dynamic-profile/view/1904492","19-1904492")</f>
        <v>0</v>
      </c>
      <c r="B737" t="s">
        <v>719</v>
      </c>
      <c r="C737" t="s">
        <v>5624</v>
      </c>
      <c r="D737" t="s">
        <v>9926</v>
      </c>
      <c r="E737" t="s">
        <v>10075</v>
      </c>
      <c r="F737">
        <v>10467</v>
      </c>
      <c r="G737" t="s">
        <v>10090</v>
      </c>
      <c r="H737" t="s">
        <v>10107</v>
      </c>
      <c r="I737" t="s">
        <v>10168</v>
      </c>
      <c r="J737" t="s">
        <v>10210</v>
      </c>
      <c r="K737" t="s">
        <v>10217</v>
      </c>
      <c r="M737" t="s">
        <v>10482</v>
      </c>
      <c r="N737" t="s">
        <v>10658</v>
      </c>
      <c r="P737" t="s">
        <v>10749</v>
      </c>
      <c r="Q737" t="s">
        <v>10806</v>
      </c>
      <c r="R737" t="s">
        <v>10824</v>
      </c>
      <c r="T737">
        <v>110772</v>
      </c>
      <c r="U737">
        <v>9231</v>
      </c>
      <c r="V737">
        <v>87</v>
      </c>
      <c r="W737">
        <v>1</v>
      </c>
      <c r="X737">
        <v>0</v>
      </c>
      <c r="Z737">
        <v>886.89</v>
      </c>
      <c r="AA737">
        <v>40.884224</v>
      </c>
      <c r="AB737">
        <v>-73.85778000000001</v>
      </c>
      <c r="AD737" t="s">
        <v>10840</v>
      </c>
      <c r="AG737" t="s">
        <v>10858</v>
      </c>
      <c r="AH737" t="s">
        <v>10860</v>
      </c>
      <c r="AI737">
        <v>230</v>
      </c>
      <c r="AJ737" t="s">
        <v>10210</v>
      </c>
      <c r="AL737">
        <v>9.75</v>
      </c>
      <c r="AM737" t="s">
        <v>10893</v>
      </c>
      <c r="AN737" t="s">
        <v>10956</v>
      </c>
      <c r="AO737" t="s">
        <v>11010</v>
      </c>
      <c r="AP737" t="s">
        <v>11085</v>
      </c>
      <c r="AR737" t="s">
        <v>11375</v>
      </c>
      <c r="AS737" t="s">
        <v>9926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</row>
    <row r="738" spans="1:59">
      <c r="A738" s="1">
        <f>HYPERLINK("https://lsnyc.legalserver.org/matter/dynamic-profile/view/1904493","19-1904493")</f>
        <v>0</v>
      </c>
      <c r="B738" t="s">
        <v>423</v>
      </c>
      <c r="C738" t="s">
        <v>5625</v>
      </c>
      <c r="D738" t="s">
        <v>9925</v>
      </c>
      <c r="E738" t="s">
        <v>10075</v>
      </c>
      <c r="F738">
        <v>10033</v>
      </c>
      <c r="G738" t="s">
        <v>10089</v>
      </c>
      <c r="H738" t="s">
        <v>10107</v>
      </c>
      <c r="I738" t="s">
        <v>10168</v>
      </c>
      <c r="J738" t="s">
        <v>10209</v>
      </c>
      <c r="K738" t="s">
        <v>10217</v>
      </c>
      <c r="M738" t="s">
        <v>10483</v>
      </c>
      <c r="N738" t="s">
        <v>10650</v>
      </c>
      <c r="P738" t="s">
        <v>10749</v>
      </c>
      <c r="Q738" t="s">
        <v>10765</v>
      </c>
      <c r="R738" t="s">
        <v>10822</v>
      </c>
      <c r="T738">
        <v>4922</v>
      </c>
      <c r="U738">
        <v>410.17</v>
      </c>
      <c r="V738">
        <v>41</v>
      </c>
      <c r="W738">
        <v>1</v>
      </c>
      <c r="X738">
        <v>0</v>
      </c>
      <c r="Z738">
        <v>39.41</v>
      </c>
      <c r="AA738">
        <v>40.848757</v>
      </c>
      <c r="AB738">
        <v>-73.932974</v>
      </c>
      <c r="AD738" t="s">
        <v>10839</v>
      </c>
      <c r="AG738" t="s">
        <v>10858</v>
      </c>
      <c r="AH738" t="s">
        <v>10862</v>
      </c>
      <c r="AI738">
        <v>236</v>
      </c>
      <c r="AJ738" t="s">
        <v>10209</v>
      </c>
      <c r="AL738">
        <v>14.4</v>
      </c>
      <c r="AM738" t="s">
        <v>10887</v>
      </c>
      <c r="AN738" t="s">
        <v>10937</v>
      </c>
      <c r="AO738" t="s">
        <v>11019</v>
      </c>
      <c r="AP738" t="s">
        <v>11074</v>
      </c>
      <c r="AR738" t="s">
        <v>11260</v>
      </c>
      <c r="AS738" t="s">
        <v>9925</v>
      </c>
      <c r="AT738" t="s">
        <v>11641</v>
      </c>
      <c r="AX738" t="s">
        <v>10838</v>
      </c>
      <c r="BA738" t="s">
        <v>11738</v>
      </c>
      <c r="BB738">
        <v>0</v>
      </c>
      <c r="BC738">
        <v>0</v>
      </c>
      <c r="BD738">
        <v>0</v>
      </c>
      <c r="BE738">
        <v>0</v>
      </c>
      <c r="BF738">
        <v>5</v>
      </c>
      <c r="BG738">
        <v>0</v>
      </c>
    </row>
    <row r="739" spans="1:59">
      <c r="A739" s="1">
        <f>HYPERLINK("https://lsnyc.legalserver.org/matter/dynamic-profile/view/1904494","19-1904494")</f>
        <v>0</v>
      </c>
      <c r="B739" t="s">
        <v>720</v>
      </c>
      <c r="C739" t="s">
        <v>5608</v>
      </c>
      <c r="D739" t="s">
        <v>9926</v>
      </c>
      <c r="E739" t="s">
        <v>10075</v>
      </c>
      <c r="F739">
        <v>10470</v>
      </c>
      <c r="G739" t="s">
        <v>10090</v>
      </c>
      <c r="H739" t="s">
        <v>10107</v>
      </c>
      <c r="I739" t="s">
        <v>10168</v>
      </c>
      <c r="J739" t="s">
        <v>10210</v>
      </c>
      <c r="K739" t="s">
        <v>10217</v>
      </c>
      <c r="M739" t="s">
        <v>10477</v>
      </c>
      <c r="N739" t="s">
        <v>10650</v>
      </c>
      <c r="P739" t="s">
        <v>10749</v>
      </c>
      <c r="Q739" t="s">
        <v>10765</v>
      </c>
      <c r="R739" t="s">
        <v>10824</v>
      </c>
      <c r="T739">
        <v>125000</v>
      </c>
      <c r="U739">
        <v>10416.67</v>
      </c>
      <c r="V739">
        <v>39</v>
      </c>
      <c r="W739">
        <v>2</v>
      </c>
      <c r="X739">
        <v>0</v>
      </c>
      <c r="Z739">
        <v>739.21</v>
      </c>
      <c r="AA739">
        <v>40.905429</v>
      </c>
      <c r="AB739">
        <v>-73.847713</v>
      </c>
      <c r="AD739" t="s">
        <v>10839</v>
      </c>
      <c r="AG739" t="s">
        <v>10858</v>
      </c>
      <c r="AH739" t="s">
        <v>10862</v>
      </c>
      <c r="AI739">
        <v>230</v>
      </c>
      <c r="AJ739" t="s">
        <v>10210</v>
      </c>
      <c r="AL739">
        <v>0</v>
      </c>
      <c r="AM739" t="s">
        <v>10893</v>
      </c>
      <c r="AN739" t="s">
        <v>10919</v>
      </c>
      <c r="AO739" t="s">
        <v>11010</v>
      </c>
      <c r="AP739" t="s">
        <v>11057</v>
      </c>
      <c r="AR739" t="s">
        <v>11257</v>
      </c>
      <c r="AS739" t="s">
        <v>9926</v>
      </c>
      <c r="BA739" t="s">
        <v>11738</v>
      </c>
      <c r="BB739">
        <v>0</v>
      </c>
      <c r="BC739">
        <v>0</v>
      </c>
      <c r="BD739">
        <v>0</v>
      </c>
      <c r="BE739">
        <v>0</v>
      </c>
      <c r="BF739">
        <v>5</v>
      </c>
      <c r="BG739">
        <v>0</v>
      </c>
    </row>
    <row r="740" spans="1:59">
      <c r="A740" s="1">
        <f>HYPERLINK("https://lsnyc.legalserver.org/matter/dynamic-profile/view/1904495","19-1904495")</f>
        <v>0</v>
      </c>
      <c r="B740" t="s">
        <v>721</v>
      </c>
      <c r="C740" t="s">
        <v>5626</v>
      </c>
      <c r="D740" t="s">
        <v>9956</v>
      </c>
      <c r="E740" t="s">
        <v>10075</v>
      </c>
      <c r="F740">
        <v>11365</v>
      </c>
      <c r="G740" t="s">
        <v>10092</v>
      </c>
      <c r="H740" t="s">
        <v>10107</v>
      </c>
      <c r="I740" t="s">
        <v>10168</v>
      </c>
      <c r="J740" t="s">
        <v>10212</v>
      </c>
      <c r="K740" t="s">
        <v>10217</v>
      </c>
      <c r="M740" t="s">
        <v>10484</v>
      </c>
      <c r="N740" t="s">
        <v>10695</v>
      </c>
      <c r="P740" t="s">
        <v>10749</v>
      </c>
      <c r="Q740" t="s">
        <v>10767</v>
      </c>
      <c r="R740" t="s">
        <v>10824</v>
      </c>
      <c r="T740">
        <v>10284</v>
      </c>
      <c r="U740">
        <v>857</v>
      </c>
      <c r="V740">
        <v>57</v>
      </c>
      <c r="W740">
        <v>1</v>
      </c>
      <c r="X740">
        <v>0</v>
      </c>
      <c r="Z740">
        <v>82.34</v>
      </c>
      <c r="AA740">
        <v>40.73645</v>
      </c>
      <c r="AB740">
        <v>-73.810917</v>
      </c>
      <c r="AD740" t="s">
        <v>10840</v>
      </c>
      <c r="AG740" t="s">
        <v>10858</v>
      </c>
      <c r="AH740" t="s">
        <v>10862</v>
      </c>
      <c r="AI740">
        <v>237</v>
      </c>
      <c r="AJ740" t="s">
        <v>10212</v>
      </c>
      <c r="AL740">
        <v>1.3</v>
      </c>
      <c r="AM740" t="s">
        <v>10890</v>
      </c>
      <c r="AN740" t="s">
        <v>10962</v>
      </c>
      <c r="AO740" t="s">
        <v>11009</v>
      </c>
      <c r="AP740" t="s">
        <v>11081</v>
      </c>
      <c r="AR740" t="s">
        <v>11263</v>
      </c>
      <c r="AS740" t="s">
        <v>11594</v>
      </c>
      <c r="BA740" t="s">
        <v>11742</v>
      </c>
      <c r="BB740">
        <v>0</v>
      </c>
      <c r="BC740">
        <v>0</v>
      </c>
      <c r="BD740">
        <v>0</v>
      </c>
      <c r="BE740">
        <v>0</v>
      </c>
      <c r="BF740">
        <v>7</v>
      </c>
      <c r="BG740">
        <v>0</v>
      </c>
    </row>
    <row r="741" spans="1:59">
      <c r="A741" s="1">
        <f>HYPERLINK("https://lsnyc.legalserver.org/matter/dynamic-profile/view/1904496","19-1904496")</f>
        <v>0</v>
      </c>
      <c r="B741" t="s">
        <v>722</v>
      </c>
      <c r="C741" t="s">
        <v>5627</v>
      </c>
      <c r="D741" t="s">
        <v>9978</v>
      </c>
      <c r="E741" t="s">
        <v>10075</v>
      </c>
      <c r="F741">
        <v>11420</v>
      </c>
      <c r="G741" t="s">
        <v>10092</v>
      </c>
      <c r="H741" t="s">
        <v>10107</v>
      </c>
      <c r="I741" t="s">
        <v>10168</v>
      </c>
      <c r="J741" t="s">
        <v>10212</v>
      </c>
      <c r="K741" t="s">
        <v>10217</v>
      </c>
      <c r="M741" t="s">
        <v>10485</v>
      </c>
      <c r="N741" t="s">
        <v>10717</v>
      </c>
      <c r="P741" t="s">
        <v>10749</v>
      </c>
      <c r="Q741" t="s">
        <v>10806</v>
      </c>
      <c r="R741" t="s">
        <v>10823</v>
      </c>
      <c r="T741">
        <v>55800</v>
      </c>
      <c r="U741">
        <v>4650</v>
      </c>
      <c r="V741">
        <v>61</v>
      </c>
      <c r="W741">
        <v>3</v>
      </c>
      <c r="X741">
        <v>0</v>
      </c>
      <c r="Z741">
        <v>261.6</v>
      </c>
      <c r="AA741">
        <v>40.67754</v>
      </c>
      <c r="AB741">
        <v>-73.822118</v>
      </c>
      <c r="AD741" t="s">
        <v>10839</v>
      </c>
      <c r="AG741" t="s">
        <v>10858</v>
      </c>
      <c r="AH741" t="s">
        <v>10860</v>
      </c>
      <c r="AI741">
        <v>237</v>
      </c>
      <c r="AJ741" t="s">
        <v>10212</v>
      </c>
      <c r="AL741">
        <v>15</v>
      </c>
      <c r="AM741" t="s">
        <v>10892</v>
      </c>
      <c r="AN741" t="s">
        <v>10930</v>
      </c>
      <c r="AO741" t="s">
        <v>11017</v>
      </c>
      <c r="AP741" t="s">
        <v>11070</v>
      </c>
      <c r="AQ741" t="s">
        <v>11164</v>
      </c>
      <c r="AR741" t="s">
        <v>11257</v>
      </c>
      <c r="AS741" t="s">
        <v>11594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</row>
    <row r="742" spans="1:59">
      <c r="A742" s="1">
        <f>HYPERLINK("https://lsnyc.legalserver.org/matter/dynamic-profile/view/1904497","19-1904497")</f>
        <v>0</v>
      </c>
      <c r="B742" t="s">
        <v>723</v>
      </c>
      <c r="C742" t="s">
        <v>5628</v>
      </c>
      <c r="D742" t="s">
        <v>9938</v>
      </c>
      <c r="E742" t="s">
        <v>10075</v>
      </c>
      <c r="F742">
        <v>11433</v>
      </c>
      <c r="G742" t="s">
        <v>10092</v>
      </c>
      <c r="H742" t="s">
        <v>10107</v>
      </c>
      <c r="I742" t="s">
        <v>10168</v>
      </c>
      <c r="J742" t="s">
        <v>10212</v>
      </c>
      <c r="K742" t="s">
        <v>10218</v>
      </c>
      <c r="L742" t="s">
        <v>10158</v>
      </c>
      <c r="M742" t="s">
        <v>10325</v>
      </c>
      <c r="N742" t="s">
        <v>10671</v>
      </c>
      <c r="P742" t="s">
        <v>10751</v>
      </c>
      <c r="Q742" t="s">
        <v>10786</v>
      </c>
      <c r="R742" t="s">
        <v>10821</v>
      </c>
      <c r="T742">
        <v>28800</v>
      </c>
      <c r="U742">
        <v>2400</v>
      </c>
      <c r="V742">
        <v>32</v>
      </c>
      <c r="W742">
        <v>2</v>
      </c>
      <c r="X742">
        <v>2</v>
      </c>
      <c r="Y742" t="s">
        <v>10829</v>
      </c>
      <c r="Z742">
        <v>111.84</v>
      </c>
      <c r="AA742">
        <v>40.695989</v>
      </c>
      <c r="AB742">
        <v>-73.79119300000001</v>
      </c>
      <c r="AD742" t="s">
        <v>10839</v>
      </c>
      <c r="AG742" t="s">
        <v>10858</v>
      </c>
      <c r="AH742" t="s">
        <v>10871</v>
      </c>
      <c r="AI742">
        <v>234</v>
      </c>
      <c r="AJ742" t="s">
        <v>10214</v>
      </c>
      <c r="AK742" t="s">
        <v>10838</v>
      </c>
      <c r="AL742">
        <v>1.91</v>
      </c>
      <c r="AM742" t="s">
        <v>10892</v>
      </c>
      <c r="AN742" t="s">
        <v>10951</v>
      </c>
      <c r="AO742" t="s">
        <v>11017</v>
      </c>
      <c r="AP742" t="s">
        <v>11070</v>
      </c>
      <c r="AR742" t="s">
        <v>10180</v>
      </c>
      <c r="AS742" t="s">
        <v>11594</v>
      </c>
      <c r="AT742" t="s">
        <v>11641</v>
      </c>
      <c r="AX742" t="s">
        <v>10838</v>
      </c>
      <c r="AY742" t="s">
        <v>10829</v>
      </c>
      <c r="AZ742" t="s">
        <v>11682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</row>
    <row r="743" spans="1:59">
      <c r="A743" s="1">
        <f>HYPERLINK("https://lsnyc.legalserver.org/matter/dynamic-profile/view/1904499","19-1904499")</f>
        <v>0</v>
      </c>
      <c r="B743" t="s">
        <v>724</v>
      </c>
      <c r="C743" t="s">
        <v>5629</v>
      </c>
      <c r="D743" t="s">
        <v>9926</v>
      </c>
      <c r="E743" t="s">
        <v>10075</v>
      </c>
      <c r="F743">
        <v>10470</v>
      </c>
      <c r="G743" t="s">
        <v>10090</v>
      </c>
      <c r="H743" t="s">
        <v>10107</v>
      </c>
      <c r="I743" t="s">
        <v>10168</v>
      </c>
      <c r="J743" t="s">
        <v>10210</v>
      </c>
      <c r="K743" t="s">
        <v>10217</v>
      </c>
      <c r="M743" t="s">
        <v>10477</v>
      </c>
      <c r="N743" t="s">
        <v>10650</v>
      </c>
      <c r="P743" t="s">
        <v>10749</v>
      </c>
      <c r="Q743" t="s">
        <v>10765</v>
      </c>
      <c r="R743" t="s">
        <v>10824</v>
      </c>
      <c r="T743">
        <v>78000</v>
      </c>
      <c r="U743">
        <v>6500</v>
      </c>
      <c r="V743">
        <v>28</v>
      </c>
      <c r="W743">
        <v>1</v>
      </c>
      <c r="X743">
        <v>0</v>
      </c>
      <c r="Z743">
        <v>624.5</v>
      </c>
      <c r="AA743">
        <v>40.90555</v>
      </c>
      <c r="AB743">
        <v>-73.847742</v>
      </c>
      <c r="AD743" t="s">
        <v>10839</v>
      </c>
      <c r="AG743" t="s">
        <v>10858</v>
      </c>
      <c r="AH743" t="s">
        <v>10862</v>
      </c>
      <c r="AI743">
        <v>230</v>
      </c>
      <c r="AJ743" t="s">
        <v>10210</v>
      </c>
      <c r="AL743">
        <v>0</v>
      </c>
      <c r="AM743" t="s">
        <v>10893</v>
      </c>
      <c r="AN743" t="s">
        <v>10919</v>
      </c>
      <c r="AO743" t="s">
        <v>11010</v>
      </c>
      <c r="AP743" t="s">
        <v>11057</v>
      </c>
      <c r="AR743" t="s">
        <v>11257</v>
      </c>
      <c r="AS743" t="s">
        <v>9926</v>
      </c>
      <c r="BA743" t="s">
        <v>11738</v>
      </c>
      <c r="BB743">
        <v>0</v>
      </c>
      <c r="BC743">
        <v>0</v>
      </c>
      <c r="BD743">
        <v>0</v>
      </c>
      <c r="BE743">
        <v>0</v>
      </c>
      <c r="BF743">
        <v>5</v>
      </c>
      <c r="BG743">
        <v>0</v>
      </c>
    </row>
    <row r="744" spans="1:59">
      <c r="A744" s="1">
        <f>HYPERLINK("https://lsnyc.legalserver.org/matter/dynamic-profile/view/1904500","19-1904500")</f>
        <v>0</v>
      </c>
      <c r="B744" t="s">
        <v>725</v>
      </c>
      <c r="C744" t="s">
        <v>5099</v>
      </c>
      <c r="D744" t="s">
        <v>9928</v>
      </c>
      <c r="E744" t="s">
        <v>10075</v>
      </c>
      <c r="F744">
        <v>11206</v>
      </c>
      <c r="G744" t="s">
        <v>10093</v>
      </c>
      <c r="H744" t="s">
        <v>10107</v>
      </c>
      <c r="I744" t="s">
        <v>10169</v>
      </c>
      <c r="J744" t="s">
        <v>10213</v>
      </c>
      <c r="K744" t="s">
        <v>10218</v>
      </c>
      <c r="L744" t="s">
        <v>10120</v>
      </c>
      <c r="M744" t="s">
        <v>10436</v>
      </c>
      <c r="N744" t="s">
        <v>10710</v>
      </c>
      <c r="P744" t="s">
        <v>10750</v>
      </c>
      <c r="Q744" t="s">
        <v>10760</v>
      </c>
      <c r="R744" t="s">
        <v>10821</v>
      </c>
      <c r="T744">
        <v>14040</v>
      </c>
      <c r="U744">
        <v>1170</v>
      </c>
      <c r="V744">
        <v>73</v>
      </c>
      <c r="W744">
        <v>1</v>
      </c>
      <c r="X744">
        <v>0</v>
      </c>
      <c r="Y744" t="s">
        <v>10829</v>
      </c>
      <c r="Z744">
        <v>112.41</v>
      </c>
      <c r="AA744">
        <v>40.693466</v>
      </c>
      <c r="AB744">
        <v>-73.936553</v>
      </c>
      <c r="AD744" t="s">
        <v>10840</v>
      </c>
      <c r="AG744" t="s">
        <v>10858</v>
      </c>
      <c r="AH744" t="s">
        <v>10861</v>
      </c>
      <c r="AI744">
        <v>234</v>
      </c>
      <c r="AJ744" t="s">
        <v>10214</v>
      </c>
      <c r="AK744" t="s">
        <v>10838</v>
      </c>
      <c r="AL744">
        <v>0.75</v>
      </c>
      <c r="AM744" t="s">
        <v>10889</v>
      </c>
      <c r="AN744" t="s">
        <v>10920</v>
      </c>
      <c r="AO744" t="s">
        <v>11011</v>
      </c>
      <c r="AP744" t="s">
        <v>11052</v>
      </c>
      <c r="AR744" t="s">
        <v>11364</v>
      </c>
      <c r="AS744" t="s">
        <v>11595</v>
      </c>
      <c r="AT744" t="s">
        <v>11642</v>
      </c>
      <c r="AX744" t="s">
        <v>10838</v>
      </c>
      <c r="AY744" t="s">
        <v>10829</v>
      </c>
      <c r="AZ744" t="s">
        <v>11679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</row>
    <row r="745" spans="1:59">
      <c r="A745" s="1">
        <f>HYPERLINK("https://lsnyc.legalserver.org/matter/dynamic-profile/view/1904501","19-1904501")</f>
        <v>0</v>
      </c>
      <c r="B745" t="s">
        <v>702</v>
      </c>
      <c r="C745" t="s">
        <v>5610</v>
      </c>
      <c r="D745" t="s">
        <v>9926</v>
      </c>
      <c r="E745" t="s">
        <v>10075</v>
      </c>
      <c r="F745">
        <v>10456</v>
      </c>
      <c r="G745" t="s">
        <v>10090</v>
      </c>
      <c r="H745" t="s">
        <v>10107</v>
      </c>
      <c r="I745" t="s">
        <v>10168</v>
      </c>
      <c r="J745" t="s">
        <v>10210</v>
      </c>
      <c r="K745" t="s">
        <v>10217</v>
      </c>
      <c r="M745" t="s">
        <v>10310</v>
      </c>
      <c r="N745" t="s">
        <v>10683</v>
      </c>
      <c r="P745" t="s">
        <v>10754</v>
      </c>
      <c r="Q745" t="s">
        <v>10777</v>
      </c>
      <c r="R745" t="s">
        <v>10823</v>
      </c>
      <c r="T745">
        <v>23400</v>
      </c>
      <c r="U745">
        <v>1950</v>
      </c>
      <c r="V745">
        <v>26</v>
      </c>
      <c r="W745">
        <v>1</v>
      </c>
      <c r="X745">
        <v>1</v>
      </c>
      <c r="Z745">
        <v>138.38</v>
      </c>
      <c r="AA745">
        <v>40.835408</v>
      </c>
      <c r="AB745">
        <v>-73.91474100000001</v>
      </c>
      <c r="AD745" t="s">
        <v>10839</v>
      </c>
      <c r="AG745" t="s">
        <v>10858</v>
      </c>
      <c r="AH745" t="s">
        <v>10865</v>
      </c>
      <c r="AI745">
        <v>230</v>
      </c>
      <c r="AJ745" t="s">
        <v>10210</v>
      </c>
      <c r="AL745">
        <v>13</v>
      </c>
      <c r="AM745" t="s">
        <v>10884</v>
      </c>
      <c r="AN745" t="s">
        <v>10929</v>
      </c>
      <c r="AO745" t="s">
        <v>11000</v>
      </c>
      <c r="AP745" t="s">
        <v>11055</v>
      </c>
      <c r="AQ745" t="s">
        <v>11165</v>
      </c>
      <c r="AR745" t="s">
        <v>11257</v>
      </c>
      <c r="AS745" t="s">
        <v>9926</v>
      </c>
      <c r="AT745" t="s">
        <v>11641</v>
      </c>
      <c r="AV745" t="s">
        <v>11656</v>
      </c>
      <c r="AW745" t="s">
        <v>11645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</row>
    <row r="746" spans="1:59">
      <c r="A746" s="1">
        <f>HYPERLINK("https://lsnyc.legalserver.org/matter/dynamic-profile/view/1904502","19-1904502")</f>
        <v>0</v>
      </c>
      <c r="B746" t="s">
        <v>702</v>
      </c>
      <c r="C746" t="s">
        <v>5610</v>
      </c>
      <c r="D746" t="s">
        <v>9926</v>
      </c>
      <c r="E746" t="s">
        <v>10075</v>
      </c>
      <c r="F746">
        <v>10456</v>
      </c>
      <c r="G746" t="s">
        <v>10090</v>
      </c>
      <c r="H746" t="s">
        <v>10107</v>
      </c>
      <c r="I746" t="s">
        <v>10168</v>
      </c>
      <c r="J746" t="s">
        <v>10210</v>
      </c>
      <c r="K746" t="s">
        <v>10217</v>
      </c>
      <c r="M746" t="s">
        <v>10310</v>
      </c>
      <c r="N746" t="s">
        <v>10683</v>
      </c>
      <c r="P746" t="s">
        <v>10754</v>
      </c>
      <c r="Q746" t="s">
        <v>10766</v>
      </c>
      <c r="R746" t="s">
        <v>10823</v>
      </c>
      <c r="T746">
        <v>23400</v>
      </c>
      <c r="U746">
        <v>1950</v>
      </c>
      <c r="V746">
        <v>26</v>
      </c>
      <c r="W746">
        <v>1</v>
      </c>
      <c r="X746">
        <v>1</v>
      </c>
      <c r="Z746">
        <v>138.38</v>
      </c>
      <c r="AA746">
        <v>40.835408</v>
      </c>
      <c r="AB746">
        <v>-73.91474100000001</v>
      </c>
      <c r="AD746" t="s">
        <v>10839</v>
      </c>
      <c r="AG746" t="s">
        <v>10858</v>
      </c>
      <c r="AH746" t="s">
        <v>10865</v>
      </c>
      <c r="AI746">
        <v>230</v>
      </c>
      <c r="AJ746" t="s">
        <v>10210</v>
      </c>
      <c r="AL746">
        <v>3</v>
      </c>
      <c r="AM746" t="s">
        <v>10884</v>
      </c>
      <c r="AN746" t="s">
        <v>10929</v>
      </c>
      <c r="AO746" t="s">
        <v>11000</v>
      </c>
      <c r="AP746" t="s">
        <v>11055</v>
      </c>
      <c r="AQ746" t="s">
        <v>11112</v>
      </c>
      <c r="AR746" t="s">
        <v>11257</v>
      </c>
      <c r="AS746" t="s">
        <v>9926</v>
      </c>
      <c r="AT746" t="s">
        <v>11641</v>
      </c>
      <c r="AV746" t="s">
        <v>11656</v>
      </c>
      <c r="AW746" t="s">
        <v>11645</v>
      </c>
      <c r="AX746" t="s">
        <v>10838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</row>
    <row r="747" spans="1:59">
      <c r="A747" s="1">
        <f>HYPERLINK("https://lsnyc.legalserver.org/matter/dynamic-profile/view/1904503","19-1904503")</f>
        <v>0</v>
      </c>
      <c r="B747" t="s">
        <v>726</v>
      </c>
      <c r="C747" t="s">
        <v>5630</v>
      </c>
      <c r="D747" t="s">
        <v>9932</v>
      </c>
      <c r="E747" t="s">
        <v>10075</v>
      </c>
      <c r="F747">
        <v>11368</v>
      </c>
      <c r="G747" t="s">
        <v>10092</v>
      </c>
      <c r="H747" t="s">
        <v>10107</v>
      </c>
      <c r="I747" t="s">
        <v>10168</v>
      </c>
      <c r="J747" t="s">
        <v>10212</v>
      </c>
      <c r="K747" t="s">
        <v>10217</v>
      </c>
      <c r="M747" t="s">
        <v>10416</v>
      </c>
      <c r="N747" t="s">
        <v>10678</v>
      </c>
      <c r="P747" t="s">
        <v>10749</v>
      </c>
      <c r="Q747" t="s">
        <v>10769</v>
      </c>
      <c r="R747" t="s">
        <v>10824</v>
      </c>
      <c r="T747">
        <v>70000</v>
      </c>
      <c r="U747">
        <v>5833.33</v>
      </c>
      <c r="V747">
        <v>60</v>
      </c>
      <c r="W747">
        <v>3</v>
      </c>
      <c r="X747">
        <v>0</v>
      </c>
      <c r="Z747">
        <v>328.18</v>
      </c>
      <c r="AA747">
        <v>40.75748</v>
      </c>
      <c r="AB747">
        <v>-73.858586</v>
      </c>
      <c r="AD747" t="s">
        <v>10839</v>
      </c>
      <c r="AG747" t="s">
        <v>10858</v>
      </c>
      <c r="AH747" t="s">
        <v>10861</v>
      </c>
      <c r="AI747">
        <v>234</v>
      </c>
      <c r="AJ747" t="s">
        <v>10214</v>
      </c>
      <c r="AL747">
        <v>2.35</v>
      </c>
      <c r="AM747" t="s">
        <v>10885</v>
      </c>
      <c r="AN747" t="s">
        <v>10916</v>
      </c>
      <c r="AO747" t="s">
        <v>11014</v>
      </c>
      <c r="AP747" t="s">
        <v>11068</v>
      </c>
      <c r="AR747" t="s">
        <v>11376</v>
      </c>
      <c r="AS747" t="s">
        <v>11594</v>
      </c>
      <c r="AT747" t="s">
        <v>11641</v>
      </c>
      <c r="AX747" t="s">
        <v>10838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</row>
    <row r="748" spans="1:59">
      <c r="A748" s="1">
        <f>HYPERLINK("https://lsnyc.legalserver.org/matter/dynamic-profile/view/1904504","19-1904504")</f>
        <v>0</v>
      </c>
      <c r="B748" t="s">
        <v>727</v>
      </c>
      <c r="C748" t="s">
        <v>5631</v>
      </c>
      <c r="D748" t="s">
        <v>9926</v>
      </c>
      <c r="E748" t="s">
        <v>10075</v>
      </c>
      <c r="F748">
        <v>10459</v>
      </c>
      <c r="G748" t="s">
        <v>10090</v>
      </c>
      <c r="H748" t="s">
        <v>10107</v>
      </c>
      <c r="I748" t="s">
        <v>10168</v>
      </c>
      <c r="J748" t="s">
        <v>10210</v>
      </c>
      <c r="K748" t="s">
        <v>10217</v>
      </c>
      <c r="M748" t="s">
        <v>10250</v>
      </c>
      <c r="N748" t="s">
        <v>10650</v>
      </c>
      <c r="P748" t="s">
        <v>10749</v>
      </c>
      <c r="Q748" t="s">
        <v>10764</v>
      </c>
      <c r="R748" t="s">
        <v>10824</v>
      </c>
      <c r="T748">
        <v>19860</v>
      </c>
      <c r="U748">
        <v>1655</v>
      </c>
      <c r="V748">
        <v>68</v>
      </c>
      <c r="W748">
        <v>2</v>
      </c>
      <c r="X748">
        <v>0</v>
      </c>
      <c r="Z748">
        <v>117.45</v>
      </c>
      <c r="AA748">
        <v>40.833672</v>
      </c>
      <c r="AB748">
        <v>-73.895427</v>
      </c>
      <c r="AD748" t="s">
        <v>10839</v>
      </c>
      <c r="AG748" t="s">
        <v>10858</v>
      </c>
      <c r="AH748" t="s">
        <v>10862</v>
      </c>
      <c r="AI748">
        <v>230</v>
      </c>
      <c r="AJ748" t="s">
        <v>10210</v>
      </c>
      <c r="AL748">
        <v>5.1</v>
      </c>
      <c r="AM748" t="s">
        <v>10884</v>
      </c>
      <c r="AN748" t="s">
        <v>10918</v>
      </c>
      <c r="AO748" t="s">
        <v>11001</v>
      </c>
      <c r="AP748" t="s">
        <v>11055</v>
      </c>
      <c r="AR748" t="s">
        <v>11264</v>
      </c>
      <c r="AS748" t="s">
        <v>9926</v>
      </c>
      <c r="BA748" t="s">
        <v>11737</v>
      </c>
      <c r="BB748">
        <v>0</v>
      </c>
      <c r="BC748">
        <v>0</v>
      </c>
      <c r="BD748">
        <v>0</v>
      </c>
      <c r="BE748">
        <v>0</v>
      </c>
      <c r="BF748">
        <v>3</v>
      </c>
      <c r="BG748">
        <v>0</v>
      </c>
    </row>
    <row r="749" spans="1:59">
      <c r="A749" s="1">
        <f>HYPERLINK("https://lsnyc.legalserver.org/matter/dynamic-profile/view/1904506","19-1904506")</f>
        <v>0</v>
      </c>
      <c r="B749" t="s">
        <v>728</v>
      </c>
      <c r="C749" t="s">
        <v>5632</v>
      </c>
      <c r="D749" t="s">
        <v>9926</v>
      </c>
      <c r="E749" t="s">
        <v>10075</v>
      </c>
      <c r="F749">
        <v>10468</v>
      </c>
      <c r="G749" t="s">
        <v>10091</v>
      </c>
      <c r="H749" t="s">
        <v>10107</v>
      </c>
      <c r="I749" t="s">
        <v>10168</v>
      </c>
      <c r="J749" t="s">
        <v>10214</v>
      </c>
      <c r="K749" t="s">
        <v>10217</v>
      </c>
      <c r="M749" t="s">
        <v>10286</v>
      </c>
      <c r="N749" t="s">
        <v>10671</v>
      </c>
      <c r="P749" t="s">
        <v>10751</v>
      </c>
      <c r="Q749" t="s">
        <v>10768</v>
      </c>
      <c r="R749" t="s">
        <v>10821</v>
      </c>
      <c r="T749">
        <v>7824</v>
      </c>
      <c r="U749">
        <v>652</v>
      </c>
      <c r="V749">
        <v>55</v>
      </c>
      <c r="W749">
        <v>1</v>
      </c>
      <c r="X749">
        <v>0</v>
      </c>
      <c r="Z749">
        <v>62.64</v>
      </c>
      <c r="AA749">
        <v>40.861842</v>
      </c>
      <c r="AB749">
        <v>-73.902631</v>
      </c>
      <c r="AD749" t="s">
        <v>10839</v>
      </c>
      <c r="AG749" t="s">
        <v>10858</v>
      </c>
      <c r="AH749" t="s">
        <v>10861</v>
      </c>
      <c r="AI749">
        <v>234</v>
      </c>
      <c r="AJ749" t="s">
        <v>10214</v>
      </c>
      <c r="AL749">
        <v>1</v>
      </c>
      <c r="AM749" t="s">
        <v>10884</v>
      </c>
      <c r="AN749" t="s">
        <v>10931</v>
      </c>
      <c r="AO749" t="s">
        <v>11000</v>
      </c>
      <c r="AP749" t="s">
        <v>11045</v>
      </c>
      <c r="AR749" t="s">
        <v>11298</v>
      </c>
      <c r="AS749" t="s">
        <v>9926</v>
      </c>
      <c r="AT749" t="s">
        <v>11641</v>
      </c>
      <c r="AX749" t="s">
        <v>10838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</row>
    <row r="750" spans="1:59">
      <c r="A750" s="1">
        <f>HYPERLINK("https://lsnyc.legalserver.org/matter/dynamic-profile/view/1904507","19-1904507")</f>
        <v>0</v>
      </c>
      <c r="B750" t="s">
        <v>729</v>
      </c>
      <c r="C750" t="s">
        <v>5633</v>
      </c>
      <c r="D750" t="s">
        <v>9935</v>
      </c>
      <c r="E750" t="s">
        <v>10075</v>
      </c>
      <c r="F750">
        <v>11369</v>
      </c>
      <c r="G750" t="s">
        <v>10092</v>
      </c>
      <c r="H750" t="s">
        <v>10107</v>
      </c>
      <c r="I750" t="s">
        <v>10169</v>
      </c>
      <c r="J750" t="s">
        <v>10212</v>
      </c>
      <c r="K750" t="s">
        <v>10217</v>
      </c>
      <c r="M750" t="s">
        <v>10486</v>
      </c>
      <c r="N750" t="s">
        <v>10673</v>
      </c>
      <c r="P750" t="s">
        <v>10753</v>
      </c>
      <c r="Q750" t="s">
        <v>10763</v>
      </c>
      <c r="R750" t="s">
        <v>10823</v>
      </c>
      <c r="T750">
        <v>1000</v>
      </c>
      <c r="U750">
        <v>83.33</v>
      </c>
      <c r="V750">
        <v>38</v>
      </c>
      <c r="W750">
        <v>1</v>
      </c>
      <c r="X750">
        <v>1</v>
      </c>
      <c r="Z750">
        <v>5.91</v>
      </c>
      <c r="AA750">
        <v>40.767019</v>
      </c>
      <c r="AB750">
        <v>-73.8822</v>
      </c>
      <c r="AD750" t="s">
        <v>10839</v>
      </c>
      <c r="AF750" t="s">
        <v>10842</v>
      </c>
      <c r="AG750" t="s">
        <v>10859</v>
      </c>
      <c r="AH750" t="s">
        <v>10864</v>
      </c>
      <c r="AI750">
        <v>237</v>
      </c>
      <c r="AJ750" t="s">
        <v>10212</v>
      </c>
      <c r="AL750">
        <v>1.25</v>
      </c>
      <c r="AM750" t="s">
        <v>10885</v>
      </c>
      <c r="AN750" t="s">
        <v>10916</v>
      </c>
      <c r="AO750" t="s">
        <v>11014</v>
      </c>
      <c r="AP750" t="s">
        <v>11084</v>
      </c>
      <c r="AQ750" t="s">
        <v>11119</v>
      </c>
      <c r="AR750" t="s">
        <v>11257</v>
      </c>
      <c r="AS750" t="s">
        <v>11594</v>
      </c>
      <c r="BA750" t="s">
        <v>11743</v>
      </c>
      <c r="BB750">
        <v>0</v>
      </c>
      <c r="BC750">
        <v>0</v>
      </c>
      <c r="BD750">
        <v>0</v>
      </c>
      <c r="BE750">
        <v>0</v>
      </c>
      <c r="BF750">
        <v>40</v>
      </c>
      <c r="BG750">
        <v>0</v>
      </c>
    </row>
    <row r="751" spans="1:59">
      <c r="A751" s="1">
        <f>HYPERLINK("https://lsnyc.legalserver.org/matter/dynamic-profile/view/1904509","19-1904509")</f>
        <v>0</v>
      </c>
      <c r="B751" t="s">
        <v>730</v>
      </c>
      <c r="C751" t="s">
        <v>5631</v>
      </c>
      <c r="D751" t="s">
        <v>9926</v>
      </c>
      <c r="E751" t="s">
        <v>10075</v>
      </c>
      <c r="F751">
        <v>10459</v>
      </c>
      <c r="G751" t="s">
        <v>10090</v>
      </c>
      <c r="H751" t="s">
        <v>10107</v>
      </c>
      <c r="I751" t="s">
        <v>10168</v>
      </c>
      <c r="J751" t="s">
        <v>10210</v>
      </c>
      <c r="K751" t="s">
        <v>10217</v>
      </c>
      <c r="M751" t="s">
        <v>10250</v>
      </c>
      <c r="N751" t="s">
        <v>10650</v>
      </c>
      <c r="P751" t="s">
        <v>10749</v>
      </c>
      <c r="Q751" t="s">
        <v>10765</v>
      </c>
      <c r="R751" t="s">
        <v>10822</v>
      </c>
      <c r="T751">
        <v>16800</v>
      </c>
      <c r="U751">
        <v>1400</v>
      </c>
      <c r="V751">
        <v>47</v>
      </c>
      <c r="W751">
        <v>2</v>
      </c>
      <c r="X751">
        <v>2</v>
      </c>
      <c r="Z751">
        <v>65.23999999999999</v>
      </c>
      <c r="AA751">
        <v>40.833672</v>
      </c>
      <c r="AB751">
        <v>-73.895427</v>
      </c>
      <c r="AD751" t="s">
        <v>10839</v>
      </c>
      <c r="AG751" t="s">
        <v>10858</v>
      </c>
      <c r="AH751" t="s">
        <v>10862</v>
      </c>
      <c r="AI751">
        <v>230</v>
      </c>
      <c r="AJ751" t="s">
        <v>10210</v>
      </c>
      <c r="AL751">
        <v>4.4</v>
      </c>
      <c r="AM751" t="s">
        <v>10884</v>
      </c>
      <c r="AN751" t="s">
        <v>10918</v>
      </c>
      <c r="AO751" t="s">
        <v>11001</v>
      </c>
      <c r="AP751" t="s">
        <v>11055</v>
      </c>
      <c r="AQ751" t="s">
        <v>11101</v>
      </c>
      <c r="AR751" t="s">
        <v>11255</v>
      </c>
      <c r="AS751" t="s">
        <v>9926</v>
      </c>
      <c r="BA751" t="s">
        <v>11738</v>
      </c>
      <c r="BB751">
        <v>0</v>
      </c>
      <c r="BC751">
        <v>0</v>
      </c>
      <c r="BD751">
        <v>0</v>
      </c>
      <c r="BE751">
        <v>0</v>
      </c>
      <c r="BF751">
        <v>5</v>
      </c>
      <c r="BG751">
        <v>0</v>
      </c>
    </row>
    <row r="752" spans="1:59">
      <c r="A752" s="1">
        <f>HYPERLINK("https://lsnyc.legalserver.org/matter/dynamic-profile/view/1904511","19-1904511")</f>
        <v>0</v>
      </c>
      <c r="B752" t="s">
        <v>731</v>
      </c>
      <c r="C752" t="s">
        <v>5634</v>
      </c>
      <c r="D752" t="s">
        <v>9926</v>
      </c>
      <c r="E752" t="s">
        <v>10075</v>
      </c>
      <c r="F752">
        <v>10461</v>
      </c>
      <c r="G752" t="s">
        <v>10090</v>
      </c>
      <c r="H752" t="s">
        <v>10107</v>
      </c>
      <c r="J752" t="s">
        <v>10210</v>
      </c>
      <c r="K752" t="s">
        <v>10217</v>
      </c>
      <c r="M752" t="s">
        <v>10487</v>
      </c>
      <c r="N752" t="s">
        <v>10658</v>
      </c>
      <c r="P752" t="s">
        <v>10749</v>
      </c>
      <c r="Q752" t="s">
        <v>10769</v>
      </c>
      <c r="R752" t="s">
        <v>10820</v>
      </c>
      <c r="T752">
        <v>28564.08</v>
      </c>
      <c r="U752">
        <v>2380.34</v>
      </c>
      <c r="V752">
        <v>79</v>
      </c>
      <c r="W752">
        <v>1</v>
      </c>
      <c r="X752">
        <v>0</v>
      </c>
      <c r="Z752">
        <v>228.7</v>
      </c>
      <c r="AA752">
        <v>40.845532</v>
      </c>
      <c r="AB752">
        <v>-73.846524</v>
      </c>
      <c r="AC752" t="s">
        <v>10837</v>
      </c>
      <c r="AD752" t="s">
        <v>10839</v>
      </c>
      <c r="AG752" t="s">
        <v>10858</v>
      </c>
      <c r="AH752" t="s">
        <v>10860</v>
      </c>
      <c r="AI752">
        <v>230</v>
      </c>
      <c r="AJ752" t="s">
        <v>10210</v>
      </c>
      <c r="AL752">
        <v>16.5</v>
      </c>
      <c r="AM752" t="s">
        <v>10885</v>
      </c>
      <c r="AN752" t="s">
        <v>10911</v>
      </c>
      <c r="AO752" t="s">
        <v>11002</v>
      </c>
      <c r="AP752" t="s">
        <v>11049</v>
      </c>
      <c r="AR752" t="s">
        <v>11345</v>
      </c>
      <c r="AS752" t="s">
        <v>9926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</row>
    <row r="753" spans="1:59">
      <c r="A753" s="1">
        <f>HYPERLINK("https://lsnyc.legalserver.org/matter/dynamic-profile/view/1904512","19-1904512")</f>
        <v>0</v>
      </c>
      <c r="B753" t="s">
        <v>732</v>
      </c>
      <c r="C753" t="s">
        <v>5635</v>
      </c>
      <c r="D753" t="s">
        <v>9928</v>
      </c>
      <c r="E753" t="s">
        <v>10075</v>
      </c>
      <c r="F753">
        <v>11212</v>
      </c>
      <c r="G753" t="s">
        <v>10093</v>
      </c>
      <c r="H753" t="s">
        <v>10107</v>
      </c>
      <c r="I753" t="s">
        <v>10168</v>
      </c>
      <c r="J753" t="s">
        <v>10213</v>
      </c>
      <c r="K753" t="s">
        <v>10217</v>
      </c>
      <c r="M753" t="s">
        <v>10345</v>
      </c>
      <c r="N753" t="s">
        <v>10650</v>
      </c>
      <c r="P753" t="s">
        <v>10749</v>
      </c>
      <c r="Q753" t="s">
        <v>10765</v>
      </c>
      <c r="R753" t="s">
        <v>10821</v>
      </c>
      <c r="T753">
        <v>4800</v>
      </c>
      <c r="U753">
        <v>400</v>
      </c>
      <c r="V753">
        <v>27</v>
      </c>
      <c r="W753">
        <v>1</v>
      </c>
      <c r="X753">
        <v>2</v>
      </c>
      <c r="Z753">
        <v>22.5</v>
      </c>
      <c r="AA753">
        <v>40.666769</v>
      </c>
      <c r="AB753">
        <v>-73.919954</v>
      </c>
      <c r="AD753" t="s">
        <v>10839</v>
      </c>
      <c r="AG753" t="s">
        <v>10858</v>
      </c>
      <c r="AH753" t="s">
        <v>10862</v>
      </c>
      <c r="AI753">
        <v>239</v>
      </c>
      <c r="AJ753" t="s">
        <v>10213</v>
      </c>
      <c r="AL753">
        <v>4.25</v>
      </c>
      <c r="AM753" t="s">
        <v>10888</v>
      </c>
      <c r="AN753" t="s">
        <v>10922</v>
      </c>
      <c r="AO753" t="s">
        <v>11005</v>
      </c>
      <c r="AP753" t="s">
        <v>11064</v>
      </c>
      <c r="AQ753" t="s">
        <v>11101</v>
      </c>
      <c r="AR753" t="s">
        <v>11260</v>
      </c>
      <c r="AS753" t="s">
        <v>11595</v>
      </c>
      <c r="AT753" t="s">
        <v>11641</v>
      </c>
      <c r="AX753" t="s">
        <v>10838</v>
      </c>
      <c r="BA753" t="s">
        <v>11738</v>
      </c>
      <c r="BB753">
        <v>0</v>
      </c>
      <c r="BC753">
        <v>0</v>
      </c>
      <c r="BD753">
        <v>0</v>
      </c>
      <c r="BE753">
        <v>0</v>
      </c>
      <c r="BF753">
        <v>5</v>
      </c>
      <c r="BG753">
        <v>0</v>
      </c>
    </row>
    <row r="754" spans="1:59">
      <c r="A754" s="1">
        <f>HYPERLINK("https://lsnyc.legalserver.org/matter/dynamic-profile/view/1904514","19-1904514")</f>
        <v>0</v>
      </c>
      <c r="B754" t="s">
        <v>733</v>
      </c>
      <c r="C754" t="s">
        <v>5636</v>
      </c>
      <c r="D754" t="s">
        <v>9928</v>
      </c>
      <c r="E754" t="s">
        <v>10075</v>
      </c>
      <c r="F754">
        <v>11208</v>
      </c>
      <c r="G754" t="s">
        <v>10093</v>
      </c>
      <c r="H754" t="s">
        <v>10107</v>
      </c>
      <c r="I754" t="s">
        <v>10168</v>
      </c>
      <c r="J754" t="s">
        <v>10213</v>
      </c>
      <c r="K754" t="s">
        <v>10218</v>
      </c>
      <c r="L754" t="s">
        <v>10113</v>
      </c>
      <c r="M754" t="s">
        <v>10481</v>
      </c>
      <c r="N754" t="s">
        <v>10650</v>
      </c>
      <c r="P754" t="s">
        <v>10749</v>
      </c>
      <c r="Q754" t="s">
        <v>10765</v>
      </c>
      <c r="R754" t="s">
        <v>10824</v>
      </c>
      <c r="T754">
        <v>21000</v>
      </c>
      <c r="U754">
        <v>1750</v>
      </c>
      <c r="V754">
        <v>30</v>
      </c>
      <c r="W754">
        <v>1</v>
      </c>
      <c r="X754">
        <v>0</v>
      </c>
      <c r="Y754" t="s">
        <v>10829</v>
      </c>
      <c r="Z754">
        <v>168.13</v>
      </c>
      <c r="AA754">
        <v>40.676347</v>
      </c>
      <c r="AB754">
        <v>-73.873492</v>
      </c>
      <c r="AD754" t="s">
        <v>10840</v>
      </c>
      <c r="AF754" t="s">
        <v>10843</v>
      </c>
      <c r="AG754" t="s">
        <v>10859</v>
      </c>
      <c r="AH754" t="s">
        <v>10861</v>
      </c>
      <c r="AI754">
        <v>234</v>
      </c>
      <c r="AJ754" t="s">
        <v>10214</v>
      </c>
      <c r="AK754" t="s">
        <v>10838</v>
      </c>
      <c r="AL754">
        <v>1</v>
      </c>
      <c r="AM754" t="s">
        <v>10889</v>
      </c>
      <c r="AN754" t="s">
        <v>10920</v>
      </c>
      <c r="AO754" t="s">
        <v>11011</v>
      </c>
      <c r="AP754" t="s">
        <v>11060</v>
      </c>
      <c r="AR754" t="s">
        <v>11257</v>
      </c>
      <c r="AS754" t="s">
        <v>11595</v>
      </c>
      <c r="AT754" t="s">
        <v>11642</v>
      </c>
      <c r="AX754" t="s">
        <v>10838</v>
      </c>
      <c r="AY754" t="s">
        <v>10829</v>
      </c>
      <c r="AZ754" t="s">
        <v>11681</v>
      </c>
      <c r="BA754" t="s">
        <v>11741</v>
      </c>
      <c r="BB754">
        <v>0</v>
      </c>
      <c r="BC754">
        <v>0</v>
      </c>
      <c r="BD754">
        <v>0</v>
      </c>
      <c r="BE754">
        <v>0</v>
      </c>
      <c r="BF754">
        <v>1</v>
      </c>
      <c r="BG754">
        <v>0</v>
      </c>
    </row>
    <row r="755" spans="1:59">
      <c r="A755" s="1">
        <f>HYPERLINK("https://lsnyc.legalserver.org/matter/dynamic-profile/view/1904515","19-1904515")</f>
        <v>0</v>
      </c>
      <c r="B755" t="s">
        <v>734</v>
      </c>
      <c r="C755" t="s">
        <v>5637</v>
      </c>
      <c r="D755" t="s">
        <v>9929</v>
      </c>
      <c r="E755" t="s">
        <v>10075</v>
      </c>
      <c r="F755">
        <v>10303</v>
      </c>
      <c r="G755" t="s">
        <v>10088</v>
      </c>
      <c r="H755" t="s">
        <v>10130</v>
      </c>
      <c r="I755" t="s">
        <v>10168</v>
      </c>
      <c r="J755" t="s">
        <v>10208</v>
      </c>
      <c r="K755" t="s">
        <v>10217</v>
      </c>
      <c r="M755" t="s">
        <v>10228</v>
      </c>
      <c r="N755" t="s">
        <v>10661</v>
      </c>
      <c r="P755" t="s">
        <v>10749</v>
      </c>
      <c r="Q755" t="s">
        <v>10759</v>
      </c>
      <c r="R755" t="s">
        <v>10824</v>
      </c>
      <c r="T755">
        <v>41400</v>
      </c>
      <c r="U755">
        <v>3450</v>
      </c>
      <c r="V755">
        <v>63</v>
      </c>
      <c r="W755">
        <v>2</v>
      </c>
      <c r="X755">
        <v>1</v>
      </c>
      <c r="Z755">
        <v>194.09</v>
      </c>
      <c r="AA755">
        <v>40.631893</v>
      </c>
      <c r="AB755">
        <v>-74.14709499999999</v>
      </c>
      <c r="AD755" t="s">
        <v>10839</v>
      </c>
      <c r="AG755" t="s">
        <v>10858</v>
      </c>
      <c r="AH755" t="s">
        <v>10860</v>
      </c>
      <c r="AI755">
        <v>285</v>
      </c>
      <c r="AJ755" t="s">
        <v>10208</v>
      </c>
      <c r="AL755">
        <v>3</v>
      </c>
      <c r="AM755" t="s">
        <v>10883</v>
      </c>
      <c r="AN755" t="s">
        <v>10913</v>
      </c>
      <c r="AO755" t="s">
        <v>11006</v>
      </c>
      <c r="AP755" t="s">
        <v>11051</v>
      </c>
      <c r="AR755" t="s">
        <v>11356</v>
      </c>
      <c r="AS755" t="s">
        <v>11593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</row>
    <row r="756" spans="1:59">
      <c r="A756" s="1">
        <f>HYPERLINK("https://lsnyc.legalserver.org/matter/dynamic-profile/view/1904516","19-1904516")</f>
        <v>0</v>
      </c>
      <c r="B756" t="s">
        <v>735</v>
      </c>
      <c r="C756" t="s">
        <v>5638</v>
      </c>
      <c r="D756" t="s">
        <v>9928</v>
      </c>
      <c r="E756" t="s">
        <v>10075</v>
      </c>
      <c r="F756">
        <v>11204</v>
      </c>
      <c r="G756" t="s">
        <v>10089</v>
      </c>
      <c r="H756" t="s">
        <v>10107</v>
      </c>
      <c r="I756" t="s">
        <v>10168</v>
      </c>
      <c r="J756" t="s">
        <v>10209</v>
      </c>
      <c r="K756" t="s">
        <v>10217</v>
      </c>
      <c r="M756" t="s">
        <v>10488</v>
      </c>
      <c r="N756" t="s">
        <v>10673</v>
      </c>
      <c r="P756" t="s">
        <v>10753</v>
      </c>
      <c r="Q756" t="s">
        <v>10763</v>
      </c>
      <c r="R756" t="s">
        <v>10820</v>
      </c>
      <c r="T756">
        <v>0</v>
      </c>
      <c r="U756">
        <v>0</v>
      </c>
      <c r="V756">
        <v>46</v>
      </c>
      <c r="W756">
        <v>2</v>
      </c>
      <c r="X756">
        <v>0</v>
      </c>
      <c r="Z756">
        <v>0</v>
      </c>
      <c r="AA756">
        <v>40.615867</v>
      </c>
      <c r="AB756">
        <v>-73.99041800000001</v>
      </c>
      <c r="AD756" t="s">
        <v>10839</v>
      </c>
      <c r="AF756" t="s">
        <v>10843</v>
      </c>
      <c r="AG756" t="s">
        <v>10859</v>
      </c>
      <c r="AH756" t="s">
        <v>10864</v>
      </c>
      <c r="AI756">
        <v>236</v>
      </c>
      <c r="AJ756" t="s">
        <v>10209</v>
      </c>
      <c r="AL756">
        <v>1.5</v>
      </c>
      <c r="AM756" t="s">
        <v>10894</v>
      </c>
      <c r="AN756" t="s">
        <v>10974</v>
      </c>
      <c r="AO756" t="s">
        <v>11023</v>
      </c>
      <c r="AP756" t="s">
        <v>11087</v>
      </c>
      <c r="AQ756" t="s">
        <v>11097</v>
      </c>
      <c r="AR756" t="s">
        <v>11279</v>
      </c>
      <c r="AS756" t="s">
        <v>11595</v>
      </c>
      <c r="BA756" t="s">
        <v>11739</v>
      </c>
      <c r="BB756">
        <v>0</v>
      </c>
      <c r="BC756">
        <v>0</v>
      </c>
      <c r="BD756">
        <v>0</v>
      </c>
      <c r="BE756">
        <v>0</v>
      </c>
      <c r="BF756">
        <v>4</v>
      </c>
      <c r="BG756">
        <v>0</v>
      </c>
    </row>
    <row r="757" spans="1:59">
      <c r="A757" s="1">
        <f>HYPERLINK("https://lsnyc.legalserver.org/matter/dynamic-profile/view/1904517","19-1904517")</f>
        <v>0</v>
      </c>
      <c r="B757" t="s">
        <v>736</v>
      </c>
      <c r="C757" t="s">
        <v>5639</v>
      </c>
      <c r="D757" t="s">
        <v>9928</v>
      </c>
      <c r="E757" t="s">
        <v>10075</v>
      </c>
      <c r="F757">
        <v>11226</v>
      </c>
      <c r="G757" t="s">
        <v>10091</v>
      </c>
      <c r="H757" t="s">
        <v>10107</v>
      </c>
      <c r="I757" t="s">
        <v>10168</v>
      </c>
      <c r="J757" t="s">
        <v>10211</v>
      </c>
      <c r="K757" t="s">
        <v>10217</v>
      </c>
      <c r="M757" t="s">
        <v>10231</v>
      </c>
      <c r="N757" t="s">
        <v>10647</v>
      </c>
      <c r="P757" t="s">
        <v>10752</v>
      </c>
      <c r="Q757" t="s">
        <v>10762</v>
      </c>
      <c r="R757" t="s">
        <v>10823</v>
      </c>
      <c r="T757">
        <v>6876</v>
      </c>
      <c r="U757">
        <v>573</v>
      </c>
      <c r="V757">
        <v>44</v>
      </c>
      <c r="W757">
        <v>1</v>
      </c>
      <c r="X757">
        <v>1</v>
      </c>
      <c r="Z757">
        <v>40.66</v>
      </c>
      <c r="AA757">
        <v>40.65174</v>
      </c>
      <c r="AB757">
        <v>-73.96094100000001</v>
      </c>
      <c r="AD757" t="s">
        <v>10839</v>
      </c>
      <c r="AG757" t="s">
        <v>10858</v>
      </c>
      <c r="AH757" t="s">
        <v>10861</v>
      </c>
      <c r="AI757">
        <v>234</v>
      </c>
      <c r="AJ757" t="s">
        <v>10214</v>
      </c>
      <c r="AL757">
        <v>1.2</v>
      </c>
      <c r="AM757" t="s">
        <v>10888</v>
      </c>
      <c r="AN757" t="s">
        <v>10932</v>
      </c>
      <c r="AO757" t="s">
        <v>11008</v>
      </c>
      <c r="AP757" t="s">
        <v>11050</v>
      </c>
      <c r="AR757" t="s">
        <v>11255</v>
      </c>
      <c r="AS757" t="s">
        <v>11595</v>
      </c>
      <c r="AT757" t="s">
        <v>11641</v>
      </c>
      <c r="AX757" t="s">
        <v>10838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</row>
    <row r="758" spans="1:59">
      <c r="A758" s="1">
        <f>HYPERLINK("https://lsnyc.legalserver.org/matter/dynamic-profile/view/1904518","19-1904518")</f>
        <v>0</v>
      </c>
      <c r="B758" t="s">
        <v>737</v>
      </c>
      <c r="C758" t="s">
        <v>5640</v>
      </c>
      <c r="D758" t="s">
        <v>9928</v>
      </c>
      <c r="E758" t="s">
        <v>10075</v>
      </c>
      <c r="F758">
        <v>11208</v>
      </c>
      <c r="G758" t="s">
        <v>10093</v>
      </c>
      <c r="H758" t="s">
        <v>10107</v>
      </c>
      <c r="I758" t="s">
        <v>10169</v>
      </c>
      <c r="J758" t="s">
        <v>10213</v>
      </c>
      <c r="K758" t="s">
        <v>10217</v>
      </c>
      <c r="M758" t="s">
        <v>10378</v>
      </c>
      <c r="N758" t="s">
        <v>10698</v>
      </c>
      <c r="P758" t="s">
        <v>10749</v>
      </c>
      <c r="Q758" t="s">
        <v>10765</v>
      </c>
      <c r="R758" t="s">
        <v>10821</v>
      </c>
      <c r="T758">
        <v>4888</v>
      </c>
      <c r="U758">
        <v>407.33</v>
      </c>
      <c r="V758">
        <v>50</v>
      </c>
      <c r="W758">
        <v>1</v>
      </c>
      <c r="X758">
        <v>0</v>
      </c>
      <c r="Z758">
        <v>39.14</v>
      </c>
      <c r="AA758">
        <v>40.670266</v>
      </c>
      <c r="AB758">
        <v>-73.87960200000001</v>
      </c>
      <c r="AD758" t="s">
        <v>10840</v>
      </c>
      <c r="AG758" t="s">
        <v>10858</v>
      </c>
      <c r="AH758" t="s">
        <v>10861</v>
      </c>
      <c r="AI758">
        <v>234</v>
      </c>
      <c r="AJ758" t="s">
        <v>10214</v>
      </c>
      <c r="AL758">
        <v>9.9</v>
      </c>
      <c r="AM758" t="s">
        <v>10889</v>
      </c>
      <c r="AN758" t="s">
        <v>10946</v>
      </c>
      <c r="AO758" t="s">
        <v>11011</v>
      </c>
      <c r="AP758" t="s">
        <v>11060</v>
      </c>
      <c r="AR758" t="s">
        <v>11311</v>
      </c>
      <c r="AS758" t="s">
        <v>11595</v>
      </c>
      <c r="AT758" t="s">
        <v>11642</v>
      </c>
      <c r="AX758" t="s">
        <v>10837</v>
      </c>
      <c r="BA758" t="s">
        <v>11741</v>
      </c>
      <c r="BB758">
        <v>0</v>
      </c>
      <c r="BC758">
        <v>0</v>
      </c>
      <c r="BD758">
        <v>0</v>
      </c>
      <c r="BE758">
        <v>0</v>
      </c>
      <c r="BF758">
        <v>1</v>
      </c>
      <c r="BG758">
        <v>0</v>
      </c>
    </row>
    <row r="759" spans="1:59">
      <c r="A759" s="1">
        <f>HYPERLINK("https://lsnyc.legalserver.org/matter/dynamic-profile/view/1904519","19-1904519")</f>
        <v>0</v>
      </c>
      <c r="B759" t="s">
        <v>738</v>
      </c>
      <c r="C759" t="s">
        <v>5641</v>
      </c>
      <c r="D759" t="s">
        <v>9926</v>
      </c>
      <c r="E759" t="s">
        <v>10075</v>
      </c>
      <c r="F759">
        <v>10451</v>
      </c>
      <c r="G759" t="s">
        <v>10090</v>
      </c>
      <c r="H759" t="s">
        <v>10107</v>
      </c>
      <c r="I759" t="s">
        <v>10168</v>
      </c>
      <c r="J759" t="s">
        <v>10210</v>
      </c>
      <c r="K759" t="s">
        <v>10217</v>
      </c>
      <c r="M759" t="s">
        <v>10489</v>
      </c>
      <c r="N759" t="s">
        <v>10697</v>
      </c>
      <c r="P759" t="s">
        <v>10753</v>
      </c>
      <c r="Q759" t="s">
        <v>10763</v>
      </c>
      <c r="R759" t="s">
        <v>10821</v>
      </c>
      <c r="T759">
        <v>40000</v>
      </c>
      <c r="U759">
        <v>3333.33</v>
      </c>
      <c r="V759">
        <v>29</v>
      </c>
      <c r="W759">
        <v>2</v>
      </c>
      <c r="X759">
        <v>3</v>
      </c>
      <c r="Z759">
        <v>132.58</v>
      </c>
      <c r="AA759">
        <v>40.822513</v>
      </c>
      <c r="AB759">
        <v>-73.910791</v>
      </c>
      <c r="AD759" t="s">
        <v>10839</v>
      </c>
      <c r="AF759" t="s">
        <v>10845</v>
      </c>
      <c r="AG759" t="s">
        <v>10859</v>
      </c>
      <c r="AH759" t="s">
        <v>10864</v>
      </c>
      <c r="AI759">
        <v>230</v>
      </c>
      <c r="AJ759" t="s">
        <v>10210</v>
      </c>
      <c r="AL759">
        <v>14.5</v>
      </c>
      <c r="AM759" t="s">
        <v>10884</v>
      </c>
      <c r="AN759" t="s">
        <v>10918</v>
      </c>
      <c r="AO759" t="s">
        <v>11001</v>
      </c>
      <c r="AP759" t="s">
        <v>11062</v>
      </c>
      <c r="AQ759" t="s">
        <v>11166</v>
      </c>
      <c r="AR759" t="s">
        <v>11257</v>
      </c>
      <c r="AS759" t="s">
        <v>9926</v>
      </c>
      <c r="AT759" t="s">
        <v>11641</v>
      </c>
      <c r="AX759" t="s">
        <v>10838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</row>
    <row r="760" spans="1:59">
      <c r="A760" s="1">
        <f>HYPERLINK("https://lsnyc.legalserver.org/matter/dynamic-profile/view/1904520","19-1904520")</f>
        <v>0</v>
      </c>
      <c r="B760" t="s">
        <v>705</v>
      </c>
      <c r="C760" t="s">
        <v>5642</v>
      </c>
      <c r="D760" t="s">
        <v>9937</v>
      </c>
      <c r="E760" t="s">
        <v>10075</v>
      </c>
      <c r="F760">
        <v>11412</v>
      </c>
      <c r="G760" t="s">
        <v>10089</v>
      </c>
      <c r="H760" t="s">
        <v>10107</v>
      </c>
      <c r="I760" t="s">
        <v>10168</v>
      </c>
      <c r="J760" t="s">
        <v>10209</v>
      </c>
      <c r="K760" t="s">
        <v>10217</v>
      </c>
      <c r="M760" t="s">
        <v>10301</v>
      </c>
      <c r="N760" t="s">
        <v>10665</v>
      </c>
      <c r="P760" t="s">
        <v>10751</v>
      </c>
      <c r="Q760" t="s">
        <v>10773</v>
      </c>
      <c r="R760" t="s">
        <v>10824</v>
      </c>
      <c r="T760">
        <v>18720</v>
      </c>
      <c r="U760">
        <v>1560</v>
      </c>
      <c r="V760">
        <v>52</v>
      </c>
      <c r="W760">
        <v>1</v>
      </c>
      <c r="X760">
        <v>0</v>
      </c>
      <c r="Z760">
        <v>149.88</v>
      </c>
      <c r="AA760">
        <v>40.704137</v>
      </c>
      <c r="AB760">
        <v>-73.77068</v>
      </c>
      <c r="AD760" t="s">
        <v>10839</v>
      </c>
      <c r="AF760" t="s">
        <v>10843</v>
      </c>
      <c r="AG760" t="s">
        <v>10859</v>
      </c>
      <c r="AH760" t="s">
        <v>10861</v>
      </c>
      <c r="AI760">
        <v>234</v>
      </c>
      <c r="AJ760" t="s">
        <v>10214</v>
      </c>
      <c r="AL760">
        <v>3.75</v>
      </c>
      <c r="AM760" t="s">
        <v>10892</v>
      </c>
      <c r="AN760" t="s">
        <v>10955</v>
      </c>
      <c r="AO760" t="s">
        <v>11020</v>
      </c>
      <c r="AP760" t="s">
        <v>11075</v>
      </c>
      <c r="AQ760" t="s">
        <v>11115</v>
      </c>
      <c r="AR760" t="s">
        <v>11293</v>
      </c>
      <c r="AS760" t="s">
        <v>11594</v>
      </c>
      <c r="AT760" t="s">
        <v>11641</v>
      </c>
      <c r="AX760" t="s">
        <v>10838</v>
      </c>
      <c r="BA760" t="s">
        <v>11741</v>
      </c>
      <c r="BB760">
        <v>0</v>
      </c>
      <c r="BC760">
        <v>0</v>
      </c>
      <c r="BD760">
        <v>0</v>
      </c>
      <c r="BE760">
        <v>0</v>
      </c>
      <c r="BF760">
        <v>1</v>
      </c>
      <c r="BG760">
        <v>0</v>
      </c>
    </row>
    <row r="761" spans="1:59">
      <c r="A761" s="1">
        <f>HYPERLINK("https://lsnyc.legalserver.org/matter/dynamic-profile/view/1904521","19-1904521")</f>
        <v>0</v>
      </c>
      <c r="B761" t="s">
        <v>739</v>
      </c>
      <c r="C761" t="s">
        <v>5643</v>
      </c>
      <c r="D761" t="s">
        <v>9928</v>
      </c>
      <c r="E761" t="s">
        <v>10075</v>
      </c>
      <c r="F761">
        <v>11221</v>
      </c>
      <c r="G761" t="s">
        <v>10093</v>
      </c>
      <c r="H761" t="s">
        <v>10107</v>
      </c>
      <c r="I761" t="s">
        <v>10168</v>
      </c>
      <c r="J761" t="s">
        <v>10213</v>
      </c>
      <c r="K761" t="s">
        <v>10217</v>
      </c>
      <c r="M761" t="s">
        <v>10429</v>
      </c>
      <c r="N761" t="s">
        <v>10667</v>
      </c>
      <c r="P761" t="s">
        <v>10749</v>
      </c>
      <c r="Q761" t="s">
        <v>10765</v>
      </c>
      <c r="R761" t="s">
        <v>10824</v>
      </c>
      <c r="T761">
        <v>4030</v>
      </c>
      <c r="U761">
        <v>335.83</v>
      </c>
      <c r="V761">
        <v>30</v>
      </c>
      <c r="W761">
        <v>1</v>
      </c>
      <c r="X761">
        <v>2</v>
      </c>
      <c r="Z761">
        <v>18.89</v>
      </c>
      <c r="AA761">
        <v>40.687212</v>
      </c>
      <c r="AB761">
        <v>-73.940983</v>
      </c>
      <c r="AD761" t="s">
        <v>10839</v>
      </c>
      <c r="AG761" t="s">
        <v>10858</v>
      </c>
      <c r="AH761" t="s">
        <v>10862</v>
      </c>
      <c r="AI761">
        <v>239</v>
      </c>
      <c r="AJ761" t="s">
        <v>10213</v>
      </c>
      <c r="AL761">
        <v>12.7</v>
      </c>
      <c r="AM761" t="s">
        <v>10889</v>
      </c>
      <c r="AN761" t="s">
        <v>10914</v>
      </c>
      <c r="AO761" t="s">
        <v>11007</v>
      </c>
      <c r="AP761" t="s">
        <v>11052</v>
      </c>
      <c r="AQ761" t="s">
        <v>11101</v>
      </c>
      <c r="AR761" t="s">
        <v>11255</v>
      </c>
      <c r="AS761" t="s">
        <v>11595</v>
      </c>
      <c r="BA761" t="s">
        <v>11738</v>
      </c>
      <c r="BB761">
        <v>0</v>
      </c>
      <c r="BC761">
        <v>0</v>
      </c>
      <c r="BD761">
        <v>0</v>
      </c>
      <c r="BE761">
        <v>0</v>
      </c>
      <c r="BF761">
        <v>5</v>
      </c>
      <c r="BG761">
        <v>0</v>
      </c>
    </row>
    <row r="762" spans="1:59">
      <c r="A762" s="1">
        <f>HYPERLINK("https://lsnyc.legalserver.org/matter/dynamic-profile/view/1904522","19-1904522")</f>
        <v>0</v>
      </c>
      <c r="B762" t="s">
        <v>740</v>
      </c>
      <c r="C762" t="s">
        <v>5644</v>
      </c>
      <c r="D762" t="s">
        <v>9953</v>
      </c>
      <c r="E762" t="s">
        <v>10075</v>
      </c>
      <c r="F762">
        <v>11104</v>
      </c>
      <c r="G762" t="s">
        <v>10092</v>
      </c>
      <c r="H762" t="s">
        <v>10107</v>
      </c>
      <c r="I762" t="s">
        <v>10179</v>
      </c>
      <c r="J762" t="s">
        <v>10212</v>
      </c>
      <c r="K762" t="s">
        <v>10217</v>
      </c>
      <c r="M762" t="s">
        <v>10387</v>
      </c>
      <c r="N762" t="s">
        <v>10650</v>
      </c>
      <c r="P762" t="s">
        <v>10749</v>
      </c>
      <c r="Q762" t="s">
        <v>10765</v>
      </c>
      <c r="R762" t="s">
        <v>10828</v>
      </c>
      <c r="T762">
        <v>23446.28</v>
      </c>
      <c r="U762">
        <v>1953.86</v>
      </c>
      <c r="V762">
        <v>51</v>
      </c>
      <c r="W762">
        <v>2</v>
      </c>
      <c r="X762">
        <v>0</v>
      </c>
      <c r="Z762">
        <v>138.65</v>
      </c>
      <c r="AA762">
        <v>40.745292</v>
      </c>
      <c r="AB762">
        <v>-73.924244</v>
      </c>
      <c r="AD762" t="s">
        <v>10840</v>
      </c>
      <c r="AF762" t="s">
        <v>10843</v>
      </c>
      <c r="AG762" t="s">
        <v>10859</v>
      </c>
      <c r="AH762" t="s">
        <v>10862</v>
      </c>
      <c r="AI762">
        <v>237</v>
      </c>
      <c r="AJ762" t="s">
        <v>10212</v>
      </c>
      <c r="AL762">
        <v>15.2</v>
      </c>
      <c r="AM762" t="s">
        <v>10885</v>
      </c>
      <c r="AN762" t="s">
        <v>10961</v>
      </c>
      <c r="AO762" t="s">
        <v>11003</v>
      </c>
      <c r="AP762" t="s">
        <v>11047</v>
      </c>
      <c r="AR762" t="s">
        <v>11257</v>
      </c>
      <c r="AS762" t="s">
        <v>11594</v>
      </c>
      <c r="BA762" t="s">
        <v>11738</v>
      </c>
      <c r="BB762">
        <v>0</v>
      </c>
      <c r="BC762">
        <v>0</v>
      </c>
      <c r="BD762">
        <v>0</v>
      </c>
      <c r="BE762">
        <v>0</v>
      </c>
      <c r="BF762">
        <v>5</v>
      </c>
      <c r="BG762">
        <v>0</v>
      </c>
    </row>
    <row r="763" spans="1:59">
      <c r="A763" s="1">
        <f>HYPERLINK("https://lsnyc.legalserver.org/matter/dynamic-profile/view/1904523","19-1904523")</f>
        <v>0</v>
      </c>
      <c r="B763" t="s">
        <v>741</v>
      </c>
      <c r="C763" t="s">
        <v>5645</v>
      </c>
      <c r="D763" t="s">
        <v>9925</v>
      </c>
      <c r="E763" t="s">
        <v>10075</v>
      </c>
      <c r="F763">
        <v>10034</v>
      </c>
      <c r="G763" t="s">
        <v>10089</v>
      </c>
      <c r="H763" t="s">
        <v>10107</v>
      </c>
      <c r="I763" t="s">
        <v>10169</v>
      </c>
      <c r="J763" t="s">
        <v>10209</v>
      </c>
      <c r="K763" t="s">
        <v>10217</v>
      </c>
      <c r="M763" t="s">
        <v>10393</v>
      </c>
      <c r="N763" t="s">
        <v>10650</v>
      </c>
      <c r="P763" t="s">
        <v>10749</v>
      </c>
      <c r="Q763" t="s">
        <v>10765</v>
      </c>
      <c r="R763" t="s">
        <v>10821</v>
      </c>
      <c r="T763">
        <v>17820</v>
      </c>
      <c r="U763">
        <v>1485</v>
      </c>
      <c r="V763">
        <v>81</v>
      </c>
      <c r="W763">
        <v>2</v>
      </c>
      <c r="X763">
        <v>0</v>
      </c>
      <c r="Z763">
        <v>105.38</v>
      </c>
      <c r="AA763">
        <v>40.863855</v>
      </c>
      <c r="AB763">
        <v>-73.92445499999999</v>
      </c>
      <c r="AD763" t="s">
        <v>10839</v>
      </c>
      <c r="AG763" t="s">
        <v>10858</v>
      </c>
      <c r="AH763" t="s">
        <v>10862</v>
      </c>
      <c r="AI763">
        <v>236</v>
      </c>
      <c r="AJ763" t="s">
        <v>10209</v>
      </c>
      <c r="AL763">
        <v>5.7</v>
      </c>
      <c r="AM763" t="s">
        <v>10887</v>
      </c>
      <c r="AN763" t="s">
        <v>10937</v>
      </c>
      <c r="AO763" t="s">
        <v>11019</v>
      </c>
      <c r="AP763" t="s">
        <v>11074</v>
      </c>
      <c r="AR763" t="s">
        <v>11263</v>
      </c>
      <c r="AS763" t="s">
        <v>9925</v>
      </c>
      <c r="AT763" t="s">
        <v>11641</v>
      </c>
      <c r="AX763" t="s">
        <v>10838</v>
      </c>
      <c r="BA763" t="s">
        <v>11737</v>
      </c>
      <c r="BB763">
        <v>0</v>
      </c>
      <c r="BC763">
        <v>0</v>
      </c>
      <c r="BD763">
        <v>0</v>
      </c>
      <c r="BE763">
        <v>0</v>
      </c>
      <c r="BF763">
        <v>3</v>
      </c>
      <c r="BG763">
        <v>0</v>
      </c>
    </row>
    <row r="764" spans="1:59">
      <c r="A764" s="1">
        <f>HYPERLINK("https://lsnyc.legalserver.org/matter/dynamic-profile/view/1904524","19-1904524")</f>
        <v>0</v>
      </c>
      <c r="B764" t="s">
        <v>742</v>
      </c>
      <c r="C764" t="s">
        <v>5646</v>
      </c>
      <c r="D764" t="s">
        <v>9926</v>
      </c>
      <c r="E764" t="s">
        <v>10075</v>
      </c>
      <c r="F764">
        <v>10469</v>
      </c>
      <c r="G764" t="s">
        <v>10089</v>
      </c>
      <c r="H764" t="s">
        <v>10107</v>
      </c>
      <c r="I764" t="s">
        <v>10168</v>
      </c>
      <c r="J764" t="s">
        <v>10209</v>
      </c>
      <c r="K764" t="s">
        <v>10218</v>
      </c>
      <c r="L764" t="s">
        <v>10115</v>
      </c>
      <c r="M764" t="s">
        <v>10490</v>
      </c>
      <c r="N764" t="s">
        <v>10718</v>
      </c>
      <c r="P764" t="s">
        <v>10750</v>
      </c>
      <c r="Q764" t="s">
        <v>10778</v>
      </c>
      <c r="R764" t="s">
        <v>10820</v>
      </c>
      <c r="T764">
        <v>24968</v>
      </c>
      <c r="U764">
        <v>2080.67</v>
      </c>
      <c r="V764">
        <v>51</v>
      </c>
      <c r="W764">
        <v>1</v>
      </c>
      <c r="X764">
        <v>0</v>
      </c>
      <c r="Y764" t="s">
        <v>10829</v>
      </c>
      <c r="Z764">
        <v>199.9</v>
      </c>
      <c r="AA764">
        <v>40.859198</v>
      </c>
      <c r="AB764">
        <v>-73.851854</v>
      </c>
      <c r="AD764" t="s">
        <v>10839</v>
      </c>
      <c r="AG764" t="s">
        <v>10858</v>
      </c>
      <c r="AH764" t="s">
        <v>10861</v>
      </c>
      <c r="AI764">
        <v>234</v>
      </c>
      <c r="AJ764" t="s">
        <v>10214</v>
      </c>
      <c r="AK764" t="s">
        <v>10838</v>
      </c>
      <c r="AL764">
        <v>2.9</v>
      </c>
      <c r="AM764" t="s">
        <v>10885</v>
      </c>
      <c r="AN764" t="s">
        <v>10938</v>
      </c>
      <c r="AO764" t="s">
        <v>11002</v>
      </c>
      <c r="AP764" t="s">
        <v>11049</v>
      </c>
      <c r="AR764" t="s">
        <v>11377</v>
      </c>
      <c r="AS764" t="s">
        <v>9926</v>
      </c>
      <c r="AT764" t="s">
        <v>11641</v>
      </c>
      <c r="AX764" t="s">
        <v>10838</v>
      </c>
      <c r="AY764" t="s">
        <v>10829</v>
      </c>
      <c r="AZ764" t="s">
        <v>11679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</row>
    <row r="765" spans="1:59">
      <c r="A765" s="1">
        <f>HYPERLINK("https://lsnyc.legalserver.org/matter/dynamic-profile/view/1904525","19-1904525")</f>
        <v>0</v>
      </c>
      <c r="B765" t="s">
        <v>743</v>
      </c>
      <c r="C765" t="s">
        <v>5647</v>
      </c>
      <c r="D765" t="s">
        <v>9926</v>
      </c>
      <c r="E765" t="s">
        <v>10075</v>
      </c>
      <c r="F765">
        <v>10467</v>
      </c>
      <c r="G765" t="s">
        <v>10090</v>
      </c>
      <c r="H765" t="s">
        <v>10107</v>
      </c>
      <c r="I765" t="s">
        <v>10169</v>
      </c>
      <c r="J765" t="s">
        <v>10210</v>
      </c>
      <c r="K765" t="s">
        <v>10218</v>
      </c>
      <c r="L765" t="s">
        <v>10121</v>
      </c>
      <c r="M765" t="s">
        <v>10427</v>
      </c>
      <c r="N765" t="s">
        <v>10650</v>
      </c>
      <c r="P765" t="s">
        <v>10749</v>
      </c>
      <c r="Q765" t="s">
        <v>10765</v>
      </c>
      <c r="R765" t="s">
        <v>10821</v>
      </c>
      <c r="T765">
        <v>9120</v>
      </c>
      <c r="U765">
        <v>760</v>
      </c>
      <c r="V765">
        <v>75</v>
      </c>
      <c r="W765">
        <v>1</v>
      </c>
      <c r="X765">
        <v>0</v>
      </c>
      <c r="Y765" t="s">
        <v>10831</v>
      </c>
      <c r="Z765">
        <v>73.02</v>
      </c>
      <c r="AA765">
        <v>40.8793</v>
      </c>
      <c r="AB765">
        <v>-73.87622500000001</v>
      </c>
      <c r="AD765" t="s">
        <v>10839</v>
      </c>
      <c r="AG765" t="s">
        <v>10858</v>
      </c>
      <c r="AH765" t="s">
        <v>10862</v>
      </c>
      <c r="AI765">
        <v>230</v>
      </c>
      <c r="AJ765" t="s">
        <v>10210</v>
      </c>
      <c r="AK765" t="s">
        <v>10838</v>
      </c>
      <c r="AL765">
        <v>3.5</v>
      </c>
      <c r="AM765" t="s">
        <v>10887</v>
      </c>
      <c r="AN765" t="s">
        <v>10919</v>
      </c>
      <c r="AO765" t="s">
        <v>11010</v>
      </c>
      <c r="AP765" t="s">
        <v>11057</v>
      </c>
      <c r="AR765" t="s">
        <v>11268</v>
      </c>
      <c r="AS765" t="s">
        <v>9926</v>
      </c>
      <c r="AX765" t="s">
        <v>11678</v>
      </c>
      <c r="AY765" t="s">
        <v>10831</v>
      </c>
      <c r="AZ765" t="s">
        <v>11687</v>
      </c>
      <c r="BA765" t="s">
        <v>11738</v>
      </c>
      <c r="BB765">
        <v>0</v>
      </c>
      <c r="BC765">
        <v>0</v>
      </c>
      <c r="BD765">
        <v>0</v>
      </c>
      <c r="BE765">
        <v>0</v>
      </c>
      <c r="BF765">
        <v>5</v>
      </c>
      <c r="BG765">
        <v>0</v>
      </c>
    </row>
    <row r="766" spans="1:59">
      <c r="A766" s="1">
        <f>HYPERLINK("https://lsnyc.legalserver.org/matter/dynamic-profile/view/1904526","19-1904526")</f>
        <v>0</v>
      </c>
      <c r="B766" t="s">
        <v>738</v>
      </c>
      <c r="C766" t="s">
        <v>5641</v>
      </c>
      <c r="D766" t="s">
        <v>9926</v>
      </c>
      <c r="E766" t="s">
        <v>10075</v>
      </c>
      <c r="F766">
        <v>10451</v>
      </c>
      <c r="G766" t="s">
        <v>10090</v>
      </c>
      <c r="H766" t="s">
        <v>10107</v>
      </c>
      <c r="I766" t="s">
        <v>10168</v>
      </c>
      <c r="J766" t="s">
        <v>10210</v>
      </c>
      <c r="K766" t="s">
        <v>10217</v>
      </c>
      <c r="M766" t="s">
        <v>10489</v>
      </c>
      <c r="N766" t="s">
        <v>10697</v>
      </c>
      <c r="P766" t="s">
        <v>10753</v>
      </c>
      <c r="Q766" t="s">
        <v>10763</v>
      </c>
      <c r="R766" t="s">
        <v>10821</v>
      </c>
      <c r="T766">
        <v>0</v>
      </c>
      <c r="U766">
        <v>0</v>
      </c>
      <c r="V766">
        <v>29</v>
      </c>
      <c r="W766">
        <v>2</v>
      </c>
      <c r="X766">
        <v>3</v>
      </c>
      <c r="Z766">
        <v>0</v>
      </c>
      <c r="AA766">
        <v>40.822513</v>
      </c>
      <c r="AB766">
        <v>-73.910791</v>
      </c>
      <c r="AD766" t="s">
        <v>10839</v>
      </c>
      <c r="AF766" t="s">
        <v>10845</v>
      </c>
      <c r="AG766" t="s">
        <v>10859</v>
      </c>
      <c r="AH766" t="s">
        <v>10864</v>
      </c>
      <c r="AI766">
        <v>230</v>
      </c>
      <c r="AJ766" t="s">
        <v>10210</v>
      </c>
      <c r="AL766">
        <v>0.5</v>
      </c>
      <c r="AM766" t="s">
        <v>10884</v>
      </c>
      <c r="AN766" t="s">
        <v>10918</v>
      </c>
      <c r="AO766" t="s">
        <v>11001</v>
      </c>
      <c r="AP766" t="s">
        <v>11062</v>
      </c>
      <c r="AQ766" t="s">
        <v>11167</v>
      </c>
      <c r="AR766" t="s">
        <v>11267</v>
      </c>
      <c r="AS766" t="s">
        <v>9926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</row>
    <row r="767" spans="1:59">
      <c r="A767" s="1">
        <f>HYPERLINK("https://lsnyc.legalserver.org/matter/dynamic-profile/view/1904528","19-1904528")</f>
        <v>0</v>
      </c>
      <c r="B767" t="s">
        <v>743</v>
      </c>
      <c r="C767" t="s">
        <v>5647</v>
      </c>
      <c r="D767" t="s">
        <v>9926</v>
      </c>
      <c r="E767" t="s">
        <v>10075</v>
      </c>
      <c r="F767">
        <v>10467</v>
      </c>
      <c r="G767" t="s">
        <v>10090</v>
      </c>
      <c r="H767" t="s">
        <v>10107</v>
      </c>
      <c r="I767" t="s">
        <v>10169</v>
      </c>
      <c r="J767" t="s">
        <v>10210</v>
      </c>
      <c r="K767" t="s">
        <v>10218</v>
      </c>
      <c r="L767" t="s">
        <v>10105</v>
      </c>
      <c r="M767" t="s">
        <v>10427</v>
      </c>
      <c r="N767" t="s">
        <v>10650</v>
      </c>
      <c r="P767" t="s">
        <v>10749</v>
      </c>
      <c r="Q767" t="s">
        <v>10791</v>
      </c>
      <c r="R767" t="s">
        <v>10821</v>
      </c>
      <c r="T767">
        <v>9120</v>
      </c>
      <c r="U767">
        <v>760</v>
      </c>
      <c r="V767">
        <v>75</v>
      </c>
      <c r="W767">
        <v>1</v>
      </c>
      <c r="X767">
        <v>0</v>
      </c>
      <c r="Y767" t="s">
        <v>10830</v>
      </c>
      <c r="Z767">
        <v>73.02</v>
      </c>
      <c r="AA767">
        <v>40.8793</v>
      </c>
      <c r="AB767">
        <v>-73.87622500000001</v>
      </c>
      <c r="AD767" t="s">
        <v>10839</v>
      </c>
      <c r="AG767" t="s">
        <v>10858</v>
      </c>
      <c r="AH767" t="s">
        <v>10862</v>
      </c>
      <c r="AI767">
        <v>230</v>
      </c>
      <c r="AJ767" t="s">
        <v>10210</v>
      </c>
      <c r="AK767" t="s">
        <v>10838</v>
      </c>
      <c r="AL767">
        <v>1.5</v>
      </c>
      <c r="AM767" t="s">
        <v>10887</v>
      </c>
      <c r="AN767" t="s">
        <v>10919</v>
      </c>
      <c r="AO767" t="s">
        <v>11010</v>
      </c>
      <c r="AP767" t="s">
        <v>11057</v>
      </c>
      <c r="AQ767" t="s">
        <v>11100</v>
      </c>
      <c r="AR767" t="s">
        <v>11268</v>
      </c>
      <c r="AS767" t="s">
        <v>9926</v>
      </c>
      <c r="AT767" t="s">
        <v>11641</v>
      </c>
      <c r="AX767" t="s">
        <v>11678</v>
      </c>
      <c r="AY767" t="s">
        <v>10830</v>
      </c>
      <c r="AZ767" t="s">
        <v>11697</v>
      </c>
      <c r="BA767" t="s">
        <v>11740</v>
      </c>
      <c r="BB767">
        <v>0</v>
      </c>
      <c r="BC767">
        <v>0</v>
      </c>
      <c r="BD767">
        <v>0</v>
      </c>
      <c r="BE767">
        <v>0</v>
      </c>
      <c r="BF767">
        <v>2</v>
      </c>
      <c r="BG767">
        <v>0</v>
      </c>
    </row>
    <row r="768" spans="1:59">
      <c r="A768" s="1">
        <f>HYPERLINK("https://lsnyc.legalserver.org/matter/dynamic-profile/view/1904529","19-1904529")</f>
        <v>0</v>
      </c>
      <c r="B768" t="s">
        <v>744</v>
      </c>
      <c r="C768" t="s">
        <v>5648</v>
      </c>
      <c r="D768" t="s">
        <v>9926</v>
      </c>
      <c r="E768" t="s">
        <v>10075</v>
      </c>
      <c r="F768">
        <v>10466</v>
      </c>
      <c r="G768" t="s">
        <v>10090</v>
      </c>
      <c r="H768" t="s">
        <v>10107</v>
      </c>
      <c r="I768" t="s">
        <v>10168</v>
      </c>
      <c r="J768" t="s">
        <v>10210</v>
      </c>
      <c r="K768" t="s">
        <v>10217</v>
      </c>
      <c r="M768" t="s">
        <v>10246</v>
      </c>
      <c r="N768" t="s">
        <v>10658</v>
      </c>
      <c r="P768" t="s">
        <v>10749</v>
      </c>
      <c r="Q768" t="s">
        <v>10769</v>
      </c>
      <c r="R768" t="s">
        <v>10824</v>
      </c>
      <c r="T768">
        <v>100400</v>
      </c>
      <c r="U768">
        <v>8366.67</v>
      </c>
      <c r="V768">
        <v>50</v>
      </c>
      <c r="W768">
        <v>1</v>
      </c>
      <c r="X768">
        <v>0</v>
      </c>
      <c r="Z768">
        <v>803.84</v>
      </c>
      <c r="AA768">
        <v>40.891263</v>
      </c>
      <c r="AB768">
        <v>-73.842347</v>
      </c>
      <c r="AD768" t="s">
        <v>10839</v>
      </c>
      <c r="AG768" t="s">
        <v>10858</v>
      </c>
      <c r="AH768" t="s">
        <v>10860</v>
      </c>
      <c r="AI768">
        <v>230</v>
      </c>
      <c r="AJ768" t="s">
        <v>10210</v>
      </c>
      <c r="AL768">
        <v>10.15</v>
      </c>
      <c r="AM768" t="s">
        <v>10893</v>
      </c>
      <c r="AN768" t="s">
        <v>10956</v>
      </c>
      <c r="AO768" t="s">
        <v>11010</v>
      </c>
      <c r="AP768" t="s">
        <v>11085</v>
      </c>
      <c r="AR768" t="s">
        <v>11356</v>
      </c>
      <c r="AS768" t="s">
        <v>9926</v>
      </c>
      <c r="AT768" t="s">
        <v>11641</v>
      </c>
      <c r="AX768" t="s">
        <v>10838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</row>
    <row r="769" spans="1:59">
      <c r="A769" s="1">
        <f>HYPERLINK("https://lsnyc.legalserver.org/matter/dynamic-profile/view/1904530","19-1904530")</f>
        <v>0</v>
      </c>
      <c r="B769" t="s">
        <v>745</v>
      </c>
      <c r="C769" t="s">
        <v>5649</v>
      </c>
      <c r="D769" t="s">
        <v>9928</v>
      </c>
      <c r="E769" t="s">
        <v>10075</v>
      </c>
      <c r="F769">
        <v>11231</v>
      </c>
      <c r="G769" t="s">
        <v>10090</v>
      </c>
      <c r="H769" t="s">
        <v>10107</v>
      </c>
      <c r="I769" t="s">
        <v>10169</v>
      </c>
      <c r="J769" t="s">
        <v>10210</v>
      </c>
      <c r="K769" t="s">
        <v>10218</v>
      </c>
      <c r="L769" t="s">
        <v>10146</v>
      </c>
      <c r="M769" t="s">
        <v>10338</v>
      </c>
      <c r="N769" t="s">
        <v>10671</v>
      </c>
      <c r="P769" t="s">
        <v>10751</v>
      </c>
      <c r="Q769" t="s">
        <v>10761</v>
      </c>
      <c r="R769" t="s">
        <v>10821</v>
      </c>
      <c r="T769">
        <v>183</v>
      </c>
      <c r="U769">
        <v>15.25</v>
      </c>
      <c r="V769">
        <v>44</v>
      </c>
      <c r="W769">
        <v>1</v>
      </c>
      <c r="X769">
        <v>0</v>
      </c>
      <c r="Y769" t="s">
        <v>10832</v>
      </c>
      <c r="Z769">
        <v>1.47</v>
      </c>
      <c r="AA769">
        <v>40.680003</v>
      </c>
      <c r="AB769">
        <v>-74.005999</v>
      </c>
      <c r="AD769" t="s">
        <v>10840</v>
      </c>
      <c r="AF769" t="s">
        <v>10848</v>
      </c>
      <c r="AG769" t="s">
        <v>10859</v>
      </c>
      <c r="AH769" t="s">
        <v>10874</v>
      </c>
      <c r="AI769">
        <v>230</v>
      </c>
      <c r="AJ769" t="s">
        <v>10210</v>
      </c>
      <c r="AK769" t="s">
        <v>10837</v>
      </c>
      <c r="AL769">
        <v>2.3</v>
      </c>
      <c r="AM769" t="s">
        <v>10886</v>
      </c>
      <c r="AN769" t="s">
        <v>10921</v>
      </c>
      <c r="AO769" t="s">
        <v>11007</v>
      </c>
      <c r="AP769" t="s">
        <v>11069</v>
      </c>
      <c r="AR769" t="s">
        <v>11305</v>
      </c>
      <c r="AS769" t="s">
        <v>11595</v>
      </c>
      <c r="AT769" t="s">
        <v>11642</v>
      </c>
      <c r="AX769" t="s">
        <v>10837</v>
      </c>
      <c r="AY769" t="s">
        <v>10832</v>
      </c>
      <c r="AZ769" t="s">
        <v>11688</v>
      </c>
      <c r="BA769" t="s">
        <v>11739</v>
      </c>
      <c r="BB769">
        <v>0</v>
      </c>
      <c r="BC769">
        <v>0</v>
      </c>
      <c r="BD769">
        <v>0</v>
      </c>
      <c r="BE769">
        <v>45</v>
      </c>
      <c r="BF769">
        <v>4</v>
      </c>
      <c r="BG769">
        <v>0</v>
      </c>
    </row>
    <row r="770" spans="1:59">
      <c r="A770" s="1">
        <f>HYPERLINK("https://lsnyc.legalserver.org/matter/dynamic-profile/view/1904531","19-1904531")</f>
        <v>0</v>
      </c>
      <c r="B770" t="s">
        <v>746</v>
      </c>
      <c r="C770" t="s">
        <v>5650</v>
      </c>
      <c r="D770" t="s">
        <v>9928</v>
      </c>
      <c r="E770" t="s">
        <v>10075</v>
      </c>
      <c r="F770">
        <v>11206</v>
      </c>
      <c r="G770" t="s">
        <v>10089</v>
      </c>
      <c r="H770" t="s">
        <v>10107</v>
      </c>
      <c r="I770" t="s">
        <v>10168</v>
      </c>
      <c r="J770" t="s">
        <v>10209</v>
      </c>
      <c r="K770" t="s">
        <v>10217</v>
      </c>
      <c r="M770" t="s">
        <v>10488</v>
      </c>
      <c r="N770" t="s">
        <v>10673</v>
      </c>
      <c r="P770" t="s">
        <v>10753</v>
      </c>
      <c r="Q770" t="s">
        <v>10763</v>
      </c>
      <c r="R770" t="s">
        <v>10821</v>
      </c>
      <c r="T770">
        <v>0</v>
      </c>
      <c r="U770">
        <v>0</v>
      </c>
      <c r="V770">
        <v>22</v>
      </c>
      <c r="W770">
        <v>3</v>
      </c>
      <c r="X770">
        <v>0</v>
      </c>
      <c r="Z770">
        <v>0</v>
      </c>
      <c r="AA770">
        <v>40.70942</v>
      </c>
      <c r="AB770">
        <v>-73.94123</v>
      </c>
      <c r="AD770" t="s">
        <v>10839</v>
      </c>
      <c r="AF770" t="s">
        <v>10843</v>
      </c>
      <c r="AG770" t="s">
        <v>10859</v>
      </c>
      <c r="AH770" t="s">
        <v>10864</v>
      </c>
      <c r="AI770">
        <v>236</v>
      </c>
      <c r="AJ770" t="s">
        <v>10209</v>
      </c>
      <c r="AL770">
        <v>2.5</v>
      </c>
      <c r="AM770" t="s">
        <v>10886</v>
      </c>
      <c r="AN770" t="s">
        <v>10942</v>
      </c>
      <c r="AO770" t="s">
        <v>11011</v>
      </c>
      <c r="AP770" t="s">
        <v>11071</v>
      </c>
      <c r="AQ770" t="s">
        <v>11097</v>
      </c>
      <c r="AR770" t="s">
        <v>11267</v>
      </c>
      <c r="AS770" t="s">
        <v>11595</v>
      </c>
      <c r="AT770" t="s">
        <v>11641</v>
      </c>
      <c r="AX770" t="s">
        <v>11678</v>
      </c>
      <c r="BA770" t="s">
        <v>11739</v>
      </c>
      <c r="BB770">
        <v>0</v>
      </c>
      <c r="BC770">
        <v>0</v>
      </c>
      <c r="BD770">
        <v>0</v>
      </c>
      <c r="BE770">
        <v>0</v>
      </c>
      <c r="BF770">
        <v>4</v>
      </c>
      <c r="BG770">
        <v>0</v>
      </c>
    </row>
    <row r="771" spans="1:59">
      <c r="A771" s="1">
        <f>HYPERLINK("https://lsnyc.legalserver.org/matter/dynamic-profile/view/1904533","19-1904533")</f>
        <v>0</v>
      </c>
      <c r="B771" t="s">
        <v>747</v>
      </c>
      <c r="C771" t="s">
        <v>5271</v>
      </c>
      <c r="D771" t="s">
        <v>9925</v>
      </c>
      <c r="E771" t="s">
        <v>10075</v>
      </c>
      <c r="F771">
        <v>10024</v>
      </c>
      <c r="G771" t="s">
        <v>10089</v>
      </c>
      <c r="H771" t="s">
        <v>10107</v>
      </c>
      <c r="I771" t="s">
        <v>10168</v>
      </c>
      <c r="J771" t="s">
        <v>10209</v>
      </c>
      <c r="K771" t="s">
        <v>10217</v>
      </c>
      <c r="M771" t="s">
        <v>10396</v>
      </c>
      <c r="N771" t="s">
        <v>10650</v>
      </c>
      <c r="P771" t="s">
        <v>10749</v>
      </c>
      <c r="Q771" t="s">
        <v>10765</v>
      </c>
      <c r="R771" t="s">
        <v>10827</v>
      </c>
      <c r="T771">
        <v>14784</v>
      </c>
      <c r="U771">
        <v>1232</v>
      </c>
      <c r="V771">
        <v>67</v>
      </c>
      <c r="W771">
        <v>2</v>
      </c>
      <c r="X771">
        <v>0</v>
      </c>
      <c r="Z771">
        <v>87.43000000000001</v>
      </c>
      <c r="AA771">
        <v>40.784487</v>
      </c>
      <c r="AB771">
        <v>-73.973958</v>
      </c>
      <c r="AD771" t="s">
        <v>10840</v>
      </c>
      <c r="AG771" t="s">
        <v>10858</v>
      </c>
      <c r="AH771" t="s">
        <v>10862</v>
      </c>
      <c r="AI771">
        <v>236</v>
      </c>
      <c r="AJ771" t="s">
        <v>10209</v>
      </c>
      <c r="AL771">
        <v>0.1</v>
      </c>
      <c r="AM771" t="s">
        <v>10894</v>
      </c>
      <c r="AN771" t="s">
        <v>10953</v>
      </c>
      <c r="AO771" t="s">
        <v>11013</v>
      </c>
      <c r="AP771" t="s">
        <v>11089</v>
      </c>
      <c r="AR771" t="s">
        <v>11300</v>
      </c>
      <c r="AS771" t="s">
        <v>9925</v>
      </c>
      <c r="AT771" t="s">
        <v>11642</v>
      </c>
      <c r="AX771" t="s">
        <v>10838</v>
      </c>
      <c r="BA771" t="s">
        <v>11738</v>
      </c>
      <c r="BB771">
        <v>0</v>
      </c>
      <c r="BC771">
        <v>0</v>
      </c>
      <c r="BD771">
        <v>0</v>
      </c>
      <c r="BE771">
        <v>0</v>
      </c>
      <c r="BF771">
        <v>5</v>
      </c>
      <c r="BG771">
        <v>0</v>
      </c>
    </row>
    <row r="772" spans="1:59">
      <c r="A772" s="1">
        <f>HYPERLINK("https://lsnyc.legalserver.org/matter/dynamic-profile/view/1904534","19-1904534")</f>
        <v>0</v>
      </c>
      <c r="B772" t="s">
        <v>748</v>
      </c>
      <c r="C772" t="s">
        <v>5651</v>
      </c>
      <c r="D772" t="s">
        <v>9928</v>
      </c>
      <c r="E772" t="s">
        <v>10075</v>
      </c>
      <c r="F772">
        <v>11216</v>
      </c>
      <c r="G772" t="s">
        <v>10093</v>
      </c>
      <c r="H772" t="s">
        <v>10107</v>
      </c>
      <c r="J772" t="s">
        <v>10213</v>
      </c>
      <c r="K772" t="s">
        <v>10217</v>
      </c>
      <c r="M772" t="s">
        <v>10249</v>
      </c>
      <c r="N772" t="s">
        <v>10653</v>
      </c>
      <c r="P772" t="s">
        <v>10749</v>
      </c>
      <c r="Q772" t="s">
        <v>10759</v>
      </c>
      <c r="R772" t="s">
        <v>10824</v>
      </c>
      <c r="T772">
        <v>98200</v>
      </c>
      <c r="U772">
        <v>8183.33</v>
      </c>
      <c r="V772">
        <v>63</v>
      </c>
      <c r="W772">
        <v>3</v>
      </c>
      <c r="X772">
        <v>1</v>
      </c>
      <c r="Z772">
        <v>381.36</v>
      </c>
      <c r="AA772">
        <v>40.673046</v>
      </c>
      <c r="AB772">
        <v>-73.95471499999999</v>
      </c>
      <c r="AD772" t="s">
        <v>10839</v>
      </c>
      <c r="AG772" t="s">
        <v>10858</v>
      </c>
      <c r="AH772" t="s">
        <v>10860</v>
      </c>
      <c r="AI772">
        <v>239</v>
      </c>
      <c r="AJ772" t="s">
        <v>10213</v>
      </c>
      <c r="AL772">
        <v>2.7</v>
      </c>
      <c r="AM772" t="s">
        <v>10888</v>
      </c>
      <c r="AN772" t="s">
        <v>10923</v>
      </c>
      <c r="AO772" t="s">
        <v>11005</v>
      </c>
      <c r="AP772" t="s">
        <v>11061</v>
      </c>
      <c r="AR772" t="s">
        <v>11378</v>
      </c>
      <c r="AS772" t="s">
        <v>11595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</row>
    <row r="773" spans="1:59">
      <c r="A773" s="1">
        <f>HYPERLINK("https://lsnyc.legalserver.org/matter/dynamic-profile/view/1904535","19-1904535")</f>
        <v>0</v>
      </c>
      <c r="B773" t="s">
        <v>749</v>
      </c>
      <c r="C773" t="s">
        <v>5652</v>
      </c>
      <c r="D773" t="s">
        <v>9926</v>
      </c>
      <c r="E773" t="s">
        <v>10075</v>
      </c>
      <c r="F773">
        <v>10457</v>
      </c>
      <c r="G773" t="s">
        <v>10090</v>
      </c>
      <c r="H773" t="s">
        <v>10107</v>
      </c>
      <c r="J773" t="s">
        <v>10210</v>
      </c>
      <c r="K773" t="s">
        <v>10217</v>
      </c>
      <c r="M773" t="s">
        <v>10415</v>
      </c>
      <c r="N773" t="s">
        <v>10651</v>
      </c>
      <c r="P773" t="s">
        <v>10749</v>
      </c>
      <c r="Q773" t="s">
        <v>10765</v>
      </c>
      <c r="R773" t="s">
        <v>10821</v>
      </c>
      <c r="T773">
        <v>8400</v>
      </c>
      <c r="U773">
        <v>700</v>
      </c>
      <c r="V773">
        <v>35</v>
      </c>
      <c r="W773">
        <v>1</v>
      </c>
      <c r="X773">
        <v>2</v>
      </c>
      <c r="Z773">
        <v>39.38</v>
      </c>
      <c r="AA773">
        <v>40.852844</v>
      </c>
      <c r="AB773">
        <v>-73.89275000000001</v>
      </c>
      <c r="AD773" t="s">
        <v>10839</v>
      </c>
      <c r="AF773" t="s">
        <v>10843</v>
      </c>
      <c r="AG773" t="s">
        <v>10859</v>
      </c>
      <c r="AH773" t="s">
        <v>10862</v>
      </c>
      <c r="AI773">
        <v>230</v>
      </c>
      <c r="AJ773" t="s">
        <v>10210</v>
      </c>
      <c r="AL773">
        <v>8.300000000000001</v>
      </c>
      <c r="AM773" t="s">
        <v>10884</v>
      </c>
      <c r="AN773" t="s">
        <v>10907</v>
      </c>
      <c r="AO773" t="s">
        <v>11000</v>
      </c>
      <c r="AP773" t="s">
        <v>11056</v>
      </c>
      <c r="AR773" t="s">
        <v>11262</v>
      </c>
      <c r="AS773" t="s">
        <v>9926</v>
      </c>
      <c r="AT773" t="s">
        <v>11641</v>
      </c>
      <c r="AX773" t="s">
        <v>10838</v>
      </c>
      <c r="BA773" t="s">
        <v>11738</v>
      </c>
      <c r="BB773">
        <v>0</v>
      </c>
      <c r="BC773">
        <v>0</v>
      </c>
      <c r="BD773">
        <v>0</v>
      </c>
      <c r="BE773">
        <v>0</v>
      </c>
      <c r="BF773">
        <v>5</v>
      </c>
      <c r="BG773">
        <v>0</v>
      </c>
    </row>
    <row r="774" spans="1:59">
      <c r="A774" s="1">
        <f>HYPERLINK("https://lsnyc.legalserver.org/matter/dynamic-profile/view/1904536","19-1904536")</f>
        <v>0</v>
      </c>
      <c r="B774" t="s">
        <v>750</v>
      </c>
      <c r="C774" t="s">
        <v>5653</v>
      </c>
      <c r="D774" t="s">
        <v>9926</v>
      </c>
      <c r="E774" t="s">
        <v>10075</v>
      </c>
      <c r="F774">
        <v>10456</v>
      </c>
      <c r="G774" t="s">
        <v>10090</v>
      </c>
      <c r="H774" t="s">
        <v>10107</v>
      </c>
      <c r="I774" t="s">
        <v>10170</v>
      </c>
      <c r="J774" t="s">
        <v>10210</v>
      </c>
      <c r="K774" t="s">
        <v>10217</v>
      </c>
      <c r="M774" t="s">
        <v>10445</v>
      </c>
      <c r="N774" t="s">
        <v>10712</v>
      </c>
      <c r="P774" t="s">
        <v>10753</v>
      </c>
      <c r="Q774" t="s">
        <v>10763</v>
      </c>
      <c r="R774" t="s">
        <v>10824</v>
      </c>
      <c r="T774">
        <v>0</v>
      </c>
      <c r="U774">
        <v>0</v>
      </c>
      <c r="V774">
        <v>29</v>
      </c>
      <c r="W774">
        <v>1</v>
      </c>
      <c r="X774">
        <v>1</v>
      </c>
      <c r="Z774">
        <v>0</v>
      </c>
      <c r="AA774">
        <v>40.837018</v>
      </c>
      <c r="AB774">
        <v>-73.91414399999999</v>
      </c>
      <c r="AD774" t="s">
        <v>10839</v>
      </c>
      <c r="AF774" t="s">
        <v>10842</v>
      </c>
      <c r="AG774" t="s">
        <v>10859</v>
      </c>
      <c r="AH774" t="s">
        <v>10864</v>
      </c>
      <c r="AI774">
        <v>230</v>
      </c>
      <c r="AJ774" t="s">
        <v>10210</v>
      </c>
      <c r="AL774">
        <v>0</v>
      </c>
      <c r="AM774" t="s">
        <v>10884</v>
      </c>
      <c r="AN774" t="s">
        <v>10924</v>
      </c>
      <c r="AO774" t="s">
        <v>11013</v>
      </c>
      <c r="AP774" t="s">
        <v>11055</v>
      </c>
      <c r="AR774" t="s">
        <v>11267</v>
      </c>
      <c r="AS774" t="s">
        <v>9926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</row>
    <row r="775" spans="1:59">
      <c r="A775" s="1">
        <f>HYPERLINK("https://lsnyc.legalserver.org/matter/dynamic-profile/view/1904537","19-1904537")</f>
        <v>0</v>
      </c>
      <c r="B775" t="s">
        <v>751</v>
      </c>
      <c r="C775" t="s">
        <v>5654</v>
      </c>
      <c r="D775" t="s">
        <v>9926</v>
      </c>
      <c r="E775" t="s">
        <v>10075</v>
      </c>
      <c r="F775">
        <v>10451</v>
      </c>
      <c r="G775" t="s">
        <v>10090</v>
      </c>
      <c r="H775" t="s">
        <v>10107</v>
      </c>
      <c r="I775" t="s">
        <v>10169</v>
      </c>
      <c r="J775" t="s">
        <v>10210</v>
      </c>
      <c r="K775" t="s">
        <v>10217</v>
      </c>
      <c r="M775" t="s">
        <v>10372</v>
      </c>
      <c r="N775" t="s">
        <v>10694</v>
      </c>
      <c r="P775" t="s">
        <v>10751</v>
      </c>
      <c r="Q775" t="s">
        <v>10773</v>
      </c>
      <c r="R775" t="s">
        <v>10821</v>
      </c>
      <c r="T775">
        <v>0</v>
      </c>
      <c r="U775">
        <v>0</v>
      </c>
      <c r="V775">
        <v>45</v>
      </c>
      <c r="W775">
        <v>1</v>
      </c>
      <c r="X775">
        <v>0</v>
      </c>
      <c r="Z775">
        <v>0</v>
      </c>
      <c r="AA775">
        <v>40.815158</v>
      </c>
      <c r="AB775">
        <v>-73.92247399999999</v>
      </c>
      <c r="AD775" t="s">
        <v>10839</v>
      </c>
      <c r="AG775" t="s">
        <v>10858</v>
      </c>
      <c r="AH775" t="s">
        <v>10861</v>
      </c>
      <c r="AI775">
        <v>234</v>
      </c>
      <c r="AJ775" t="s">
        <v>10214</v>
      </c>
      <c r="AL775">
        <v>1.75</v>
      </c>
      <c r="AM775" t="s">
        <v>10884</v>
      </c>
      <c r="AN775" t="s">
        <v>10924</v>
      </c>
      <c r="AO775" t="s">
        <v>11013</v>
      </c>
      <c r="AP775" t="s">
        <v>11066</v>
      </c>
      <c r="AR775" t="s">
        <v>11267</v>
      </c>
      <c r="AS775" t="s">
        <v>9926</v>
      </c>
      <c r="AT775" t="s">
        <v>11641</v>
      </c>
      <c r="AX775" t="s">
        <v>10838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</row>
    <row r="776" spans="1:59">
      <c r="A776" s="1">
        <f>HYPERLINK("https://lsnyc.legalserver.org/matter/dynamic-profile/view/1904538","19-1904538")</f>
        <v>0</v>
      </c>
      <c r="B776" t="s">
        <v>752</v>
      </c>
      <c r="C776" t="s">
        <v>5655</v>
      </c>
      <c r="D776" t="s">
        <v>9945</v>
      </c>
      <c r="E776" t="s">
        <v>10075</v>
      </c>
      <c r="F776">
        <v>11422</v>
      </c>
      <c r="G776" t="s">
        <v>10092</v>
      </c>
      <c r="H776" t="s">
        <v>10107</v>
      </c>
      <c r="I776" t="s">
        <v>10168</v>
      </c>
      <c r="J776" t="s">
        <v>10212</v>
      </c>
      <c r="K776" t="s">
        <v>10218</v>
      </c>
      <c r="L776" t="s">
        <v>10105</v>
      </c>
      <c r="M776" t="s">
        <v>10360</v>
      </c>
      <c r="N776" t="s">
        <v>10695</v>
      </c>
      <c r="P776" t="s">
        <v>10749</v>
      </c>
      <c r="Q776" t="s">
        <v>10765</v>
      </c>
      <c r="R776" t="s">
        <v>10824</v>
      </c>
      <c r="T776">
        <v>0</v>
      </c>
      <c r="U776">
        <v>0</v>
      </c>
      <c r="V776">
        <v>36</v>
      </c>
      <c r="W776">
        <v>3</v>
      </c>
      <c r="X776">
        <v>1</v>
      </c>
      <c r="Y776" t="s">
        <v>10829</v>
      </c>
      <c r="Z776">
        <v>0</v>
      </c>
      <c r="AA776">
        <v>40.650961</v>
      </c>
      <c r="AB776">
        <v>-73.73335299999999</v>
      </c>
      <c r="AD776" t="s">
        <v>10839</v>
      </c>
      <c r="AG776" t="s">
        <v>10858</v>
      </c>
      <c r="AH776" t="s">
        <v>10862</v>
      </c>
      <c r="AI776">
        <v>237</v>
      </c>
      <c r="AJ776" t="s">
        <v>10212</v>
      </c>
      <c r="AK776" t="s">
        <v>10838</v>
      </c>
      <c r="AL776">
        <v>2.05</v>
      </c>
      <c r="AM776" t="s">
        <v>10892</v>
      </c>
      <c r="AN776" t="s">
        <v>10955</v>
      </c>
      <c r="AO776" t="s">
        <v>11017</v>
      </c>
      <c r="AP776" t="s">
        <v>11082</v>
      </c>
      <c r="AR776" t="s">
        <v>11267</v>
      </c>
      <c r="AS776" t="s">
        <v>11594</v>
      </c>
      <c r="AY776" t="s">
        <v>10829</v>
      </c>
      <c r="AZ776" t="s">
        <v>11681</v>
      </c>
      <c r="BA776" t="s">
        <v>11741</v>
      </c>
      <c r="BB776">
        <v>0</v>
      </c>
      <c r="BC776">
        <v>0</v>
      </c>
      <c r="BD776">
        <v>0</v>
      </c>
      <c r="BE776">
        <v>0</v>
      </c>
      <c r="BF776">
        <v>1</v>
      </c>
      <c r="BG776">
        <v>0</v>
      </c>
    </row>
    <row r="777" spans="1:59">
      <c r="A777" s="1">
        <f>HYPERLINK("https://lsnyc.legalserver.org/matter/dynamic-profile/view/1904539","19-1904539")</f>
        <v>0</v>
      </c>
      <c r="B777" t="s">
        <v>753</v>
      </c>
      <c r="C777" t="s">
        <v>5629</v>
      </c>
      <c r="D777" t="s">
        <v>9926</v>
      </c>
      <c r="E777" t="s">
        <v>10075</v>
      </c>
      <c r="F777">
        <v>10470</v>
      </c>
      <c r="G777" t="s">
        <v>10090</v>
      </c>
      <c r="H777" t="s">
        <v>10114</v>
      </c>
      <c r="I777" t="s">
        <v>10168</v>
      </c>
      <c r="J777" t="s">
        <v>10210</v>
      </c>
      <c r="K777" t="s">
        <v>10217</v>
      </c>
      <c r="M777" t="s">
        <v>10477</v>
      </c>
      <c r="N777" t="s">
        <v>10650</v>
      </c>
      <c r="P777" t="s">
        <v>10749</v>
      </c>
      <c r="Q777" t="s">
        <v>10765</v>
      </c>
      <c r="R777" t="s">
        <v>10824</v>
      </c>
      <c r="T777">
        <v>21600</v>
      </c>
      <c r="U777">
        <v>1800</v>
      </c>
      <c r="V777">
        <v>47</v>
      </c>
      <c r="W777">
        <v>1</v>
      </c>
      <c r="X777">
        <v>1</v>
      </c>
      <c r="Z777">
        <v>127.74</v>
      </c>
      <c r="AA777">
        <v>40.90555</v>
      </c>
      <c r="AB777">
        <v>-73.847742</v>
      </c>
      <c r="AD777" t="s">
        <v>10839</v>
      </c>
      <c r="AG777" t="s">
        <v>10858</v>
      </c>
      <c r="AH777" t="s">
        <v>10862</v>
      </c>
      <c r="AI777">
        <v>230</v>
      </c>
      <c r="AJ777" t="s">
        <v>10210</v>
      </c>
      <c r="AL777">
        <v>0</v>
      </c>
      <c r="AM777" t="s">
        <v>10893</v>
      </c>
      <c r="AN777" t="s">
        <v>10919</v>
      </c>
      <c r="AO777" t="s">
        <v>11010</v>
      </c>
      <c r="AP777" t="s">
        <v>11057</v>
      </c>
      <c r="AR777" t="s">
        <v>11268</v>
      </c>
      <c r="AS777" t="s">
        <v>9926</v>
      </c>
      <c r="AT777" t="s">
        <v>11641</v>
      </c>
      <c r="BA777" t="s">
        <v>11738</v>
      </c>
      <c r="BB777">
        <v>0</v>
      </c>
      <c r="BC777">
        <v>0</v>
      </c>
      <c r="BD777">
        <v>0</v>
      </c>
      <c r="BE777">
        <v>0</v>
      </c>
      <c r="BF777">
        <v>5</v>
      </c>
      <c r="BG777">
        <v>0</v>
      </c>
    </row>
    <row r="778" spans="1:59">
      <c r="A778" s="1">
        <f>HYPERLINK("https://lsnyc.legalserver.org/matter/dynamic-profile/view/1904540","19-1904540")</f>
        <v>0</v>
      </c>
      <c r="B778" t="s">
        <v>735</v>
      </c>
      <c r="C778" t="s">
        <v>5638</v>
      </c>
      <c r="D778" t="s">
        <v>9928</v>
      </c>
      <c r="E778" t="s">
        <v>10075</v>
      </c>
      <c r="F778">
        <v>11204</v>
      </c>
      <c r="G778" t="s">
        <v>10089</v>
      </c>
      <c r="H778" t="s">
        <v>10107</v>
      </c>
      <c r="I778" t="s">
        <v>10168</v>
      </c>
      <c r="J778" t="s">
        <v>10209</v>
      </c>
      <c r="K778" t="s">
        <v>10217</v>
      </c>
      <c r="M778" t="s">
        <v>10488</v>
      </c>
      <c r="N778" t="s">
        <v>10649</v>
      </c>
      <c r="P778" t="s">
        <v>10753</v>
      </c>
      <c r="Q778" t="s">
        <v>10763</v>
      </c>
      <c r="R778" t="s">
        <v>10820</v>
      </c>
      <c r="T778">
        <v>0</v>
      </c>
      <c r="U778">
        <v>0</v>
      </c>
      <c r="V778">
        <v>46</v>
      </c>
      <c r="W778">
        <v>2</v>
      </c>
      <c r="X778">
        <v>0</v>
      </c>
      <c r="Z778">
        <v>0</v>
      </c>
      <c r="AA778">
        <v>40.615867</v>
      </c>
      <c r="AB778">
        <v>-73.99041800000001</v>
      </c>
      <c r="AD778" t="s">
        <v>10839</v>
      </c>
      <c r="AF778" t="s">
        <v>10843</v>
      </c>
      <c r="AG778" t="s">
        <v>10859</v>
      </c>
      <c r="AH778" t="s">
        <v>10864</v>
      </c>
      <c r="AI778">
        <v>236</v>
      </c>
      <c r="AJ778" t="s">
        <v>10209</v>
      </c>
      <c r="AL778">
        <v>1.25</v>
      </c>
      <c r="AM778" t="s">
        <v>10894</v>
      </c>
      <c r="AN778" t="s">
        <v>10974</v>
      </c>
      <c r="AO778" t="s">
        <v>11023</v>
      </c>
      <c r="AP778" t="s">
        <v>11087</v>
      </c>
      <c r="AQ778" t="s">
        <v>11104</v>
      </c>
      <c r="AR778" t="s">
        <v>11279</v>
      </c>
      <c r="AS778" t="s">
        <v>11595</v>
      </c>
      <c r="BA778" t="s">
        <v>11739</v>
      </c>
      <c r="BB778">
        <v>0</v>
      </c>
      <c r="BC778">
        <v>0</v>
      </c>
      <c r="BD778">
        <v>0</v>
      </c>
      <c r="BE778">
        <v>0</v>
      </c>
      <c r="BF778">
        <v>4</v>
      </c>
      <c r="BG778">
        <v>0</v>
      </c>
    </row>
    <row r="779" spans="1:59">
      <c r="A779" s="1">
        <f>HYPERLINK("https://lsnyc.legalserver.org/matter/dynamic-profile/view/1904541","19-1904541")</f>
        <v>0</v>
      </c>
      <c r="B779" t="s">
        <v>754</v>
      </c>
      <c r="C779" t="s">
        <v>5656</v>
      </c>
      <c r="D779" t="s">
        <v>9936</v>
      </c>
      <c r="E779" t="s">
        <v>10075</v>
      </c>
      <c r="F779">
        <v>11102</v>
      </c>
      <c r="G779" t="s">
        <v>10092</v>
      </c>
      <c r="H779" t="s">
        <v>10107</v>
      </c>
      <c r="I779" t="s">
        <v>10175</v>
      </c>
      <c r="J779" t="s">
        <v>10212</v>
      </c>
      <c r="K779" t="s">
        <v>10217</v>
      </c>
      <c r="M779" t="s">
        <v>10491</v>
      </c>
      <c r="N779" t="s">
        <v>10695</v>
      </c>
      <c r="P779" t="s">
        <v>10749</v>
      </c>
      <c r="Q779" t="s">
        <v>10765</v>
      </c>
      <c r="R779" t="s">
        <v>10820</v>
      </c>
      <c r="T779">
        <v>27300</v>
      </c>
      <c r="U779">
        <v>2275</v>
      </c>
      <c r="V779">
        <v>54</v>
      </c>
      <c r="W779">
        <v>3</v>
      </c>
      <c r="X779">
        <v>0</v>
      </c>
      <c r="Z779">
        <v>127.99</v>
      </c>
      <c r="AA779">
        <v>40.770549</v>
      </c>
      <c r="AB779">
        <v>-73.92413500000001</v>
      </c>
      <c r="AD779" t="s">
        <v>10839</v>
      </c>
      <c r="AG779" t="s">
        <v>10858</v>
      </c>
      <c r="AH779" t="s">
        <v>10862</v>
      </c>
      <c r="AI779">
        <v>237</v>
      </c>
      <c r="AJ779" t="s">
        <v>10212</v>
      </c>
      <c r="AL779">
        <v>1.5</v>
      </c>
      <c r="AM779" t="s">
        <v>10891</v>
      </c>
      <c r="AN779" t="s">
        <v>10954</v>
      </c>
      <c r="AO779" t="s">
        <v>11003</v>
      </c>
      <c r="AP779" t="s">
        <v>11084</v>
      </c>
      <c r="AR779" t="s">
        <v>11257</v>
      </c>
      <c r="AS779" t="s">
        <v>11594</v>
      </c>
      <c r="BA779" t="s">
        <v>11741</v>
      </c>
      <c r="BB779">
        <v>0</v>
      </c>
      <c r="BC779">
        <v>0</v>
      </c>
      <c r="BD779">
        <v>0</v>
      </c>
      <c r="BE779">
        <v>0</v>
      </c>
      <c r="BF779">
        <v>1</v>
      </c>
      <c r="BG779">
        <v>0</v>
      </c>
    </row>
    <row r="780" spans="1:59">
      <c r="A780" s="1">
        <f>HYPERLINK("https://lsnyc.legalserver.org/matter/dynamic-profile/view/1904542","19-1904542")</f>
        <v>0</v>
      </c>
      <c r="B780" t="s">
        <v>755</v>
      </c>
      <c r="C780" t="s">
        <v>5657</v>
      </c>
      <c r="D780" t="s">
        <v>9955</v>
      </c>
      <c r="E780" t="s">
        <v>10075</v>
      </c>
      <c r="F780">
        <v>11692</v>
      </c>
      <c r="G780" t="s">
        <v>10092</v>
      </c>
      <c r="H780" t="s">
        <v>10107</v>
      </c>
      <c r="I780" t="s">
        <v>10168</v>
      </c>
      <c r="J780" t="s">
        <v>10212</v>
      </c>
      <c r="K780" t="s">
        <v>10217</v>
      </c>
      <c r="M780" t="s">
        <v>10366</v>
      </c>
      <c r="N780" t="s">
        <v>10646</v>
      </c>
      <c r="P780" t="s">
        <v>10749</v>
      </c>
      <c r="Q780" t="s">
        <v>10806</v>
      </c>
      <c r="R780" t="s">
        <v>10824</v>
      </c>
      <c r="T780">
        <v>122000</v>
      </c>
      <c r="U780">
        <v>10166.67</v>
      </c>
      <c r="V780">
        <v>41</v>
      </c>
      <c r="W780">
        <v>2</v>
      </c>
      <c r="X780">
        <v>3</v>
      </c>
      <c r="Z780">
        <v>404.38</v>
      </c>
      <c r="AA780">
        <v>40.589411</v>
      </c>
      <c r="AB780">
        <v>-73.78958900000001</v>
      </c>
      <c r="AD780" t="s">
        <v>10839</v>
      </c>
      <c r="AG780" t="s">
        <v>10858</v>
      </c>
      <c r="AH780" t="s">
        <v>10861</v>
      </c>
      <c r="AI780">
        <v>234</v>
      </c>
      <c r="AJ780" t="s">
        <v>10214</v>
      </c>
      <c r="AL780">
        <v>1.7</v>
      </c>
      <c r="AM780" t="s">
        <v>10892</v>
      </c>
      <c r="AN780" t="s">
        <v>10930</v>
      </c>
      <c r="AO780" t="s">
        <v>11017</v>
      </c>
      <c r="AP780" t="s">
        <v>11082</v>
      </c>
      <c r="AR780" t="s">
        <v>11257</v>
      </c>
      <c r="AS780" t="s">
        <v>11594</v>
      </c>
      <c r="AT780" t="s">
        <v>11641</v>
      </c>
      <c r="AX780" t="s">
        <v>10838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</row>
    <row r="781" spans="1:59">
      <c r="A781" s="1">
        <f>HYPERLINK("https://lsnyc.legalserver.org/matter/dynamic-profile/view/1904544","19-1904544")</f>
        <v>0</v>
      </c>
      <c r="B781" t="s">
        <v>756</v>
      </c>
      <c r="C781" t="s">
        <v>5658</v>
      </c>
      <c r="D781" t="s">
        <v>9925</v>
      </c>
      <c r="E781" t="s">
        <v>10075</v>
      </c>
      <c r="F781">
        <v>10009</v>
      </c>
      <c r="G781" t="s">
        <v>10089</v>
      </c>
      <c r="H781" t="s">
        <v>10107</v>
      </c>
      <c r="I781" t="s">
        <v>10168</v>
      </c>
      <c r="J781" t="s">
        <v>10209</v>
      </c>
      <c r="K781" t="s">
        <v>10217</v>
      </c>
      <c r="M781" t="s">
        <v>10391</v>
      </c>
      <c r="N781" t="s">
        <v>10703</v>
      </c>
      <c r="P781" t="s">
        <v>10749</v>
      </c>
      <c r="Q781" t="s">
        <v>10767</v>
      </c>
      <c r="R781" t="s">
        <v>10824</v>
      </c>
      <c r="T781">
        <v>28000</v>
      </c>
      <c r="U781">
        <v>2333.33</v>
      </c>
      <c r="V781">
        <v>54</v>
      </c>
      <c r="W781">
        <v>1</v>
      </c>
      <c r="X781">
        <v>0</v>
      </c>
      <c r="Z781">
        <v>224.18</v>
      </c>
      <c r="AA781">
        <v>40.722867</v>
      </c>
      <c r="AB781">
        <v>-73.97593500000001</v>
      </c>
      <c r="AD781" t="s">
        <v>10839</v>
      </c>
      <c r="AG781" t="s">
        <v>10858</v>
      </c>
      <c r="AH781" t="s">
        <v>10862</v>
      </c>
      <c r="AI781">
        <v>236</v>
      </c>
      <c r="AJ781" t="s">
        <v>10209</v>
      </c>
      <c r="AL781">
        <v>4.25</v>
      </c>
      <c r="AM781" t="s">
        <v>10886</v>
      </c>
      <c r="AN781" t="s">
        <v>10910</v>
      </c>
      <c r="AO781" t="s">
        <v>11021</v>
      </c>
      <c r="AP781" t="s">
        <v>11048</v>
      </c>
      <c r="AR781" t="s">
        <v>11257</v>
      </c>
      <c r="AS781" t="s">
        <v>9925</v>
      </c>
      <c r="BA781" t="s">
        <v>11738</v>
      </c>
      <c r="BB781">
        <v>0</v>
      </c>
      <c r="BC781">
        <v>0</v>
      </c>
      <c r="BD781">
        <v>0</v>
      </c>
      <c r="BE781">
        <v>0</v>
      </c>
      <c r="BF781">
        <v>5</v>
      </c>
      <c r="BG781">
        <v>0</v>
      </c>
    </row>
    <row r="782" spans="1:59">
      <c r="A782" s="1">
        <f>HYPERLINK("https://lsnyc.legalserver.org/matter/dynamic-profile/view/1904545","19-1904545")</f>
        <v>0</v>
      </c>
      <c r="B782" t="s">
        <v>746</v>
      </c>
      <c r="C782" t="s">
        <v>5650</v>
      </c>
      <c r="D782" t="s">
        <v>9928</v>
      </c>
      <c r="E782" t="s">
        <v>10075</v>
      </c>
      <c r="F782">
        <v>11206</v>
      </c>
      <c r="G782" t="s">
        <v>10089</v>
      </c>
      <c r="H782" t="s">
        <v>10107</v>
      </c>
      <c r="I782" t="s">
        <v>10168</v>
      </c>
      <c r="J782" t="s">
        <v>10209</v>
      </c>
      <c r="K782" t="s">
        <v>10217</v>
      </c>
      <c r="M782" t="s">
        <v>10488</v>
      </c>
      <c r="N782" t="s">
        <v>10649</v>
      </c>
      <c r="P782" t="s">
        <v>10753</v>
      </c>
      <c r="Q782" t="s">
        <v>10763</v>
      </c>
      <c r="R782" t="s">
        <v>10821</v>
      </c>
      <c r="T782">
        <v>0</v>
      </c>
      <c r="U782">
        <v>0</v>
      </c>
      <c r="V782">
        <v>22</v>
      </c>
      <c r="W782">
        <v>3</v>
      </c>
      <c r="X782">
        <v>0</v>
      </c>
      <c r="Z782">
        <v>0</v>
      </c>
      <c r="AA782">
        <v>40.70942</v>
      </c>
      <c r="AB782">
        <v>-73.94123</v>
      </c>
      <c r="AD782" t="s">
        <v>10839</v>
      </c>
      <c r="AF782" t="s">
        <v>10843</v>
      </c>
      <c r="AG782" t="s">
        <v>10859</v>
      </c>
      <c r="AH782" t="s">
        <v>10864</v>
      </c>
      <c r="AI782">
        <v>236</v>
      </c>
      <c r="AJ782" t="s">
        <v>10209</v>
      </c>
      <c r="AL782">
        <v>0.75</v>
      </c>
      <c r="AM782" t="s">
        <v>10886</v>
      </c>
      <c r="AN782" t="s">
        <v>10942</v>
      </c>
      <c r="AO782" t="s">
        <v>11011</v>
      </c>
      <c r="AP782" t="s">
        <v>11071</v>
      </c>
      <c r="AQ782" t="s">
        <v>11104</v>
      </c>
      <c r="AR782" t="s">
        <v>11267</v>
      </c>
      <c r="AS782" t="s">
        <v>11595</v>
      </c>
      <c r="BA782" t="s">
        <v>11739</v>
      </c>
      <c r="BB782">
        <v>0</v>
      </c>
      <c r="BC782">
        <v>0</v>
      </c>
      <c r="BD782">
        <v>0</v>
      </c>
      <c r="BE782">
        <v>0</v>
      </c>
      <c r="BF782">
        <v>4</v>
      </c>
      <c r="BG782">
        <v>0</v>
      </c>
    </row>
    <row r="783" spans="1:59">
      <c r="A783" s="1">
        <f>HYPERLINK("https://lsnyc.legalserver.org/matter/dynamic-profile/view/1904546","19-1904546")</f>
        <v>0</v>
      </c>
      <c r="B783" t="s">
        <v>757</v>
      </c>
      <c r="C783" t="s">
        <v>5659</v>
      </c>
      <c r="D783" t="s">
        <v>9979</v>
      </c>
      <c r="E783" t="s">
        <v>10078</v>
      </c>
      <c r="F783">
        <v>32211</v>
      </c>
      <c r="G783" t="s">
        <v>10093</v>
      </c>
      <c r="H783" t="s">
        <v>10107</v>
      </c>
      <c r="I783" t="s">
        <v>10168</v>
      </c>
      <c r="J783" t="s">
        <v>10213</v>
      </c>
      <c r="K783" t="s">
        <v>10217</v>
      </c>
      <c r="M783" t="s">
        <v>10290</v>
      </c>
      <c r="N783" t="s">
        <v>10665</v>
      </c>
      <c r="P783" t="s">
        <v>10751</v>
      </c>
      <c r="Q783" t="s">
        <v>10773</v>
      </c>
      <c r="R783" t="s">
        <v>10821</v>
      </c>
      <c r="T783">
        <v>23400</v>
      </c>
      <c r="U783">
        <v>1950</v>
      </c>
      <c r="V783">
        <v>45</v>
      </c>
      <c r="W783">
        <v>1</v>
      </c>
      <c r="X783">
        <v>0</v>
      </c>
      <c r="Z783">
        <v>187.35</v>
      </c>
      <c r="AA783">
        <v>30.347428</v>
      </c>
      <c r="AB783">
        <v>-81.59089400000001</v>
      </c>
      <c r="AD783" t="s">
        <v>10839</v>
      </c>
      <c r="AG783" t="s">
        <v>10858</v>
      </c>
      <c r="AH783" t="s">
        <v>10861</v>
      </c>
      <c r="AI783">
        <v>234</v>
      </c>
      <c r="AJ783" t="s">
        <v>10214</v>
      </c>
      <c r="AK783" t="s">
        <v>10838</v>
      </c>
      <c r="AL783">
        <v>4.4</v>
      </c>
      <c r="AR783" t="s">
        <v>11293</v>
      </c>
      <c r="AS783" t="s">
        <v>11606</v>
      </c>
      <c r="AT783" t="s">
        <v>11641</v>
      </c>
      <c r="AX783" t="s">
        <v>10838</v>
      </c>
      <c r="AZ783" t="s">
        <v>11682</v>
      </c>
      <c r="BA783" t="s">
        <v>11741</v>
      </c>
      <c r="BB783">
        <v>0</v>
      </c>
      <c r="BC783">
        <v>0</v>
      </c>
      <c r="BD783">
        <v>0</v>
      </c>
      <c r="BE783">
        <v>0</v>
      </c>
      <c r="BF783">
        <v>1</v>
      </c>
      <c r="BG783">
        <v>0</v>
      </c>
    </row>
    <row r="784" spans="1:59">
      <c r="A784" s="1">
        <f>HYPERLINK("https://lsnyc.legalserver.org/matter/dynamic-profile/view/1904547","19-1904547")</f>
        <v>0</v>
      </c>
      <c r="B784" t="s">
        <v>758</v>
      </c>
      <c r="C784" t="s">
        <v>5660</v>
      </c>
      <c r="D784" t="s">
        <v>9925</v>
      </c>
      <c r="E784" t="s">
        <v>10075</v>
      </c>
      <c r="F784">
        <v>10002</v>
      </c>
      <c r="G784" t="s">
        <v>10089</v>
      </c>
      <c r="H784" t="s">
        <v>10107</v>
      </c>
      <c r="I784" t="s">
        <v>10169</v>
      </c>
      <c r="J784" t="s">
        <v>10209</v>
      </c>
      <c r="K784" t="s">
        <v>10217</v>
      </c>
      <c r="M784" t="s">
        <v>10488</v>
      </c>
      <c r="N784" t="s">
        <v>10673</v>
      </c>
      <c r="P784" t="s">
        <v>10753</v>
      </c>
      <c r="Q784" t="s">
        <v>10763</v>
      </c>
      <c r="R784" t="s">
        <v>10821</v>
      </c>
      <c r="T784">
        <v>17576</v>
      </c>
      <c r="U784">
        <v>1464.67</v>
      </c>
      <c r="V784">
        <v>53</v>
      </c>
      <c r="W784">
        <v>1</v>
      </c>
      <c r="X784">
        <v>1</v>
      </c>
      <c r="Z784">
        <v>103.94</v>
      </c>
      <c r="AA784">
        <v>40.720011</v>
      </c>
      <c r="AB784">
        <v>-73.98426600000001</v>
      </c>
      <c r="AD784" t="s">
        <v>10839</v>
      </c>
      <c r="AF784" t="s">
        <v>10843</v>
      </c>
      <c r="AG784" t="s">
        <v>10859</v>
      </c>
      <c r="AH784" t="s">
        <v>10864</v>
      </c>
      <c r="AI784">
        <v>236</v>
      </c>
      <c r="AJ784" t="s">
        <v>10209</v>
      </c>
      <c r="AL784">
        <v>4.5</v>
      </c>
      <c r="AM784" t="s">
        <v>10891</v>
      </c>
      <c r="AN784" t="s">
        <v>10963</v>
      </c>
      <c r="AO784" t="s">
        <v>11004</v>
      </c>
      <c r="AP784" t="s">
        <v>11093</v>
      </c>
      <c r="AQ784" t="s">
        <v>11097</v>
      </c>
      <c r="AR784" t="s">
        <v>11257</v>
      </c>
      <c r="AS784" t="s">
        <v>9925</v>
      </c>
      <c r="BA784" t="s">
        <v>11739</v>
      </c>
      <c r="BB784">
        <v>0</v>
      </c>
      <c r="BC784">
        <v>0</v>
      </c>
      <c r="BD784">
        <v>0</v>
      </c>
      <c r="BE784">
        <v>0</v>
      </c>
      <c r="BF784">
        <v>4</v>
      </c>
      <c r="BG784">
        <v>0</v>
      </c>
    </row>
    <row r="785" spans="1:59">
      <c r="A785" s="1">
        <f>HYPERLINK("https://lsnyc.legalserver.org/matter/dynamic-profile/view/1904549","19-1904549")</f>
        <v>0</v>
      </c>
      <c r="B785" t="s">
        <v>759</v>
      </c>
      <c r="C785" t="s">
        <v>5661</v>
      </c>
      <c r="D785" t="s">
        <v>9931</v>
      </c>
      <c r="E785" t="s">
        <v>10075</v>
      </c>
      <c r="F785">
        <v>11354</v>
      </c>
      <c r="G785" t="s">
        <v>10092</v>
      </c>
      <c r="H785" t="s">
        <v>10107</v>
      </c>
      <c r="I785" t="s">
        <v>10169</v>
      </c>
      <c r="J785" t="s">
        <v>10212</v>
      </c>
      <c r="K785" t="s">
        <v>10217</v>
      </c>
      <c r="M785" t="s">
        <v>10422</v>
      </c>
      <c r="N785" t="s">
        <v>10673</v>
      </c>
      <c r="P785" t="s">
        <v>10753</v>
      </c>
      <c r="Q785" t="s">
        <v>10763</v>
      </c>
      <c r="R785" t="s">
        <v>10821</v>
      </c>
      <c r="T785">
        <v>0</v>
      </c>
      <c r="U785">
        <v>0</v>
      </c>
      <c r="V785">
        <v>18</v>
      </c>
      <c r="W785">
        <v>2</v>
      </c>
      <c r="X785">
        <v>4</v>
      </c>
      <c r="Z785">
        <v>0</v>
      </c>
      <c r="AA785">
        <v>40.764097</v>
      </c>
      <c r="AB785">
        <v>-73.82551100000001</v>
      </c>
      <c r="AD785" t="s">
        <v>10840</v>
      </c>
      <c r="AF785" t="s">
        <v>10842</v>
      </c>
      <c r="AG785" t="s">
        <v>10859</v>
      </c>
      <c r="AH785" t="s">
        <v>10864</v>
      </c>
      <c r="AI785">
        <v>237</v>
      </c>
      <c r="AJ785" t="s">
        <v>10212</v>
      </c>
      <c r="AL785">
        <v>3.17</v>
      </c>
      <c r="AM785" t="s">
        <v>10890</v>
      </c>
      <c r="AN785" t="s">
        <v>10927</v>
      </c>
      <c r="AO785" t="s">
        <v>11009</v>
      </c>
      <c r="AP785" t="s">
        <v>11067</v>
      </c>
      <c r="AQ785" t="s">
        <v>11168</v>
      </c>
      <c r="AR785" t="s">
        <v>11267</v>
      </c>
      <c r="AS785" t="s">
        <v>11594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</row>
    <row r="786" spans="1:59">
      <c r="A786" s="1">
        <f>HYPERLINK("https://lsnyc.legalserver.org/matter/dynamic-profile/view/1904550","19-1904550")</f>
        <v>0</v>
      </c>
      <c r="B786" t="s">
        <v>760</v>
      </c>
      <c r="C786" t="s">
        <v>5662</v>
      </c>
      <c r="D786" t="s">
        <v>9928</v>
      </c>
      <c r="E786" t="s">
        <v>10075</v>
      </c>
      <c r="F786">
        <v>11236</v>
      </c>
      <c r="G786" t="s">
        <v>10093</v>
      </c>
      <c r="H786" t="s">
        <v>10107</v>
      </c>
      <c r="J786" t="s">
        <v>10213</v>
      </c>
      <c r="K786" t="s">
        <v>10218</v>
      </c>
      <c r="L786" t="s">
        <v>10162</v>
      </c>
      <c r="M786" t="s">
        <v>10356</v>
      </c>
      <c r="N786" t="s">
        <v>10673</v>
      </c>
      <c r="P786" t="s">
        <v>10753</v>
      </c>
      <c r="Q786" t="s">
        <v>10763</v>
      </c>
      <c r="R786" t="s">
        <v>10824</v>
      </c>
      <c r="T786">
        <v>0</v>
      </c>
      <c r="U786">
        <v>0</v>
      </c>
      <c r="V786">
        <v>43</v>
      </c>
      <c r="W786">
        <v>2</v>
      </c>
      <c r="X786">
        <v>0</v>
      </c>
      <c r="Y786" t="s">
        <v>10833</v>
      </c>
      <c r="Z786">
        <v>0</v>
      </c>
      <c r="AA786">
        <v>40.637344</v>
      </c>
      <c r="AB786">
        <v>-73.899333</v>
      </c>
      <c r="AD786" t="s">
        <v>10839</v>
      </c>
      <c r="AF786" t="s">
        <v>10844</v>
      </c>
      <c r="AG786" t="s">
        <v>10859</v>
      </c>
      <c r="AH786" t="s">
        <v>10864</v>
      </c>
      <c r="AI786">
        <v>239</v>
      </c>
      <c r="AJ786" t="s">
        <v>10213</v>
      </c>
      <c r="AK786" t="s">
        <v>10838</v>
      </c>
      <c r="AL786">
        <v>8.300000000000001</v>
      </c>
      <c r="AM786" t="s">
        <v>10889</v>
      </c>
      <c r="AN786" t="s">
        <v>10959</v>
      </c>
      <c r="AO786" t="s">
        <v>11012</v>
      </c>
      <c r="AP786" t="s">
        <v>11072</v>
      </c>
      <c r="AQ786" t="s">
        <v>11109</v>
      </c>
      <c r="AR786" t="s">
        <v>11267</v>
      </c>
      <c r="AS786" t="s">
        <v>11595</v>
      </c>
      <c r="AY786" t="s">
        <v>10833</v>
      </c>
      <c r="AZ786" t="s">
        <v>11713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</row>
    <row r="787" spans="1:59">
      <c r="A787" s="1">
        <f>HYPERLINK("https://lsnyc.legalserver.org/matter/dynamic-profile/view/1904551","19-1904551")</f>
        <v>0</v>
      </c>
      <c r="B787" t="s">
        <v>758</v>
      </c>
      <c r="C787" t="s">
        <v>5660</v>
      </c>
      <c r="D787" t="s">
        <v>9925</v>
      </c>
      <c r="E787" t="s">
        <v>10075</v>
      </c>
      <c r="F787">
        <v>10002</v>
      </c>
      <c r="G787" t="s">
        <v>10089</v>
      </c>
      <c r="H787" t="s">
        <v>10107</v>
      </c>
      <c r="I787" t="s">
        <v>10169</v>
      </c>
      <c r="J787" t="s">
        <v>10209</v>
      </c>
      <c r="K787" t="s">
        <v>10218</v>
      </c>
      <c r="L787" t="s">
        <v>10166</v>
      </c>
      <c r="M787" t="s">
        <v>10488</v>
      </c>
      <c r="N787" t="s">
        <v>10649</v>
      </c>
      <c r="P787" t="s">
        <v>10753</v>
      </c>
      <c r="Q787" t="s">
        <v>10763</v>
      </c>
      <c r="R787" t="s">
        <v>10821</v>
      </c>
      <c r="T787">
        <v>17576</v>
      </c>
      <c r="U787">
        <v>1464.67</v>
      </c>
      <c r="V787">
        <v>53</v>
      </c>
      <c r="W787">
        <v>1</v>
      </c>
      <c r="X787">
        <v>1</v>
      </c>
      <c r="Y787" t="s">
        <v>10833</v>
      </c>
      <c r="Z787">
        <v>103.94</v>
      </c>
      <c r="AA787">
        <v>40.720011</v>
      </c>
      <c r="AB787">
        <v>-73.98426600000001</v>
      </c>
      <c r="AD787" t="s">
        <v>10839</v>
      </c>
      <c r="AF787" t="s">
        <v>10843</v>
      </c>
      <c r="AG787" t="s">
        <v>10859</v>
      </c>
      <c r="AH787" t="s">
        <v>10864</v>
      </c>
      <c r="AI787">
        <v>236</v>
      </c>
      <c r="AJ787" t="s">
        <v>10209</v>
      </c>
      <c r="AK787" t="s">
        <v>10838</v>
      </c>
      <c r="AL787">
        <v>2</v>
      </c>
      <c r="AM787" t="s">
        <v>10891</v>
      </c>
      <c r="AN787" t="s">
        <v>10963</v>
      </c>
      <c r="AO787" t="s">
        <v>11004</v>
      </c>
      <c r="AP787" t="s">
        <v>11093</v>
      </c>
      <c r="AQ787" t="s">
        <v>11104</v>
      </c>
      <c r="AR787" t="s">
        <v>11257</v>
      </c>
      <c r="AS787" t="s">
        <v>9925</v>
      </c>
      <c r="AY787" t="s">
        <v>10833</v>
      </c>
      <c r="AZ787" t="s">
        <v>11699</v>
      </c>
      <c r="BA787" t="s">
        <v>11739</v>
      </c>
      <c r="BB787">
        <v>725</v>
      </c>
      <c r="BC787">
        <v>0</v>
      </c>
      <c r="BD787">
        <v>0</v>
      </c>
      <c r="BE787">
        <v>0</v>
      </c>
      <c r="BF787">
        <v>4</v>
      </c>
      <c r="BG787">
        <v>0</v>
      </c>
    </row>
    <row r="788" spans="1:59">
      <c r="A788" s="1">
        <f>HYPERLINK("https://lsnyc.legalserver.org/matter/dynamic-profile/view/1904552","19-1904552")</f>
        <v>0</v>
      </c>
      <c r="B788" t="s">
        <v>761</v>
      </c>
      <c r="C788" t="s">
        <v>5663</v>
      </c>
      <c r="D788" t="s">
        <v>9926</v>
      </c>
      <c r="E788" t="s">
        <v>10075</v>
      </c>
      <c r="F788">
        <v>10462</v>
      </c>
      <c r="G788" t="s">
        <v>10089</v>
      </c>
      <c r="H788" t="s">
        <v>10107</v>
      </c>
      <c r="I788" t="s">
        <v>10168</v>
      </c>
      <c r="J788" t="s">
        <v>10209</v>
      </c>
      <c r="K788" t="s">
        <v>10217</v>
      </c>
      <c r="M788" t="s">
        <v>10492</v>
      </c>
      <c r="N788" t="s">
        <v>10671</v>
      </c>
      <c r="P788" t="s">
        <v>10749</v>
      </c>
      <c r="Q788" t="s">
        <v>10765</v>
      </c>
      <c r="R788" t="s">
        <v>10821</v>
      </c>
      <c r="T788">
        <v>18504</v>
      </c>
      <c r="U788">
        <v>1542</v>
      </c>
      <c r="V788">
        <v>40</v>
      </c>
      <c r="W788">
        <v>2</v>
      </c>
      <c r="X788">
        <v>0</v>
      </c>
      <c r="Z788">
        <v>109.43</v>
      </c>
      <c r="AA788">
        <v>40.84498</v>
      </c>
      <c r="AB788">
        <v>-73.866523</v>
      </c>
      <c r="AD788" t="s">
        <v>10840</v>
      </c>
      <c r="AG788" t="s">
        <v>10858</v>
      </c>
      <c r="AH788" t="s">
        <v>10861</v>
      </c>
      <c r="AI788">
        <v>234</v>
      </c>
      <c r="AJ788" t="s">
        <v>10214</v>
      </c>
      <c r="AL788">
        <v>1.5</v>
      </c>
      <c r="AM788" t="s">
        <v>10885</v>
      </c>
      <c r="AN788" t="s">
        <v>10938</v>
      </c>
      <c r="AO788" t="s">
        <v>11000</v>
      </c>
      <c r="AP788" t="s">
        <v>11056</v>
      </c>
      <c r="AR788" t="s">
        <v>11263</v>
      </c>
      <c r="AS788" t="s">
        <v>9926</v>
      </c>
      <c r="AT788" t="s">
        <v>11642</v>
      </c>
      <c r="AX788" t="s">
        <v>10838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</row>
    <row r="789" spans="1:59">
      <c r="A789" s="1">
        <f>HYPERLINK("https://lsnyc.legalserver.org/matter/dynamic-profile/view/1904553","19-1904553")</f>
        <v>0</v>
      </c>
      <c r="B789" t="s">
        <v>762</v>
      </c>
      <c r="C789" t="s">
        <v>5664</v>
      </c>
      <c r="D789" t="s">
        <v>9928</v>
      </c>
      <c r="E789" t="s">
        <v>10075</v>
      </c>
      <c r="F789">
        <v>11207</v>
      </c>
      <c r="G789" t="s">
        <v>10093</v>
      </c>
      <c r="H789" t="s">
        <v>10107</v>
      </c>
      <c r="I789" t="s">
        <v>10168</v>
      </c>
      <c r="J789" t="s">
        <v>10213</v>
      </c>
      <c r="K789" t="s">
        <v>10218</v>
      </c>
      <c r="L789" t="s">
        <v>10154</v>
      </c>
      <c r="M789" t="s">
        <v>10298</v>
      </c>
      <c r="N789" t="s">
        <v>10657</v>
      </c>
      <c r="P789" t="s">
        <v>10749</v>
      </c>
      <c r="Q789" t="s">
        <v>10765</v>
      </c>
      <c r="R789" t="s">
        <v>10822</v>
      </c>
      <c r="T789">
        <v>68640</v>
      </c>
      <c r="U789">
        <v>5720</v>
      </c>
      <c r="V789">
        <v>53</v>
      </c>
      <c r="W789">
        <v>2</v>
      </c>
      <c r="X789">
        <v>0</v>
      </c>
      <c r="Y789" t="s">
        <v>10829</v>
      </c>
      <c r="Z789">
        <v>405.91</v>
      </c>
      <c r="AA789">
        <v>40.670061</v>
      </c>
      <c r="AB789">
        <v>-73.89466899999999</v>
      </c>
      <c r="AD789" t="s">
        <v>10840</v>
      </c>
      <c r="AG789" t="s">
        <v>10858</v>
      </c>
      <c r="AH789" t="s">
        <v>10862</v>
      </c>
      <c r="AI789">
        <v>239</v>
      </c>
      <c r="AJ789" t="s">
        <v>10213</v>
      </c>
      <c r="AK789" t="s">
        <v>10838</v>
      </c>
      <c r="AL789">
        <v>0.75</v>
      </c>
      <c r="AM789" t="s">
        <v>10889</v>
      </c>
      <c r="AN789" t="s">
        <v>10946</v>
      </c>
      <c r="AO789" t="s">
        <v>11012</v>
      </c>
      <c r="AP789" t="s">
        <v>11060</v>
      </c>
      <c r="AQ789" t="s">
        <v>11101</v>
      </c>
      <c r="AR789" t="s">
        <v>11257</v>
      </c>
      <c r="AS789" t="s">
        <v>11595</v>
      </c>
      <c r="AY789" t="s">
        <v>10829</v>
      </c>
      <c r="AZ789" t="s">
        <v>11681</v>
      </c>
      <c r="BA789" t="s">
        <v>11741</v>
      </c>
      <c r="BB789">
        <v>0</v>
      </c>
      <c r="BC789">
        <v>0</v>
      </c>
      <c r="BD789">
        <v>0</v>
      </c>
      <c r="BE789">
        <v>0</v>
      </c>
      <c r="BF789">
        <v>1</v>
      </c>
      <c r="BG789">
        <v>0</v>
      </c>
    </row>
    <row r="790" spans="1:59">
      <c r="A790" s="1">
        <f>HYPERLINK("https://lsnyc.legalserver.org/matter/dynamic-profile/view/1904554","19-1904554")</f>
        <v>0</v>
      </c>
      <c r="B790" t="s">
        <v>763</v>
      </c>
      <c r="C790" t="s">
        <v>5665</v>
      </c>
      <c r="D790" t="s">
        <v>9928</v>
      </c>
      <c r="E790" t="s">
        <v>10075</v>
      </c>
      <c r="F790">
        <v>11213</v>
      </c>
      <c r="G790" t="s">
        <v>10093</v>
      </c>
      <c r="H790" t="s">
        <v>10107</v>
      </c>
      <c r="I790" t="s">
        <v>10168</v>
      </c>
      <c r="J790" t="s">
        <v>10213</v>
      </c>
      <c r="K790" t="s">
        <v>10217</v>
      </c>
      <c r="M790" t="s">
        <v>10411</v>
      </c>
      <c r="N790" t="s">
        <v>10646</v>
      </c>
      <c r="P790" t="s">
        <v>10749</v>
      </c>
      <c r="Q790" t="s">
        <v>10765</v>
      </c>
      <c r="R790" t="s">
        <v>10824</v>
      </c>
      <c r="T790">
        <v>34008</v>
      </c>
      <c r="U790">
        <v>2834</v>
      </c>
      <c r="V790">
        <v>45</v>
      </c>
      <c r="W790">
        <v>1</v>
      </c>
      <c r="X790">
        <v>1</v>
      </c>
      <c r="Z790">
        <v>201.11</v>
      </c>
      <c r="AA790">
        <v>40.675352</v>
      </c>
      <c r="AB790">
        <v>-73.946039</v>
      </c>
      <c r="AD790" t="s">
        <v>10839</v>
      </c>
      <c r="AG790" t="s">
        <v>10858</v>
      </c>
      <c r="AH790" t="s">
        <v>10862</v>
      </c>
      <c r="AI790">
        <v>239</v>
      </c>
      <c r="AJ790" t="s">
        <v>10213</v>
      </c>
      <c r="AL790">
        <v>3</v>
      </c>
      <c r="AM790" t="s">
        <v>10888</v>
      </c>
      <c r="AN790" t="s">
        <v>10912</v>
      </c>
      <c r="AO790" t="s">
        <v>11007</v>
      </c>
      <c r="AP790" t="s">
        <v>11052</v>
      </c>
      <c r="AQ790" t="s">
        <v>11101</v>
      </c>
      <c r="AR790" t="s">
        <v>11257</v>
      </c>
      <c r="AS790" t="s">
        <v>11595</v>
      </c>
      <c r="AT790" t="s">
        <v>11641</v>
      </c>
      <c r="AX790" t="s">
        <v>10838</v>
      </c>
      <c r="BA790" t="s">
        <v>11738</v>
      </c>
      <c r="BB790">
        <v>0</v>
      </c>
      <c r="BC790">
        <v>0</v>
      </c>
      <c r="BD790">
        <v>0</v>
      </c>
      <c r="BE790">
        <v>0</v>
      </c>
      <c r="BF790">
        <v>5</v>
      </c>
      <c r="BG790">
        <v>0</v>
      </c>
    </row>
    <row r="791" spans="1:59">
      <c r="A791" s="1">
        <f>HYPERLINK("https://lsnyc.legalserver.org/matter/dynamic-profile/view/1904556","19-1904556")</f>
        <v>0</v>
      </c>
      <c r="B791" t="s">
        <v>764</v>
      </c>
      <c r="C791" t="s">
        <v>5666</v>
      </c>
      <c r="D791" t="s">
        <v>9926</v>
      </c>
      <c r="E791" t="s">
        <v>10075</v>
      </c>
      <c r="F791">
        <v>10458</v>
      </c>
      <c r="G791" t="s">
        <v>10091</v>
      </c>
      <c r="H791" t="s">
        <v>10107</v>
      </c>
      <c r="I791" t="s">
        <v>10168</v>
      </c>
      <c r="J791" t="s">
        <v>10214</v>
      </c>
      <c r="K791" t="s">
        <v>10217</v>
      </c>
      <c r="M791" t="s">
        <v>10286</v>
      </c>
      <c r="N791" t="s">
        <v>10671</v>
      </c>
      <c r="P791" t="s">
        <v>10749</v>
      </c>
      <c r="Q791" t="s">
        <v>10765</v>
      </c>
      <c r="R791" t="s">
        <v>10824</v>
      </c>
      <c r="T791">
        <v>3624</v>
      </c>
      <c r="U791">
        <v>302</v>
      </c>
      <c r="V791">
        <v>24</v>
      </c>
      <c r="W791">
        <v>1</v>
      </c>
      <c r="X791">
        <v>2</v>
      </c>
      <c r="Z791">
        <v>16.99</v>
      </c>
      <c r="AA791">
        <v>40.859183</v>
      </c>
      <c r="AB791">
        <v>-73.89349799999999</v>
      </c>
      <c r="AD791" t="s">
        <v>10839</v>
      </c>
      <c r="AG791" t="s">
        <v>10858</v>
      </c>
      <c r="AH791" t="s">
        <v>10861</v>
      </c>
      <c r="AI791">
        <v>234</v>
      </c>
      <c r="AJ791" t="s">
        <v>10214</v>
      </c>
      <c r="AL791">
        <v>1</v>
      </c>
      <c r="AM791" t="s">
        <v>10884</v>
      </c>
      <c r="AN791" t="s">
        <v>10907</v>
      </c>
      <c r="AO791" t="s">
        <v>11000</v>
      </c>
      <c r="AP791" t="s">
        <v>11056</v>
      </c>
      <c r="AR791" t="s">
        <v>11292</v>
      </c>
      <c r="AS791" t="s">
        <v>9926</v>
      </c>
      <c r="AT791" t="s">
        <v>11641</v>
      </c>
      <c r="AX791" t="s">
        <v>10838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</row>
    <row r="792" spans="1:59">
      <c r="A792" s="1">
        <f>HYPERLINK("https://lsnyc.legalserver.org/matter/dynamic-profile/view/1904557","19-1904557")</f>
        <v>0</v>
      </c>
      <c r="B792" t="s">
        <v>765</v>
      </c>
      <c r="C792" t="s">
        <v>5667</v>
      </c>
      <c r="D792" t="s">
        <v>9929</v>
      </c>
      <c r="E792" t="s">
        <v>10075</v>
      </c>
      <c r="F792">
        <v>10301</v>
      </c>
      <c r="G792" t="s">
        <v>10088</v>
      </c>
      <c r="H792" t="s">
        <v>10107</v>
      </c>
      <c r="I792" t="s">
        <v>10168</v>
      </c>
      <c r="J792" t="s">
        <v>10208</v>
      </c>
      <c r="K792" t="s">
        <v>10217</v>
      </c>
      <c r="M792" t="s">
        <v>10284</v>
      </c>
      <c r="N792" t="s">
        <v>10671</v>
      </c>
      <c r="P792" t="s">
        <v>10749</v>
      </c>
      <c r="Q792" t="s">
        <v>10765</v>
      </c>
      <c r="R792" t="s">
        <v>10820</v>
      </c>
      <c r="T792">
        <v>0</v>
      </c>
      <c r="U792">
        <v>0</v>
      </c>
      <c r="V792">
        <v>31</v>
      </c>
      <c r="W792">
        <v>1</v>
      </c>
      <c r="X792">
        <v>0</v>
      </c>
      <c r="Z792">
        <v>0</v>
      </c>
      <c r="AA792">
        <v>40.639676</v>
      </c>
      <c r="AB792">
        <v>-74.08166799999999</v>
      </c>
      <c r="AD792" t="s">
        <v>10839</v>
      </c>
      <c r="AG792" t="s">
        <v>10858</v>
      </c>
      <c r="AH792" t="s">
        <v>10861</v>
      </c>
      <c r="AI792">
        <v>234</v>
      </c>
      <c r="AJ792" t="s">
        <v>10214</v>
      </c>
      <c r="AL792">
        <v>1.05</v>
      </c>
      <c r="AM792" t="s">
        <v>10883</v>
      </c>
      <c r="AN792" t="s">
        <v>10913</v>
      </c>
      <c r="AO792" t="s">
        <v>11006</v>
      </c>
      <c r="AP792" t="s">
        <v>11051</v>
      </c>
      <c r="AR792" t="s">
        <v>11267</v>
      </c>
      <c r="AS792" t="s">
        <v>11593</v>
      </c>
      <c r="AT792" t="s">
        <v>11641</v>
      </c>
      <c r="AX792" t="s">
        <v>10837</v>
      </c>
      <c r="BA792" t="s">
        <v>11741</v>
      </c>
      <c r="BB792">
        <v>0</v>
      </c>
      <c r="BC792">
        <v>0</v>
      </c>
      <c r="BD792">
        <v>0</v>
      </c>
      <c r="BE792">
        <v>0</v>
      </c>
      <c r="BF792">
        <v>1</v>
      </c>
      <c r="BG792">
        <v>0</v>
      </c>
    </row>
    <row r="793" spans="1:59">
      <c r="A793" s="1">
        <f>HYPERLINK("https://lsnyc.legalserver.org/matter/dynamic-profile/view/1904558","19-1904558")</f>
        <v>0</v>
      </c>
      <c r="B793" t="s">
        <v>766</v>
      </c>
      <c r="C793" t="s">
        <v>5668</v>
      </c>
      <c r="D793" t="s">
        <v>9928</v>
      </c>
      <c r="E793" t="s">
        <v>10075</v>
      </c>
      <c r="F793">
        <v>11209</v>
      </c>
      <c r="G793" t="s">
        <v>10093</v>
      </c>
      <c r="H793" t="s">
        <v>10107</v>
      </c>
      <c r="I793" t="s">
        <v>10168</v>
      </c>
      <c r="J793" t="s">
        <v>10213</v>
      </c>
      <c r="K793" t="s">
        <v>10218</v>
      </c>
      <c r="L793" t="s">
        <v>10109</v>
      </c>
      <c r="M793" t="s">
        <v>10317</v>
      </c>
      <c r="N793" t="s">
        <v>10671</v>
      </c>
      <c r="P793" t="s">
        <v>10751</v>
      </c>
      <c r="Q793" t="s">
        <v>10761</v>
      </c>
      <c r="R793" t="s">
        <v>10820</v>
      </c>
      <c r="T793">
        <v>10548</v>
      </c>
      <c r="U793">
        <v>879</v>
      </c>
      <c r="V793">
        <v>66</v>
      </c>
      <c r="W793">
        <v>1</v>
      </c>
      <c r="X793">
        <v>0</v>
      </c>
      <c r="Y793" t="s">
        <v>10829</v>
      </c>
      <c r="Z793">
        <v>84.45</v>
      </c>
      <c r="AA793">
        <v>40.617215</v>
      </c>
      <c r="AB793">
        <v>-74.02839899999999</v>
      </c>
      <c r="AD793" t="s">
        <v>10840</v>
      </c>
      <c r="AG793" t="s">
        <v>10858</v>
      </c>
      <c r="AH793" t="s">
        <v>10871</v>
      </c>
      <c r="AI793">
        <v>234</v>
      </c>
      <c r="AJ793" t="s">
        <v>10214</v>
      </c>
      <c r="AK793" t="s">
        <v>10838</v>
      </c>
      <c r="AL793">
        <v>3.7</v>
      </c>
      <c r="AM793" t="s">
        <v>10883</v>
      </c>
      <c r="AN793" t="s">
        <v>10960</v>
      </c>
      <c r="AO793" t="s">
        <v>11023</v>
      </c>
      <c r="AP793" t="s">
        <v>11086</v>
      </c>
      <c r="AR793" t="s">
        <v>11379</v>
      </c>
      <c r="AS793" t="s">
        <v>11595</v>
      </c>
      <c r="AT793" t="s">
        <v>11642</v>
      </c>
      <c r="AX793" t="s">
        <v>10838</v>
      </c>
      <c r="AY793" t="s">
        <v>10829</v>
      </c>
      <c r="AZ793" t="s">
        <v>11682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</row>
    <row r="794" spans="1:59">
      <c r="A794" s="1">
        <f>HYPERLINK("https://lsnyc.legalserver.org/matter/dynamic-profile/view/1904559","19-1904559")</f>
        <v>0</v>
      </c>
      <c r="B794" t="s">
        <v>767</v>
      </c>
      <c r="C794" t="s">
        <v>5669</v>
      </c>
      <c r="D794" t="s">
        <v>9925</v>
      </c>
      <c r="E794" t="s">
        <v>10075</v>
      </c>
      <c r="F794">
        <v>10009</v>
      </c>
      <c r="G794" t="s">
        <v>10089</v>
      </c>
      <c r="H794" t="s">
        <v>10107</v>
      </c>
      <c r="I794" t="s">
        <v>10168</v>
      </c>
      <c r="J794" t="s">
        <v>10209</v>
      </c>
      <c r="K794" t="s">
        <v>10217</v>
      </c>
      <c r="M794" t="s">
        <v>10493</v>
      </c>
      <c r="N794" t="s">
        <v>10707</v>
      </c>
      <c r="P794" t="s">
        <v>10751</v>
      </c>
      <c r="Q794" t="s">
        <v>10761</v>
      </c>
      <c r="R794" t="s">
        <v>10821</v>
      </c>
      <c r="T794">
        <v>192</v>
      </c>
      <c r="U794">
        <v>16</v>
      </c>
      <c r="V794">
        <v>51</v>
      </c>
      <c r="W794">
        <v>1</v>
      </c>
      <c r="X794">
        <v>0</v>
      </c>
      <c r="Z794">
        <v>1.54</v>
      </c>
      <c r="AA794">
        <v>40.728932</v>
      </c>
      <c r="AB794">
        <v>-73.97586800000001</v>
      </c>
      <c r="AD794" t="s">
        <v>10840</v>
      </c>
      <c r="AG794" t="s">
        <v>10858</v>
      </c>
      <c r="AH794" t="s">
        <v>10861</v>
      </c>
      <c r="AI794">
        <v>234</v>
      </c>
      <c r="AJ794" t="s">
        <v>10214</v>
      </c>
      <c r="AL794">
        <v>30.1</v>
      </c>
      <c r="AM794" t="s">
        <v>10891</v>
      </c>
      <c r="AN794" t="s">
        <v>10910</v>
      </c>
      <c r="AO794" t="s">
        <v>11021</v>
      </c>
      <c r="AP794" t="s">
        <v>11091</v>
      </c>
      <c r="AR794" t="s">
        <v>11380</v>
      </c>
      <c r="AS794" t="s">
        <v>9925</v>
      </c>
      <c r="AT794" t="s">
        <v>11642</v>
      </c>
      <c r="AX794" t="s">
        <v>10837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</row>
    <row r="795" spans="1:59">
      <c r="A795" s="1">
        <f>HYPERLINK("https://lsnyc.legalserver.org/matter/dynamic-profile/view/1904560","19-1904560")</f>
        <v>0</v>
      </c>
      <c r="B795" t="s">
        <v>768</v>
      </c>
      <c r="C795" t="s">
        <v>5670</v>
      </c>
      <c r="D795" t="s">
        <v>9938</v>
      </c>
      <c r="E795" t="s">
        <v>10075</v>
      </c>
      <c r="F795">
        <v>11433</v>
      </c>
      <c r="G795" t="s">
        <v>10092</v>
      </c>
      <c r="H795" t="s">
        <v>10107</v>
      </c>
      <c r="I795" t="s">
        <v>10177</v>
      </c>
      <c r="J795" t="s">
        <v>10212</v>
      </c>
      <c r="K795" t="s">
        <v>10217</v>
      </c>
      <c r="M795" t="s">
        <v>10410</v>
      </c>
      <c r="N795" t="s">
        <v>10693</v>
      </c>
      <c r="P795" t="s">
        <v>10749</v>
      </c>
      <c r="Q795" t="s">
        <v>10765</v>
      </c>
      <c r="R795" t="s">
        <v>10824</v>
      </c>
      <c r="T795">
        <v>4003.2</v>
      </c>
      <c r="U795">
        <v>333.6</v>
      </c>
      <c r="V795">
        <v>35</v>
      </c>
      <c r="W795">
        <v>1</v>
      </c>
      <c r="X795">
        <v>1</v>
      </c>
      <c r="Z795">
        <v>23.67</v>
      </c>
      <c r="AA795">
        <v>40.701753</v>
      </c>
      <c r="AB795">
        <v>-73.780731</v>
      </c>
      <c r="AD795" t="s">
        <v>10839</v>
      </c>
      <c r="AF795" t="s">
        <v>10843</v>
      </c>
      <c r="AG795" t="s">
        <v>10859</v>
      </c>
      <c r="AH795" t="s">
        <v>10862</v>
      </c>
      <c r="AI795">
        <v>237</v>
      </c>
      <c r="AJ795" t="s">
        <v>10212</v>
      </c>
      <c r="AL795">
        <v>20.85</v>
      </c>
      <c r="AM795" t="s">
        <v>10892</v>
      </c>
      <c r="AN795" t="s">
        <v>10955</v>
      </c>
      <c r="AO795" t="s">
        <v>11020</v>
      </c>
      <c r="AP795" t="s">
        <v>11075</v>
      </c>
      <c r="AR795" t="s">
        <v>11381</v>
      </c>
      <c r="AS795" t="s">
        <v>11594</v>
      </c>
      <c r="AX795" t="s">
        <v>10838</v>
      </c>
      <c r="BA795" t="s">
        <v>11738</v>
      </c>
      <c r="BB795">
        <v>0</v>
      </c>
      <c r="BC795">
        <v>0</v>
      </c>
      <c r="BD795">
        <v>0</v>
      </c>
      <c r="BE795">
        <v>0</v>
      </c>
      <c r="BF795">
        <v>5</v>
      </c>
      <c r="BG795">
        <v>0</v>
      </c>
    </row>
    <row r="796" spans="1:59">
      <c r="A796" s="1">
        <f>HYPERLINK("https://lsnyc.legalserver.org/matter/dynamic-profile/view/1904561","19-1904561")</f>
        <v>0</v>
      </c>
      <c r="B796" t="s">
        <v>769</v>
      </c>
      <c r="C796" t="s">
        <v>5671</v>
      </c>
      <c r="D796" t="s">
        <v>9928</v>
      </c>
      <c r="E796" t="s">
        <v>10075</v>
      </c>
      <c r="F796">
        <v>11235</v>
      </c>
      <c r="G796" t="s">
        <v>10093</v>
      </c>
      <c r="H796" t="s">
        <v>10107</v>
      </c>
      <c r="I796" t="s">
        <v>10168</v>
      </c>
      <c r="J796" t="s">
        <v>10213</v>
      </c>
      <c r="K796" t="s">
        <v>10218</v>
      </c>
      <c r="L796" t="s">
        <v>10105</v>
      </c>
      <c r="M796" t="s">
        <v>10429</v>
      </c>
      <c r="N796" t="s">
        <v>10664</v>
      </c>
      <c r="P796" t="s">
        <v>10749</v>
      </c>
      <c r="Q796" t="s">
        <v>10765</v>
      </c>
      <c r="R796" t="s">
        <v>10822</v>
      </c>
      <c r="T796">
        <v>12000</v>
      </c>
      <c r="U796">
        <v>1000</v>
      </c>
      <c r="V796">
        <v>54</v>
      </c>
      <c r="W796">
        <v>1</v>
      </c>
      <c r="X796">
        <v>0</v>
      </c>
      <c r="Y796" t="s">
        <v>10829</v>
      </c>
      <c r="Z796">
        <v>96.08</v>
      </c>
      <c r="AA796">
        <v>40.575001</v>
      </c>
      <c r="AB796">
        <v>-73.96649600000001</v>
      </c>
      <c r="AD796" t="s">
        <v>10839</v>
      </c>
      <c r="AF796" t="s">
        <v>10843</v>
      </c>
      <c r="AG796" t="s">
        <v>10859</v>
      </c>
      <c r="AH796" t="s">
        <v>10862</v>
      </c>
      <c r="AI796">
        <v>239</v>
      </c>
      <c r="AJ796" t="s">
        <v>10213</v>
      </c>
      <c r="AK796" t="s">
        <v>10838</v>
      </c>
      <c r="AL796">
        <v>3.6</v>
      </c>
      <c r="AM796" t="s">
        <v>10889</v>
      </c>
      <c r="AN796" t="s">
        <v>10960</v>
      </c>
      <c r="AO796" t="s">
        <v>11006</v>
      </c>
      <c r="AP796" t="s">
        <v>11092</v>
      </c>
      <c r="AQ796" t="s">
        <v>11101</v>
      </c>
      <c r="AR796" t="s">
        <v>11276</v>
      </c>
      <c r="AS796" t="s">
        <v>11595</v>
      </c>
      <c r="AT796" t="s">
        <v>11641</v>
      </c>
      <c r="AY796" t="s">
        <v>10829</v>
      </c>
      <c r="AZ796" t="s">
        <v>11681</v>
      </c>
      <c r="BA796" t="s">
        <v>11741</v>
      </c>
      <c r="BB796">
        <v>0</v>
      </c>
      <c r="BC796">
        <v>0</v>
      </c>
      <c r="BD796">
        <v>0</v>
      </c>
      <c r="BE796">
        <v>0</v>
      </c>
      <c r="BF796">
        <v>1</v>
      </c>
      <c r="BG796">
        <v>0</v>
      </c>
    </row>
    <row r="797" spans="1:59">
      <c r="A797" s="1">
        <f>HYPERLINK("https://lsnyc.legalserver.org/matter/dynamic-profile/view/1904562","19-1904562")</f>
        <v>0</v>
      </c>
      <c r="B797" t="s">
        <v>770</v>
      </c>
      <c r="C797" t="s">
        <v>5672</v>
      </c>
      <c r="D797" t="s">
        <v>9931</v>
      </c>
      <c r="E797" t="s">
        <v>10075</v>
      </c>
      <c r="F797">
        <v>11367</v>
      </c>
      <c r="G797" t="s">
        <v>10092</v>
      </c>
      <c r="H797" t="s">
        <v>10107</v>
      </c>
      <c r="I797" t="s">
        <v>10168</v>
      </c>
      <c r="J797" t="s">
        <v>10212</v>
      </c>
      <c r="K797" t="s">
        <v>10217</v>
      </c>
      <c r="M797" t="s">
        <v>10473</v>
      </c>
      <c r="N797" t="s">
        <v>10678</v>
      </c>
      <c r="P797" t="s">
        <v>10749</v>
      </c>
      <c r="Q797" t="s">
        <v>10769</v>
      </c>
      <c r="R797" t="s">
        <v>10822</v>
      </c>
      <c r="T797">
        <v>41860</v>
      </c>
      <c r="U797">
        <v>3488.33</v>
      </c>
      <c r="V797">
        <v>52</v>
      </c>
      <c r="W797">
        <v>1</v>
      </c>
      <c r="X797">
        <v>0</v>
      </c>
      <c r="Z797">
        <v>335.15</v>
      </c>
      <c r="AA797">
        <v>40.72567</v>
      </c>
      <c r="AB797">
        <v>-73.828288</v>
      </c>
      <c r="AD797" t="s">
        <v>10839</v>
      </c>
      <c r="AG797" t="s">
        <v>10858</v>
      </c>
      <c r="AH797" t="s">
        <v>10861</v>
      </c>
      <c r="AI797">
        <v>234</v>
      </c>
      <c r="AJ797" t="s">
        <v>10214</v>
      </c>
      <c r="AL797">
        <v>14.4</v>
      </c>
      <c r="AM797" t="s">
        <v>10890</v>
      </c>
      <c r="AN797" t="s">
        <v>10962</v>
      </c>
      <c r="AO797" t="s">
        <v>11009</v>
      </c>
      <c r="AP797" t="s">
        <v>11081</v>
      </c>
      <c r="AR797" t="s">
        <v>11257</v>
      </c>
      <c r="AS797" t="s">
        <v>11594</v>
      </c>
      <c r="AT797" t="s">
        <v>10822</v>
      </c>
      <c r="AX797" t="s">
        <v>10838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</row>
    <row r="798" spans="1:59">
      <c r="A798" s="1">
        <f>HYPERLINK("https://lsnyc.legalserver.org/matter/dynamic-profile/view/1904563","19-1904563")</f>
        <v>0</v>
      </c>
      <c r="B798" t="s">
        <v>771</v>
      </c>
      <c r="C798" t="s">
        <v>5673</v>
      </c>
      <c r="D798" t="s">
        <v>9926</v>
      </c>
      <c r="E798" t="s">
        <v>10075</v>
      </c>
      <c r="F798">
        <v>10451</v>
      </c>
      <c r="G798" t="s">
        <v>10091</v>
      </c>
      <c r="H798" t="s">
        <v>10107</v>
      </c>
      <c r="I798" t="s">
        <v>10168</v>
      </c>
      <c r="J798" t="s">
        <v>10214</v>
      </c>
      <c r="K798" t="s">
        <v>10217</v>
      </c>
      <c r="M798" t="s">
        <v>10286</v>
      </c>
      <c r="N798" t="s">
        <v>10671</v>
      </c>
      <c r="P798" t="s">
        <v>10749</v>
      </c>
      <c r="Q798" t="s">
        <v>10765</v>
      </c>
      <c r="R798" t="s">
        <v>10824</v>
      </c>
      <c r="T798">
        <v>9000</v>
      </c>
      <c r="U798">
        <v>750</v>
      </c>
      <c r="V798">
        <v>51</v>
      </c>
      <c r="W798">
        <v>1</v>
      </c>
      <c r="X798">
        <v>0</v>
      </c>
      <c r="Z798">
        <v>72.06</v>
      </c>
      <c r="AA798">
        <v>40.824062</v>
      </c>
      <c r="AB798">
        <v>-73.917755</v>
      </c>
      <c r="AD798" t="s">
        <v>10839</v>
      </c>
      <c r="AG798" t="s">
        <v>10858</v>
      </c>
      <c r="AH798" t="s">
        <v>10871</v>
      </c>
      <c r="AI798">
        <v>234</v>
      </c>
      <c r="AJ798" t="s">
        <v>10214</v>
      </c>
      <c r="AL798">
        <v>1</v>
      </c>
      <c r="AM798" t="s">
        <v>10884</v>
      </c>
      <c r="AN798" t="s">
        <v>10918</v>
      </c>
      <c r="AO798" t="s">
        <v>11001</v>
      </c>
      <c r="AP798" t="s">
        <v>11055</v>
      </c>
      <c r="AR798" t="s">
        <v>11276</v>
      </c>
      <c r="AS798" t="s">
        <v>9926</v>
      </c>
      <c r="AT798" t="s">
        <v>11641</v>
      </c>
      <c r="AX798" t="s">
        <v>10838</v>
      </c>
      <c r="BA798" t="s">
        <v>11741</v>
      </c>
      <c r="BB798">
        <v>0</v>
      </c>
      <c r="BC798">
        <v>0</v>
      </c>
      <c r="BD798">
        <v>0</v>
      </c>
      <c r="BE798">
        <v>0</v>
      </c>
      <c r="BF798">
        <v>1</v>
      </c>
      <c r="BG798">
        <v>0</v>
      </c>
    </row>
    <row r="799" spans="1:59">
      <c r="A799" s="1">
        <f>HYPERLINK("https://lsnyc.legalserver.org/matter/dynamic-profile/view/1904564","19-1904564")</f>
        <v>0</v>
      </c>
      <c r="B799" t="s">
        <v>772</v>
      </c>
      <c r="C799" t="s">
        <v>5674</v>
      </c>
      <c r="D799" t="s">
        <v>9928</v>
      </c>
      <c r="E799" t="s">
        <v>10075</v>
      </c>
      <c r="F799">
        <v>11212</v>
      </c>
      <c r="G799" t="s">
        <v>10093</v>
      </c>
      <c r="H799" t="s">
        <v>10107</v>
      </c>
      <c r="I799" t="s">
        <v>10169</v>
      </c>
      <c r="J799" t="s">
        <v>10213</v>
      </c>
      <c r="K799" t="s">
        <v>10218</v>
      </c>
      <c r="L799" t="s">
        <v>10154</v>
      </c>
      <c r="M799" t="s">
        <v>10298</v>
      </c>
      <c r="N799" t="s">
        <v>10657</v>
      </c>
      <c r="P799" t="s">
        <v>10756</v>
      </c>
      <c r="Q799" t="s">
        <v>10807</v>
      </c>
      <c r="R799" t="s">
        <v>10822</v>
      </c>
      <c r="T799">
        <v>8268</v>
      </c>
      <c r="U799">
        <v>689</v>
      </c>
      <c r="V799">
        <v>81</v>
      </c>
      <c r="W799">
        <v>1</v>
      </c>
      <c r="X799">
        <v>0</v>
      </c>
      <c r="Y799" t="s">
        <v>10829</v>
      </c>
      <c r="Z799">
        <v>66.2</v>
      </c>
      <c r="AA799">
        <v>40.665983</v>
      </c>
      <c r="AB799">
        <v>-73.91986199999999</v>
      </c>
      <c r="AD799" t="s">
        <v>10840</v>
      </c>
      <c r="AF799" t="s">
        <v>10843</v>
      </c>
      <c r="AG799" t="s">
        <v>10859</v>
      </c>
      <c r="AH799" t="s">
        <v>10862</v>
      </c>
      <c r="AI799">
        <v>239</v>
      </c>
      <c r="AJ799" t="s">
        <v>10213</v>
      </c>
      <c r="AK799" t="s">
        <v>10838</v>
      </c>
      <c r="AL799">
        <v>1</v>
      </c>
      <c r="AM799" t="s">
        <v>10888</v>
      </c>
      <c r="AN799" t="s">
        <v>10922</v>
      </c>
      <c r="AO799" t="s">
        <v>11005</v>
      </c>
      <c r="AP799" t="s">
        <v>11064</v>
      </c>
      <c r="AR799" t="s">
        <v>11258</v>
      </c>
      <c r="AS799" t="s">
        <v>11595</v>
      </c>
      <c r="AY799" t="s">
        <v>10829</v>
      </c>
      <c r="AZ799" t="s">
        <v>11708</v>
      </c>
      <c r="BA799" t="s">
        <v>11741</v>
      </c>
      <c r="BB799">
        <v>0</v>
      </c>
      <c r="BC799">
        <v>0</v>
      </c>
      <c r="BD799">
        <v>0</v>
      </c>
      <c r="BE799">
        <v>0</v>
      </c>
      <c r="BF799">
        <v>1</v>
      </c>
      <c r="BG799">
        <v>0</v>
      </c>
    </row>
    <row r="800" spans="1:59">
      <c r="A800" s="1">
        <f>HYPERLINK("https://lsnyc.legalserver.org/matter/dynamic-profile/view/1904566","19-1904566")</f>
        <v>0</v>
      </c>
      <c r="B800" t="s">
        <v>773</v>
      </c>
      <c r="C800" t="s">
        <v>5675</v>
      </c>
      <c r="D800" t="s">
        <v>9925</v>
      </c>
      <c r="E800" t="s">
        <v>10075</v>
      </c>
      <c r="F800">
        <v>10032</v>
      </c>
      <c r="G800" t="s">
        <v>10089</v>
      </c>
      <c r="H800" t="s">
        <v>10107</v>
      </c>
      <c r="I800" t="s">
        <v>10168</v>
      </c>
      <c r="J800" t="s">
        <v>10209</v>
      </c>
      <c r="K800" t="s">
        <v>10218</v>
      </c>
      <c r="L800" t="s">
        <v>10160</v>
      </c>
      <c r="M800" t="s">
        <v>10402</v>
      </c>
      <c r="N800" t="s">
        <v>10707</v>
      </c>
      <c r="P800" t="s">
        <v>10749</v>
      </c>
      <c r="Q800" t="s">
        <v>10764</v>
      </c>
      <c r="R800" t="s">
        <v>10824</v>
      </c>
      <c r="T800">
        <v>11232</v>
      </c>
      <c r="U800">
        <v>936</v>
      </c>
      <c r="V800">
        <v>57</v>
      </c>
      <c r="W800">
        <v>1</v>
      </c>
      <c r="X800">
        <v>0</v>
      </c>
      <c r="Y800" t="s">
        <v>10829</v>
      </c>
      <c r="Z800">
        <v>89.93000000000001</v>
      </c>
      <c r="AA800">
        <v>40.830772</v>
      </c>
      <c r="AB800">
        <v>-73.9417</v>
      </c>
      <c r="AD800" t="s">
        <v>10840</v>
      </c>
      <c r="AG800" t="s">
        <v>10858</v>
      </c>
      <c r="AH800" t="s">
        <v>10861</v>
      </c>
      <c r="AI800">
        <v>234</v>
      </c>
      <c r="AJ800" t="s">
        <v>10214</v>
      </c>
      <c r="AK800" t="s">
        <v>10838</v>
      </c>
      <c r="AL800">
        <v>3.75</v>
      </c>
      <c r="AM800" t="s">
        <v>10887</v>
      </c>
      <c r="AN800" t="s">
        <v>10943</v>
      </c>
      <c r="AO800" t="s">
        <v>11016</v>
      </c>
      <c r="AP800" t="s">
        <v>11073</v>
      </c>
      <c r="AR800" t="s">
        <v>11318</v>
      </c>
      <c r="AS800" t="s">
        <v>9925</v>
      </c>
      <c r="AT800" t="s">
        <v>11642</v>
      </c>
      <c r="AX800" t="s">
        <v>10838</v>
      </c>
      <c r="AY800" t="s">
        <v>10829</v>
      </c>
      <c r="AZ800" t="s">
        <v>11681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</row>
    <row r="801" spans="1:59">
      <c r="A801" s="1">
        <f>HYPERLINK("https://lsnyc.legalserver.org/matter/dynamic-profile/view/1904568","19-1904568")</f>
        <v>0</v>
      </c>
      <c r="B801" t="s">
        <v>774</v>
      </c>
      <c r="C801" t="s">
        <v>5676</v>
      </c>
      <c r="D801" t="s">
        <v>9928</v>
      </c>
      <c r="E801" t="s">
        <v>10075</v>
      </c>
      <c r="F801">
        <v>11225</v>
      </c>
      <c r="G801" t="s">
        <v>10093</v>
      </c>
      <c r="H801" t="s">
        <v>10107</v>
      </c>
      <c r="I801" t="s">
        <v>10168</v>
      </c>
      <c r="J801" t="s">
        <v>10213</v>
      </c>
      <c r="K801" t="s">
        <v>10217</v>
      </c>
      <c r="M801" t="s">
        <v>10315</v>
      </c>
      <c r="N801" t="s">
        <v>10686</v>
      </c>
      <c r="P801" t="s">
        <v>10750</v>
      </c>
      <c r="Q801" t="s">
        <v>10778</v>
      </c>
      <c r="R801" t="s">
        <v>10825</v>
      </c>
      <c r="T801">
        <v>35360</v>
      </c>
      <c r="U801">
        <v>2946.67</v>
      </c>
      <c r="V801">
        <v>27</v>
      </c>
      <c r="W801">
        <v>2</v>
      </c>
      <c r="X801">
        <v>3</v>
      </c>
      <c r="Z801">
        <v>117.2</v>
      </c>
      <c r="AA801">
        <v>40.662199</v>
      </c>
      <c r="AB801">
        <v>-73.949483</v>
      </c>
      <c r="AD801" t="s">
        <v>10840</v>
      </c>
      <c r="AG801" t="s">
        <v>10858</v>
      </c>
      <c r="AH801" t="s">
        <v>10861</v>
      </c>
      <c r="AI801">
        <v>234</v>
      </c>
      <c r="AJ801" t="s">
        <v>10214</v>
      </c>
      <c r="AL801">
        <v>4.85</v>
      </c>
      <c r="AM801" t="s">
        <v>10888</v>
      </c>
      <c r="AN801" t="s">
        <v>10912</v>
      </c>
      <c r="AO801" t="s">
        <v>11005</v>
      </c>
      <c r="AP801" t="s">
        <v>11050</v>
      </c>
      <c r="AR801" t="s">
        <v>11257</v>
      </c>
      <c r="AS801" t="s">
        <v>11595</v>
      </c>
      <c r="AT801" t="s">
        <v>11642</v>
      </c>
      <c r="AX801" t="s">
        <v>10838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</row>
    <row r="802" spans="1:59">
      <c r="A802" s="1">
        <f>HYPERLINK("https://lsnyc.legalserver.org/matter/dynamic-profile/view/1904570","19-1904570")</f>
        <v>0</v>
      </c>
      <c r="B802" t="s">
        <v>775</v>
      </c>
      <c r="C802" t="s">
        <v>5677</v>
      </c>
      <c r="D802" t="s">
        <v>9926</v>
      </c>
      <c r="E802" t="s">
        <v>10075</v>
      </c>
      <c r="F802">
        <v>10457</v>
      </c>
      <c r="G802" t="s">
        <v>10090</v>
      </c>
      <c r="H802" t="s">
        <v>10107</v>
      </c>
      <c r="I802" t="s">
        <v>10168</v>
      </c>
      <c r="J802" t="s">
        <v>10210</v>
      </c>
      <c r="K802" t="s">
        <v>10217</v>
      </c>
      <c r="M802" t="s">
        <v>10235</v>
      </c>
      <c r="N802" t="s">
        <v>10651</v>
      </c>
      <c r="P802" t="s">
        <v>10749</v>
      </c>
      <c r="Q802" t="s">
        <v>10765</v>
      </c>
      <c r="R802" t="s">
        <v>10824</v>
      </c>
      <c r="T802">
        <v>26377.56</v>
      </c>
      <c r="U802">
        <v>2198.13</v>
      </c>
      <c r="V802">
        <v>65</v>
      </c>
      <c r="W802">
        <v>2</v>
      </c>
      <c r="X802">
        <v>0</v>
      </c>
      <c r="Z802">
        <v>155.99</v>
      </c>
      <c r="AA802">
        <v>40.848219</v>
      </c>
      <c r="AB802">
        <v>-73.891407</v>
      </c>
      <c r="AD802" t="s">
        <v>10839</v>
      </c>
      <c r="AG802" t="s">
        <v>10858</v>
      </c>
      <c r="AH802" t="s">
        <v>10862</v>
      </c>
      <c r="AI802">
        <v>230</v>
      </c>
      <c r="AJ802" t="s">
        <v>10210</v>
      </c>
      <c r="AL802">
        <v>7</v>
      </c>
      <c r="AM802" t="s">
        <v>10884</v>
      </c>
      <c r="AN802" t="s">
        <v>10931</v>
      </c>
      <c r="AO802" t="s">
        <v>11000</v>
      </c>
      <c r="AP802" t="s">
        <v>11056</v>
      </c>
      <c r="AR802" t="s">
        <v>11295</v>
      </c>
      <c r="AS802" t="s">
        <v>9926</v>
      </c>
      <c r="AT802" t="s">
        <v>11641</v>
      </c>
      <c r="AV802" t="s">
        <v>11656</v>
      </c>
      <c r="AW802" t="s">
        <v>11645</v>
      </c>
      <c r="AX802" t="s">
        <v>10838</v>
      </c>
      <c r="BA802" t="s">
        <v>11738</v>
      </c>
      <c r="BB802">
        <v>0</v>
      </c>
      <c r="BC802">
        <v>0</v>
      </c>
      <c r="BD802">
        <v>0</v>
      </c>
      <c r="BE802">
        <v>0</v>
      </c>
      <c r="BF802">
        <v>5</v>
      </c>
      <c r="BG802">
        <v>0</v>
      </c>
    </row>
    <row r="803" spans="1:59">
      <c r="A803" s="1">
        <f>HYPERLINK("https://lsnyc.legalserver.org/matter/dynamic-profile/view/1904571","19-1904571")</f>
        <v>0</v>
      </c>
      <c r="B803" t="s">
        <v>776</v>
      </c>
      <c r="C803" t="s">
        <v>5678</v>
      </c>
      <c r="D803" t="s">
        <v>9933</v>
      </c>
      <c r="E803" t="s">
        <v>10075</v>
      </c>
      <c r="F803">
        <v>11420</v>
      </c>
      <c r="G803" t="s">
        <v>10092</v>
      </c>
      <c r="H803" t="s">
        <v>10107</v>
      </c>
      <c r="I803" t="s">
        <v>10169</v>
      </c>
      <c r="J803" t="s">
        <v>10212</v>
      </c>
      <c r="K803" t="s">
        <v>10217</v>
      </c>
      <c r="M803" t="s">
        <v>10422</v>
      </c>
      <c r="N803" t="s">
        <v>10673</v>
      </c>
      <c r="P803" t="s">
        <v>10753</v>
      </c>
      <c r="Q803" t="s">
        <v>10763</v>
      </c>
      <c r="R803" t="s">
        <v>10823</v>
      </c>
      <c r="T803">
        <v>14400</v>
      </c>
      <c r="U803">
        <v>1200</v>
      </c>
      <c r="V803">
        <v>19</v>
      </c>
      <c r="W803">
        <v>2</v>
      </c>
      <c r="X803">
        <v>0</v>
      </c>
      <c r="Z803">
        <v>85.16</v>
      </c>
      <c r="AA803">
        <v>40.67815</v>
      </c>
      <c r="AB803">
        <v>-73.81786099999999</v>
      </c>
      <c r="AD803" t="s">
        <v>10839</v>
      </c>
      <c r="AF803" t="s">
        <v>10842</v>
      </c>
      <c r="AG803" t="s">
        <v>10859</v>
      </c>
      <c r="AH803" t="s">
        <v>10864</v>
      </c>
      <c r="AI803">
        <v>237</v>
      </c>
      <c r="AJ803" t="s">
        <v>10212</v>
      </c>
      <c r="AL803">
        <v>18.92</v>
      </c>
      <c r="AM803" t="s">
        <v>10892</v>
      </c>
      <c r="AN803" t="s">
        <v>10930</v>
      </c>
      <c r="AO803" t="s">
        <v>11017</v>
      </c>
      <c r="AP803" t="s">
        <v>11070</v>
      </c>
      <c r="AQ803" t="s">
        <v>11119</v>
      </c>
      <c r="AR803" t="s">
        <v>11257</v>
      </c>
      <c r="AS803" t="s">
        <v>11594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</row>
    <row r="804" spans="1:59">
      <c r="A804" s="1">
        <f>HYPERLINK("https://lsnyc.legalserver.org/matter/dynamic-profile/view/1904572","19-1904572")</f>
        <v>0</v>
      </c>
      <c r="B804" t="s">
        <v>777</v>
      </c>
      <c r="C804" t="s">
        <v>5679</v>
      </c>
      <c r="D804" t="s">
        <v>9926</v>
      </c>
      <c r="E804" t="s">
        <v>10075</v>
      </c>
      <c r="F804">
        <v>10466</v>
      </c>
      <c r="G804" t="s">
        <v>10090</v>
      </c>
      <c r="H804" t="s">
        <v>10107</v>
      </c>
      <c r="I804" t="s">
        <v>10168</v>
      </c>
      <c r="J804" t="s">
        <v>10210</v>
      </c>
      <c r="K804" t="s">
        <v>10217</v>
      </c>
      <c r="M804" t="s">
        <v>10487</v>
      </c>
      <c r="N804" t="s">
        <v>10658</v>
      </c>
      <c r="P804" t="s">
        <v>10749</v>
      </c>
      <c r="Q804" t="s">
        <v>10769</v>
      </c>
      <c r="R804" t="s">
        <v>10827</v>
      </c>
      <c r="T804">
        <v>0</v>
      </c>
      <c r="U804">
        <v>0</v>
      </c>
      <c r="V804">
        <v>46</v>
      </c>
      <c r="W804">
        <v>2</v>
      </c>
      <c r="X804">
        <v>2</v>
      </c>
      <c r="Z804">
        <v>0</v>
      </c>
      <c r="AA804">
        <v>40.887221</v>
      </c>
      <c r="AB804">
        <v>-73.857539</v>
      </c>
      <c r="AD804" t="s">
        <v>10839</v>
      </c>
      <c r="AG804" t="s">
        <v>10858</v>
      </c>
      <c r="AH804" t="s">
        <v>10860</v>
      </c>
      <c r="AI804">
        <v>230</v>
      </c>
      <c r="AJ804" t="s">
        <v>10210</v>
      </c>
      <c r="AL804">
        <v>8</v>
      </c>
      <c r="AM804" t="s">
        <v>10893</v>
      </c>
      <c r="AN804" t="s">
        <v>10956</v>
      </c>
      <c r="AO804" t="s">
        <v>11010</v>
      </c>
      <c r="AP804" t="s">
        <v>11085</v>
      </c>
      <c r="AR804" t="s">
        <v>11279</v>
      </c>
      <c r="AS804" t="s">
        <v>9926</v>
      </c>
      <c r="AT804" t="s">
        <v>11641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</row>
    <row r="805" spans="1:59">
      <c r="A805" s="1">
        <f>HYPERLINK("https://lsnyc.legalserver.org/matter/dynamic-profile/view/1904573","19-1904573")</f>
        <v>0</v>
      </c>
      <c r="B805" t="s">
        <v>778</v>
      </c>
      <c r="C805" t="s">
        <v>5680</v>
      </c>
      <c r="D805" t="s">
        <v>9926</v>
      </c>
      <c r="E805" t="s">
        <v>10075</v>
      </c>
      <c r="F805">
        <v>10467</v>
      </c>
      <c r="G805" t="s">
        <v>10091</v>
      </c>
      <c r="H805" t="s">
        <v>10107</v>
      </c>
      <c r="I805" t="s">
        <v>10168</v>
      </c>
      <c r="J805" t="s">
        <v>10211</v>
      </c>
      <c r="K805" t="s">
        <v>10218</v>
      </c>
      <c r="L805" t="s">
        <v>10134</v>
      </c>
      <c r="M805" t="s">
        <v>10307</v>
      </c>
      <c r="N805" t="s">
        <v>10671</v>
      </c>
      <c r="P805" t="s">
        <v>10752</v>
      </c>
      <c r="Q805" t="s">
        <v>10762</v>
      </c>
      <c r="R805" t="s">
        <v>10824</v>
      </c>
      <c r="T805">
        <v>4914</v>
      </c>
      <c r="U805">
        <v>409.5</v>
      </c>
      <c r="V805">
        <v>50</v>
      </c>
      <c r="W805">
        <v>1</v>
      </c>
      <c r="X805">
        <v>0</v>
      </c>
      <c r="Y805" t="s">
        <v>10829</v>
      </c>
      <c r="Z805">
        <v>39.34</v>
      </c>
      <c r="AA805">
        <v>40.877987</v>
      </c>
      <c r="AB805">
        <v>-73.87251999999999</v>
      </c>
      <c r="AD805" t="s">
        <v>10839</v>
      </c>
      <c r="AG805" t="s">
        <v>10858</v>
      </c>
      <c r="AH805" t="s">
        <v>10861</v>
      </c>
      <c r="AI805">
        <v>234</v>
      </c>
      <c r="AJ805" t="s">
        <v>10214</v>
      </c>
      <c r="AK805" t="s">
        <v>10882</v>
      </c>
      <c r="AL805">
        <v>0.7</v>
      </c>
      <c r="AM805" t="s">
        <v>10887</v>
      </c>
      <c r="AN805" t="s">
        <v>10938</v>
      </c>
      <c r="AO805" t="s">
        <v>11010</v>
      </c>
      <c r="AP805" t="s">
        <v>11057</v>
      </c>
      <c r="AR805" t="s">
        <v>11255</v>
      </c>
      <c r="AS805" t="s">
        <v>9926</v>
      </c>
      <c r="AX805" t="s">
        <v>10838</v>
      </c>
      <c r="AY805" t="s">
        <v>10829</v>
      </c>
      <c r="AZ805" t="s">
        <v>11680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</row>
    <row r="806" spans="1:59">
      <c r="A806" s="1">
        <f>HYPERLINK("https://lsnyc.legalserver.org/matter/dynamic-profile/view/1904574","19-1904574")</f>
        <v>0</v>
      </c>
      <c r="B806" t="s">
        <v>779</v>
      </c>
      <c r="C806" t="s">
        <v>5681</v>
      </c>
      <c r="D806" t="s">
        <v>9928</v>
      </c>
      <c r="E806" t="s">
        <v>10075</v>
      </c>
      <c r="F806">
        <v>11216</v>
      </c>
      <c r="G806" t="s">
        <v>10093</v>
      </c>
      <c r="H806" t="s">
        <v>10107</v>
      </c>
      <c r="I806" t="s">
        <v>10168</v>
      </c>
      <c r="J806" t="s">
        <v>10213</v>
      </c>
      <c r="K806" t="s">
        <v>10217</v>
      </c>
      <c r="M806" t="s">
        <v>10425</v>
      </c>
      <c r="N806" t="s">
        <v>10667</v>
      </c>
      <c r="P806" t="s">
        <v>10749</v>
      </c>
      <c r="Q806" t="s">
        <v>10765</v>
      </c>
      <c r="R806" t="s">
        <v>10824</v>
      </c>
      <c r="T806">
        <v>0</v>
      </c>
      <c r="U806">
        <v>0</v>
      </c>
      <c r="V806">
        <v>31</v>
      </c>
      <c r="W806">
        <v>1</v>
      </c>
      <c r="X806">
        <v>0</v>
      </c>
      <c r="Z806">
        <v>0</v>
      </c>
      <c r="AA806">
        <v>40.686648</v>
      </c>
      <c r="AB806">
        <v>-73.944382</v>
      </c>
      <c r="AD806" t="s">
        <v>10840</v>
      </c>
      <c r="AG806" t="s">
        <v>10858</v>
      </c>
      <c r="AH806" t="s">
        <v>10862</v>
      </c>
      <c r="AI806">
        <v>239</v>
      </c>
      <c r="AJ806" t="s">
        <v>10213</v>
      </c>
      <c r="AL806">
        <v>6.4</v>
      </c>
      <c r="AM806" t="s">
        <v>10889</v>
      </c>
      <c r="AN806" t="s">
        <v>10914</v>
      </c>
      <c r="AO806" t="s">
        <v>11007</v>
      </c>
      <c r="AP806" t="s">
        <v>11052</v>
      </c>
      <c r="AQ806" t="s">
        <v>11101</v>
      </c>
      <c r="AR806" t="s">
        <v>11267</v>
      </c>
      <c r="AS806" t="s">
        <v>11595</v>
      </c>
      <c r="AT806" t="s">
        <v>11642</v>
      </c>
      <c r="BA806" t="s">
        <v>11738</v>
      </c>
      <c r="BB806">
        <v>0</v>
      </c>
      <c r="BC806">
        <v>0</v>
      </c>
      <c r="BD806">
        <v>0</v>
      </c>
      <c r="BE806">
        <v>0</v>
      </c>
      <c r="BF806">
        <v>5</v>
      </c>
      <c r="BG806">
        <v>0</v>
      </c>
    </row>
    <row r="807" spans="1:59">
      <c r="A807" s="1">
        <f>HYPERLINK("https://lsnyc.legalserver.org/matter/dynamic-profile/view/1904576","19-1904576")</f>
        <v>0</v>
      </c>
      <c r="B807" t="s">
        <v>780</v>
      </c>
      <c r="C807" t="s">
        <v>5682</v>
      </c>
      <c r="D807" t="s">
        <v>9928</v>
      </c>
      <c r="E807" t="s">
        <v>10075</v>
      </c>
      <c r="F807">
        <v>11237</v>
      </c>
      <c r="G807" t="s">
        <v>10093</v>
      </c>
      <c r="H807" t="s">
        <v>10107</v>
      </c>
      <c r="J807" t="s">
        <v>10213</v>
      </c>
      <c r="K807" t="s">
        <v>10217</v>
      </c>
      <c r="M807" t="s">
        <v>10253</v>
      </c>
      <c r="N807" t="s">
        <v>10649</v>
      </c>
      <c r="P807" t="s">
        <v>10753</v>
      </c>
      <c r="Q807" t="s">
        <v>10763</v>
      </c>
      <c r="R807" t="s">
        <v>10821</v>
      </c>
      <c r="T807">
        <v>0</v>
      </c>
      <c r="U807">
        <v>0</v>
      </c>
      <c r="V807">
        <v>54</v>
      </c>
      <c r="W807">
        <v>3</v>
      </c>
      <c r="X807">
        <v>0</v>
      </c>
      <c r="Z807">
        <v>0</v>
      </c>
      <c r="AA807">
        <v>40.701425</v>
      </c>
      <c r="AB807">
        <v>-73.922549</v>
      </c>
      <c r="AD807" t="s">
        <v>10840</v>
      </c>
      <c r="AF807" t="s">
        <v>10842</v>
      </c>
      <c r="AG807" t="s">
        <v>10859</v>
      </c>
      <c r="AH807" t="s">
        <v>10864</v>
      </c>
      <c r="AI807">
        <v>239</v>
      </c>
      <c r="AJ807" t="s">
        <v>10213</v>
      </c>
      <c r="AL807">
        <v>2.75</v>
      </c>
      <c r="AM807" t="s">
        <v>10886</v>
      </c>
      <c r="AN807" t="s">
        <v>10942</v>
      </c>
      <c r="AO807" t="s">
        <v>11011</v>
      </c>
      <c r="AP807" t="s">
        <v>11058</v>
      </c>
      <c r="AQ807" t="s">
        <v>11096</v>
      </c>
      <c r="AR807" t="s">
        <v>11267</v>
      </c>
      <c r="AS807" t="s">
        <v>11595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</row>
    <row r="808" spans="1:59">
      <c r="A808" s="1">
        <f>HYPERLINK("https://lsnyc.legalserver.org/matter/dynamic-profile/view/1904577","19-1904577")</f>
        <v>0</v>
      </c>
      <c r="B808" t="s">
        <v>775</v>
      </c>
      <c r="C808" t="s">
        <v>5677</v>
      </c>
      <c r="D808" t="s">
        <v>9926</v>
      </c>
      <c r="E808" t="s">
        <v>10075</v>
      </c>
      <c r="F808">
        <v>10457</v>
      </c>
      <c r="G808" t="s">
        <v>10090</v>
      </c>
      <c r="H808" t="s">
        <v>10107</v>
      </c>
      <c r="I808" t="s">
        <v>10168</v>
      </c>
      <c r="J808" t="s">
        <v>10210</v>
      </c>
      <c r="K808" t="s">
        <v>10218</v>
      </c>
      <c r="L808" t="s">
        <v>10100</v>
      </c>
      <c r="M808" t="s">
        <v>10334</v>
      </c>
      <c r="N808" t="s">
        <v>10677</v>
      </c>
      <c r="P808" t="s">
        <v>10751</v>
      </c>
      <c r="Q808" t="s">
        <v>10761</v>
      </c>
      <c r="R808" t="s">
        <v>10824</v>
      </c>
      <c r="T808">
        <v>26377.56</v>
      </c>
      <c r="U808">
        <v>2198.13</v>
      </c>
      <c r="V808">
        <v>65</v>
      </c>
      <c r="W808">
        <v>2</v>
      </c>
      <c r="X808">
        <v>0</v>
      </c>
      <c r="Y808" t="s">
        <v>10830</v>
      </c>
      <c r="Z808">
        <v>155.99</v>
      </c>
      <c r="AA808">
        <v>40.848219</v>
      </c>
      <c r="AB808">
        <v>-73.891407</v>
      </c>
      <c r="AD808" t="s">
        <v>10839</v>
      </c>
      <c r="AG808" t="s">
        <v>10858</v>
      </c>
      <c r="AH808" t="s">
        <v>10862</v>
      </c>
      <c r="AI808">
        <v>230</v>
      </c>
      <c r="AJ808" t="s">
        <v>10210</v>
      </c>
      <c r="AK808" t="s">
        <v>10838</v>
      </c>
      <c r="AL808">
        <v>8.25</v>
      </c>
      <c r="AR808" t="s">
        <v>11295</v>
      </c>
      <c r="AS808" t="s">
        <v>9926</v>
      </c>
      <c r="AY808" t="s">
        <v>10830</v>
      </c>
      <c r="AZ808" t="s">
        <v>11710</v>
      </c>
      <c r="BB808">
        <v>0</v>
      </c>
      <c r="BC808">
        <v>0</v>
      </c>
      <c r="BD808">
        <v>13569.45</v>
      </c>
      <c r="BE808">
        <v>0</v>
      </c>
      <c r="BF808">
        <v>0</v>
      </c>
      <c r="BG808">
        <v>0</v>
      </c>
    </row>
    <row r="809" spans="1:59">
      <c r="A809" s="1">
        <f>HYPERLINK("https://lsnyc.legalserver.org/matter/dynamic-profile/view/1904579","19-1904579")</f>
        <v>0</v>
      </c>
      <c r="B809" t="s">
        <v>781</v>
      </c>
      <c r="C809" t="s">
        <v>5091</v>
      </c>
      <c r="D809" t="s">
        <v>9928</v>
      </c>
      <c r="E809" t="s">
        <v>10075</v>
      </c>
      <c r="F809">
        <v>11216</v>
      </c>
      <c r="G809" t="s">
        <v>10093</v>
      </c>
      <c r="H809" t="s">
        <v>10107</v>
      </c>
      <c r="J809" t="s">
        <v>10213</v>
      </c>
      <c r="K809" t="s">
        <v>10217</v>
      </c>
      <c r="M809" t="s">
        <v>10494</v>
      </c>
      <c r="N809" t="s">
        <v>10667</v>
      </c>
      <c r="P809" t="s">
        <v>10749</v>
      </c>
      <c r="Q809" t="s">
        <v>10765</v>
      </c>
      <c r="R809" t="s">
        <v>10823</v>
      </c>
      <c r="T809">
        <v>20800</v>
      </c>
      <c r="U809">
        <v>1733.33</v>
      </c>
      <c r="V809">
        <v>37</v>
      </c>
      <c r="W809">
        <v>1</v>
      </c>
      <c r="X809">
        <v>2</v>
      </c>
      <c r="Z809">
        <v>97.52</v>
      </c>
      <c r="AA809">
        <v>40.677349</v>
      </c>
      <c r="AB809">
        <v>-73.953019</v>
      </c>
      <c r="AD809" t="s">
        <v>10839</v>
      </c>
      <c r="AG809" t="s">
        <v>10858</v>
      </c>
      <c r="AH809" t="s">
        <v>10862</v>
      </c>
      <c r="AI809">
        <v>239</v>
      </c>
      <c r="AJ809" t="s">
        <v>10213</v>
      </c>
      <c r="AL809">
        <v>6.5</v>
      </c>
      <c r="AM809" t="s">
        <v>10889</v>
      </c>
      <c r="AN809" t="s">
        <v>10923</v>
      </c>
      <c r="AO809" t="s">
        <v>11007</v>
      </c>
      <c r="AP809" t="s">
        <v>11061</v>
      </c>
      <c r="AR809" t="s">
        <v>11257</v>
      </c>
      <c r="AS809" t="s">
        <v>11595</v>
      </c>
      <c r="BA809" t="s">
        <v>11742</v>
      </c>
      <c r="BB809">
        <v>0</v>
      </c>
      <c r="BC809">
        <v>0</v>
      </c>
      <c r="BD809">
        <v>0</v>
      </c>
      <c r="BE809">
        <v>0</v>
      </c>
      <c r="BF809">
        <v>7</v>
      </c>
      <c r="BG809">
        <v>0</v>
      </c>
    </row>
    <row r="810" spans="1:59">
      <c r="A810" s="1">
        <f>HYPERLINK("https://lsnyc.legalserver.org/matter/dynamic-profile/view/1904580","19-1904580")</f>
        <v>0</v>
      </c>
      <c r="B810" t="s">
        <v>597</v>
      </c>
      <c r="C810" t="s">
        <v>5683</v>
      </c>
      <c r="D810" t="s">
        <v>9926</v>
      </c>
      <c r="E810" t="s">
        <v>10075</v>
      </c>
      <c r="F810">
        <v>10467</v>
      </c>
      <c r="G810" t="s">
        <v>10090</v>
      </c>
      <c r="H810" t="s">
        <v>10107</v>
      </c>
      <c r="I810" t="s">
        <v>10168</v>
      </c>
      <c r="J810" t="s">
        <v>10210</v>
      </c>
      <c r="K810" t="s">
        <v>10217</v>
      </c>
      <c r="M810" t="s">
        <v>10310</v>
      </c>
      <c r="N810" t="s">
        <v>10683</v>
      </c>
      <c r="P810" t="s">
        <v>10754</v>
      </c>
      <c r="Q810" t="s">
        <v>10775</v>
      </c>
      <c r="R810" t="s">
        <v>10824</v>
      </c>
      <c r="T810">
        <v>0</v>
      </c>
      <c r="U810">
        <v>0</v>
      </c>
      <c r="V810">
        <v>52</v>
      </c>
      <c r="W810">
        <v>1</v>
      </c>
      <c r="X810">
        <v>0</v>
      </c>
      <c r="Z810">
        <v>0</v>
      </c>
      <c r="AA810">
        <v>40.872079</v>
      </c>
      <c r="AB810">
        <v>-73.865025</v>
      </c>
      <c r="AD810" t="s">
        <v>10839</v>
      </c>
      <c r="AG810" t="s">
        <v>10858</v>
      </c>
      <c r="AH810" t="s">
        <v>10865</v>
      </c>
      <c r="AI810">
        <v>230</v>
      </c>
      <c r="AJ810" t="s">
        <v>10210</v>
      </c>
      <c r="AL810">
        <v>5.5</v>
      </c>
      <c r="AM810" t="s">
        <v>10893</v>
      </c>
      <c r="AN810" t="s">
        <v>10938</v>
      </c>
      <c r="AO810" t="s">
        <v>11010</v>
      </c>
      <c r="AP810" t="s">
        <v>11056</v>
      </c>
      <c r="AR810" t="s">
        <v>11267</v>
      </c>
      <c r="AS810" t="s">
        <v>9926</v>
      </c>
      <c r="AT810" t="s">
        <v>11641</v>
      </c>
      <c r="AV810" t="s">
        <v>11656</v>
      </c>
      <c r="AW810" t="s">
        <v>11645</v>
      </c>
      <c r="AX810" t="s">
        <v>10838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</row>
    <row r="811" spans="1:59">
      <c r="A811" s="1">
        <f>HYPERLINK("https://lsnyc.legalserver.org/matter/dynamic-profile/view/1904581","19-1904581")</f>
        <v>0</v>
      </c>
      <c r="B811" t="s">
        <v>782</v>
      </c>
      <c r="C811" t="s">
        <v>5684</v>
      </c>
      <c r="D811" t="s">
        <v>9928</v>
      </c>
      <c r="E811" t="s">
        <v>10075</v>
      </c>
      <c r="F811">
        <v>11226</v>
      </c>
      <c r="G811" t="s">
        <v>10093</v>
      </c>
      <c r="H811" t="s">
        <v>10107</v>
      </c>
      <c r="I811" t="s">
        <v>10168</v>
      </c>
      <c r="J811" t="s">
        <v>10213</v>
      </c>
      <c r="K811" t="s">
        <v>10217</v>
      </c>
      <c r="M811" t="s">
        <v>10384</v>
      </c>
      <c r="N811" t="s">
        <v>10671</v>
      </c>
      <c r="P811" t="s">
        <v>10749</v>
      </c>
      <c r="Q811" t="s">
        <v>10765</v>
      </c>
      <c r="R811" t="s">
        <v>10824</v>
      </c>
      <c r="T811">
        <v>3240</v>
      </c>
      <c r="U811">
        <v>270</v>
      </c>
      <c r="V811">
        <v>50</v>
      </c>
      <c r="W811">
        <v>2</v>
      </c>
      <c r="X811">
        <v>0</v>
      </c>
      <c r="Z811">
        <v>19.16</v>
      </c>
      <c r="AA811">
        <v>40.651974</v>
      </c>
      <c r="AB811">
        <v>-73.94907000000001</v>
      </c>
      <c r="AD811" t="s">
        <v>10839</v>
      </c>
      <c r="AF811" t="s">
        <v>10843</v>
      </c>
      <c r="AG811" t="s">
        <v>10859</v>
      </c>
      <c r="AH811" t="s">
        <v>10861</v>
      </c>
      <c r="AI811">
        <v>234</v>
      </c>
      <c r="AJ811" t="s">
        <v>10214</v>
      </c>
      <c r="AL811">
        <v>3.6</v>
      </c>
      <c r="AM811" t="s">
        <v>10888</v>
      </c>
      <c r="AN811" t="s">
        <v>10912</v>
      </c>
      <c r="AO811" t="s">
        <v>11005</v>
      </c>
      <c r="AP811" t="s">
        <v>11050</v>
      </c>
      <c r="AR811" t="s">
        <v>11293</v>
      </c>
      <c r="AS811" t="s">
        <v>11595</v>
      </c>
      <c r="AT811" t="s">
        <v>11641</v>
      </c>
      <c r="AX811" t="s">
        <v>10838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</row>
    <row r="812" spans="1:59">
      <c r="A812" s="1">
        <f>HYPERLINK("https://lsnyc.legalserver.org/matter/dynamic-profile/view/1904583","19-1904583")</f>
        <v>0</v>
      </c>
      <c r="B812" t="s">
        <v>783</v>
      </c>
      <c r="C812" t="s">
        <v>5685</v>
      </c>
      <c r="D812" t="s">
        <v>9928</v>
      </c>
      <c r="E812" t="s">
        <v>10075</v>
      </c>
      <c r="F812">
        <v>11225</v>
      </c>
      <c r="G812" t="s">
        <v>10093</v>
      </c>
      <c r="H812" t="s">
        <v>10107</v>
      </c>
      <c r="I812" t="s">
        <v>10168</v>
      </c>
      <c r="J812" t="s">
        <v>10213</v>
      </c>
      <c r="K812" t="s">
        <v>10217</v>
      </c>
      <c r="M812" t="s">
        <v>10304</v>
      </c>
      <c r="N812" t="s">
        <v>10671</v>
      </c>
      <c r="P812" t="s">
        <v>10749</v>
      </c>
      <c r="Q812" t="s">
        <v>10765</v>
      </c>
      <c r="R812" t="s">
        <v>10824</v>
      </c>
      <c r="T812">
        <v>0</v>
      </c>
      <c r="U812">
        <v>0</v>
      </c>
      <c r="V812">
        <v>59</v>
      </c>
      <c r="W812">
        <v>1</v>
      </c>
      <c r="X812">
        <v>0</v>
      </c>
      <c r="Z812">
        <v>0</v>
      </c>
      <c r="AA812">
        <v>40.66016</v>
      </c>
      <c r="AB812">
        <v>-73.95295</v>
      </c>
      <c r="AD812" t="s">
        <v>10839</v>
      </c>
      <c r="AG812" t="s">
        <v>10858</v>
      </c>
      <c r="AH812" t="s">
        <v>10861</v>
      </c>
      <c r="AI812">
        <v>234</v>
      </c>
      <c r="AJ812" t="s">
        <v>10214</v>
      </c>
      <c r="AL812">
        <v>1.4</v>
      </c>
      <c r="AM812" t="s">
        <v>10888</v>
      </c>
      <c r="AN812" t="s">
        <v>10912</v>
      </c>
      <c r="AO812" t="s">
        <v>11005</v>
      </c>
      <c r="AP812" t="s">
        <v>11050</v>
      </c>
      <c r="AR812" t="s">
        <v>11267</v>
      </c>
      <c r="AS812" t="s">
        <v>11595</v>
      </c>
      <c r="AT812" t="s">
        <v>11641</v>
      </c>
      <c r="AX812" t="s">
        <v>10838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</row>
    <row r="813" spans="1:59">
      <c r="A813" s="1">
        <f>HYPERLINK("https://lsnyc.legalserver.org/matter/dynamic-profile/view/1904584","19-1904584")</f>
        <v>0</v>
      </c>
      <c r="B813" t="s">
        <v>784</v>
      </c>
      <c r="C813" t="s">
        <v>5686</v>
      </c>
      <c r="D813" t="s">
        <v>9928</v>
      </c>
      <c r="E813" t="s">
        <v>10075</v>
      </c>
      <c r="F813">
        <v>11220</v>
      </c>
      <c r="G813" t="s">
        <v>10093</v>
      </c>
      <c r="H813" t="s">
        <v>10107</v>
      </c>
      <c r="I813" t="s">
        <v>10169</v>
      </c>
      <c r="J813" t="s">
        <v>10213</v>
      </c>
      <c r="K813" t="s">
        <v>10217</v>
      </c>
      <c r="M813" t="s">
        <v>10280</v>
      </c>
      <c r="N813" t="s">
        <v>10657</v>
      </c>
      <c r="P813" t="s">
        <v>10751</v>
      </c>
      <c r="Q813" t="s">
        <v>10768</v>
      </c>
      <c r="R813" t="s">
        <v>10821</v>
      </c>
      <c r="T813">
        <v>18696</v>
      </c>
      <c r="U813">
        <v>1558</v>
      </c>
      <c r="V813">
        <v>75</v>
      </c>
      <c r="W813">
        <v>3</v>
      </c>
      <c r="X813">
        <v>0</v>
      </c>
      <c r="Z813">
        <v>87.65000000000001</v>
      </c>
      <c r="AA813">
        <v>40.638996</v>
      </c>
      <c r="AB813">
        <v>-74.02086300000001</v>
      </c>
      <c r="AD813" t="s">
        <v>10839</v>
      </c>
      <c r="AG813" t="s">
        <v>10858</v>
      </c>
      <c r="AH813" t="s">
        <v>10876</v>
      </c>
      <c r="AI813">
        <v>239</v>
      </c>
      <c r="AJ813" t="s">
        <v>10213</v>
      </c>
      <c r="AL813">
        <v>1.3</v>
      </c>
      <c r="AM813" t="s">
        <v>10886</v>
      </c>
      <c r="AN813" t="s">
        <v>10921</v>
      </c>
      <c r="AO813" t="s">
        <v>11006</v>
      </c>
      <c r="AP813" t="s">
        <v>11069</v>
      </c>
      <c r="AR813" t="s">
        <v>11296</v>
      </c>
      <c r="AS813" t="s">
        <v>11595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</row>
    <row r="814" spans="1:59">
      <c r="A814" s="1">
        <f>HYPERLINK("https://lsnyc.legalserver.org/matter/dynamic-profile/view/1904585","19-1904585")</f>
        <v>0</v>
      </c>
      <c r="B814" t="s">
        <v>785</v>
      </c>
      <c r="C814" t="s">
        <v>5687</v>
      </c>
      <c r="D814" t="s">
        <v>9925</v>
      </c>
      <c r="E814" t="s">
        <v>10075</v>
      </c>
      <c r="F814">
        <v>10002</v>
      </c>
      <c r="G814" t="s">
        <v>10089</v>
      </c>
      <c r="H814" t="s">
        <v>10107</v>
      </c>
      <c r="I814" t="s">
        <v>10169</v>
      </c>
      <c r="J814" t="s">
        <v>10209</v>
      </c>
      <c r="K814" t="s">
        <v>10217</v>
      </c>
      <c r="M814" t="s">
        <v>10391</v>
      </c>
      <c r="N814" t="s">
        <v>10650</v>
      </c>
      <c r="P814" t="s">
        <v>10749</v>
      </c>
      <c r="Q814" t="s">
        <v>10765</v>
      </c>
      <c r="R814" t="s">
        <v>10821</v>
      </c>
      <c r="T814">
        <v>33428</v>
      </c>
      <c r="U814">
        <v>2785.67</v>
      </c>
      <c r="V814">
        <v>42</v>
      </c>
      <c r="W814">
        <v>1</v>
      </c>
      <c r="X814">
        <v>1</v>
      </c>
      <c r="Z814">
        <v>197.68</v>
      </c>
      <c r="AA814">
        <v>40.718323</v>
      </c>
      <c r="AB814">
        <v>-73.97999900000001</v>
      </c>
      <c r="AD814" t="s">
        <v>10839</v>
      </c>
      <c r="AF814" t="s">
        <v>10843</v>
      </c>
      <c r="AG814" t="s">
        <v>10859</v>
      </c>
      <c r="AH814" t="s">
        <v>10862</v>
      </c>
      <c r="AI814">
        <v>236</v>
      </c>
      <c r="AJ814" t="s">
        <v>10209</v>
      </c>
      <c r="AL814">
        <v>2.35</v>
      </c>
      <c r="AM814" t="s">
        <v>10886</v>
      </c>
      <c r="AN814" t="s">
        <v>10963</v>
      </c>
      <c r="AO814" t="s">
        <v>11004</v>
      </c>
      <c r="AP814" t="s">
        <v>11048</v>
      </c>
      <c r="AR814" t="s">
        <v>11287</v>
      </c>
      <c r="AS814" t="s">
        <v>9925</v>
      </c>
      <c r="BA814" t="s">
        <v>11740</v>
      </c>
      <c r="BB814">
        <v>0</v>
      </c>
      <c r="BC814">
        <v>0</v>
      </c>
      <c r="BD814">
        <v>0</v>
      </c>
      <c r="BE814">
        <v>0</v>
      </c>
      <c r="BF814">
        <v>2</v>
      </c>
      <c r="BG814">
        <v>0</v>
      </c>
    </row>
    <row r="815" spans="1:59">
      <c r="A815" s="1">
        <f>HYPERLINK("https://lsnyc.legalserver.org/matter/dynamic-profile/view/1904586","19-1904586")</f>
        <v>0</v>
      </c>
      <c r="B815" t="s">
        <v>305</v>
      </c>
      <c r="C815" t="s">
        <v>5688</v>
      </c>
      <c r="D815" t="s">
        <v>9949</v>
      </c>
      <c r="E815" t="s">
        <v>10075</v>
      </c>
      <c r="F815">
        <v>11413</v>
      </c>
      <c r="G815" t="s">
        <v>10092</v>
      </c>
      <c r="H815" t="s">
        <v>10107</v>
      </c>
      <c r="I815" t="s">
        <v>10168</v>
      </c>
      <c r="J815" t="s">
        <v>10212</v>
      </c>
      <c r="K815" t="s">
        <v>10217</v>
      </c>
      <c r="M815" t="s">
        <v>10416</v>
      </c>
      <c r="N815" t="s">
        <v>10678</v>
      </c>
      <c r="P815" t="s">
        <v>10749</v>
      </c>
      <c r="Q815" t="s">
        <v>10769</v>
      </c>
      <c r="R815" t="s">
        <v>10824</v>
      </c>
      <c r="T815">
        <v>81600</v>
      </c>
      <c r="U815">
        <v>6800</v>
      </c>
      <c r="V815">
        <v>39</v>
      </c>
      <c r="W815">
        <v>4</v>
      </c>
      <c r="X815">
        <v>1</v>
      </c>
      <c r="Z815">
        <v>270.47</v>
      </c>
      <c r="AA815">
        <v>40.658657</v>
      </c>
      <c r="AB815">
        <v>-73.753463</v>
      </c>
      <c r="AD815" t="s">
        <v>10839</v>
      </c>
      <c r="AG815" t="s">
        <v>10858</v>
      </c>
      <c r="AH815" t="s">
        <v>10860</v>
      </c>
      <c r="AI815">
        <v>237</v>
      </c>
      <c r="AJ815" t="s">
        <v>10212</v>
      </c>
      <c r="AK815" t="s">
        <v>10837</v>
      </c>
      <c r="AL815">
        <v>3.2</v>
      </c>
      <c r="AM815" t="s">
        <v>10892</v>
      </c>
      <c r="AN815" t="s">
        <v>10930</v>
      </c>
      <c r="AO815" t="s">
        <v>11017</v>
      </c>
      <c r="AP815" t="s">
        <v>11082</v>
      </c>
      <c r="AR815" t="s">
        <v>11356</v>
      </c>
      <c r="AS815" t="s">
        <v>11594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</row>
    <row r="816" spans="1:59">
      <c r="A816" s="1">
        <f>HYPERLINK("https://lsnyc.legalserver.org/matter/dynamic-profile/view/1904587","19-1904587")</f>
        <v>0</v>
      </c>
      <c r="B816" t="s">
        <v>786</v>
      </c>
      <c r="C816" t="s">
        <v>5689</v>
      </c>
      <c r="D816" t="s">
        <v>9926</v>
      </c>
      <c r="E816" t="s">
        <v>10075</v>
      </c>
      <c r="F816">
        <v>10454</v>
      </c>
      <c r="G816" t="s">
        <v>10090</v>
      </c>
      <c r="H816" t="s">
        <v>10107</v>
      </c>
      <c r="I816" t="s">
        <v>10168</v>
      </c>
      <c r="J816" t="s">
        <v>10210</v>
      </c>
      <c r="K816" t="s">
        <v>10217</v>
      </c>
      <c r="M816" t="s">
        <v>10495</v>
      </c>
      <c r="N816" t="s">
        <v>10658</v>
      </c>
      <c r="P816" t="s">
        <v>10749</v>
      </c>
      <c r="Q816" t="s">
        <v>10806</v>
      </c>
      <c r="R816" t="s">
        <v>10821</v>
      </c>
      <c r="T816">
        <v>16656</v>
      </c>
      <c r="U816">
        <v>1388</v>
      </c>
      <c r="V816">
        <v>83</v>
      </c>
      <c r="W816">
        <v>2</v>
      </c>
      <c r="X816">
        <v>0</v>
      </c>
      <c r="Z816">
        <v>98.5</v>
      </c>
      <c r="AA816">
        <v>40.80225</v>
      </c>
      <c r="AB816">
        <v>-73.914992</v>
      </c>
      <c r="AC816" t="s">
        <v>10837</v>
      </c>
      <c r="AD816" t="s">
        <v>10839</v>
      </c>
      <c r="AG816" t="s">
        <v>10858</v>
      </c>
      <c r="AH816" t="s">
        <v>10860</v>
      </c>
      <c r="AI816">
        <v>230</v>
      </c>
      <c r="AJ816" t="s">
        <v>10210</v>
      </c>
      <c r="AL816">
        <v>5.25</v>
      </c>
      <c r="AM816" t="s">
        <v>10884</v>
      </c>
      <c r="AN816" t="s">
        <v>10924</v>
      </c>
      <c r="AO816" t="s">
        <v>11013</v>
      </c>
      <c r="AP816" t="s">
        <v>11062</v>
      </c>
      <c r="AR816" t="s">
        <v>11349</v>
      </c>
      <c r="AS816" t="s">
        <v>9926</v>
      </c>
      <c r="AT816" t="s">
        <v>11641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</row>
    <row r="817" spans="1:59">
      <c r="A817" s="1">
        <f>HYPERLINK("https://lsnyc.legalserver.org/matter/dynamic-profile/view/1904588","19-1904588")</f>
        <v>0</v>
      </c>
      <c r="B817" t="s">
        <v>787</v>
      </c>
      <c r="C817" t="s">
        <v>5690</v>
      </c>
      <c r="D817" t="s">
        <v>9928</v>
      </c>
      <c r="E817" t="s">
        <v>10075</v>
      </c>
      <c r="F817">
        <v>11207</v>
      </c>
      <c r="G817" t="s">
        <v>10091</v>
      </c>
      <c r="H817" t="s">
        <v>10107</v>
      </c>
      <c r="I817" t="s">
        <v>10169</v>
      </c>
      <c r="J817" t="s">
        <v>10214</v>
      </c>
      <c r="K817" t="s">
        <v>10217</v>
      </c>
      <c r="M817" t="s">
        <v>10286</v>
      </c>
      <c r="N817" t="s">
        <v>10671</v>
      </c>
      <c r="P817" t="s">
        <v>10755</v>
      </c>
      <c r="Q817" t="s">
        <v>10772</v>
      </c>
      <c r="R817" t="s">
        <v>10823</v>
      </c>
      <c r="T817">
        <v>28080</v>
      </c>
      <c r="U817">
        <v>2340</v>
      </c>
      <c r="V817">
        <v>3</v>
      </c>
      <c r="W817">
        <v>2</v>
      </c>
      <c r="X817">
        <v>2</v>
      </c>
      <c r="Z817">
        <v>109.05</v>
      </c>
      <c r="AA817">
        <v>40.676578</v>
      </c>
      <c r="AB817">
        <v>-73.89241800000001</v>
      </c>
      <c r="AD817" t="s">
        <v>10840</v>
      </c>
      <c r="AG817" t="s">
        <v>10858</v>
      </c>
      <c r="AH817" t="s">
        <v>10861</v>
      </c>
      <c r="AI817">
        <v>234</v>
      </c>
      <c r="AJ817" t="s">
        <v>10214</v>
      </c>
      <c r="AL817">
        <v>0.6</v>
      </c>
      <c r="AM817" t="s">
        <v>10886</v>
      </c>
      <c r="AN817" t="s">
        <v>10922</v>
      </c>
      <c r="AO817" t="s">
        <v>11011</v>
      </c>
      <c r="AP817" t="s">
        <v>11058</v>
      </c>
      <c r="AR817" t="s">
        <v>11257</v>
      </c>
      <c r="AS817" t="s">
        <v>11595</v>
      </c>
      <c r="AT817" t="s">
        <v>11642</v>
      </c>
      <c r="AX817" t="s">
        <v>10838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</row>
    <row r="818" spans="1:59">
      <c r="A818" s="1">
        <f>HYPERLINK("https://lsnyc.legalserver.org/matter/dynamic-profile/view/1904591","19-1904591")</f>
        <v>0</v>
      </c>
      <c r="B818" t="s">
        <v>788</v>
      </c>
      <c r="C818" t="s">
        <v>5691</v>
      </c>
      <c r="D818" t="s">
        <v>9925</v>
      </c>
      <c r="E818" t="s">
        <v>10075</v>
      </c>
      <c r="F818">
        <v>10033</v>
      </c>
      <c r="G818" t="s">
        <v>10089</v>
      </c>
      <c r="H818" t="s">
        <v>10107</v>
      </c>
      <c r="I818" t="s">
        <v>10169</v>
      </c>
      <c r="J818" t="s">
        <v>10209</v>
      </c>
      <c r="K818" t="s">
        <v>10217</v>
      </c>
      <c r="M818" t="s">
        <v>10288</v>
      </c>
      <c r="N818" t="s">
        <v>10665</v>
      </c>
      <c r="P818" t="s">
        <v>10750</v>
      </c>
      <c r="Q818" t="s">
        <v>10799</v>
      </c>
      <c r="R818" t="s">
        <v>10821</v>
      </c>
      <c r="T818">
        <v>15080</v>
      </c>
      <c r="U818">
        <v>1256.67</v>
      </c>
      <c r="V818">
        <v>52</v>
      </c>
      <c r="W818">
        <v>2</v>
      </c>
      <c r="X818">
        <v>2</v>
      </c>
      <c r="Z818">
        <v>58.56</v>
      </c>
      <c r="AA818">
        <v>40.847977</v>
      </c>
      <c r="AB818">
        <v>-73.932102</v>
      </c>
      <c r="AD818" t="s">
        <v>10839</v>
      </c>
      <c r="AF818" t="s">
        <v>10843</v>
      </c>
      <c r="AG818" t="s">
        <v>10859</v>
      </c>
      <c r="AH818" t="s">
        <v>10876</v>
      </c>
      <c r="AI818">
        <v>236</v>
      </c>
      <c r="AJ818" t="s">
        <v>10209</v>
      </c>
      <c r="AL818">
        <v>38.65</v>
      </c>
      <c r="AM818" t="s">
        <v>10887</v>
      </c>
      <c r="AN818" t="s">
        <v>10937</v>
      </c>
      <c r="AO818" t="s">
        <v>11019</v>
      </c>
      <c r="AP818" t="s">
        <v>11074</v>
      </c>
      <c r="AQ818" t="s">
        <v>11169</v>
      </c>
      <c r="AR818" t="s">
        <v>11257</v>
      </c>
      <c r="AS818" t="s">
        <v>9925</v>
      </c>
      <c r="AT818" t="s">
        <v>11641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</row>
    <row r="819" spans="1:59">
      <c r="A819" s="1">
        <f>HYPERLINK("https://lsnyc.legalserver.org/matter/dynamic-profile/view/1904594","19-1904594")</f>
        <v>0</v>
      </c>
      <c r="B819" t="s">
        <v>789</v>
      </c>
      <c r="C819" t="s">
        <v>5692</v>
      </c>
      <c r="D819" t="s">
        <v>9980</v>
      </c>
      <c r="E819" t="s">
        <v>10078</v>
      </c>
      <c r="F819">
        <v>33033</v>
      </c>
      <c r="G819" t="s">
        <v>10093</v>
      </c>
      <c r="H819" t="s">
        <v>10107</v>
      </c>
      <c r="I819" t="s">
        <v>10169</v>
      </c>
      <c r="J819" t="s">
        <v>10213</v>
      </c>
      <c r="K819" t="s">
        <v>10217</v>
      </c>
      <c r="M819" t="s">
        <v>10330</v>
      </c>
      <c r="N819" t="s">
        <v>10710</v>
      </c>
      <c r="P819" t="s">
        <v>10750</v>
      </c>
      <c r="Q819" t="s">
        <v>10760</v>
      </c>
      <c r="R819" t="s">
        <v>10821</v>
      </c>
      <c r="T819">
        <v>17688</v>
      </c>
      <c r="U819">
        <v>1474</v>
      </c>
      <c r="V819">
        <v>66</v>
      </c>
      <c r="W819">
        <v>1</v>
      </c>
      <c r="X819">
        <v>0</v>
      </c>
      <c r="Z819">
        <v>141.62</v>
      </c>
      <c r="AA819">
        <v>25.490985</v>
      </c>
      <c r="AB819">
        <v>-80.42328500000001</v>
      </c>
      <c r="AD819" t="s">
        <v>10839</v>
      </c>
      <c r="AG819" t="s">
        <v>10858</v>
      </c>
      <c r="AH819" t="s">
        <v>10861</v>
      </c>
      <c r="AI819">
        <v>234</v>
      </c>
      <c r="AJ819" t="s">
        <v>10214</v>
      </c>
      <c r="AL819">
        <v>2</v>
      </c>
      <c r="AR819" t="s">
        <v>11370</v>
      </c>
      <c r="AS819" t="s">
        <v>11607</v>
      </c>
      <c r="AT819" t="s">
        <v>11641</v>
      </c>
      <c r="AX819" t="s">
        <v>10838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</row>
    <row r="820" spans="1:59">
      <c r="A820" s="1">
        <f>HYPERLINK("https://lsnyc.legalserver.org/matter/dynamic-profile/view/1904596","19-1904596")</f>
        <v>0</v>
      </c>
      <c r="B820" t="s">
        <v>790</v>
      </c>
      <c r="C820" t="s">
        <v>5693</v>
      </c>
      <c r="D820" t="s">
        <v>9928</v>
      </c>
      <c r="E820" t="s">
        <v>10075</v>
      </c>
      <c r="F820">
        <v>11220</v>
      </c>
      <c r="G820" t="s">
        <v>10093</v>
      </c>
      <c r="H820" t="s">
        <v>10107</v>
      </c>
      <c r="I820" t="s">
        <v>10169</v>
      </c>
      <c r="J820" t="s">
        <v>10213</v>
      </c>
      <c r="K820" t="s">
        <v>10218</v>
      </c>
      <c r="L820" t="s">
        <v>10108</v>
      </c>
      <c r="M820" t="s">
        <v>10496</v>
      </c>
      <c r="N820" t="s">
        <v>10657</v>
      </c>
      <c r="P820" t="s">
        <v>10749</v>
      </c>
      <c r="Q820" t="s">
        <v>10765</v>
      </c>
      <c r="R820" t="s">
        <v>10821</v>
      </c>
      <c r="T820">
        <v>24384</v>
      </c>
      <c r="U820">
        <v>2032</v>
      </c>
      <c r="V820">
        <v>77</v>
      </c>
      <c r="W820">
        <v>2</v>
      </c>
      <c r="X820">
        <v>0</v>
      </c>
      <c r="Y820" t="s">
        <v>10832</v>
      </c>
      <c r="Z820">
        <v>144.2</v>
      </c>
      <c r="AA820">
        <v>40.646144</v>
      </c>
      <c r="AB820">
        <v>-74.019237</v>
      </c>
      <c r="AD820" t="s">
        <v>10839</v>
      </c>
      <c r="AG820" t="s">
        <v>10858</v>
      </c>
      <c r="AH820" t="s">
        <v>10876</v>
      </c>
      <c r="AI820">
        <v>239</v>
      </c>
      <c r="AJ820" t="s">
        <v>10213</v>
      </c>
      <c r="AK820" t="s">
        <v>10838</v>
      </c>
      <c r="AL820">
        <v>6.3</v>
      </c>
      <c r="AM820" t="s">
        <v>10886</v>
      </c>
      <c r="AN820" t="s">
        <v>10921</v>
      </c>
      <c r="AO820" t="s">
        <v>11005</v>
      </c>
      <c r="AP820" t="s">
        <v>11069</v>
      </c>
      <c r="AR820" t="s">
        <v>11300</v>
      </c>
      <c r="AS820" t="s">
        <v>11595</v>
      </c>
      <c r="AY820" t="s">
        <v>10832</v>
      </c>
      <c r="AZ820" t="s">
        <v>11690</v>
      </c>
      <c r="BA820" t="s">
        <v>11737</v>
      </c>
      <c r="BB820">
        <v>0</v>
      </c>
      <c r="BC820">
        <v>0</v>
      </c>
      <c r="BD820">
        <v>0</v>
      </c>
      <c r="BE820">
        <v>0</v>
      </c>
      <c r="BF820">
        <v>3</v>
      </c>
      <c r="BG820">
        <v>0</v>
      </c>
    </row>
    <row r="821" spans="1:59">
      <c r="A821" s="1">
        <f>HYPERLINK("https://lsnyc.legalserver.org/matter/dynamic-profile/view/1904597","19-1904597")</f>
        <v>0</v>
      </c>
      <c r="B821" t="s">
        <v>791</v>
      </c>
      <c r="C821" t="s">
        <v>5694</v>
      </c>
      <c r="D821" t="s">
        <v>9926</v>
      </c>
      <c r="E821" t="s">
        <v>10075</v>
      </c>
      <c r="F821">
        <v>10453</v>
      </c>
      <c r="G821" t="s">
        <v>10090</v>
      </c>
      <c r="H821" t="s">
        <v>10107</v>
      </c>
      <c r="I821" t="s">
        <v>10168</v>
      </c>
      <c r="J821" t="s">
        <v>10210</v>
      </c>
      <c r="K821" t="s">
        <v>10218</v>
      </c>
      <c r="L821" t="s">
        <v>10109</v>
      </c>
      <c r="M821" t="s">
        <v>10336</v>
      </c>
      <c r="N821" t="s">
        <v>10677</v>
      </c>
      <c r="P821" t="s">
        <v>10754</v>
      </c>
      <c r="Q821" t="s">
        <v>10782</v>
      </c>
      <c r="R821" t="s">
        <v>10824</v>
      </c>
      <c r="T821">
        <v>2304</v>
      </c>
      <c r="U821">
        <v>192</v>
      </c>
      <c r="V821">
        <v>60</v>
      </c>
      <c r="W821">
        <v>1</v>
      </c>
      <c r="X821">
        <v>0</v>
      </c>
      <c r="Y821" t="s">
        <v>10829</v>
      </c>
      <c r="Z821">
        <v>18.45</v>
      </c>
      <c r="AA821">
        <v>40.850576</v>
      </c>
      <c r="AB821">
        <v>-73.91351400000001</v>
      </c>
      <c r="AD821" t="s">
        <v>10839</v>
      </c>
      <c r="AG821" t="s">
        <v>10858</v>
      </c>
      <c r="AH821" t="s">
        <v>10861</v>
      </c>
      <c r="AI821">
        <v>234</v>
      </c>
      <c r="AJ821" t="s">
        <v>10214</v>
      </c>
      <c r="AK821" t="s">
        <v>10882</v>
      </c>
      <c r="AL821">
        <v>1.4</v>
      </c>
      <c r="AM821" t="s">
        <v>10884</v>
      </c>
      <c r="AN821" t="s">
        <v>10931</v>
      </c>
      <c r="AO821" t="s">
        <v>11013</v>
      </c>
      <c r="AP821" t="s">
        <v>11045</v>
      </c>
      <c r="AQ821" t="s">
        <v>11170</v>
      </c>
      <c r="AR821" t="s">
        <v>11279</v>
      </c>
      <c r="AS821" t="s">
        <v>9926</v>
      </c>
      <c r="AT821" t="s">
        <v>11641</v>
      </c>
      <c r="AX821" t="s">
        <v>10838</v>
      </c>
      <c r="AY821" t="s">
        <v>10829</v>
      </c>
      <c r="AZ821" t="s">
        <v>11683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</row>
    <row r="822" spans="1:59">
      <c r="A822" s="1">
        <f>HYPERLINK("https://lsnyc.legalserver.org/matter/dynamic-profile/view/1904599","19-1904599")</f>
        <v>0</v>
      </c>
      <c r="B822" t="s">
        <v>792</v>
      </c>
      <c r="C822" t="s">
        <v>5695</v>
      </c>
      <c r="D822" t="s">
        <v>9925</v>
      </c>
      <c r="E822" t="s">
        <v>10075</v>
      </c>
      <c r="F822">
        <v>10034</v>
      </c>
      <c r="G822" t="s">
        <v>10089</v>
      </c>
      <c r="H822" t="s">
        <v>10107</v>
      </c>
      <c r="I822" t="s">
        <v>10168</v>
      </c>
      <c r="J822" t="s">
        <v>10209</v>
      </c>
      <c r="K822" t="s">
        <v>10217</v>
      </c>
      <c r="M822" t="s">
        <v>10460</v>
      </c>
      <c r="N822" t="s">
        <v>10650</v>
      </c>
      <c r="P822" t="s">
        <v>10749</v>
      </c>
      <c r="Q822" t="s">
        <v>10765</v>
      </c>
      <c r="R822" t="s">
        <v>10821</v>
      </c>
      <c r="T822">
        <v>18744</v>
      </c>
      <c r="U822">
        <v>1562</v>
      </c>
      <c r="V822">
        <v>65</v>
      </c>
      <c r="W822">
        <v>2</v>
      </c>
      <c r="X822">
        <v>0</v>
      </c>
      <c r="Z822">
        <v>110.85</v>
      </c>
      <c r="AA822">
        <v>40.864037</v>
      </c>
      <c r="AB822">
        <v>-73.923973</v>
      </c>
      <c r="AD822" t="s">
        <v>10840</v>
      </c>
      <c r="AG822" t="s">
        <v>10858</v>
      </c>
      <c r="AH822" t="s">
        <v>10862</v>
      </c>
      <c r="AI822">
        <v>236</v>
      </c>
      <c r="AJ822" t="s">
        <v>10209</v>
      </c>
      <c r="AL822">
        <v>0.6</v>
      </c>
      <c r="AM822" t="s">
        <v>10887</v>
      </c>
      <c r="AN822" t="s">
        <v>10937</v>
      </c>
      <c r="AO822" t="s">
        <v>11019</v>
      </c>
      <c r="AP822" t="s">
        <v>11074</v>
      </c>
      <c r="AR822" t="s">
        <v>11263</v>
      </c>
      <c r="AS822" t="s">
        <v>9925</v>
      </c>
      <c r="AT822" t="s">
        <v>11642</v>
      </c>
      <c r="AX822" t="s">
        <v>10838</v>
      </c>
      <c r="BA822" t="s">
        <v>11742</v>
      </c>
      <c r="BB822">
        <v>0</v>
      </c>
      <c r="BC822">
        <v>0</v>
      </c>
      <c r="BD822">
        <v>0</v>
      </c>
      <c r="BE822">
        <v>0</v>
      </c>
      <c r="BF822">
        <v>7</v>
      </c>
      <c r="BG822">
        <v>0</v>
      </c>
    </row>
    <row r="823" spans="1:59">
      <c r="A823" s="1">
        <f>HYPERLINK("https://lsnyc.legalserver.org/matter/dynamic-profile/view/1904600","19-1904600")</f>
        <v>0</v>
      </c>
      <c r="B823" t="s">
        <v>793</v>
      </c>
      <c r="C823" t="s">
        <v>5696</v>
      </c>
      <c r="D823" t="s">
        <v>9928</v>
      </c>
      <c r="E823" t="s">
        <v>10075</v>
      </c>
      <c r="F823">
        <v>11219</v>
      </c>
      <c r="G823" t="s">
        <v>10089</v>
      </c>
      <c r="H823" t="s">
        <v>10107</v>
      </c>
      <c r="I823" t="s">
        <v>10168</v>
      </c>
      <c r="J823" t="s">
        <v>10209</v>
      </c>
      <c r="K823" t="s">
        <v>10217</v>
      </c>
      <c r="M823" t="s">
        <v>10288</v>
      </c>
      <c r="N823" t="s">
        <v>10688</v>
      </c>
      <c r="P823" t="s">
        <v>10751</v>
      </c>
      <c r="Q823" t="s">
        <v>10780</v>
      </c>
      <c r="R823" t="s">
        <v>10827</v>
      </c>
      <c r="T823">
        <v>0</v>
      </c>
      <c r="U823">
        <v>0</v>
      </c>
      <c r="V823">
        <v>28</v>
      </c>
      <c r="W823">
        <v>1</v>
      </c>
      <c r="X823">
        <v>0</v>
      </c>
      <c r="Z823">
        <v>0</v>
      </c>
      <c r="AA823">
        <v>40.632407</v>
      </c>
      <c r="AB823">
        <v>-74.00497</v>
      </c>
      <c r="AD823" t="s">
        <v>10839</v>
      </c>
      <c r="AG823" t="s">
        <v>10858</v>
      </c>
      <c r="AH823" t="s">
        <v>10866</v>
      </c>
      <c r="AI823">
        <v>236</v>
      </c>
      <c r="AJ823" t="s">
        <v>10209</v>
      </c>
      <c r="AL823">
        <v>1.6</v>
      </c>
      <c r="AM823" t="s">
        <v>10886</v>
      </c>
      <c r="AN823" t="s">
        <v>10947</v>
      </c>
      <c r="AO823" t="s">
        <v>11015</v>
      </c>
      <c r="AP823" t="s">
        <v>11069</v>
      </c>
      <c r="AQ823" t="s">
        <v>11118</v>
      </c>
      <c r="AR823" t="s">
        <v>11267</v>
      </c>
      <c r="AS823" t="s">
        <v>11595</v>
      </c>
      <c r="AT823" t="s">
        <v>11641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</row>
    <row r="824" spans="1:59">
      <c r="A824" s="1">
        <f>HYPERLINK("https://lsnyc.legalserver.org/matter/dynamic-profile/view/1904601","19-1904601")</f>
        <v>0</v>
      </c>
      <c r="B824" t="s">
        <v>794</v>
      </c>
      <c r="C824" t="s">
        <v>5695</v>
      </c>
      <c r="D824" t="s">
        <v>9925</v>
      </c>
      <c r="E824" t="s">
        <v>10075</v>
      </c>
      <c r="F824">
        <v>10034</v>
      </c>
      <c r="G824" t="s">
        <v>10089</v>
      </c>
      <c r="H824" t="s">
        <v>10107</v>
      </c>
      <c r="I824" t="s">
        <v>10169</v>
      </c>
      <c r="J824" t="s">
        <v>10209</v>
      </c>
      <c r="K824" t="s">
        <v>10217</v>
      </c>
      <c r="M824" t="s">
        <v>10460</v>
      </c>
      <c r="N824" t="s">
        <v>10650</v>
      </c>
      <c r="P824" t="s">
        <v>10749</v>
      </c>
      <c r="Q824" t="s">
        <v>10765</v>
      </c>
      <c r="R824" t="s">
        <v>10821</v>
      </c>
      <c r="T824">
        <v>44000</v>
      </c>
      <c r="U824">
        <v>3666.67</v>
      </c>
      <c r="V824">
        <v>64</v>
      </c>
      <c r="W824">
        <v>1</v>
      </c>
      <c r="X824">
        <v>0</v>
      </c>
      <c r="Z824">
        <v>352.28</v>
      </c>
      <c r="AA824">
        <v>40.864037</v>
      </c>
      <c r="AB824">
        <v>-73.923973</v>
      </c>
      <c r="AD824" t="s">
        <v>10839</v>
      </c>
      <c r="AG824" t="s">
        <v>10858</v>
      </c>
      <c r="AH824" t="s">
        <v>10862</v>
      </c>
      <c r="AI824">
        <v>236</v>
      </c>
      <c r="AJ824" t="s">
        <v>10209</v>
      </c>
      <c r="AL824">
        <v>0.5</v>
      </c>
      <c r="AM824" t="s">
        <v>10887</v>
      </c>
      <c r="AN824" t="s">
        <v>10937</v>
      </c>
      <c r="AO824" t="s">
        <v>11019</v>
      </c>
      <c r="AP824" t="s">
        <v>11074</v>
      </c>
      <c r="AR824" t="s">
        <v>11257</v>
      </c>
      <c r="AS824" t="s">
        <v>9925</v>
      </c>
      <c r="AT824" t="s">
        <v>11641</v>
      </c>
      <c r="AX824" t="s">
        <v>10838</v>
      </c>
      <c r="BA824" t="s">
        <v>11742</v>
      </c>
      <c r="BB824">
        <v>0</v>
      </c>
      <c r="BC824">
        <v>0</v>
      </c>
      <c r="BD824">
        <v>0</v>
      </c>
      <c r="BE824">
        <v>0</v>
      </c>
      <c r="BF824">
        <v>7</v>
      </c>
      <c r="BG824">
        <v>0</v>
      </c>
    </row>
    <row r="825" spans="1:59">
      <c r="A825" s="1">
        <f>HYPERLINK("https://lsnyc.legalserver.org/matter/dynamic-profile/view/1904602","19-1904602")</f>
        <v>0</v>
      </c>
      <c r="B825" t="s">
        <v>795</v>
      </c>
      <c r="C825" t="s">
        <v>5697</v>
      </c>
      <c r="D825" t="s">
        <v>9930</v>
      </c>
      <c r="E825" t="s">
        <v>10075</v>
      </c>
      <c r="F825">
        <v>11373</v>
      </c>
      <c r="G825" t="s">
        <v>10092</v>
      </c>
      <c r="H825" t="s">
        <v>10107</v>
      </c>
      <c r="I825" t="s">
        <v>10169</v>
      </c>
      <c r="J825" t="s">
        <v>10212</v>
      </c>
      <c r="K825" t="s">
        <v>10218</v>
      </c>
      <c r="L825" t="s">
        <v>10104</v>
      </c>
      <c r="M825" t="s">
        <v>10497</v>
      </c>
      <c r="N825" t="s">
        <v>10669</v>
      </c>
      <c r="O825" t="s">
        <v>10669</v>
      </c>
      <c r="P825" t="s">
        <v>10754</v>
      </c>
      <c r="Q825" t="s">
        <v>10770</v>
      </c>
      <c r="R825" t="s">
        <v>10821</v>
      </c>
      <c r="T825">
        <v>20800</v>
      </c>
      <c r="U825">
        <v>1733.33</v>
      </c>
      <c r="V825">
        <v>48</v>
      </c>
      <c r="W825">
        <v>2</v>
      </c>
      <c r="X825">
        <v>1</v>
      </c>
      <c r="Y825" t="s">
        <v>10829</v>
      </c>
      <c r="Z825">
        <v>97.52</v>
      </c>
      <c r="AA825">
        <v>40.743742</v>
      </c>
      <c r="AB825">
        <v>-73.87678</v>
      </c>
      <c r="AD825" t="s">
        <v>10839</v>
      </c>
      <c r="AF825" t="s">
        <v>10843</v>
      </c>
      <c r="AG825" t="s">
        <v>10859</v>
      </c>
      <c r="AH825" t="s">
        <v>10865</v>
      </c>
      <c r="AI825">
        <v>237</v>
      </c>
      <c r="AJ825" t="s">
        <v>10212</v>
      </c>
      <c r="AK825" t="s">
        <v>10837</v>
      </c>
      <c r="AL825">
        <v>1.75</v>
      </c>
      <c r="AM825" t="s">
        <v>10890</v>
      </c>
      <c r="AN825" t="s">
        <v>10949</v>
      </c>
      <c r="AO825" t="s">
        <v>11014</v>
      </c>
      <c r="AP825" t="s">
        <v>11053</v>
      </c>
      <c r="AR825" t="s">
        <v>11257</v>
      </c>
      <c r="AS825" t="s">
        <v>11594</v>
      </c>
      <c r="AY825" t="s">
        <v>10829</v>
      </c>
      <c r="AZ825" t="s">
        <v>11683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</row>
    <row r="826" spans="1:59">
      <c r="A826" s="1">
        <f>HYPERLINK("https://lsnyc.legalserver.org/matter/dynamic-profile/view/1904603","19-1904603")</f>
        <v>0</v>
      </c>
      <c r="C826" t="s">
        <v>5698</v>
      </c>
      <c r="D826" t="s">
        <v>9928</v>
      </c>
      <c r="E826" t="s">
        <v>10075</v>
      </c>
      <c r="F826">
        <v>11233</v>
      </c>
      <c r="G826" t="s">
        <v>10093</v>
      </c>
      <c r="H826" t="s">
        <v>10107</v>
      </c>
      <c r="J826" t="s">
        <v>10213</v>
      </c>
      <c r="K826" t="s">
        <v>10217</v>
      </c>
      <c r="M826" t="s">
        <v>10382</v>
      </c>
      <c r="N826" t="s">
        <v>10682</v>
      </c>
      <c r="T826">
        <v>0</v>
      </c>
      <c r="U826">
        <v>0</v>
      </c>
      <c r="V826">
        <v>0</v>
      </c>
      <c r="W826">
        <v>0</v>
      </c>
      <c r="X826">
        <v>0</v>
      </c>
      <c r="Z826">
        <v>0</v>
      </c>
      <c r="AA826">
        <v>40.674349</v>
      </c>
      <c r="AB826">
        <v>-73.914267</v>
      </c>
      <c r="AH826" t="s">
        <v>10879</v>
      </c>
      <c r="AI826">
        <v>239</v>
      </c>
      <c r="AJ826" t="s">
        <v>10213</v>
      </c>
      <c r="AL826">
        <v>2.4</v>
      </c>
      <c r="AM826" t="s">
        <v>10889</v>
      </c>
      <c r="AN826" t="s">
        <v>10922</v>
      </c>
      <c r="AO826" t="s">
        <v>11007</v>
      </c>
      <c r="AP826" t="s">
        <v>11064</v>
      </c>
      <c r="AS826" t="s">
        <v>11595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</row>
    <row r="827" spans="1:59">
      <c r="A827" s="1">
        <f>HYPERLINK("https://lsnyc.legalserver.org/matter/dynamic-profile/view/1904604","19-1904604")</f>
        <v>0</v>
      </c>
      <c r="B827" t="s">
        <v>689</v>
      </c>
      <c r="C827" t="s">
        <v>5699</v>
      </c>
      <c r="D827" t="s">
        <v>9926</v>
      </c>
      <c r="E827" t="s">
        <v>10075</v>
      </c>
      <c r="F827">
        <v>10460</v>
      </c>
      <c r="G827" t="s">
        <v>10090</v>
      </c>
      <c r="H827" t="s">
        <v>10107</v>
      </c>
      <c r="I827" t="s">
        <v>10168</v>
      </c>
      <c r="J827" t="s">
        <v>10210</v>
      </c>
      <c r="K827" t="s">
        <v>10217</v>
      </c>
      <c r="M827" t="s">
        <v>10477</v>
      </c>
      <c r="N827" t="s">
        <v>10650</v>
      </c>
      <c r="P827" t="s">
        <v>10749</v>
      </c>
      <c r="Q827" t="s">
        <v>10765</v>
      </c>
      <c r="R827" t="s">
        <v>10824</v>
      </c>
      <c r="T827">
        <v>12312</v>
      </c>
      <c r="U827">
        <v>1026</v>
      </c>
      <c r="V827">
        <v>49</v>
      </c>
      <c r="W827">
        <v>2</v>
      </c>
      <c r="X827">
        <v>1</v>
      </c>
      <c r="Z827">
        <v>57.72</v>
      </c>
      <c r="AA827">
        <v>40.836997</v>
      </c>
      <c r="AB827">
        <v>-73.866946</v>
      </c>
      <c r="AD827" t="s">
        <v>10839</v>
      </c>
      <c r="AG827" t="s">
        <v>10858</v>
      </c>
      <c r="AH827" t="s">
        <v>10862</v>
      </c>
      <c r="AI827">
        <v>230</v>
      </c>
      <c r="AJ827" t="s">
        <v>10210</v>
      </c>
      <c r="AL827">
        <v>0</v>
      </c>
      <c r="AM827" t="s">
        <v>10884</v>
      </c>
      <c r="AN827" t="s">
        <v>10908</v>
      </c>
      <c r="AO827" t="s">
        <v>11001</v>
      </c>
      <c r="AP827" t="s">
        <v>11046</v>
      </c>
      <c r="AR827" t="s">
        <v>11298</v>
      </c>
      <c r="AS827" t="s">
        <v>9926</v>
      </c>
      <c r="AT827" t="s">
        <v>11641</v>
      </c>
      <c r="BA827" t="s">
        <v>11738</v>
      </c>
      <c r="BB827">
        <v>0</v>
      </c>
      <c r="BC827">
        <v>0</v>
      </c>
      <c r="BD827">
        <v>0</v>
      </c>
      <c r="BE827">
        <v>0</v>
      </c>
      <c r="BF827">
        <v>5</v>
      </c>
      <c r="BG827">
        <v>0</v>
      </c>
    </row>
    <row r="828" spans="1:59">
      <c r="A828" s="1">
        <f>HYPERLINK("https://lsnyc.legalserver.org/matter/dynamic-profile/view/1904605","19-1904605")</f>
        <v>0</v>
      </c>
      <c r="B828" t="s">
        <v>796</v>
      </c>
      <c r="C828" t="s">
        <v>5700</v>
      </c>
      <c r="D828" t="s">
        <v>9928</v>
      </c>
      <c r="E828" t="s">
        <v>10075</v>
      </c>
      <c r="F828">
        <v>11226</v>
      </c>
      <c r="G828" t="s">
        <v>10093</v>
      </c>
      <c r="H828" t="s">
        <v>10107</v>
      </c>
      <c r="I828" t="s">
        <v>10168</v>
      </c>
      <c r="J828" t="s">
        <v>10213</v>
      </c>
      <c r="K828" t="s">
        <v>10218</v>
      </c>
      <c r="L828" t="s">
        <v>10152</v>
      </c>
      <c r="M828" t="s">
        <v>10496</v>
      </c>
      <c r="N828" t="s">
        <v>10671</v>
      </c>
      <c r="P828" t="s">
        <v>10751</v>
      </c>
      <c r="Q828" t="s">
        <v>10761</v>
      </c>
      <c r="R828" t="s">
        <v>10824</v>
      </c>
      <c r="T828">
        <v>1944</v>
      </c>
      <c r="U828">
        <v>162</v>
      </c>
      <c r="V828">
        <v>58</v>
      </c>
      <c r="W828">
        <v>2</v>
      </c>
      <c r="X828">
        <v>0</v>
      </c>
      <c r="Y828" t="s">
        <v>10829</v>
      </c>
      <c r="Z828">
        <v>11.5</v>
      </c>
      <c r="AA828">
        <v>40.655774</v>
      </c>
      <c r="AB828">
        <v>-73.96036700000001</v>
      </c>
      <c r="AD828" t="s">
        <v>10839</v>
      </c>
      <c r="AF828" t="s">
        <v>10843</v>
      </c>
      <c r="AG828" t="s">
        <v>10859</v>
      </c>
      <c r="AH828" t="s">
        <v>10862</v>
      </c>
      <c r="AI828">
        <v>239</v>
      </c>
      <c r="AJ828" t="s">
        <v>10213</v>
      </c>
      <c r="AK828" t="s">
        <v>10838</v>
      </c>
      <c r="AL828">
        <v>4</v>
      </c>
      <c r="AM828" t="s">
        <v>10888</v>
      </c>
      <c r="AN828" t="s">
        <v>10912</v>
      </c>
      <c r="AO828" t="s">
        <v>11008</v>
      </c>
      <c r="AP828" t="s">
        <v>11050</v>
      </c>
      <c r="AR828" t="s">
        <v>11255</v>
      </c>
      <c r="AS828" t="s">
        <v>11595</v>
      </c>
      <c r="AY828" t="s">
        <v>10829</v>
      </c>
      <c r="AZ828" t="s">
        <v>11682</v>
      </c>
      <c r="BA828" t="s">
        <v>11737</v>
      </c>
      <c r="BB828">
        <v>0</v>
      </c>
      <c r="BC828">
        <v>0</v>
      </c>
      <c r="BD828">
        <v>0</v>
      </c>
      <c r="BE828">
        <v>0</v>
      </c>
      <c r="BF828">
        <v>3</v>
      </c>
      <c r="BG828">
        <v>0</v>
      </c>
    </row>
    <row r="829" spans="1:59">
      <c r="A829" s="1">
        <f>HYPERLINK("https://lsnyc.legalserver.org/matter/dynamic-profile/view/1904607","19-1904607")</f>
        <v>0</v>
      </c>
      <c r="B829" t="s">
        <v>797</v>
      </c>
      <c r="C829" t="s">
        <v>5701</v>
      </c>
      <c r="D829" t="s">
        <v>9926</v>
      </c>
      <c r="E829" t="s">
        <v>10075</v>
      </c>
      <c r="F829">
        <v>10452</v>
      </c>
      <c r="G829" t="s">
        <v>10090</v>
      </c>
      <c r="H829" t="s">
        <v>10107</v>
      </c>
      <c r="I829" t="s">
        <v>10168</v>
      </c>
      <c r="J829" t="s">
        <v>10210</v>
      </c>
      <c r="K829" t="s">
        <v>10217</v>
      </c>
      <c r="M829" t="s">
        <v>10438</v>
      </c>
      <c r="N829" t="s">
        <v>10665</v>
      </c>
      <c r="P829" t="s">
        <v>10750</v>
      </c>
      <c r="Q829" t="s">
        <v>10799</v>
      </c>
      <c r="R829" t="s">
        <v>10825</v>
      </c>
      <c r="T829">
        <v>7280</v>
      </c>
      <c r="U829">
        <v>606.67</v>
      </c>
      <c r="V829">
        <v>35</v>
      </c>
      <c r="W829">
        <v>2</v>
      </c>
      <c r="X829">
        <v>0</v>
      </c>
      <c r="Z829">
        <v>43.05</v>
      </c>
      <c r="AA829">
        <v>40.842229</v>
      </c>
      <c r="AB829">
        <v>-73.914351</v>
      </c>
      <c r="AD829" t="s">
        <v>10840</v>
      </c>
      <c r="AG829" t="s">
        <v>10858</v>
      </c>
      <c r="AH829" t="s">
        <v>10876</v>
      </c>
      <c r="AI829">
        <v>230</v>
      </c>
      <c r="AJ829" t="s">
        <v>10210</v>
      </c>
      <c r="AL829">
        <v>6.5</v>
      </c>
      <c r="AM829" t="s">
        <v>10884</v>
      </c>
      <c r="AN829" t="s">
        <v>10929</v>
      </c>
      <c r="AO829" t="s">
        <v>11013</v>
      </c>
      <c r="AP829" t="s">
        <v>11045</v>
      </c>
      <c r="AQ829" t="s">
        <v>11169</v>
      </c>
      <c r="AR829" t="s">
        <v>11293</v>
      </c>
      <c r="AS829" t="s">
        <v>9926</v>
      </c>
      <c r="AT829" t="s">
        <v>11642</v>
      </c>
      <c r="AX829" t="s">
        <v>10838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</row>
    <row r="830" spans="1:59">
      <c r="A830" s="1">
        <f>HYPERLINK("https://lsnyc.legalserver.org/matter/dynamic-profile/view/1904609","19-1904609")</f>
        <v>0</v>
      </c>
      <c r="B830" t="s">
        <v>798</v>
      </c>
      <c r="C830" t="s">
        <v>5702</v>
      </c>
      <c r="D830" t="s">
        <v>9928</v>
      </c>
      <c r="E830" t="s">
        <v>10075</v>
      </c>
      <c r="F830">
        <v>11225</v>
      </c>
      <c r="G830" t="s">
        <v>10093</v>
      </c>
      <c r="H830" t="s">
        <v>10107</v>
      </c>
      <c r="I830" t="s">
        <v>10168</v>
      </c>
      <c r="J830" t="s">
        <v>10213</v>
      </c>
      <c r="K830" t="s">
        <v>10218</v>
      </c>
      <c r="L830" t="s">
        <v>10140</v>
      </c>
      <c r="M830" t="s">
        <v>10496</v>
      </c>
      <c r="N830" t="s">
        <v>10671</v>
      </c>
      <c r="P830" t="s">
        <v>10751</v>
      </c>
      <c r="Q830" t="s">
        <v>10761</v>
      </c>
      <c r="R830" t="s">
        <v>10824</v>
      </c>
      <c r="T830">
        <v>13000</v>
      </c>
      <c r="U830">
        <v>1083.33</v>
      </c>
      <c r="V830">
        <v>30</v>
      </c>
      <c r="W830">
        <v>1</v>
      </c>
      <c r="X830">
        <v>0</v>
      </c>
      <c r="Y830" t="s">
        <v>10833</v>
      </c>
      <c r="Z830">
        <v>104.08</v>
      </c>
      <c r="AA830">
        <v>40.668179</v>
      </c>
      <c r="AB830">
        <v>-73.955522</v>
      </c>
      <c r="AD830" t="s">
        <v>10840</v>
      </c>
      <c r="AG830" t="s">
        <v>10858</v>
      </c>
      <c r="AH830" t="s">
        <v>10862</v>
      </c>
      <c r="AI830">
        <v>239</v>
      </c>
      <c r="AJ830" t="s">
        <v>10213</v>
      </c>
      <c r="AK830" t="s">
        <v>10838</v>
      </c>
      <c r="AL830">
        <v>4.2</v>
      </c>
      <c r="AM830" t="s">
        <v>10888</v>
      </c>
      <c r="AN830" t="s">
        <v>10923</v>
      </c>
      <c r="AO830" t="s">
        <v>11005</v>
      </c>
      <c r="AP830" t="s">
        <v>11061</v>
      </c>
      <c r="AR830" t="s">
        <v>11276</v>
      </c>
      <c r="AS830" t="s">
        <v>11595</v>
      </c>
      <c r="AY830" t="s">
        <v>10833</v>
      </c>
      <c r="AZ830" t="s">
        <v>11701</v>
      </c>
      <c r="BA830" t="s">
        <v>11737</v>
      </c>
      <c r="BB830">
        <v>0</v>
      </c>
      <c r="BC830">
        <v>0</v>
      </c>
      <c r="BD830">
        <v>2260.71</v>
      </c>
      <c r="BE830">
        <v>0</v>
      </c>
      <c r="BF830">
        <v>3</v>
      </c>
      <c r="BG830">
        <v>0</v>
      </c>
    </row>
    <row r="831" spans="1:59">
      <c r="A831" s="1">
        <f>HYPERLINK("https://lsnyc.legalserver.org/matter/dynamic-profile/view/1904610","19-1904610")</f>
        <v>0</v>
      </c>
      <c r="B831" t="s">
        <v>799</v>
      </c>
      <c r="C831" t="s">
        <v>5703</v>
      </c>
      <c r="D831" t="s">
        <v>9926</v>
      </c>
      <c r="E831" t="s">
        <v>10075</v>
      </c>
      <c r="F831">
        <v>10467</v>
      </c>
      <c r="G831" t="s">
        <v>10090</v>
      </c>
      <c r="H831" t="s">
        <v>10106</v>
      </c>
      <c r="I831" t="s">
        <v>10169</v>
      </c>
      <c r="J831" t="s">
        <v>10210</v>
      </c>
      <c r="K831" t="s">
        <v>10219</v>
      </c>
      <c r="M831" t="s">
        <v>10498</v>
      </c>
      <c r="N831" t="s">
        <v>10650</v>
      </c>
      <c r="P831" t="s">
        <v>10749</v>
      </c>
      <c r="Q831" t="s">
        <v>10791</v>
      </c>
      <c r="R831" t="s">
        <v>10821</v>
      </c>
      <c r="T831">
        <v>18780</v>
      </c>
      <c r="U831">
        <v>1565</v>
      </c>
      <c r="V831">
        <v>58</v>
      </c>
      <c r="W831">
        <v>1</v>
      </c>
      <c r="X831">
        <v>0</v>
      </c>
      <c r="Z831">
        <v>150.36</v>
      </c>
      <c r="AA831">
        <v>40.88418</v>
      </c>
      <c r="AB831">
        <v>-73.87877</v>
      </c>
      <c r="AD831" t="s">
        <v>10839</v>
      </c>
      <c r="AG831" t="s">
        <v>10858</v>
      </c>
      <c r="AH831" t="s">
        <v>10862</v>
      </c>
      <c r="AI831">
        <v>230</v>
      </c>
      <c r="AJ831" t="s">
        <v>10210</v>
      </c>
      <c r="AL831">
        <v>1.5</v>
      </c>
      <c r="AM831" t="s">
        <v>10887</v>
      </c>
      <c r="AN831" t="s">
        <v>10919</v>
      </c>
      <c r="AO831" t="s">
        <v>11010</v>
      </c>
      <c r="AP831" t="s">
        <v>11057</v>
      </c>
      <c r="AR831" t="s">
        <v>11258</v>
      </c>
      <c r="AS831" t="s">
        <v>9926</v>
      </c>
      <c r="BA831" t="s">
        <v>11740</v>
      </c>
      <c r="BB831">
        <v>0</v>
      </c>
      <c r="BC831">
        <v>0</v>
      </c>
      <c r="BD831">
        <v>0</v>
      </c>
      <c r="BE831">
        <v>0</v>
      </c>
      <c r="BF831">
        <v>2</v>
      </c>
      <c r="BG831">
        <v>0</v>
      </c>
    </row>
    <row r="832" spans="1:59">
      <c r="A832" s="1">
        <f>HYPERLINK("https://lsnyc.legalserver.org/matter/dynamic-profile/view/1904611","19-1904611")</f>
        <v>0</v>
      </c>
      <c r="B832" t="s">
        <v>800</v>
      </c>
      <c r="C832" t="s">
        <v>5704</v>
      </c>
      <c r="D832" t="s">
        <v>9928</v>
      </c>
      <c r="E832" t="s">
        <v>10075</v>
      </c>
      <c r="F832">
        <v>11221</v>
      </c>
      <c r="G832" t="s">
        <v>10093</v>
      </c>
      <c r="H832" t="s">
        <v>10107</v>
      </c>
      <c r="I832" t="s">
        <v>10168</v>
      </c>
      <c r="J832" t="s">
        <v>10213</v>
      </c>
      <c r="K832" t="s">
        <v>10217</v>
      </c>
      <c r="M832" t="s">
        <v>10359</v>
      </c>
      <c r="N832" t="s">
        <v>10646</v>
      </c>
      <c r="P832" t="s">
        <v>10751</v>
      </c>
      <c r="Q832" t="s">
        <v>10761</v>
      </c>
      <c r="R832" t="s">
        <v>10824</v>
      </c>
      <c r="T832">
        <v>36000</v>
      </c>
      <c r="U832">
        <v>3000</v>
      </c>
      <c r="V832">
        <v>37</v>
      </c>
      <c r="W832">
        <v>1</v>
      </c>
      <c r="X832">
        <v>1</v>
      </c>
      <c r="Z832">
        <v>212.89</v>
      </c>
      <c r="AA832">
        <v>40.687659</v>
      </c>
      <c r="AB832">
        <v>-73.939458</v>
      </c>
      <c r="AD832" t="s">
        <v>10839</v>
      </c>
      <c r="AG832" t="s">
        <v>10858</v>
      </c>
      <c r="AH832" t="s">
        <v>10862</v>
      </c>
      <c r="AI832">
        <v>239</v>
      </c>
      <c r="AJ832" t="s">
        <v>10213</v>
      </c>
      <c r="AL832">
        <v>1</v>
      </c>
      <c r="AM832" t="s">
        <v>10889</v>
      </c>
      <c r="AN832" t="s">
        <v>10914</v>
      </c>
      <c r="AO832" t="s">
        <v>11007</v>
      </c>
      <c r="AP832" t="s">
        <v>11052</v>
      </c>
      <c r="AR832" t="s">
        <v>11257</v>
      </c>
      <c r="AS832" t="s">
        <v>11595</v>
      </c>
      <c r="BA832" t="s">
        <v>11737</v>
      </c>
      <c r="BB832">
        <v>0</v>
      </c>
      <c r="BC832">
        <v>0</v>
      </c>
      <c r="BD832">
        <v>0</v>
      </c>
      <c r="BE832">
        <v>0</v>
      </c>
      <c r="BF832">
        <v>3</v>
      </c>
      <c r="BG832">
        <v>0</v>
      </c>
    </row>
    <row r="833" spans="1:59">
      <c r="A833" s="1">
        <f>HYPERLINK("https://lsnyc.legalserver.org/matter/dynamic-profile/view/1904612","19-1904612")</f>
        <v>0</v>
      </c>
      <c r="B833" t="s">
        <v>801</v>
      </c>
      <c r="C833" t="s">
        <v>5705</v>
      </c>
      <c r="D833" t="s">
        <v>9925</v>
      </c>
      <c r="E833" t="s">
        <v>10075</v>
      </c>
      <c r="F833">
        <v>10027</v>
      </c>
      <c r="G833" t="s">
        <v>10089</v>
      </c>
      <c r="H833" t="s">
        <v>10107</v>
      </c>
      <c r="I833" t="s">
        <v>10168</v>
      </c>
      <c r="J833" t="s">
        <v>10209</v>
      </c>
      <c r="K833" t="s">
        <v>10217</v>
      </c>
      <c r="M833" t="s">
        <v>10431</v>
      </c>
      <c r="N833" t="s">
        <v>10715</v>
      </c>
      <c r="P833" t="s">
        <v>10751</v>
      </c>
      <c r="Q833" t="s">
        <v>10776</v>
      </c>
      <c r="R833" t="s">
        <v>10824</v>
      </c>
      <c r="T833">
        <v>13520.04</v>
      </c>
      <c r="U833">
        <v>1126.67</v>
      </c>
      <c r="V833">
        <v>63</v>
      </c>
      <c r="W833">
        <v>1</v>
      </c>
      <c r="X833">
        <v>0</v>
      </c>
      <c r="Z833">
        <v>108.25</v>
      </c>
      <c r="AA833">
        <v>40.807655</v>
      </c>
      <c r="AB833">
        <v>-73.947796</v>
      </c>
      <c r="AD833" t="s">
        <v>10839</v>
      </c>
      <c r="AG833" t="s">
        <v>10858</v>
      </c>
      <c r="AH833" t="s">
        <v>10862</v>
      </c>
      <c r="AI833">
        <v>236</v>
      </c>
      <c r="AJ833" t="s">
        <v>10209</v>
      </c>
      <c r="AL833">
        <v>0</v>
      </c>
      <c r="AM833" t="s">
        <v>10887</v>
      </c>
      <c r="AN833" t="s">
        <v>10936</v>
      </c>
      <c r="AO833" t="s">
        <v>11016</v>
      </c>
      <c r="AP833" t="s">
        <v>11076</v>
      </c>
      <c r="AR833" t="s">
        <v>11257</v>
      </c>
      <c r="AS833" t="s">
        <v>9925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</row>
    <row r="834" spans="1:59">
      <c r="A834" s="1">
        <f>HYPERLINK("https://lsnyc.legalserver.org/matter/dynamic-profile/view/1904613","19-1904613")</f>
        <v>0</v>
      </c>
      <c r="B834" t="s">
        <v>802</v>
      </c>
      <c r="C834" t="s">
        <v>5706</v>
      </c>
      <c r="D834" t="s">
        <v>9926</v>
      </c>
      <c r="E834" t="s">
        <v>10075</v>
      </c>
      <c r="F834">
        <v>10457</v>
      </c>
      <c r="G834" t="s">
        <v>10090</v>
      </c>
      <c r="H834" t="s">
        <v>10107</v>
      </c>
      <c r="I834" t="s">
        <v>10169</v>
      </c>
      <c r="J834" t="s">
        <v>10210</v>
      </c>
      <c r="K834" t="s">
        <v>10217</v>
      </c>
      <c r="M834" t="s">
        <v>10489</v>
      </c>
      <c r="N834" t="s">
        <v>10719</v>
      </c>
      <c r="P834" t="s">
        <v>10753</v>
      </c>
      <c r="Q834" t="s">
        <v>10763</v>
      </c>
      <c r="R834" t="s">
        <v>10823</v>
      </c>
      <c r="T834">
        <v>6000</v>
      </c>
      <c r="U834">
        <v>500</v>
      </c>
      <c r="V834">
        <v>42</v>
      </c>
      <c r="W834">
        <v>1</v>
      </c>
      <c r="X834">
        <v>1</v>
      </c>
      <c r="Z834">
        <v>35.48</v>
      </c>
      <c r="AA834">
        <v>40.851465</v>
      </c>
      <c r="AB834">
        <v>-73.899033</v>
      </c>
      <c r="AD834" t="s">
        <v>10839</v>
      </c>
      <c r="AF834" t="s">
        <v>10843</v>
      </c>
      <c r="AG834" t="s">
        <v>10859</v>
      </c>
      <c r="AH834" t="s">
        <v>10864</v>
      </c>
      <c r="AI834">
        <v>230</v>
      </c>
      <c r="AJ834" t="s">
        <v>10210</v>
      </c>
      <c r="AL834">
        <v>11.5</v>
      </c>
      <c r="AM834" t="s">
        <v>10884</v>
      </c>
      <c r="AN834" t="s">
        <v>10931</v>
      </c>
      <c r="AO834" t="s">
        <v>11000</v>
      </c>
      <c r="AP834" t="s">
        <v>11056</v>
      </c>
      <c r="AQ834" t="s">
        <v>11131</v>
      </c>
      <c r="AR834" t="s">
        <v>11257</v>
      </c>
      <c r="AS834" t="s">
        <v>9926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</row>
    <row r="835" spans="1:59">
      <c r="A835" s="1">
        <f>HYPERLINK("https://lsnyc.legalserver.org/matter/dynamic-profile/view/1904614","19-1904614")</f>
        <v>0</v>
      </c>
      <c r="B835" t="s">
        <v>803</v>
      </c>
      <c r="C835" t="s">
        <v>5707</v>
      </c>
      <c r="D835" t="s">
        <v>9925</v>
      </c>
      <c r="E835" t="s">
        <v>10075</v>
      </c>
      <c r="F835">
        <v>10027</v>
      </c>
      <c r="G835" t="s">
        <v>10089</v>
      </c>
      <c r="H835" t="s">
        <v>10107</v>
      </c>
      <c r="I835" t="s">
        <v>10168</v>
      </c>
      <c r="J835" t="s">
        <v>10209</v>
      </c>
      <c r="K835" t="s">
        <v>10217</v>
      </c>
      <c r="M835" t="s">
        <v>10379</v>
      </c>
      <c r="N835" t="s">
        <v>10715</v>
      </c>
      <c r="P835" t="s">
        <v>10751</v>
      </c>
      <c r="Q835" t="s">
        <v>10776</v>
      </c>
      <c r="R835" t="s">
        <v>10825</v>
      </c>
      <c r="T835">
        <v>0</v>
      </c>
      <c r="U835">
        <v>0</v>
      </c>
      <c r="V835">
        <v>55</v>
      </c>
      <c r="W835">
        <v>1</v>
      </c>
      <c r="X835">
        <v>0</v>
      </c>
      <c r="Z835">
        <v>0</v>
      </c>
      <c r="AA835">
        <v>40.810705</v>
      </c>
      <c r="AB835">
        <v>-73.945052</v>
      </c>
      <c r="AC835" t="s">
        <v>10837</v>
      </c>
      <c r="AD835" t="s">
        <v>10840</v>
      </c>
      <c r="AF835" t="s">
        <v>10843</v>
      </c>
      <c r="AG835" t="s">
        <v>10859</v>
      </c>
      <c r="AH835" t="s">
        <v>10861</v>
      </c>
      <c r="AI835">
        <v>236</v>
      </c>
      <c r="AJ835" t="s">
        <v>10209</v>
      </c>
      <c r="AL835">
        <v>2</v>
      </c>
      <c r="AM835" t="s">
        <v>10887</v>
      </c>
      <c r="AN835" t="s">
        <v>10936</v>
      </c>
      <c r="AO835" t="s">
        <v>11016</v>
      </c>
      <c r="AP835" t="s">
        <v>11076</v>
      </c>
      <c r="AR835" t="s">
        <v>11279</v>
      </c>
      <c r="AS835" t="s">
        <v>9925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</row>
    <row r="836" spans="1:59">
      <c r="A836" s="1">
        <f>HYPERLINK("https://lsnyc.legalserver.org/matter/dynamic-profile/view/1904615","19-1904615")</f>
        <v>0</v>
      </c>
      <c r="B836" t="s">
        <v>804</v>
      </c>
      <c r="C836" t="s">
        <v>5708</v>
      </c>
      <c r="D836" t="s">
        <v>9925</v>
      </c>
      <c r="E836" t="s">
        <v>10075</v>
      </c>
      <c r="F836">
        <v>10027</v>
      </c>
      <c r="G836" t="s">
        <v>10089</v>
      </c>
      <c r="H836" t="s">
        <v>10107</v>
      </c>
      <c r="I836" t="s">
        <v>10168</v>
      </c>
      <c r="J836" t="s">
        <v>10209</v>
      </c>
      <c r="K836" t="s">
        <v>10217</v>
      </c>
      <c r="M836" t="s">
        <v>10499</v>
      </c>
      <c r="N836" t="s">
        <v>10715</v>
      </c>
      <c r="P836" t="s">
        <v>10751</v>
      </c>
      <c r="Q836" t="s">
        <v>10776</v>
      </c>
      <c r="R836" t="s">
        <v>10825</v>
      </c>
      <c r="T836">
        <v>10944</v>
      </c>
      <c r="U836">
        <v>912</v>
      </c>
      <c r="V836">
        <v>69</v>
      </c>
      <c r="W836">
        <v>1</v>
      </c>
      <c r="X836">
        <v>0</v>
      </c>
      <c r="Z836">
        <v>87.62</v>
      </c>
      <c r="AA836">
        <v>40.813115</v>
      </c>
      <c r="AB836">
        <v>-73.95248599999999</v>
      </c>
      <c r="AD836" t="s">
        <v>10839</v>
      </c>
      <c r="AG836" t="s">
        <v>10858</v>
      </c>
      <c r="AH836" t="s">
        <v>10862</v>
      </c>
      <c r="AI836">
        <v>236</v>
      </c>
      <c r="AJ836" t="s">
        <v>10209</v>
      </c>
      <c r="AL836">
        <v>0</v>
      </c>
      <c r="AM836" t="s">
        <v>10887</v>
      </c>
      <c r="AN836" t="s">
        <v>10936</v>
      </c>
      <c r="AO836" t="s">
        <v>11016</v>
      </c>
      <c r="AP836" t="s">
        <v>11076</v>
      </c>
      <c r="AR836" t="s">
        <v>11274</v>
      </c>
      <c r="AS836" t="s">
        <v>9925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</row>
    <row r="837" spans="1:59">
      <c r="A837" s="1">
        <f>HYPERLINK("https://lsnyc.legalserver.org/matter/dynamic-profile/view/1904616","19-1904616")</f>
        <v>0</v>
      </c>
      <c r="B837" t="s">
        <v>588</v>
      </c>
      <c r="C837" t="s">
        <v>5709</v>
      </c>
      <c r="D837" t="s">
        <v>9940</v>
      </c>
      <c r="E837" t="s">
        <v>10075</v>
      </c>
      <c r="F837">
        <v>11421</v>
      </c>
      <c r="G837" t="s">
        <v>10092</v>
      </c>
      <c r="H837" t="s">
        <v>10107</v>
      </c>
      <c r="I837" t="s">
        <v>10184</v>
      </c>
      <c r="J837" t="s">
        <v>10212</v>
      </c>
      <c r="K837" t="s">
        <v>10217</v>
      </c>
      <c r="M837" t="s">
        <v>10422</v>
      </c>
      <c r="N837" t="s">
        <v>10673</v>
      </c>
      <c r="P837" t="s">
        <v>10753</v>
      </c>
      <c r="Q837" t="s">
        <v>10763</v>
      </c>
      <c r="R837" t="s">
        <v>10825</v>
      </c>
      <c r="T837">
        <v>22000</v>
      </c>
      <c r="U837">
        <v>1833.33</v>
      </c>
      <c r="V837">
        <v>24</v>
      </c>
      <c r="W837">
        <v>1</v>
      </c>
      <c r="X837">
        <v>0</v>
      </c>
      <c r="Z837">
        <v>176.14</v>
      </c>
      <c r="AA837">
        <v>40.688419</v>
      </c>
      <c r="AB837">
        <v>-73.85729499999999</v>
      </c>
      <c r="AD837" t="s">
        <v>10840</v>
      </c>
      <c r="AF837" t="s">
        <v>10842</v>
      </c>
      <c r="AG837" t="s">
        <v>10859</v>
      </c>
      <c r="AH837" t="s">
        <v>10864</v>
      </c>
      <c r="AI837">
        <v>237</v>
      </c>
      <c r="AJ837" t="s">
        <v>10212</v>
      </c>
      <c r="AL837">
        <v>6.5</v>
      </c>
      <c r="AM837" t="s">
        <v>10886</v>
      </c>
      <c r="AN837" t="s">
        <v>10945</v>
      </c>
      <c r="AO837" t="s">
        <v>11024</v>
      </c>
      <c r="AP837" t="s">
        <v>11088</v>
      </c>
      <c r="AQ837" t="s">
        <v>11171</v>
      </c>
      <c r="AR837" t="s">
        <v>11257</v>
      </c>
      <c r="AS837" t="s">
        <v>11594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</row>
    <row r="838" spans="1:59">
      <c r="A838" s="1">
        <f>HYPERLINK("https://lsnyc.legalserver.org/matter/dynamic-profile/view/1904617","19-1904617")</f>
        <v>0</v>
      </c>
      <c r="B838" t="s">
        <v>618</v>
      </c>
      <c r="C838" t="s">
        <v>5527</v>
      </c>
      <c r="D838" t="s">
        <v>9928</v>
      </c>
      <c r="E838" t="s">
        <v>10075</v>
      </c>
      <c r="F838">
        <v>11213</v>
      </c>
      <c r="G838" t="s">
        <v>10093</v>
      </c>
      <c r="H838" t="s">
        <v>10118</v>
      </c>
      <c r="J838" t="s">
        <v>10213</v>
      </c>
      <c r="K838" t="s">
        <v>10217</v>
      </c>
      <c r="M838" t="s">
        <v>10378</v>
      </c>
      <c r="N838" t="s">
        <v>10698</v>
      </c>
      <c r="P838" t="s">
        <v>10751</v>
      </c>
      <c r="Q838" t="s">
        <v>10761</v>
      </c>
      <c r="R838" t="s">
        <v>10824</v>
      </c>
      <c r="T838">
        <v>10200</v>
      </c>
      <c r="U838">
        <v>850</v>
      </c>
      <c r="V838">
        <v>58</v>
      </c>
      <c r="W838">
        <v>1</v>
      </c>
      <c r="X838">
        <v>0</v>
      </c>
      <c r="Z838">
        <v>81.67</v>
      </c>
      <c r="AA838">
        <v>40.672713</v>
      </c>
      <c r="AB838">
        <v>-73.925726</v>
      </c>
      <c r="AD838" t="s">
        <v>10839</v>
      </c>
      <c r="AG838" t="s">
        <v>10858</v>
      </c>
      <c r="AH838" t="s">
        <v>10868</v>
      </c>
      <c r="AI838">
        <v>239</v>
      </c>
      <c r="AJ838" t="s">
        <v>10213</v>
      </c>
      <c r="AL838">
        <v>13.5</v>
      </c>
      <c r="AR838" t="s">
        <v>11253</v>
      </c>
      <c r="AS838" t="s">
        <v>11595</v>
      </c>
      <c r="AX838" t="s">
        <v>10838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</row>
    <row r="839" spans="1:59">
      <c r="A839" s="1">
        <f>HYPERLINK("https://lsnyc.legalserver.org/matter/dynamic-profile/view/1904618","19-1904618")</f>
        <v>0</v>
      </c>
      <c r="B839" t="s">
        <v>805</v>
      </c>
      <c r="C839" t="s">
        <v>5710</v>
      </c>
      <c r="D839" t="s">
        <v>9928</v>
      </c>
      <c r="E839" t="s">
        <v>10075</v>
      </c>
      <c r="F839">
        <v>11216</v>
      </c>
      <c r="G839" t="s">
        <v>10093</v>
      </c>
      <c r="H839" t="s">
        <v>10105</v>
      </c>
      <c r="I839" t="s">
        <v>10168</v>
      </c>
      <c r="J839" t="s">
        <v>10213</v>
      </c>
      <c r="K839" t="s">
        <v>10217</v>
      </c>
      <c r="M839" t="s">
        <v>10500</v>
      </c>
      <c r="N839" t="s">
        <v>10667</v>
      </c>
      <c r="P839" t="s">
        <v>10749</v>
      </c>
      <c r="Q839" t="s">
        <v>10765</v>
      </c>
      <c r="R839" t="s">
        <v>10824</v>
      </c>
      <c r="T839">
        <v>23000</v>
      </c>
      <c r="U839">
        <v>1916.67</v>
      </c>
      <c r="V839">
        <v>62</v>
      </c>
      <c r="W839">
        <v>1</v>
      </c>
      <c r="X839">
        <v>0</v>
      </c>
      <c r="Z839">
        <v>184.15</v>
      </c>
      <c r="AA839">
        <v>40.68172</v>
      </c>
      <c r="AB839">
        <v>-73.94827600000001</v>
      </c>
      <c r="AD839" t="s">
        <v>10839</v>
      </c>
      <c r="AG839" t="s">
        <v>10858</v>
      </c>
      <c r="AH839" t="s">
        <v>10862</v>
      </c>
      <c r="AI839">
        <v>239</v>
      </c>
      <c r="AJ839" t="s">
        <v>10213</v>
      </c>
      <c r="AL839">
        <v>1.8</v>
      </c>
      <c r="AM839" t="s">
        <v>10889</v>
      </c>
      <c r="AN839" t="s">
        <v>10914</v>
      </c>
      <c r="AO839" t="s">
        <v>11007</v>
      </c>
      <c r="AP839" t="s">
        <v>11052</v>
      </c>
      <c r="AQ839" t="s">
        <v>11101</v>
      </c>
      <c r="AR839" t="s">
        <v>11257</v>
      </c>
      <c r="AS839" t="s">
        <v>11595</v>
      </c>
      <c r="BA839" t="s">
        <v>11738</v>
      </c>
      <c r="BB839">
        <v>0</v>
      </c>
      <c r="BC839">
        <v>0</v>
      </c>
      <c r="BD839">
        <v>0</v>
      </c>
      <c r="BE839">
        <v>0</v>
      </c>
      <c r="BF839">
        <v>5</v>
      </c>
      <c r="BG839">
        <v>0</v>
      </c>
    </row>
    <row r="840" spans="1:59">
      <c r="A840" s="1">
        <f>HYPERLINK("https://lsnyc.legalserver.org/matter/dynamic-profile/view/1904619","19-1904619")</f>
        <v>0</v>
      </c>
      <c r="B840" t="s">
        <v>806</v>
      </c>
      <c r="C840" t="s">
        <v>5711</v>
      </c>
      <c r="D840" t="s">
        <v>9925</v>
      </c>
      <c r="E840" t="s">
        <v>10075</v>
      </c>
      <c r="F840">
        <v>10029</v>
      </c>
      <c r="G840" t="s">
        <v>10089</v>
      </c>
      <c r="H840" t="s">
        <v>10105</v>
      </c>
      <c r="I840" t="s">
        <v>10168</v>
      </c>
      <c r="J840" t="s">
        <v>10209</v>
      </c>
      <c r="K840" t="s">
        <v>10218</v>
      </c>
      <c r="L840" t="s">
        <v>10129</v>
      </c>
      <c r="M840" t="s">
        <v>10431</v>
      </c>
      <c r="N840" t="s">
        <v>10703</v>
      </c>
      <c r="P840" t="s">
        <v>10749</v>
      </c>
      <c r="Q840" t="s">
        <v>10767</v>
      </c>
      <c r="R840" t="s">
        <v>10821</v>
      </c>
      <c r="T840">
        <v>20052</v>
      </c>
      <c r="U840">
        <v>1671</v>
      </c>
      <c r="V840">
        <v>64</v>
      </c>
      <c r="W840">
        <v>1</v>
      </c>
      <c r="X840">
        <v>0</v>
      </c>
      <c r="Y840" t="s">
        <v>10829</v>
      </c>
      <c r="Z840">
        <v>160.54</v>
      </c>
      <c r="AA840">
        <v>40.796112</v>
      </c>
      <c r="AB840">
        <v>-73.942756</v>
      </c>
      <c r="AD840" t="s">
        <v>10840</v>
      </c>
      <c r="AG840" t="s">
        <v>10858</v>
      </c>
      <c r="AH840" t="s">
        <v>10862</v>
      </c>
      <c r="AI840">
        <v>236</v>
      </c>
      <c r="AJ840" t="s">
        <v>10209</v>
      </c>
      <c r="AK840" t="s">
        <v>10882</v>
      </c>
      <c r="AL840">
        <v>1</v>
      </c>
      <c r="AM840" t="s">
        <v>10887</v>
      </c>
      <c r="AN840" t="s">
        <v>10926</v>
      </c>
      <c r="AO840" t="s">
        <v>11016</v>
      </c>
      <c r="AP840" t="s">
        <v>11066</v>
      </c>
      <c r="AR840" t="s">
        <v>11296</v>
      </c>
      <c r="AS840" t="s">
        <v>9925</v>
      </c>
      <c r="AT840" t="s">
        <v>11642</v>
      </c>
      <c r="AX840" t="s">
        <v>10838</v>
      </c>
      <c r="AY840" t="s">
        <v>10829</v>
      </c>
      <c r="AZ840" t="s">
        <v>11681</v>
      </c>
      <c r="BA840" t="s">
        <v>11741</v>
      </c>
      <c r="BB840">
        <v>0</v>
      </c>
      <c r="BC840">
        <v>0</v>
      </c>
      <c r="BD840">
        <v>0</v>
      </c>
      <c r="BE840">
        <v>0</v>
      </c>
      <c r="BF840">
        <v>1</v>
      </c>
      <c r="BG840">
        <v>0</v>
      </c>
    </row>
    <row r="841" spans="1:59">
      <c r="A841" s="1">
        <f>HYPERLINK("https://lsnyc.legalserver.org/matter/dynamic-profile/view/1904621","19-1904621")</f>
        <v>0</v>
      </c>
      <c r="B841" t="s">
        <v>807</v>
      </c>
      <c r="C841" t="s">
        <v>5712</v>
      </c>
      <c r="D841" t="s">
        <v>9925</v>
      </c>
      <c r="E841" t="s">
        <v>10075</v>
      </c>
      <c r="F841">
        <v>10033</v>
      </c>
      <c r="G841" t="s">
        <v>10089</v>
      </c>
      <c r="H841" t="s">
        <v>10105</v>
      </c>
      <c r="I841" t="s">
        <v>10168</v>
      </c>
      <c r="J841" t="s">
        <v>10209</v>
      </c>
      <c r="K841" t="s">
        <v>10217</v>
      </c>
      <c r="M841" t="s">
        <v>10501</v>
      </c>
      <c r="N841" t="s">
        <v>10650</v>
      </c>
      <c r="P841" t="s">
        <v>10749</v>
      </c>
      <c r="Q841" t="s">
        <v>10765</v>
      </c>
      <c r="R841" t="s">
        <v>10821</v>
      </c>
      <c r="S841" t="s">
        <v>10821</v>
      </c>
      <c r="T841">
        <v>35000</v>
      </c>
      <c r="U841">
        <v>2916.67</v>
      </c>
      <c r="V841">
        <v>46</v>
      </c>
      <c r="W841">
        <v>2</v>
      </c>
      <c r="X841">
        <v>3</v>
      </c>
      <c r="Z841">
        <v>116.01</v>
      </c>
      <c r="AA841">
        <v>40.852453</v>
      </c>
      <c r="AB841">
        <v>-73.93194099999999</v>
      </c>
      <c r="AD841" t="s">
        <v>10839</v>
      </c>
      <c r="AG841" t="s">
        <v>10858</v>
      </c>
      <c r="AH841" t="s">
        <v>10862</v>
      </c>
      <c r="AI841">
        <v>236</v>
      </c>
      <c r="AJ841" t="s">
        <v>10209</v>
      </c>
      <c r="AL841">
        <v>2.2</v>
      </c>
      <c r="AM841" t="s">
        <v>10887</v>
      </c>
      <c r="AN841" t="s">
        <v>10937</v>
      </c>
      <c r="AO841" t="s">
        <v>11019</v>
      </c>
      <c r="AP841" t="s">
        <v>11074</v>
      </c>
      <c r="AR841" t="s">
        <v>11257</v>
      </c>
      <c r="AS841" t="s">
        <v>9925</v>
      </c>
      <c r="BA841" t="s">
        <v>11742</v>
      </c>
      <c r="BB841">
        <v>0</v>
      </c>
      <c r="BC841">
        <v>0</v>
      </c>
      <c r="BD841">
        <v>0</v>
      </c>
      <c r="BE841">
        <v>0</v>
      </c>
      <c r="BF841">
        <v>7</v>
      </c>
      <c r="BG841">
        <v>0</v>
      </c>
    </row>
    <row r="842" spans="1:59">
      <c r="A842" s="1">
        <f>HYPERLINK("https://lsnyc.legalserver.org/matter/dynamic-profile/view/1904622","19-1904622")</f>
        <v>0</v>
      </c>
      <c r="B842" t="s">
        <v>781</v>
      </c>
      <c r="C842" t="s">
        <v>5091</v>
      </c>
      <c r="D842" t="s">
        <v>9928</v>
      </c>
      <c r="E842" t="s">
        <v>10075</v>
      </c>
      <c r="F842">
        <v>11216</v>
      </c>
      <c r="G842" t="s">
        <v>10093</v>
      </c>
      <c r="H842" t="s">
        <v>10105</v>
      </c>
      <c r="I842" t="s">
        <v>10169</v>
      </c>
      <c r="J842" t="s">
        <v>10213</v>
      </c>
      <c r="K842" t="s">
        <v>10217</v>
      </c>
      <c r="M842" t="s">
        <v>10494</v>
      </c>
      <c r="N842" t="s">
        <v>10667</v>
      </c>
      <c r="P842" t="s">
        <v>10749</v>
      </c>
      <c r="Q842" t="s">
        <v>10765</v>
      </c>
      <c r="R842" t="s">
        <v>10823</v>
      </c>
      <c r="T842">
        <v>20800</v>
      </c>
      <c r="U842">
        <v>1733.33</v>
      </c>
      <c r="V842">
        <v>37</v>
      </c>
      <c r="W842">
        <v>1</v>
      </c>
      <c r="X842">
        <v>2</v>
      </c>
      <c r="Z842">
        <v>97.52</v>
      </c>
      <c r="AA842">
        <v>40.677349</v>
      </c>
      <c r="AB842">
        <v>-73.953019</v>
      </c>
      <c r="AD842" t="s">
        <v>10839</v>
      </c>
      <c r="AG842" t="s">
        <v>10858</v>
      </c>
      <c r="AH842" t="s">
        <v>10862</v>
      </c>
      <c r="AI842">
        <v>239</v>
      </c>
      <c r="AJ842" t="s">
        <v>10213</v>
      </c>
      <c r="AL842">
        <v>1</v>
      </c>
      <c r="AM842" t="s">
        <v>10889</v>
      </c>
      <c r="AN842" t="s">
        <v>10923</v>
      </c>
      <c r="AO842" t="s">
        <v>11007</v>
      </c>
      <c r="AP842" t="s">
        <v>11061</v>
      </c>
      <c r="AQ842" t="s">
        <v>11101</v>
      </c>
      <c r="AR842" t="s">
        <v>11257</v>
      </c>
      <c r="AS842" t="s">
        <v>11595</v>
      </c>
      <c r="BA842" t="s">
        <v>11738</v>
      </c>
      <c r="BB842">
        <v>0</v>
      </c>
      <c r="BC842">
        <v>0</v>
      </c>
      <c r="BD842">
        <v>0</v>
      </c>
      <c r="BE842">
        <v>0</v>
      </c>
      <c r="BF842">
        <v>5</v>
      </c>
      <c r="BG842">
        <v>0</v>
      </c>
    </row>
    <row r="843" spans="1:59">
      <c r="A843" s="1">
        <f>HYPERLINK("https://lsnyc.legalserver.org/matter/dynamic-profile/view/1904623","19-1904623")</f>
        <v>0</v>
      </c>
      <c r="B843" t="s">
        <v>808</v>
      </c>
      <c r="C843" t="s">
        <v>5713</v>
      </c>
      <c r="D843" t="s">
        <v>9925</v>
      </c>
      <c r="E843" t="s">
        <v>10075</v>
      </c>
      <c r="F843">
        <v>10009</v>
      </c>
      <c r="G843" t="s">
        <v>10089</v>
      </c>
      <c r="H843" t="s">
        <v>10105</v>
      </c>
      <c r="I843" t="s">
        <v>10168</v>
      </c>
      <c r="J843" t="s">
        <v>10209</v>
      </c>
      <c r="K843" t="s">
        <v>10218</v>
      </c>
      <c r="L843" t="s">
        <v>10152</v>
      </c>
      <c r="M843" t="s">
        <v>10431</v>
      </c>
      <c r="N843" t="s">
        <v>10650</v>
      </c>
      <c r="P843" t="s">
        <v>10749</v>
      </c>
      <c r="Q843" t="s">
        <v>10765</v>
      </c>
      <c r="R843" t="s">
        <v>10820</v>
      </c>
      <c r="T843">
        <v>17250</v>
      </c>
      <c r="U843">
        <v>1437.5</v>
      </c>
      <c r="V843">
        <v>53</v>
      </c>
      <c r="W843">
        <v>1</v>
      </c>
      <c r="X843">
        <v>0</v>
      </c>
      <c r="Y843" t="s">
        <v>10829</v>
      </c>
      <c r="Z843">
        <v>138.11</v>
      </c>
      <c r="AA843">
        <v>40.728906</v>
      </c>
      <c r="AB843">
        <v>-73.984041</v>
      </c>
      <c r="AD843" t="s">
        <v>10840</v>
      </c>
      <c r="AG843" t="s">
        <v>10858</v>
      </c>
      <c r="AH843" t="s">
        <v>10862</v>
      </c>
      <c r="AI843">
        <v>236</v>
      </c>
      <c r="AJ843" t="s">
        <v>10209</v>
      </c>
      <c r="AK843" t="s">
        <v>10882</v>
      </c>
      <c r="AL843">
        <v>1</v>
      </c>
      <c r="AM843" t="s">
        <v>10891</v>
      </c>
      <c r="AN843" t="s">
        <v>10910</v>
      </c>
      <c r="AO843" t="s">
        <v>11021</v>
      </c>
      <c r="AP843" t="s">
        <v>11048</v>
      </c>
      <c r="AR843" t="s">
        <v>11255</v>
      </c>
      <c r="AS843" t="s">
        <v>9925</v>
      </c>
      <c r="AT843" t="s">
        <v>11642</v>
      </c>
      <c r="AX843" t="s">
        <v>10838</v>
      </c>
      <c r="AY843" t="s">
        <v>10829</v>
      </c>
      <c r="AZ843" t="s">
        <v>11681</v>
      </c>
      <c r="BA843" t="s">
        <v>11741</v>
      </c>
      <c r="BB843">
        <v>0</v>
      </c>
      <c r="BC843">
        <v>0</v>
      </c>
      <c r="BD843">
        <v>0</v>
      </c>
      <c r="BE843">
        <v>0</v>
      </c>
      <c r="BF843">
        <v>1</v>
      </c>
      <c r="BG843">
        <v>0</v>
      </c>
    </row>
    <row r="844" spans="1:59">
      <c r="A844" s="1">
        <f>HYPERLINK("https://lsnyc.legalserver.org/matter/dynamic-profile/view/1904625","19-1904625")</f>
        <v>0</v>
      </c>
      <c r="B844" t="s">
        <v>809</v>
      </c>
      <c r="C844" t="s">
        <v>5714</v>
      </c>
      <c r="D844" t="s">
        <v>9928</v>
      </c>
      <c r="E844" t="s">
        <v>10075</v>
      </c>
      <c r="F844">
        <v>11224</v>
      </c>
      <c r="G844" t="s">
        <v>10093</v>
      </c>
      <c r="H844" t="s">
        <v>10105</v>
      </c>
      <c r="I844" t="s">
        <v>10171</v>
      </c>
      <c r="J844" t="s">
        <v>10213</v>
      </c>
      <c r="K844" t="s">
        <v>10218</v>
      </c>
      <c r="L844" t="s">
        <v>10142</v>
      </c>
      <c r="M844" t="s">
        <v>10390</v>
      </c>
      <c r="N844" t="s">
        <v>10644</v>
      </c>
      <c r="P844" t="s">
        <v>10749</v>
      </c>
      <c r="Q844" t="s">
        <v>10791</v>
      </c>
      <c r="R844" t="s">
        <v>10820</v>
      </c>
      <c r="T844">
        <v>10296</v>
      </c>
      <c r="U844">
        <v>858</v>
      </c>
      <c r="V844">
        <v>82</v>
      </c>
      <c r="W844">
        <v>1</v>
      </c>
      <c r="X844">
        <v>0</v>
      </c>
      <c r="Y844" t="s">
        <v>10829</v>
      </c>
      <c r="Z844">
        <v>82.43000000000001</v>
      </c>
      <c r="AA844">
        <v>40.5812</v>
      </c>
      <c r="AB844">
        <v>-73.971778</v>
      </c>
      <c r="AD844" t="s">
        <v>10839</v>
      </c>
      <c r="AG844" t="s">
        <v>10858</v>
      </c>
      <c r="AH844" t="s">
        <v>10869</v>
      </c>
      <c r="AI844">
        <v>239</v>
      </c>
      <c r="AJ844" t="s">
        <v>10213</v>
      </c>
      <c r="AK844" t="s">
        <v>10838</v>
      </c>
      <c r="AL844">
        <v>2.25</v>
      </c>
      <c r="AM844" t="s">
        <v>10889</v>
      </c>
      <c r="AN844" t="s">
        <v>10960</v>
      </c>
      <c r="AO844" t="s">
        <v>11006</v>
      </c>
      <c r="AP844" t="s">
        <v>11087</v>
      </c>
      <c r="AQ844" t="s">
        <v>11133</v>
      </c>
      <c r="AR844" t="s">
        <v>11263</v>
      </c>
      <c r="AS844" t="s">
        <v>11595</v>
      </c>
      <c r="AY844" t="s">
        <v>10829</v>
      </c>
      <c r="AZ844" t="s">
        <v>11681</v>
      </c>
      <c r="BA844" t="s">
        <v>11741</v>
      </c>
      <c r="BB844">
        <v>0</v>
      </c>
      <c r="BC844">
        <v>0</v>
      </c>
      <c r="BD844">
        <v>0</v>
      </c>
      <c r="BE844">
        <v>0</v>
      </c>
      <c r="BF844">
        <v>1</v>
      </c>
      <c r="BG844">
        <v>0</v>
      </c>
    </row>
    <row r="845" spans="1:59">
      <c r="A845" s="1">
        <f>HYPERLINK("https://lsnyc.legalserver.org/matter/dynamic-profile/view/1904626","19-1904626")</f>
        <v>0</v>
      </c>
      <c r="B845" t="s">
        <v>810</v>
      </c>
      <c r="C845" t="s">
        <v>5715</v>
      </c>
      <c r="D845" t="s">
        <v>9928</v>
      </c>
      <c r="E845" t="s">
        <v>10075</v>
      </c>
      <c r="F845">
        <v>11226</v>
      </c>
      <c r="G845" t="s">
        <v>10093</v>
      </c>
      <c r="H845" t="s">
        <v>10105</v>
      </c>
      <c r="I845" t="s">
        <v>10168</v>
      </c>
      <c r="J845" t="s">
        <v>10213</v>
      </c>
      <c r="K845" t="s">
        <v>10217</v>
      </c>
      <c r="M845" t="s">
        <v>10494</v>
      </c>
      <c r="N845" t="s">
        <v>10667</v>
      </c>
      <c r="P845" t="s">
        <v>10749</v>
      </c>
      <c r="Q845" t="s">
        <v>10765</v>
      </c>
      <c r="R845" t="s">
        <v>10824</v>
      </c>
      <c r="T845">
        <v>0</v>
      </c>
      <c r="U845">
        <v>0</v>
      </c>
      <c r="V845">
        <v>27</v>
      </c>
      <c r="W845">
        <v>1</v>
      </c>
      <c r="X845">
        <v>0</v>
      </c>
      <c r="Z845">
        <v>0</v>
      </c>
      <c r="AA845">
        <v>40.65321</v>
      </c>
      <c r="AB845">
        <v>-73.948519</v>
      </c>
      <c r="AD845" t="s">
        <v>10839</v>
      </c>
      <c r="AG845" t="s">
        <v>10858</v>
      </c>
      <c r="AH845" t="s">
        <v>10862</v>
      </c>
      <c r="AI845">
        <v>239</v>
      </c>
      <c r="AJ845" t="s">
        <v>10213</v>
      </c>
      <c r="AL845">
        <v>4.8</v>
      </c>
      <c r="AM845" t="s">
        <v>10888</v>
      </c>
      <c r="AN845" t="s">
        <v>10912</v>
      </c>
      <c r="AO845" t="s">
        <v>11005</v>
      </c>
      <c r="AP845" t="s">
        <v>11050</v>
      </c>
      <c r="AR845" t="s">
        <v>11267</v>
      </c>
      <c r="AS845" t="s">
        <v>11595</v>
      </c>
      <c r="BA845" t="s">
        <v>11742</v>
      </c>
      <c r="BB845">
        <v>0</v>
      </c>
      <c r="BC845">
        <v>0</v>
      </c>
      <c r="BD845">
        <v>0</v>
      </c>
      <c r="BE845">
        <v>0</v>
      </c>
      <c r="BF845">
        <v>7</v>
      </c>
      <c r="BG845">
        <v>0</v>
      </c>
    </row>
    <row r="846" spans="1:59">
      <c r="A846" s="1">
        <f>HYPERLINK("https://lsnyc.legalserver.org/matter/dynamic-profile/view/1904627","19-1904627")</f>
        <v>0</v>
      </c>
      <c r="B846" t="s">
        <v>811</v>
      </c>
      <c r="C846" t="s">
        <v>5716</v>
      </c>
      <c r="D846" t="s">
        <v>9968</v>
      </c>
      <c r="E846" t="s">
        <v>10075</v>
      </c>
      <c r="F846">
        <v>11411</v>
      </c>
      <c r="G846" t="s">
        <v>10092</v>
      </c>
      <c r="H846" t="s">
        <v>10105</v>
      </c>
      <c r="I846" t="s">
        <v>10168</v>
      </c>
      <c r="J846" t="s">
        <v>10212</v>
      </c>
      <c r="K846" t="s">
        <v>10218</v>
      </c>
      <c r="L846" t="s">
        <v>10104</v>
      </c>
      <c r="M846" t="s">
        <v>10366</v>
      </c>
      <c r="N846" t="s">
        <v>10678</v>
      </c>
      <c r="P846" t="s">
        <v>10749</v>
      </c>
      <c r="Q846" t="s">
        <v>10769</v>
      </c>
      <c r="R846" t="s">
        <v>10824</v>
      </c>
      <c r="T846">
        <v>88584</v>
      </c>
      <c r="U846">
        <v>7382</v>
      </c>
      <c r="V846">
        <v>57</v>
      </c>
      <c r="W846">
        <v>4</v>
      </c>
      <c r="X846">
        <v>0</v>
      </c>
      <c r="Y846" t="s">
        <v>10834</v>
      </c>
      <c r="Z846">
        <v>344.02</v>
      </c>
      <c r="AA846">
        <v>40.69716</v>
      </c>
      <c r="AB846">
        <v>-73.74242</v>
      </c>
      <c r="AD846" t="s">
        <v>10839</v>
      </c>
      <c r="AG846" t="s">
        <v>10858</v>
      </c>
      <c r="AH846" t="s">
        <v>10860</v>
      </c>
      <c r="AI846">
        <v>237</v>
      </c>
      <c r="AJ846" t="s">
        <v>10212</v>
      </c>
      <c r="AK846" t="s">
        <v>10838</v>
      </c>
      <c r="AL846">
        <v>1.5</v>
      </c>
      <c r="AM846" t="s">
        <v>10892</v>
      </c>
      <c r="AN846" t="s">
        <v>10940</v>
      </c>
      <c r="AO846" t="s">
        <v>11020</v>
      </c>
      <c r="AP846" t="s">
        <v>11075</v>
      </c>
      <c r="AR846" t="s">
        <v>11257</v>
      </c>
      <c r="AS846" t="s">
        <v>11594</v>
      </c>
      <c r="AY846" t="s">
        <v>10834</v>
      </c>
      <c r="AZ846" t="s">
        <v>11684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</row>
    <row r="847" spans="1:59">
      <c r="A847" s="1">
        <f>HYPERLINK("https://lsnyc.legalserver.org/matter/dynamic-profile/view/1904628","19-1904628")</f>
        <v>0</v>
      </c>
      <c r="B847" t="s">
        <v>812</v>
      </c>
      <c r="C847" t="s">
        <v>5717</v>
      </c>
      <c r="D847" t="s">
        <v>9928</v>
      </c>
      <c r="E847" t="s">
        <v>10075</v>
      </c>
      <c r="F847">
        <v>11233</v>
      </c>
      <c r="G847" t="s">
        <v>10093</v>
      </c>
      <c r="H847" t="s">
        <v>10105</v>
      </c>
      <c r="I847" t="s">
        <v>10168</v>
      </c>
      <c r="J847" t="s">
        <v>10213</v>
      </c>
      <c r="K847" t="s">
        <v>10217</v>
      </c>
      <c r="M847" t="s">
        <v>10373</v>
      </c>
      <c r="N847" t="s">
        <v>10646</v>
      </c>
      <c r="P847" t="s">
        <v>10750</v>
      </c>
      <c r="Q847" t="s">
        <v>10760</v>
      </c>
      <c r="R847" t="s">
        <v>10824</v>
      </c>
      <c r="T847">
        <v>0</v>
      </c>
      <c r="U847">
        <v>0</v>
      </c>
      <c r="V847">
        <v>36</v>
      </c>
      <c r="W847">
        <v>2</v>
      </c>
      <c r="X847">
        <v>0</v>
      </c>
      <c r="Z847">
        <v>0</v>
      </c>
      <c r="AA847">
        <v>40.675495</v>
      </c>
      <c r="AB847">
        <v>-73.90730000000001</v>
      </c>
      <c r="AD847" t="s">
        <v>10840</v>
      </c>
      <c r="AG847" t="s">
        <v>10858</v>
      </c>
      <c r="AH847" t="s">
        <v>10862</v>
      </c>
      <c r="AI847">
        <v>239</v>
      </c>
      <c r="AJ847" t="s">
        <v>10213</v>
      </c>
      <c r="AL847">
        <v>1.6</v>
      </c>
      <c r="AM847" t="s">
        <v>10889</v>
      </c>
      <c r="AN847" t="s">
        <v>10922</v>
      </c>
      <c r="AO847" t="s">
        <v>11012</v>
      </c>
      <c r="AP847" t="s">
        <v>11058</v>
      </c>
      <c r="AR847" t="s">
        <v>11267</v>
      </c>
      <c r="AS847" t="s">
        <v>11595</v>
      </c>
      <c r="AT847" t="s">
        <v>11642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</row>
    <row r="848" spans="1:59">
      <c r="A848" s="1">
        <f>HYPERLINK("https://lsnyc.legalserver.org/matter/dynamic-profile/view/1904630","19-1904630")</f>
        <v>0</v>
      </c>
      <c r="B848" t="s">
        <v>781</v>
      </c>
      <c r="C848" t="s">
        <v>5091</v>
      </c>
      <c r="D848" t="s">
        <v>9928</v>
      </c>
      <c r="E848" t="s">
        <v>10075</v>
      </c>
      <c r="F848">
        <v>11216</v>
      </c>
      <c r="G848" t="s">
        <v>10093</v>
      </c>
      <c r="H848" t="s">
        <v>10105</v>
      </c>
      <c r="I848" t="s">
        <v>10169</v>
      </c>
      <c r="J848" t="s">
        <v>10213</v>
      </c>
      <c r="K848" t="s">
        <v>10218</v>
      </c>
      <c r="L848" t="s">
        <v>10140</v>
      </c>
      <c r="M848" t="s">
        <v>10496</v>
      </c>
      <c r="N848" t="s">
        <v>10668</v>
      </c>
      <c r="P848" t="s">
        <v>10751</v>
      </c>
      <c r="Q848" t="s">
        <v>10761</v>
      </c>
      <c r="R848" t="s">
        <v>10823</v>
      </c>
      <c r="T848">
        <v>20800</v>
      </c>
      <c r="U848">
        <v>1733.33</v>
      </c>
      <c r="V848">
        <v>37</v>
      </c>
      <c r="W848">
        <v>1</v>
      </c>
      <c r="X848">
        <v>2</v>
      </c>
      <c r="Y848" t="s">
        <v>10833</v>
      </c>
      <c r="Z848">
        <v>97.52</v>
      </c>
      <c r="AA848">
        <v>40.677349</v>
      </c>
      <c r="AB848">
        <v>-73.953019</v>
      </c>
      <c r="AD848" t="s">
        <v>10839</v>
      </c>
      <c r="AG848" t="s">
        <v>10858</v>
      </c>
      <c r="AH848" t="s">
        <v>10862</v>
      </c>
      <c r="AI848">
        <v>239</v>
      </c>
      <c r="AJ848" t="s">
        <v>10213</v>
      </c>
      <c r="AK848" t="s">
        <v>10838</v>
      </c>
      <c r="AL848">
        <v>2</v>
      </c>
      <c r="AM848" t="s">
        <v>10889</v>
      </c>
      <c r="AN848" t="s">
        <v>10923</v>
      </c>
      <c r="AO848" t="s">
        <v>11007</v>
      </c>
      <c r="AP848" t="s">
        <v>11061</v>
      </c>
      <c r="AR848" t="s">
        <v>11257</v>
      </c>
      <c r="AS848" t="s">
        <v>11595</v>
      </c>
      <c r="AY848" t="s">
        <v>10833</v>
      </c>
      <c r="AZ848" t="s">
        <v>11701</v>
      </c>
      <c r="BA848" t="s">
        <v>11737</v>
      </c>
      <c r="BB848">
        <v>0</v>
      </c>
      <c r="BC848">
        <v>0</v>
      </c>
      <c r="BD848">
        <v>5712</v>
      </c>
      <c r="BE848">
        <v>0</v>
      </c>
      <c r="BF848">
        <v>3</v>
      </c>
      <c r="BG848">
        <v>0</v>
      </c>
    </row>
    <row r="849" spans="1:59">
      <c r="A849" s="1">
        <f>HYPERLINK("https://lsnyc.legalserver.org/matter/dynamic-profile/view/1904631","19-1904631")</f>
        <v>0</v>
      </c>
      <c r="B849" t="s">
        <v>813</v>
      </c>
      <c r="C849" t="s">
        <v>5718</v>
      </c>
      <c r="D849" t="s">
        <v>9929</v>
      </c>
      <c r="E849" t="s">
        <v>10075</v>
      </c>
      <c r="F849">
        <v>10303</v>
      </c>
      <c r="G849" t="s">
        <v>10088</v>
      </c>
      <c r="H849" t="s">
        <v>10105</v>
      </c>
      <c r="I849" t="s">
        <v>10168</v>
      </c>
      <c r="J849" t="s">
        <v>10208</v>
      </c>
      <c r="K849" t="s">
        <v>10217</v>
      </c>
      <c r="M849" t="s">
        <v>10259</v>
      </c>
      <c r="N849" t="s">
        <v>10655</v>
      </c>
      <c r="P849" t="s">
        <v>10749</v>
      </c>
      <c r="Q849" t="s">
        <v>10765</v>
      </c>
      <c r="R849" t="s">
        <v>10821</v>
      </c>
      <c r="T849">
        <v>36000</v>
      </c>
      <c r="U849">
        <v>3000</v>
      </c>
      <c r="V849">
        <v>26</v>
      </c>
      <c r="W849">
        <v>2</v>
      </c>
      <c r="X849">
        <v>2</v>
      </c>
      <c r="Z849">
        <v>139.81</v>
      </c>
      <c r="AA849">
        <v>40.63095</v>
      </c>
      <c r="AB849">
        <v>-74.16609699999999</v>
      </c>
      <c r="AD849" t="s">
        <v>10839</v>
      </c>
      <c r="AG849" t="s">
        <v>10858</v>
      </c>
      <c r="AH849" t="s">
        <v>10861</v>
      </c>
      <c r="AI849">
        <v>285</v>
      </c>
      <c r="AJ849" t="s">
        <v>10208</v>
      </c>
      <c r="AL849">
        <v>14.2</v>
      </c>
      <c r="AM849" t="s">
        <v>10883</v>
      </c>
      <c r="AN849" t="s">
        <v>10928</v>
      </c>
      <c r="AO849" t="s">
        <v>11006</v>
      </c>
      <c r="AP849" t="s">
        <v>11051</v>
      </c>
      <c r="AR849" t="s">
        <v>11344</v>
      </c>
      <c r="AS849" t="s">
        <v>11593</v>
      </c>
      <c r="BA849" t="s">
        <v>11738</v>
      </c>
      <c r="BB849">
        <v>0</v>
      </c>
      <c r="BC849">
        <v>0</v>
      </c>
      <c r="BD849">
        <v>0</v>
      </c>
      <c r="BE849">
        <v>0</v>
      </c>
      <c r="BF849">
        <v>5</v>
      </c>
      <c r="BG849">
        <v>0</v>
      </c>
    </row>
    <row r="850" spans="1:59">
      <c r="A850" s="1">
        <f>HYPERLINK("https://lsnyc.legalserver.org/matter/dynamic-profile/view/1904632","19-1904632")</f>
        <v>0</v>
      </c>
      <c r="B850" t="s">
        <v>814</v>
      </c>
      <c r="C850" t="s">
        <v>5719</v>
      </c>
      <c r="D850" t="s">
        <v>9926</v>
      </c>
      <c r="E850" t="s">
        <v>10075</v>
      </c>
      <c r="F850">
        <v>10467</v>
      </c>
      <c r="G850" t="s">
        <v>10091</v>
      </c>
      <c r="H850" t="s">
        <v>10105</v>
      </c>
      <c r="I850" t="s">
        <v>10168</v>
      </c>
      <c r="J850" t="s">
        <v>10214</v>
      </c>
      <c r="K850" t="s">
        <v>10217</v>
      </c>
      <c r="M850" t="s">
        <v>10286</v>
      </c>
      <c r="N850" t="s">
        <v>10671</v>
      </c>
      <c r="P850" t="s">
        <v>10752</v>
      </c>
      <c r="Q850" t="s">
        <v>10762</v>
      </c>
      <c r="R850" t="s">
        <v>10820</v>
      </c>
      <c r="T850">
        <v>40880</v>
      </c>
      <c r="U850">
        <v>3406.67</v>
      </c>
      <c r="V850">
        <v>63</v>
      </c>
      <c r="W850">
        <v>3</v>
      </c>
      <c r="X850">
        <v>0</v>
      </c>
      <c r="Z850">
        <v>191.65</v>
      </c>
      <c r="AA850">
        <v>40.862793</v>
      </c>
      <c r="AB850">
        <v>-73.86795600000001</v>
      </c>
      <c r="AD850" t="s">
        <v>10840</v>
      </c>
      <c r="AG850" t="s">
        <v>10858</v>
      </c>
      <c r="AH850" t="s">
        <v>10871</v>
      </c>
      <c r="AI850">
        <v>234</v>
      </c>
      <c r="AJ850" t="s">
        <v>10214</v>
      </c>
      <c r="AL850">
        <v>1</v>
      </c>
      <c r="AM850" t="s">
        <v>10885</v>
      </c>
      <c r="AN850" t="s">
        <v>10938</v>
      </c>
      <c r="AO850" t="s">
        <v>11002</v>
      </c>
      <c r="AP850" t="s">
        <v>11056</v>
      </c>
      <c r="AR850" t="s">
        <v>11360</v>
      </c>
      <c r="AS850" t="s">
        <v>9926</v>
      </c>
      <c r="AT850" t="s">
        <v>11642</v>
      </c>
      <c r="AX850" t="s">
        <v>10838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</row>
    <row r="851" spans="1:59">
      <c r="A851" s="1">
        <f>HYPERLINK("https://lsnyc.legalserver.org/matter/dynamic-profile/view/1904633","19-1904633")</f>
        <v>0</v>
      </c>
      <c r="B851" t="s">
        <v>815</v>
      </c>
      <c r="C851" t="s">
        <v>5720</v>
      </c>
      <c r="D851" t="s">
        <v>9926</v>
      </c>
      <c r="E851" t="s">
        <v>10075</v>
      </c>
      <c r="F851">
        <v>10455</v>
      </c>
      <c r="G851" t="s">
        <v>10090</v>
      </c>
      <c r="H851" t="s">
        <v>10105</v>
      </c>
      <c r="I851" t="s">
        <v>10168</v>
      </c>
      <c r="J851" t="s">
        <v>10210</v>
      </c>
      <c r="K851" t="s">
        <v>10218</v>
      </c>
      <c r="L851" t="s">
        <v>10109</v>
      </c>
      <c r="M851" t="s">
        <v>10262</v>
      </c>
      <c r="N851" t="s">
        <v>10666</v>
      </c>
      <c r="P851" t="s">
        <v>10749</v>
      </c>
      <c r="Q851" t="s">
        <v>10765</v>
      </c>
      <c r="R851" t="s">
        <v>10824</v>
      </c>
      <c r="T851">
        <v>2838.72</v>
      </c>
      <c r="U851">
        <v>236.56</v>
      </c>
      <c r="V851">
        <v>43</v>
      </c>
      <c r="W851">
        <v>3</v>
      </c>
      <c r="X851">
        <v>0</v>
      </c>
      <c r="Y851" t="s">
        <v>10829</v>
      </c>
      <c r="Z851">
        <v>13.31</v>
      </c>
      <c r="AA851">
        <v>40.814967</v>
      </c>
      <c r="AB851">
        <v>-73.901436</v>
      </c>
      <c r="AD851" t="s">
        <v>10839</v>
      </c>
      <c r="AG851" t="s">
        <v>10858</v>
      </c>
      <c r="AH851" t="s">
        <v>10862</v>
      </c>
      <c r="AI851">
        <v>230</v>
      </c>
      <c r="AJ851" t="s">
        <v>10210</v>
      </c>
      <c r="AK851" t="s">
        <v>10882</v>
      </c>
      <c r="AL851">
        <v>0.5</v>
      </c>
      <c r="AM851" t="s">
        <v>10884</v>
      </c>
      <c r="AN851" t="s">
        <v>10924</v>
      </c>
      <c r="AO851" t="s">
        <v>11001</v>
      </c>
      <c r="AP851" t="s">
        <v>11062</v>
      </c>
      <c r="AR851" t="s">
        <v>11273</v>
      </c>
      <c r="AS851" t="s">
        <v>9926</v>
      </c>
      <c r="AY851" t="s">
        <v>10829</v>
      </c>
      <c r="AZ851" t="s">
        <v>11681</v>
      </c>
      <c r="BA851" t="s">
        <v>11741</v>
      </c>
      <c r="BB851">
        <v>0</v>
      </c>
      <c r="BC851">
        <v>0</v>
      </c>
      <c r="BD851">
        <v>0</v>
      </c>
      <c r="BE851">
        <v>0</v>
      </c>
      <c r="BF851">
        <v>1</v>
      </c>
      <c r="BG851">
        <v>0</v>
      </c>
    </row>
    <row r="852" spans="1:59">
      <c r="A852" s="1">
        <f>HYPERLINK("https://lsnyc.legalserver.org/matter/dynamic-profile/view/1904636","19-1904636")</f>
        <v>0</v>
      </c>
      <c r="B852" t="s">
        <v>816</v>
      </c>
      <c r="C852" t="s">
        <v>5721</v>
      </c>
      <c r="D852" t="s">
        <v>9928</v>
      </c>
      <c r="E852" t="s">
        <v>10075</v>
      </c>
      <c r="F852">
        <v>11236</v>
      </c>
      <c r="G852" t="s">
        <v>10093</v>
      </c>
      <c r="H852" t="s">
        <v>10105</v>
      </c>
      <c r="I852" t="s">
        <v>10168</v>
      </c>
      <c r="J852" t="s">
        <v>10213</v>
      </c>
      <c r="K852" t="s">
        <v>10218</v>
      </c>
      <c r="L852" t="s">
        <v>10130</v>
      </c>
      <c r="M852" t="s">
        <v>10429</v>
      </c>
      <c r="N852" t="s">
        <v>10664</v>
      </c>
      <c r="P852" t="s">
        <v>10749</v>
      </c>
      <c r="Q852" t="s">
        <v>10765</v>
      </c>
      <c r="R852" t="s">
        <v>10824</v>
      </c>
      <c r="T852">
        <v>2184</v>
      </c>
      <c r="U852">
        <v>182</v>
      </c>
      <c r="V852">
        <v>57</v>
      </c>
      <c r="W852">
        <v>1</v>
      </c>
      <c r="X852">
        <v>0</v>
      </c>
      <c r="Y852" t="s">
        <v>10829</v>
      </c>
      <c r="Z852">
        <v>17.49</v>
      </c>
      <c r="AA852">
        <v>40.646197</v>
      </c>
      <c r="AB852">
        <v>-73.909379</v>
      </c>
      <c r="AD852" t="s">
        <v>10839</v>
      </c>
      <c r="AF852" t="s">
        <v>10842</v>
      </c>
      <c r="AG852" t="s">
        <v>10859</v>
      </c>
      <c r="AH852" t="s">
        <v>10862</v>
      </c>
      <c r="AI852">
        <v>239</v>
      </c>
      <c r="AJ852" t="s">
        <v>10213</v>
      </c>
      <c r="AK852" t="s">
        <v>10838</v>
      </c>
      <c r="AL852">
        <v>0.5</v>
      </c>
      <c r="AM852" t="s">
        <v>10889</v>
      </c>
      <c r="AN852" t="s">
        <v>10925</v>
      </c>
      <c r="AO852" t="s">
        <v>11008</v>
      </c>
      <c r="AP852" t="s">
        <v>11060</v>
      </c>
      <c r="AQ852" t="s">
        <v>11123</v>
      </c>
      <c r="AR852" t="s">
        <v>11382</v>
      </c>
      <c r="AS852" t="s">
        <v>11595</v>
      </c>
      <c r="AT852" t="s">
        <v>11641</v>
      </c>
      <c r="AY852" t="s">
        <v>10829</v>
      </c>
      <c r="AZ852" t="s">
        <v>11681</v>
      </c>
      <c r="BA852" t="s">
        <v>11741</v>
      </c>
      <c r="BB852">
        <v>0</v>
      </c>
      <c r="BC852">
        <v>0</v>
      </c>
      <c r="BD852">
        <v>0</v>
      </c>
      <c r="BE852">
        <v>0</v>
      </c>
      <c r="BF852">
        <v>1</v>
      </c>
      <c r="BG852">
        <v>0</v>
      </c>
    </row>
    <row r="853" spans="1:59">
      <c r="A853" s="1">
        <f>HYPERLINK("https://lsnyc.legalserver.org/matter/dynamic-profile/view/1904637","19-1904637")</f>
        <v>0</v>
      </c>
      <c r="B853" t="s">
        <v>817</v>
      </c>
      <c r="C853" t="s">
        <v>5020</v>
      </c>
      <c r="D853" t="s">
        <v>9926</v>
      </c>
      <c r="E853" t="s">
        <v>10075</v>
      </c>
      <c r="F853">
        <v>10456</v>
      </c>
      <c r="G853" t="s">
        <v>10090</v>
      </c>
      <c r="H853" t="s">
        <v>10105</v>
      </c>
      <c r="I853" t="s">
        <v>10168</v>
      </c>
      <c r="J853" t="s">
        <v>10210</v>
      </c>
      <c r="K853" t="s">
        <v>10217</v>
      </c>
      <c r="M853" t="s">
        <v>10397</v>
      </c>
      <c r="N853" t="s">
        <v>10650</v>
      </c>
      <c r="P853" t="s">
        <v>10749</v>
      </c>
      <c r="Q853" t="s">
        <v>10765</v>
      </c>
      <c r="R853" t="s">
        <v>10821</v>
      </c>
      <c r="T853">
        <v>4715.04</v>
      </c>
      <c r="U853">
        <v>392.92</v>
      </c>
      <c r="V853">
        <v>40</v>
      </c>
      <c r="W853">
        <v>1</v>
      </c>
      <c r="X853">
        <v>3</v>
      </c>
      <c r="Z853">
        <v>18.31</v>
      </c>
      <c r="AA853">
        <v>40.829372</v>
      </c>
      <c r="AB853">
        <v>-73.91876000000001</v>
      </c>
      <c r="AD853" t="s">
        <v>10839</v>
      </c>
      <c r="AG853" t="s">
        <v>10858</v>
      </c>
      <c r="AH853" t="s">
        <v>10862</v>
      </c>
      <c r="AI853">
        <v>230</v>
      </c>
      <c r="AJ853" t="s">
        <v>10210</v>
      </c>
      <c r="AL853">
        <v>0</v>
      </c>
      <c r="AM853" t="s">
        <v>10884</v>
      </c>
      <c r="AN853" t="s">
        <v>10918</v>
      </c>
      <c r="AO853" t="s">
        <v>11001</v>
      </c>
      <c r="AP853" t="s">
        <v>11055</v>
      </c>
      <c r="AR853" t="s">
        <v>11273</v>
      </c>
      <c r="AS853" t="s">
        <v>9926</v>
      </c>
      <c r="AT853" t="s">
        <v>11641</v>
      </c>
      <c r="BA853" t="s">
        <v>11739</v>
      </c>
      <c r="BB853">
        <v>0</v>
      </c>
      <c r="BC853">
        <v>0</v>
      </c>
      <c r="BD853">
        <v>0</v>
      </c>
      <c r="BE853">
        <v>0</v>
      </c>
      <c r="BF853">
        <v>4</v>
      </c>
      <c r="BG853">
        <v>0</v>
      </c>
    </row>
    <row r="854" spans="1:59">
      <c r="A854" s="1">
        <f>HYPERLINK("https://lsnyc.legalserver.org/matter/dynamic-profile/view/1904638","19-1904638")</f>
        <v>0</v>
      </c>
      <c r="B854" t="s">
        <v>818</v>
      </c>
      <c r="C854" t="s">
        <v>5722</v>
      </c>
      <c r="D854" t="s">
        <v>9925</v>
      </c>
      <c r="E854" t="s">
        <v>10075</v>
      </c>
      <c r="F854">
        <v>10010</v>
      </c>
      <c r="G854" t="s">
        <v>10089</v>
      </c>
      <c r="H854" t="s">
        <v>10105</v>
      </c>
      <c r="I854" t="s">
        <v>10168</v>
      </c>
      <c r="J854" t="s">
        <v>10209</v>
      </c>
      <c r="K854" t="s">
        <v>10218</v>
      </c>
      <c r="L854" t="s">
        <v>10152</v>
      </c>
      <c r="M854" t="s">
        <v>10431</v>
      </c>
      <c r="N854" t="s">
        <v>10650</v>
      </c>
      <c r="P854" t="s">
        <v>10749</v>
      </c>
      <c r="Q854" t="s">
        <v>10765</v>
      </c>
      <c r="R854" t="s">
        <v>10822</v>
      </c>
      <c r="T854">
        <v>30000</v>
      </c>
      <c r="U854">
        <v>2500</v>
      </c>
      <c r="V854">
        <v>56</v>
      </c>
      <c r="W854">
        <v>1</v>
      </c>
      <c r="X854">
        <v>0</v>
      </c>
      <c r="Y854" t="s">
        <v>10829</v>
      </c>
      <c r="Z854">
        <v>240.19</v>
      </c>
      <c r="AA854">
        <v>40.743267</v>
      </c>
      <c r="AB854">
        <v>-73.990134</v>
      </c>
      <c r="AD854" t="s">
        <v>10840</v>
      </c>
      <c r="AG854" t="s">
        <v>10858</v>
      </c>
      <c r="AH854" t="s">
        <v>10862</v>
      </c>
      <c r="AI854">
        <v>236</v>
      </c>
      <c r="AJ854" t="s">
        <v>10209</v>
      </c>
      <c r="AK854" t="s">
        <v>10882</v>
      </c>
      <c r="AL854">
        <v>1.25</v>
      </c>
      <c r="AM854" t="s">
        <v>10891</v>
      </c>
      <c r="AN854" t="s">
        <v>10966</v>
      </c>
      <c r="AO854" t="s">
        <v>11026</v>
      </c>
      <c r="AP854" t="s">
        <v>11090</v>
      </c>
      <c r="AR854" t="s">
        <v>11276</v>
      </c>
      <c r="AS854" t="s">
        <v>9925</v>
      </c>
      <c r="AT854" t="s">
        <v>11642</v>
      </c>
      <c r="AX854" t="s">
        <v>10838</v>
      </c>
      <c r="AY854" t="s">
        <v>10829</v>
      </c>
      <c r="AZ854" t="s">
        <v>11681</v>
      </c>
      <c r="BA854" t="s">
        <v>11741</v>
      </c>
      <c r="BB854">
        <v>0</v>
      </c>
      <c r="BC854">
        <v>0</v>
      </c>
      <c r="BD854">
        <v>0</v>
      </c>
      <c r="BE854">
        <v>0</v>
      </c>
      <c r="BF854">
        <v>1</v>
      </c>
      <c r="BG854">
        <v>0</v>
      </c>
    </row>
    <row r="855" spans="1:59">
      <c r="A855" s="1">
        <f>HYPERLINK("https://lsnyc.legalserver.org/matter/dynamic-profile/view/1904639","19-1904639")</f>
        <v>0</v>
      </c>
      <c r="B855" t="s">
        <v>648</v>
      </c>
      <c r="C855" t="s">
        <v>5557</v>
      </c>
      <c r="D855" t="s">
        <v>9926</v>
      </c>
      <c r="E855" t="s">
        <v>10075</v>
      </c>
      <c r="F855">
        <v>10462</v>
      </c>
      <c r="G855" t="s">
        <v>10090</v>
      </c>
      <c r="H855" t="s">
        <v>10094</v>
      </c>
      <c r="I855" t="s">
        <v>10168</v>
      </c>
      <c r="J855" t="s">
        <v>10210</v>
      </c>
      <c r="K855" t="s">
        <v>10217</v>
      </c>
      <c r="M855" t="s">
        <v>10230</v>
      </c>
      <c r="N855" t="s">
        <v>10671</v>
      </c>
      <c r="P855" t="s">
        <v>10751</v>
      </c>
      <c r="Q855" t="s">
        <v>10761</v>
      </c>
      <c r="R855" t="s">
        <v>10824</v>
      </c>
      <c r="T855">
        <v>0</v>
      </c>
      <c r="U855">
        <v>0</v>
      </c>
      <c r="V855">
        <v>43</v>
      </c>
      <c r="W855">
        <v>2</v>
      </c>
      <c r="X855">
        <v>0</v>
      </c>
      <c r="Z855">
        <v>0</v>
      </c>
      <c r="AA855">
        <v>40.835869</v>
      </c>
      <c r="AB855">
        <v>-73.854495</v>
      </c>
      <c r="AD855" t="s">
        <v>10839</v>
      </c>
      <c r="AG855" t="s">
        <v>10858</v>
      </c>
      <c r="AH855" t="s">
        <v>10862</v>
      </c>
      <c r="AI855">
        <v>230</v>
      </c>
      <c r="AJ855" t="s">
        <v>10210</v>
      </c>
      <c r="AL855">
        <v>1.5</v>
      </c>
      <c r="AM855" t="s">
        <v>10885</v>
      </c>
      <c r="AN855" t="s">
        <v>10908</v>
      </c>
      <c r="AO855" t="s">
        <v>11002</v>
      </c>
      <c r="AP855" t="s">
        <v>11046</v>
      </c>
      <c r="AR855" t="s">
        <v>11281</v>
      </c>
      <c r="AS855" t="s">
        <v>9926</v>
      </c>
      <c r="AT855" t="s">
        <v>11641</v>
      </c>
      <c r="AX855" t="s">
        <v>10838</v>
      </c>
      <c r="BA855" t="s">
        <v>11742</v>
      </c>
      <c r="BB855">
        <v>0</v>
      </c>
      <c r="BC855">
        <v>0</v>
      </c>
      <c r="BD855">
        <v>0</v>
      </c>
      <c r="BE855">
        <v>0</v>
      </c>
      <c r="BF855">
        <v>7</v>
      </c>
      <c r="BG855">
        <v>0</v>
      </c>
    </row>
    <row r="856" spans="1:59">
      <c r="A856" s="1">
        <f>HYPERLINK("https://lsnyc.legalserver.org/matter/dynamic-profile/view/1904640","19-1904640")</f>
        <v>0</v>
      </c>
      <c r="B856" t="s">
        <v>819</v>
      </c>
      <c r="C856" t="s">
        <v>5723</v>
      </c>
      <c r="D856" t="s">
        <v>9928</v>
      </c>
      <c r="E856" t="s">
        <v>10075</v>
      </c>
      <c r="F856">
        <v>11212</v>
      </c>
      <c r="G856" t="s">
        <v>10093</v>
      </c>
      <c r="H856" t="s">
        <v>10105</v>
      </c>
      <c r="I856" t="s">
        <v>10168</v>
      </c>
      <c r="J856" t="s">
        <v>10213</v>
      </c>
      <c r="K856" t="s">
        <v>10218</v>
      </c>
      <c r="L856" t="s">
        <v>10113</v>
      </c>
      <c r="M856" t="s">
        <v>10481</v>
      </c>
      <c r="N856" t="s">
        <v>10650</v>
      </c>
      <c r="P856" t="s">
        <v>10749</v>
      </c>
      <c r="Q856" t="s">
        <v>10765</v>
      </c>
      <c r="R856" t="s">
        <v>10824</v>
      </c>
      <c r="T856">
        <v>29328</v>
      </c>
      <c r="U856">
        <v>2444</v>
      </c>
      <c r="V856">
        <v>43</v>
      </c>
      <c r="W856">
        <v>1</v>
      </c>
      <c r="X856">
        <v>0</v>
      </c>
      <c r="Y856" t="s">
        <v>10829</v>
      </c>
      <c r="Z856">
        <v>234.81</v>
      </c>
      <c r="AA856">
        <v>40.655015</v>
      </c>
      <c r="AB856">
        <v>-73.907676</v>
      </c>
      <c r="AD856" t="s">
        <v>10839</v>
      </c>
      <c r="AG856" t="s">
        <v>10858</v>
      </c>
      <c r="AH856" t="s">
        <v>10861</v>
      </c>
      <c r="AI856">
        <v>234</v>
      </c>
      <c r="AJ856" t="s">
        <v>10214</v>
      </c>
      <c r="AK856" t="s">
        <v>10838</v>
      </c>
      <c r="AL856">
        <v>1</v>
      </c>
      <c r="AM856" t="s">
        <v>10889</v>
      </c>
      <c r="AN856" t="s">
        <v>10925</v>
      </c>
      <c r="AO856" t="s">
        <v>11012</v>
      </c>
      <c r="AP856" t="s">
        <v>11060</v>
      </c>
      <c r="AR856" t="s">
        <v>11257</v>
      </c>
      <c r="AS856" t="s">
        <v>11595</v>
      </c>
      <c r="AT856" t="s">
        <v>11641</v>
      </c>
      <c r="AX856" t="s">
        <v>10838</v>
      </c>
      <c r="AY856" t="s">
        <v>10829</v>
      </c>
      <c r="AZ856" t="s">
        <v>11681</v>
      </c>
      <c r="BA856" t="s">
        <v>11741</v>
      </c>
      <c r="BB856">
        <v>0</v>
      </c>
      <c r="BC856">
        <v>0</v>
      </c>
      <c r="BD856">
        <v>0</v>
      </c>
      <c r="BE856">
        <v>0</v>
      </c>
      <c r="BF856">
        <v>1</v>
      </c>
      <c r="BG856">
        <v>0</v>
      </c>
    </row>
    <row r="857" spans="1:59">
      <c r="A857" s="1">
        <f>HYPERLINK("https://lsnyc.legalserver.org/matter/dynamic-profile/view/1904641","19-1904641")</f>
        <v>0</v>
      </c>
      <c r="B857" t="s">
        <v>820</v>
      </c>
      <c r="C857" t="s">
        <v>5724</v>
      </c>
      <c r="D857" t="s">
        <v>9925</v>
      </c>
      <c r="E857" t="s">
        <v>10075</v>
      </c>
      <c r="F857">
        <v>10033</v>
      </c>
      <c r="G857" t="s">
        <v>10089</v>
      </c>
      <c r="H857" t="s">
        <v>10105</v>
      </c>
      <c r="I857" t="s">
        <v>10168</v>
      </c>
      <c r="J857" t="s">
        <v>10209</v>
      </c>
      <c r="K857" t="s">
        <v>10217</v>
      </c>
      <c r="M857" t="s">
        <v>10388</v>
      </c>
      <c r="N857" t="s">
        <v>10703</v>
      </c>
      <c r="P857" t="s">
        <v>10749</v>
      </c>
      <c r="Q857" t="s">
        <v>10765</v>
      </c>
      <c r="R857" t="s">
        <v>10824</v>
      </c>
      <c r="T857">
        <v>23400</v>
      </c>
      <c r="U857">
        <v>1950</v>
      </c>
      <c r="V857">
        <v>43</v>
      </c>
      <c r="W857">
        <v>1</v>
      </c>
      <c r="X857">
        <v>0</v>
      </c>
      <c r="Z857">
        <v>187.35</v>
      </c>
      <c r="AA857">
        <v>40.846092</v>
      </c>
      <c r="AB857">
        <v>-73.933516</v>
      </c>
      <c r="AD857" t="s">
        <v>10839</v>
      </c>
      <c r="AG857" t="s">
        <v>10858</v>
      </c>
      <c r="AH857" t="s">
        <v>10861</v>
      </c>
      <c r="AI857">
        <v>236</v>
      </c>
      <c r="AJ857" t="s">
        <v>10209</v>
      </c>
      <c r="AL857">
        <v>4</v>
      </c>
      <c r="AM857" t="s">
        <v>10887</v>
      </c>
      <c r="AN857" t="s">
        <v>10937</v>
      </c>
      <c r="AO857" t="s">
        <v>11019</v>
      </c>
      <c r="AP857" t="s">
        <v>11074</v>
      </c>
      <c r="AR857" t="s">
        <v>11257</v>
      </c>
      <c r="AS857" t="s">
        <v>9925</v>
      </c>
      <c r="AT857" t="s">
        <v>11641</v>
      </c>
      <c r="BA857" t="s">
        <v>11741</v>
      </c>
      <c r="BB857">
        <v>0</v>
      </c>
      <c r="BC857">
        <v>0</v>
      </c>
      <c r="BD857">
        <v>0</v>
      </c>
      <c r="BE857">
        <v>0</v>
      </c>
      <c r="BF857">
        <v>1</v>
      </c>
      <c r="BG857">
        <v>0</v>
      </c>
    </row>
    <row r="858" spans="1:59">
      <c r="A858" s="1">
        <f>HYPERLINK("https://lsnyc.legalserver.org/matter/dynamic-profile/view/1904642","19-1904642")</f>
        <v>0</v>
      </c>
      <c r="B858" t="s">
        <v>821</v>
      </c>
      <c r="C858" t="s">
        <v>5725</v>
      </c>
      <c r="D858" t="s">
        <v>9928</v>
      </c>
      <c r="E858" t="s">
        <v>10075</v>
      </c>
      <c r="F858">
        <v>11235</v>
      </c>
      <c r="G858" t="s">
        <v>10093</v>
      </c>
      <c r="H858" t="s">
        <v>10105</v>
      </c>
      <c r="I858" t="s">
        <v>10168</v>
      </c>
      <c r="J858" t="s">
        <v>10213</v>
      </c>
      <c r="K858" t="s">
        <v>10217</v>
      </c>
      <c r="M858" t="s">
        <v>10390</v>
      </c>
      <c r="N858" t="s">
        <v>10644</v>
      </c>
      <c r="P858" t="s">
        <v>10751</v>
      </c>
      <c r="Q858" t="s">
        <v>10780</v>
      </c>
      <c r="R858" t="s">
        <v>10820</v>
      </c>
      <c r="T858">
        <v>0</v>
      </c>
      <c r="U858">
        <v>0</v>
      </c>
      <c r="V858">
        <v>19</v>
      </c>
      <c r="W858">
        <v>1</v>
      </c>
      <c r="X858">
        <v>0</v>
      </c>
      <c r="Z858">
        <v>0</v>
      </c>
      <c r="AA858">
        <v>40.578944</v>
      </c>
      <c r="AB858">
        <v>-73.95166500000001</v>
      </c>
      <c r="AD858" t="s">
        <v>10840</v>
      </c>
      <c r="AG858" t="s">
        <v>10858</v>
      </c>
      <c r="AH858" t="s">
        <v>10869</v>
      </c>
      <c r="AI858">
        <v>239</v>
      </c>
      <c r="AJ858" t="s">
        <v>10213</v>
      </c>
      <c r="AL858">
        <v>1.75</v>
      </c>
      <c r="AM858" t="s">
        <v>10889</v>
      </c>
      <c r="AN858" t="s">
        <v>10965</v>
      </c>
      <c r="AO858" t="s">
        <v>11023</v>
      </c>
      <c r="AP858" t="s">
        <v>11092</v>
      </c>
      <c r="AQ858" t="s">
        <v>11118</v>
      </c>
      <c r="AR858" t="s">
        <v>11267</v>
      </c>
      <c r="AS858" t="s">
        <v>11595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</row>
    <row r="859" spans="1:59">
      <c r="A859" s="1">
        <f>HYPERLINK("https://lsnyc.legalserver.org/matter/dynamic-profile/view/1904643","19-1904643")</f>
        <v>0</v>
      </c>
      <c r="B859" t="s">
        <v>822</v>
      </c>
      <c r="C859" t="s">
        <v>5726</v>
      </c>
      <c r="D859" t="s">
        <v>9925</v>
      </c>
      <c r="E859" t="s">
        <v>10075</v>
      </c>
      <c r="F859">
        <v>10029</v>
      </c>
      <c r="G859" t="s">
        <v>10089</v>
      </c>
      <c r="H859" t="s">
        <v>10105</v>
      </c>
      <c r="I859" t="s">
        <v>10168</v>
      </c>
      <c r="J859" t="s">
        <v>10209</v>
      </c>
      <c r="K859" t="s">
        <v>10217</v>
      </c>
      <c r="M859" t="s">
        <v>10501</v>
      </c>
      <c r="N859" t="s">
        <v>10703</v>
      </c>
      <c r="P859" t="s">
        <v>10749</v>
      </c>
      <c r="Q859" t="s">
        <v>10767</v>
      </c>
      <c r="R859" t="s">
        <v>10821</v>
      </c>
      <c r="T859">
        <v>18384</v>
      </c>
      <c r="U859">
        <v>1532</v>
      </c>
      <c r="V859">
        <v>41</v>
      </c>
      <c r="W859">
        <v>1</v>
      </c>
      <c r="X859">
        <v>3</v>
      </c>
      <c r="Z859">
        <v>71.39</v>
      </c>
      <c r="AA859">
        <v>40.786237</v>
      </c>
      <c r="AB859">
        <v>-73.944475</v>
      </c>
      <c r="AD859" t="s">
        <v>10839</v>
      </c>
      <c r="AG859" t="s">
        <v>10858</v>
      </c>
      <c r="AH859" t="s">
        <v>10862</v>
      </c>
      <c r="AI859">
        <v>236</v>
      </c>
      <c r="AJ859" t="s">
        <v>10209</v>
      </c>
      <c r="AL859">
        <v>5.6</v>
      </c>
      <c r="AM859" t="s">
        <v>10887</v>
      </c>
      <c r="AN859" t="s">
        <v>10926</v>
      </c>
      <c r="AO859" t="s">
        <v>11013</v>
      </c>
      <c r="AP859" t="s">
        <v>11066</v>
      </c>
      <c r="AR859" t="s">
        <v>11274</v>
      </c>
      <c r="AS859" t="s">
        <v>9925</v>
      </c>
      <c r="AT859" t="s">
        <v>11641</v>
      </c>
      <c r="AX859" t="s">
        <v>10838</v>
      </c>
      <c r="BA859" t="s">
        <v>11738</v>
      </c>
      <c r="BB859">
        <v>0</v>
      </c>
      <c r="BC859">
        <v>0</v>
      </c>
      <c r="BD859">
        <v>0</v>
      </c>
      <c r="BE859">
        <v>0</v>
      </c>
      <c r="BF859">
        <v>5</v>
      </c>
      <c r="BG859">
        <v>0</v>
      </c>
    </row>
    <row r="860" spans="1:59">
      <c r="A860" s="1">
        <f>HYPERLINK("https://lsnyc.legalserver.org/matter/dynamic-profile/view/1904644","19-1904644")</f>
        <v>0</v>
      </c>
      <c r="B860" t="s">
        <v>823</v>
      </c>
      <c r="C860" t="s">
        <v>5727</v>
      </c>
      <c r="D860" t="s">
        <v>9926</v>
      </c>
      <c r="E860" t="s">
        <v>10075</v>
      </c>
      <c r="F860">
        <v>10468</v>
      </c>
      <c r="G860" t="s">
        <v>10090</v>
      </c>
      <c r="H860" t="s">
        <v>10105</v>
      </c>
      <c r="I860" t="s">
        <v>10169</v>
      </c>
      <c r="J860" t="s">
        <v>10210</v>
      </c>
      <c r="K860" t="s">
        <v>10217</v>
      </c>
      <c r="M860" t="s">
        <v>10380</v>
      </c>
      <c r="N860" t="s">
        <v>10649</v>
      </c>
      <c r="P860" t="s">
        <v>10753</v>
      </c>
      <c r="Q860" t="s">
        <v>10763</v>
      </c>
      <c r="R860" t="s">
        <v>10821</v>
      </c>
      <c r="T860">
        <v>20800</v>
      </c>
      <c r="U860">
        <v>1733.33</v>
      </c>
      <c r="V860">
        <v>53</v>
      </c>
      <c r="W860">
        <v>1</v>
      </c>
      <c r="X860">
        <v>0</v>
      </c>
      <c r="Z860">
        <v>166.53</v>
      </c>
      <c r="AA860">
        <v>40.858864</v>
      </c>
      <c r="AB860">
        <v>-73.902796</v>
      </c>
      <c r="AD860" t="s">
        <v>10839</v>
      </c>
      <c r="AF860" t="s">
        <v>10843</v>
      </c>
      <c r="AG860" t="s">
        <v>10859</v>
      </c>
      <c r="AH860" t="s">
        <v>10871</v>
      </c>
      <c r="AI860">
        <v>234</v>
      </c>
      <c r="AJ860" t="s">
        <v>10214</v>
      </c>
      <c r="AL860">
        <v>6</v>
      </c>
      <c r="AM860" t="s">
        <v>10884</v>
      </c>
      <c r="AN860" t="s">
        <v>10931</v>
      </c>
      <c r="AO860" t="s">
        <v>11000</v>
      </c>
      <c r="AP860" t="s">
        <v>11045</v>
      </c>
      <c r="AQ860" t="s">
        <v>11131</v>
      </c>
      <c r="AR860" t="s">
        <v>11257</v>
      </c>
      <c r="AS860" t="s">
        <v>9926</v>
      </c>
      <c r="AT860" t="s">
        <v>11641</v>
      </c>
      <c r="AX860" t="s">
        <v>10838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</row>
    <row r="861" spans="1:59">
      <c r="A861" s="1">
        <f>HYPERLINK("https://lsnyc.legalserver.org/matter/dynamic-profile/view/1904645","19-1904645")</f>
        <v>0</v>
      </c>
      <c r="B861" t="s">
        <v>824</v>
      </c>
      <c r="C861" t="s">
        <v>5728</v>
      </c>
      <c r="D861" t="s">
        <v>9925</v>
      </c>
      <c r="E861" t="s">
        <v>10075</v>
      </c>
      <c r="F861">
        <v>10003</v>
      </c>
      <c r="G861" t="s">
        <v>10089</v>
      </c>
      <c r="H861" t="s">
        <v>10105</v>
      </c>
      <c r="I861" t="s">
        <v>10168</v>
      </c>
      <c r="J861" t="s">
        <v>10209</v>
      </c>
      <c r="K861" t="s">
        <v>10217</v>
      </c>
      <c r="M861" t="s">
        <v>10431</v>
      </c>
      <c r="N861" t="s">
        <v>10650</v>
      </c>
      <c r="P861" t="s">
        <v>10749</v>
      </c>
      <c r="Q861" t="s">
        <v>10765</v>
      </c>
      <c r="R861" t="s">
        <v>10824</v>
      </c>
      <c r="T861">
        <v>18726</v>
      </c>
      <c r="U861">
        <v>1560.5</v>
      </c>
      <c r="V861">
        <v>72</v>
      </c>
      <c r="W861">
        <v>1</v>
      </c>
      <c r="X861">
        <v>0</v>
      </c>
      <c r="Z861">
        <v>149.93</v>
      </c>
      <c r="AA861">
        <v>40.729454</v>
      </c>
      <c r="AB861">
        <v>-73.989316</v>
      </c>
      <c r="AD861" t="s">
        <v>10839</v>
      </c>
      <c r="AG861" t="s">
        <v>10858</v>
      </c>
      <c r="AH861" t="s">
        <v>10862</v>
      </c>
      <c r="AI861">
        <v>236</v>
      </c>
      <c r="AJ861" t="s">
        <v>10209</v>
      </c>
      <c r="AL861">
        <v>2.2</v>
      </c>
      <c r="AM861" t="s">
        <v>10891</v>
      </c>
      <c r="AN861" t="s">
        <v>10950</v>
      </c>
      <c r="AO861" t="s">
        <v>11021</v>
      </c>
      <c r="AP861" t="s">
        <v>11048</v>
      </c>
      <c r="AR861" t="s">
        <v>11268</v>
      </c>
      <c r="AS861" t="s">
        <v>9925</v>
      </c>
      <c r="BA861" t="s">
        <v>11742</v>
      </c>
      <c r="BB861">
        <v>0</v>
      </c>
      <c r="BC861">
        <v>0</v>
      </c>
      <c r="BD861">
        <v>0</v>
      </c>
      <c r="BE861">
        <v>0</v>
      </c>
      <c r="BF861">
        <v>7</v>
      </c>
      <c r="BG861">
        <v>0</v>
      </c>
    </row>
    <row r="862" spans="1:59">
      <c r="A862" s="1">
        <f>HYPERLINK("https://lsnyc.legalserver.org/matter/dynamic-profile/view/1904647","19-1904647")</f>
        <v>0</v>
      </c>
      <c r="B862" t="s">
        <v>825</v>
      </c>
      <c r="C862" t="s">
        <v>5729</v>
      </c>
      <c r="D862" t="s">
        <v>9938</v>
      </c>
      <c r="E862" t="s">
        <v>10075</v>
      </c>
      <c r="F862">
        <v>11434</v>
      </c>
      <c r="G862" t="s">
        <v>10092</v>
      </c>
      <c r="H862" t="s">
        <v>10105</v>
      </c>
      <c r="I862" t="s">
        <v>10168</v>
      </c>
      <c r="J862" t="s">
        <v>10212</v>
      </c>
      <c r="K862" t="s">
        <v>10217</v>
      </c>
      <c r="M862" t="s">
        <v>10502</v>
      </c>
      <c r="N862" t="s">
        <v>10671</v>
      </c>
      <c r="P862" t="s">
        <v>10755</v>
      </c>
      <c r="Q862" t="s">
        <v>10801</v>
      </c>
      <c r="R862" t="s">
        <v>10824</v>
      </c>
      <c r="T862">
        <v>7308</v>
      </c>
      <c r="U862">
        <v>609</v>
      </c>
      <c r="V862">
        <v>14</v>
      </c>
      <c r="W862">
        <v>1</v>
      </c>
      <c r="X862">
        <v>4</v>
      </c>
      <c r="Z862">
        <v>24.22</v>
      </c>
      <c r="AA862">
        <v>40.684849</v>
      </c>
      <c r="AB862">
        <v>-73.78228799999999</v>
      </c>
      <c r="AD862" t="s">
        <v>10840</v>
      </c>
      <c r="AG862" t="s">
        <v>10858</v>
      </c>
      <c r="AH862" t="s">
        <v>10861</v>
      </c>
      <c r="AI862">
        <v>234</v>
      </c>
      <c r="AJ862" t="s">
        <v>10214</v>
      </c>
      <c r="AL862">
        <v>1.4</v>
      </c>
      <c r="AM862" t="s">
        <v>10892</v>
      </c>
      <c r="AN862" t="s">
        <v>10951</v>
      </c>
      <c r="AO862" t="s">
        <v>11020</v>
      </c>
      <c r="AP862" t="s">
        <v>11070</v>
      </c>
      <c r="AR862" t="s">
        <v>11255</v>
      </c>
      <c r="AS862" t="s">
        <v>11594</v>
      </c>
      <c r="AT862" t="s">
        <v>11642</v>
      </c>
      <c r="AX862" t="s">
        <v>10838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</row>
    <row r="863" spans="1:59">
      <c r="A863" s="1">
        <f>HYPERLINK("https://lsnyc.legalserver.org/matter/dynamic-profile/view/1904648","19-1904648")</f>
        <v>0</v>
      </c>
      <c r="B863" t="s">
        <v>826</v>
      </c>
      <c r="C863" t="s">
        <v>5020</v>
      </c>
      <c r="D863" t="s">
        <v>9926</v>
      </c>
      <c r="E863" t="s">
        <v>10075</v>
      </c>
      <c r="F863">
        <v>10456</v>
      </c>
      <c r="G863" t="s">
        <v>10090</v>
      </c>
      <c r="H863" t="s">
        <v>10105</v>
      </c>
      <c r="I863" t="s">
        <v>10168</v>
      </c>
      <c r="J863" t="s">
        <v>10210</v>
      </c>
      <c r="K863" t="s">
        <v>10217</v>
      </c>
      <c r="M863" t="s">
        <v>10397</v>
      </c>
      <c r="N863" t="s">
        <v>10650</v>
      </c>
      <c r="P863" t="s">
        <v>10749</v>
      </c>
      <c r="Q863" t="s">
        <v>10765</v>
      </c>
      <c r="R863" t="s">
        <v>10824</v>
      </c>
      <c r="T863">
        <v>42000</v>
      </c>
      <c r="U863">
        <v>3500</v>
      </c>
      <c r="V863">
        <v>77</v>
      </c>
      <c r="W863">
        <v>2</v>
      </c>
      <c r="X863">
        <v>0</v>
      </c>
      <c r="Z863">
        <v>248.37</v>
      </c>
      <c r="AA863">
        <v>40.829372</v>
      </c>
      <c r="AB863">
        <v>-73.91876000000001</v>
      </c>
      <c r="AD863" t="s">
        <v>10840</v>
      </c>
      <c r="AG863" t="s">
        <v>10858</v>
      </c>
      <c r="AH863" t="s">
        <v>10862</v>
      </c>
      <c r="AI863">
        <v>230</v>
      </c>
      <c r="AJ863" t="s">
        <v>10210</v>
      </c>
      <c r="AL863">
        <v>0</v>
      </c>
      <c r="AM863" t="s">
        <v>10884</v>
      </c>
      <c r="AN863" t="s">
        <v>10918</v>
      </c>
      <c r="AO863" t="s">
        <v>11001</v>
      </c>
      <c r="AP863" t="s">
        <v>11055</v>
      </c>
      <c r="AR863" t="s">
        <v>11280</v>
      </c>
      <c r="AS863" t="s">
        <v>9926</v>
      </c>
      <c r="AT863" t="s">
        <v>11642</v>
      </c>
      <c r="BA863" t="s">
        <v>11739</v>
      </c>
      <c r="BB863">
        <v>0</v>
      </c>
      <c r="BC863">
        <v>0</v>
      </c>
      <c r="BD863">
        <v>0</v>
      </c>
      <c r="BE863">
        <v>0</v>
      </c>
      <c r="BF863">
        <v>4</v>
      </c>
      <c r="BG863">
        <v>0</v>
      </c>
    </row>
    <row r="864" spans="1:59">
      <c r="A864" s="1">
        <f>HYPERLINK("https://lsnyc.legalserver.org/matter/dynamic-profile/view/1904649","19-1904649")</f>
        <v>0</v>
      </c>
      <c r="B864" t="s">
        <v>827</v>
      </c>
      <c r="C864" t="s">
        <v>5730</v>
      </c>
      <c r="D864" t="s">
        <v>9926</v>
      </c>
      <c r="E864" t="s">
        <v>10075</v>
      </c>
      <c r="F864">
        <v>10467</v>
      </c>
      <c r="G864" t="s">
        <v>10090</v>
      </c>
      <c r="H864" t="s">
        <v>10105</v>
      </c>
      <c r="I864" t="s">
        <v>10168</v>
      </c>
      <c r="J864" t="s">
        <v>10210</v>
      </c>
      <c r="K864" t="s">
        <v>10218</v>
      </c>
      <c r="L864" t="s">
        <v>10121</v>
      </c>
      <c r="M864" t="s">
        <v>10303</v>
      </c>
      <c r="N864" t="s">
        <v>10671</v>
      </c>
      <c r="P864" t="s">
        <v>10751</v>
      </c>
      <c r="Q864" t="s">
        <v>10761</v>
      </c>
      <c r="R864" t="s">
        <v>10821</v>
      </c>
      <c r="T864">
        <v>21000</v>
      </c>
      <c r="U864">
        <v>1750</v>
      </c>
      <c r="V864">
        <v>42</v>
      </c>
      <c r="W864">
        <v>1</v>
      </c>
      <c r="X864">
        <v>2</v>
      </c>
      <c r="Y864" t="s">
        <v>10829</v>
      </c>
      <c r="Z864">
        <v>98.45</v>
      </c>
      <c r="AA864">
        <v>40.87961</v>
      </c>
      <c r="AB864">
        <v>-73.87300999999999</v>
      </c>
      <c r="AD864" t="s">
        <v>10839</v>
      </c>
      <c r="AF864" t="s">
        <v>10843</v>
      </c>
      <c r="AG864" t="s">
        <v>10859</v>
      </c>
      <c r="AH864" t="s">
        <v>10861</v>
      </c>
      <c r="AI864">
        <v>234</v>
      </c>
      <c r="AJ864" t="s">
        <v>10214</v>
      </c>
      <c r="AK864" t="s">
        <v>10882</v>
      </c>
      <c r="AL864">
        <v>0.7</v>
      </c>
      <c r="AM864" t="s">
        <v>10887</v>
      </c>
      <c r="AN864" t="s">
        <v>10919</v>
      </c>
      <c r="AO864" t="s">
        <v>11010</v>
      </c>
      <c r="AP864" t="s">
        <v>11057</v>
      </c>
      <c r="AR864" t="s">
        <v>11352</v>
      </c>
      <c r="AS864" t="s">
        <v>9926</v>
      </c>
      <c r="AT864" t="s">
        <v>11641</v>
      </c>
      <c r="AX864" t="s">
        <v>10838</v>
      </c>
      <c r="AY864" t="s">
        <v>10829</v>
      </c>
      <c r="AZ864" t="s">
        <v>11682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</row>
    <row r="865" spans="1:59">
      <c r="A865" s="1">
        <f>HYPERLINK("https://lsnyc.legalserver.org/matter/dynamic-profile/view/1904650","19-1904650")</f>
        <v>0</v>
      </c>
      <c r="B865" t="s">
        <v>828</v>
      </c>
      <c r="C865" t="s">
        <v>5731</v>
      </c>
      <c r="D865" t="s">
        <v>9928</v>
      </c>
      <c r="E865" t="s">
        <v>10075</v>
      </c>
      <c r="F865">
        <v>11208</v>
      </c>
      <c r="G865" t="s">
        <v>10093</v>
      </c>
      <c r="H865" t="s">
        <v>10105</v>
      </c>
      <c r="J865" t="s">
        <v>10213</v>
      </c>
      <c r="K865" t="s">
        <v>10217</v>
      </c>
      <c r="M865" t="s">
        <v>10470</v>
      </c>
      <c r="N865" t="s">
        <v>10720</v>
      </c>
      <c r="P865" t="s">
        <v>10749</v>
      </c>
      <c r="Q865" t="s">
        <v>10759</v>
      </c>
      <c r="R865" t="s">
        <v>10824</v>
      </c>
      <c r="T865">
        <v>125947.54</v>
      </c>
      <c r="U865">
        <v>10495.63</v>
      </c>
      <c r="V865">
        <v>42</v>
      </c>
      <c r="W865">
        <v>3</v>
      </c>
      <c r="X865">
        <v>0</v>
      </c>
      <c r="Z865">
        <v>590.47</v>
      </c>
      <c r="AA865">
        <v>40.665558</v>
      </c>
      <c r="AB865">
        <v>-73.86821999999999</v>
      </c>
      <c r="AD865" t="s">
        <v>10839</v>
      </c>
      <c r="AG865" t="s">
        <v>10858</v>
      </c>
      <c r="AH865" t="s">
        <v>10860</v>
      </c>
      <c r="AI865">
        <v>239</v>
      </c>
      <c r="AJ865" t="s">
        <v>10213</v>
      </c>
      <c r="AL865">
        <v>6.8</v>
      </c>
      <c r="AM865" t="s">
        <v>10889</v>
      </c>
      <c r="AN865" t="s">
        <v>10946</v>
      </c>
      <c r="AO865" t="s">
        <v>11012</v>
      </c>
      <c r="AP865" t="s">
        <v>11060</v>
      </c>
      <c r="AR865" t="s">
        <v>11356</v>
      </c>
      <c r="AS865" t="s">
        <v>11595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</row>
    <row r="866" spans="1:59">
      <c r="A866" s="1">
        <f>HYPERLINK("https://lsnyc.legalserver.org/matter/dynamic-profile/view/1904651","19-1904651")</f>
        <v>0</v>
      </c>
      <c r="B866" t="s">
        <v>829</v>
      </c>
      <c r="C866" t="s">
        <v>5732</v>
      </c>
      <c r="D866" t="s">
        <v>9941</v>
      </c>
      <c r="E866" t="s">
        <v>10075</v>
      </c>
      <c r="F866">
        <v>11427</v>
      </c>
      <c r="G866" t="s">
        <v>10092</v>
      </c>
      <c r="H866" t="s">
        <v>10105</v>
      </c>
      <c r="I866" t="s">
        <v>10185</v>
      </c>
      <c r="J866" t="s">
        <v>10212</v>
      </c>
      <c r="K866" t="s">
        <v>10217</v>
      </c>
      <c r="M866" t="s">
        <v>10325</v>
      </c>
      <c r="N866" t="s">
        <v>10671</v>
      </c>
      <c r="P866" t="s">
        <v>10751</v>
      </c>
      <c r="Q866" t="s">
        <v>10786</v>
      </c>
      <c r="R866" t="s">
        <v>10824</v>
      </c>
      <c r="T866">
        <v>22452</v>
      </c>
      <c r="U866">
        <v>1871</v>
      </c>
      <c r="V866">
        <v>74</v>
      </c>
      <c r="W866">
        <v>1</v>
      </c>
      <c r="X866">
        <v>0</v>
      </c>
      <c r="Z866">
        <v>179.76</v>
      </c>
      <c r="AA866">
        <v>40.723561</v>
      </c>
      <c r="AB866">
        <v>-73.761454</v>
      </c>
      <c r="AD866" t="s">
        <v>10840</v>
      </c>
      <c r="AG866" t="s">
        <v>10858</v>
      </c>
      <c r="AH866" t="s">
        <v>10871</v>
      </c>
      <c r="AI866">
        <v>234</v>
      </c>
      <c r="AJ866" t="s">
        <v>10214</v>
      </c>
      <c r="AL866">
        <v>6</v>
      </c>
      <c r="AM866" t="s">
        <v>10892</v>
      </c>
      <c r="AN866" t="s">
        <v>10944</v>
      </c>
      <c r="AO866" t="s">
        <v>11020</v>
      </c>
      <c r="AP866" t="s">
        <v>11078</v>
      </c>
      <c r="AR866" t="s">
        <v>11268</v>
      </c>
      <c r="AS866" t="s">
        <v>11594</v>
      </c>
      <c r="AT866" t="s">
        <v>11642</v>
      </c>
      <c r="AX866" t="s">
        <v>10838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</row>
    <row r="867" spans="1:59">
      <c r="A867" s="1">
        <f>HYPERLINK("https://lsnyc.legalserver.org/matter/dynamic-profile/view/1904653","19-1904653")</f>
        <v>0</v>
      </c>
      <c r="B867" t="s">
        <v>830</v>
      </c>
      <c r="C867" t="s">
        <v>5733</v>
      </c>
      <c r="D867" t="s">
        <v>9965</v>
      </c>
      <c r="E867" t="s">
        <v>10075</v>
      </c>
      <c r="F867">
        <v>11103</v>
      </c>
      <c r="G867" t="s">
        <v>10092</v>
      </c>
      <c r="H867" t="s">
        <v>10105</v>
      </c>
      <c r="I867" t="s">
        <v>10186</v>
      </c>
      <c r="J867" t="s">
        <v>10212</v>
      </c>
      <c r="K867" t="s">
        <v>10218</v>
      </c>
      <c r="L867" t="s">
        <v>10101</v>
      </c>
      <c r="M867" t="s">
        <v>10485</v>
      </c>
      <c r="N867" t="s">
        <v>10678</v>
      </c>
      <c r="P867" t="s">
        <v>10749</v>
      </c>
      <c r="Q867" t="s">
        <v>10769</v>
      </c>
      <c r="R867" t="s">
        <v>10820</v>
      </c>
      <c r="T867">
        <v>6600</v>
      </c>
      <c r="U867">
        <v>550</v>
      </c>
      <c r="V867">
        <v>86</v>
      </c>
      <c r="W867">
        <v>1</v>
      </c>
      <c r="X867">
        <v>0</v>
      </c>
      <c r="Y867" t="s">
        <v>10830</v>
      </c>
      <c r="Z867">
        <v>52.84</v>
      </c>
      <c r="AA867">
        <v>40.764866</v>
      </c>
      <c r="AB867">
        <v>-73.911699</v>
      </c>
      <c r="AD867" t="s">
        <v>10839</v>
      </c>
      <c r="AG867" t="s">
        <v>10858</v>
      </c>
      <c r="AH867" t="s">
        <v>10860</v>
      </c>
      <c r="AI867">
        <v>237</v>
      </c>
      <c r="AJ867" t="s">
        <v>10212</v>
      </c>
      <c r="AK867" t="s">
        <v>10838</v>
      </c>
      <c r="AL867">
        <v>6.8</v>
      </c>
      <c r="AM867" t="s">
        <v>10885</v>
      </c>
      <c r="AN867" t="s">
        <v>10954</v>
      </c>
      <c r="AO867" t="s">
        <v>11003</v>
      </c>
      <c r="AP867" t="s">
        <v>11084</v>
      </c>
      <c r="AR867" t="s">
        <v>11300</v>
      </c>
      <c r="AS867" t="s">
        <v>11594</v>
      </c>
      <c r="AY867" t="s">
        <v>10830</v>
      </c>
      <c r="AZ867" t="s">
        <v>11681</v>
      </c>
      <c r="BA867" t="s">
        <v>11740</v>
      </c>
      <c r="BB867">
        <v>0</v>
      </c>
      <c r="BC867">
        <v>0</v>
      </c>
      <c r="BD867">
        <v>0</v>
      </c>
      <c r="BE867">
        <v>0</v>
      </c>
      <c r="BF867">
        <v>2</v>
      </c>
      <c r="BG867">
        <v>0</v>
      </c>
    </row>
    <row r="868" spans="1:59">
      <c r="A868" s="1">
        <f>HYPERLINK("https://lsnyc.legalserver.org/matter/dynamic-profile/view/1904654","19-1904654")</f>
        <v>0</v>
      </c>
      <c r="B868" t="s">
        <v>831</v>
      </c>
      <c r="C868" t="s">
        <v>5734</v>
      </c>
      <c r="D868" t="s">
        <v>9926</v>
      </c>
      <c r="E868" t="s">
        <v>10075</v>
      </c>
      <c r="F868">
        <v>10455</v>
      </c>
      <c r="G868" t="s">
        <v>10090</v>
      </c>
      <c r="H868" t="s">
        <v>10105</v>
      </c>
      <c r="I868" t="s">
        <v>10168</v>
      </c>
      <c r="J868" t="s">
        <v>10210</v>
      </c>
      <c r="K868" t="s">
        <v>10218</v>
      </c>
      <c r="L868" t="s">
        <v>10121</v>
      </c>
      <c r="M868" t="s">
        <v>10262</v>
      </c>
      <c r="N868" t="s">
        <v>10666</v>
      </c>
      <c r="P868" t="s">
        <v>10749</v>
      </c>
      <c r="Q868" t="s">
        <v>10765</v>
      </c>
      <c r="R868" t="s">
        <v>10824</v>
      </c>
      <c r="T868">
        <v>8412</v>
      </c>
      <c r="U868">
        <v>701</v>
      </c>
      <c r="V868">
        <v>56</v>
      </c>
      <c r="W868">
        <v>1</v>
      </c>
      <c r="X868">
        <v>0</v>
      </c>
      <c r="Y868" t="s">
        <v>10829</v>
      </c>
      <c r="Z868">
        <v>67.34999999999999</v>
      </c>
      <c r="AA868">
        <v>40.814499</v>
      </c>
      <c r="AB868">
        <v>-73.91554499999999</v>
      </c>
      <c r="AD868" t="s">
        <v>10840</v>
      </c>
      <c r="AG868" t="s">
        <v>10858</v>
      </c>
      <c r="AH868" t="s">
        <v>10862</v>
      </c>
      <c r="AI868">
        <v>230</v>
      </c>
      <c r="AJ868" t="s">
        <v>10210</v>
      </c>
      <c r="AK868" t="s">
        <v>10838</v>
      </c>
      <c r="AL868">
        <v>0.5</v>
      </c>
      <c r="AM868" t="s">
        <v>10884</v>
      </c>
      <c r="AN868" t="s">
        <v>10924</v>
      </c>
      <c r="AO868" t="s">
        <v>11013</v>
      </c>
      <c r="AP868" t="s">
        <v>11066</v>
      </c>
      <c r="AR868" t="s">
        <v>11296</v>
      </c>
      <c r="AS868" t="s">
        <v>9926</v>
      </c>
      <c r="AT868" t="s">
        <v>11642</v>
      </c>
      <c r="AY868" t="s">
        <v>10829</v>
      </c>
      <c r="AZ868" t="s">
        <v>11681</v>
      </c>
      <c r="BA868" t="s">
        <v>11741</v>
      </c>
      <c r="BB868">
        <v>0</v>
      </c>
      <c r="BC868">
        <v>0</v>
      </c>
      <c r="BD868">
        <v>0</v>
      </c>
      <c r="BE868">
        <v>0</v>
      </c>
      <c r="BF868">
        <v>1</v>
      </c>
      <c r="BG868">
        <v>0</v>
      </c>
    </row>
    <row r="869" spans="1:59">
      <c r="A869" s="1">
        <f>HYPERLINK("https://lsnyc.legalserver.org/matter/dynamic-profile/view/1904655","19-1904655")</f>
        <v>0</v>
      </c>
      <c r="B869" t="s">
        <v>832</v>
      </c>
      <c r="C869" t="s">
        <v>5020</v>
      </c>
      <c r="D869" t="s">
        <v>9926</v>
      </c>
      <c r="E869" t="s">
        <v>10075</v>
      </c>
      <c r="F869">
        <v>10456</v>
      </c>
      <c r="G869" t="s">
        <v>10090</v>
      </c>
      <c r="H869" t="s">
        <v>10105</v>
      </c>
      <c r="I869" t="s">
        <v>10168</v>
      </c>
      <c r="J869" t="s">
        <v>10210</v>
      </c>
      <c r="K869" t="s">
        <v>10217</v>
      </c>
      <c r="M869" t="s">
        <v>10397</v>
      </c>
      <c r="N869" t="s">
        <v>10650</v>
      </c>
      <c r="P869" t="s">
        <v>10749</v>
      </c>
      <c r="Q869" t="s">
        <v>10765</v>
      </c>
      <c r="R869" t="s">
        <v>10824</v>
      </c>
      <c r="T869">
        <v>18000</v>
      </c>
      <c r="U869">
        <v>1500</v>
      </c>
      <c r="V869">
        <v>55</v>
      </c>
      <c r="W869">
        <v>2</v>
      </c>
      <c r="X869">
        <v>0</v>
      </c>
      <c r="Z869">
        <v>106.45</v>
      </c>
      <c r="AA869">
        <v>40.829372</v>
      </c>
      <c r="AB869">
        <v>-73.91876000000001</v>
      </c>
      <c r="AD869" t="s">
        <v>10839</v>
      </c>
      <c r="AG869" t="s">
        <v>10858</v>
      </c>
      <c r="AH869" t="s">
        <v>10862</v>
      </c>
      <c r="AI869">
        <v>230</v>
      </c>
      <c r="AJ869" t="s">
        <v>10210</v>
      </c>
      <c r="AL869">
        <v>0</v>
      </c>
      <c r="AM869" t="s">
        <v>10884</v>
      </c>
      <c r="AN869" t="s">
        <v>10918</v>
      </c>
      <c r="AO869" t="s">
        <v>11001</v>
      </c>
      <c r="AP869" t="s">
        <v>11055</v>
      </c>
      <c r="AR869" t="s">
        <v>11296</v>
      </c>
      <c r="AS869" t="s">
        <v>9926</v>
      </c>
      <c r="AT869" t="s">
        <v>11641</v>
      </c>
      <c r="BA869" t="s">
        <v>11739</v>
      </c>
      <c r="BB869">
        <v>0</v>
      </c>
      <c r="BC869">
        <v>0</v>
      </c>
      <c r="BD869">
        <v>0</v>
      </c>
      <c r="BE869">
        <v>0</v>
      </c>
      <c r="BF869">
        <v>4</v>
      </c>
      <c r="BG869">
        <v>0</v>
      </c>
    </row>
    <row r="870" spans="1:59">
      <c r="A870" s="1">
        <f>HYPERLINK("https://lsnyc.legalserver.org/matter/dynamic-profile/view/1904656","19-1904656")</f>
        <v>0</v>
      </c>
      <c r="B870" t="s">
        <v>833</v>
      </c>
      <c r="C870" t="s">
        <v>5735</v>
      </c>
      <c r="D870" t="s">
        <v>9929</v>
      </c>
      <c r="E870" t="s">
        <v>10075</v>
      </c>
      <c r="F870">
        <v>10303</v>
      </c>
      <c r="G870" t="s">
        <v>10088</v>
      </c>
      <c r="H870" t="s">
        <v>10105</v>
      </c>
      <c r="I870" t="s">
        <v>10168</v>
      </c>
      <c r="J870" t="s">
        <v>10208</v>
      </c>
      <c r="K870" t="s">
        <v>10217</v>
      </c>
      <c r="M870" t="s">
        <v>10257</v>
      </c>
      <c r="N870" t="s">
        <v>10655</v>
      </c>
      <c r="P870" t="s">
        <v>10749</v>
      </c>
      <c r="Q870" t="s">
        <v>10765</v>
      </c>
      <c r="R870" t="s">
        <v>10824</v>
      </c>
      <c r="T870">
        <v>17571.6</v>
      </c>
      <c r="U870">
        <v>1464.3</v>
      </c>
      <c r="V870">
        <v>56</v>
      </c>
      <c r="W870">
        <v>2</v>
      </c>
      <c r="X870">
        <v>2</v>
      </c>
      <c r="Z870">
        <v>68.23999999999999</v>
      </c>
      <c r="AA870">
        <v>40.631213</v>
      </c>
      <c r="AB870">
        <v>-74.151594</v>
      </c>
      <c r="AD870" t="s">
        <v>10839</v>
      </c>
      <c r="AG870" t="s">
        <v>10858</v>
      </c>
      <c r="AH870" t="s">
        <v>10862</v>
      </c>
      <c r="AI870">
        <v>285</v>
      </c>
      <c r="AJ870" t="s">
        <v>10208</v>
      </c>
      <c r="AL870">
        <v>20.75</v>
      </c>
      <c r="AM870" t="s">
        <v>10883</v>
      </c>
      <c r="AN870" t="s">
        <v>10913</v>
      </c>
      <c r="AO870" t="s">
        <v>11006</v>
      </c>
      <c r="AP870" t="s">
        <v>11051</v>
      </c>
      <c r="AR870" t="s">
        <v>11318</v>
      </c>
      <c r="AS870" t="s">
        <v>11593</v>
      </c>
      <c r="BA870" t="s">
        <v>11738</v>
      </c>
      <c r="BB870">
        <v>0</v>
      </c>
      <c r="BC870">
        <v>0</v>
      </c>
      <c r="BD870">
        <v>0</v>
      </c>
      <c r="BE870">
        <v>0</v>
      </c>
      <c r="BF870">
        <v>5</v>
      </c>
      <c r="BG870">
        <v>0</v>
      </c>
    </row>
    <row r="871" spans="1:59">
      <c r="A871" s="1">
        <f>HYPERLINK("https://lsnyc.legalserver.org/matter/dynamic-profile/view/1904658","19-1904658")</f>
        <v>0</v>
      </c>
      <c r="B871" t="s">
        <v>834</v>
      </c>
      <c r="C871" t="s">
        <v>5736</v>
      </c>
      <c r="D871" t="s">
        <v>9925</v>
      </c>
      <c r="E871" t="s">
        <v>10075</v>
      </c>
      <c r="F871">
        <v>10032</v>
      </c>
      <c r="G871" t="s">
        <v>10089</v>
      </c>
      <c r="H871" t="s">
        <v>10105</v>
      </c>
      <c r="J871" t="s">
        <v>10209</v>
      </c>
      <c r="K871" t="s">
        <v>10217</v>
      </c>
      <c r="M871" t="s">
        <v>10503</v>
      </c>
      <c r="N871" t="s">
        <v>10721</v>
      </c>
      <c r="P871" t="s">
        <v>10754</v>
      </c>
      <c r="Q871" t="s">
        <v>10777</v>
      </c>
      <c r="R871" t="s">
        <v>10821</v>
      </c>
      <c r="T871">
        <v>19080</v>
      </c>
      <c r="U871">
        <v>1590</v>
      </c>
      <c r="V871">
        <v>20</v>
      </c>
      <c r="W871">
        <v>2</v>
      </c>
      <c r="X871">
        <v>1</v>
      </c>
      <c r="Z871">
        <v>89.45</v>
      </c>
      <c r="AA871">
        <v>40.837831</v>
      </c>
      <c r="AB871">
        <v>-73.945672</v>
      </c>
      <c r="AD871" t="s">
        <v>10839</v>
      </c>
      <c r="AG871" t="s">
        <v>10858</v>
      </c>
      <c r="AH871" t="s">
        <v>10865</v>
      </c>
      <c r="AI871">
        <v>236</v>
      </c>
      <c r="AJ871" t="s">
        <v>10209</v>
      </c>
      <c r="AK871" t="s">
        <v>10837</v>
      </c>
      <c r="AL871">
        <v>1.5</v>
      </c>
      <c r="AM871" t="s">
        <v>10887</v>
      </c>
      <c r="AN871" t="s">
        <v>10943</v>
      </c>
      <c r="AO871" t="s">
        <v>11019</v>
      </c>
      <c r="AP871" t="s">
        <v>11073</v>
      </c>
      <c r="AQ871" t="s">
        <v>11128</v>
      </c>
      <c r="AR871" t="s">
        <v>11383</v>
      </c>
      <c r="AS871" t="s">
        <v>9925</v>
      </c>
      <c r="AT871" t="s">
        <v>11641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</row>
    <row r="872" spans="1:59">
      <c r="A872" s="1">
        <f>HYPERLINK("https://lsnyc.legalserver.org/matter/dynamic-profile/view/1904659","19-1904659")</f>
        <v>0</v>
      </c>
      <c r="B872" t="s">
        <v>835</v>
      </c>
      <c r="C872" t="s">
        <v>5020</v>
      </c>
      <c r="D872" t="s">
        <v>9926</v>
      </c>
      <c r="E872" t="s">
        <v>10075</v>
      </c>
      <c r="F872">
        <v>10456</v>
      </c>
      <c r="G872" t="s">
        <v>10090</v>
      </c>
      <c r="H872" t="s">
        <v>10105</v>
      </c>
      <c r="I872" t="s">
        <v>10169</v>
      </c>
      <c r="J872" t="s">
        <v>10210</v>
      </c>
      <c r="K872" t="s">
        <v>10217</v>
      </c>
      <c r="M872" t="s">
        <v>10397</v>
      </c>
      <c r="N872" t="s">
        <v>10650</v>
      </c>
      <c r="P872" t="s">
        <v>10749</v>
      </c>
      <c r="Q872" t="s">
        <v>10765</v>
      </c>
      <c r="R872" t="s">
        <v>10821</v>
      </c>
      <c r="T872">
        <v>12408</v>
      </c>
      <c r="U872">
        <v>1034</v>
      </c>
      <c r="V872">
        <v>35</v>
      </c>
      <c r="W872">
        <v>2</v>
      </c>
      <c r="X872">
        <v>3</v>
      </c>
      <c r="Z872">
        <v>41.13</v>
      </c>
      <c r="AA872">
        <v>40.829372</v>
      </c>
      <c r="AB872">
        <v>-73.91876000000001</v>
      </c>
      <c r="AD872" t="s">
        <v>10839</v>
      </c>
      <c r="AF872" t="s">
        <v>10843</v>
      </c>
      <c r="AG872" t="s">
        <v>10859</v>
      </c>
      <c r="AH872" t="s">
        <v>10862</v>
      </c>
      <c r="AI872">
        <v>230</v>
      </c>
      <c r="AJ872" t="s">
        <v>10210</v>
      </c>
      <c r="AL872">
        <v>0</v>
      </c>
      <c r="AM872" t="s">
        <v>10884</v>
      </c>
      <c r="AN872" t="s">
        <v>10918</v>
      </c>
      <c r="AO872" t="s">
        <v>11001</v>
      </c>
      <c r="AP872" t="s">
        <v>11055</v>
      </c>
      <c r="AR872" t="s">
        <v>11268</v>
      </c>
      <c r="AS872" t="s">
        <v>9926</v>
      </c>
      <c r="AT872" t="s">
        <v>11641</v>
      </c>
      <c r="BA872" t="s">
        <v>11739</v>
      </c>
      <c r="BB872">
        <v>0</v>
      </c>
      <c r="BC872">
        <v>0</v>
      </c>
      <c r="BD872">
        <v>0</v>
      </c>
      <c r="BE872">
        <v>0</v>
      </c>
      <c r="BF872">
        <v>4</v>
      </c>
      <c r="BG872">
        <v>0</v>
      </c>
    </row>
    <row r="873" spans="1:59">
      <c r="A873" s="1">
        <f>HYPERLINK("https://lsnyc.legalserver.org/matter/dynamic-profile/view/1904660","19-1904660")</f>
        <v>0</v>
      </c>
      <c r="B873" t="s">
        <v>836</v>
      </c>
      <c r="C873" t="s">
        <v>5737</v>
      </c>
      <c r="D873" t="s">
        <v>9925</v>
      </c>
      <c r="E873" t="s">
        <v>10075</v>
      </c>
      <c r="F873">
        <v>10030</v>
      </c>
      <c r="G873" t="s">
        <v>10089</v>
      </c>
      <c r="H873" t="s">
        <v>10105</v>
      </c>
      <c r="I873" t="s">
        <v>10168</v>
      </c>
      <c r="J873" t="s">
        <v>10209</v>
      </c>
      <c r="K873" t="s">
        <v>10218</v>
      </c>
      <c r="L873" t="s">
        <v>10129</v>
      </c>
      <c r="M873" t="s">
        <v>10431</v>
      </c>
      <c r="N873" t="s">
        <v>10650</v>
      </c>
      <c r="P873" t="s">
        <v>10749</v>
      </c>
      <c r="Q873" t="s">
        <v>10765</v>
      </c>
      <c r="R873" t="s">
        <v>10820</v>
      </c>
      <c r="T873">
        <v>10104</v>
      </c>
      <c r="U873">
        <v>842</v>
      </c>
      <c r="V873">
        <v>36</v>
      </c>
      <c r="W873">
        <v>1</v>
      </c>
      <c r="X873">
        <v>0</v>
      </c>
      <c r="Y873" t="s">
        <v>10829</v>
      </c>
      <c r="Z873">
        <v>80.90000000000001</v>
      </c>
      <c r="AA873">
        <v>40.822294</v>
      </c>
      <c r="AB873">
        <v>-73.941975</v>
      </c>
      <c r="AD873" t="s">
        <v>10839</v>
      </c>
      <c r="AG873" t="s">
        <v>10858</v>
      </c>
      <c r="AH873" t="s">
        <v>10862</v>
      </c>
      <c r="AI873">
        <v>236</v>
      </c>
      <c r="AJ873" t="s">
        <v>10209</v>
      </c>
      <c r="AK873" t="s">
        <v>10838</v>
      </c>
      <c r="AL873">
        <v>1.75</v>
      </c>
      <c r="AM873" t="s">
        <v>10887</v>
      </c>
      <c r="AN873" t="s">
        <v>10943</v>
      </c>
      <c r="AO873" t="s">
        <v>11016</v>
      </c>
      <c r="AP873" t="s">
        <v>11076</v>
      </c>
      <c r="AR873" t="s">
        <v>11281</v>
      </c>
      <c r="AS873" t="s">
        <v>9925</v>
      </c>
      <c r="AT873" t="s">
        <v>11641</v>
      </c>
      <c r="AX873" t="s">
        <v>10838</v>
      </c>
      <c r="AY873" t="s">
        <v>10829</v>
      </c>
      <c r="AZ873" t="s">
        <v>11681</v>
      </c>
      <c r="BA873" t="s">
        <v>11741</v>
      </c>
      <c r="BB873">
        <v>0</v>
      </c>
      <c r="BC873">
        <v>0</v>
      </c>
      <c r="BD873">
        <v>0</v>
      </c>
      <c r="BE873">
        <v>0</v>
      </c>
      <c r="BF873">
        <v>1</v>
      </c>
      <c r="BG873">
        <v>0</v>
      </c>
    </row>
    <row r="874" spans="1:59">
      <c r="A874" s="1">
        <f>HYPERLINK("https://lsnyc.legalserver.org/matter/dynamic-profile/view/1904662","19-1904662")</f>
        <v>0</v>
      </c>
      <c r="B874" t="s">
        <v>837</v>
      </c>
      <c r="C874" t="s">
        <v>5738</v>
      </c>
      <c r="D874" t="s">
        <v>9928</v>
      </c>
      <c r="E874" t="s">
        <v>10075</v>
      </c>
      <c r="F874">
        <v>11217</v>
      </c>
      <c r="G874" t="s">
        <v>10093</v>
      </c>
      <c r="H874" t="s">
        <v>10130</v>
      </c>
      <c r="J874" t="s">
        <v>10213</v>
      </c>
      <c r="K874" t="s">
        <v>10217</v>
      </c>
      <c r="M874" t="s">
        <v>10238</v>
      </c>
      <c r="N874" t="s">
        <v>10653</v>
      </c>
      <c r="P874" t="s">
        <v>10749</v>
      </c>
      <c r="Q874" t="s">
        <v>10769</v>
      </c>
      <c r="R874" t="s">
        <v>10827</v>
      </c>
      <c r="T874">
        <v>42000</v>
      </c>
      <c r="U874">
        <v>3500</v>
      </c>
      <c r="V874">
        <v>64</v>
      </c>
      <c r="W874">
        <v>2</v>
      </c>
      <c r="X874">
        <v>0</v>
      </c>
      <c r="Z874">
        <v>248.37</v>
      </c>
      <c r="AA874">
        <v>40.683159</v>
      </c>
      <c r="AB874">
        <v>-73.977645</v>
      </c>
      <c r="AD874" t="s">
        <v>10840</v>
      </c>
      <c r="AF874" t="s">
        <v>10843</v>
      </c>
      <c r="AG874" t="s">
        <v>10859</v>
      </c>
      <c r="AH874" t="s">
        <v>10860</v>
      </c>
      <c r="AI874">
        <v>239</v>
      </c>
      <c r="AJ874" t="s">
        <v>10213</v>
      </c>
      <c r="AL874">
        <v>6.45</v>
      </c>
      <c r="AM874" t="s">
        <v>10888</v>
      </c>
      <c r="AN874" t="s">
        <v>10917</v>
      </c>
      <c r="AO874" t="s">
        <v>11007</v>
      </c>
      <c r="AP874" t="s">
        <v>11059</v>
      </c>
      <c r="AQ874" t="s">
        <v>11098</v>
      </c>
      <c r="AR874" t="s">
        <v>11336</v>
      </c>
      <c r="AS874" t="s">
        <v>11595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</row>
    <row r="875" spans="1:59">
      <c r="A875" s="1">
        <f>HYPERLINK("https://lsnyc.legalserver.org/matter/dynamic-profile/view/1904663","19-1904663")</f>
        <v>0</v>
      </c>
      <c r="B875" t="s">
        <v>183</v>
      </c>
      <c r="C875" t="s">
        <v>5739</v>
      </c>
      <c r="D875" t="s">
        <v>9926</v>
      </c>
      <c r="E875" t="s">
        <v>10075</v>
      </c>
      <c r="F875">
        <v>10453</v>
      </c>
      <c r="G875" t="s">
        <v>10091</v>
      </c>
      <c r="H875" t="s">
        <v>10105</v>
      </c>
      <c r="I875" t="s">
        <v>10168</v>
      </c>
      <c r="J875" t="s">
        <v>10214</v>
      </c>
      <c r="K875" t="s">
        <v>10217</v>
      </c>
      <c r="M875" t="s">
        <v>10286</v>
      </c>
      <c r="N875" t="s">
        <v>10671</v>
      </c>
      <c r="P875" t="s">
        <v>10751</v>
      </c>
      <c r="Q875" t="s">
        <v>10768</v>
      </c>
      <c r="R875" t="s">
        <v>10824</v>
      </c>
      <c r="T875">
        <v>0</v>
      </c>
      <c r="U875">
        <v>0</v>
      </c>
      <c r="V875">
        <v>51</v>
      </c>
      <c r="W875">
        <v>1</v>
      </c>
      <c r="X875">
        <v>0</v>
      </c>
      <c r="Z875">
        <v>0</v>
      </c>
      <c r="AA875">
        <v>40.852192</v>
      </c>
      <c r="AB875">
        <v>-73.906176</v>
      </c>
      <c r="AD875" t="s">
        <v>10839</v>
      </c>
      <c r="AG875" t="s">
        <v>10858</v>
      </c>
      <c r="AH875" t="s">
        <v>10871</v>
      </c>
      <c r="AI875">
        <v>234</v>
      </c>
      <c r="AJ875" t="s">
        <v>10214</v>
      </c>
      <c r="AL875">
        <v>1</v>
      </c>
      <c r="AM875" t="s">
        <v>10884</v>
      </c>
      <c r="AN875" t="s">
        <v>10931</v>
      </c>
      <c r="AO875" t="s">
        <v>11000</v>
      </c>
      <c r="AP875" t="s">
        <v>11045</v>
      </c>
      <c r="AR875" t="s">
        <v>11279</v>
      </c>
      <c r="AS875" t="s">
        <v>9926</v>
      </c>
      <c r="AT875" t="s">
        <v>11641</v>
      </c>
      <c r="AX875" t="s">
        <v>10838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</row>
    <row r="876" spans="1:59">
      <c r="A876" s="1">
        <f>HYPERLINK("https://lsnyc.legalserver.org/matter/dynamic-profile/view/1904664","19-1904664")</f>
        <v>0</v>
      </c>
      <c r="B876" t="s">
        <v>838</v>
      </c>
      <c r="C876" t="s">
        <v>5740</v>
      </c>
      <c r="D876" t="s">
        <v>9928</v>
      </c>
      <c r="E876" t="s">
        <v>10075</v>
      </c>
      <c r="F876">
        <v>11235</v>
      </c>
      <c r="G876" t="s">
        <v>10093</v>
      </c>
      <c r="H876" t="s">
        <v>10128</v>
      </c>
      <c r="I876" t="s">
        <v>10168</v>
      </c>
      <c r="J876" t="s">
        <v>10213</v>
      </c>
      <c r="K876" t="s">
        <v>10217</v>
      </c>
      <c r="M876" t="s">
        <v>10470</v>
      </c>
      <c r="N876" t="s">
        <v>10653</v>
      </c>
      <c r="P876" t="s">
        <v>10749</v>
      </c>
      <c r="Q876" t="s">
        <v>10759</v>
      </c>
      <c r="R876" t="s">
        <v>10820</v>
      </c>
      <c r="T876">
        <v>80200</v>
      </c>
      <c r="U876">
        <v>6683.33</v>
      </c>
      <c r="V876">
        <v>48</v>
      </c>
      <c r="W876">
        <v>2</v>
      </c>
      <c r="X876">
        <v>1</v>
      </c>
      <c r="Z876">
        <v>376</v>
      </c>
      <c r="AA876">
        <v>40.585164</v>
      </c>
      <c r="AB876">
        <v>-73.958938</v>
      </c>
      <c r="AC876" t="s">
        <v>10838</v>
      </c>
      <c r="AD876" t="s">
        <v>10840</v>
      </c>
      <c r="AG876" t="s">
        <v>10858</v>
      </c>
      <c r="AH876" t="s">
        <v>10860</v>
      </c>
      <c r="AI876">
        <v>239</v>
      </c>
      <c r="AJ876" t="s">
        <v>10213</v>
      </c>
      <c r="AL876">
        <v>18.75</v>
      </c>
      <c r="AM876" t="s">
        <v>10888</v>
      </c>
      <c r="AN876" t="s">
        <v>10965</v>
      </c>
      <c r="AO876" t="s">
        <v>11006</v>
      </c>
      <c r="AP876" t="s">
        <v>11092</v>
      </c>
      <c r="AQ876" t="s">
        <v>11098</v>
      </c>
      <c r="AR876" t="s">
        <v>11257</v>
      </c>
      <c r="AS876" t="s">
        <v>11595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</row>
    <row r="877" spans="1:59">
      <c r="A877" s="1">
        <f>HYPERLINK("https://lsnyc.legalserver.org/matter/dynamic-profile/view/1904665","19-1904665")</f>
        <v>0</v>
      </c>
      <c r="B877" t="s">
        <v>839</v>
      </c>
      <c r="C877" t="s">
        <v>5020</v>
      </c>
      <c r="D877" t="s">
        <v>9926</v>
      </c>
      <c r="E877" t="s">
        <v>10075</v>
      </c>
      <c r="F877">
        <v>10456</v>
      </c>
      <c r="G877" t="s">
        <v>10090</v>
      </c>
      <c r="H877" t="s">
        <v>10105</v>
      </c>
      <c r="I877" t="s">
        <v>10169</v>
      </c>
      <c r="J877" t="s">
        <v>10210</v>
      </c>
      <c r="K877" t="s">
        <v>10217</v>
      </c>
      <c r="M877" t="s">
        <v>10397</v>
      </c>
      <c r="N877" t="s">
        <v>10650</v>
      </c>
      <c r="P877" t="s">
        <v>10749</v>
      </c>
      <c r="Q877" t="s">
        <v>10765</v>
      </c>
      <c r="R877" t="s">
        <v>10821</v>
      </c>
      <c r="T877">
        <v>14818.8</v>
      </c>
      <c r="U877">
        <v>1234.9</v>
      </c>
      <c r="V877">
        <v>36</v>
      </c>
      <c r="W877">
        <v>2</v>
      </c>
      <c r="X877">
        <v>0</v>
      </c>
      <c r="Z877">
        <v>87.63</v>
      </c>
      <c r="AA877">
        <v>40.829372</v>
      </c>
      <c r="AB877">
        <v>-73.91876000000001</v>
      </c>
      <c r="AD877" t="s">
        <v>10839</v>
      </c>
      <c r="AG877" t="s">
        <v>10858</v>
      </c>
      <c r="AH877" t="s">
        <v>10862</v>
      </c>
      <c r="AI877">
        <v>230</v>
      </c>
      <c r="AJ877" t="s">
        <v>10210</v>
      </c>
      <c r="AL877">
        <v>0</v>
      </c>
      <c r="AM877" t="s">
        <v>10884</v>
      </c>
      <c r="AN877" t="s">
        <v>10918</v>
      </c>
      <c r="AO877" t="s">
        <v>11001</v>
      </c>
      <c r="AP877" t="s">
        <v>11055</v>
      </c>
      <c r="AR877" t="s">
        <v>11265</v>
      </c>
      <c r="AS877" t="s">
        <v>9926</v>
      </c>
      <c r="AT877" t="s">
        <v>11641</v>
      </c>
      <c r="BA877" t="s">
        <v>11739</v>
      </c>
      <c r="BB877">
        <v>0</v>
      </c>
      <c r="BC877">
        <v>0</v>
      </c>
      <c r="BD877">
        <v>0</v>
      </c>
      <c r="BE877">
        <v>0</v>
      </c>
      <c r="BF877">
        <v>4</v>
      </c>
      <c r="BG877">
        <v>0</v>
      </c>
    </row>
    <row r="878" spans="1:59">
      <c r="A878" s="1">
        <f>HYPERLINK("https://lsnyc.legalserver.org/matter/dynamic-profile/view/1904666","19-1904666")</f>
        <v>0</v>
      </c>
      <c r="B878" t="s">
        <v>840</v>
      </c>
      <c r="C878" t="s">
        <v>5741</v>
      </c>
      <c r="D878" t="s">
        <v>9928</v>
      </c>
      <c r="E878" t="s">
        <v>10075</v>
      </c>
      <c r="F878">
        <v>11225</v>
      </c>
      <c r="G878" t="s">
        <v>10093</v>
      </c>
      <c r="H878" t="s">
        <v>10107</v>
      </c>
      <c r="I878" t="s">
        <v>10168</v>
      </c>
      <c r="J878" t="s">
        <v>10213</v>
      </c>
      <c r="K878" t="s">
        <v>10217</v>
      </c>
      <c r="M878" t="s">
        <v>10504</v>
      </c>
      <c r="N878" t="s">
        <v>10698</v>
      </c>
      <c r="P878" t="s">
        <v>10756</v>
      </c>
      <c r="Q878" t="s">
        <v>10792</v>
      </c>
      <c r="R878" t="s">
        <v>10824</v>
      </c>
      <c r="T878">
        <v>11496</v>
      </c>
      <c r="U878">
        <v>958</v>
      </c>
      <c r="V878">
        <v>80</v>
      </c>
      <c r="W878">
        <v>1</v>
      </c>
      <c r="X878">
        <v>0</v>
      </c>
      <c r="Z878">
        <v>92.04000000000001</v>
      </c>
      <c r="AA878">
        <v>40.659282</v>
      </c>
      <c r="AB878">
        <v>-73.961113</v>
      </c>
      <c r="AD878" t="s">
        <v>10840</v>
      </c>
      <c r="AG878" t="s">
        <v>10858</v>
      </c>
      <c r="AH878" t="s">
        <v>10868</v>
      </c>
      <c r="AI878">
        <v>239</v>
      </c>
      <c r="AJ878" t="s">
        <v>10213</v>
      </c>
      <c r="AL878">
        <v>4.2</v>
      </c>
      <c r="AM878" t="s">
        <v>10888</v>
      </c>
      <c r="AN878" t="s">
        <v>10912</v>
      </c>
      <c r="AO878" t="s">
        <v>11008</v>
      </c>
      <c r="AP878" t="s">
        <v>11050</v>
      </c>
      <c r="AR878" t="s">
        <v>11253</v>
      </c>
      <c r="AS878" t="s">
        <v>11595</v>
      </c>
      <c r="AT878" t="s">
        <v>11642</v>
      </c>
      <c r="AV878" t="s">
        <v>11657</v>
      </c>
      <c r="AW878" t="s">
        <v>11669</v>
      </c>
      <c r="AX878" t="s">
        <v>10837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</row>
    <row r="879" spans="1:59">
      <c r="A879" s="1">
        <f>HYPERLINK("https://lsnyc.legalserver.org/matter/dynamic-profile/view/1904667","19-1904667")</f>
        <v>0</v>
      </c>
      <c r="C879" t="s">
        <v>5742</v>
      </c>
      <c r="D879" t="s">
        <v>9926</v>
      </c>
      <c r="E879" t="s">
        <v>10075</v>
      </c>
      <c r="F879">
        <v>10460</v>
      </c>
      <c r="G879" t="s">
        <v>10090</v>
      </c>
      <c r="H879" t="s">
        <v>10105</v>
      </c>
      <c r="I879" t="s">
        <v>10168</v>
      </c>
      <c r="J879" t="s">
        <v>10210</v>
      </c>
      <c r="K879" t="s">
        <v>10217</v>
      </c>
      <c r="M879" t="s">
        <v>10276</v>
      </c>
      <c r="N879" t="s">
        <v>10666</v>
      </c>
      <c r="P879" t="s">
        <v>10749</v>
      </c>
      <c r="Q879" t="s">
        <v>10765</v>
      </c>
      <c r="R879" t="s">
        <v>10823</v>
      </c>
      <c r="T879">
        <v>31176</v>
      </c>
      <c r="U879">
        <v>2598</v>
      </c>
      <c r="V879">
        <v>0</v>
      </c>
      <c r="W879">
        <v>1</v>
      </c>
      <c r="X879">
        <v>0</v>
      </c>
      <c r="Z879">
        <v>249.61</v>
      </c>
      <c r="AA879">
        <v>40.841921</v>
      </c>
      <c r="AB879">
        <v>-73.879324</v>
      </c>
      <c r="AD879" t="s">
        <v>10839</v>
      </c>
      <c r="AG879" t="s">
        <v>10858</v>
      </c>
      <c r="AH879" t="s">
        <v>10862</v>
      </c>
      <c r="AI879">
        <v>230</v>
      </c>
      <c r="AJ879" t="s">
        <v>10210</v>
      </c>
      <c r="AL879">
        <v>3.25</v>
      </c>
      <c r="AM879" t="s">
        <v>10884</v>
      </c>
      <c r="AN879" t="s">
        <v>10908</v>
      </c>
      <c r="AO879" t="s">
        <v>11001</v>
      </c>
      <c r="AP879" t="s">
        <v>11056</v>
      </c>
      <c r="AR879" t="s">
        <v>11257</v>
      </c>
      <c r="AS879" t="s">
        <v>9926</v>
      </c>
      <c r="AT879" t="s">
        <v>11641</v>
      </c>
      <c r="BA879" t="s">
        <v>11738</v>
      </c>
      <c r="BB879">
        <v>0</v>
      </c>
      <c r="BC879">
        <v>0</v>
      </c>
      <c r="BD879">
        <v>0</v>
      </c>
      <c r="BE879">
        <v>0</v>
      </c>
      <c r="BF879">
        <v>5</v>
      </c>
      <c r="BG879">
        <v>0</v>
      </c>
    </row>
    <row r="880" spans="1:59">
      <c r="A880" s="1">
        <f>HYPERLINK("https://lsnyc.legalserver.org/matter/dynamic-profile/view/1904668","19-1904668")</f>
        <v>0</v>
      </c>
      <c r="B880" t="s">
        <v>841</v>
      </c>
      <c r="C880" t="s">
        <v>5743</v>
      </c>
      <c r="D880" t="s">
        <v>9928</v>
      </c>
      <c r="E880" t="s">
        <v>10075</v>
      </c>
      <c r="F880">
        <v>11230</v>
      </c>
      <c r="G880" t="s">
        <v>10093</v>
      </c>
      <c r="H880" t="s">
        <v>10105</v>
      </c>
      <c r="I880" t="s">
        <v>10168</v>
      </c>
      <c r="J880" t="s">
        <v>10213</v>
      </c>
      <c r="K880" t="s">
        <v>10218</v>
      </c>
      <c r="L880" t="s">
        <v>10120</v>
      </c>
      <c r="M880" t="s">
        <v>10327</v>
      </c>
      <c r="N880" t="s">
        <v>10671</v>
      </c>
      <c r="P880" t="s">
        <v>10749</v>
      </c>
      <c r="Q880" t="s">
        <v>10765</v>
      </c>
      <c r="R880" t="s">
        <v>10821</v>
      </c>
      <c r="T880">
        <v>35000</v>
      </c>
      <c r="U880">
        <v>2916.67</v>
      </c>
      <c r="V880">
        <v>32</v>
      </c>
      <c r="W880">
        <v>2</v>
      </c>
      <c r="X880">
        <v>2</v>
      </c>
      <c r="Y880" t="s">
        <v>10829</v>
      </c>
      <c r="Z880">
        <v>135.92</v>
      </c>
      <c r="AA880">
        <v>40.631365</v>
      </c>
      <c r="AB880">
        <v>-73.96995200000001</v>
      </c>
      <c r="AC880" t="s">
        <v>10837</v>
      </c>
      <c r="AD880" t="s">
        <v>10840</v>
      </c>
      <c r="AG880" t="s">
        <v>10858</v>
      </c>
      <c r="AH880" t="s">
        <v>10861</v>
      </c>
      <c r="AI880">
        <v>234</v>
      </c>
      <c r="AJ880" t="s">
        <v>10214</v>
      </c>
      <c r="AK880" t="s">
        <v>10882</v>
      </c>
      <c r="AL880">
        <v>5.2</v>
      </c>
      <c r="AM880" t="s">
        <v>10888</v>
      </c>
      <c r="AN880" t="s">
        <v>10941</v>
      </c>
      <c r="AO880" t="s">
        <v>11015</v>
      </c>
      <c r="AP880" t="s">
        <v>11050</v>
      </c>
      <c r="AR880" t="s">
        <v>11257</v>
      </c>
      <c r="AS880" t="s">
        <v>11595</v>
      </c>
      <c r="AT880" t="s">
        <v>11642</v>
      </c>
      <c r="AX880" t="s">
        <v>10838</v>
      </c>
      <c r="AY880" t="s">
        <v>10829</v>
      </c>
      <c r="AZ880" t="s">
        <v>11681</v>
      </c>
      <c r="BA880" t="s">
        <v>11741</v>
      </c>
      <c r="BB880">
        <v>0</v>
      </c>
      <c r="BC880">
        <v>0</v>
      </c>
      <c r="BD880">
        <v>0</v>
      </c>
      <c r="BE880">
        <v>0</v>
      </c>
      <c r="BF880">
        <v>1</v>
      </c>
      <c r="BG880">
        <v>0</v>
      </c>
    </row>
    <row r="881" spans="1:59">
      <c r="A881" s="1">
        <f>HYPERLINK("https://lsnyc.legalserver.org/matter/dynamic-profile/view/1904669","19-1904669")</f>
        <v>0</v>
      </c>
      <c r="B881" t="s">
        <v>842</v>
      </c>
      <c r="C881" t="s">
        <v>5744</v>
      </c>
      <c r="D881" t="s">
        <v>9928</v>
      </c>
      <c r="E881" t="s">
        <v>10075</v>
      </c>
      <c r="F881">
        <v>11208</v>
      </c>
      <c r="G881" t="s">
        <v>10093</v>
      </c>
      <c r="H881" t="s">
        <v>10105</v>
      </c>
      <c r="I881" t="s">
        <v>10168</v>
      </c>
      <c r="J881" t="s">
        <v>10213</v>
      </c>
      <c r="K881" t="s">
        <v>10217</v>
      </c>
      <c r="M881" t="s">
        <v>10505</v>
      </c>
      <c r="N881" t="s">
        <v>10650</v>
      </c>
      <c r="P881" t="s">
        <v>10749</v>
      </c>
      <c r="Q881" t="s">
        <v>10765</v>
      </c>
      <c r="R881" t="s">
        <v>10822</v>
      </c>
      <c r="T881">
        <v>28656</v>
      </c>
      <c r="U881">
        <v>2388</v>
      </c>
      <c r="V881">
        <v>40</v>
      </c>
      <c r="W881">
        <v>1</v>
      </c>
      <c r="X881">
        <v>7</v>
      </c>
      <c r="Z881">
        <v>65.98</v>
      </c>
      <c r="AA881">
        <v>40.672718</v>
      </c>
      <c r="AB881">
        <v>-73.866073</v>
      </c>
      <c r="AD881" t="s">
        <v>10839</v>
      </c>
      <c r="AF881" t="s">
        <v>10843</v>
      </c>
      <c r="AG881" t="s">
        <v>10859</v>
      </c>
      <c r="AH881" t="s">
        <v>10862</v>
      </c>
      <c r="AI881">
        <v>239</v>
      </c>
      <c r="AJ881" t="s">
        <v>10213</v>
      </c>
      <c r="AL881">
        <v>25.5</v>
      </c>
      <c r="AM881" t="s">
        <v>10889</v>
      </c>
      <c r="AN881" t="s">
        <v>10946</v>
      </c>
      <c r="AO881" t="s">
        <v>11012</v>
      </c>
      <c r="AP881" t="s">
        <v>11060</v>
      </c>
      <c r="AQ881" t="s">
        <v>11101</v>
      </c>
      <c r="AR881" t="s">
        <v>11384</v>
      </c>
      <c r="AS881" t="s">
        <v>11595</v>
      </c>
      <c r="AT881" t="s">
        <v>11641</v>
      </c>
      <c r="AX881" t="s">
        <v>10838</v>
      </c>
      <c r="BA881" t="s">
        <v>11738</v>
      </c>
      <c r="BB881">
        <v>0</v>
      </c>
      <c r="BC881">
        <v>0</v>
      </c>
      <c r="BD881">
        <v>0</v>
      </c>
      <c r="BE881">
        <v>0</v>
      </c>
      <c r="BF881">
        <v>5</v>
      </c>
      <c r="BG881">
        <v>0</v>
      </c>
    </row>
    <row r="882" spans="1:59">
      <c r="A882" s="1">
        <f>HYPERLINK("https://lsnyc.legalserver.org/matter/dynamic-profile/view/1904671","19-1904671")</f>
        <v>0</v>
      </c>
      <c r="B882" t="s">
        <v>843</v>
      </c>
      <c r="C882" t="s">
        <v>5745</v>
      </c>
      <c r="D882" t="s">
        <v>9925</v>
      </c>
      <c r="E882" t="s">
        <v>10075</v>
      </c>
      <c r="F882">
        <v>10016</v>
      </c>
      <c r="G882" t="s">
        <v>10089</v>
      </c>
      <c r="H882" t="s">
        <v>10105</v>
      </c>
      <c r="I882" t="s">
        <v>10168</v>
      </c>
      <c r="J882" t="s">
        <v>10209</v>
      </c>
      <c r="K882" t="s">
        <v>10217</v>
      </c>
      <c r="M882" t="s">
        <v>10501</v>
      </c>
      <c r="N882" t="s">
        <v>10703</v>
      </c>
      <c r="P882" t="s">
        <v>10749</v>
      </c>
      <c r="Q882" t="s">
        <v>10767</v>
      </c>
      <c r="R882" t="s">
        <v>10824</v>
      </c>
      <c r="T882">
        <v>2548</v>
      </c>
      <c r="U882">
        <v>212.33</v>
      </c>
      <c r="V882">
        <v>56</v>
      </c>
      <c r="W882">
        <v>1</v>
      </c>
      <c r="X882">
        <v>0</v>
      </c>
      <c r="Z882">
        <v>20.4</v>
      </c>
      <c r="AA882">
        <v>40.739904</v>
      </c>
      <c r="AB882">
        <v>-73.97680800000001</v>
      </c>
      <c r="AD882" t="s">
        <v>10839</v>
      </c>
      <c r="AG882" t="s">
        <v>10858</v>
      </c>
      <c r="AH882" t="s">
        <v>10862</v>
      </c>
      <c r="AI882">
        <v>236</v>
      </c>
      <c r="AJ882" t="s">
        <v>10209</v>
      </c>
      <c r="AL882">
        <v>0.5</v>
      </c>
      <c r="AM882" t="s">
        <v>10891</v>
      </c>
      <c r="AN882" t="s">
        <v>10910</v>
      </c>
      <c r="AO882" t="s">
        <v>11021</v>
      </c>
      <c r="AP882" t="s">
        <v>11048</v>
      </c>
      <c r="AR882" t="s">
        <v>11255</v>
      </c>
      <c r="AS882" t="s">
        <v>9925</v>
      </c>
      <c r="BA882" t="s">
        <v>11741</v>
      </c>
      <c r="BB882">
        <v>0</v>
      </c>
      <c r="BC882">
        <v>0</v>
      </c>
      <c r="BD882">
        <v>0</v>
      </c>
      <c r="BE882">
        <v>0</v>
      </c>
      <c r="BF882">
        <v>1</v>
      </c>
      <c r="BG882">
        <v>0</v>
      </c>
    </row>
    <row r="883" spans="1:59">
      <c r="A883" s="1">
        <f>HYPERLINK("https://lsnyc.legalserver.org/matter/dynamic-profile/view/1904672","19-1904672")</f>
        <v>0</v>
      </c>
      <c r="B883" t="s">
        <v>844</v>
      </c>
      <c r="C883" t="s">
        <v>5020</v>
      </c>
      <c r="D883" t="s">
        <v>9926</v>
      </c>
      <c r="E883" t="s">
        <v>10075</v>
      </c>
      <c r="F883">
        <v>10456</v>
      </c>
      <c r="G883" t="s">
        <v>10090</v>
      </c>
      <c r="H883" t="s">
        <v>10105</v>
      </c>
      <c r="I883" t="s">
        <v>10168</v>
      </c>
      <c r="J883" t="s">
        <v>10210</v>
      </c>
      <c r="K883" t="s">
        <v>10217</v>
      </c>
      <c r="M883" t="s">
        <v>10397</v>
      </c>
      <c r="N883" t="s">
        <v>10650</v>
      </c>
      <c r="P883" t="s">
        <v>10749</v>
      </c>
      <c r="Q883" t="s">
        <v>10765</v>
      </c>
      <c r="R883" t="s">
        <v>10821</v>
      </c>
      <c r="T883">
        <v>13000</v>
      </c>
      <c r="U883">
        <v>1083.33</v>
      </c>
      <c r="V883">
        <v>49</v>
      </c>
      <c r="W883">
        <v>1</v>
      </c>
      <c r="X883">
        <v>1</v>
      </c>
      <c r="Z883">
        <v>76.88</v>
      </c>
      <c r="AA883">
        <v>40.829372</v>
      </c>
      <c r="AB883">
        <v>-73.91876000000001</v>
      </c>
      <c r="AD883" t="s">
        <v>10839</v>
      </c>
      <c r="AG883" t="s">
        <v>10858</v>
      </c>
      <c r="AH883" t="s">
        <v>10862</v>
      </c>
      <c r="AI883">
        <v>230</v>
      </c>
      <c r="AJ883" t="s">
        <v>10210</v>
      </c>
      <c r="AL883">
        <v>0</v>
      </c>
      <c r="AM883" t="s">
        <v>10884</v>
      </c>
      <c r="AN883" t="s">
        <v>10918</v>
      </c>
      <c r="AO883" t="s">
        <v>11001</v>
      </c>
      <c r="AP883" t="s">
        <v>11055</v>
      </c>
      <c r="AR883" t="s">
        <v>11257</v>
      </c>
      <c r="AS883" t="s">
        <v>9926</v>
      </c>
      <c r="AT883" t="s">
        <v>11641</v>
      </c>
      <c r="BA883" t="s">
        <v>11739</v>
      </c>
      <c r="BB883">
        <v>0</v>
      </c>
      <c r="BC883">
        <v>0</v>
      </c>
      <c r="BD883">
        <v>0</v>
      </c>
      <c r="BE883">
        <v>0</v>
      </c>
      <c r="BF883">
        <v>4</v>
      </c>
      <c r="BG883">
        <v>0</v>
      </c>
    </row>
    <row r="884" spans="1:59">
      <c r="A884" s="1">
        <f>HYPERLINK("https://lsnyc.legalserver.org/matter/dynamic-profile/view/1904673","19-1904673")</f>
        <v>0</v>
      </c>
      <c r="B884" t="s">
        <v>845</v>
      </c>
      <c r="C884" t="s">
        <v>5746</v>
      </c>
      <c r="D884" t="s">
        <v>9928</v>
      </c>
      <c r="E884" t="s">
        <v>10075</v>
      </c>
      <c r="F884">
        <v>11226</v>
      </c>
      <c r="G884" t="s">
        <v>10093</v>
      </c>
      <c r="H884" t="s">
        <v>10105</v>
      </c>
      <c r="I884" t="s">
        <v>10168</v>
      </c>
      <c r="J884" t="s">
        <v>10213</v>
      </c>
      <c r="K884" t="s">
        <v>10217</v>
      </c>
      <c r="M884" t="s">
        <v>10317</v>
      </c>
      <c r="N884" t="s">
        <v>10698</v>
      </c>
      <c r="P884" t="s">
        <v>10751</v>
      </c>
      <c r="Q884" t="s">
        <v>10761</v>
      </c>
      <c r="R884" t="s">
        <v>10824</v>
      </c>
      <c r="T884">
        <v>9252</v>
      </c>
      <c r="U884">
        <v>771</v>
      </c>
      <c r="V884">
        <v>54</v>
      </c>
      <c r="W884">
        <v>2</v>
      </c>
      <c r="X884">
        <v>0</v>
      </c>
      <c r="Z884">
        <v>54.71</v>
      </c>
      <c r="AA884">
        <v>40.646783</v>
      </c>
      <c r="AB884">
        <v>-73.962091</v>
      </c>
      <c r="AD884" t="s">
        <v>10840</v>
      </c>
      <c r="AF884" t="s">
        <v>10843</v>
      </c>
      <c r="AG884" t="s">
        <v>10859</v>
      </c>
      <c r="AH884" t="s">
        <v>10868</v>
      </c>
      <c r="AI884">
        <v>239</v>
      </c>
      <c r="AJ884" t="s">
        <v>10213</v>
      </c>
      <c r="AL884">
        <v>10</v>
      </c>
      <c r="AM884" t="s">
        <v>10888</v>
      </c>
      <c r="AN884" t="s">
        <v>10932</v>
      </c>
      <c r="AO884" t="s">
        <v>11008</v>
      </c>
      <c r="AP884" t="s">
        <v>11050</v>
      </c>
      <c r="AR884" t="s">
        <v>11253</v>
      </c>
      <c r="AS884" t="s">
        <v>11595</v>
      </c>
      <c r="AT884" t="s">
        <v>11642</v>
      </c>
      <c r="AX884" t="s">
        <v>10838</v>
      </c>
      <c r="BA884" t="s">
        <v>11742</v>
      </c>
      <c r="BB884">
        <v>0</v>
      </c>
      <c r="BC884">
        <v>0</v>
      </c>
      <c r="BD884">
        <v>0</v>
      </c>
      <c r="BE884">
        <v>0</v>
      </c>
      <c r="BF884">
        <v>7</v>
      </c>
      <c r="BG884">
        <v>0</v>
      </c>
    </row>
    <row r="885" spans="1:59">
      <c r="A885" s="1">
        <f>HYPERLINK("https://lsnyc.legalserver.org/matter/dynamic-profile/view/1904674","19-1904674")</f>
        <v>0</v>
      </c>
      <c r="B885" t="s">
        <v>846</v>
      </c>
      <c r="C885" t="s">
        <v>5747</v>
      </c>
      <c r="D885" t="s">
        <v>9938</v>
      </c>
      <c r="E885" t="s">
        <v>10075</v>
      </c>
      <c r="F885">
        <v>11434</v>
      </c>
      <c r="G885" t="s">
        <v>10092</v>
      </c>
      <c r="H885" t="s">
        <v>10105</v>
      </c>
      <c r="I885" t="s">
        <v>10168</v>
      </c>
      <c r="J885" t="s">
        <v>10212</v>
      </c>
      <c r="K885" t="s">
        <v>10217</v>
      </c>
      <c r="M885" t="s">
        <v>10347</v>
      </c>
      <c r="N885" t="s">
        <v>10693</v>
      </c>
      <c r="P885" t="s">
        <v>10749</v>
      </c>
      <c r="Q885" t="s">
        <v>10765</v>
      </c>
      <c r="R885" t="s">
        <v>10824</v>
      </c>
      <c r="T885">
        <v>100800</v>
      </c>
      <c r="U885">
        <v>8400</v>
      </c>
      <c r="V885">
        <v>44</v>
      </c>
      <c r="W885">
        <v>8</v>
      </c>
      <c r="X885">
        <v>0</v>
      </c>
      <c r="Z885">
        <v>232.1</v>
      </c>
      <c r="AA885">
        <v>40.688108</v>
      </c>
      <c r="AB885">
        <v>-73.787542</v>
      </c>
      <c r="AD885" t="s">
        <v>10839</v>
      </c>
      <c r="AG885" t="s">
        <v>10858</v>
      </c>
      <c r="AH885" t="s">
        <v>10862</v>
      </c>
      <c r="AI885">
        <v>237</v>
      </c>
      <c r="AJ885" t="s">
        <v>10212</v>
      </c>
      <c r="AL885">
        <v>3.43</v>
      </c>
      <c r="AM885" t="s">
        <v>10892</v>
      </c>
      <c r="AN885" t="s">
        <v>10951</v>
      </c>
      <c r="AO885" t="s">
        <v>11017</v>
      </c>
      <c r="AP885" t="s">
        <v>11070</v>
      </c>
      <c r="AR885" t="s">
        <v>11280</v>
      </c>
      <c r="AS885" t="s">
        <v>11594</v>
      </c>
      <c r="AT885" t="s">
        <v>11641</v>
      </c>
      <c r="AW885" t="s">
        <v>10839</v>
      </c>
      <c r="BA885" t="s">
        <v>11738</v>
      </c>
      <c r="BB885">
        <v>0</v>
      </c>
      <c r="BC885">
        <v>0</v>
      </c>
      <c r="BD885">
        <v>0</v>
      </c>
      <c r="BE885">
        <v>0</v>
      </c>
      <c r="BF885">
        <v>5</v>
      </c>
      <c r="BG885">
        <v>0</v>
      </c>
    </row>
    <row r="886" spans="1:59">
      <c r="A886" s="1">
        <f>HYPERLINK("https://lsnyc.legalserver.org/matter/dynamic-profile/view/1904675","19-1904675")</f>
        <v>0</v>
      </c>
      <c r="B886" t="s">
        <v>847</v>
      </c>
      <c r="C886" t="s">
        <v>5020</v>
      </c>
      <c r="D886" t="s">
        <v>9926</v>
      </c>
      <c r="E886" t="s">
        <v>10075</v>
      </c>
      <c r="F886">
        <v>10456</v>
      </c>
      <c r="G886" t="s">
        <v>10090</v>
      </c>
      <c r="H886" t="s">
        <v>10105</v>
      </c>
      <c r="I886" t="s">
        <v>10169</v>
      </c>
      <c r="J886" t="s">
        <v>10210</v>
      </c>
      <c r="K886" t="s">
        <v>10217</v>
      </c>
      <c r="M886" t="s">
        <v>10397</v>
      </c>
      <c r="N886" t="s">
        <v>10650</v>
      </c>
      <c r="P886" t="s">
        <v>10749</v>
      </c>
      <c r="Q886" t="s">
        <v>10765</v>
      </c>
      <c r="R886" t="s">
        <v>10821</v>
      </c>
      <c r="T886">
        <v>10044</v>
      </c>
      <c r="U886">
        <v>837</v>
      </c>
      <c r="V886">
        <v>66</v>
      </c>
      <c r="W886">
        <v>1</v>
      </c>
      <c r="X886">
        <v>0</v>
      </c>
      <c r="Z886">
        <v>80.42</v>
      </c>
      <c r="AA886">
        <v>40.829372</v>
      </c>
      <c r="AB886">
        <v>-73.91876000000001</v>
      </c>
      <c r="AD886" t="s">
        <v>10839</v>
      </c>
      <c r="AG886" t="s">
        <v>10858</v>
      </c>
      <c r="AH886" t="s">
        <v>10862</v>
      </c>
      <c r="AI886">
        <v>230</v>
      </c>
      <c r="AJ886" t="s">
        <v>10210</v>
      </c>
      <c r="AL886">
        <v>0</v>
      </c>
      <c r="AM886" t="s">
        <v>10884</v>
      </c>
      <c r="AN886" t="s">
        <v>10918</v>
      </c>
      <c r="AO886" t="s">
        <v>11001</v>
      </c>
      <c r="AP886" t="s">
        <v>11055</v>
      </c>
      <c r="AR886" t="s">
        <v>11263</v>
      </c>
      <c r="AS886" t="s">
        <v>9926</v>
      </c>
      <c r="AT886" t="s">
        <v>11641</v>
      </c>
      <c r="BA886" t="s">
        <v>11739</v>
      </c>
      <c r="BB886">
        <v>0</v>
      </c>
      <c r="BC886">
        <v>0</v>
      </c>
      <c r="BD886">
        <v>0</v>
      </c>
      <c r="BE886">
        <v>0</v>
      </c>
      <c r="BF886">
        <v>4</v>
      </c>
      <c r="BG886">
        <v>0</v>
      </c>
    </row>
    <row r="887" spans="1:59">
      <c r="A887" s="1">
        <f>HYPERLINK("https://lsnyc.legalserver.org/matter/dynamic-profile/view/1904676","19-1904676")</f>
        <v>0</v>
      </c>
      <c r="B887" t="s">
        <v>848</v>
      </c>
      <c r="C887" t="s">
        <v>5748</v>
      </c>
      <c r="D887" t="s">
        <v>9981</v>
      </c>
      <c r="E887" t="s">
        <v>10075</v>
      </c>
      <c r="F887">
        <v>11378</v>
      </c>
      <c r="G887" t="s">
        <v>10092</v>
      </c>
      <c r="H887" t="s">
        <v>10105</v>
      </c>
      <c r="I887" t="s">
        <v>10168</v>
      </c>
      <c r="J887" t="s">
        <v>10212</v>
      </c>
      <c r="K887" t="s">
        <v>10218</v>
      </c>
      <c r="L887" t="s">
        <v>10123</v>
      </c>
      <c r="M887" t="s">
        <v>10502</v>
      </c>
      <c r="N887" t="s">
        <v>10671</v>
      </c>
      <c r="P887" t="s">
        <v>10755</v>
      </c>
      <c r="Q887" t="s">
        <v>10772</v>
      </c>
      <c r="R887" t="s">
        <v>10820</v>
      </c>
      <c r="T887">
        <v>33800</v>
      </c>
      <c r="U887">
        <v>2816.67</v>
      </c>
      <c r="V887">
        <v>15</v>
      </c>
      <c r="W887">
        <v>1</v>
      </c>
      <c r="X887">
        <v>1</v>
      </c>
      <c r="Y887" t="s">
        <v>10829</v>
      </c>
      <c r="Z887">
        <v>199.88</v>
      </c>
      <c r="AA887">
        <v>40.732726</v>
      </c>
      <c r="AB887">
        <v>-73.900143</v>
      </c>
      <c r="AD887" t="s">
        <v>10840</v>
      </c>
      <c r="AG887" t="s">
        <v>10858</v>
      </c>
      <c r="AH887" t="s">
        <v>10871</v>
      </c>
      <c r="AI887">
        <v>234</v>
      </c>
      <c r="AJ887" t="s">
        <v>10214</v>
      </c>
      <c r="AK887" t="s">
        <v>10882</v>
      </c>
      <c r="AL887">
        <v>1.76</v>
      </c>
      <c r="AM887" t="s">
        <v>10890</v>
      </c>
      <c r="AN887" t="s">
        <v>10935</v>
      </c>
      <c r="AO887" t="s">
        <v>11024</v>
      </c>
      <c r="AP887" t="s">
        <v>11077</v>
      </c>
      <c r="AR887" t="s">
        <v>11257</v>
      </c>
      <c r="AS887" t="s">
        <v>11594</v>
      </c>
      <c r="AT887" t="s">
        <v>11642</v>
      </c>
      <c r="AX887" t="s">
        <v>10838</v>
      </c>
      <c r="AY887" t="s">
        <v>10829</v>
      </c>
      <c r="AZ887" t="s">
        <v>11712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</row>
    <row r="888" spans="1:59">
      <c r="A888" s="1">
        <f>HYPERLINK("https://lsnyc.legalserver.org/matter/dynamic-profile/view/1904677","19-1904677")</f>
        <v>0</v>
      </c>
      <c r="B888" t="s">
        <v>849</v>
      </c>
      <c r="C888" t="s">
        <v>5749</v>
      </c>
      <c r="D888" t="s">
        <v>9926</v>
      </c>
      <c r="E888" t="s">
        <v>10075</v>
      </c>
      <c r="F888">
        <v>10468</v>
      </c>
      <c r="G888" t="s">
        <v>10090</v>
      </c>
      <c r="H888" t="s">
        <v>10105</v>
      </c>
      <c r="I888" t="s">
        <v>10168</v>
      </c>
      <c r="J888" t="s">
        <v>10210</v>
      </c>
      <c r="K888" t="s">
        <v>10217</v>
      </c>
      <c r="M888" t="s">
        <v>10271</v>
      </c>
      <c r="N888" t="s">
        <v>10651</v>
      </c>
      <c r="P888" t="s">
        <v>10749</v>
      </c>
      <c r="Q888" t="s">
        <v>10765</v>
      </c>
      <c r="R888" t="s">
        <v>10821</v>
      </c>
      <c r="T888">
        <v>10044</v>
      </c>
      <c r="U888">
        <v>837</v>
      </c>
      <c r="V888">
        <v>57</v>
      </c>
      <c r="W888">
        <v>1</v>
      </c>
      <c r="X888">
        <v>0</v>
      </c>
      <c r="Z888">
        <v>80.42</v>
      </c>
      <c r="AA888">
        <v>40.874648</v>
      </c>
      <c r="AB888">
        <v>-73.887496</v>
      </c>
      <c r="AD888" t="s">
        <v>10840</v>
      </c>
      <c r="AG888" t="s">
        <v>10858</v>
      </c>
      <c r="AH888" t="s">
        <v>10862</v>
      </c>
      <c r="AI888">
        <v>230</v>
      </c>
      <c r="AJ888" t="s">
        <v>10210</v>
      </c>
      <c r="AL888">
        <v>3.5</v>
      </c>
      <c r="AM888" t="s">
        <v>10887</v>
      </c>
      <c r="AN888" t="s">
        <v>10907</v>
      </c>
      <c r="AO888" t="s">
        <v>11002</v>
      </c>
      <c r="AP888" t="s">
        <v>11057</v>
      </c>
      <c r="AR888" t="s">
        <v>11263</v>
      </c>
      <c r="AS888" t="s">
        <v>9926</v>
      </c>
      <c r="BA888" t="s">
        <v>11738</v>
      </c>
      <c r="BB888">
        <v>0</v>
      </c>
      <c r="BC888">
        <v>0</v>
      </c>
      <c r="BD888">
        <v>0</v>
      </c>
      <c r="BE888">
        <v>0</v>
      </c>
      <c r="BF888">
        <v>5</v>
      </c>
      <c r="BG888">
        <v>0</v>
      </c>
    </row>
    <row r="889" spans="1:59">
      <c r="A889" s="1">
        <f>HYPERLINK("https://lsnyc.legalserver.org/matter/dynamic-profile/view/1904678","19-1904678")</f>
        <v>0</v>
      </c>
      <c r="B889" t="s">
        <v>850</v>
      </c>
      <c r="C889" t="s">
        <v>5750</v>
      </c>
      <c r="D889" t="s">
        <v>9926</v>
      </c>
      <c r="E889" t="s">
        <v>10075</v>
      </c>
      <c r="F889">
        <v>10463</v>
      </c>
      <c r="G889" t="s">
        <v>10089</v>
      </c>
      <c r="H889" t="s">
        <v>10105</v>
      </c>
      <c r="I889" t="s">
        <v>10169</v>
      </c>
      <c r="J889" t="s">
        <v>10209</v>
      </c>
      <c r="K889" t="s">
        <v>10217</v>
      </c>
      <c r="M889" t="s">
        <v>10501</v>
      </c>
      <c r="N889" t="s">
        <v>10650</v>
      </c>
      <c r="P889" t="s">
        <v>10749</v>
      </c>
      <c r="Q889" t="s">
        <v>10765</v>
      </c>
      <c r="R889" t="s">
        <v>10821</v>
      </c>
      <c r="T889">
        <v>10292.04</v>
      </c>
      <c r="U889">
        <v>857.67</v>
      </c>
      <c r="V889">
        <v>51</v>
      </c>
      <c r="W889">
        <v>1</v>
      </c>
      <c r="X889">
        <v>1</v>
      </c>
      <c r="Z889">
        <v>60.86</v>
      </c>
      <c r="AA889">
        <v>40.87543</v>
      </c>
      <c r="AB889">
        <v>-73.91206200000001</v>
      </c>
      <c r="AD889" t="s">
        <v>10839</v>
      </c>
      <c r="AF889" t="s">
        <v>10843</v>
      </c>
      <c r="AG889" t="s">
        <v>10859</v>
      </c>
      <c r="AH889" t="s">
        <v>10861</v>
      </c>
      <c r="AI889">
        <v>236</v>
      </c>
      <c r="AJ889" t="s">
        <v>10209</v>
      </c>
      <c r="AL889">
        <v>8.9</v>
      </c>
      <c r="AM889" t="s">
        <v>10887</v>
      </c>
      <c r="AN889" t="s">
        <v>10937</v>
      </c>
      <c r="AO889" t="s">
        <v>11019</v>
      </c>
      <c r="AP889" t="s">
        <v>11074</v>
      </c>
      <c r="AR889" t="s">
        <v>11385</v>
      </c>
      <c r="AS889" t="s">
        <v>9926</v>
      </c>
      <c r="BA889" t="s">
        <v>11742</v>
      </c>
      <c r="BB889">
        <v>0</v>
      </c>
      <c r="BC889">
        <v>0</v>
      </c>
      <c r="BD889">
        <v>0</v>
      </c>
      <c r="BE889">
        <v>0</v>
      </c>
      <c r="BF889">
        <v>7</v>
      </c>
      <c r="BG889">
        <v>0</v>
      </c>
    </row>
    <row r="890" spans="1:59">
      <c r="A890" s="1">
        <f>HYPERLINK("https://lsnyc.legalserver.org/matter/dynamic-profile/view/1904679","19-1904679")</f>
        <v>0</v>
      </c>
      <c r="B890" t="s">
        <v>851</v>
      </c>
      <c r="C890" t="s">
        <v>5751</v>
      </c>
      <c r="D890" t="s">
        <v>9941</v>
      </c>
      <c r="E890" t="s">
        <v>10075</v>
      </c>
      <c r="F890">
        <v>11428</v>
      </c>
      <c r="G890" t="s">
        <v>10092</v>
      </c>
      <c r="H890" t="s">
        <v>10105</v>
      </c>
      <c r="J890" t="s">
        <v>10212</v>
      </c>
      <c r="K890" t="s">
        <v>10218</v>
      </c>
      <c r="L890" t="s">
        <v>10104</v>
      </c>
      <c r="M890" t="s">
        <v>10497</v>
      </c>
      <c r="N890" t="s">
        <v>10669</v>
      </c>
      <c r="P890" t="s">
        <v>10754</v>
      </c>
      <c r="Q890" t="s">
        <v>10777</v>
      </c>
      <c r="R890" t="s">
        <v>10822</v>
      </c>
      <c r="T890">
        <v>0</v>
      </c>
      <c r="U890">
        <v>0</v>
      </c>
      <c r="V890">
        <v>37</v>
      </c>
      <c r="W890">
        <v>1</v>
      </c>
      <c r="X890">
        <v>2</v>
      </c>
      <c r="Y890" t="s">
        <v>10829</v>
      </c>
      <c r="Z890">
        <v>0</v>
      </c>
      <c r="AA890">
        <v>40.717082</v>
      </c>
      <c r="AB890">
        <v>-73.74144800000001</v>
      </c>
      <c r="AD890" t="s">
        <v>10839</v>
      </c>
      <c r="AF890" t="s">
        <v>10842</v>
      </c>
      <c r="AG890" t="s">
        <v>10859</v>
      </c>
      <c r="AH890" t="s">
        <v>10865</v>
      </c>
      <c r="AI890">
        <v>237</v>
      </c>
      <c r="AJ890" t="s">
        <v>10212</v>
      </c>
      <c r="AK890" t="s">
        <v>10837</v>
      </c>
      <c r="AL890">
        <v>1.75</v>
      </c>
      <c r="AM890" t="s">
        <v>10892</v>
      </c>
      <c r="AN890" t="s">
        <v>10940</v>
      </c>
      <c r="AO890" t="s">
        <v>11020</v>
      </c>
      <c r="AP890" t="s">
        <v>11078</v>
      </c>
      <c r="AR890" t="s">
        <v>11267</v>
      </c>
      <c r="AS890" t="s">
        <v>11594</v>
      </c>
      <c r="AY890" t="s">
        <v>10829</v>
      </c>
      <c r="AZ890" t="s">
        <v>11683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</row>
    <row r="891" spans="1:59">
      <c r="A891" s="1">
        <f>HYPERLINK("https://lsnyc.legalserver.org/matter/dynamic-profile/view/1904680","19-1904680")</f>
        <v>0</v>
      </c>
      <c r="B891" t="s">
        <v>852</v>
      </c>
      <c r="C891" t="s">
        <v>5752</v>
      </c>
      <c r="D891" t="s">
        <v>9938</v>
      </c>
      <c r="E891" t="s">
        <v>10075</v>
      </c>
      <c r="F891">
        <v>11435</v>
      </c>
      <c r="G891" t="s">
        <v>10092</v>
      </c>
      <c r="H891" t="s">
        <v>10105</v>
      </c>
      <c r="I891" t="s">
        <v>10169</v>
      </c>
      <c r="J891" t="s">
        <v>10212</v>
      </c>
      <c r="K891" t="s">
        <v>10217</v>
      </c>
      <c r="M891" t="s">
        <v>10232</v>
      </c>
      <c r="N891" t="s">
        <v>10679</v>
      </c>
      <c r="P891" t="s">
        <v>10753</v>
      </c>
      <c r="Q891" t="s">
        <v>10763</v>
      </c>
      <c r="R891" t="s">
        <v>10821</v>
      </c>
      <c r="T891">
        <v>86580</v>
      </c>
      <c r="U891">
        <v>7215</v>
      </c>
      <c r="V891">
        <v>7</v>
      </c>
      <c r="W891">
        <v>3</v>
      </c>
      <c r="X891">
        <v>5</v>
      </c>
      <c r="Z891">
        <v>199.36</v>
      </c>
      <c r="AA891">
        <v>40.703069</v>
      </c>
      <c r="AB891">
        <v>-73.806708</v>
      </c>
      <c r="AD891" t="s">
        <v>10839</v>
      </c>
      <c r="AF891" t="s">
        <v>10842</v>
      </c>
      <c r="AG891" t="s">
        <v>10859</v>
      </c>
      <c r="AH891" t="s">
        <v>10861</v>
      </c>
      <c r="AI891">
        <v>234</v>
      </c>
      <c r="AJ891" t="s">
        <v>10214</v>
      </c>
      <c r="AL891">
        <v>6.2</v>
      </c>
      <c r="AM891" t="s">
        <v>10892</v>
      </c>
      <c r="AN891" t="s">
        <v>10951</v>
      </c>
      <c r="AO891" t="s">
        <v>11020</v>
      </c>
      <c r="AP891" t="s">
        <v>11081</v>
      </c>
      <c r="AQ891" t="s">
        <v>11119</v>
      </c>
      <c r="AR891" t="s">
        <v>11257</v>
      </c>
      <c r="AS891" t="s">
        <v>11594</v>
      </c>
      <c r="AT891" t="s">
        <v>11641</v>
      </c>
      <c r="AX891" t="s">
        <v>10838</v>
      </c>
      <c r="BA891" t="s">
        <v>11743</v>
      </c>
      <c r="BB891">
        <v>0</v>
      </c>
      <c r="BC891">
        <v>0</v>
      </c>
      <c r="BD891">
        <v>0</v>
      </c>
      <c r="BE891">
        <v>0</v>
      </c>
      <c r="BF891">
        <v>40</v>
      </c>
      <c r="BG891">
        <v>0</v>
      </c>
    </row>
    <row r="892" spans="1:59">
      <c r="A892" s="1">
        <f>HYPERLINK("https://lsnyc.legalserver.org/matter/dynamic-profile/view/1904681","19-1904681")</f>
        <v>0</v>
      </c>
      <c r="B892" t="s">
        <v>853</v>
      </c>
      <c r="C892" t="s">
        <v>5753</v>
      </c>
      <c r="D892" t="s">
        <v>9951</v>
      </c>
      <c r="E892" t="s">
        <v>10075</v>
      </c>
      <c r="F892">
        <v>11416</v>
      </c>
      <c r="G892" t="s">
        <v>10092</v>
      </c>
      <c r="H892" t="s">
        <v>10105</v>
      </c>
      <c r="I892" t="s">
        <v>10168</v>
      </c>
      <c r="J892" t="s">
        <v>10212</v>
      </c>
      <c r="K892" t="s">
        <v>10217</v>
      </c>
      <c r="M892" t="s">
        <v>10408</v>
      </c>
      <c r="N892" t="s">
        <v>10650</v>
      </c>
      <c r="P892" t="s">
        <v>10749</v>
      </c>
      <c r="Q892" t="s">
        <v>10765</v>
      </c>
      <c r="R892" t="s">
        <v>10821</v>
      </c>
      <c r="T892">
        <v>15492</v>
      </c>
      <c r="U892">
        <v>1291</v>
      </c>
      <c r="V892">
        <v>65</v>
      </c>
      <c r="W892">
        <v>1</v>
      </c>
      <c r="X892">
        <v>0</v>
      </c>
      <c r="Z892">
        <v>124.04</v>
      </c>
      <c r="AA892">
        <v>40.684636</v>
      </c>
      <c r="AB892">
        <v>-73.848367</v>
      </c>
      <c r="AD892" t="s">
        <v>10839</v>
      </c>
      <c r="AG892" t="s">
        <v>10858</v>
      </c>
      <c r="AH892" t="s">
        <v>10862</v>
      </c>
      <c r="AI892">
        <v>237</v>
      </c>
      <c r="AJ892" t="s">
        <v>10212</v>
      </c>
      <c r="AL892">
        <v>0.6</v>
      </c>
      <c r="AM892" t="s">
        <v>10886</v>
      </c>
      <c r="AN892" t="s">
        <v>10945</v>
      </c>
      <c r="AO892" t="s">
        <v>11024</v>
      </c>
      <c r="AP892" t="s">
        <v>11088</v>
      </c>
      <c r="AR892" t="s">
        <v>11296</v>
      </c>
      <c r="AS892" t="s">
        <v>11594</v>
      </c>
      <c r="BA892" t="s">
        <v>11741</v>
      </c>
      <c r="BB892">
        <v>0</v>
      </c>
      <c r="BC892">
        <v>0</v>
      </c>
      <c r="BD892">
        <v>0</v>
      </c>
      <c r="BE892">
        <v>0</v>
      </c>
      <c r="BF892">
        <v>1</v>
      </c>
      <c r="BG892">
        <v>0</v>
      </c>
    </row>
    <row r="893" spans="1:59">
      <c r="A893" s="1">
        <f>HYPERLINK("https://lsnyc.legalserver.org/matter/dynamic-profile/view/1904682","19-1904682")</f>
        <v>0</v>
      </c>
      <c r="B893" t="s">
        <v>854</v>
      </c>
      <c r="C893" t="s">
        <v>5754</v>
      </c>
      <c r="D893" t="s">
        <v>9925</v>
      </c>
      <c r="E893" t="s">
        <v>10075</v>
      </c>
      <c r="F893">
        <v>10035</v>
      </c>
      <c r="G893" t="s">
        <v>10089</v>
      </c>
      <c r="H893" t="s">
        <v>10105</v>
      </c>
      <c r="I893" t="s">
        <v>10168</v>
      </c>
      <c r="J893" t="s">
        <v>10209</v>
      </c>
      <c r="K893" t="s">
        <v>10218</v>
      </c>
      <c r="L893" t="s">
        <v>10129</v>
      </c>
      <c r="M893" t="s">
        <v>10431</v>
      </c>
      <c r="N893" t="s">
        <v>10650</v>
      </c>
      <c r="P893" t="s">
        <v>10749</v>
      </c>
      <c r="Q893" t="s">
        <v>10765</v>
      </c>
      <c r="R893" t="s">
        <v>10824</v>
      </c>
      <c r="T893">
        <v>49000</v>
      </c>
      <c r="U893">
        <v>4083.33</v>
      </c>
      <c r="V893">
        <v>59</v>
      </c>
      <c r="W893">
        <v>1</v>
      </c>
      <c r="X893">
        <v>0</v>
      </c>
      <c r="Y893" t="s">
        <v>10829</v>
      </c>
      <c r="Z893">
        <v>392.31</v>
      </c>
      <c r="AA893">
        <v>40.802358</v>
      </c>
      <c r="AB893">
        <v>-73.94557399999999</v>
      </c>
      <c r="AD893" t="s">
        <v>10840</v>
      </c>
      <c r="AG893" t="s">
        <v>10858</v>
      </c>
      <c r="AH893" t="s">
        <v>10862</v>
      </c>
      <c r="AI893">
        <v>236</v>
      </c>
      <c r="AJ893" t="s">
        <v>10209</v>
      </c>
      <c r="AK893" t="s">
        <v>10838</v>
      </c>
      <c r="AL893">
        <v>0.75</v>
      </c>
      <c r="AM893" t="s">
        <v>10887</v>
      </c>
      <c r="AN893" t="s">
        <v>10936</v>
      </c>
      <c r="AO893" t="s">
        <v>11016</v>
      </c>
      <c r="AP893" t="s">
        <v>11076</v>
      </c>
      <c r="AR893" t="s">
        <v>11257</v>
      </c>
      <c r="AS893" t="s">
        <v>9925</v>
      </c>
      <c r="AT893" t="s">
        <v>11642</v>
      </c>
      <c r="AX893" t="s">
        <v>10838</v>
      </c>
      <c r="AY893" t="s">
        <v>10829</v>
      </c>
      <c r="AZ893" t="s">
        <v>11681</v>
      </c>
      <c r="BA893" t="s">
        <v>11741</v>
      </c>
      <c r="BB893">
        <v>0</v>
      </c>
      <c r="BC893">
        <v>0</v>
      </c>
      <c r="BD893">
        <v>0</v>
      </c>
      <c r="BE893">
        <v>0</v>
      </c>
      <c r="BF893">
        <v>1</v>
      </c>
      <c r="BG893">
        <v>0</v>
      </c>
    </row>
    <row r="894" spans="1:59">
      <c r="A894" s="1">
        <f>HYPERLINK("https://lsnyc.legalserver.org/matter/dynamic-profile/view/1904683","19-1904683")</f>
        <v>0</v>
      </c>
      <c r="B894" t="s">
        <v>855</v>
      </c>
      <c r="C894" t="s">
        <v>5755</v>
      </c>
      <c r="D894" t="s">
        <v>9932</v>
      </c>
      <c r="E894" t="s">
        <v>10075</v>
      </c>
      <c r="F894">
        <v>11368</v>
      </c>
      <c r="G894" t="s">
        <v>10092</v>
      </c>
      <c r="H894" t="s">
        <v>10105</v>
      </c>
      <c r="J894" t="s">
        <v>10212</v>
      </c>
      <c r="K894" t="s">
        <v>10218</v>
      </c>
      <c r="L894" t="s">
        <v>10095</v>
      </c>
      <c r="M894" t="s">
        <v>10497</v>
      </c>
      <c r="N894" t="s">
        <v>10669</v>
      </c>
      <c r="P894" t="s">
        <v>10754</v>
      </c>
      <c r="Q894" t="s">
        <v>10775</v>
      </c>
      <c r="R894" t="s">
        <v>10821</v>
      </c>
      <c r="T894">
        <v>12000</v>
      </c>
      <c r="U894">
        <v>1000</v>
      </c>
      <c r="V894">
        <v>24</v>
      </c>
      <c r="W894">
        <v>1</v>
      </c>
      <c r="X894">
        <v>2</v>
      </c>
      <c r="Y894" t="s">
        <v>10829</v>
      </c>
      <c r="Z894">
        <v>56.26</v>
      </c>
      <c r="AA894">
        <v>40.754208</v>
      </c>
      <c r="AB894">
        <v>-73.86818599999999</v>
      </c>
      <c r="AD894" t="s">
        <v>10839</v>
      </c>
      <c r="AF894" t="s">
        <v>10843</v>
      </c>
      <c r="AG894" t="s">
        <v>10859</v>
      </c>
      <c r="AH894" t="s">
        <v>10865</v>
      </c>
      <c r="AI894">
        <v>237</v>
      </c>
      <c r="AJ894" t="s">
        <v>10212</v>
      </c>
      <c r="AK894" t="s">
        <v>10837</v>
      </c>
      <c r="AL894">
        <v>1.75</v>
      </c>
      <c r="AR894" t="s">
        <v>11273</v>
      </c>
      <c r="AS894" t="s">
        <v>11594</v>
      </c>
      <c r="AY894" t="s">
        <v>10829</v>
      </c>
      <c r="AZ894" t="s">
        <v>11683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</row>
    <row r="895" spans="1:59">
      <c r="A895" s="1">
        <f>HYPERLINK("https://lsnyc.legalserver.org/matter/dynamic-profile/view/1904684","19-1904684")</f>
        <v>0</v>
      </c>
      <c r="B895" t="s">
        <v>856</v>
      </c>
      <c r="C895" t="s">
        <v>5756</v>
      </c>
      <c r="D895" t="s">
        <v>9925</v>
      </c>
      <c r="E895" t="s">
        <v>10075</v>
      </c>
      <c r="F895">
        <v>10040</v>
      </c>
      <c r="G895" t="s">
        <v>10089</v>
      </c>
      <c r="H895" t="s">
        <v>10105</v>
      </c>
      <c r="I895" t="s">
        <v>10187</v>
      </c>
      <c r="J895" t="s">
        <v>10209</v>
      </c>
      <c r="K895" t="s">
        <v>10217</v>
      </c>
      <c r="M895" t="s">
        <v>10393</v>
      </c>
      <c r="N895" t="s">
        <v>10650</v>
      </c>
      <c r="P895" t="s">
        <v>10749</v>
      </c>
      <c r="Q895" t="s">
        <v>10765</v>
      </c>
      <c r="R895" t="s">
        <v>10822</v>
      </c>
      <c r="T895">
        <v>5200</v>
      </c>
      <c r="U895">
        <v>433.33</v>
      </c>
      <c r="V895">
        <v>52</v>
      </c>
      <c r="W895">
        <v>2</v>
      </c>
      <c r="X895">
        <v>0</v>
      </c>
      <c r="Z895">
        <v>30.75</v>
      </c>
      <c r="AA895">
        <v>40.854557</v>
      </c>
      <c r="AB895">
        <v>-73.930406</v>
      </c>
      <c r="AD895" t="s">
        <v>10839</v>
      </c>
      <c r="AF895" t="s">
        <v>10842</v>
      </c>
      <c r="AG895" t="s">
        <v>10859</v>
      </c>
      <c r="AH895" t="s">
        <v>10862</v>
      </c>
      <c r="AI895">
        <v>236</v>
      </c>
      <c r="AJ895" t="s">
        <v>10209</v>
      </c>
      <c r="AK895" t="s">
        <v>10838</v>
      </c>
      <c r="AL895">
        <v>57.6</v>
      </c>
      <c r="AM895" t="s">
        <v>10887</v>
      </c>
      <c r="AN895" t="s">
        <v>10937</v>
      </c>
      <c r="AO895" t="s">
        <v>11019</v>
      </c>
      <c r="AP895" t="s">
        <v>11074</v>
      </c>
      <c r="AR895" t="s">
        <v>11257</v>
      </c>
      <c r="AS895" t="s">
        <v>9925</v>
      </c>
      <c r="AT895" t="s">
        <v>11641</v>
      </c>
      <c r="AX895" t="s">
        <v>10838</v>
      </c>
      <c r="BA895" t="s">
        <v>11738</v>
      </c>
      <c r="BB895">
        <v>0</v>
      </c>
      <c r="BC895">
        <v>0</v>
      </c>
      <c r="BD895">
        <v>0</v>
      </c>
      <c r="BE895">
        <v>0</v>
      </c>
      <c r="BF895">
        <v>5</v>
      </c>
      <c r="BG895">
        <v>0</v>
      </c>
    </row>
    <row r="896" spans="1:59">
      <c r="A896" s="1">
        <f>HYPERLINK("https://lsnyc.legalserver.org/matter/dynamic-profile/view/1904685","19-1904685")</f>
        <v>0</v>
      </c>
      <c r="B896" t="s">
        <v>857</v>
      </c>
      <c r="C896" t="s">
        <v>5757</v>
      </c>
      <c r="D896" t="s">
        <v>9926</v>
      </c>
      <c r="E896" t="s">
        <v>10075</v>
      </c>
      <c r="F896">
        <v>10469</v>
      </c>
      <c r="G896" t="s">
        <v>10090</v>
      </c>
      <c r="H896" t="s">
        <v>10105</v>
      </c>
      <c r="I896" t="s">
        <v>10168</v>
      </c>
      <c r="J896" t="s">
        <v>10210</v>
      </c>
      <c r="K896" t="s">
        <v>10217</v>
      </c>
      <c r="M896" t="s">
        <v>10395</v>
      </c>
      <c r="N896" t="s">
        <v>10646</v>
      </c>
      <c r="P896" t="s">
        <v>10755</v>
      </c>
      <c r="Q896" t="s">
        <v>10772</v>
      </c>
      <c r="R896" t="s">
        <v>10821</v>
      </c>
      <c r="T896">
        <v>60000</v>
      </c>
      <c r="U896">
        <v>5000</v>
      </c>
      <c r="V896">
        <v>12</v>
      </c>
      <c r="W896">
        <v>1</v>
      </c>
      <c r="X896">
        <v>2</v>
      </c>
      <c r="Z896">
        <v>281.29</v>
      </c>
      <c r="AA896">
        <v>40.871551</v>
      </c>
      <c r="AB896">
        <v>-73.838311</v>
      </c>
      <c r="AD896" t="s">
        <v>10839</v>
      </c>
      <c r="AG896" t="s">
        <v>10858</v>
      </c>
      <c r="AH896" t="s">
        <v>10861</v>
      </c>
      <c r="AI896">
        <v>234</v>
      </c>
      <c r="AJ896" t="s">
        <v>10214</v>
      </c>
      <c r="AL896">
        <v>6.81</v>
      </c>
      <c r="AM896" t="s">
        <v>10893</v>
      </c>
      <c r="AN896" t="s">
        <v>10956</v>
      </c>
      <c r="AO896" t="s">
        <v>11010</v>
      </c>
      <c r="AP896" t="s">
        <v>11085</v>
      </c>
      <c r="AR896" t="s">
        <v>11257</v>
      </c>
      <c r="AS896" t="s">
        <v>9926</v>
      </c>
      <c r="AT896" t="s">
        <v>11641</v>
      </c>
      <c r="AX896" t="s">
        <v>10838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</row>
    <row r="897" spans="1:59">
      <c r="A897" s="1">
        <f>HYPERLINK("https://lsnyc.legalserver.org/matter/dynamic-profile/view/1904686","19-1904686")</f>
        <v>0</v>
      </c>
      <c r="B897" t="s">
        <v>858</v>
      </c>
      <c r="C897" t="s">
        <v>5758</v>
      </c>
      <c r="D897" t="s">
        <v>9928</v>
      </c>
      <c r="E897" t="s">
        <v>10075</v>
      </c>
      <c r="F897">
        <v>11220</v>
      </c>
      <c r="G897" t="s">
        <v>10093</v>
      </c>
      <c r="H897" t="s">
        <v>10105</v>
      </c>
      <c r="I897" t="s">
        <v>10168</v>
      </c>
      <c r="J897" t="s">
        <v>10213</v>
      </c>
      <c r="K897" t="s">
        <v>10218</v>
      </c>
      <c r="L897" t="s">
        <v>10103</v>
      </c>
      <c r="M897" t="s">
        <v>10435</v>
      </c>
      <c r="N897" t="s">
        <v>10665</v>
      </c>
      <c r="P897" t="s">
        <v>10750</v>
      </c>
      <c r="Q897" t="s">
        <v>10799</v>
      </c>
      <c r="R897" t="s">
        <v>10823</v>
      </c>
      <c r="T897">
        <v>17000</v>
      </c>
      <c r="U897">
        <v>1416.67</v>
      </c>
      <c r="V897">
        <v>28</v>
      </c>
      <c r="W897">
        <v>1</v>
      </c>
      <c r="X897">
        <v>0</v>
      </c>
      <c r="Y897" t="s">
        <v>10829</v>
      </c>
      <c r="Z897">
        <v>136.11</v>
      </c>
      <c r="AA897">
        <v>40.6469</v>
      </c>
      <c r="AB897">
        <v>-74.012503</v>
      </c>
      <c r="AD897" t="s">
        <v>10839</v>
      </c>
      <c r="AF897" t="s">
        <v>10843</v>
      </c>
      <c r="AG897" t="s">
        <v>10859</v>
      </c>
      <c r="AH897" t="s">
        <v>10861</v>
      </c>
      <c r="AI897">
        <v>234</v>
      </c>
      <c r="AJ897" t="s">
        <v>10214</v>
      </c>
      <c r="AK897" t="s">
        <v>10838</v>
      </c>
      <c r="AL897">
        <v>4.75</v>
      </c>
      <c r="AM897" t="s">
        <v>10886</v>
      </c>
      <c r="AN897" t="s">
        <v>10921</v>
      </c>
      <c r="AO897" t="s">
        <v>11005</v>
      </c>
      <c r="AP897" t="s">
        <v>11069</v>
      </c>
      <c r="AR897" t="s">
        <v>11276</v>
      </c>
      <c r="AS897" t="s">
        <v>11595</v>
      </c>
      <c r="AT897" t="s">
        <v>11641</v>
      </c>
      <c r="AX897" t="s">
        <v>10837</v>
      </c>
      <c r="AY897" t="s">
        <v>10829</v>
      </c>
      <c r="AZ897" t="s">
        <v>11679</v>
      </c>
      <c r="BA897" t="s">
        <v>11741</v>
      </c>
      <c r="BB897">
        <v>0</v>
      </c>
      <c r="BC897">
        <v>0</v>
      </c>
      <c r="BD897">
        <v>0</v>
      </c>
      <c r="BE897">
        <v>0</v>
      </c>
      <c r="BF897">
        <v>1</v>
      </c>
      <c r="BG897">
        <v>0</v>
      </c>
    </row>
    <row r="898" spans="1:59">
      <c r="A898" s="1">
        <f>HYPERLINK("https://lsnyc.legalserver.org/matter/dynamic-profile/view/1904687","19-1904687")</f>
        <v>0</v>
      </c>
      <c r="B898" t="s">
        <v>859</v>
      </c>
      <c r="C898" t="s">
        <v>5020</v>
      </c>
      <c r="D898" t="s">
        <v>9926</v>
      </c>
      <c r="E898" t="s">
        <v>10075</v>
      </c>
      <c r="F898">
        <v>10456</v>
      </c>
      <c r="G898" t="s">
        <v>10090</v>
      </c>
      <c r="H898" t="s">
        <v>10105</v>
      </c>
      <c r="I898" t="s">
        <v>10169</v>
      </c>
      <c r="J898" t="s">
        <v>10210</v>
      </c>
      <c r="K898" t="s">
        <v>10217</v>
      </c>
      <c r="M898" t="s">
        <v>10397</v>
      </c>
      <c r="N898" t="s">
        <v>10650</v>
      </c>
      <c r="P898" t="s">
        <v>10749</v>
      </c>
      <c r="Q898" t="s">
        <v>10765</v>
      </c>
      <c r="R898" t="s">
        <v>10821</v>
      </c>
      <c r="T898">
        <v>26000</v>
      </c>
      <c r="U898">
        <v>2166.67</v>
      </c>
      <c r="V898">
        <v>37</v>
      </c>
      <c r="W898">
        <v>1</v>
      </c>
      <c r="X898">
        <v>2</v>
      </c>
      <c r="Z898">
        <v>121.89</v>
      </c>
      <c r="AA898">
        <v>40.829372</v>
      </c>
      <c r="AB898">
        <v>-73.91876000000001</v>
      </c>
      <c r="AD898" t="s">
        <v>10839</v>
      </c>
      <c r="AG898" t="s">
        <v>10858</v>
      </c>
      <c r="AH898" t="s">
        <v>10862</v>
      </c>
      <c r="AI898">
        <v>230</v>
      </c>
      <c r="AJ898" t="s">
        <v>10210</v>
      </c>
      <c r="AL898">
        <v>0</v>
      </c>
      <c r="AM898" t="s">
        <v>10884</v>
      </c>
      <c r="AN898" t="s">
        <v>10918</v>
      </c>
      <c r="AO898" t="s">
        <v>11001</v>
      </c>
      <c r="AP898" t="s">
        <v>11055</v>
      </c>
      <c r="AR898" t="s">
        <v>11257</v>
      </c>
      <c r="AS898" t="s">
        <v>9926</v>
      </c>
      <c r="AT898" t="s">
        <v>11641</v>
      </c>
      <c r="BA898" t="s">
        <v>11739</v>
      </c>
      <c r="BB898">
        <v>0</v>
      </c>
      <c r="BC898">
        <v>0</v>
      </c>
      <c r="BD898">
        <v>0</v>
      </c>
      <c r="BE898">
        <v>0</v>
      </c>
      <c r="BF898">
        <v>4</v>
      </c>
      <c r="BG898">
        <v>0</v>
      </c>
    </row>
    <row r="899" spans="1:59">
      <c r="A899" s="1">
        <f>HYPERLINK("https://lsnyc.legalserver.org/matter/dynamic-profile/view/1904688","19-1904688")</f>
        <v>0</v>
      </c>
      <c r="B899" t="s">
        <v>860</v>
      </c>
      <c r="C899" t="s">
        <v>5759</v>
      </c>
      <c r="D899" t="s">
        <v>9925</v>
      </c>
      <c r="E899" t="s">
        <v>10075</v>
      </c>
      <c r="F899">
        <v>10128</v>
      </c>
      <c r="G899" t="s">
        <v>10089</v>
      </c>
      <c r="H899" t="s">
        <v>10105</v>
      </c>
      <c r="I899" t="s">
        <v>10168</v>
      </c>
      <c r="J899" t="s">
        <v>10209</v>
      </c>
      <c r="K899" t="s">
        <v>10217</v>
      </c>
      <c r="M899" t="s">
        <v>10388</v>
      </c>
      <c r="N899" t="s">
        <v>10650</v>
      </c>
      <c r="P899" t="s">
        <v>10749</v>
      </c>
      <c r="Q899" t="s">
        <v>10765</v>
      </c>
      <c r="R899" t="s">
        <v>10820</v>
      </c>
      <c r="T899">
        <v>4732</v>
      </c>
      <c r="U899">
        <v>394.33</v>
      </c>
      <c r="V899">
        <v>60</v>
      </c>
      <c r="W899">
        <v>1</v>
      </c>
      <c r="X899">
        <v>0</v>
      </c>
      <c r="Z899">
        <v>37.89</v>
      </c>
      <c r="AA899">
        <v>40.786448</v>
      </c>
      <c r="AB899">
        <v>-73.954989</v>
      </c>
      <c r="AD899" t="s">
        <v>10840</v>
      </c>
      <c r="AG899" t="s">
        <v>10858</v>
      </c>
      <c r="AH899" t="s">
        <v>10861</v>
      </c>
      <c r="AI899">
        <v>236</v>
      </c>
      <c r="AJ899" t="s">
        <v>10209</v>
      </c>
      <c r="AL899">
        <v>8.800000000000001</v>
      </c>
      <c r="AM899" t="s">
        <v>10891</v>
      </c>
      <c r="AN899" t="s">
        <v>10926</v>
      </c>
      <c r="AO899" t="s">
        <v>11013</v>
      </c>
      <c r="AP899" t="s">
        <v>11091</v>
      </c>
      <c r="AR899" t="s">
        <v>11382</v>
      </c>
      <c r="AS899" t="s">
        <v>9925</v>
      </c>
      <c r="AX899" t="s">
        <v>10837</v>
      </c>
      <c r="BA899" t="s">
        <v>11738</v>
      </c>
      <c r="BB899">
        <v>0</v>
      </c>
      <c r="BC899">
        <v>0</v>
      </c>
      <c r="BD899">
        <v>0</v>
      </c>
      <c r="BE899">
        <v>0</v>
      </c>
      <c r="BF899">
        <v>5</v>
      </c>
      <c r="BG899">
        <v>0</v>
      </c>
    </row>
    <row r="900" spans="1:59">
      <c r="A900" s="1">
        <f>HYPERLINK("https://lsnyc.legalserver.org/matter/dynamic-profile/view/1904689","19-1904689")</f>
        <v>0</v>
      </c>
      <c r="B900" t="s">
        <v>861</v>
      </c>
      <c r="C900" t="s">
        <v>5760</v>
      </c>
      <c r="D900" t="s">
        <v>9926</v>
      </c>
      <c r="E900" t="s">
        <v>10075</v>
      </c>
      <c r="F900">
        <v>10468</v>
      </c>
      <c r="G900" t="s">
        <v>10090</v>
      </c>
      <c r="H900" t="s">
        <v>10105</v>
      </c>
      <c r="I900" t="s">
        <v>10168</v>
      </c>
      <c r="J900" t="s">
        <v>10210</v>
      </c>
      <c r="K900" t="s">
        <v>10217</v>
      </c>
      <c r="M900" t="s">
        <v>10333</v>
      </c>
      <c r="N900" t="s">
        <v>10683</v>
      </c>
      <c r="P900" t="s">
        <v>10757</v>
      </c>
      <c r="Q900" t="s">
        <v>10808</v>
      </c>
      <c r="R900" t="s">
        <v>10824</v>
      </c>
      <c r="T900">
        <v>13200</v>
      </c>
      <c r="U900">
        <v>1100</v>
      </c>
      <c r="V900">
        <v>69</v>
      </c>
      <c r="W900">
        <v>1</v>
      </c>
      <c r="X900">
        <v>0</v>
      </c>
      <c r="Z900">
        <v>105.68</v>
      </c>
      <c r="AA900">
        <v>40.870507</v>
      </c>
      <c r="AB900">
        <v>-73.891141</v>
      </c>
      <c r="AD900" t="s">
        <v>10839</v>
      </c>
      <c r="AF900" t="s">
        <v>10843</v>
      </c>
      <c r="AG900" t="s">
        <v>10859</v>
      </c>
      <c r="AH900" t="s">
        <v>10861</v>
      </c>
      <c r="AI900">
        <v>230</v>
      </c>
      <c r="AJ900" t="s">
        <v>10210</v>
      </c>
      <c r="AL900">
        <v>3.75</v>
      </c>
      <c r="AM900" t="s">
        <v>10887</v>
      </c>
      <c r="AN900" t="s">
        <v>10907</v>
      </c>
      <c r="AO900" t="s">
        <v>11000</v>
      </c>
      <c r="AP900" t="s">
        <v>11045</v>
      </c>
      <c r="AQ900" t="s">
        <v>11172</v>
      </c>
      <c r="AR900" t="s">
        <v>11386</v>
      </c>
      <c r="AS900" t="s">
        <v>9926</v>
      </c>
      <c r="AT900" t="s">
        <v>11641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</row>
    <row r="901" spans="1:59">
      <c r="A901" s="1">
        <f>HYPERLINK("https://lsnyc.legalserver.org/matter/dynamic-profile/view/1904690","19-1904690")</f>
        <v>0</v>
      </c>
      <c r="B901" t="s">
        <v>862</v>
      </c>
      <c r="C901" t="s">
        <v>5761</v>
      </c>
      <c r="D901" t="s">
        <v>9947</v>
      </c>
      <c r="E901" t="s">
        <v>10075</v>
      </c>
      <c r="F901">
        <v>11374</v>
      </c>
      <c r="G901" t="s">
        <v>10092</v>
      </c>
      <c r="H901" t="s">
        <v>10105</v>
      </c>
      <c r="I901" t="s">
        <v>10169</v>
      </c>
      <c r="J901" t="s">
        <v>10212</v>
      </c>
      <c r="K901" t="s">
        <v>10218</v>
      </c>
      <c r="L901" t="s">
        <v>10158</v>
      </c>
      <c r="M901" t="s">
        <v>10325</v>
      </c>
      <c r="N901" t="s">
        <v>10671</v>
      </c>
      <c r="P901" t="s">
        <v>10751</v>
      </c>
      <c r="Q901" t="s">
        <v>10761</v>
      </c>
      <c r="R901" t="s">
        <v>10821</v>
      </c>
      <c r="T901">
        <v>2400</v>
      </c>
      <c r="U901">
        <v>200</v>
      </c>
      <c r="V901">
        <v>65</v>
      </c>
      <c r="W901">
        <v>1</v>
      </c>
      <c r="X901">
        <v>0</v>
      </c>
      <c r="Y901" t="s">
        <v>10829</v>
      </c>
      <c r="Z901">
        <v>19.22</v>
      </c>
      <c r="AA901">
        <v>40.731469</v>
      </c>
      <c r="AB901">
        <v>-73.85381099999999</v>
      </c>
      <c r="AD901" t="s">
        <v>10839</v>
      </c>
      <c r="AG901" t="s">
        <v>10858</v>
      </c>
      <c r="AH901" t="s">
        <v>10861</v>
      </c>
      <c r="AI901">
        <v>234</v>
      </c>
      <c r="AJ901" t="s">
        <v>10214</v>
      </c>
      <c r="AK901" t="s">
        <v>10838</v>
      </c>
      <c r="AL901">
        <v>2.75</v>
      </c>
      <c r="AM901" t="s">
        <v>10890</v>
      </c>
      <c r="AN901" t="s">
        <v>10962</v>
      </c>
      <c r="AO901" t="s">
        <v>11009</v>
      </c>
      <c r="AP901" t="s">
        <v>11083</v>
      </c>
      <c r="AR901" t="s">
        <v>11311</v>
      </c>
      <c r="AS901" t="s">
        <v>11594</v>
      </c>
      <c r="AT901" t="s">
        <v>11641</v>
      </c>
      <c r="AX901" t="s">
        <v>10838</v>
      </c>
      <c r="AY901" t="s">
        <v>10829</v>
      </c>
      <c r="AZ901" t="s">
        <v>11682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</row>
    <row r="902" spans="1:59">
      <c r="A902" s="1">
        <f>HYPERLINK("https://lsnyc.legalserver.org/matter/dynamic-profile/view/1904691","19-1904691")</f>
        <v>0</v>
      </c>
      <c r="B902" t="s">
        <v>863</v>
      </c>
      <c r="C902" t="s">
        <v>5695</v>
      </c>
      <c r="D902" t="s">
        <v>9925</v>
      </c>
      <c r="E902" t="s">
        <v>10075</v>
      </c>
      <c r="F902">
        <v>10034</v>
      </c>
      <c r="G902" t="s">
        <v>10089</v>
      </c>
      <c r="H902" t="s">
        <v>10105</v>
      </c>
      <c r="I902" t="s">
        <v>10168</v>
      </c>
      <c r="J902" t="s">
        <v>10209</v>
      </c>
      <c r="K902" t="s">
        <v>10217</v>
      </c>
      <c r="M902" t="s">
        <v>10460</v>
      </c>
      <c r="N902" t="s">
        <v>10650</v>
      </c>
      <c r="P902" t="s">
        <v>10749</v>
      </c>
      <c r="Q902" t="s">
        <v>10765</v>
      </c>
      <c r="R902" t="s">
        <v>10821</v>
      </c>
      <c r="T902">
        <v>0</v>
      </c>
      <c r="U902">
        <v>0</v>
      </c>
      <c r="V902">
        <v>51</v>
      </c>
      <c r="W902">
        <v>1</v>
      </c>
      <c r="X902">
        <v>0</v>
      </c>
      <c r="Z902">
        <v>0</v>
      </c>
      <c r="AA902">
        <v>40.864037</v>
      </c>
      <c r="AB902">
        <v>-73.923973</v>
      </c>
      <c r="AD902" t="s">
        <v>10839</v>
      </c>
      <c r="AG902" t="s">
        <v>10858</v>
      </c>
      <c r="AH902" t="s">
        <v>10862</v>
      </c>
      <c r="AI902">
        <v>236</v>
      </c>
      <c r="AJ902" t="s">
        <v>10209</v>
      </c>
      <c r="AL902">
        <v>0</v>
      </c>
      <c r="AM902" t="s">
        <v>10887</v>
      </c>
      <c r="AN902" t="s">
        <v>10937</v>
      </c>
      <c r="AO902" t="s">
        <v>11019</v>
      </c>
      <c r="AP902" t="s">
        <v>11074</v>
      </c>
      <c r="AR902" t="s">
        <v>11267</v>
      </c>
      <c r="AS902" t="s">
        <v>9925</v>
      </c>
      <c r="AT902" t="s">
        <v>11641</v>
      </c>
      <c r="AX902" t="s">
        <v>10838</v>
      </c>
      <c r="BA902" t="s">
        <v>11742</v>
      </c>
      <c r="BB902">
        <v>0</v>
      </c>
      <c r="BC902">
        <v>0</v>
      </c>
      <c r="BD902">
        <v>0</v>
      </c>
      <c r="BE902">
        <v>0</v>
      </c>
      <c r="BF902">
        <v>7</v>
      </c>
      <c r="BG902">
        <v>0</v>
      </c>
    </row>
    <row r="903" spans="1:59">
      <c r="A903" s="1">
        <f>HYPERLINK("https://lsnyc.legalserver.org/matter/dynamic-profile/view/1904693","19-1904693")</f>
        <v>0</v>
      </c>
      <c r="B903" t="s">
        <v>864</v>
      </c>
      <c r="C903" t="s">
        <v>5695</v>
      </c>
      <c r="D903" t="s">
        <v>9925</v>
      </c>
      <c r="E903" t="s">
        <v>10075</v>
      </c>
      <c r="F903">
        <v>10034</v>
      </c>
      <c r="G903" t="s">
        <v>10089</v>
      </c>
      <c r="H903" t="s">
        <v>10105</v>
      </c>
      <c r="I903" t="s">
        <v>10169</v>
      </c>
      <c r="J903" t="s">
        <v>10209</v>
      </c>
      <c r="K903" t="s">
        <v>10217</v>
      </c>
      <c r="M903" t="s">
        <v>10460</v>
      </c>
      <c r="N903" t="s">
        <v>10650</v>
      </c>
      <c r="P903" t="s">
        <v>10749</v>
      </c>
      <c r="Q903" t="s">
        <v>10765</v>
      </c>
      <c r="R903" t="s">
        <v>10821</v>
      </c>
      <c r="T903">
        <v>23400</v>
      </c>
      <c r="U903">
        <v>1950</v>
      </c>
      <c r="V903">
        <v>56</v>
      </c>
      <c r="W903">
        <v>3</v>
      </c>
      <c r="X903">
        <v>2</v>
      </c>
      <c r="Z903">
        <v>77.56</v>
      </c>
      <c r="AA903">
        <v>40.864037</v>
      </c>
      <c r="AB903">
        <v>-73.923973</v>
      </c>
      <c r="AD903" t="s">
        <v>10839</v>
      </c>
      <c r="AG903" t="s">
        <v>10858</v>
      </c>
      <c r="AH903" t="s">
        <v>10862</v>
      </c>
      <c r="AI903">
        <v>236</v>
      </c>
      <c r="AJ903" t="s">
        <v>10209</v>
      </c>
      <c r="AL903">
        <v>0</v>
      </c>
      <c r="AM903" t="s">
        <v>10887</v>
      </c>
      <c r="AN903" t="s">
        <v>10937</v>
      </c>
      <c r="AO903" t="s">
        <v>11019</v>
      </c>
      <c r="AP903" t="s">
        <v>11074</v>
      </c>
      <c r="AR903" t="s">
        <v>11257</v>
      </c>
      <c r="AS903" t="s">
        <v>9925</v>
      </c>
      <c r="AT903" t="s">
        <v>11641</v>
      </c>
      <c r="AX903" t="s">
        <v>10838</v>
      </c>
      <c r="BA903" t="s">
        <v>11742</v>
      </c>
      <c r="BB903">
        <v>0</v>
      </c>
      <c r="BC903">
        <v>0</v>
      </c>
      <c r="BD903">
        <v>0</v>
      </c>
      <c r="BE903">
        <v>0</v>
      </c>
      <c r="BF903">
        <v>7</v>
      </c>
      <c r="BG903">
        <v>0</v>
      </c>
    </row>
    <row r="904" spans="1:59">
      <c r="A904" s="1">
        <f>HYPERLINK("https://lsnyc.legalserver.org/matter/dynamic-profile/view/1904694","19-1904694")</f>
        <v>0</v>
      </c>
      <c r="B904" t="s">
        <v>865</v>
      </c>
      <c r="C904" t="s">
        <v>5762</v>
      </c>
      <c r="D904" t="s">
        <v>9925</v>
      </c>
      <c r="E904" t="s">
        <v>10075</v>
      </c>
      <c r="F904">
        <v>10009</v>
      </c>
      <c r="G904" t="s">
        <v>10089</v>
      </c>
      <c r="H904" t="s">
        <v>10105</v>
      </c>
      <c r="I904" t="s">
        <v>10168</v>
      </c>
      <c r="J904" t="s">
        <v>10209</v>
      </c>
      <c r="K904" t="s">
        <v>10218</v>
      </c>
      <c r="L904" t="s">
        <v>10101</v>
      </c>
      <c r="M904" t="s">
        <v>10506</v>
      </c>
      <c r="N904" t="s">
        <v>10656</v>
      </c>
      <c r="P904" t="s">
        <v>10751</v>
      </c>
      <c r="Q904" t="s">
        <v>10768</v>
      </c>
      <c r="R904" t="s">
        <v>10822</v>
      </c>
      <c r="T904">
        <v>2184</v>
      </c>
      <c r="U904">
        <v>182</v>
      </c>
      <c r="V904">
        <v>49</v>
      </c>
      <c r="W904">
        <v>1</v>
      </c>
      <c r="X904">
        <v>0</v>
      </c>
      <c r="Y904" t="s">
        <v>10829</v>
      </c>
      <c r="Z904">
        <v>17.49</v>
      </c>
      <c r="AA904">
        <v>40.724924</v>
      </c>
      <c r="AB904">
        <v>-73.974014</v>
      </c>
      <c r="AD904" t="s">
        <v>10840</v>
      </c>
      <c r="AG904" t="s">
        <v>10858</v>
      </c>
      <c r="AH904" t="s">
        <v>10861</v>
      </c>
      <c r="AI904">
        <v>234</v>
      </c>
      <c r="AJ904" t="s">
        <v>10214</v>
      </c>
      <c r="AK904" t="s">
        <v>10882</v>
      </c>
      <c r="AL904">
        <v>1.75</v>
      </c>
      <c r="AM904" t="s">
        <v>10886</v>
      </c>
      <c r="AN904" t="s">
        <v>10910</v>
      </c>
      <c r="AO904" t="s">
        <v>11021</v>
      </c>
      <c r="AP904" t="s">
        <v>11048</v>
      </c>
      <c r="AR904" t="s">
        <v>11255</v>
      </c>
      <c r="AS904" t="s">
        <v>9925</v>
      </c>
      <c r="AT904" t="s">
        <v>11642</v>
      </c>
      <c r="AX904" t="s">
        <v>10838</v>
      </c>
      <c r="AY904" t="s">
        <v>10829</v>
      </c>
      <c r="AZ904" t="s">
        <v>11682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</row>
    <row r="905" spans="1:59">
      <c r="A905" s="1">
        <f>HYPERLINK("https://lsnyc.legalserver.org/matter/dynamic-profile/view/1904695","19-1904695")</f>
        <v>0</v>
      </c>
      <c r="B905" t="s">
        <v>866</v>
      </c>
      <c r="C905" t="s">
        <v>5763</v>
      </c>
      <c r="D905" t="s">
        <v>9928</v>
      </c>
      <c r="E905" t="s">
        <v>10075</v>
      </c>
      <c r="F905">
        <v>11226</v>
      </c>
      <c r="G905" t="s">
        <v>10091</v>
      </c>
      <c r="H905" t="s">
        <v>10105</v>
      </c>
      <c r="I905" t="s">
        <v>10168</v>
      </c>
      <c r="J905" t="s">
        <v>10214</v>
      </c>
      <c r="K905" t="s">
        <v>10217</v>
      </c>
      <c r="M905" t="s">
        <v>10286</v>
      </c>
      <c r="N905" t="s">
        <v>10671</v>
      </c>
      <c r="P905" t="s">
        <v>10750</v>
      </c>
      <c r="Q905" t="s">
        <v>10760</v>
      </c>
      <c r="R905" t="s">
        <v>10820</v>
      </c>
      <c r="T905">
        <v>0</v>
      </c>
      <c r="U905">
        <v>0</v>
      </c>
      <c r="V905">
        <v>35</v>
      </c>
      <c r="W905">
        <v>1</v>
      </c>
      <c r="X905">
        <v>0</v>
      </c>
      <c r="Z905">
        <v>0</v>
      </c>
      <c r="AA905">
        <v>40.650866</v>
      </c>
      <c r="AB905">
        <v>-73.960764</v>
      </c>
      <c r="AD905" t="s">
        <v>10840</v>
      </c>
      <c r="AG905" t="s">
        <v>10858</v>
      </c>
      <c r="AH905" t="s">
        <v>10871</v>
      </c>
      <c r="AI905">
        <v>234</v>
      </c>
      <c r="AJ905" t="s">
        <v>10214</v>
      </c>
      <c r="AL905">
        <v>0.66</v>
      </c>
      <c r="AM905" t="s">
        <v>10888</v>
      </c>
      <c r="AN905" t="s">
        <v>10932</v>
      </c>
      <c r="AO905" t="s">
        <v>11008</v>
      </c>
      <c r="AP905" t="s">
        <v>11050</v>
      </c>
      <c r="AR905" t="s">
        <v>11267</v>
      </c>
      <c r="AS905" t="s">
        <v>11595</v>
      </c>
      <c r="AT905" t="s">
        <v>11642</v>
      </c>
      <c r="AX905" t="s">
        <v>10838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</row>
    <row r="906" spans="1:59">
      <c r="A906" s="1">
        <f>HYPERLINK("https://lsnyc.legalserver.org/matter/dynamic-profile/view/1904696","19-1904696")</f>
        <v>0</v>
      </c>
      <c r="B906" t="s">
        <v>867</v>
      </c>
      <c r="C906" t="s">
        <v>5764</v>
      </c>
      <c r="D906" t="s">
        <v>9926</v>
      </c>
      <c r="E906" t="s">
        <v>10075</v>
      </c>
      <c r="F906">
        <v>10460</v>
      </c>
      <c r="G906" t="s">
        <v>10090</v>
      </c>
      <c r="H906" t="s">
        <v>10105</v>
      </c>
      <c r="I906" t="s">
        <v>10168</v>
      </c>
      <c r="J906" t="s">
        <v>10210</v>
      </c>
      <c r="K906" t="s">
        <v>10217</v>
      </c>
      <c r="M906" t="s">
        <v>10397</v>
      </c>
      <c r="N906" t="s">
        <v>10671</v>
      </c>
      <c r="P906" t="s">
        <v>10749</v>
      </c>
      <c r="Q906" t="s">
        <v>10765</v>
      </c>
      <c r="R906" t="s">
        <v>10824</v>
      </c>
      <c r="T906">
        <v>12180</v>
      </c>
      <c r="U906">
        <v>1015</v>
      </c>
      <c r="V906">
        <v>63</v>
      </c>
      <c r="W906">
        <v>1</v>
      </c>
      <c r="X906">
        <v>0</v>
      </c>
      <c r="Z906">
        <v>97.52</v>
      </c>
      <c r="AA906">
        <v>40.836942</v>
      </c>
      <c r="AB906">
        <v>-73.86602000000001</v>
      </c>
      <c r="AD906" t="s">
        <v>10840</v>
      </c>
      <c r="AG906" t="s">
        <v>10858</v>
      </c>
      <c r="AH906" t="s">
        <v>10871</v>
      </c>
      <c r="AI906">
        <v>234</v>
      </c>
      <c r="AJ906" t="s">
        <v>10214</v>
      </c>
      <c r="AL906">
        <v>1</v>
      </c>
      <c r="AM906" t="s">
        <v>10884</v>
      </c>
      <c r="AN906" t="s">
        <v>10908</v>
      </c>
      <c r="AO906" t="s">
        <v>11001</v>
      </c>
      <c r="AP906" t="s">
        <v>11046</v>
      </c>
      <c r="AR906" t="s">
        <v>11268</v>
      </c>
      <c r="AS906" t="s">
        <v>9926</v>
      </c>
      <c r="AT906" t="s">
        <v>11642</v>
      </c>
      <c r="AX906" t="s">
        <v>10838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</row>
    <row r="907" spans="1:59">
      <c r="A907" s="1">
        <f>HYPERLINK("https://lsnyc.legalserver.org/matter/dynamic-profile/view/1904697","19-1904697")</f>
        <v>0</v>
      </c>
      <c r="B907" t="s">
        <v>868</v>
      </c>
      <c r="C907" t="s">
        <v>5765</v>
      </c>
      <c r="D907" t="s">
        <v>9928</v>
      </c>
      <c r="E907" t="s">
        <v>10075</v>
      </c>
      <c r="F907">
        <v>11221</v>
      </c>
      <c r="G907" t="s">
        <v>10093</v>
      </c>
      <c r="H907" t="s">
        <v>10107</v>
      </c>
      <c r="I907" t="s">
        <v>10168</v>
      </c>
      <c r="J907" t="s">
        <v>10213</v>
      </c>
      <c r="K907" t="s">
        <v>10217</v>
      </c>
      <c r="M907" t="s">
        <v>10425</v>
      </c>
      <c r="N907" t="s">
        <v>10667</v>
      </c>
      <c r="P907" t="s">
        <v>10749</v>
      </c>
      <c r="Q907" t="s">
        <v>10765</v>
      </c>
      <c r="R907" t="s">
        <v>10822</v>
      </c>
      <c r="T907">
        <v>0</v>
      </c>
      <c r="U907">
        <v>0</v>
      </c>
      <c r="V907">
        <v>66</v>
      </c>
      <c r="W907">
        <v>1</v>
      </c>
      <c r="X907">
        <v>0</v>
      </c>
      <c r="Z907">
        <v>0</v>
      </c>
      <c r="AA907">
        <v>40.684802</v>
      </c>
      <c r="AB907">
        <v>-73.93871300000001</v>
      </c>
      <c r="AD907" t="s">
        <v>10840</v>
      </c>
      <c r="AG907" t="s">
        <v>10858</v>
      </c>
      <c r="AH907" t="s">
        <v>10861</v>
      </c>
      <c r="AI907">
        <v>239</v>
      </c>
      <c r="AJ907" t="s">
        <v>10213</v>
      </c>
      <c r="AL907">
        <v>17.5</v>
      </c>
      <c r="AM907" t="s">
        <v>10889</v>
      </c>
      <c r="AN907" t="s">
        <v>10914</v>
      </c>
      <c r="AO907" t="s">
        <v>11007</v>
      </c>
      <c r="AP907" t="s">
        <v>11052</v>
      </c>
      <c r="AR907" t="s">
        <v>11267</v>
      </c>
      <c r="AS907" t="s">
        <v>11595</v>
      </c>
      <c r="BA907" t="s">
        <v>11738</v>
      </c>
      <c r="BB907">
        <v>0</v>
      </c>
      <c r="BC907">
        <v>0</v>
      </c>
      <c r="BD907">
        <v>0</v>
      </c>
      <c r="BE907">
        <v>0</v>
      </c>
      <c r="BF907">
        <v>5</v>
      </c>
      <c r="BG907">
        <v>0</v>
      </c>
    </row>
    <row r="908" spans="1:59">
      <c r="A908" s="1">
        <f>HYPERLINK("https://lsnyc.legalserver.org/matter/dynamic-profile/view/1904698","19-1904698")</f>
        <v>0</v>
      </c>
      <c r="B908" t="s">
        <v>869</v>
      </c>
      <c r="C908" t="s">
        <v>5766</v>
      </c>
      <c r="D908" t="s">
        <v>9926</v>
      </c>
      <c r="E908" t="s">
        <v>10075</v>
      </c>
      <c r="F908">
        <v>10451</v>
      </c>
      <c r="G908" t="s">
        <v>10090</v>
      </c>
      <c r="H908" t="s">
        <v>10105</v>
      </c>
      <c r="I908" t="s">
        <v>10168</v>
      </c>
      <c r="J908" t="s">
        <v>10210</v>
      </c>
      <c r="K908" t="s">
        <v>10217</v>
      </c>
      <c r="M908" t="s">
        <v>10397</v>
      </c>
      <c r="N908" t="s">
        <v>10650</v>
      </c>
      <c r="P908" t="s">
        <v>10749</v>
      </c>
      <c r="Q908" t="s">
        <v>10765</v>
      </c>
      <c r="R908" t="s">
        <v>10820</v>
      </c>
      <c r="T908">
        <v>50000</v>
      </c>
      <c r="U908">
        <v>4166.67</v>
      </c>
      <c r="V908">
        <v>36</v>
      </c>
      <c r="W908">
        <v>3</v>
      </c>
      <c r="X908">
        <v>0</v>
      </c>
      <c r="Z908">
        <v>234.41</v>
      </c>
      <c r="AA908">
        <v>40.819655</v>
      </c>
      <c r="AB908">
        <v>-73.928726</v>
      </c>
      <c r="AD908" t="s">
        <v>10840</v>
      </c>
      <c r="AG908" t="s">
        <v>10858</v>
      </c>
      <c r="AH908" t="s">
        <v>10862</v>
      </c>
      <c r="AI908">
        <v>230</v>
      </c>
      <c r="AJ908" t="s">
        <v>10210</v>
      </c>
      <c r="AL908">
        <v>25.45</v>
      </c>
      <c r="AM908" t="s">
        <v>10884</v>
      </c>
      <c r="AN908" t="s">
        <v>10924</v>
      </c>
      <c r="AO908" t="s">
        <v>11013</v>
      </c>
      <c r="AP908" t="s">
        <v>11066</v>
      </c>
      <c r="AR908" t="s">
        <v>11257</v>
      </c>
      <c r="AS908" t="s">
        <v>9926</v>
      </c>
      <c r="AT908" t="s">
        <v>11642</v>
      </c>
      <c r="BA908" t="s">
        <v>11742</v>
      </c>
      <c r="BB908">
        <v>0</v>
      </c>
      <c r="BC908">
        <v>0</v>
      </c>
      <c r="BD908">
        <v>0</v>
      </c>
      <c r="BE908">
        <v>0</v>
      </c>
      <c r="BF908">
        <v>7</v>
      </c>
      <c r="BG908">
        <v>0</v>
      </c>
    </row>
    <row r="909" spans="1:59">
      <c r="A909" s="1">
        <f>HYPERLINK("https://lsnyc.legalserver.org/matter/dynamic-profile/view/1904699","19-1904699")</f>
        <v>0</v>
      </c>
      <c r="B909" t="s">
        <v>870</v>
      </c>
      <c r="C909" t="s">
        <v>5767</v>
      </c>
      <c r="D909" t="s">
        <v>9928</v>
      </c>
      <c r="E909" t="s">
        <v>10075</v>
      </c>
      <c r="F909">
        <v>11232</v>
      </c>
      <c r="G909" t="s">
        <v>10093</v>
      </c>
      <c r="H909" t="s">
        <v>10105</v>
      </c>
      <c r="I909" t="s">
        <v>10169</v>
      </c>
      <c r="J909" t="s">
        <v>10213</v>
      </c>
      <c r="K909" t="s">
        <v>10218</v>
      </c>
      <c r="L909" t="s">
        <v>10223</v>
      </c>
      <c r="M909" t="s">
        <v>10247</v>
      </c>
      <c r="N909" t="s">
        <v>10657</v>
      </c>
      <c r="O909" t="s">
        <v>10659</v>
      </c>
      <c r="P909" t="s">
        <v>10754</v>
      </c>
      <c r="Q909" t="s">
        <v>10766</v>
      </c>
      <c r="R909" t="s">
        <v>10821</v>
      </c>
      <c r="T909">
        <v>0</v>
      </c>
      <c r="U909">
        <v>0</v>
      </c>
      <c r="V909">
        <v>58</v>
      </c>
      <c r="W909">
        <v>1</v>
      </c>
      <c r="X909">
        <v>1</v>
      </c>
      <c r="Y909" t="s">
        <v>10829</v>
      </c>
      <c r="Z909">
        <v>0</v>
      </c>
      <c r="AA909">
        <v>40.660464</v>
      </c>
      <c r="AB909">
        <v>-73.996156</v>
      </c>
      <c r="AD909" t="s">
        <v>10839</v>
      </c>
      <c r="AF909" t="s">
        <v>10843</v>
      </c>
      <c r="AG909" t="s">
        <v>10859</v>
      </c>
      <c r="AH909" t="s">
        <v>10862</v>
      </c>
      <c r="AI909">
        <v>239</v>
      </c>
      <c r="AJ909" t="s">
        <v>10213</v>
      </c>
      <c r="AK909" t="s">
        <v>10882</v>
      </c>
      <c r="AL909">
        <v>1.3</v>
      </c>
      <c r="AM909" t="s">
        <v>10886</v>
      </c>
      <c r="AN909" t="s">
        <v>10921</v>
      </c>
      <c r="AO909" t="s">
        <v>11005</v>
      </c>
      <c r="AP909" t="s">
        <v>11069</v>
      </c>
      <c r="AQ909" t="s">
        <v>11173</v>
      </c>
      <c r="AR909" t="s">
        <v>11267</v>
      </c>
      <c r="AS909" t="s">
        <v>11595</v>
      </c>
      <c r="AY909" t="s">
        <v>10829</v>
      </c>
      <c r="AZ909" t="s">
        <v>11683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</row>
    <row r="910" spans="1:59">
      <c r="A910" s="1">
        <f>HYPERLINK("https://lsnyc.legalserver.org/matter/dynamic-profile/view/1904700","19-1904700")</f>
        <v>0</v>
      </c>
      <c r="B910" t="s">
        <v>871</v>
      </c>
      <c r="C910" t="s">
        <v>5768</v>
      </c>
      <c r="D910" t="s">
        <v>9928</v>
      </c>
      <c r="E910" t="s">
        <v>10075</v>
      </c>
      <c r="F910">
        <v>11212</v>
      </c>
      <c r="G910" t="s">
        <v>10091</v>
      </c>
      <c r="H910" t="s">
        <v>10105</v>
      </c>
      <c r="I910" t="s">
        <v>10168</v>
      </c>
      <c r="J910" t="s">
        <v>10214</v>
      </c>
      <c r="K910" t="s">
        <v>10217</v>
      </c>
      <c r="M910" t="s">
        <v>10286</v>
      </c>
      <c r="N910" t="s">
        <v>10646</v>
      </c>
      <c r="P910" t="s">
        <v>10749</v>
      </c>
      <c r="Q910" t="s">
        <v>10765</v>
      </c>
      <c r="R910" t="s">
        <v>10824</v>
      </c>
      <c r="T910">
        <v>12588</v>
      </c>
      <c r="U910">
        <v>1049</v>
      </c>
      <c r="V910">
        <v>51</v>
      </c>
      <c r="W910">
        <v>1</v>
      </c>
      <c r="X910">
        <v>0</v>
      </c>
      <c r="Z910">
        <v>100.78</v>
      </c>
      <c r="AA910">
        <v>40.662944</v>
      </c>
      <c r="AB910">
        <v>-73.92559199999999</v>
      </c>
      <c r="AD910" t="s">
        <v>10839</v>
      </c>
      <c r="AG910" t="s">
        <v>10858</v>
      </c>
      <c r="AH910" t="s">
        <v>10861</v>
      </c>
      <c r="AI910">
        <v>234</v>
      </c>
      <c r="AJ910" t="s">
        <v>10214</v>
      </c>
      <c r="AL910">
        <v>1</v>
      </c>
      <c r="AM910" t="s">
        <v>10888</v>
      </c>
      <c r="AN910" t="s">
        <v>10925</v>
      </c>
      <c r="AO910" t="s">
        <v>11005</v>
      </c>
      <c r="AP910" t="s">
        <v>11064</v>
      </c>
      <c r="AR910" t="s">
        <v>11298</v>
      </c>
      <c r="AS910" t="s">
        <v>11595</v>
      </c>
      <c r="AT910" t="s">
        <v>11641</v>
      </c>
      <c r="AX910" t="s">
        <v>10838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</row>
    <row r="911" spans="1:59">
      <c r="A911" s="1">
        <f>HYPERLINK("https://lsnyc.legalserver.org/matter/dynamic-profile/view/1904701","19-1904701")</f>
        <v>0</v>
      </c>
      <c r="B911" t="s">
        <v>872</v>
      </c>
      <c r="C911" t="s">
        <v>5695</v>
      </c>
      <c r="D911" t="s">
        <v>9925</v>
      </c>
      <c r="E911" t="s">
        <v>10075</v>
      </c>
      <c r="F911">
        <v>10034</v>
      </c>
      <c r="G911" t="s">
        <v>10089</v>
      </c>
      <c r="H911" t="s">
        <v>10105</v>
      </c>
      <c r="I911" t="s">
        <v>10168</v>
      </c>
      <c r="J911" t="s">
        <v>10209</v>
      </c>
      <c r="K911" t="s">
        <v>10217</v>
      </c>
      <c r="M911" t="s">
        <v>10460</v>
      </c>
      <c r="N911" t="s">
        <v>10650</v>
      </c>
      <c r="P911" t="s">
        <v>10749</v>
      </c>
      <c r="Q911" t="s">
        <v>10765</v>
      </c>
      <c r="R911" t="s">
        <v>10821</v>
      </c>
      <c r="T911">
        <v>8000</v>
      </c>
      <c r="U911">
        <v>666.67</v>
      </c>
      <c r="V911">
        <v>57</v>
      </c>
      <c r="W911">
        <v>1</v>
      </c>
      <c r="X911">
        <v>0</v>
      </c>
      <c r="Z911">
        <v>64.05</v>
      </c>
      <c r="AA911">
        <v>40.864037</v>
      </c>
      <c r="AB911">
        <v>-73.923973</v>
      </c>
      <c r="AD911" t="s">
        <v>10839</v>
      </c>
      <c r="AG911" t="s">
        <v>10858</v>
      </c>
      <c r="AH911" t="s">
        <v>10862</v>
      </c>
      <c r="AI911">
        <v>236</v>
      </c>
      <c r="AJ911" t="s">
        <v>10209</v>
      </c>
      <c r="AL911">
        <v>1.5</v>
      </c>
      <c r="AM911" t="s">
        <v>10887</v>
      </c>
      <c r="AN911" t="s">
        <v>10937</v>
      </c>
      <c r="AO911" t="s">
        <v>11019</v>
      </c>
      <c r="AP911" t="s">
        <v>11074</v>
      </c>
      <c r="AR911" t="s">
        <v>11254</v>
      </c>
      <c r="AS911" t="s">
        <v>9925</v>
      </c>
      <c r="AT911" t="s">
        <v>11641</v>
      </c>
      <c r="AX911" t="s">
        <v>10838</v>
      </c>
      <c r="BA911" t="s">
        <v>11742</v>
      </c>
      <c r="BB911">
        <v>0</v>
      </c>
      <c r="BC911">
        <v>0</v>
      </c>
      <c r="BD911">
        <v>0</v>
      </c>
      <c r="BE911">
        <v>0</v>
      </c>
      <c r="BF911">
        <v>7</v>
      </c>
      <c r="BG911">
        <v>0</v>
      </c>
    </row>
    <row r="912" spans="1:59">
      <c r="A912" s="1">
        <f>HYPERLINK("https://lsnyc.legalserver.org/matter/dynamic-profile/view/1904702","19-1904702")</f>
        <v>0</v>
      </c>
      <c r="B912" t="s">
        <v>849</v>
      </c>
      <c r="C912" t="s">
        <v>5749</v>
      </c>
      <c r="D912" t="s">
        <v>9926</v>
      </c>
      <c r="E912" t="s">
        <v>10075</v>
      </c>
      <c r="F912">
        <v>10468</v>
      </c>
      <c r="G912" t="s">
        <v>10090</v>
      </c>
      <c r="H912" t="s">
        <v>10105</v>
      </c>
      <c r="I912" t="s">
        <v>10168</v>
      </c>
      <c r="J912" t="s">
        <v>10210</v>
      </c>
      <c r="K912" t="s">
        <v>10217</v>
      </c>
      <c r="M912" t="s">
        <v>10287</v>
      </c>
      <c r="N912" t="s">
        <v>10671</v>
      </c>
      <c r="P912" t="s">
        <v>10751</v>
      </c>
      <c r="Q912" t="s">
        <v>10761</v>
      </c>
      <c r="R912" t="s">
        <v>10821</v>
      </c>
      <c r="T912">
        <v>10044</v>
      </c>
      <c r="U912">
        <v>837</v>
      </c>
      <c r="V912">
        <v>57</v>
      </c>
      <c r="W912">
        <v>1</v>
      </c>
      <c r="X912">
        <v>0</v>
      </c>
      <c r="Z912">
        <v>80.42</v>
      </c>
      <c r="AA912">
        <v>40.874648</v>
      </c>
      <c r="AB912">
        <v>-73.887496</v>
      </c>
      <c r="AD912" t="s">
        <v>10840</v>
      </c>
      <c r="AG912" t="s">
        <v>10858</v>
      </c>
      <c r="AH912" t="s">
        <v>10862</v>
      </c>
      <c r="AI912">
        <v>230</v>
      </c>
      <c r="AJ912" t="s">
        <v>10210</v>
      </c>
      <c r="AL912">
        <v>0.75</v>
      </c>
      <c r="AM912" t="s">
        <v>10887</v>
      </c>
      <c r="AN912" t="s">
        <v>10907</v>
      </c>
      <c r="AO912" t="s">
        <v>11002</v>
      </c>
      <c r="AP912" t="s">
        <v>11057</v>
      </c>
      <c r="AR912" t="s">
        <v>11263</v>
      </c>
      <c r="AS912" t="s">
        <v>9926</v>
      </c>
      <c r="BA912" t="s">
        <v>11741</v>
      </c>
      <c r="BB912">
        <v>0</v>
      </c>
      <c r="BC912">
        <v>0</v>
      </c>
      <c r="BD912">
        <v>0</v>
      </c>
      <c r="BE912">
        <v>0</v>
      </c>
      <c r="BF912">
        <v>1</v>
      </c>
      <c r="BG912">
        <v>0</v>
      </c>
    </row>
    <row r="913" spans="1:59">
      <c r="A913" s="1">
        <f>HYPERLINK("https://lsnyc.legalserver.org/matter/dynamic-profile/view/1904703","19-1904703")</f>
        <v>0</v>
      </c>
      <c r="B913" t="s">
        <v>873</v>
      </c>
      <c r="C913" t="s">
        <v>5769</v>
      </c>
      <c r="D913" t="s">
        <v>9926</v>
      </c>
      <c r="E913" t="s">
        <v>10075</v>
      </c>
      <c r="F913">
        <v>10457</v>
      </c>
      <c r="G913" t="s">
        <v>10090</v>
      </c>
      <c r="H913" t="s">
        <v>10105</v>
      </c>
      <c r="I913" t="s">
        <v>10169</v>
      </c>
      <c r="J913" t="s">
        <v>10210</v>
      </c>
      <c r="K913" t="s">
        <v>10217</v>
      </c>
      <c r="M913" t="s">
        <v>10375</v>
      </c>
      <c r="N913" t="s">
        <v>10677</v>
      </c>
      <c r="P913" t="s">
        <v>10757</v>
      </c>
      <c r="Q913" t="s">
        <v>10797</v>
      </c>
      <c r="R913" t="s">
        <v>10823</v>
      </c>
      <c r="T913">
        <v>14832</v>
      </c>
      <c r="U913">
        <v>1236</v>
      </c>
      <c r="V913">
        <v>80</v>
      </c>
      <c r="W913">
        <v>1</v>
      </c>
      <c r="X913">
        <v>0</v>
      </c>
      <c r="Z913">
        <v>118.75</v>
      </c>
      <c r="AA913">
        <v>40.847145</v>
      </c>
      <c r="AB913">
        <v>-73.88780199999999</v>
      </c>
      <c r="AD913" t="s">
        <v>10839</v>
      </c>
      <c r="AG913" t="s">
        <v>10858</v>
      </c>
      <c r="AH913" t="s">
        <v>10861</v>
      </c>
      <c r="AI913">
        <v>234</v>
      </c>
      <c r="AJ913" t="s">
        <v>10214</v>
      </c>
      <c r="AL913">
        <v>1</v>
      </c>
      <c r="AR913" t="s">
        <v>11316</v>
      </c>
      <c r="AS913" t="s">
        <v>9926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</row>
    <row r="914" spans="1:59">
      <c r="A914" s="1">
        <f>HYPERLINK("https://lsnyc.legalserver.org/matter/dynamic-profile/view/1904704","19-1904704")</f>
        <v>0</v>
      </c>
      <c r="B914" t="s">
        <v>874</v>
      </c>
      <c r="C914" t="s">
        <v>5770</v>
      </c>
      <c r="D914" t="s">
        <v>9928</v>
      </c>
      <c r="E914" t="s">
        <v>10075</v>
      </c>
      <c r="F914">
        <v>11215</v>
      </c>
      <c r="G914" t="s">
        <v>10093</v>
      </c>
      <c r="H914" t="s">
        <v>10105</v>
      </c>
      <c r="I914" t="s">
        <v>10169</v>
      </c>
      <c r="J914" t="s">
        <v>10213</v>
      </c>
      <c r="K914" t="s">
        <v>10218</v>
      </c>
      <c r="L914" t="s">
        <v>10133</v>
      </c>
      <c r="M914" t="s">
        <v>10507</v>
      </c>
      <c r="N914" t="s">
        <v>10657</v>
      </c>
      <c r="P914" t="s">
        <v>10749</v>
      </c>
      <c r="Q914" t="s">
        <v>10765</v>
      </c>
      <c r="R914" t="s">
        <v>10821</v>
      </c>
      <c r="T914">
        <v>30000</v>
      </c>
      <c r="U914">
        <v>2500</v>
      </c>
      <c r="V914">
        <v>78</v>
      </c>
      <c r="W914">
        <v>1</v>
      </c>
      <c r="X914">
        <v>0</v>
      </c>
      <c r="Y914" t="s">
        <v>10829</v>
      </c>
      <c r="Z914">
        <v>240.19</v>
      </c>
      <c r="AA914">
        <v>40.67509</v>
      </c>
      <c r="AB914">
        <v>-73.98172700000001</v>
      </c>
      <c r="AD914" t="s">
        <v>10840</v>
      </c>
      <c r="AG914" t="s">
        <v>10858</v>
      </c>
      <c r="AH914" t="s">
        <v>10862</v>
      </c>
      <c r="AI914">
        <v>239</v>
      </c>
      <c r="AJ914" t="s">
        <v>10213</v>
      </c>
      <c r="AK914" t="s">
        <v>10838</v>
      </c>
      <c r="AL914">
        <v>0.8</v>
      </c>
      <c r="AM914" t="s">
        <v>10886</v>
      </c>
      <c r="AN914" t="s">
        <v>10917</v>
      </c>
      <c r="AO914" t="s">
        <v>11007</v>
      </c>
      <c r="AP914" t="s">
        <v>11059</v>
      </c>
      <c r="AR914" t="s">
        <v>10180</v>
      </c>
      <c r="AS914" t="s">
        <v>11595</v>
      </c>
      <c r="AY914" t="s">
        <v>10829</v>
      </c>
      <c r="AZ914" t="s">
        <v>11681</v>
      </c>
      <c r="BA914" t="s">
        <v>11741</v>
      </c>
      <c r="BB914">
        <v>0</v>
      </c>
      <c r="BC914">
        <v>0</v>
      </c>
      <c r="BD914">
        <v>0</v>
      </c>
      <c r="BE914">
        <v>0</v>
      </c>
      <c r="BF914">
        <v>1</v>
      </c>
      <c r="BG914">
        <v>0</v>
      </c>
    </row>
    <row r="915" spans="1:59">
      <c r="A915" s="1">
        <f>HYPERLINK("https://lsnyc.legalserver.org/matter/dynamic-profile/view/1904706","19-1904706")</f>
        <v>0</v>
      </c>
      <c r="B915" t="s">
        <v>875</v>
      </c>
      <c r="C915" t="s">
        <v>5771</v>
      </c>
      <c r="D915" t="s">
        <v>9982</v>
      </c>
      <c r="E915" t="s">
        <v>10075</v>
      </c>
      <c r="F915">
        <v>11375</v>
      </c>
      <c r="G915" t="s">
        <v>10092</v>
      </c>
      <c r="H915" t="s">
        <v>10105</v>
      </c>
      <c r="I915" t="s">
        <v>10171</v>
      </c>
      <c r="J915" t="s">
        <v>10212</v>
      </c>
      <c r="K915" t="s">
        <v>10218</v>
      </c>
      <c r="L915" t="s">
        <v>10095</v>
      </c>
      <c r="M915" t="s">
        <v>10497</v>
      </c>
      <c r="N915" t="s">
        <v>10669</v>
      </c>
      <c r="O915" t="s">
        <v>10699</v>
      </c>
      <c r="P915" t="s">
        <v>10754</v>
      </c>
      <c r="Q915" t="s">
        <v>10775</v>
      </c>
      <c r="R915" t="s">
        <v>10820</v>
      </c>
      <c r="T915">
        <v>0</v>
      </c>
      <c r="U915">
        <v>0</v>
      </c>
      <c r="V915">
        <v>29</v>
      </c>
      <c r="W915">
        <v>1</v>
      </c>
      <c r="X915">
        <v>0</v>
      </c>
      <c r="Y915" t="s">
        <v>10830</v>
      </c>
      <c r="Z915">
        <v>0</v>
      </c>
      <c r="AA915">
        <v>40.730113</v>
      </c>
      <c r="AB915">
        <v>-73.841797</v>
      </c>
      <c r="AD915" t="s">
        <v>10839</v>
      </c>
      <c r="AF915" t="s">
        <v>10842</v>
      </c>
      <c r="AG915" t="s">
        <v>10859</v>
      </c>
      <c r="AH915" t="s">
        <v>10865</v>
      </c>
      <c r="AI915">
        <v>237</v>
      </c>
      <c r="AJ915" t="s">
        <v>10212</v>
      </c>
      <c r="AK915" t="s">
        <v>10837</v>
      </c>
      <c r="AL915">
        <v>1.75</v>
      </c>
      <c r="AR915" t="s">
        <v>11267</v>
      </c>
      <c r="AS915" t="s">
        <v>11594</v>
      </c>
      <c r="AY915" t="s">
        <v>10830</v>
      </c>
      <c r="AZ915" t="s">
        <v>11683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</row>
    <row r="916" spans="1:59">
      <c r="A916" s="1">
        <f>HYPERLINK("https://lsnyc.legalserver.org/matter/dynamic-profile/view/1904707","19-1904707")</f>
        <v>0</v>
      </c>
      <c r="B916" t="s">
        <v>876</v>
      </c>
      <c r="C916" t="s">
        <v>5772</v>
      </c>
      <c r="D916" t="s">
        <v>9928</v>
      </c>
      <c r="E916" t="s">
        <v>10075</v>
      </c>
      <c r="F916">
        <v>11236</v>
      </c>
      <c r="G916" t="s">
        <v>10093</v>
      </c>
      <c r="H916" t="s">
        <v>10105</v>
      </c>
      <c r="I916" t="s">
        <v>10168</v>
      </c>
      <c r="J916" t="s">
        <v>10213</v>
      </c>
      <c r="K916" t="s">
        <v>10218</v>
      </c>
      <c r="L916" t="s">
        <v>10103</v>
      </c>
      <c r="M916" t="s">
        <v>10317</v>
      </c>
      <c r="N916" t="s">
        <v>10671</v>
      </c>
      <c r="P916" t="s">
        <v>10751</v>
      </c>
      <c r="Q916" t="s">
        <v>10761</v>
      </c>
      <c r="R916" t="s">
        <v>10824</v>
      </c>
      <c r="T916">
        <v>22180</v>
      </c>
      <c r="U916">
        <v>1848.33</v>
      </c>
      <c r="V916">
        <v>30</v>
      </c>
      <c r="W916">
        <v>1</v>
      </c>
      <c r="X916">
        <v>0</v>
      </c>
      <c r="Y916" t="s">
        <v>10829</v>
      </c>
      <c r="Z916">
        <v>177.58</v>
      </c>
      <c r="AA916">
        <v>40.631523</v>
      </c>
      <c r="AB916">
        <v>-73.906834</v>
      </c>
      <c r="AD916" t="s">
        <v>10839</v>
      </c>
      <c r="AG916" t="s">
        <v>10858</v>
      </c>
      <c r="AH916" t="s">
        <v>10861</v>
      </c>
      <c r="AI916">
        <v>234</v>
      </c>
      <c r="AJ916" t="s">
        <v>10214</v>
      </c>
      <c r="AK916" t="s">
        <v>10882</v>
      </c>
      <c r="AL916">
        <v>4.85</v>
      </c>
      <c r="AM916" t="s">
        <v>10889</v>
      </c>
      <c r="AN916" t="s">
        <v>10959</v>
      </c>
      <c r="AO916" t="s">
        <v>11012</v>
      </c>
      <c r="AP916" t="s">
        <v>11072</v>
      </c>
      <c r="AR916" t="s">
        <v>11281</v>
      </c>
      <c r="AS916" t="s">
        <v>11595</v>
      </c>
      <c r="AT916" t="s">
        <v>11641</v>
      </c>
      <c r="AX916" t="s">
        <v>10838</v>
      </c>
      <c r="AY916" t="s">
        <v>10829</v>
      </c>
      <c r="AZ916" t="s">
        <v>11682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</row>
    <row r="917" spans="1:59">
      <c r="A917" s="1">
        <f>HYPERLINK("https://lsnyc.legalserver.org/matter/dynamic-profile/view/1904708","19-1904708")</f>
        <v>0</v>
      </c>
      <c r="B917" t="s">
        <v>245</v>
      </c>
      <c r="C917" t="s">
        <v>5640</v>
      </c>
      <c r="D917" t="s">
        <v>9928</v>
      </c>
      <c r="E917" t="s">
        <v>10075</v>
      </c>
      <c r="F917">
        <v>11208</v>
      </c>
      <c r="G917" t="s">
        <v>10093</v>
      </c>
      <c r="H917" t="s">
        <v>10105</v>
      </c>
      <c r="I917" t="s">
        <v>10169</v>
      </c>
      <c r="J917" t="s">
        <v>10213</v>
      </c>
      <c r="K917" t="s">
        <v>10217</v>
      </c>
      <c r="M917" t="s">
        <v>10378</v>
      </c>
      <c r="N917" t="s">
        <v>10662</v>
      </c>
      <c r="P917" t="s">
        <v>10749</v>
      </c>
      <c r="Q917" t="s">
        <v>10765</v>
      </c>
      <c r="R917" t="s">
        <v>10821</v>
      </c>
      <c r="T917">
        <v>3819.92</v>
      </c>
      <c r="U917">
        <v>318.33</v>
      </c>
      <c r="V917">
        <v>28</v>
      </c>
      <c r="W917">
        <v>1</v>
      </c>
      <c r="X917">
        <v>0</v>
      </c>
      <c r="Z917">
        <v>30.58</v>
      </c>
      <c r="AA917">
        <v>40.670266</v>
      </c>
      <c r="AB917">
        <v>-73.87960200000001</v>
      </c>
      <c r="AD917" t="s">
        <v>10840</v>
      </c>
      <c r="AF917" t="s">
        <v>10846</v>
      </c>
      <c r="AG917" t="s">
        <v>10859</v>
      </c>
      <c r="AH917" t="s">
        <v>10861</v>
      </c>
      <c r="AI917">
        <v>234</v>
      </c>
      <c r="AJ917" t="s">
        <v>10214</v>
      </c>
      <c r="AL917">
        <v>6</v>
      </c>
      <c r="AM917" t="s">
        <v>10889</v>
      </c>
      <c r="AN917" t="s">
        <v>10946</v>
      </c>
      <c r="AO917" t="s">
        <v>11011</v>
      </c>
      <c r="AP917" t="s">
        <v>11060</v>
      </c>
      <c r="AR917" t="s">
        <v>11311</v>
      </c>
      <c r="AS917" t="s">
        <v>11595</v>
      </c>
      <c r="AT917" t="s">
        <v>11642</v>
      </c>
      <c r="AX917" t="s">
        <v>10837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</row>
    <row r="918" spans="1:59">
      <c r="A918" s="1">
        <f>HYPERLINK("https://lsnyc.legalserver.org/matter/dynamic-profile/view/1904709","19-1904709")</f>
        <v>0</v>
      </c>
      <c r="B918" t="s">
        <v>877</v>
      </c>
      <c r="C918" t="s">
        <v>5773</v>
      </c>
      <c r="D918" t="s">
        <v>9983</v>
      </c>
      <c r="E918" t="s">
        <v>10075</v>
      </c>
      <c r="F918">
        <v>11694</v>
      </c>
      <c r="G918" t="s">
        <v>10092</v>
      </c>
      <c r="H918" t="s">
        <v>10105</v>
      </c>
      <c r="I918" t="s">
        <v>10168</v>
      </c>
      <c r="J918" t="s">
        <v>10212</v>
      </c>
      <c r="K918" t="s">
        <v>10217</v>
      </c>
      <c r="M918" t="s">
        <v>10331</v>
      </c>
      <c r="N918" t="s">
        <v>10675</v>
      </c>
      <c r="P918" t="s">
        <v>10749</v>
      </c>
      <c r="Q918" t="s">
        <v>10765</v>
      </c>
      <c r="R918" t="s">
        <v>10824</v>
      </c>
      <c r="T918">
        <v>34000</v>
      </c>
      <c r="U918">
        <v>2833.33</v>
      </c>
      <c r="V918">
        <v>86</v>
      </c>
      <c r="W918">
        <v>1</v>
      </c>
      <c r="X918">
        <v>0</v>
      </c>
      <c r="Z918">
        <v>272.22</v>
      </c>
      <c r="AA918">
        <v>0</v>
      </c>
      <c r="AB918">
        <v>0</v>
      </c>
      <c r="AC918" t="s">
        <v>10837</v>
      </c>
      <c r="AD918" t="s">
        <v>10840</v>
      </c>
      <c r="AG918" t="s">
        <v>10858</v>
      </c>
      <c r="AH918" t="s">
        <v>10861</v>
      </c>
      <c r="AI918">
        <v>234</v>
      </c>
      <c r="AJ918" t="s">
        <v>10214</v>
      </c>
      <c r="AL918">
        <v>4.25</v>
      </c>
      <c r="AR918" t="s">
        <v>11379</v>
      </c>
      <c r="AS918" t="s">
        <v>11594</v>
      </c>
      <c r="AT918" t="s">
        <v>11642</v>
      </c>
      <c r="AX918" t="s">
        <v>10838</v>
      </c>
      <c r="BA918" t="s">
        <v>11741</v>
      </c>
      <c r="BB918">
        <v>0</v>
      </c>
      <c r="BC918">
        <v>0</v>
      </c>
      <c r="BD918">
        <v>0</v>
      </c>
      <c r="BE918">
        <v>0</v>
      </c>
      <c r="BF918">
        <v>1</v>
      </c>
      <c r="BG918">
        <v>0</v>
      </c>
    </row>
    <row r="919" spans="1:59">
      <c r="A919" s="1">
        <f>HYPERLINK("https://lsnyc.legalserver.org/matter/dynamic-profile/view/1904710","19-1904710")</f>
        <v>0</v>
      </c>
      <c r="B919" t="s">
        <v>878</v>
      </c>
      <c r="C919" t="s">
        <v>5774</v>
      </c>
      <c r="D919" t="s">
        <v>9926</v>
      </c>
      <c r="E919" t="s">
        <v>10075</v>
      </c>
      <c r="F919">
        <v>10456</v>
      </c>
      <c r="G919" t="s">
        <v>10090</v>
      </c>
      <c r="H919" t="s">
        <v>10105</v>
      </c>
      <c r="I919" t="s">
        <v>10169</v>
      </c>
      <c r="J919" t="s">
        <v>10210</v>
      </c>
      <c r="K919" t="s">
        <v>10217</v>
      </c>
      <c r="M919" t="s">
        <v>10397</v>
      </c>
      <c r="N919" t="s">
        <v>10650</v>
      </c>
      <c r="P919" t="s">
        <v>10749</v>
      </c>
      <c r="Q919" t="s">
        <v>10765</v>
      </c>
      <c r="R919" t="s">
        <v>10821</v>
      </c>
      <c r="T919">
        <v>15600</v>
      </c>
      <c r="U919">
        <v>1300</v>
      </c>
      <c r="V919">
        <v>54</v>
      </c>
      <c r="W919">
        <v>3</v>
      </c>
      <c r="X919">
        <v>0</v>
      </c>
      <c r="Z919">
        <v>73.14</v>
      </c>
      <c r="AA919">
        <v>40.829403</v>
      </c>
      <c r="AB919">
        <v>-73.912572</v>
      </c>
      <c r="AD919" t="s">
        <v>10840</v>
      </c>
      <c r="AG919" t="s">
        <v>10858</v>
      </c>
      <c r="AH919" t="s">
        <v>10862</v>
      </c>
      <c r="AI919">
        <v>230</v>
      </c>
      <c r="AJ919" t="s">
        <v>10210</v>
      </c>
      <c r="AL919">
        <v>0.5</v>
      </c>
      <c r="AM919" t="s">
        <v>10884</v>
      </c>
      <c r="AN919" t="s">
        <v>10929</v>
      </c>
      <c r="AO919" t="s">
        <v>11001</v>
      </c>
      <c r="AP919" t="s">
        <v>11055</v>
      </c>
      <c r="AR919" t="s">
        <v>11257</v>
      </c>
      <c r="AS919" t="s">
        <v>9926</v>
      </c>
      <c r="BA919" t="s">
        <v>11739</v>
      </c>
      <c r="BB919">
        <v>0</v>
      </c>
      <c r="BC919">
        <v>0</v>
      </c>
      <c r="BD919">
        <v>0</v>
      </c>
      <c r="BE919">
        <v>0</v>
      </c>
      <c r="BF919">
        <v>4</v>
      </c>
      <c r="BG919">
        <v>0</v>
      </c>
    </row>
    <row r="920" spans="1:59">
      <c r="A920" s="1">
        <f>HYPERLINK("https://lsnyc.legalserver.org/matter/dynamic-profile/view/1904711","19-1904711")</f>
        <v>0</v>
      </c>
      <c r="B920" t="s">
        <v>879</v>
      </c>
      <c r="D920" t="s">
        <v>9926</v>
      </c>
      <c r="E920" t="s">
        <v>10075</v>
      </c>
      <c r="F920">
        <v>10451</v>
      </c>
      <c r="G920" t="s">
        <v>10090</v>
      </c>
      <c r="H920" t="s">
        <v>10105</v>
      </c>
      <c r="I920" t="s">
        <v>10168</v>
      </c>
      <c r="J920" t="s">
        <v>10210</v>
      </c>
      <c r="K920" t="s">
        <v>10218</v>
      </c>
      <c r="L920" t="s">
        <v>10156</v>
      </c>
      <c r="M920" t="s">
        <v>10430</v>
      </c>
      <c r="N920" t="s">
        <v>10677</v>
      </c>
      <c r="P920" t="s">
        <v>10751</v>
      </c>
      <c r="Q920" t="s">
        <v>10761</v>
      </c>
      <c r="R920" t="s">
        <v>10820</v>
      </c>
      <c r="T920">
        <v>0</v>
      </c>
      <c r="U920">
        <v>0</v>
      </c>
      <c r="V920">
        <v>54</v>
      </c>
      <c r="W920">
        <v>2</v>
      </c>
      <c r="X920">
        <v>0</v>
      </c>
      <c r="Y920" t="s">
        <v>10830</v>
      </c>
      <c r="Z920">
        <v>0</v>
      </c>
      <c r="AA920">
        <v>0</v>
      </c>
      <c r="AB920">
        <v>0</v>
      </c>
      <c r="AD920" t="s">
        <v>10841</v>
      </c>
      <c r="AG920" t="s">
        <v>10858</v>
      </c>
      <c r="AH920" t="s">
        <v>10868</v>
      </c>
      <c r="AI920">
        <v>230</v>
      </c>
      <c r="AJ920" t="s">
        <v>10210</v>
      </c>
      <c r="AK920" t="s">
        <v>10882</v>
      </c>
      <c r="AL920">
        <v>4.15</v>
      </c>
      <c r="AR920" t="s">
        <v>11387</v>
      </c>
      <c r="AS920" t="s">
        <v>9926</v>
      </c>
      <c r="AX920" t="s">
        <v>10837</v>
      </c>
      <c r="AY920" t="s">
        <v>10830</v>
      </c>
      <c r="AZ920" t="s">
        <v>11688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</row>
    <row r="921" spans="1:59">
      <c r="A921" s="1">
        <f>HYPERLINK("https://lsnyc.legalserver.org/matter/dynamic-profile/view/1904712","19-1904712")</f>
        <v>0</v>
      </c>
      <c r="B921" t="s">
        <v>880</v>
      </c>
      <c r="C921" t="s">
        <v>5695</v>
      </c>
      <c r="D921" t="s">
        <v>9925</v>
      </c>
      <c r="E921" t="s">
        <v>10075</v>
      </c>
      <c r="F921">
        <v>10034</v>
      </c>
      <c r="G921" t="s">
        <v>10089</v>
      </c>
      <c r="H921" t="s">
        <v>10105</v>
      </c>
      <c r="I921" t="s">
        <v>10169</v>
      </c>
      <c r="J921" t="s">
        <v>10209</v>
      </c>
      <c r="K921" t="s">
        <v>10217</v>
      </c>
      <c r="M921" t="s">
        <v>10460</v>
      </c>
      <c r="N921" t="s">
        <v>10650</v>
      </c>
      <c r="P921" t="s">
        <v>10749</v>
      </c>
      <c r="Q921" t="s">
        <v>10765</v>
      </c>
      <c r="R921" t="s">
        <v>10821</v>
      </c>
      <c r="T921">
        <v>29000</v>
      </c>
      <c r="U921">
        <v>2416.67</v>
      </c>
      <c r="V921">
        <v>47</v>
      </c>
      <c r="W921">
        <v>2</v>
      </c>
      <c r="X921">
        <v>3</v>
      </c>
      <c r="Z921">
        <v>96.12</v>
      </c>
      <c r="AA921">
        <v>40.864037</v>
      </c>
      <c r="AB921">
        <v>-73.923973</v>
      </c>
      <c r="AD921" t="s">
        <v>10839</v>
      </c>
      <c r="AG921" t="s">
        <v>10858</v>
      </c>
      <c r="AH921" t="s">
        <v>10862</v>
      </c>
      <c r="AI921">
        <v>236</v>
      </c>
      <c r="AJ921" t="s">
        <v>10209</v>
      </c>
      <c r="AL921">
        <v>0</v>
      </c>
      <c r="AM921" t="s">
        <v>10887</v>
      </c>
      <c r="AN921" t="s">
        <v>10937</v>
      </c>
      <c r="AO921" t="s">
        <v>11019</v>
      </c>
      <c r="AP921" t="s">
        <v>11074</v>
      </c>
      <c r="AR921" t="s">
        <v>11257</v>
      </c>
      <c r="AS921" t="s">
        <v>9925</v>
      </c>
      <c r="AT921" t="s">
        <v>11641</v>
      </c>
      <c r="AX921" t="s">
        <v>10838</v>
      </c>
      <c r="BA921" t="s">
        <v>11742</v>
      </c>
      <c r="BB921">
        <v>0</v>
      </c>
      <c r="BC921">
        <v>0</v>
      </c>
      <c r="BD921">
        <v>0</v>
      </c>
      <c r="BE921">
        <v>0</v>
      </c>
      <c r="BF921">
        <v>7</v>
      </c>
      <c r="BG921">
        <v>0</v>
      </c>
    </row>
    <row r="922" spans="1:59">
      <c r="A922" s="1">
        <f>HYPERLINK("https://lsnyc.legalserver.org/matter/dynamic-profile/view/1904713","19-1904713")</f>
        <v>0</v>
      </c>
      <c r="B922" t="s">
        <v>881</v>
      </c>
      <c r="C922" t="s">
        <v>5775</v>
      </c>
      <c r="D922" t="s">
        <v>9948</v>
      </c>
      <c r="E922" t="s">
        <v>10075</v>
      </c>
      <c r="F922">
        <v>11691</v>
      </c>
      <c r="G922" t="s">
        <v>10092</v>
      </c>
      <c r="H922" t="s">
        <v>10105</v>
      </c>
      <c r="I922" t="s">
        <v>10168</v>
      </c>
      <c r="J922" t="s">
        <v>10212</v>
      </c>
      <c r="K922" t="s">
        <v>10218</v>
      </c>
      <c r="L922" t="s">
        <v>10224</v>
      </c>
      <c r="M922" t="s">
        <v>10408</v>
      </c>
      <c r="N922" t="s">
        <v>10671</v>
      </c>
      <c r="P922" t="s">
        <v>10751</v>
      </c>
      <c r="Q922" t="s">
        <v>10761</v>
      </c>
      <c r="R922" t="s">
        <v>10824</v>
      </c>
      <c r="T922">
        <v>14268</v>
      </c>
      <c r="U922">
        <v>1189</v>
      </c>
      <c r="V922">
        <v>60</v>
      </c>
      <c r="W922">
        <v>1</v>
      </c>
      <c r="X922">
        <v>0</v>
      </c>
      <c r="Y922" t="s">
        <v>10830</v>
      </c>
      <c r="Z922">
        <v>114.24</v>
      </c>
      <c r="AA922">
        <v>40.596354</v>
      </c>
      <c r="AB922">
        <v>-73.76511499999999</v>
      </c>
      <c r="AD922" t="s">
        <v>10839</v>
      </c>
      <c r="AG922" t="s">
        <v>10858</v>
      </c>
      <c r="AH922" t="s">
        <v>10862</v>
      </c>
      <c r="AI922">
        <v>237</v>
      </c>
      <c r="AJ922" t="s">
        <v>10212</v>
      </c>
      <c r="AK922" t="s">
        <v>10882</v>
      </c>
      <c r="AL922">
        <v>0.5</v>
      </c>
      <c r="AM922" t="s">
        <v>10892</v>
      </c>
      <c r="AN922" t="s">
        <v>10958</v>
      </c>
      <c r="AO922" t="s">
        <v>11017</v>
      </c>
      <c r="AP922" t="s">
        <v>11082</v>
      </c>
      <c r="AR922" t="s">
        <v>11296</v>
      </c>
      <c r="AS922" t="s">
        <v>11594</v>
      </c>
      <c r="AY922" t="s">
        <v>10830</v>
      </c>
      <c r="AZ922" t="s">
        <v>11688</v>
      </c>
      <c r="BA922" t="s">
        <v>11737</v>
      </c>
      <c r="BB922">
        <v>0</v>
      </c>
      <c r="BC922">
        <v>0</v>
      </c>
      <c r="BD922">
        <v>0</v>
      </c>
      <c r="BE922">
        <v>0</v>
      </c>
      <c r="BF922">
        <v>3</v>
      </c>
      <c r="BG922">
        <v>0</v>
      </c>
    </row>
    <row r="923" spans="1:59">
      <c r="A923" s="1">
        <f>HYPERLINK("https://lsnyc.legalserver.org/matter/dynamic-profile/view/1904716","19-1904716")</f>
        <v>0</v>
      </c>
      <c r="B923" t="s">
        <v>882</v>
      </c>
      <c r="C923" t="s">
        <v>5695</v>
      </c>
      <c r="D923" t="s">
        <v>9925</v>
      </c>
      <c r="E923" t="s">
        <v>10075</v>
      </c>
      <c r="F923">
        <v>10034</v>
      </c>
      <c r="G923" t="s">
        <v>10089</v>
      </c>
      <c r="H923" t="s">
        <v>10105</v>
      </c>
      <c r="I923" t="s">
        <v>10168</v>
      </c>
      <c r="J923" t="s">
        <v>10209</v>
      </c>
      <c r="K923" t="s">
        <v>10217</v>
      </c>
      <c r="M923" t="s">
        <v>10460</v>
      </c>
      <c r="N923" t="s">
        <v>10650</v>
      </c>
      <c r="P923" t="s">
        <v>10749</v>
      </c>
      <c r="Q923" t="s">
        <v>10765</v>
      </c>
      <c r="R923" t="s">
        <v>10821</v>
      </c>
      <c r="T923">
        <v>0</v>
      </c>
      <c r="U923">
        <v>0</v>
      </c>
      <c r="V923">
        <v>58</v>
      </c>
      <c r="W923">
        <v>6</v>
      </c>
      <c r="X923">
        <v>0</v>
      </c>
      <c r="Z923">
        <v>0</v>
      </c>
      <c r="AA923">
        <v>40.864037</v>
      </c>
      <c r="AB923">
        <v>-73.923973</v>
      </c>
      <c r="AD923" t="s">
        <v>10839</v>
      </c>
      <c r="AG923" t="s">
        <v>10858</v>
      </c>
      <c r="AH923" t="s">
        <v>10862</v>
      </c>
      <c r="AI923">
        <v>236</v>
      </c>
      <c r="AJ923" t="s">
        <v>10209</v>
      </c>
      <c r="AL923">
        <v>0</v>
      </c>
      <c r="AM923" t="s">
        <v>10887</v>
      </c>
      <c r="AN923" t="s">
        <v>10937</v>
      </c>
      <c r="AO923" t="s">
        <v>11019</v>
      </c>
      <c r="AP923" t="s">
        <v>11074</v>
      </c>
      <c r="AR923" t="s">
        <v>11267</v>
      </c>
      <c r="AS923" t="s">
        <v>9925</v>
      </c>
      <c r="AT923" t="s">
        <v>11641</v>
      </c>
      <c r="AX923" t="s">
        <v>10838</v>
      </c>
      <c r="BA923" t="s">
        <v>11742</v>
      </c>
      <c r="BB923">
        <v>0</v>
      </c>
      <c r="BC923">
        <v>0</v>
      </c>
      <c r="BD923">
        <v>0</v>
      </c>
      <c r="BE923">
        <v>0</v>
      </c>
      <c r="BF923">
        <v>7</v>
      </c>
      <c r="BG923">
        <v>0</v>
      </c>
    </row>
    <row r="924" spans="1:59">
      <c r="A924" s="1">
        <f>HYPERLINK("https://lsnyc.legalserver.org/matter/dynamic-profile/view/1904717","19-1904717")</f>
        <v>0</v>
      </c>
      <c r="B924" t="s">
        <v>883</v>
      </c>
      <c r="C924" t="s">
        <v>5776</v>
      </c>
      <c r="D924" t="s">
        <v>9926</v>
      </c>
      <c r="E924" t="s">
        <v>10075</v>
      </c>
      <c r="F924">
        <v>10452</v>
      </c>
      <c r="G924" t="s">
        <v>10090</v>
      </c>
      <c r="H924" t="s">
        <v>10105</v>
      </c>
      <c r="I924" t="s">
        <v>10168</v>
      </c>
      <c r="J924" t="s">
        <v>10210</v>
      </c>
      <c r="K924" t="s">
        <v>10217</v>
      </c>
      <c r="M924" t="s">
        <v>10375</v>
      </c>
      <c r="N924" t="s">
        <v>10688</v>
      </c>
      <c r="P924" t="s">
        <v>10751</v>
      </c>
      <c r="Q924" t="s">
        <v>10796</v>
      </c>
      <c r="R924" t="s">
        <v>10823</v>
      </c>
      <c r="T924">
        <v>20604</v>
      </c>
      <c r="U924">
        <v>1717</v>
      </c>
      <c r="V924">
        <v>43</v>
      </c>
      <c r="W924">
        <v>1</v>
      </c>
      <c r="X924">
        <v>0</v>
      </c>
      <c r="Z924">
        <v>164.96</v>
      </c>
      <c r="AA924">
        <v>40.837696</v>
      </c>
      <c r="AB924">
        <v>-73.918564</v>
      </c>
      <c r="AD924" t="s">
        <v>10840</v>
      </c>
      <c r="AG924" t="s">
        <v>10858</v>
      </c>
      <c r="AH924" t="s">
        <v>10861</v>
      </c>
      <c r="AI924">
        <v>234</v>
      </c>
      <c r="AJ924" t="s">
        <v>10214</v>
      </c>
      <c r="AL924">
        <v>0.5</v>
      </c>
      <c r="AR924" t="s">
        <v>11388</v>
      </c>
      <c r="AS924" t="s">
        <v>9926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</row>
    <row r="925" spans="1:59">
      <c r="A925" s="1">
        <f>HYPERLINK("https://lsnyc.legalserver.org/matter/dynamic-profile/view/1904718","19-1904718")</f>
        <v>0</v>
      </c>
      <c r="B925" t="s">
        <v>884</v>
      </c>
      <c r="C925" t="s">
        <v>5777</v>
      </c>
      <c r="D925" t="s">
        <v>9925</v>
      </c>
      <c r="E925" t="s">
        <v>10075</v>
      </c>
      <c r="F925">
        <v>10040</v>
      </c>
      <c r="G925" t="s">
        <v>10089</v>
      </c>
      <c r="H925" t="s">
        <v>10105</v>
      </c>
      <c r="I925" t="s">
        <v>10169</v>
      </c>
      <c r="J925" t="s">
        <v>10209</v>
      </c>
      <c r="K925" t="s">
        <v>10217</v>
      </c>
      <c r="M925" t="s">
        <v>10508</v>
      </c>
      <c r="N925" t="s">
        <v>10650</v>
      </c>
      <c r="P925" t="s">
        <v>10749</v>
      </c>
      <c r="Q925" t="s">
        <v>10765</v>
      </c>
      <c r="R925" t="s">
        <v>10821</v>
      </c>
      <c r="T925">
        <v>27300</v>
      </c>
      <c r="U925">
        <v>2275</v>
      </c>
      <c r="V925">
        <v>49</v>
      </c>
      <c r="W925">
        <v>2</v>
      </c>
      <c r="X925">
        <v>0</v>
      </c>
      <c r="Z925">
        <v>161.44</v>
      </c>
      <c r="AA925">
        <v>40.861784</v>
      </c>
      <c r="AB925">
        <v>-73.926269</v>
      </c>
      <c r="AD925" t="s">
        <v>10839</v>
      </c>
      <c r="AG925" t="s">
        <v>10858</v>
      </c>
      <c r="AH925" t="s">
        <v>10862</v>
      </c>
      <c r="AI925">
        <v>236</v>
      </c>
      <c r="AJ925" t="s">
        <v>10209</v>
      </c>
      <c r="AL925">
        <v>7.5</v>
      </c>
      <c r="AM925" t="s">
        <v>10887</v>
      </c>
      <c r="AN925" t="s">
        <v>10937</v>
      </c>
      <c r="AO925" t="s">
        <v>11019</v>
      </c>
      <c r="AP925" t="s">
        <v>11074</v>
      </c>
      <c r="AR925" t="s">
        <v>11257</v>
      </c>
      <c r="AS925" t="s">
        <v>9925</v>
      </c>
      <c r="AT925" t="s">
        <v>11641</v>
      </c>
      <c r="AX925" t="s">
        <v>10838</v>
      </c>
      <c r="BA925" t="s">
        <v>11742</v>
      </c>
      <c r="BB925">
        <v>0</v>
      </c>
      <c r="BC925">
        <v>0</v>
      </c>
      <c r="BD925">
        <v>0</v>
      </c>
      <c r="BE925">
        <v>0</v>
      </c>
      <c r="BF925">
        <v>7</v>
      </c>
      <c r="BG925">
        <v>0</v>
      </c>
    </row>
    <row r="926" spans="1:59">
      <c r="A926" s="1">
        <f>HYPERLINK("https://lsnyc.legalserver.org/matter/dynamic-profile/view/1904719","19-1904719")</f>
        <v>0</v>
      </c>
      <c r="B926" t="s">
        <v>885</v>
      </c>
      <c r="C926" t="s">
        <v>5640</v>
      </c>
      <c r="D926" t="s">
        <v>9928</v>
      </c>
      <c r="E926" t="s">
        <v>10075</v>
      </c>
      <c r="F926">
        <v>11208</v>
      </c>
      <c r="G926" t="s">
        <v>10093</v>
      </c>
      <c r="H926" t="s">
        <v>10105</v>
      </c>
      <c r="I926" t="s">
        <v>10169</v>
      </c>
      <c r="J926" t="s">
        <v>10213</v>
      </c>
      <c r="K926" t="s">
        <v>10217</v>
      </c>
      <c r="M926" t="s">
        <v>10309</v>
      </c>
      <c r="N926" t="s">
        <v>10698</v>
      </c>
      <c r="P926" t="s">
        <v>10749</v>
      </c>
      <c r="Q926" t="s">
        <v>10765</v>
      </c>
      <c r="R926" t="s">
        <v>10821</v>
      </c>
      <c r="T926">
        <v>4200</v>
      </c>
      <c r="U926">
        <v>350</v>
      </c>
      <c r="V926">
        <v>33</v>
      </c>
      <c r="W926">
        <v>1</v>
      </c>
      <c r="X926">
        <v>0</v>
      </c>
      <c r="Z926">
        <v>33.63</v>
      </c>
      <c r="AA926">
        <v>40.670266</v>
      </c>
      <c r="AB926">
        <v>-73.87960200000001</v>
      </c>
      <c r="AD926" t="s">
        <v>10840</v>
      </c>
      <c r="AF926" t="s">
        <v>10842</v>
      </c>
      <c r="AG926" t="s">
        <v>10859</v>
      </c>
      <c r="AH926" t="s">
        <v>10861</v>
      </c>
      <c r="AI926">
        <v>234</v>
      </c>
      <c r="AJ926" t="s">
        <v>10214</v>
      </c>
      <c r="AL926">
        <v>5</v>
      </c>
      <c r="AM926" t="s">
        <v>10889</v>
      </c>
      <c r="AN926" t="s">
        <v>10946</v>
      </c>
      <c r="AO926" t="s">
        <v>11011</v>
      </c>
      <c r="AP926" t="s">
        <v>11060</v>
      </c>
      <c r="AR926" t="s">
        <v>10180</v>
      </c>
      <c r="AS926" t="s">
        <v>11595</v>
      </c>
      <c r="AT926" t="s">
        <v>11642</v>
      </c>
      <c r="AX926" t="s">
        <v>10837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</row>
    <row r="927" spans="1:59">
      <c r="A927" s="1">
        <f>HYPERLINK("https://lsnyc.legalserver.org/matter/dynamic-profile/view/1904720","19-1904720")</f>
        <v>0</v>
      </c>
      <c r="B927" t="s">
        <v>881</v>
      </c>
      <c r="C927" t="s">
        <v>5775</v>
      </c>
      <c r="D927" t="s">
        <v>9948</v>
      </c>
      <c r="E927" t="s">
        <v>10075</v>
      </c>
      <c r="F927">
        <v>11691</v>
      </c>
      <c r="G927" t="s">
        <v>10092</v>
      </c>
      <c r="H927" t="s">
        <v>10105</v>
      </c>
      <c r="I927" t="s">
        <v>10168</v>
      </c>
      <c r="J927" t="s">
        <v>10212</v>
      </c>
      <c r="K927" t="s">
        <v>10218</v>
      </c>
      <c r="L927" t="s">
        <v>10150</v>
      </c>
      <c r="M927" t="s">
        <v>10258</v>
      </c>
      <c r="N927" t="s">
        <v>10650</v>
      </c>
      <c r="P927" t="s">
        <v>10749</v>
      </c>
      <c r="Q927" t="s">
        <v>10765</v>
      </c>
      <c r="R927" t="s">
        <v>10824</v>
      </c>
      <c r="T927">
        <v>14268</v>
      </c>
      <c r="U927">
        <v>1189</v>
      </c>
      <c r="V927">
        <v>60</v>
      </c>
      <c r="W927">
        <v>1</v>
      </c>
      <c r="X927">
        <v>0</v>
      </c>
      <c r="Y927" t="s">
        <v>10831</v>
      </c>
      <c r="Z927">
        <v>114.24</v>
      </c>
      <c r="AA927">
        <v>40.596354</v>
      </c>
      <c r="AB927">
        <v>-73.76511499999999</v>
      </c>
      <c r="AD927" t="s">
        <v>10839</v>
      </c>
      <c r="AG927" t="s">
        <v>10858</v>
      </c>
      <c r="AH927" t="s">
        <v>10862</v>
      </c>
      <c r="AI927">
        <v>237</v>
      </c>
      <c r="AJ927" t="s">
        <v>10212</v>
      </c>
      <c r="AK927" t="s">
        <v>10882</v>
      </c>
      <c r="AL927">
        <v>1</v>
      </c>
      <c r="AM927" t="s">
        <v>10892</v>
      </c>
      <c r="AN927" t="s">
        <v>10958</v>
      </c>
      <c r="AO927" t="s">
        <v>11017</v>
      </c>
      <c r="AP927" t="s">
        <v>11082</v>
      </c>
      <c r="AR927" t="s">
        <v>11296</v>
      </c>
      <c r="AS927" t="s">
        <v>11594</v>
      </c>
      <c r="AY927" t="s">
        <v>10831</v>
      </c>
      <c r="AZ927" t="s">
        <v>11687</v>
      </c>
      <c r="BA927" t="s">
        <v>11738</v>
      </c>
      <c r="BB927">
        <v>0</v>
      </c>
      <c r="BC927">
        <v>0</v>
      </c>
      <c r="BD927">
        <v>0</v>
      </c>
      <c r="BE927">
        <v>0</v>
      </c>
      <c r="BF927">
        <v>5</v>
      </c>
      <c r="BG927">
        <v>0</v>
      </c>
    </row>
    <row r="928" spans="1:59">
      <c r="A928" s="1">
        <f>HYPERLINK("https://lsnyc.legalserver.org/matter/dynamic-profile/view/1904721","19-1904721")</f>
        <v>0</v>
      </c>
      <c r="B928" t="s">
        <v>886</v>
      </c>
      <c r="C928" t="s">
        <v>5778</v>
      </c>
      <c r="D928" t="s">
        <v>9926</v>
      </c>
      <c r="E928" t="s">
        <v>10075</v>
      </c>
      <c r="F928">
        <v>10451</v>
      </c>
      <c r="G928" t="s">
        <v>10090</v>
      </c>
      <c r="H928" t="s">
        <v>10105</v>
      </c>
      <c r="I928" t="s">
        <v>10168</v>
      </c>
      <c r="J928" t="s">
        <v>10210</v>
      </c>
      <c r="K928" t="s">
        <v>10217</v>
      </c>
      <c r="M928" t="s">
        <v>10333</v>
      </c>
      <c r="N928" t="s">
        <v>10683</v>
      </c>
      <c r="P928" t="s">
        <v>10757</v>
      </c>
      <c r="Q928" t="s">
        <v>10808</v>
      </c>
      <c r="R928" t="s">
        <v>10824</v>
      </c>
      <c r="T928">
        <v>20964</v>
      </c>
      <c r="U928">
        <v>1747</v>
      </c>
      <c r="V928">
        <v>64</v>
      </c>
      <c r="W928">
        <v>1</v>
      </c>
      <c r="X928">
        <v>0</v>
      </c>
      <c r="Z928">
        <v>167.85</v>
      </c>
      <c r="AA928">
        <v>40.826479</v>
      </c>
      <c r="AB928">
        <v>-73.92225000000001</v>
      </c>
      <c r="AD928" t="s">
        <v>10822</v>
      </c>
      <c r="AG928" t="s">
        <v>10858</v>
      </c>
      <c r="AH928" t="s">
        <v>10874</v>
      </c>
      <c r="AI928">
        <v>230</v>
      </c>
      <c r="AJ928" t="s">
        <v>10210</v>
      </c>
      <c r="AL928">
        <v>12.7</v>
      </c>
      <c r="AM928" t="s">
        <v>10884</v>
      </c>
      <c r="AN928" t="s">
        <v>10929</v>
      </c>
      <c r="AO928" t="s">
        <v>11001</v>
      </c>
      <c r="AP928" t="s">
        <v>11055</v>
      </c>
      <c r="AQ928" t="s">
        <v>11174</v>
      </c>
      <c r="AR928" t="s">
        <v>11364</v>
      </c>
      <c r="AS928" t="s">
        <v>9926</v>
      </c>
      <c r="AT928" t="s">
        <v>11642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</row>
    <row r="929" spans="1:59">
      <c r="A929" s="1">
        <f>HYPERLINK("https://lsnyc.legalserver.org/matter/dynamic-profile/view/1904722","19-1904722")</f>
        <v>0</v>
      </c>
      <c r="B929" t="s">
        <v>887</v>
      </c>
      <c r="C929" t="s">
        <v>5779</v>
      </c>
      <c r="D929" t="s">
        <v>9926</v>
      </c>
      <c r="E929" t="s">
        <v>10075</v>
      </c>
      <c r="F929">
        <v>10467</v>
      </c>
      <c r="G929" t="s">
        <v>10090</v>
      </c>
      <c r="H929" t="s">
        <v>10105</v>
      </c>
      <c r="I929" t="s">
        <v>10168</v>
      </c>
      <c r="J929" t="s">
        <v>10210</v>
      </c>
      <c r="K929" t="s">
        <v>10217</v>
      </c>
      <c r="M929" t="s">
        <v>10271</v>
      </c>
      <c r="N929" t="s">
        <v>10651</v>
      </c>
      <c r="P929" t="s">
        <v>10749</v>
      </c>
      <c r="Q929" t="s">
        <v>10765</v>
      </c>
      <c r="R929" t="s">
        <v>10824</v>
      </c>
      <c r="T929">
        <v>6430</v>
      </c>
      <c r="U929">
        <v>535.83</v>
      </c>
      <c r="V929">
        <v>31</v>
      </c>
      <c r="W929">
        <v>1</v>
      </c>
      <c r="X929">
        <v>2</v>
      </c>
      <c r="Z929">
        <v>30.15</v>
      </c>
      <c r="AA929">
        <v>40.880955</v>
      </c>
      <c r="AB929">
        <v>-73.870299</v>
      </c>
      <c r="AD929" t="s">
        <v>10839</v>
      </c>
      <c r="AG929" t="s">
        <v>10858</v>
      </c>
      <c r="AH929" t="s">
        <v>10862</v>
      </c>
      <c r="AI929">
        <v>230</v>
      </c>
      <c r="AJ929" t="s">
        <v>10210</v>
      </c>
      <c r="AL929">
        <v>2.05</v>
      </c>
      <c r="AM929" t="s">
        <v>10893</v>
      </c>
      <c r="AN929" t="s">
        <v>10919</v>
      </c>
      <c r="AO929" t="s">
        <v>11002</v>
      </c>
      <c r="AP929" t="s">
        <v>11057</v>
      </c>
      <c r="AR929" t="s">
        <v>11389</v>
      </c>
      <c r="AS929" t="s">
        <v>9926</v>
      </c>
      <c r="AX929" t="s">
        <v>10838</v>
      </c>
      <c r="BA929" t="s">
        <v>11738</v>
      </c>
      <c r="BB929">
        <v>0</v>
      </c>
      <c r="BC929">
        <v>0</v>
      </c>
      <c r="BD929">
        <v>0</v>
      </c>
      <c r="BE929">
        <v>0</v>
      </c>
      <c r="BF929">
        <v>5</v>
      </c>
      <c r="BG929">
        <v>0</v>
      </c>
    </row>
    <row r="930" spans="1:59">
      <c r="A930" s="1">
        <f>HYPERLINK("https://lsnyc.legalserver.org/matter/dynamic-profile/view/1904723","19-1904723")</f>
        <v>0</v>
      </c>
      <c r="B930" t="s">
        <v>888</v>
      </c>
      <c r="C930" t="s">
        <v>5780</v>
      </c>
      <c r="D930" t="s">
        <v>9925</v>
      </c>
      <c r="E930" t="s">
        <v>10075</v>
      </c>
      <c r="F930">
        <v>10034</v>
      </c>
      <c r="G930" t="s">
        <v>10089</v>
      </c>
      <c r="H930" t="s">
        <v>10105</v>
      </c>
      <c r="I930" t="s">
        <v>10168</v>
      </c>
      <c r="J930" t="s">
        <v>10209</v>
      </c>
      <c r="K930" t="s">
        <v>10217</v>
      </c>
      <c r="M930" t="s">
        <v>10442</v>
      </c>
      <c r="N930" t="s">
        <v>10650</v>
      </c>
      <c r="P930" t="s">
        <v>10749</v>
      </c>
      <c r="Q930" t="s">
        <v>10765</v>
      </c>
      <c r="R930" t="s">
        <v>10820</v>
      </c>
      <c r="T930">
        <v>70000</v>
      </c>
      <c r="U930">
        <v>5833.33</v>
      </c>
      <c r="V930">
        <v>27</v>
      </c>
      <c r="W930">
        <v>2</v>
      </c>
      <c r="X930">
        <v>0</v>
      </c>
      <c r="Z930">
        <v>413.96</v>
      </c>
      <c r="AA930">
        <v>40.868105</v>
      </c>
      <c r="AB930">
        <v>-73.924547</v>
      </c>
      <c r="AD930" t="s">
        <v>10839</v>
      </c>
      <c r="AG930" t="s">
        <v>10858</v>
      </c>
      <c r="AH930" t="s">
        <v>10862</v>
      </c>
      <c r="AI930">
        <v>236</v>
      </c>
      <c r="AJ930" t="s">
        <v>10209</v>
      </c>
      <c r="AL930">
        <v>0.2</v>
      </c>
      <c r="AM930" t="s">
        <v>10887</v>
      </c>
      <c r="AN930" t="s">
        <v>10937</v>
      </c>
      <c r="AO930" t="s">
        <v>11019</v>
      </c>
      <c r="AP930" t="s">
        <v>11074</v>
      </c>
      <c r="AR930" t="s">
        <v>11257</v>
      </c>
      <c r="AS930" t="s">
        <v>9925</v>
      </c>
      <c r="AT930" t="s">
        <v>11641</v>
      </c>
      <c r="AX930" t="s">
        <v>10838</v>
      </c>
      <c r="BA930" t="s">
        <v>11738</v>
      </c>
      <c r="BB930">
        <v>0</v>
      </c>
      <c r="BC930">
        <v>0</v>
      </c>
      <c r="BD930">
        <v>0</v>
      </c>
      <c r="BE930">
        <v>0</v>
      </c>
      <c r="BF930">
        <v>5</v>
      </c>
      <c r="BG930">
        <v>0</v>
      </c>
    </row>
    <row r="931" spans="1:59">
      <c r="A931" s="1">
        <f>HYPERLINK("https://lsnyc.legalserver.org/matter/dynamic-profile/view/1904724","19-1904724")</f>
        <v>0</v>
      </c>
      <c r="B931" t="s">
        <v>889</v>
      </c>
      <c r="C931" t="s">
        <v>5775</v>
      </c>
      <c r="D931" t="s">
        <v>9948</v>
      </c>
      <c r="E931" t="s">
        <v>10075</v>
      </c>
      <c r="F931">
        <v>11691</v>
      </c>
      <c r="G931" t="s">
        <v>10092</v>
      </c>
      <c r="H931" t="s">
        <v>10105</v>
      </c>
      <c r="I931" t="s">
        <v>10168</v>
      </c>
      <c r="J931" t="s">
        <v>10212</v>
      </c>
      <c r="K931" t="s">
        <v>10217</v>
      </c>
      <c r="M931" t="s">
        <v>10408</v>
      </c>
      <c r="N931" t="s">
        <v>10671</v>
      </c>
      <c r="P931" t="s">
        <v>10751</v>
      </c>
      <c r="Q931" t="s">
        <v>10761</v>
      </c>
      <c r="R931" t="s">
        <v>10820</v>
      </c>
      <c r="T931">
        <v>4200</v>
      </c>
      <c r="U931">
        <v>350</v>
      </c>
      <c r="V931">
        <v>53</v>
      </c>
      <c r="W931">
        <v>1</v>
      </c>
      <c r="X931">
        <v>0</v>
      </c>
      <c r="Z931">
        <v>33.63</v>
      </c>
      <c r="AA931">
        <v>40.596354</v>
      </c>
      <c r="AB931">
        <v>-73.76511499999999</v>
      </c>
      <c r="AD931" t="s">
        <v>10839</v>
      </c>
      <c r="AG931" t="s">
        <v>10858</v>
      </c>
      <c r="AH931" t="s">
        <v>10862</v>
      </c>
      <c r="AI931">
        <v>237</v>
      </c>
      <c r="AJ931" t="s">
        <v>10212</v>
      </c>
      <c r="AL931">
        <v>1.65</v>
      </c>
      <c r="AM931" t="s">
        <v>10892</v>
      </c>
      <c r="AN931" t="s">
        <v>10958</v>
      </c>
      <c r="AO931" t="s">
        <v>11017</v>
      </c>
      <c r="AP931" t="s">
        <v>11082</v>
      </c>
      <c r="AR931" t="s">
        <v>11257</v>
      </c>
      <c r="AS931" t="s">
        <v>11594</v>
      </c>
      <c r="BA931" t="s">
        <v>11737</v>
      </c>
      <c r="BB931">
        <v>0</v>
      </c>
      <c r="BC931">
        <v>0</v>
      </c>
      <c r="BD931">
        <v>0</v>
      </c>
      <c r="BE931">
        <v>0</v>
      </c>
      <c r="BF931">
        <v>3</v>
      </c>
      <c r="BG931">
        <v>0</v>
      </c>
    </row>
    <row r="932" spans="1:59">
      <c r="A932" s="1">
        <f>HYPERLINK("https://lsnyc.legalserver.org/matter/dynamic-profile/view/1904725","19-1904725")</f>
        <v>0</v>
      </c>
      <c r="B932" t="s">
        <v>890</v>
      </c>
      <c r="C932" t="s">
        <v>5780</v>
      </c>
      <c r="D932" t="s">
        <v>9925</v>
      </c>
      <c r="E932" t="s">
        <v>10075</v>
      </c>
      <c r="F932">
        <v>10034</v>
      </c>
      <c r="G932" t="s">
        <v>10089</v>
      </c>
      <c r="H932" t="s">
        <v>10105</v>
      </c>
      <c r="I932" t="s">
        <v>10168</v>
      </c>
      <c r="J932" t="s">
        <v>10209</v>
      </c>
      <c r="K932" t="s">
        <v>10217</v>
      </c>
      <c r="M932" t="s">
        <v>10442</v>
      </c>
      <c r="N932" t="s">
        <v>10650</v>
      </c>
      <c r="P932" t="s">
        <v>10749</v>
      </c>
      <c r="Q932" t="s">
        <v>10765</v>
      </c>
      <c r="R932" t="s">
        <v>10821</v>
      </c>
      <c r="T932">
        <v>65000</v>
      </c>
      <c r="U932">
        <v>5416.67</v>
      </c>
      <c r="V932">
        <v>37</v>
      </c>
      <c r="W932">
        <v>2</v>
      </c>
      <c r="X932">
        <v>2</v>
      </c>
      <c r="Z932">
        <v>252.43</v>
      </c>
      <c r="AA932">
        <v>40.868105</v>
      </c>
      <c r="AB932">
        <v>-73.924547</v>
      </c>
      <c r="AD932" t="s">
        <v>10839</v>
      </c>
      <c r="AG932" t="s">
        <v>10858</v>
      </c>
      <c r="AH932" t="s">
        <v>10862</v>
      </c>
      <c r="AI932">
        <v>236</v>
      </c>
      <c r="AJ932" t="s">
        <v>10209</v>
      </c>
      <c r="AL932">
        <v>0</v>
      </c>
      <c r="AM932" t="s">
        <v>10887</v>
      </c>
      <c r="AN932" t="s">
        <v>10937</v>
      </c>
      <c r="AO932" t="s">
        <v>11019</v>
      </c>
      <c r="AP932" t="s">
        <v>11074</v>
      </c>
      <c r="AR932" t="s">
        <v>11390</v>
      </c>
      <c r="AS932" t="s">
        <v>9925</v>
      </c>
      <c r="AT932" t="s">
        <v>11641</v>
      </c>
      <c r="AX932" t="s">
        <v>10838</v>
      </c>
      <c r="BA932" t="s">
        <v>11738</v>
      </c>
      <c r="BB932">
        <v>0</v>
      </c>
      <c r="BC932">
        <v>0</v>
      </c>
      <c r="BD932">
        <v>0</v>
      </c>
      <c r="BE932">
        <v>0</v>
      </c>
      <c r="BF932">
        <v>5</v>
      </c>
      <c r="BG932">
        <v>0</v>
      </c>
    </row>
    <row r="933" spans="1:59">
      <c r="A933" s="1">
        <f>HYPERLINK("https://lsnyc.legalserver.org/matter/dynamic-profile/view/1904726","19-1904726")</f>
        <v>0</v>
      </c>
      <c r="B933" t="s">
        <v>891</v>
      </c>
      <c r="C933" t="s">
        <v>5781</v>
      </c>
      <c r="D933" t="s">
        <v>9929</v>
      </c>
      <c r="E933" t="s">
        <v>10075</v>
      </c>
      <c r="F933">
        <v>10314</v>
      </c>
      <c r="G933" t="s">
        <v>10093</v>
      </c>
      <c r="H933" t="s">
        <v>10105</v>
      </c>
      <c r="I933" t="s">
        <v>10168</v>
      </c>
      <c r="J933" t="s">
        <v>10213</v>
      </c>
      <c r="K933" t="s">
        <v>10218</v>
      </c>
      <c r="L933" t="s">
        <v>10147</v>
      </c>
      <c r="M933" t="s">
        <v>10317</v>
      </c>
      <c r="N933" t="s">
        <v>10671</v>
      </c>
      <c r="P933" t="s">
        <v>10757</v>
      </c>
      <c r="Q933" t="s">
        <v>10789</v>
      </c>
      <c r="R933" t="s">
        <v>10820</v>
      </c>
      <c r="T933">
        <v>13200</v>
      </c>
      <c r="U933">
        <v>1100</v>
      </c>
      <c r="V933">
        <v>72</v>
      </c>
      <c r="W933">
        <v>1</v>
      </c>
      <c r="X933">
        <v>0</v>
      </c>
      <c r="Y933" t="s">
        <v>10829</v>
      </c>
      <c r="Z933">
        <v>105.68</v>
      </c>
      <c r="AA933">
        <v>40.593436</v>
      </c>
      <c r="AB933">
        <v>-74.191174</v>
      </c>
      <c r="AD933" t="s">
        <v>10839</v>
      </c>
      <c r="AF933" t="s">
        <v>10843</v>
      </c>
      <c r="AG933" t="s">
        <v>10859</v>
      </c>
      <c r="AH933" t="s">
        <v>10871</v>
      </c>
      <c r="AI933">
        <v>234</v>
      </c>
      <c r="AJ933" t="s">
        <v>10214</v>
      </c>
      <c r="AK933" t="s">
        <v>10838</v>
      </c>
      <c r="AL933">
        <v>2.05</v>
      </c>
      <c r="AM933" t="s">
        <v>10883</v>
      </c>
      <c r="AN933" t="s">
        <v>10928</v>
      </c>
      <c r="AO933" t="s">
        <v>10999</v>
      </c>
      <c r="AP933" t="s">
        <v>11063</v>
      </c>
      <c r="AR933" t="s">
        <v>11300</v>
      </c>
      <c r="AS933" t="s">
        <v>11593</v>
      </c>
      <c r="AT933" t="s">
        <v>11641</v>
      </c>
      <c r="AX933" t="s">
        <v>10838</v>
      </c>
      <c r="AY933" t="s">
        <v>10829</v>
      </c>
      <c r="AZ933" t="s">
        <v>11703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</row>
    <row r="934" spans="1:59">
      <c r="A934" s="1">
        <f>HYPERLINK("https://lsnyc.legalserver.org/matter/dynamic-profile/view/1904727","19-1904727")</f>
        <v>0</v>
      </c>
      <c r="B934" t="s">
        <v>892</v>
      </c>
      <c r="C934" t="s">
        <v>5020</v>
      </c>
      <c r="D934" t="s">
        <v>9926</v>
      </c>
      <c r="E934" t="s">
        <v>10075</v>
      </c>
      <c r="F934">
        <v>10456</v>
      </c>
      <c r="G934" t="s">
        <v>10090</v>
      </c>
      <c r="H934" t="s">
        <v>10105</v>
      </c>
      <c r="I934" t="s">
        <v>10169</v>
      </c>
      <c r="J934" t="s">
        <v>10210</v>
      </c>
      <c r="K934" t="s">
        <v>10217</v>
      </c>
      <c r="M934" t="s">
        <v>10397</v>
      </c>
      <c r="N934" t="s">
        <v>10650</v>
      </c>
      <c r="P934" t="s">
        <v>10749</v>
      </c>
      <c r="Q934" t="s">
        <v>10765</v>
      </c>
      <c r="R934" t="s">
        <v>10821</v>
      </c>
      <c r="T934">
        <v>25844</v>
      </c>
      <c r="U934">
        <v>2153.67</v>
      </c>
      <c r="V934">
        <v>53</v>
      </c>
      <c r="W934">
        <v>3</v>
      </c>
      <c r="X934">
        <v>1</v>
      </c>
      <c r="Z934">
        <v>100.37</v>
      </c>
      <c r="AA934">
        <v>40.829372</v>
      </c>
      <c r="AB934">
        <v>-73.91876000000001</v>
      </c>
      <c r="AD934" t="s">
        <v>10839</v>
      </c>
      <c r="AF934" t="s">
        <v>10843</v>
      </c>
      <c r="AG934" t="s">
        <v>10859</v>
      </c>
      <c r="AH934" t="s">
        <v>10862</v>
      </c>
      <c r="AI934">
        <v>230</v>
      </c>
      <c r="AJ934" t="s">
        <v>10210</v>
      </c>
      <c r="AL934">
        <v>0</v>
      </c>
      <c r="AM934" t="s">
        <v>10884</v>
      </c>
      <c r="AN934" t="s">
        <v>10918</v>
      </c>
      <c r="AO934" t="s">
        <v>11001</v>
      </c>
      <c r="AP934" t="s">
        <v>11055</v>
      </c>
      <c r="AR934" t="s">
        <v>11257</v>
      </c>
      <c r="AS934" t="s">
        <v>9926</v>
      </c>
      <c r="AT934" t="s">
        <v>11641</v>
      </c>
      <c r="BA934" t="s">
        <v>11739</v>
      </c>
      <c r="BB934">
        <v>0</v>
      </c>
      <c r="BC934">
        <v>0</v>
      </c>
      <c r="BD934">
        <v>0</v>
      </c>
      <c r="BE934">
        <v>0</v>
      </c>
      <c r="BF934">
        <v>4</v>
      </c>
      <c r="BG934">
        <v>0</v>
      </c>
    </row>
    <row r="935" spans="1:59">
      <c r="A935" s="1">
        <f>HYPERLINK("https://lsnyc.legalserver.org/matter/dynamic-profile/view/1904728","19-1904728")</f>
        <v>0</v>
      </c>
      <c r="B935" t="s">
        <v>893</v>
      </c>
      <c r="C935" t="s">
        <v>5782</v>
      </c>
      <c r="D935" t="s">
        <v>9928</v>
      </c>
      <c r="E935" t="s">
        <v>10075</v>
      </c>
      <c r="F935">
        <v>11213</v>
      </c>
      <c r="G935" t="s">
        <v>10093</v>
      </c>
      <c r="H935" t="s">
        <v>10105</v>
      </c>
      <c r="I935" t="s">
        <v>10168</v>
      </c>
      <c r="J935" t="s">
        <v>10213</v>
      </c>
      <c r="K935" t="s">
        <v>10218</v>
      </c>
      <c r="L935" t="s">
        <v>10096</v>
      </c>
      <c r="M935" t="s">
        <v>10265</v>
      </c>
      <c r="N935" t="s">
        <v>10668</v>
      </c>
      <c r="P935" t="s">
        <v>10751</v>
      </c>
      <c r="Q935" t="s">
        <v>10761</v>
      </c>
      <c r="R935" t="s">
        <v>10824</v>
      </c>
      <c r="T935">
        <v>39000</v>
      </c>
      <c r="U935">
        <v>3250</v>
      </c>
      <c r="V935">
        <v>33</v>
      </c>
      <c r="W935">
        <v>1</v>
      </c>
      <c r="X935">
        <v>3</v>
      </c>
      <c r="Y935" t="s">
        <v>10832</v>
      </c>
      <c r="Z935">
        <v>151.46</v>
      </c>
      <c r="AA935">
        <v>40.679628</v>
      </c>
      <c r="AB935">
        <v>-73.935636</v>
      </c>
      <c r="AD935" t="s">
        <v>10839</v>
      </c>
      <c r="AG935" t="s">
        <v>10858</v>
      </c>
      <c r="AH935" t="s">
        <v>10862</v>
      </c>
      <c r="AI935">
        <v>239</v>
      </c>
      <c r="AJ935" t="s">
        <v>10213</v>
      </c>
      <c r="AK935" t="s">
        <v>10838</v>
      </c>
      <c r="AL935">
        <v>2.6</v>
      </c>
      <c r="AM935" t="s">
        <v>10889</v>
      </c>
      <c r="AN935" t="s">
        <v>10914</v>
      </c>
      <c r="AO935" t="s">
        <v>11007</v>
      </c>
      <c r="AP935" t="s">
        <v>11052</v>
      </c>
      <c r="AR935" t="s">
        <v>11257</v>
      </c>
      <c r="AS935" t="s">
        <v>11595</v>
      </c>
      <c r="AY935" t="s">
        <v>10832</v>
      </c>
      <c r="AZ935" t="s">
        <v>11688</v>
      </c>
      <c r="BA935" t="s">
        <v>11737</v>
      </c>
      <c r="BB935">
        <v>0</v>
      </c>
      <c r="BC935">
        <v>0</v>
      </c>
      <c r="BD935">
        <v>0</v>
      </c>
      <c r="BE935">
        <v>0</v>
      </c>
      <c r="BF935">
        <v>3</v>
      </c>
      <c r="BG935">
        <v>0</v>
      </c>
    </row>
    <row r="936" spans="1:59">
      <c r="A936" s="1">
        <f>HYPERLINK("https://lsnyc.legalserver.org/matter/dynamic-profile/view/1904729","19-1904729")</f>
        <v>0</v>
      </c>
      <c r="B936" t="s">
        <v>894</v>
      </c>
      <c r="C936" t="s">
        <v>5780</v>
      </c>
      <c r="D936" t="s">
        <v>9925</v>
      </c>
      <c r="E936" t="s">
        <v>10075</v>
      </c>
      <c r="F936">
        <v>10034</v>
      </c>
      <c r="G936" t="s">
        <v>10089</v>
      </c>
      <c r="H936" t="s">
        <v>10105</v>
      </c>
      <c r="I936" t="s">
        <v>10169</v>
      </c>
      <c r="J936" t="s">
        <v>10209</v>
      </c>
      <c r="K936" t="s">
        <v>10217</v>
      </c>
      <c r="M936" t="s">
        <v>10442</v>
      </c>
      <c r="N936" t="s">
        <v>10650</v>
      </c>
      <c r="P936" t="s">
        <v>10749</v>
      </c>
      <c r="Q936" t="s">
        <v>10765</v>
      </c>
      <c r="R936" t="s">
        <v>10821</v>
      </c>
      <c r="T936">
        <v>39840</v>
      </c>
      <c r="U936">
        <v>3320</v>
      </c>
      <c r="V936">
        <v>37</v>
      </c>
      <c r="W936">
        <v>3</v>
      </c>
      <c r="X936">
        <v>1</v>
      </c>
      <c r="Z936">
        <v>154.72</v>
      </c>
      <c r="AA936">
        <v>40.868105</v>
      </c>
      <c r="AB936">
        <v>-73.924547</v>
      </c>
      <c r="AD936" t="s">
        <v>10840</v>
      </c>
      <c r="AF936" t="s">
        <v>10843</v>
      </c>
      <c r="AG936" t="s">
        <v>10859</v>
      </c>
      <c r="AH936" t="s">
        <v>10862</v>
      </c>
      <c r="AI936">
        <v>236</v>
      </c>
      <c r="AJ936" t="s">
        <v>10209</v>
      </c>
      <c r="AL936">
        <v>0</v>
      </c>
      <c r="AM936" t="s">
        <v>10887</v>
      </c>
      <c r="AN936" t="s">
        <v>10937</v>
      </c>
      <c r="AO936" t="s">
        <v>11019</v>
      </c>
      <c r="AP936" t="s">
        <v>11074</v>
      </c>
      <c r="AR936" t="s">
        <v>11355</v>
      </c>
      <c r="AS936" t="s">
        <v>9925</v>
      </c>
      <c r="AT936" t="s">
        <v>11642</v>
      </c>
      <c r="AX936" t="s">
        <v>10838</v>
      </c>
      <c r="BA936" t="s">
        <v>11738</v>
      </c>
      <c r="BB936">
        <v>0</v>
      </c>
      <c r="BC936">
        <v>0</v>
      </c>
      <c r="BD936">
        <v>0</v>
      </c>
      <c r="BE936">
        <v>0</v>
      </c>
      <c r="BF936">
        <v>5</v>
      </c>
      <c r="BG936">
        <v>0</v>
      </c>
    </row>
    <row r="937" spans="1:59">
      <c r="A937" s="1">
        <f>HYPERLINK("https://lsnyc.legalserver.org/matter/dynamic-profile/view/1904730","19-1904730")</f>
        <v>0</v>
      </c>
      <c r="B937" t="s">
        <v>686</v>
      </c>
      <c r="C937" t="s">
        <v>5594</v>
      </c>
      <c r="D937" t="s">
        <v>9925</v>
      </c>
      <c r="E937" t="s">
        <v>10075</v>
      </c>
      <c r="F937">
        <v>10023</v>
      </c>
      <c r="G937" t="s">
        <v>10089</v>
      </c>
      <c r="H937" t="s">
        <v>10105</v>
      </c>
      <c r="I937" t="s">
        <v>10168</v>
      </c>
      <c r="J937" t="s">
        <v>10209</v>
      </c>
      <c r="K937" t="s">
        <v>10218</v>
      </c>
      <c r="L937" t="s">
        <v>10127</v>
      </c>
      <c r="M937" t="s">
        <v>10474</v>
      </c>
      <c r="N937" t="s">
        <v>10691</v>
      </c>
      <c r="P937" t="s">
        <v>10751</v>
      </c>
      <c r="Q937" t="s">
        <v>10776</v>
      </c>
      <c r="R937" t="s">
        <v>10824</v>
      </c>
      <c r="T937">
        <v>26000</v>
      </c>
      <c r="U937">
        <v>2166.67</v>
      </c>
      <c r="V937">
        <v>46</v>
      </c>
      <c r="W937">
        <v>1</v>
      </c>
      <c r="X937">
        <v>1</v>
      </c>
      <c r="Y937" t="s">
        <v>10830</v>
      </c>
      <c r="Z937">
        <v>153.76</v>
      </c>
      <c r="AA937">
        <v>40.774165</v>
      </c>
      <c r="AB937">
        <v>-73.989293</v>
      </c>
      <c r="AD937" t="s">
        <v>10839</v>
      </c>
      <c r="AG937" t="s">
        <v>10858</v>
      </c>
      <c r="AH937" t="s">
        <v>10861</v>
      </c>
      <c r="AI937">
        <v>236</v>
      </c>
      <c r="AJ937" t="s">
        <v>10209</v>
      </c>
      <c r="AK937" t="s">
        <v>10882</v>
      </c>
      <c r="AL937">
        <v>6.7</v>
      </c>
      <c r="AM937" t="s">
        <v>10894</v>
      </c>
      <c r="AN937" t="s">
        <v>10964</v>
      </c>
      <c r="AO937" t="s">
        <v>11019</v>
      </c>
      <c r="AP937" t="s">
        <v>11089</v>
      </c>
      <c r="AR937" t="s">
        <v>11257</v>
      </c>
      <c r="AS937" t="s">
        <v>9925</v>
      </c>
      <c r="AY937" t="s">
        <v>10830</v>
      </c>
      <c r="AZ937" t="s">
        <v>11682</v>
      </c>
      <c r="BB937">
        <v>0</v>
      </c>
      <c r="BC937">
        <v>0</v>
      </c>
      <c r="BD937">
        <v>8312</v>
      </c>
      <c r="BE937">
        <v>0</v>
      </c>
      <c r="BF937">
        <v>0</v>
      </c>
      <c r="BG937">
        <v>0</v>
      </c>
    </row>
    <row r="938" spans="1:59">
      <c r="A938" s="1">
        <f>HYPERLINK("https://lsnyc.legalserver.org/matter/dynamic-profile/view/1904731","19-1904731")</f>
        <v>0</v>
      </c>
      <c r="B938" t="s">
        <v>895</v>
      </c>
      <c r="C938" t="s">
        <v>5020</v>
      </c>
      <c r="D938" t="s">
        <v>9926</v>
      </c>
      <c r="E938" t="s">
        <v>10075</v>
      </c>
      <c r="F938">
        <v>10456</v>
      </c>
      <c r="G938" t="s">
        <v>10090</v>
      </c>
      <c r="H938" t="s">
        <v>10105</v>
      </c>
      <c r="I938" t="s">
        <v>10168</v>
      </c>
      <c r="J938" t="s">
        <v>10210</v>
      </c>
      <c r="K938" t="s">
        <v>10217</v>
      </c>
      <c r="M938" t="s">
        <v>10397</v>
      </c>
      <c r="N938" t="s">
        <v>10650</v>
      </c>
      <c r="P938" t="s">
        <v>10749</v>
      </c>
      <c r="Q938" t="s">
        <v>10765</v>
      </c>
      <c r="R938" t="s">
        <v>10824</v>
      </c>
      <c r="T938">
        <v>72000</v>
      </c>
      <c r="U938">
        <v>6000</v>
      </c>
      <c r="V938">
        <v>59</v>
      </c>
      <c r="W938">
        <v>3</v>
      </c>
      <c r="X938">
        <v>0</v>
      </c>
      <c r="Z938">
        <v>337.55</v>
      </c>
      <c r="AA938">
        <v>40.829372</v>
      </c>
      <c r="AB938">
        <v>-73.91876000000001</v>
      </c>
      <c r="AD938" t="s">
        <v>10839</v>
      </c>
      <c r="AG938" t="s">
        <v>10858</v>
      </c>
      <c r="AH938" t="s">
        <v>10862</v>
      </c>
      <c r="AI938">
        <v>230</v>
      </c>
      <c r="AJ938" t="s">
        <v>10210</v>
      </c>
      <c r="AL938">
        <v>0</v>
      </c>
      <c r="AM938" t="s">
        <v>10884</v>
      </c>
      <c r="AN938" t="s">
        <v>10918</v>
      </c>
      <c r="AO938" t="s">
        <v>11001</v>
      </c>
      <c r="AP938" t="s">
        <v>11055</v>
      </c>
      <c r="AR938" t="s">
        <v>11328</v>
      </c>
      <c r="AS938" t="s">
        <v>9926</v>
      </c>
      <c r="AT938" t="s">
        <v>11641</v>
      </c>
      <c r="BA938" t="s">
        <v>11739</v>
      </c>
      <c r="BB938">
        <v>0</v>
      </c>
      <c r="BC938">
        <v>0</v>
      </c>
      <c r="BD938">
        <v>0</v>
      </c>
      <c r="BE938">
        <v>0</v>
      </c>
      <c r="BF938">
        <v>4</v>
      </c>
      <c r="BG938">
        <v>0</v>
      </c>
    </row>
    <row r="939" spans="1:59">
      <c r="A939" s="1">
        <f>HYPERLINK("https://lsnyc.legalserver.org/matter/dynamic-profile/view/1904732","19-1904732")</f>
        <v>0</v>
      </c>
      <c r="B939" t="s">
        <v>887</v>
      </c>
      <c r="C939" t="s">
        <v>5779</v>
      </c>
      <c r="D939" t="s">
        <v>9926</v>
      </c>
      <c r="E939" t="s">
        <v>10075</v>
      </c>
      <c r="F939">
        <v>10467</v>
      </c>
      <c r="G939" t="s">
        <v>10090</v>
      </c>
      <c r="H939" t="s">
        <v>10105</v>
      </c>
      <c r="I939" t="s">
        <v>10168</v>
      </c>
      <c r="J939" t="s">
        <v>10210</v>
      </c>
      <c r="K939" t="s">
        <v>10217</v>
      </c>
      <c r="M939" t="s">
        <v>10287</v>
      </c>
      <c r="N939" t="s">
        <v>10671</v>
      </c>
      <c r="P939" t="s">
        <v>10751</v>
      </c>
      <c r="Q939" t="s">
        <v>10761</v>
      </c>
      <c r="R939" t="s">
        <v>10824</v>
      </c>
      <c r="T939">
        <v>6430</v>
      </c>
      <c r="U939">
        <v>535.83</v>
      </c>
      <c r="V939">
        <v>31</v>
      </c>
      <c r="W939">
        <v>1</v>
      </c>
      <c r="X939">
        <v>2</v>
      </c>
      <c r="Z939">
        <v>30.15</v>
      </c>
      <c r="AA939">
        <v>40.880955</v>
      </c>
      <c r="AB939">
        <v>-73.870299</v>
      </c>
      <c r="AD939" t="s">
        <v>10839</v>
      </c>
      <c r="AG939" t="s">
        <v>10858</v>
      </c>
      <c r="AH939" t="s">
        <v>10862</v>
      </c>
      <c r="AI939">
        <v>230</v>
      </c>
      <c r="AJ939" t="s">
        <v>10210</v>
      </c>
      <c r="AL939">
        <v>0.5</v>
      </c>
      <c r="AM939" t="s">
        <v>10893</v>
      </c>
      <c r="AN939" t="s">
        <v>10919</v>
      </c>
      <c r="AO939" t="s">
        <v>11002</v>
      </c>
      <c r="AP939" t="s">
        <v>11057</v>
      </c>
      <c r="AR939" t="s">
        <v>11389</v>
      </c>
      <c r="AS939" t="s">
        <v>9926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</row>
    <row r="940" spans="1:59">
      <c r="A940" s="1">
        <f>HYPERLINK("https://lsnyc.legalserver.org/matter/dynamic-profile/view/1904733","19-1904733")</f>
        <v>0</v>
      </c>
      <c r="B940" t="s">
        <v>850</v>
      </c>
      <c r="C940" t="s">
        <v>5783</v>
      </c>
      <c r="D940" t="s">
        <v>9926</v>
      </c>
      <c r="E940" t="s">
        <v>10075</v>
      </c>
      <c r="F940">
        <v>10463</v>
      </c>
      <c r="G940" t="s">
        <v>10089</v>
      </c>
      <c r="H940" t="s">
        <v>10105</v>
      </c>
      <c r="I940" t="s">
        <v>10169</v>
      </c>
      <c r="J940" t="s">
        <v>10209</v>
      </c>
      <c r="K940" t="s">
        <v>10217</v>
      </c>
      <c r="M940" t="s">
        <v>10267</v>
      </c>
      <c r="N940" t="s">
        <v>10688</v>
      </c>
      <c r="P940" t="s">
        <v>10751</v>
      </c>
      <c r="Q940" t="s">
        <v>10776</v>
      </c>
      <c r="R940" t="s">
        <v>10821</v>
      </c>
      <c r="T940">
        <v>10292.04</v>
      </c>
      <c r="U940">
        <v>857.67</v>
      </c>
      <c r="V940">
        <v>51</v>
      </c>
      <c r="W940">
        <v>1</v>
      </c>
      <c r="X940">
        <v>1</v>
      </c>
      <c r="Z940">
        <v>60.86</v>
      </c>
      <c r="AA940">
        <v>40.87543</v>
      </c>
      <c r="AB940">
        <v>-73.91206200000001</v>
      </c>
      <c r="AD940" t="s">
        <v>10839</v>
      </c>
      <c r="AF940" t="s">
        <v>10843</v>
      </c>
      <c r="AG940" t="s">
        <v>10859</v>
      </c>
      <c r="AH940" t="s">
        <v>10861</v>
      </c>
      <c r="AI940">
        <v>236</v>
      </c>
      <c r="AJ940" t="s">
        <v>10209</v>
      </c>
      <c r="AL940">
        <v>39.5</v>
      </c>
      <c r="AM940" t="s">
        <v>10887</v>
      </c>
      <c r="AN940" t="s">
        <v>10937</v>
      </c>
      <c r="AO940" t="s">
        <v>11019</v>
      </c>
      <c r="AP940" t="s">
        <v>11074</v>
      </c>
      <c r="AR940" t="s">
        <v>11385</v>
      </c>
      <c r="AS940" t="s">
        <v>9926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</row>
    <row r="941" spans="1:59">
      <c r="A941" s="1">
        <f>HYPERLINK("https://lsnyc.legalserver.org/matter/dynamic-profile/view/1904734","19-1904734")</f>
        <v>0</v>
      </c>
      <c r="B941" t="s">
        <v>896</v>
      </c>
      <c r="C941" t="s">
        <v>5784</v>
      </c>
      <c r="D941" t="s">
        <v>9925</v>
      </c>
      <c r="E941" t="s">
        <v>10075</v>
      </c>
      <c r="F941">
        <v>10034</v>
      </c>
      <c r="G941" t="s">
        <v>10089</v>
      </c>
      <c r="H941" t="s">
        <v>10105</v>
      </c>
      <c r="I941" t="s">
        <v>10169</v>
      </c>
      <c r="J941" t="s">
        <v>10209</v>
      </c>
      <c r="K941" t="s">
        <v>10217</v>
      </c>
      <c r="M941" t="s">
        <v>10472</v>
      </c>
      <c r="N941" t="s">
        <v>10671</v>
      </c>
      <c r="P941" t="s">
        <v>10751</v>
      </c>
      <c r="Q941" t="s">
        <v>10761</v>
      </c>
      <c r="R941" t="s">
        <v>10821</v>
      </c>
      <c r="T941">
        <v>0</v>
      </c>
      <c r="U941">
        <v>0</v>
      </c>
      <c r="V941">
        <v>56</v>
      </c>
      <c r="W941">
        <v>0</v>
      </c>
      <c r="X941">
        <v>0</v>
      </c>
      <c r="Z941">
        <v>0</v>
      </c>
      <c r="AA941">
        <v>40.865276</v>
      </c>
      <c r="AB941">
        <v>-73.924019</v>
      </c>
      <c r="AD941" t="s">
        <v>10839</v>
      </c>
      <c r="AG941" t="s">
        <v>10858</v>
      </c>
      <c r="AH941" t="s">
        <v>10861</v>
      </c>
      <c r="AI941">
        <v>234</v>
      </c>
      <c r="AJ941" t="s">
        <v>10214</v>
      </c>
      <c r="AL941">
        <v>94.2</v>
      </c>
      <c r="AM941" t="s">
        <v>10887</v>
      </c>
      <c r="AN941" t="s">
        <v>10937</v>
      </c>
      <c r="AO941" t="s">
        <v>11019</v>
      </c>
      <c r="AP941" t="s">
        <v>11074</v>
      </c>
      <c r="AR941" t="s">
        <v>11267</v>
      </c>
      <c r="AS941" t="s">
        <v>9925</v>
      </c>
      <c r="AT941" t="s">
        <v>11641</v>
      </c>
      <c r="AX941" t="s">
        <v>10838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</row>
    <row r="942" spans="1:59">
      <c r="A942" s="1">
        <f>HYPERLINK("https://lsnyc.legalserver.org/matter/dynamic-profile/view/1904735","19-1904735")</f>
        <v>0</v>
      </c>
      <c r="B942" t="s">
        <v>897</v>
      </c>
      <c r="C942" t="s">
        <v>5785</v>
      </c>
      <c r="D942" t="s">
        <v>9928</v>
      </c>
      <c r="E942" t="s">
        <v>10075</v>
      </c>
      <c r="F942">
        <v>11226</v>
      </c>
      <c r="G942" t="s">
        <v>10093</v>
      </c>
      <c r="H942" t="s">
        <v>10105</v>
      </c>
      <c r="J942" t="s">
        <v>10213</v>
      </c>
      <c r="K942" t="s">
        <v>10217</v>
      </c>
      <c r="M942" t="s">
        <v>10494</v>
      </c>
      <c r="N942" t="s">
        <v>10646</v>
      </c>
      <c r="P942" t="s">
        <v>10749</v>
      </c>
      <c r="Q942" t="s">
        <v>10765</v>
      </c>
      <c r="R942" t="s">
        <v>10824</v>
      </c>
      <c r="T942">
        <v>59552.04</v>
      </c>
      <c r="U942">
        <v>4962.67</v>
      </c>
      <c r="V942">
        <v>34</v>
      </c>
      <c r="W942">
        <v>2</v>
      </c>
      <c r="X942">
        <v>0</v>
      </c>
      <c r="Z942">
        <v>352.17</v>
      </c>
      <c r="AA942">
        <v>40.654453</v>
      </c>
      <c r="AB942">
        <v>-73.951425</v>
      </c>
      <c r="AD942" t="s">
        <v>10840</v>
      </c>
      <c r="AG942" t="s">
        <v>10858</v>
      </c>
      <c r="AH942" t="s">
        <v>10862</v>
      </c>
      <c r="AI942">
        <v>239</v>
      </c>
      <c r="AJ942" t="s">
        <v>10213</v>
      </c>
      <c r="AL942">
        <v>5.7</v>
      </c>
      <c r="AM942" t="s">
        <v>10888</v>
      </c>
      <c r="AN942" t="s">
        <v>10912</v>
      </c>
      <c r="AO942" t="s">
        <v>11005</v>
      </c>
      <c r="AP942" t="s">
        <v>11050</v>
      </c>
      <c r="AR942" t="s">
        <v>11295</v>
      </c>
      <c r="AS942" t="s">
        <v>11595</v>
      </c>
      <c r="BA942" t="s">
        <v>11742</v>
      </c>
      <c r="BB942">
        <v>0</v>
      </c>
      <c r="BC942">
        <v>0</v>
      </c>
      <c r="BD942">
        <v>0</v>
      </c>
      <c r="BE942">
        <v>0</v>
      </c>
      <c r="BF942">
        <v>7</v>
      </c>
      <c r="BG942">
        <v>0</v>
      </c>
    </row>
    <row r="943" spans="1:59">
      <c r="A943" s="1">
        <f>HYPERLINK("https://lsnyc.legalserver.org/matter/dynamic-profile/view/1904737","19-1904737")</f>
        <v>0</v>
      </c>
      <c r="B943" t="s">
        <v>898</v>
      </c>
      <c r="C943" t="s">
        <v>5786</v>
      </c>
      <c r="D943" t="s">
        <v>9926</v>
      </c>
      <c r="E943" t="s">
        <v>10075</v>
      </c>
      <c r="F943">
        <v>10457</v>
      </c>
      <c r="G943" t="s">
        <v>10090</v>
      </c>
      <c r="H943" t="s">
        <v>10105</v>
      </c>
      <c r="I943" t="s">
        <v>10169</v>
      </c>
      <c r="J943" t="s">
        <v>10210</v>
      </c>
      <c r="K943" t="s">
        <v>10218</v>
      </c>
      <c r="L943" t="s">
        <v>10108</v>
      </c>
      <c r="M943" t="s">
        <v>10353</v>
      </c>
      <c r="N943" t="s">
        <v>10671</v>
      </c>
      <c r="P943" t="s">
        <v>10751</v>
      </c>
      <c r="Q943" t="s">
        <v>10761</v>
      </c>
      <c r="R943" t="s">
        <v>10823</v>
      </c>
      <c r="T943">
        <v>5712</v>
      </c>
      <c r="U943">
        <v>476</v>
      </c>
      <c r="V943">
        <v>37</v>
      </c>
      <c r="W943">
        <v>1</v>
      </c>
      <c r="X943">
        <v>4</v>
      </c>
      <c r="Y943" t="s">
        <v>10833</v>
      </c>
      <c r="Z943">
        <v>18.93</v>
      </c>
      <c r="AA943">
        <v>40.851869</v>
      </c>
      <c r="AB943">
        <v>-73.889228</v>
      </c>
      <c r="AD943" t="s">
        <v>10839</v>
      </c>
      <c r="AG943" t="s">
        <v>10858</v>
      </c>
      <c r="AH943" t="s">
        <v>10862</v>
      </c>
      <c r="AI943">
        <v>230</v>
      </c>
      <c r="AJ943" t="s">
        <v>10210</v>
      </c>
      <c r="AK943" t="s">
        <v>10838</v>
      </c>
      <c r="AL943">
        <v>4.95</v>
      </c>
      <c r="AM943" t="s">
        <v>10884</v>
      </c>
      <c r="AN943" t="s">
        <v>10907</v>
      </c>
      <c r="AO943" t="s">
        <v>11000</v>
      </c>
      <c r="AP943" t="s">
        <v>11056</v>
      </c>
      <c r="AR943" t="s">
        <v>11306</v>
      </c>
      <c r="AS943" t="s">
        <v>9926</v>
      </c>
      <c r="AY943" t="s">
        <v>10833</v>
      </c>
      <c r="AZ943" t="s">
        <v>11688</v>
      </c>
      <c r="BB943">
        <v>0</v>
      </c>
      <c r="BC943">
        <v>0</v>
      </c>
      <c r="BD943">
        <v>5094.77</v>
      </c>
      <c r="BE943">
        <v>1311.61</v>
      </c>
      <c r="BF943">
        <v>0</v>
      </c>
      <c r="BG943">
        <v>0</v>
      </c>
    </row>
    <row r="944" spans="1:59">
      <c r="A944" s="1">
        <f>HYPERLINK("https://lsnyc.legalserver.org/matter/dynamic-profile/view/1904738","19-1904738")</f>
        <v>0</v>
      </c>
      <c r="B944" t="s">
        <v>899</v>
      </c>
      <c r="C944" t="s">
        <v>5787</v>
      </c>
      <c r="D944" t="s">
        <v>9930</v>
      </c>
      <c r="E944" t="s">
        <v>10075</v>
      </c>
      <c r="F944">
        <v>11373</v>
      </c>
      <c r="G944" t="s">
        <v>10092</v>
      </c>
      <c r="H944" t="s">
        <v>10105</v>
      </c>
      <c r="I944" t="s">
        <v>10169</v>
      </c>
      <c r="J944" t="s">
        <v>10212</v>
      </c>
      <c r="K944" t="s">
        <v>10217</v>
      </c>
      <c r="M944" t="s">
        <v>10423</v>
      </c>
      <c r="N944" t="s">
        <v>10709</v>
      </c>
      <c r="P944" t="s">
        <v>10754</v>
      </c>
      <c r="Q944" t="s">
        <v>10766</v>
      </c>
      <c r="R944" t="s">
        <v>10823</v>
      </c>
      <c r="T944">
        <v>18200</v>
      </c>
      <c r="U944">
        <v>1516.67</v>
      </c>
      <c r="V944">
        <v>21</v>
      </c>
      <c r="W944">
        <v>1</v>
      </c>
      <c r="X944">
        <v>0</v>
      </c>
      <c r="Z944">
        <v>145.72</v>
      </c>
      <c r="AA944">
        <v>40.742541</v>
      </c>
      <c r="AB944">
        <v>-73.890463</v>
      </c>
      <c r="AD944" t="s">
        <v>10839</v>
      </c>
      <c r="AF944" t="s">
        <v>10842</v>
      </c>
      <c r="AG944" t="s">
        <v>10859</v>
      </c>
      <c r="AH944" t="s">
        <v>10865</v>
      </c>
      <c r="AI944">
        <v>237</v>
      </c>
      <c r="AJ944" t="s">
        <v>10212</v>
      </c>
      <c r="AK944" t="s">
        <v>10837</v>
      </c>
      <c r="AL944">
        <v>15</v>
      </c>
      <c r="AM944" t="s">
        <v>10890</v>
      </c>
      <c r="AN944" t="s">
        <v>10949</v>
      </c>
      <c r="AO944" t="s">
        <v>11009</v>
      </c>
      <c r="AP944" t="s">
        <v>11053</v>
      </c>
      <c r="AQ944" t="s">
        <v>11175</v>
      </c>
      <c r="AR944" t="s">
        <v>11257</v>
      </c>
      <c r="AS944" t="s">
        <v>11594</v>
      </c>
      <c r="AT944" t="s">
        <v>11641</v>
      </c>
      <c r="AX944" t="s">
        <v>10838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</row>
    <row r="945" spans="1:59">
      <c r="A945" s="1">
        <f>HYPERLINK("https://lsnyc.legalserver.org/matter/dynamic-profile/view/1904740","19-1904740")</f>
        <v>0</v>
      </c>
      <c r="B945" t="s">
        <v>900</v>
      </c>
      <c r="C945" t="s">
        <v>5788</v>
      </c>
      <c r="D945" t="s">
        <v>9928</v>
      </c>
      <c r="E945" t="s">
        <v>10075</v>
      </c>
      <c r="F945">
        <v>11220</v>
      </c>
      <c r="G945" t="s">
        <v>10092</v>
      </c>
      <c r="H945" t="s">
        <v>10105</v>
      </c>
      <c r="I945" t="s">
        <v>10182</v>
      </c>
      <c r="J945" t="s">
        <v>10212</v>
      </c>
      <c r="K945" t="s">
        <v>10217</v>
      </c>
      <c r="M945" t="s">
        <v>10282</v>
      </c>
      <c r="N945" t="s">
        <v>10674</v>
      </c>
      <c r="P945" t="s">
        <v>10753</v>
      </c>
      <c r="Q945" t="s">
        <v>10763</v>
      </c>
      <c r="R945" t="s">
        <v>10827</v>
      </c>
      <c r="T945">
        <v>18800</v>
      </c>
      <c r="U945">
        <v>1566.67</v>
      </c>
      <c r="V945">
        <v>42</v>
      </c>
      <c r="W945">
        <v>1</v>
      </c>
      <c r="X945">
        <v>2</v>
      </c>
      <c r="Z945">
        <v>88.14</v>
      </c>
      <c r="AA945">
        <v>40.641526</v>
      </c>
      <c r="AB945">
        <v>-74.00546</v>
      </c>
      <c r="AD945" t="s">
        <v>10839</v>
      </c>
      <c r="AF945" t="s">
        <v>10846</v>
      </c>
      <c r="AG945" t="s">
        <v>10859</v>
      </c>
      <c r="AH945" t="s">
        <v>10865</v>
      </c>
      <c r="AI945">
        <v>237</v>
      </c>
      <c r="AJ945" t="s">
        <v>10212</v>
      </c>
      <c r="AK945" t="s">
        <v>10837</v>
      </c>
      <c r="AL945">
        <v>9.9</v>
      </c>
      <c r="AQ945" t="s">
        <v>11142</v>
      </c>
      <c r="AR945" t="s">
        <v>11335</v>
      </c>
      <c r="AS945" t="s">
        <v>11595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</row>
    <row r="946" spans="1:59">
      <c r="A946" s="1">
        <f>HYPERLINK("https://lsnyc.legalserver.org/matter/dynamic-profile/view/1904741","19-1904741")</f>
        <v>0</v>
      </c>
      <c r="B946" t="s">
        <v>901</v>
      </c>
      <c r="C946" t="s">
        <v>5020</v>
      </c>
      <c r="D946" t="s">
        <v>9926</v>
      </c>
      <c r="E946" t="s">
        <v>10075</v>
      </c>
      <c r="F946">
        <v>10456</v>
      </c>
      <c r="G946" t="s">
        <v>10090</v>
      </c>
      <c r="H946" t="s">
        <v>10105</v>
      </c>
      <c r="I946" t="s">
        <v>10168</v>
      </c>
      <c r="J946" t="s">
        <v>10210</v>
      </c>
      <c r="K946" t="s">
        <v>10217</v>
      </c>
      <c r="M946" t="s">
        <v>10397</v>
      </c>
      <c r="N946" t="s">
        <v>10650</v>
      </c>
      <c r="P946" t="s">
        <v>10749</v>
      </c>
      <c r="Q946" t="s">
        <v>10765</v>
      </c>
      <c r="R946" t="s">
        <v>10824</v>
      </c>
      <c r="T946">
        <v>32000.04</v>
      </c>
      <c r="U946">
        <v>2666.67</v>
      </c>
      <c r="V946">
        <v>69</v>
      </c>
      <c r="W946">
        <v>1</v>
      </c>
      <c r="X946">
        <v>0</v>
      </c>
      <c r="Z946">
        <v>256.21</v>
      </c>
      <c r="AA946">
        <v>40.829372</v>
      </c>
      <c r="AB946">
        <v>-73.91876000000001</v>
      </c>
      <c r="AD946" t="s">
        <v>10840</v>
      </c>
      <c r="AG946" t="s">
        <v>10858</v>
      </c>
      <c r="AH946" t="s">
        <v>10862</v>
      </c>
      <c r="AI946">
        <v>230</v>
      </c>
      <c r="AJ946" t="s">
        <v>10210</v>
      </c>
      <c r="AL946">
        <v>2</v>
      </c>
      <c r="AM946" t="s">
        <v>10884</v>
      </c>
      <c r="AN946" t="s">
        <v>10918</v>
      </c>
      <c r="AO946" t="s">
        <v>11001</v>
      </c>
      <c r="AP946" t="s">
        <v>11055</v>
      </c>
      <c r="AR946" t="s">
        <v>11270</v>
      </c>
      <c r="AS946" t="s">
        <v>9926</v>
      </c>
      <c r="AT946" t="s">
        <v>11642</v>
      </c>
      <c r="BA946" t="s">
        <v>11739</v>
      </c>
      <c r="BB946">
        <v>0</v>
      </c>
      <c r="BC946">
        <v>0</v>
      </c>
      <c r="BD946">
        <v>0</v>
      </c>
      <c r="BE946">
        <v>0</v>
      </c>
      <c r="BF946">
        <v>4</v>
      </c>
      <c r="BG946">
        <v>0</v>
      </c>
    </row>
    <row r="947" spans="1:59">
      <c r="A947" s="1">
        <f>HYPERLINK("https://lsnyc.legalserver.org/matter/dynamic-profile/view/1904742","19-1904742")</f>
        <v>0</v>
      </c>
      <c r="B947" t="s">
        <v>902</v>
      </c>
      <c r="C947" t="s">
        <v>5789</v>
      </c>
      <c r="D947" t="s">
        <v>9984</v>
      </c>
      <c r="E947" t="s">
        <v>10076</v>
      </c>
      <c r="F947">
        <v>8701</v>
      </c>
      <c r="G947" t="s">
        <v>10093</v>
      </c>
      <c r="H947" t="s">
        <v>10105</v>
      </c>
      <c r="I947" t="s">
        <v>10168</v>
      </c>
      <c r="J947" t="s">
        <v>10213</v>
      </c>
      <c r="K947" t="s">
        <v>10218</v>
      </c>
      <c r="L947" t="s">
        <v>10123</v>
      </c>
      <c r="M947" t="s">
        <v>10330</v>
      </c>
      <c r="N947" t="s">
        <v>10710</v>
      </c>
      <c r="P947" t="s">
        <v>10750</v>
      </c>
      <c r="Q947" t="s">
        <v>10760</v>
      </c>
      <c r="R947" t="s">
        <v>10820</v>
      </c>
      <c r="T947">
        <v>10400</v>
      </c>
      <c r="U947">
        <v>866.67</v>
      </c>
      <c r="V947">
        <v>60</v>
      </c>
      <c r="W947">
        <v>1</v>
      </c>
      <c r="X947">
        <v>0</v>
      </c>
      <c r="Y947" t="s">
        <v>10829</v>
      </c>
      <c r="Z947">
        <v>83.27</v>
      </c>
      <c r="AA947">
        <v>40.088842</v>
      </c>
      <c r="AB947">
        <v>-74.163769</v>
      </c>
      <c r="AD947" t="s">
        <v>10840</v>
      </c>
      <c r="AG947" t="s">
        <v>10858</v>
      </c>
      <c r="AH947" t="s">
        <v>10861</v>
      </c>
      <c r="AI947">
        <v>234</v>
      </c>
      <c r="AJ947" t="s">
        <v>10214</v>
      </c>
      <c r="AK947" t="s">
        <v>10838</v>
      </c>
      <c r="AL947">
        <v>2</v>
      </c>
      <c r="AR947" t="s">
        <v>11257</v>
      </c>
      <c r="AS947" t="s">
        <v>10063</v>
      </c>
      <c r="AT947" t="s">
        <v>11642</v>
      </c>
      <c r="AX947" t="s">
        <v>10838</v>
      </c>
      <c r="AY947" t="s">
        <v>10829</v>
      </c>
      <c r="AZ947" t="s">
        <v>11679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</row>
    <row r="948" spans="1:59">
      <c r="A948" s="1">
        <f>HYPERLINK("https://lsnyc.legalserver.org/matter/dynamic-profile/view/1904743","19-1904743")</f>
        <v>0</v>
      </c>
      <c r="B948" t="s">
        <v>903</v>
      </c>
      <c r="C948" t="s">
        <v>5790</v>
      </c>
      <c r="D948" t="s">
        <v>9928</v>
      </c>
      <c r="E948" t="s">
        <v>10075</v>
      </c>
      <c r="F948">
        <v>11236</v>
      </c>
      <c r="G948" t="s">
        <v>10091</v>
      </c>
      <c r="H948" t="s">
        <v>10105</v>
      </c>
      <c r="I948" t="s">
        <v>10168</v>
      </c>
      <c r="J948" t="s">
        <v>10214</v>
      </c>
      <c r="K948" t="s">
        <v>10217</v>
      </c>
      <c r="M948" t="s">
        <v>10286</v>
      </c>
      <c r="N948" t="s">
        <v>10671</v>
      </c>
      <c r="P948" t="s">
        <v>10749</v>
      </c>
      <c r="Q948" t="s">
        <v>10765</v>
      </c>
      <c r="R948" t="s">
        <v>10824</v>
      </c>
      <c r="T948">
        <v>14400</v>
      </c>
      <c r="U948">
        <v>1200</v>
      </c>
      <c r="V948">
        <v>86</v>
      </c>
      <c r="W948">
        <v>1</v>
      </c>
      <c r="X948">
        <v>0</v>
      </c>
      <c r="Z948">
        <v>115.29</v>
      </c>
      <c r="AA948">
        <v>40.63358</v>
      </c>
      <c r="AB948">
        <v>-73.902866</v>
      </c>
      <c r="AD948" t="s">
        <v>10839</v>
      </c>
      <c r="AG948" t="s">
        <v>10858</v>
      </c>
      <c r="AH948" t="s">
        <v>10871</v>
      </c>
      <c r="AI948">
        <v>234</v>
      </c>
      <c r="AJ948" t="s">
        <v>10214</v>
      </c>
      <c r="AL948">
        <v>1.4</v>
      </c>
      <c r="AM948" t="s">
        <v>10889</v>
      </c>
      <c r="AN948" t="s">
        <v>10959</v>
      </c>
      <c r="AO948" t="s">
        <v>11012</v>
      </c>
      <c r="AP948" t="s">
        <v>11072</v>
      </c>
      <c r="AR948" t="s">
        <v>11268</v>
      </c>
      <c r="AS948" t="s">
        <v>11595</v>
      </c>
      <c r="AT948" t="s">
        <v>11641</v>
      </c>
      <c r="AX948" t="s">
        <v>10838</v>
      </c>
      <c r="BA948" t="s">
        <v>11741</v>
      </c>
      <c r="BB948">
        <v>0</v>
      </c>
      <c r="BC948">
        <v>0</v>
      </c>
      <c r="BD948">
        <v>0</v>
      </c>
      <c r="BE948">
        <v>0</v>
      </c>
      <c r="BF948">
        <v>1</v>
      </c>
      <c r="BG948">
        <v>0</v>
      </c>
    </row>
    <row r="949" spans="1:59">
      <c r="A949" s="1">
        <f>HYPERLINK("https://lsnyc.legalserver.org/matter/dynamic-profile/view/1904744","19-1904744")</f>
        <v>0</v>
      </c>
      <c r="B949" t="s">
        <v>904</v>
      </c>
      <c r="C949" t="s">
        <v>5791</v>
      </c>
      <c r="D949" t="s">
        <v>9926</v>
      </c>
      <c r="E949" t="s">
        <v>10075</v>
      </c>
      <c r="F949">
        <v>10453</v>
      </c>
      <c r="G949" t="s">
        <v>10091</v>
      </c>
      <c r="H949" t="s">
        <v>10105</v>
      </c>
      <c r="I949" t="s">
        <v>10168</v>
      </c>
      <c r="J949" t="s">
        <v>10214</v>
      </c>
      <c r="K949" t="s">
        <v>10217</v>
      </c>
      <c r="M949" t="s">
        <v>10286</v>
      </c>
      <c r="N949" t="s">
        <v>10671</v>
      </c>
      <c r="P949" t="s">
        <v>10749</v>
      </c>
      <c r="Q949" t="s">
        <v>10765</v>
      </c>
      <c r="R949" t="s">
        <v>10821</v>
      </c>
      <c r="T949">
        <v>41600</v>
      </c>
      <c r="U949">
        <v>3466.67</v>
      </c>
      <c r="V949">
        <v>28</v>
      </c>
      <c r="W949">
        <v>1</v>
      </c>
      <c r="X949">
        <v>2</v>
      </c>
      <c r="Z949">
        <v>195.03</v>
      </c>
      <c r="AA949">
        <v>40.849472</v>
      </c>
      <c r="AB949">
        <v>-73.91036099999999</v>
      </c>
      <c r="AD949" t="s">
        <v>10839</v>
      </c>
      <c r="AG949" t="s">
        <v>10858</v>
      </c>
      <c r="AH949" t="s">
        <v>10861</v>
      </c>
      <c r="AI949">
        <v>234</v>
      </c>
      <c r="AJ949" t="s">
        <v>10214</v>
      </c>
      <c r="AL949">
        <v>1</v>
      </c>
      <c r="AM949" t="s">
        <v>10884</v>
      </c>
      <c r="AN949" t="s">
        <v>10929</v>
      </c>
      <c r="AO949" t="s">
        <v>11000</v>
      </c>
      <c r="AP949" t="s">
        <v>11045</v>
      </c>
      <c r="AR949" t="s">
        <v>11262</v>
      </c>
      <c r="AS949" t="s">
        <v>9926</v>
      </c>
      <c r="AT949" t="s">
        <v>11641</v>
      </c>
      <c r="AX949" t="s">
        <v>10838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</row>
    <row r="950" spans="1:59">
      <c r="A950" s="1">
        <f>HYPERLINK("https://lsnyc.legalserver.org/matter/dynamic-profile/view/1904745","19-1904745")</f>
        <v>0</v>
      </c>
      <c r="B950" t="s">
        <v>905</v>
      </c>
      <c r="C950" t="s">
        <v>5020</v>
      </c>
      <c r="D950" t="s">
        <v>9926</v>
      </c>
      <c r="E950" t="s">
        <v>10075</v>
      </c>
      <c r="F950">
        <v>10456</v>
      </c>
      <c r="G950" t="s">
        <v>10090</v>
      </c>
      <c r="H950" t="s">
        <v>10105</v>
      </c>
      <c r="I950" t="s">
        <v>10168</v>
      </c>
      <c r="J950" t="s">
        <v>10210</v>
      </c>
      <c r="K950" t="s">
        <v>10217</v>
      </c>
      <c r="M950" t="s">
        <v>10397</v>
      </c>
      <c r="N950" t="s">
        <v>10650</v>
      </c>
      <c r="P950" t="s">
        <v>10749</v>
      </c>
      <c r="Q950" t="s">
        <v>10765</v>
      </c>
      <c r="R950" t="s">
        <v>10824</v>
      </c>
      <c r="T950">
        <v>30000</v>
      </c>
      <c r="U950">
        <v>2500</v>
      </c>
      <c r="V950">
        <v>61</v>
      </c>
      <c r="W950">
        <v>3</v>
      </c>
      <c r="X950">
        <v>0</v>
      </c>
      <c r="Z950">
        <v>140.65</v>
      </c>
      <c r="AA950">
        <v>40.829372</v>
      </c>
      <c r="AB950">
        <v>-73.91876000000001</v>
      </c>
      <c r="AD950" t="s">
        <v>10840</v>
      </c>
      <c r="AG950" t="s">
        <v>10858</v>
      </c>
      <c r="AH950" t="s">
        <v>10862</v>
      </c>
      <c r="AI950">
        <v>230</v>
      </c>
      <c r="AJ950" t="s">
        <v>10210</v>
      </c>
      <c r="AL950">
        <v>0</v>
      </c>
      <c r="AM950" t="s">
        <v>10884</v>
      </c>
      <c r="AN950" t="s">
        <v>10918</v>
      </c>
      <c r="AO950" t="s">
        <v>11001</v>
      </c>
      <c r="AP950" t="s">
        <v>11055</v>
      </c>
      <c r="AR950" t="s">
        <v>11257</v>
      </c>
      <c r="AS950" t="s">
        <v>9926</v>
      </c>
      <c r="AT950" t="s">
        <v>11642</v>
      </c>
      <c r="BA950" t="s">
        <v>11739</v>
      </c>
      <c r="BB950">
        <v>0</v>
      </c>
      <c r="BC950">
        <v>0</v>
      </c>
      <c r="BD950">
        <v>0</v>
      </c>
      <c r="BE950">
        <v>0</v>
      </c>
      <c r="BF950">
        <v>4</v>
      </c>
      <c r="BG950">
        <v>0</v>
      </c>
    </row>
    <row r="951" spans="1:59">
      <c r="A951" s="1">
        <f>HYPERLINK("https://lsnyc.legalserver.org/matter/dynamic-profile/view/1904746","19-1904746")</f>
        <v>0</v>
      </c>
      <c r="B951" t="s">
        <v>906</v>
      </c>
      <c r="C951" t="s">
        <v>5792</v>
      </c>
      <c r="D951" t="s">
        <v>9925</v>
      </c>
      <c r="E951" t="s">
        <v>10075</v>
      </c>
      <c r="F951">
        <v>10031</v>
      </c>
      <c r="G951" t="s">
        <v>10089</v>
      </c>
      <c r="H951" t="s">
        <v>10112</v>
      </c>
      <c r="J951" t="s">
        <v>10209</v>
      </c>
      <c r="K951" t="s">
        <v>10217</v>
      </c>
      <c r="M951" t="s">
        <v>10509</v>
      </c>
      <c r="N951" t="s">
        <v>10722</v>
      </c>
      <c r="P951" t="s">
        <v>10749</v>
      </c>
      <c r="Q951" t="s">
        <v>10791</v>
      </c>
      <c r="R951" t="s">
        <v>10824</v>
      </c>
      <c r="T951">
        <v>34800</v>
      </c>
      <c r="U951">
        <v>2900</v>
      </c>
      <c r="V951">
        <v>65</v>
      </c>
      <c r="W951">
        <v>1</v>
      </c>
      <c r="X951">
        <v>0</v>
      </c>
      <c r="Z951">
        <v>278.62</v>
      </c>
      <c r="AA951">
        <v>40.822114</v>
      </c>
      <c r="AB951">
        <v>-73.948427</v>
      </c>
      <c r="AD951" t="s">
        <v>10839</v>
      </c>
      <c r="AG951" t="s">
        <v>10858</v>
      </c>
      <c r="AH951" t="s">
        <v>10862</v>
      </c>
      <c r="AI951">
        <v>236</v>
      </c>
      <c r="AJ951" t="s">
        <v>10209</v>
      </c>
      <c r="AL951">
        <v>2</v>
      </c>
      <c r="AM951" t="s">
        <v>10887</v>
      </c>
      <c r="AN951" t="s">
        <v>10936</v>
      </c>
      <c r="AO951" t="s">
        <v>11016</v>
      </c>
      <c r="AP951" t="s">
        <v>11076</v>
      </c>
      <c r="AQ951" t="s">
        <v>11120</v>
      </c>
      <c r="AR951" t="s">
        <v>11355</v>
      </c>
      <c r="AS951" t="s">
        <v>9925</v>
      </c>
      <c r="AT951" t="s">
        <v>11641</v>
      </c>
      <c r="AX951" t="s">
        <v>10838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</row>
    <row r="952" spans="1:59">
      <c r="A952" s="1">
        <f>HYPERLINK("https://lsnyc.legalserver.org/matter/dynamic-profile/view/1904747","19-1904747")</f>
        <v>0</v>
      </c>
      <c r="B952" t="s">
        <v>907</v>
      </c>
      <c r="C952" t="s">
        <v>5793</v>
      </c>
      <c r="D952" t="s">
        <v>9928</v>
      </c>
      <c r="E952" t="s">
        <v>10075</v>
      </c>
      <c r="F952">
        <v>11226</v>
      </c>
      <c r="G952" t="s">
        <v>10093</v>
      </c>
      <c r="H952" t="s">
        <v>10105</v>
      </c>
      <c r="I952" t="s">
        <v>10168</v>
      </c>
      <c r="J952" t="s">
        <v>10213</v>
      </c>
      <c r="K952" t="s">
        <v>10218</v>
      </c>
      <c r="L952" t="s">
        <v>10156</v>
      </c>
      <c r="M952" t="s">
        <v>10293</v>
      </c>
      <c r="N952" t="s">
        <v>10671</v>
      </c>
      <c r="P952" t="s">
        <v>10749</v>
      </c>
      <c r="Q952" t="s">
        <v>10765</v>
      </c>
      <c r="R952" t="s">
        <v>10824</v>
      </c>
      <c r="T952">
        <v>68000</v>
      </c>
      <c r="U952">
        <v>5666.67</v>
      </c>
      <c r="V952">
        <v>53</v>
      </c>
      <c r="W952">
        <v>2</v>
      </c>
      <c r="X952">
        <v>4</v>
      </c>
      <c r="Y952" t="s">
        <v>10830</v>
      </c>
      <c r="Z952">
        <v>196.59</v>
      </c>
      <c r="AA952">
        <v>40.654808</v>
      </c>
      <c r="AB952">
        <v>-73.95540699999999</v>
      </c>
      <c r="AD952" t="s">
        <v>10839</v>
      </c>
      <c r="AG952" t="s">
        <v>10858</v>
      </c>
      <c r="AH952" t="s">
        <v>10867</v>
      </c>
      <c r="AI952">
        <v>239</v>
      </c>
      <c r="AJ952" t="s">
        <v>10213</v>
      </c>
      <c r="AK952" t="s">
        <v>10838</v>
      </c>
      <c r="AL952">
        <v>1.5</v>
      </c>
      <c r="AM952" t="s">
        <v>10888</v>
      </c>
      <c r="AN952" t="s">
        <v>10912</v>
      </c>
      <c r="AO952" t="s">
        <v>11005</v>
      </c>
      <c r="AP952" t="s">
        <v>11050</v>
      </c>
      <c r="AR952" t="s">
        <v>11257</v>
      </c>
      <c r="AS952" t="s">
        <v>11595</v>
      </c>
      <c r="AY952" t="s">
        <v>10830</v>
      </c>
      <c r="AZ952" t="s">
        <v>11681</v>
      </c>
      <c r="BA952" t="s">
        <v>11740</v>
      </c>
      <c r="BB952">
        <v>0</v>
      </c>
      <c r="BC952">
        <v>0</v>
      </c>
      <c r="BD952">
        <v>0</v>
      </c>
      <c r="BE952">
        <v>0</v>
      </c>
      <c r="BF952">
        <v>2</v>
      </c>
      <c r="BG952">
        <v>0</v>
      </c>
    </row>
    <row r="953" spans="1:59">
      <c r="A953" s="1">
        <f>HYPERLINK("https://lsnyc.legalserver.org/matter/dynamic-profile/view/1904748","19-1904748")</f>
        <v>0</v>
      </c>
      <c r="B953" t="s">
        <v>908</v>
      </c>
      <c r="C953" t="s">
        <v>5794</v>
      </c>
      <c r="D953" t="s">
        <v>9925</v>
      </c>
      <c r="E953" t="s">
        <v>10075</v>
      </c>
      <c r="F953">
        <v>10027</v>
      </c>
      <c r="G953" t="s">
        <v>10090</v>
      </c>
      <c r="H953" t="s">
        <v>10105</v>
      </c>
      <c r="I953" t="s">
        <v>10169</v>
      </c>
      <c r="J953" t="s">
        <v>10210</v>
      </c>
      <c r="K953" t="s">
        <v>10217</v>
      </c>
      <c r="M953" t="s">
        <v>10510</v>
      </c>
      <c r="N953" t="s">
        <v>10677</v>
      </c>
      <c r="P953" t="s">
        <v>10757</v>
      </c>
      <c r="Q953" t="s">
        <v>10797</v>
      </c>
      <c r="R953" t="s">
        <v>10823</v>
      </c>
      <c r="T953">
        <v>11400</v>
      </c>
      <c r="U953">
        <v>950</v>
      </c>
      <c r="V953">
        <v>89</v>
      </c>
      <c r="W953">
        <v>1</v>
      </c>
      <c r="X953">
        <v>0</v>
      </c>
      <c r="Z953">
        <v>91.27</v>
      </c>
      <c r="AA953">
        <v>40.813077</v>
      </c>
      <c r="AB953">
        <v>-73.95708399999999</v>
      </c>
      <c r="AD953" t="s">
        <v>10839</v>
      </c>
      <c r="AG953" t="s">
        <v>10858</v>
      </c>
      <c r="AH953" t="s">
        <v>10874</v>
      </c>
      <c r="AI953">
        <v>230</v>
      </c>
      <c r="AJ953" t="s">
        <v>10210</v>
      </c>
      <c r="AL953">
        <v>5.55</v>
      </c>
      <c r="AM953" t="s">
        <v>10887</v>
      </c>
      <c r="AN953" t="s">
        <v>10953</v>
      </c>
      <c r="AO953" t="s">
        <v>11016</v>
      </c>
      <c r="AP953" t="s">
        <v>11073</v>
      </c>
      <c r="AR953" t="s">
        <v>11391</v>
      </c>
      <c r="AS953" t="s">
        <v>9925</v>
      </c>
      <c r="AT953" t="s">
        <v>11641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</row>
    <row r="954" spans="1:59">
      <c r="A954" s="1">
        <f>HYPERLINK("https://lsnyc.legalserver.org/matter/dynamic-profile/view/1904749","19-1904749")</f>
        <v>0</v>
      </c>
      <c r="B954" t="s">
        <v>909</v>
      </c>
      <c r="C954" t="s">
        <v>5795</v>
      </c>
      <c r="D954" t="s">
        <v>9926</v>
      </c>
      <c r="E954" t="s">
        <v>10075</v>
      </c>
      <c r="F954">
        <v>10462</v>
      </c>
      <c r="G954" t="s">
        <v>10090</v>
      </c>
      <c r="H954" t="s">
        <v>10112</v>
      </c>
      <c r="I954" t="s">
        <v>10168</v>
      </c>
      <c r="J954" t="s">
        <v>10210</v>
      </c>
      <c r="K954" t="s">
        <v>10217</v>
      </c>
      <c r="M954" t="s">
        <v>10511</v>
      </c>
      <c r="N954" t="s">
        <v>10651</v>
      </c>
      <c r="P954" t="s">
        <v>10749</v>
      </c>
      <c r="Q954" t="s">
        <v>10765</v>
      </c>
      <c r="R954" t="s">
        <v>10824</v>
      </c>
      <c r="T954">
        <v>22568</v>
      </c>
      <c r="U954">
        <v>1880.67</v>
      </c>
      <c r="V954">
        <v>53</v>
      </c>
      <c r="W954">
        <v>2</v>
      </c>
      <c r="X954">
        <v>1</v>
      </c>
      <c r="Z954">
        <v>105.8</v>
      </c>
      <c r="AA954">
        <v>40.839891</v>
      </c>
      <c r="AB954">
        <v>-73.862419</v>
      </c>
      <c r="AD954" t="s">
        <v>10839</v>
      </c>
      <c r="AG954" t="s">
        <v>10858</v>
      </c>
      <c r="AH954" t="s">
        <v>10862</v>
      </c>
      <c r="AI954">
        <v>230</v>
      </c>
      <c r="AJ954" t="s">
        <v>10210</v>
      </c>
      <c r="AL954">
        <v>9.1</v>
      </c>
      <c r="AM954" t="s">
        <v>10885</v>
      </c>
      <c r="AN954" t="s">
        <v>10908</v>
      </c>
      <c r="AO954" t="s">
        <v>11001</v>
      </c>
      <c r="AP954" t="s">
        <v>11046</v>
      </c>
      <c r="AR954" t="s">
        <v>11257</v>
      </c>
      <c r="AS954" t="s">
        <v>9926</v>
      </c>
      <c r="AT954" t="s">
        <v>11641</v>
      </c>
      <c r="AX954" t="s">
        <v>10838</v>
      </c>
      <c r="BA954" t="s">
        <v>11738</v>
      </c>
      <c r="BB954">
        <v>0</v>
      </c>
      <c r="BC954">
        <v>0</v>
      </c>
      <c r="BD954">
        <v>0</v>
      </c>
      <c r="BE954">
        <v>0</v>
      </c>
      <c r="BF954">
        <v>5</v>
      </c>
      <c r="BG954">
        <v>0</v>
      </c>
    </row>
    <row r="955" spans="1:59">
      <c r="A955" s="1">
        <f>HYPERLINK("https://lsnyc.legalserver.org/matter/dynamic-profile/view/1904751","19-1904751")</f>
        <v>0</v>
      </c>
      <c r="B955" t="s">
        <v>845</v>
      </c>
      <c r="C955" t="s">
        <v>5746</v>
      </c>
      <c r="D955" t="s">
        <v>9928</v>
      </c>
      <c r="E955" t="s">
        <v>10075</v>
      </c>
      <c r="F955">
        <v>11226</v>
      </c>
      <c r="G955" t="s">
        <v>10093</v>
      </c>
      <c r="H955" t="s">
        <v>10105</v>
      </c>
      <c r="I955" t="s">
        <v>10168</v>
      </c>
      <c r="J955" t="s">
        <v>10213</v>
      </c>
      <c r="K955" t="s">
        <v>10217</v>
      </c>
      <c r="M955" t="s">
        <v>10317</v>
      </c>
      <c r="N955" t="s">
        <v>10698</v>
      </c>
      <c r="P955" t="s">
        <v>10749</v>
      </c>
      <c r="Q955" t="s">
        <v>10765</v>
      </c>
      <c r="R955" t="s">
        <v>10824</v>
      </c>
      <c r="T955">
        <v>9252</v>
      </c>
      <c r="U955">
        <v>771</v>
      </c>
      <c r="V955">
        <v>54</v>
      </c>
      <c r="W955">
        <v>2</v>
      </c>
      <c r="X955">
        <v>0</v>
      </c>
      <c r="Z955">
        <v>54.71</v>
      </c>
      <c r="AA955">
        <v>40.646783</v>
      </c>
      <c r="AB955">
        <v>-73.962091</v>
      </c>
      <c r="AD955" t="s">
        <v>10840</v>
      </c>
      <c r="AF955" t="s">
        <v>10843</v>
      </c>
      <c r="AG955" t="s">
        <v>10859</v>
      </c>
      <c r="AH955" t="s">
        <v>10868</v>
      </c>
      <c r="AI955">
        <v>239</v>
      </c>
      <c r="AJ955" t="s">
        <v>10213</v>
      </c>
      <c r="AL955">
        <v>0.75</v>
      </c>
      <c r="AM955" t="s">
        <v>10888</v>
      </c>
      <c r="AN955" t="s">
        <v>10932</v>
      </c>
      <c r="AO955" t="s">
        <v>11008</v>
      </c>
      <c r="AP955" t="s">
        <v>11050</v>
      </c>
      <c r="AR955" t="s">
        <v>11253</v>
      </c>
      <c r="AS955" t="s">
        <v>11595</v>
      </c>
      <c r="AT955" t="s">
        <v>11642</v>
      </c>
      <c r="AX955" t="s">
        <v>10838</v>
      </c>
      <c r="BA955" t="s">
        <v>11742</v>
      </c>
      <c r="BB955">
        <v>0</v>
      </c>
      <c r="BC955">
        <v>0</v>
      </c>
      <c r="BD955">
        <v>0</v>
      </c>
      <c r="BE955">
        <v>0</v>
      </c>
      <c r="BF955">
        <v>7</v>
      </c>
      <c r="BG955">
        <v>0</v>
      </c>
    </row>
    <row r="956" spans="1:59">
      <c r="A956" s="1">
        <f>HYPERLINK("https://lsnyc.legalserver.org/matter/dynamic-profile/view/1904752","19-1904752")</f>
        <v>0</v>
      </c>
      <c r="B956" t="s">
        <v>910</v>
      </c>
      <c r="C956" t="s">
        <v>5774</v>
      </c>
      <c r="D956" t="s">
        <v>9926</v>
      </c>
      <c r="E956" t="s">
        <v>10075</v>
      </c>
      <c r="F956">
        <v>10456</v>
      </c>
      <c r="G956" t="s">
        <v>10090</v>
      </c>
      <c r="H956" t="s">
        <v>10105</v>
      </c>
      <c r="I956" t="s">
        <v>10169</v>
      </c>
      <c r="J956" t="s">
        <v>10210</v>
      </c>
      <c r="K956" t="s">
        <v>10217</v>
      </c>
      <c r="M956" t="s">
        <v>10397</v>
      </c>
      <c r="N956" t="s">
        <v>10650</v>
      </c>
      <c r="P956" t="s">
        <v>10749</v>
      </c>
      <c r="Q956" t="s">
        <v>10765</v>
      </c>
      <c r="R956" t="s">
        <v>10823</v>
      </c>
      <c r="T956">
        <v>10284</v>
      </c>
      <c r="U956">
        <v>857</v>
      </c>
      <c r="V956">
        <v>72</v>
      </c>
      <c r="W956">
        <v>1</v>
      </c>
      <c r="X956">
        <v>0</v>
      </c>
      <c r="Z956">
        <v>82.34</v>
      </c>
      <c r="AA956">
        <v>40.829403</v>
      </c>
      <c r="AB956">
        <v>-73.912572</v>
      </c>
      <c r="AD956" t="s">
        <v>10839</v>
      </c>
      <c r="AG956" t="s">
        <v>10858</v>
      </c>
      <c r="AH956" t="s">
        <v>10862</v>
      </c>
      <c r="AI956">
        <v>230</v>
      </c>
      <c r="AJ956" t="s">
        <v>10210</v>
      </c>
      <c r="AL956">
        <v>0.5</v>
      </c>
      <c r="AM956" t="s">
        <v>10884</v>
      </c>
      <c r="AN956" t="s">
        <v>10929</v>
      </c>
      <c r="AO956" t="s">
        <v>11001</v>
      </c>
      <c r="AP956" t="s">
        <v>11055</v>
      </c>
      <c r="AR956" t="s">
        <v>11268</v>
      </c>
      <c r="AS956" t="s">
        <v>9926</v>
      </c>
      <c r="BA956" t="s">
        <v>11739</v>
      </c>
      <c r="BB956">
        <v>0</v>
      </c>
      <c r="BC956">
        <v>0</v>
      </c>
      <c r="BD956">
        <v>0</v>
      </c>
      <c r="BE956">
        <v>0</v>
      </c>
      <c r="BF956">
        <v>4</v>
      </c>
      <c r="BG956">
        <v>0</v>
      </c>
    </row>
    <row r="957" spans="1:59">
      <c r="A957" s="1">
        <f>HYPERLINK("https://lsnyc.legalserver.org/matter/dynamic-profile/view/1904753","19-1904753")</f>
        <v>0</v>
      </c>
      <c r="B957" t="s">
        <v>911</v>
      </c>
      <c r="C957" t="s">
        <v>5796</v>
      </c>
      <c r="D957" t="s">
        <v>9931</v>
      </c>
      <c r="E957" t="s">
        <v>10075</v>
      </c>
      <c r="F957">
        <v>11355</v>
      </c>
      <c r="G957" t="s">
        <v>10092</v>
      </c>
      <c r="H957" t="s">
        <v>10105</v>
      </c>
      <c r="I957" t="s">
        <v>10188</v>
      </c>
      <c r="J957" t="s">
        <v>10212</v>
      </c>
      <c r="K957" t="s">
        <v>10218</v>
      </c>
      <c r="L957" t="s">
        <v>10220</v>
      </c>
      <c r="M957" t="s">
        <v>10282</v>
      </c>
      <c r="N957" t="s">
        <v>10674</v>
      </c>
      <c r="P957" t="s">
        <v>10753</v>
      </c>
      <c r="Q957" t="s">
        <v>10763</v>
      </c>
      <c r="R957" t="s">
        <v>10827</v>
      </c>
      <c r="T957">
        <v>0</v>
      </c>
      <c r="U957">
        <v>0</v>
      </c>
      <c r="V957">
        <v>44</v>
      </c>
      <c r="W957">
        <v>1</v>
      </c>
      <c r="X957">
        <v>0</v>
      </c>
      <c r="Y957" t="s">
        <v>10829</v>
      </c>
      <c r="Z957">
        <v>0</v>
      </c>
      <c r="AA957">
        <v>40.755487</v>
      </c>
      <c r="AB957">
        <v>-73.824164</v>
      </c>
      <c r="AD957" t="s">
        <v>10839</v>
      </c>
      <c r="AF957" t="s">
        <v>10844</v>
      </c>
      <c r="AG957" t="s">
        <v>10859</v>
      </c>
      <c r="AH957" t="s">
        <v>10864</v>
      </c>
      <c r="AI957">
        <v>237</v>
      </c>
      <c r="AJ957" t="s">
        <v>10212</v>
      </c>
      <c r="AK957" t="s">
        <v>10837</v>
      </c>
      <c r="AL957">
        <v>1.9</v>
      </c>
      <c r="AM957" t="s">
        <v>10890</v>
      </c>
      <c r="AN957" t="s">
        <v>10927</v>
      </c>
      <c r="AO957" t="s">
        <v>11009</v>
      </c>
      <c r="AP957" t="s">
        <v>11067</v>
      </c>
      <c r="AQ957" t="s">
        <v>11096</v>
      </c>
      <c r="AR957" t="s">
        <v>11267</v>
      </c>
      <c r="AS957" t="s">
        <v>11594</v>
      </c>
      <c r="AY957" t="s">
        <v>10829</v>
      </c>
      <c r="AZ957" t="s">
        <v>11709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</row>
    <row r="958" spans="1:59">
      <c r="A958" s="1">
        <f>HYPERLINK("https://lsnyc.legalserver.org/matter/dynamic-profile/view/1904754","19-1904754")</f>
        <v>0</v>
      </c>
      <c r="B958" t="s">
        <v>912</v>
      </c>
      <c r="C958" t="s">
        <v>5774</v>
      </c>
      <c r="D958" t="s">
        <v>9926</v>
      </c>
      <c r="E958" t="s">
        <v>10075</v>
      </c>
      <c r="F958">
        <v>10456</v>
      </c>
      <c r="G958" t="s">
        <v>10090</v>
      </c>
      <c r="H958" t="s">
        <v>10105</v>
      </c>
      <c r="I958" t="s">
        <v>10169</v>
      </c>
      <c r="J958" t="s">
        <v>10210</v>
      </c>
      <c r="K958" t="s">
        <v>10217</v>
      </c>
      <c r="M958" t="s">
        <v>10397</v>
      </c>
      <c r="N958" t="s">
        <v>10650</v>
      </c>
      <c r="P958" t="s">
        <v>10749</v>
      </c>
      <c r="Q958" t="s">
        <v>10765</v>
      </c>
      <c r="R958" t="s">
        <v>10821</v>
      </c>
      <c r="T958">
        <v>9252</v>
      </c>
      <c r="U958">
        <v>771</v>
      </c>
      <c r="V958">
        <v>73</v>
      </c>
      <c r="W958">
        <v>3</v>
      </c>
      <c r="X958">
        <v>0</v>
      </c>
      <c r="Z958">
        <v>43.38</v>
      </c>
      <c r="AA958">
        <v>40.829403</v>
      </c>
      <c r="AB958">
        <v>-73.912572</v>
      </c>
      <c r="AD958" t="s">
        <v>10839</v>
      </c>
      <c r="AG958" t="s">
        <v>10858</v>
      </c>
      <c r="AH958" t="s">
        <v>10862</v>
      </c>
      <c r="AI958">
        <v>230</v>
      </c>
      <c r="AJ958" t="s">
        <v>10210</v>
      </c>
      <c r="AL958">
        <v>0.5</v>
      </c>
      <c r="AM958" t="s">
        <v>10884</v>
      </c>
      <c r="AN958" t="s">
        <v>10929</v>
      </c>
      <c r="AO958" t="s">
        <v>11001</v>
      </c>
      <c r="AP958" t="s">
        <v>11055</v>
      </c>
      <c r="AR958" t="s">
        <v>11263</v>
      </c>
      <c r="AS958" t="s">
        <v>9926</v>
      </c>
      <c r="BA958" t="s">
        <v>11739</v>
      </c>
      <c r="BB958">
        <v>0</v>
      </c>
      <c r="BC958">
        <v>0</v>
      </c>
      <c r="BD958">
        <v>0</v>
      </c>
      <c r="BE958">
        <v>0</v>
      </c>
      <c r="BF958">
        <v>4</v>
      </c>
      <c r="BG958">
        <v>0</v>
      </c>
    </row>
    <row r="959" spans="1:59">
      <c r="A959" s="1">
        <f>HYPERLINK("https://lsnyc.legalserver.org/matter/dynamic-profile/view/1904755","19-1904755")</f>
        <v>0</v>
      </c>
      <c r="B959" t="s">
        <v>913</v>
      </c>
      <c r="C959" t="s">
        <v>5797</v>
      </c>
      <c r="D959" t="s">
        <v>9929</v>
      </c>
      <c r="E959" t="s">
        <v>10075</v>
      </c>
      <c r="F959">
        <v>10305</v>
      </c>
      <c r="G959" t="s">
        <v>10088</v>
      </c>
      <c r="H959" t="s">
        <v>10123</v>
      </c>
      <c r="I959" t="s">
        <v>10168</v>
      </c>
      <c r="J959" t="s">
        <v>10208</v>
      </c>
      <c r="K959" t="s">
        <v>10217</v>
      </c>
      <c r="M959" t="s">
        <v>10449</v>
      </c>
      <c r="N959" t="s">
        <v>10676</v>
      </c>
      <c r="P959" t="s">
        <v>10751</v>
      </c>
      <c r="Q959" t="s">
        <v>10776</v>
      </c>
      <c r="R959" t="s">
        <v>10820</v>
      </c>
      <c r="T959">
        <v>9768</v>
      </c>
      <c r="U959">
        <v>814</v>
      </c>
      <c r="V959">
        <v>59</v>
      </c>
      <c r="W959">
        <v>1</v>
      </c>
      <c r="X959">
        <v>0</v>
      </c>
      <c r="Z959">
        <v>78.20999999999999</v>
      </c>
      <c r="AA959">
        <v>40.588429</v>
      </c>
      <c r="AB959">
        <v>-74.08922800000001</v>
      </c>
      <c r="AD959" t="s">
        <v>10839</v>
      </c>
      <c r="AG959" t="s">
        <v>10858</v>
      </c>
      <c r="AH959" t="s">
        <v>10862</v>
      </c>
      <c r="AI959">
        <v>285</v>
      </c>
      <c r="AJ959" t="s">
        <v>10208</v>
      </c>
      <c r="AL959">
        <v>3.9</v>
      </c>
      <c r="AM959" t="s">
        <v>10883</v>
      </c>
      <c r="AN959" t="s">
        <v>10915</v>
      </c>
      <c r="AO959" t="s">
        <v>10999</v>
      </c>
      <c r="AP959" t="s">
        <v>11063</v>
      </c>
      <c r="AR959" t="s">
        <v>11392</v>
      </c>
      <c r="AS959" t="s">
        <v>11593</v>
      </c>
      <c r="BA959" t="s">
        <v>11739</v>
      </c>
      <c r="BB959">
        <v>0</v>
      </c>
      <c r="BC959">
        <v>0</v>
      </c>
      <c r="BD959">
        <v>0</v>
      </c>
      <c r="BE959">
        <v>0</v>
      </c>
      <c r="BF959">
        <v>4</v>
      </c>
      <c r="BG959">
        <v>0</v>
      </c>
    </row>
    <row r="960" spans="1:59">
      <c r="A960" s="1">
        <f>HYPERLINK("https://lsnyc.legalserver.org/matter/dynamic-profile/view/1904756","19-1904756")</f>
        <v>0</v>
      </c>
      <c r="B960" t="s">
        <v>914</v>
      </c>
      <c r="C960" t="s">
        <v>5798</v>
      </c>
      <c r="D960" t="s">
        <v>9931</v>
      </c>
      <c r="E960" t="s">
        <v>10075</v>
      </c>
      <c r="F960">
        <v>11354</v>
      </c>
      <c r="G960" t="s">
        <v>10092</v>
      </c>
      <c r="H960" t="s">
        <v>10105</v>
      </c>
      <c r="I960" t="s">
        <v>10182</v>
      </c>
      <c r="J960" t="s">
        <v>10212</v>
      </c>
      <c r="K960" t="s">
        <v>10218</v>
      </c>
      <c r="L960" t="s">
        <v>10158</v>
      </c>
      <c r="M960" t="s">
        <v>10282</v>
      </c>
      <c r="N960" t="s">
        <v>10674</v>
      </c>
      <c r="P960" t="s">
        <v>10753</v>
      </c>
      <c r="Q960" t="s">
        <v>10763</v>
      </c>
      <c r="R960" t="s">
        <v>10827</v>
      </c>
      <c r="T960">
        <v>12000</v>
      </c>
      <c r="U960">
        <v>1000</v>
      </c>
      <c r="V960">
        <v>50</v>
      </c>
      <c r="W960">
        <v>1</v>
      </c>
      <c r="X960">
        <v>0</v>
      </c>
      <c r="Y960" t="s">
        <v>10829</v>
      </c>
      <c r="Z960">
        <v>96.08</v>
      </c>
      <c r="AA960">
        <v>40.757534</v>
      </c>
      <c r="AB960">
        <v>-73.818586</v>
      </c>
      <c r="AD960" t="s">
        <v>10839</v>
      </c>
      <c r="AF960" t="s">
        <v>10844</v>
      </c>
      <c r="AG960" t="s">
        <v>10859</v>
      </c>
      <c r="AH960" t="s">
        <v>10864</v>
      </c>
      <c r="AI960">
        <v>237</v>
      </c>
      <c r="AJ960" t="s">
        <v>10212</v>
      </c>
      <c r="AK960" t="s">
        <v>10837</v>
      </c>
      <c r="AL960">
        <v>2.8</v>
      </c>
      <c r="AQ960" t="s">
        <v>11096</v>
      </c>
      <c r="AR960" t="s">
        <v>10180</v>
      </c>
      <c r="AS960" t="s">
        <v>11594</v>
      </c>
      <c r="AY960" t="s">
        <v>10829</v>
      </c>
      <c r="AZ960" t="s">
        <v>11709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</row>
    <row r="961" spans="1:59">
      <c r="A961" s="1">
        <f>HYPERLINK("https://lsnyc.legalserver.org/matter/dynamic-profile/view/1904757","19-1904757")</f>
        <v>0</v>
      </c>
      <c r="B961" t="s">
        <v>915</v>
      </c>
      <c r="C961" t="s">
        <v>5774</v>
      </c>
      <c r="D961" t="s">
        <v>9926</v>
      </c>
      <c r="E961" t="s">
        <v>10075</v>
      </c>
      <c r="F961">
        <v>10456</v>
      </c>
      <c r="G961" t="s">
        <v>10090</v>
      </c>
      <c r="H961" t="s">
        <v>10105</v>
      </c>
      <c r="I961" t="s">
        <v>10168</v>
      </c>
      <c r="J961" t="s">
        <v>10210</v>
      </c>
      <c r="K961" t="s">
        <v>10217</v>
      </c>
      <c r="M961" t="s">
        <v>10397</v>
      </c>
      <c r="N961" t="s">
        <v>10650</v>
      </c>
      <c r="P961" t="s">
        <v>10749</v>
      </c>
      <c r="Q961" t="s">
        <v>10765</v>
      </c>
      <c r="R961" t="s">
        <v>10821</v>
      </c>
      <c r="T961">
        <v>28000</v>
      </c>
      <c r="U961">
        <v>2333.33</v>
      </c>
      <c r="V961">
        <v>60</v>
      </c>
      <c r="W961">
        <v>1</v>
      </c>
      <c r="X961">
        <v>0</v>
      </c>
      <c r="Z961">
        <v>224.18</v>
      </c>
      <c r="AA961">
        <v>40.829403</v>
      </c>
      <c r="AB961">
        <v>-73.912572</v>
      </c>
      <c r="AD961" t="s">
        <v>10839</v>
      </c>
      <c r="AG961" t="s">
        <v>10858</v>
      </c>
      <c r="AH961" t="s">
        <v>10862</v>
      </c>
      <c r="AI961">
        <v>230</v>
      </c>
      <c r="AJ961" t="s">
        <v>10210</v>
      </c>
      <c r="AL961">
        <v>0.5</v>
      </c>
      <c r="AM961" t="s">
        <v>10884</v>
      </c>
      <c r="AN961" t="s">
        <v>10929</v>
      </c>
      <c r="AO961" t="s">
        <v>11001</v>
      </c>
      <c r="AP961" t="s">
        <v>11055</v>
      </c>
      <c r="AR961" t="s">
        <v>11257</v>
      </c>
      <c r="AS961" t="s">
        <v>9926</v>
      </c>
      <c r="BA961" t="s">
        <v>11739</v>
      </c>
      <c r="BB961">
        <v>0</v>
      </c>
      <c r="BC961">
        <v>0</v>
      </c>
      <c r="BD961">
        <v>0</v>
      </c>
      <c r="BE961">
        <v>0</v>
      </c>
      <c r="BF961">
        <v>4</v>
      </c>
      <c r="BG961">
        <v>0</v>
      </c>
    </row>
    <row r="962" spans="1:59">
      <c r="A962" s="1">
        <f>HYPERLINK("https://lsnyc.legalserver.org/matter/dynamic-profile/view/1904758","19-1904758")</f>
        <v>0</v>
      </c>
      <c r="B962" t="s">
        <v>916</v>
      </c>
      <c r="C962" t="s">
        <v>5799</v>
      </c>
      <c r="D962" t="s">
        <v>9926</v>
      </c>
      <c r="E962" t="s">
        <v>10075</v>
      </c>
      <c r="F962">
        <v>10474</v>
      </c>
      <c r="G962" t="s">
        <v>10090</v>
      </c>
      <c r="H962" t="s">
        <v>10105</v>
      </c>
      <c r="I962" t="s">
        <v>10169</v>
      </c>
      <c r="J962" t="s">
        <v>10210</v>
      </c>
      <c r="K962" t="s">
        <v>10217</v>
      </c>
      <c r="M962" t="s">
        <v>10234</v>
      </c>
      <c r="N962" t="s">
        <v>10650</v>
      </c>
      <c r="P962" t="s">
        <v>10749</v>
      </c>
      <c r="Q962" t="s">
        <v>10765</v>
      </c>
      <c r="R962" t="s">
        <v>10821</v>
      </c>
      <c r="T962">
        <v>15600</v>
      </c>
      <c r="U962">
        <v>1300</v>
      </c>
      <c r="V962">
        <v>52</v>
      </c>
      <c r="W962">
        <v>3</v>
      </c>
      <c r="X962">
        <v>0</v>
      </c>
      <c r="Z962">
        <v>73.14</v>
      </c>
      <c r="AA962">
        <v>40.817251</v>
      </c>
      <c r="AB962">
        <v>-73.885688</v>
      </c>
      <c r="AD962" t="s">
        <v>10839</v>
      </c>
      <c r="AF962" t="s">
        <v>10843</v>
      </c>
      <c r="AG962" t="s">
        <v>10859</v>
      </c>
      <c r="AH962" t="s">
        <v>10862</v>
      </c>
      <c r="AI962">
        <v>230</v>
      </c>
      <c r="AJ962" t="s">
        <v>10210</v>
      </c>
      <c r="AL962">
        <v>2.5</v>
      </c>
      <c r="AM962" t="s">
        <v>10884</v>
      </c>
      <c r="AN962" t="s">
        <v>10968</v>
      </c>
      <c r="AO962" t="s">
        <v>11001</v>
      </c>
      <c r="AP962" t="s">
        <v>11062</v>
      </c>
      <c r="AQ962" t="s">
        <v>11101</v>
      </c>
      <c r="AR962" t="s">
        <v>11257</v>
      </c>
      <c r="AS962" t="s">
        <v>9926</v>
      </c>
      <c r="AT962" t="s">
        <v>11641</v>
      </c>
      <c r="AV962" t="s">
        <v>11641</v>
      </c>
      <c r="AX962" t="s">
        <v>10838</v>
      </c>
      <c r="BA962" t="s">
        <v>11737</v>
      </c>
      <c r="BB962">
        <v>0</v>
      </c>
      <c r="BC962">
        <v>0</v>
      </c>
      <c r="BD962">
        <v>0</v>
      </c>
      <c r="BE962">
        <v>0</v>
      </c>
      <c r="BF962">
        <v>3</v>
      </c>
      <c r="BG962">
        <v>0</v>
      </c>
    </row>
    <row r="963" spans="1:59">
      <c r="A963" s="1">
        <f>HYPERLINK("https://lsnyc.legalserver.org/matter/dynamic-profile/view/1904759","19-1904759")</f>
        <v>0</v>
      </c>
      <c r="B963" t="s">
        <v>917</v>
      </c>
      <c r="C963" t="s">
        <v>5800</v>
      </c>
      <c r="D963" t="s">
        <v>9926</v>
      </c>
      <c r="E963" t="s">
        <v>10075</v>
      </c>
      <c r="F963">
        <v>10451</v>
      </c>
      <c r="G963" t="s">
        <v>10090</v>
      </c>
      <c r="H963" t="s">
        <v>10131</v>
      </c>
      <c r="I963" t="s">
        <v>10168</v>
      </c>
      <c r="J963" t="s">
        <v>10210</v>
      </c>
      <c r="K963" t="s">
        <v>10217</v>
      </c>
      <c r="M963" t="s">
        <v>10512</v>
      </c>
      <c r="N963" t="s">
        <v>10708</v>
      </c>
      <c r="P963" t="s">
        <v>10753</v>
      </c>
      <c r="Q963" t="s">
        <v>10763</v>
      </c>
      <c r="R963" t="s">
        <v>10824</v>
      </c>
      <c r="T963">
        <v>50000</v>
      </c>
      <c r="U963">
        <v>4166.67</v>
      </c>
      <c r="V963">
        <v>36</v>
      </c>
      <c r="W963">
        <v>1</v>
      </c>
      <c r="X963">
        <v>0</v>
      </c>
      <c r="Z963">
        <v>400.32</v>
      </c>
      <c r="AA963">
        <v>40.824714</v>
      </c>
      <c r="AB963">
        <v>-73.92682499999999</v>
      </c>
      <c r="AD963" t="s">
        <v>10840</v>
      </c>
      <c r="AF963" t="s">
        <v>10844</v>
      </c>
      <c r="AG963" t="s">
        <v>10859</v>
      </c>
      <c r="AH963" t="s">
        <v>10864</v>
      </c>
      <c r="AI963">
        <v>230</v>
      </c>
      <c r="AJ963" t="s">
        <v>10210</v>
      </c>
      <c r="AL963">
        <v>2.45</v>
      </c>
      <c r="AM963" t="s">
        <v>10884</v>
      </c>
      <c r="AN963" t="s">
        <v>10924</v>
      </c>
      <c r="AO963" t="s">
        <v>11013</v>
      </c>
      <c r="AP963" t="s">
        <v>11066</v>
      </c>
      <c r="AQ963" t="s">
        <v>11109</v>
      </c>
      <c r="AR963" t="s">
        <v>11257</v>
      </c>
      <c r="AS963" t="s">
        <v>9926</v>
      </c>
      <c r="AT963" t="s">
        <v>11642</v>
      </c>
      <c r="AX963" t="s">
        <v>10837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</row>
    <row r="964" spans="1:59">
      <c r="A964" s="1">
        <f>HYPERLINK("https://lsnyc.legalserver.org/matter/dynamic-profile/view/1904762","19-1904762")</f>
        <v>0</v>
      </c>
      <c r="B964" t="s">
        <v>918</v>
      </c>
      <c r="C964" t="s">
        <v>5801</v>
      </c>
      <c r="D964" t="s">
        <v>9926</v>
      </c>
      <c r="E964" t="s">
        <v>10075</v>
      </c>
      <c r="F964">
        <v>10461</v>
      </c>
      <c r="G964" t="s">
        <v>10090</v>
      </c>
      <c r="H964" t="s">
        <v>10132</v>
      </c>
      <c r="I964" t="s">
        <v>10168</v>
      </c>
      <c r="J964" t="s">
        <v>10210</v>
      </c>
      <c r="K964" t="s">
        <v>10217</v>
      </c>
      <c r="M964" t="s">
        <v>10338</v>
      </c>
      <c r="N964" t="s">
        <v>10671</v>
      </c>
      <c r="P964" t="s">
        <v>10757</v>
      </c>
      <c r="Q964" t="s">
        <v>10789</v>
      </c>
      <c r="R964" t="s">
        <v>10823</v>
      </c>
      <c r="T964">
        <v>14040</v>
      </c>
      <c r="U964">
        <v>1170</v>
      </c>
      <c r="V964">
        <v>48</v>
      </c>
      <c r="W964">
        <v>2</v>
      </c>
      <c r="X964">
        <v>1</v>
      </c>
      <c r="Z964">
        <v>65.81999999999999</v>
      </c>
      <c r="AA964">
        <v>40.836934</v>
      </c>
      <c r="AB964">
        <v>-73.8373</v>
      </c>
      <c r="AD964" t="s">
        <v>10839</v>
      </c>
      <c r="AG964" t="s">
        <v>10858</v>
      </c>
      <c r="AH964" t="s">
        <v>10874</v>
      </c>
      <c r="AI964">
        <v>230</v>
      </c>
      <c r="AJ964" t="s">
        <v>10210</v>
      </c>
      <c r="AL964">
        <v>0.9</v>
      </c>
      <c r="AM964" t="s">
        <v>10885</v>
      </c>
      <c r="AN964" t="s">
        <v>10911</v>
      </c>
      <c r="AO964" t="s">
        <v>11002</v>
      </c>
      <c r="AP964" t="s">
        <v>11049</v>
      </c>
      <c r="AQ964" t="s">
        <v>11121</v>
      </c>
      <c r="AR964" t="s">
        <v>11296</v>
      </c>
      <c r="AS964" t="s">
        <v>9926</v>
      </c>
      <c r="AX964" t="s">
        <v>10838</v>
      </c>
      <c r="BA964" t="s">
        <v>11740</v>
      </c>
      <c r="BB964">
        <v>0</v>
      </c>
      <c r="BC964">
        <v>0</v>
      </c>
      <c r="BD964">
        <v>0</v>
      </c>
      <c r="BE964">
        <v>0</v>
      </c>
      <c r="BF964">
        <v>2</v>
      </c>
      <c r="BG964">
        <v>0</v>
      </c>
    </row>
    <row r="965" spans="1:59">
      <c r="A965" s="1">
        <f>HYPERLINK("https://lsnyc.legalserver.org/matter/dynamic-profile/view/1904763","19-1904763")</f>
        <v>0</v>
      </c>
      <c r="B965" t="s">
        <v>919</v>
      </c>
      <c r="C965" t="s">
        <v>5802</v>
      </c>
      <c r="D965" t="s">
        <v>9926</v>
      </c>
      <c r="E965" t="s">
        <v>10075</v>
      </c>
      <c r="F965">
        <v>10466</v>
      </c>
      <c r="G965" t="s">
        <v>10090</v>
      </c>
      <c r="H965" t="s">
        <v>10132</v>
      </c>
      <c r="I965" t="s">
        <v>10168</v>
      </c>
      <c r="J965" t="s">
        <v>10210</v>
      </c>
      <c r="K965" t="s">
        <v>10218</v>
      </c>
      <c r="L965" t="s">
        <v>10121</v>
      </c>
      <c r="M965" t="s">
        <v>10338</v>
      </c>
      <c r="N965" t="s">
        <v>10671</v>
      </c>
      <c r="P965" t="s">
        <v>10757</v>
      </c>
      <c r="Q965" t="s">
        <v>10789</v>
      </c>
      <c r="R965" t="s">
        <v>10824</v>
      </c>
      <c r="T965">
        <v>4596</v>
      </c>
      <c r="U965">
        <v>383</v>
      </c>
      <c r="V965">
        <v>40</v>
      </c>
      <c r="W965">
        <v>2</v>
      </c>
      <c r="X965">
        <v>1</v>
      </c>
      <c r="Y965" t="s">
        <v>10829</v>
      </c>
      <c r="Z965">
        <v>21.55</v>
      </c>
      <c r="AA965">
        <v>40.897054</v>
      </c>
      <c r="AB965">
        <v>-73.853905</v>
      </c>
      <c r="AD965" t="s">
        <v>10840</v>
      </c>
      <c r="AF965" t="s">
        <v>10842</v>
      </c>
      <c r="AG965" t="s">
        <v>10859</v>
      </c>
      <c r="AH965" t="s">
        <v>10874</v>
      </c>
      <c r="AI965">
        <v>230</v>
      </c>
      <c r="AJ965" t="s">
        <v>10210</v>
      </c>
      <c r="AK965" t="s">
        <v>10838</v>
      </c>
      <c r="AL965">
        <v>1.7</v>
      </c>
      <c r="AM965" t="s">
        <v>10893</v>
      </c>
      <c r="AN965" t="s">
        <v>10919</v>
      </c>
      <c r="AO965" t="s">
        <v>11010</v>
      </c>
      <c r="AP965" t="s">
        <v>11057</v>
      </c>
      <c r="AQ965" t="s">
        <v>11121</v>
      </c>
      <c r="AR965" t="s">
        <v>11387</v>
      </c>
      <c r="AS965" t="s">
        <v>9926</v>
      </c>
      <c r="AY965" t="s">
        <v>10829</v>
      </c>
      <c r="AZ965" t="s">
        <v>11703</v>
      </c>
      <c r="BA965" t="s">
        <v>11741</v>
      </c>
      <c r="BB965">
        <v>0</v>
      </c>
      <c r="BC965">
        <v>0</v>
      </c>
      <c r="BD965">
        <v>0</v>
      </c>
      <c r="BE965">
        <v>0</v>
      </c>
      <c r="BF965">
        <v>1</v>
      </c>
      <c r="BG965">
        <v>0</v>
      </c>
    </row>
    <row r="966" spans="1:59">
      <c r="A966" s="1">
        <f>HYPERLINK("https://lsnyc.legalserver.org/matter/dynamic-profile/view/1904764","19-1904764")</f>
        <v>0</v>
      </c>
      <c r="B966" t="s">
        <v>920</v>
      </c>
      <c r="C966" t="s">
        <v>5803</v>
      </c>
      <c r="D966" t="s">
        <v>9926</v>
      </c>
      <c r="E966" t="s">
        <v>10075</v>
      </c>
      <c r="F966">
        <v>10463</v>
      </c>
      <c r="G966" t="s">
        <v>10090</v>
      </c>
      <c r="H966" t="s">
        <v>10133</v>
      </c>
      <c r="I966" t="s">
        <v>10168</v>
      </c>
      <c r="J966" t="s">
        <v>10210</v>
      </c>
      <c r="K966" t="s">
        <v>10217</v>
      </c>
      <c r="M966" t="s">
        <v>10338</v>
      </c>
      <c r="N966" t="s">
        <v>10671</v>
      </c>
      <c r="P966" t="s">
        <v>10757</v>
      </c>
      <c r="Q966" t="s">
        <v>10808</v>
      </c>
      <c r="R966" t="s">
        <v>10825</v>
      </c>
      <c r="T966">
        <v>14040</v>
      </c>
      <c r="U966">
        <v>1170</v>
      </c>
      <c r="V966">
        <v>29</v>
      </c>
      <c r="W966">
        <v>1</v>
      </c>
      <c r="X966">
        <v>0</v>
      </c>
      <c r="Z966">
        <v>112.41</v>
      </c>
      <c r="AA966">
        <v>40.887703</v>
      </c>
      <c r="AB966">
        <v>-73.903235</v>
      </c>
      <c r="AD966" t="s">
        <v>10841</v>
      </c>
      <c r="AG966" t="s">
        <v>10858</v>
      </c>
      <c r="AH966" t="s">
        <v>10874</v>
      </c>
      <c r="AI966">
        <v>230</v>
      </c>
      <c r="AJ966" t="s">
        <v>10210</v>
      </c>
      <c r="AL966">
        <v>8.300000000000001</v>
      </c>
      <c r="AM966" t="s">
        <v>10893</v>
      </c>
      <c r="AN966" t="s">
        <v>10919</v>
      </c>
      <c r="AO966" t="s">
        <v>11002</v>
      </c>
      <c r="AP966" t="s">
        <v>11057</v>
      </c>
      <c r="AQ966" t="s">
        <v>11172</v>
      </c>
      <c r="AR966" t="s">
        <v>11296</v>
      </c>
      <c r="AS966" t="s">
        <v>9926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</row>
    <row r="967" spans="1:59">
      <c r="A967" s="1">
        <f>HYPERLINK("https://lsnyc.legalserver.org/matter/dynamic-profile/view/1904765","19-1904765")</f>
        <v>0</v>
      </c>
      <c r="B967" t="s">
        <v>879</v>
      </c>
      <c r="C967" t="s">
        <v>5804</v>
      </c>
      <c r="D967" t="s">
        <v>9926</v>
      </c>
      <c r="E967" t="s">
        <v>10075</v>
      </c>
      <c r="F967">
        <v>10467</v>
      </c>
      <c r="G967" t="s">
        <v>10090</v>
      </c>
      <c r="H967" t="s">
        <v>10132</v>
      </c>
      <c r="I967" t="s">
        <v>10168</v>
      </c>
      <c r="J967" t="s">
        <v>10210</v>
      </c>
      <c r="K967" t="s">
        <v>10218</v>
      </c>
      <c r="L967" t="s">
        <v>10100</v>
      </c>
      <c r="M967" t="s">
        <v>10338</v>
      </c>
      <c r="N967" t="s">
        <v>10682</v>
      </c>
      <c r="P967" t="s">
        <v>10753</v>
      </c>
      <c r="Q967" t="s">
        <v>10809</v>
      </c>
      <c r="R967" t="s">
        <v>10823</v>
      </c>
      <c r="T967">
        <v>17748</v>
      </c>
      <c r="U967">
        <v>1479</v>
      </c>
      <c r="V967">
        <v>54</v>
      </c>
      <c r="W967">
        <v>2</v>
      </c>
      <c r="X967">
        <v>0</v>
      </c>
      <c r="Y967" t="s">
        <v>10829</v>
      </c>
      <c r="Z967">
        <v>104.96</v>
      </c>
      <c r="AA967">
        <v>40.870689</v>
      </c>
      <c r="AB967">
        <v>-73.876983</v>
      </c>
      <c r="AD967" t="s">
        <v>10841</v>
      </c>
      <c r="AG967" t="s">
        <v>10858</v>
      </c>
      <c r="AH967" t="s">
        <v>10874</v>
      </c>
      <c r="AI967">
        <v>230</v>
      </c>
      <c r="AJ967" t="s">
        <v>10210</v>
      </c>
      <c r="AK967" t="s">
        <v>10837</v>
      </c>
      <c r="AL967">
        <v>0.55</v>
      </c>
      <c r="AM967" t="s">
        <v>10887</v>
      </c>
      <c r="AN967" t="s">
        <v>10938</v>
      </c>
      <c r="AO967" t="s">
        <v>11010</v>
      </c>
      <c r="AP967" t="s">
        <v>11057</v>
      </c>
      <c r="AQ967" t="s">
        <v>11176</v>
      </c>
      <c r="AR967" t="s">
        <v>11296</v>
      </c>
      <c r="AS967" t="s">
        <v>9926</v>
      </c>
      <c r="AT967" t="s">
        <v>11641</v>
      </c>
      <c r="AW967" t="s">
        <v>11670</v>
      </c>
      <c r="AX967" t="s">
        <v>10837</v>
      </c>
      <c r="AY967" t="s">
        <v>10829</v>
      </c>
      <c r="AZ967" t="s">
        <v>11705</v>
      </c>
      <c r="BA967" t="s">
        <v>11741</v>
      </c>
      <c r="BB967">
        <v>0</v>
      </c>
      <c r="BC967">
        <v>0</v>
      </c>
      <c r="BD967">
        <v>0</v>
      </c>
      <c r="BE967">
        <v>0</v>
      </c>
      <c r="BF967">
        <v>1</v>
      </c>
      <c r="BG967">
        <v>0</v>
      </c>
    </row>
    <row r="968" spans="1:59">
      <c r="A968" s="1">
        <f>HYPERLINK("https://lsnyc.legalserver.org/matter/dynamic-profile/view/1904769","19-1904769")</f>
        <v>0</v>
      </c>
      <c r="B968" t="s">
        <v>921</v>
      </c>
      <c r="C968" t="s">
        <v>5805</v>
      </c>
      <c r="D968" t="s">
        <v>9926</v>
      </c>
      <c r="E968" t="s">
        <v>10075</v>
      </c>
      <c r="F968">
        <v>10453</v>
      </c>
      <c r="G968" t="s">
        <v>10090</v>
      </c>
      <c r="H968" t="s">
        <v>10133</v>
      </c>
      <c r="I968" t="s">
        <v>10169</v>
      </c>
      <c r="J968" t="s">
        <v>10210</v>
      </c>
      <c r="K968" t="s">
        <v>10217</v>
      </c>
      <c r="M968" t="s">
        <v>10276</v>
      </c>
      <c r="N968" t="s">
        <v>10666</v>
      </c>
      <c r="P968" t="s">
        <v>10749</v>
      </c>
      <c r="Q968" t="s">
        <v>10765</v>
      </c>
      <c r="R968" t="s">
        <v>10821</v>
      </c>
      <c r="T968">
        <v>5988</v>
      </c>
      <c r="U968">
        <v>499</v>
      </c>
      <c r="V968">
        <v>69</v>
      </c>
      <c r="W968">
        <v>1</v>
      </c>
      <c r="X968">
        <v>0</v>
      </c>
      <c r="Z968">
        <v>47.94</v>
      </c>
      <c r="AA968">
        <v>40.847746</v>
      </c>
      <c r="AB968">
        <v>-73.921699</v>
      </c>
      <c r="AD968" t="s">
        <v>10839</v>
      </c>
      <c r="AF968" t="s">
        <v>10843</v>
      </c>
      <c r="AG968" t="s">
        <v>10859</v>
      </c>
      <c r="AH968" t="s">
        <v>10862</v>
      </c>
      <c r="AI968">
        <v>230</v>
      </c>
      <c r="AJ968" t="s">
        <v>10210</v>
      </c>
      <c r="AL968">
        <v>0.7</v>
      </c>
      <c r="AM968" t="s">
        <v>10884</v>
      </c>
      <c r="AN968" t="s">
        <v>10929</v>
      </c>
      <c r="AO968" t="s">
        <v>11013</v>
      </c>
      <c r="AP968" t="s">
        <v>11045</v>
      </c>
      <c r="AR968" t="s">
        <v>11253</v>
      </c>
      <c r="AS968" t="s">
        <v>9926</v>
      </c>
      <c r="BA968" t="s">
        <v>11741</v>
      </c>
      <c r="BB968">
        <v>0</v>
      </c>
      <c r="BC968">
        <v>0</v>
      </c>
      <c r="BD968">
        <v>0</v>
      </c>
      <c r="BE968">
        <v>0</v>
      </c>
      <c r="BF968">
        <v>1</v>
      </c>
      <c r="BG968">
        <v>0</v>
      </c>
    </row>
    <row r="969" spans="1:59">
      <c r="A969" s="1">
        <f>HYPERLINK("https://lsnyc.legalserver.org/matter/dynamic-profile/view/1904770","19-1904770")</f>
        <v>0</v>
      </c>
      <c r="B969" t="s">
        <v>922</v>
      </c>
      <c r="C969" t="s">
        <v>5806</v>
      </c>
      <c r="D969" t="s">
        <v>9938</v>
      </c>
      <c r="E969" t="s">
        <v>10075</v>
      </c>
      <c r="F969">
        <v>11432</v>
      </c>
      <c r="G969" t="s">
        <v>10092</v>
      </c>
      <c r="H969" t="s">
        <v>10133</v>
      </c>
      <c r="J969" t="s">
        <v>10212</v>
      </c>
      <c r="K969" t="s">
        <v>10218</v>
      </c>
      <c r="L969" t="s">
        <v>10133</v>
      </c>
      <c r="M969" t="s">
        <v>10340</v>
      </c>
      <c r="N969" t="s">
        <v>10694</v>
      </c>
      <c r="P969" t="s">
        <v>10751</v>
      </c>
      <c r="Q969" t="s">
        <v>10768</v>
      </c>
      <c r="R969" t="s">
        <v>10822</v>
      </c>
      <c r="T969">
        <v>5328</v>
      </c>
      <c r="U969">
        <v>444</v>
      </c>
      <c r="V969">
        <v>71</v>
      </c>
      <c r="W969">
        <v>1</v>
      </c>
      <c r="X969">
        <v>0</v>
      </c>
      <c r="Y969" t="s">
        <v>10829</v>
      </c>
      <c r="Z969">
        <v>42.66</v>
      </c>
      <c r="AA969">
        <v>40.714262</v>
      </c>
      <c r="AB969">
        <v>-73.781255</v>
      </c>
      <c r="AD969" t="s">
        <v>10839</v>
      </c>
      <c r="AG969" t="s">
        <v>10858</v>
      </c>
      <c r="AH969" t="s">
        <v>10861</v>
      </c>
      <c r="AI969">
        <v>237</v>
      </c>
      <c r="AJ969" t="s">
        <v>10212</v>
      </c>
      <c r="AK969" t="s">
        <v>10838</v>
      </c>
      <c r="AL969">
        <v>0.8</v>
      </c>
      <c r="AM969" t="s">
        <v>10892</v>
      </c>
      <c r="AN969" t="s">
        <v>10955</v>
      </c>
      <c r="AO969" t="s">
        <v>11022</v>
      </c>
      <c r="AP969" t="s">
        <v>11081</v>
      </c>
      <c r="AR969" t="s">
        <v>11296</v>
      </c>
      <c r="AS969" t="s">
        <v>11594</v>
      </c>
      <c r="AY969" t="s">
        <v>10829</v>
      </c>
      <c r="AZ969" t="s">
        <v>11682</v>
      </c>
      <c r="BA969" t="s">
        <v>11741</v>
      </c>
      <c r="BB969">
        <v>0</v>
      </c>
      <c r="BC969">
        <v>0</v>
      </c>
      <c r="BD969">
        <v>0</v>
      </c>
      <c r="BE969">
        <v>0</v>
      </c>
      <c r="BF969">
        <v>1</v>
      </c>
      <c r="BG969">
        <v>0</v>
      </c>
    </row>
    <row r="970" spans="1:59">
      <c r="A970" s="1">
        <f>HYPERLINK("https://lsnyc.legalserver.org/matter/dynamic-profile/view/1904771","19-1904771")</f>
        <v>0</v>
      </c>
      <c r="B970" t="s">
        <v>923</v>
      </c>
      <c r="C970" t="s">
        <v>5807</v>
      </c>
      <c r="D970" t="s">
        <v>9926</v>
      </c>
      <c r="E970" t="s">
        <v>10075</v>
      </c>
      <c r="F970">
        <v>10457</v>
      </c>
      <c r="G970" t="s">
        <v>10090</v>
      </c>
      <c r="H970" t="s">
        <v>10133</v>
      </c>
      <c r="I970" t="s">
        <v>10168</v>
      </c>
      <c r="J970" t="s">
        <v>10210</v>
      </c>
      <c r="K970" t="s">
        <v>10217</v>
      </c>
      <c r="M970" t="s">
        <v>10297</v>
      </c>
      <c r="N970" t="s">
        <v>10651</v>
      </c>
      <c r="P970" t="s">
        <v>10749</v>
      </c>
      <c r="Q970" t="s">
        <v>10765</v>
      </c>
      <c r="R970" t="s">
        <v>10821</v>
      </c>
      <c r="T970">
        <v>9252</v>
      </c>
      <c r="U970">
        <v>771</v>
      </c>
      <c r="V970">
        <v>66</v>
      </c>
      <c r="W970">
        <v>2</v>
      </c>
      <c r="X970">
        <v>2</v>
      </c>
      <c r="Z970">
        <v>35.93</v>
      </c>
      <c r="AA970">
        <v>40.843438</v>
      </c>
      <c r="AB970">
        <v>-73.907078</v>
      </c>
      <c r="AD970" t="s">
        <v>10839</v>
      </c>
      <c r="AG970" t="s">
        <v>10858</v>
      </c>
      <c r="AH970" t="s">
        <v>10862</v>
      </c>
      <c r="AI970">
        <v>230</v>
      </c>
      <c r="AJ970" t="s">
        <v>10210</v>
      </c>
      <c r="AL970">
        <v>8.199999999999999</v>
      </c>
      <c r="AM970" t="s">
        <v>10884</v>
      </c>
      <c r="AN970" t="s">
        <v>10931</v>
      </c>
      <c r="AO970" t="s">
        <v>11000</v>
      </c>
      <c r="AP970" t="s">
        <v>11056</v>
      </c>
      <c r="AR970" t="s">
        <v>11263</v>
      </c>
      <c r="AS970" t="s">
        <v>9926</v>
      </c>
      <c r="BA970" t="s">
        <v>11738</v>
      </c>
      <c r="BB970">
        <v>0</v>
      </c>
      <c r="BC970">
        <v>0</v>
      </c>
      <c r="BD970">
        <v>0</v>
      </c>
      <c r="BE970">
        <v>0</v>
      </c>
      <c r="BF970">
        <v>5</v>
      </c>
      <c r="BG970">
        <v>0</v>
      </c>
    </row>
    <row r="971" spans="1:59">
      <c r="A971" s="1">
        <f>HYPERLINK("https://lsnyc.legalserver.org/matter/dynamic-profile/view/1904772","19-1904772")</f>
        <v>0</v>
      </c>
      <c r="B971" t="s">
        <v>205</v>
      </c>
      <c r="C971" t="s">
        <v>5140</v>
      </c>
      <c r="D971" t="s">
        <v>9926</v>
      </c>
      <c r="E971" t="s">
        <v>10075</v>
      </c>
      <c r="F971">
        <v>10460</v>
      </c>
      <c r="G971" t="s">
        <v>10090</v>
      </c>
      <c r="H971" t="s">
        <v>10133</v>
      </c>
      <c r="I971" t="s">
        <v>10169</v>
      </c>
      <c r="J971" t="s">
        <v>10210</v>
      </c>
      <c r="K971" t="s">
        <v>10218</v>
      </c>
      <c r="L971" t="s">
        <v>10145</v>
      </c>
      <c r="M971" t="s">
        <v>10513</v>
      </c>
      <c r="N971" t="s">
        <v>10650</v>
      </c>
      <c r="P971" t="s">
        <v>10749</v>
      </c>
      <c r="Q971" t="s">
        <v>10765</v>
      </c>
      <c r="R971" t="s">
        <v>10821</v>
      </c>
      <c r="T971">
        <v>10644</v>
      </c>
      <c r="U971">
        <v>887</v>
      </c>
      <c r="V971">
        <v>77</v>
      </c>
      <c r="W971">
        <v>1</v>
      </c>
      <c r="X971">
        <v>0</v>
      </c>
      <c r="Y971" t="s">
        <v>10829</v>
      </c>
      <c r="Z971">
        <v>85.22</v>
      </c>
      <c r="AA971">
        <v>40.844631</v>
      </c>
      <c r="AB971">
        <v>-73.884541</v>
      </c>
      <c r="AD971" t="s">
        <v>10839</v>
      </c>
      <c r="AG971" t="s">
        <v>10858</v>
      </c>
      <c r="AH971" t="s">
        <v>10862</v>
      </c>
      <c r="AI971">
        <v>230</v>
      </c>
      <c r="AJ971" t="s">
        <v>10210</v>
      </c>
      <c r="AK971" t="s">
        <v>10838</v>
      </c>
      <c r="AL971">
        <v>1.9</v>
      </c>
      <c r="AM971" t="s">
        <v>10884</v>
      </c>
      <c r="AN971" t="s">
        <v>10908</v>
      </c>
      <c r="AO971" t="s">
        <v>11001</v>
      </c>
      <c r="AP971" t="s">
        <v>11062</v>
      </c>
      <c r="AR971" t="s">
        <v>11253</v>
      </c>
      <c r="AS971" t="s">
        <v>9926</v>
      </c>
      <c r="AY971" t="s">
        <v>10829</v>
      </c>
      <c r="AZ971" t="s">
        <v>11681</v>
      </c>
      <c r="BA971" t="s">
        <v>11741</v>
      </c>
      <c r="BB971">
        <v>0</v>
      </c>
      <c r="BC971">
        <v>0</v>
      </c>
      <c r="BD971">
        <v>0</v>
      </c>
      <c r="BE971">
        <v>0</v>
      </c>
      <c r="BF971">
        <v>1</v>
      </c>
      <c r="BG971">
        <v>0</v>
      </c>
    </row>
    <row r="972" spans="1:59">
      <c r="A972" s="1">
        <f>HYPERLINK("https://lsnyc.legalserver.org/matter/dynamic-profile/view/1904773","19-1904773")</f>
        <v>0</v>
      </c>
      <c r="B972" t="s">
        <v>923</v>
      </c>
      <c r="C972" t="s">
        <v>5807</v>
      </c>
      <c r="D972" t="s">
        <v>9926</v>
      </c>
      <c r="E972" t="s">
        <v>10075</v>
      </c>
      <c r="F972">
        <v>10457</v>
      </c>
      <c r="G972" t="s">
        <v>10090</v>
      </c>
      <c r="H972" t="s">
        <v>10133</v>
      </c>
      <c r="I972" t="s">
        <v>10168</v>
      </c>
      <c r="J972" t="s">
        <v>10210</v>
      </c>
      <c r="K972" t="s">
        <v>10217</v>
      </c>
      <c r="M972" t="s">
        <v>10334</v>
      </c>
      <c r="N972" t="s">
        <v>10677</v>
      </c>
      <c r="P972" t="s">
        <v>10751</v>
      </c>
      <c r="Q972" t="s">
        <v>10761</v>
      </c>
      <c r="R972" t="s">
        <v>10821</v>
      </c>
      <c r="T972">
        <v>9252</v>
      </c>
      <c r="U972">
        <v>771</v>
      </c>
      <c r="V972">
        <v>66</v>
      </c>
      <c r="W972">
        <v>2</v>
      </c>
      <c r="X972">
        <v>2</v>
      </c>
      <c r="Z972">
        <v>35.93</v>
      </c>
      <c r="AA972">
        <v>40.843438</v>
      </c>
      <c r="AB972">
        <v>-73.907078</v>
      </c>
      <c r="AD972" t="s">
        <v>10839</v>
      </c>
      <c r="AG972" t="s">
        <v>10858</v>
      </c>
      <c r="AH972" t="s">
        <v>10862</v>
      </c>
      <c r="AI972">
        <v>230</v>
      </c>
      <c r="AJ972" t="s">
        <v>10210</v>
      </c>
      <c r="AL972">
        <v>0.7</v>
      </c>
      <c r="AR972" t="s">
        <v>11263</v>
      </c>
      <c r="AS972" t="s">
        <v>9926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</row>
    <row r="973" spans="1:59">
      <c r="A973" s="1">
        <f>HYPERLINK("https://lsnyc.legalserver.org/matter/dynamic-profile/view/1904774","19-1904774")</f>
        <v>0</v>
      </c>
      <c r="B973" t="s">
        <v>924</v>
      </c>
      <c r="C973" t="s">
        <v>5808</v>
      </c>
      <c r="D973" t="s">
        <v>9926</v>
      </c>
      <c r="E973" t="s">
        <v>10075</v>
      </c>
      <c r="F973">
        <v>10456</v>
      </c>
      <c r="G973" t="s">
        <v>10090</v>
      </c>
      <c r="H973" t="s">
        <v>10133</v>
      </c>
      <c r="J973" t="s">
        <v>10210</v>
      </c>
      <c r="K973" t="s">
        <v>10217</v>
      </c>
      <c r="M973" t="s">
        <v>10513</v>
      </c>
      <c r="N973" t="s">
        <v>10650</v>
      </c>
      <c r="P973" t="s">
        <v>10749</v>
      </c>
      <c r="Q973" t="s">
        <v>10765</v>
      </c>
      <c r="R973" t="s">
        <v>10824</v>
      </c>
      <c r="T973">
        <v>76800</v>
      </c>
      <c r="U973">
        <v>6400</v>
      </c>
      <c r="V973">
        <v>81</v>
      </c>
      <c r="W973">
        <v>2</v>
      </c>
      <c r="X973">
        <v>0</v>
      </c>
      <c r="Z973">
        <v>454.17</v>
      </c>
      <c r="AA973">
        <v>40.831748</v>
      </c>
      <c r="AB973">
        <v>-73.913239</v>
      </c>
      <c r="AD973" t="s">
        <v>10840</v>
      </c>
      <c r="AG973" t="s">
        <v>10858</v>
      </c>
      <c r="AH973" t="s">
        <v>10862</v>
      </c>
      <c r="AI973">
        <v>230</v>
      </c>
      <c r="AJ973" t="s">
        <v>10210</v>
      </c>
      <c r="AL973">
        <v>1.4</v>
      </c>
      <c r="AM973" t="s">
        <v>10884</v>
      </c>
      <c r="AN973" t="s">
        <v>10929</v>
      </c>
      <c r="AO973" t="s">
        <v>11001</v>
      </c>
      <c r="AP973" t="s">
        <v>11055</v>
      </c>
      <c r="AR973" t="s">
        <v>11393</v>
      </c>
      <c r="AS973" t="s">
        <v>9926</v>
      </c>
      <c r="BA973" t="s">
        <v>11741</v>
      </c>
      <c r="BB973">
        <v>0</v>
      </c>
      <c r="BC973">
        <v>0</v>
      </c>
      <c r="BD973">
        <v>0</v>
      </c>
      <c r="BE973">
        <v>0</v>
      </c>
      <c r="BF973">
        <v>1</v>
      </c>
      <c r="BG973">
        <v>0</v>
      </c>
    </row>
    <row r="974" spans="1:59">
      <c r="A974" s="1">
        <f>HYPERLINK("https://lsnyc.legalserver.org/matter/dynamic-profile/view/1904775","19-1904775")</f>
        <v>0</v>
      </c>
      <c r="B974" t="s">
        <v>925</v>
      </c>
      <c r="C974" t="s">
        <v>5809</v>
      </c>
      <c r="D974" t="s">
        <v>9926</v>
      </c>
      <c r="E974" t="s">
        <v>10075</v>
      </c>
      <c r="F974">
        <v>10460</v>
      </c>
      <c r="G974" t="s">
        <v>10090</v>
      </c>
      <c r="H974" t="s">
        <v>10133</v>
      </c>
      <c r="I974" t="s">
        <v>10168</v>
      </c>
      <c r="J974" t="s">
        <v>10210</v>
      </c>
      <c r="K974" t="s">
        <v>10217</v>
      </c>
      <c r="M974" t="s">
        <v>10514</v>
      </c>
      <c r="N974" t="s">
        <v>10666</v>
      </c>
      <c r="P974" t="s">
        <v>10749</v>
      </c>
      <c r="Q974" t="s">
        <v>10765</v>
      </c>
      <c r="R974" t="s">
        <v>10821</v>
      </c>
      <c r="T974">
        <v>18096</v>
      </c>
      <c r="U974">
        <v>1508</v>
      </c>
      <c r="V974">
        <v>39</v>
      </c>
      <c r="W974">
        <v>1</v>
      </c>
      <c r="X974">
        <v>2</v>
      </c>
      <c r="Z974">
        <v>84.84</v>
      </c>
      <c r="AA974">
        <v>40.845387</v>
      </c>
      <c r="AB974">
        <v>-73.882757</v>
      </c>
      <c r="AD974" t="s">
        <v>10839</v>
      </c>
      <c r="AG974" t="s">
        <v>10858</v>
      </c>
      <c r="AH974" t="s">
        <v>10862</v>
      </c>
      <c r="AI974">
        <v>230</v>
      </c>
      <c r="AJ974" t="s">
        <v>10210</v>
      </c>
      <c r="AL974">
        <v>8.699999999999999</v>
      </c>
      <c r="AM974" t="s">
        <v>10884</v>
      </c>
      <c r="AN974" t="s">
        <v>10908</v>
      </c>
      <c r="AO974" t="s">
        <v>11001</v>
      </c>
      <c r="AP974" t="s">
        <v>11062</v>
      </c>
      <c r="AR974" t="s">
        <v>11257</v>
      </c>
      <c r="AS974" t="s">
        <v>9926</v>
      </c>
      <c r="BA974" t="s">
        <v>11741</v>
      </c>
      <c r="BB974">
        <v>0</v>
      </c>
      <c r="BC974">
        <v>0</v>
      </c>
      <c r="BD974">
        <v>0</v>
      </c>
      <c r="BE974">
        <v>0</v>
      </c>
      <c r="BF974">
        <v>1</v>
      </c>
      <c r="BG974">
        <v>0</v>
      </c>
    </row>
    <row r="975" spans="1:59">
      <c r="A975" s="1">
        <f>HYPERLINK("https://lsnyc.legalserver.org/matter/dynamic-profile/view/1904776","19-1904776")</f>
        <v>0</v>
      </c>
      <c r="B975" t="s">
        <v>926</v>
      </c>
      <c r="C975" t="s">
        <v>5810</v>
      </c>
      <c r="D975" t="s">
        <v>9926</v>
      </c>
      <c r="E975" t="s">
        <v>10075</v>
      </c>
      <c r="F975">
        <v>10460</v>
      </c>
      <c r="G975" t="s">
        <v>10090</v>
      </c>
      <c r="H975" t="s">
        <v>10133</v>
      </c>
      <c r="I975" t="s">
        <v>10168</v>
      </c>
      <c r="J975" t="s">
        <v>10210</v>
      </c>
      <c r="K975" t="s">
        <v>10217</v>
      </c>
      <c r="M975" t="s">
        <v>10362</v>
      </c>
      <c r="N975" t="s">
        <v>10666</v>
      </c>
      <c r="P975" t="s">
        <v>10749</v>
      </c>
      <c r="Q975" t="s">
        <v>10765</v>
      </c>
      <c r="R975" t="s">
        <v>10824</v>
      </c>
      <c r="T975">
        <v>23244</v>
      </c>
      <c r="U975">
        <v>1937</v>
      </c>
      <c r="V975">
        <v>36</v>
      </c>
      <c r="W975">
        <v>1</v>
      </c>
      <c r="X975">
        <v>0</v>
      </c>
      <c r="Z975">
        <v>186.1</v>
      </c>
      <c r="AA975">
        <v>40.833219</v>
      </c>
      <c r="AB975">
        <v>-73.888802</v>
      </c>
      <c r="AD975" t="s">
        <v>10839</v>
      </c>
      <c r="AG975" t="s">
        <v>10858</v>
      </c>
      <c r="AH975" t="s">
        <v>10862</v>
      </c>
      <c r="AI975">
        <v>230</v>
      </c>
      <c r="AJ975" t="s">
        <v>10210</v>
      </c>
      <c r="AL975">
        <v>12.05</v>
      </c>
      <c r="AM975" t="s">
        <v>10884</v>
      </c>
      <c r="AN975" t="s">
        <v>10918</v>
      </c>
      <c r="AO975" t="s">
        <v>11001</v>
      </c>
      <c r="AP975" t="s">
        <v>11062</v>
      </c>
      <c r="AR975" t="s">
        <v>11293</v>
      </c>
      <c r="AS975" t="s">
        <v>9926</v>
      </c>
      <c r="AT975" t="s">
        <v>11641</v>
      </c>
      <c r="BA975" t="s">
        <v>11738</v>
      </c>
      <c r="BB975">
        <v>0</v>
      </c>
      <c r="BC975">
        <v>0</v>
      </c>
      <c r="BD975">
        <v>0</v>
      </c>
      <c r="BE975">
        <v>0</v>
      </c>
      <c r="BF975">
        <v>5</v>
      </c>
      <c r="BG975">
        <v>0</v>
      </c>
    </row>
    <row r="976" spans="1:59">
      <c r="A976" s="1">
        <f>HYPERLINK("https://lsnyc.legalserver.org/matter/dynamic-profile/view/1904777","19-1904777")</f>
        <v>0</v>
      </c>
      <c r="B976" t="s">
        <v>927</v>
      </c>
      <c r="C976" t="s">
        <v>5811</v>
      </c>
      <c r="D976" t="s">
        <v>9925</v>
      </c>
      <c r="E976" t="s">
        <v>10075</v>
      </c>
      <c r="F976">
        <v>10002</v>
      </c>
      <c r="G976" t="s">
        <v>10089</v>
      </c>
      <c r="H976" t="s">
        <v>10133</v>
      </c>
      <c r="I976" t="s">
        <v>10168</v>
      </c>
      <c r="J976" t="s">
        <v>10209</v>
      </c>
      <c r="K976" t="s">
        <v>10218</v>
      </c>
      <c r="L976" t="s">
        <v>10109</v>
      </c>
      <c r="M976" t="s">
        <v>10288</v>
      </c>
      <c r="N976" t="s">
        <v>10691</v>
      </c>
      <c r="P976" t="s">
        <v>10756</v>
      </c>
      <c r="Q976" t="s">
        <v>10787</v>
      </c>
      <c r="R976" t="s">
        <v>10821</v>
      </c>
      <c r="T976">
        <v>9396</v>
      </c>
      <c r="U976">
        <v>783</v>
      </c>
      <c r="V976">
        <v>84</v>
      </c>
      <c r="W976">
        <v>1</v>
      </c>
      <c r="X976">
        <v>0</v>
      </c>
      <c r="Y976" t="s">
        <v>10829</v>
      </c>
      <c r="Z976">
        <v>75.23</v>
      </c>
      <c r="AA976">
        <v>40.715577</v>
      </c>
      <c r="AB976">
        <v>-73.98443399999999</v>
      </c>
      <c r="AD976" t="s">
        <v>10839</v>
      </c>
      <c r="AG976" t="s">
        <v>10858</v>
      </c>
      <c r="AH976" t="s">
        <v>10861</v>
      </c>
      <c r="AI976">
        <v>236</v>
      </c>
      <c r="AJ976" t="s">
        <v>10209</v>
      </c>
      <c r="AK976" t="s">
        <v>10838</v>
      </c>
      <c r="AL976">
        <v>1.1</v>
      </c>
      <c r="AM976" t="s">
        <v>10891</v>
      </c>
      <c r="AN976" t="s">
        <v>10963</v>
      </c>
      <c r="AO976" t="s">
        <v>11004</v>
      </c>
      <c r="AP976" t="s">
        <v>11093</v>
      </c>
      <c r="AQ976" t="s">
        <v>11149</v>
      </c>
      <c r="AR976" t="s">
        <v>11394</v>
      </c>
      <c r="AS976" t="s">
        <v>9925</v>
      </c>
      <c r="AT976" t="s">
        <v>11641</v>
      </c>
      <c r="AY976" t="s">
        <v>10829</v>
      </c>
      <c r="AZ976" t="s">
        <v>11708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</row>
    <row r="977" spans="1:59">
      <c r="A977" s="1">
        <f>HYPERLINK("https://lsnyc.legalserver.org/matter/dynamic-profile/view/1904778","19-1904778")</f>
        <v>0</v>
      </c>
      <c r="B977" t="s">
        <v>928</v>
      </c>
      <c r="C977" t="s">
        <v>5812</v>
      </c>
      <c r="D977" t="s">
        <v>9929</v>
      </c>
      <c r="E977" t="s">
        <v>10075</v>
      </c>
      <c r="F977">
        <v>10301</v>
      </c>
      <c r="G977" t="s">
        <v>10088</v>
      </c>
      <c r="H977" t="s">
        <v>10109</v>
      </c>
      <c r="I977" t="s">
        <v>10168</v>
      </c>
      <c r="J977" t="s">
        <v>10208</v>
      </c>
      <c r="K977" t="s">
        <v>10217</v>
      </c>
      <c r="M977" t="s">
        <v>10257</v>
      </c>
      <c r="N977" t="s">
        <v>10650</v>
      </c>
      <c r="P977" t="s">
        <v>10749</v>
      </c>
      <c r="Q977" t="s">
        <v>10774</v>
      </c>
      <c r="R977" t="s">
        <v>10824</v>
      </c>
      <c r="T977">
        <v>8604</v>
      </c>
      <c r="U977">
        <v>717</v>
      </c>
      <c r="V977">
        <v>63</v>
      </c>
      <c r="W977">
        <v>1</v>
      </c>
      <c r="X977">
        <v>0</v>
      </c>
      <c r="Z977">
        <v>68.89</v>
      </c>
      <c r="AA977">
        <v>40.644592</v>
      </c>
      <c r="AB977">
        <v>-74.086783</v>
      </c>
      <c r="AD977" t="s">
        <v>10839</v>
      </c>
      <c r="AG977" t="s">
        <v>10858</v>
      </c>
      <c r="AH977" t="s">
        <v>10862</v>
      </c>
      <c r="AI977">
        <v>285</v>
      </c>
      <c r="AJ977" t="s">
        <v>10208</v>
      </c>
      <c r="AL977">
        <v>22.85</v>
      </c>
      <c r="AM977" t="s">
        <v>10883</v>
      </c>
      <c r="AN977" t="s">
        <v>10913</v>
      </c>
      <c r="AO977" t="s">
        <v>11006</v>
      </c>
      <c r="AP977" t="s">
        <v>11051</v>
      </c>
      <c r="AR977" t="s">
        <v>11274</v>
      </c>
      <c r="AS977" t="s">
        <v>11593</v>
      </c>
      <c r="BA977" t="s">
        <v>11738</v>
      </c>
      <c r="BB977">
        <v>0</v>
      </c>
      <c r="BC977">
        <v>0</v>
      </c>
      <c r="BD977">
        <v>0</v>
      </c>
      <c r="BE977">
        <v>0</v>
      </c>
      <c r="BF977">
        <v>5</v>
      </c>
      <c r="BG977">
        <v>0</v>
      </c>
    </row>
    <row r="978" spans="1:59">
      <c r="A978" s="1">
        <f>HYPERLINK("https://lsnyc.legalserver.org/matter/dynamic-profile/view/1904779","19-1904779")</f>
        <v>0</v>
      </c>
      <c r="B978" t="s">
        <v>929</v>
      </c>
      <c r="C978" t="s">
        <v>5813</v>
      </c>
      <c r="D978" t="s">
        <v>9926</v>
      </c>
      <c r="E978" t="s">
        <v>10075</v>
      </c>
      <c r="F978">
        <v>10452</v>
      </c>
      <c r="G978" t="s">
        <v>10090</v>
      </c>
      <c r="H978" t="s">
        <v>10133</v>
      </c>
      <c r="I978" t="s">
        <v>10168</v>
      </c>
      <c r="J978" t="s">
        <v>10210</v>
      </c>
      <c r="K978" t="s">
        <v>10218</v>
      </c>
      <c r="L978" t="s">
        <v>10109</v>
      </c>
      <c r="M978" t="s">
        <v>10336</v>
      </c>
      <c r="N978" t="s">
        <v>10671</v>
      </c>
      <c r="P978" t="s">
        <v>10758</v>
      </c>
      <c r="Q978" t="s">
        <v>10793</v>
      </c>
      <c r="R978" t="s">
        <v>10821</v>
      </c>
      <c r="T978">
        <v>22084</v>
      </c>
      <c r="U978">
        <v>1840.33</v>
      </c>
      <c r="V978">
        <v>27</v>
      </c>
      <c r="W978">
        <v>1</v>
      </c>
      <c r="X978">
        <v>1</v>
      </c>
      <c r="Y978" t="s">
        <v>10829</v>
      </c>
      <c r="Z978">
        <v>130.6</v>
      </c>
      <c r="AA978">
        <v>40.835906</v>
      </c>
      <c r="AB978">
        <v>-73.92224400000001</v>
      </c>
      <c r="AD978" t="s">
        <v>10839</v>
      </c>
      <c r="AG978" t="s">
        <v>10858</v>
      </c>
      <c r="AH978" t="s">
        <v>10861</v>
      </c>
      <c r="AI978">
        <v>234</v>
      </c>
      <c r="AJ978" t="s">
        <v>10214</v>
      </c>
      <c r="AK978" t="s">
        <v>10882</v>
      </c>
      <c r="AL978">
        <v>1</v>
      </c>
      <c r="AM978" t="s">
        <v>10884</v>
      </c>
      <c r="AN978" t="s">
        <v>10924</v>
      </c>
      <c r="AO978" t="s">
        <v>11013</v>
      </c>
      <c r="AP978" t="s">
        <v>11055</v>
      </c>
      <c r="AQ978" t="s">
        <v>11177</v>
      </c>
      <c r="AR978" t="s">
        <v>11262</v>
      </c>
      <c r="AS978" t="s">
        <v>9926</v>
      </c>
      <c r="AT978" t="s">
        <v>11641</v>
      </c>
      <c r="AX978" t="s">
        <v>10838</v>
      </c>
      <c r="AY978" t="s">
        <v>10829</v>
      </c>
      <c r="AZ978" t="s">
        <v>11714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</row>
    <row r="979" spans="1:59">
      <c r="A979" s="1">
        <f>HYPERLINK("https://lsnyc.legalserver.org/matter/dynamic-profile/view/1904780","19-1904780")</f>
        <v>0</v>
      </c>
      <c r="B979" t="s">
        <v>930</v>
      </c>
      <c r="C979" t="s">
        <v>5814</v>
      </c>
      <c r="D979" t="s">
        <v>9926</v>
      </c>
      <c r="E979" t="s">
        <v>10075</v>
      </c>
      <c r="F979">
        <v>10475</v>
      </c>
      <c r="G979" t="s">
        <v>10090</v>
      </c>
      <c r="H979" t="s">
        <v>10133</v>
      </c>
      <c r="I979" t="s">
        <v>10168</v>
      </c>
      <c r="J979" t="s">
        <v>10210</v>
      </c>
      <c r="K979" t="s">
        <v>10217</v>
      </c>
      <c r="M979" t="s">
        <v>10495</v>
      </c>
      <c r="N979" t="s">
        <v>10690</v>
      </c>
      <c r="O979" t="s">
        <v>10690</v>
      </c>
      <c r="P979" t="s">
        <v>10749</v>
      </c>
      <c r="Q979" t="s">
        <v>10806</v>
      </c>
      <c r="R979" t="s">
        <v>10821</v>
      </c>
      <c r="T979">
        <v>12159</v>
      </c>
      <c r="U979">
        <v>1013.25</v>
      </c>
      <c r="V979">
        <v>60</v>
      </c>
      <c r="W979">
        <v>1</v>
      </c>
      <c r="X979">
        <v>0</v>
      </c>
      <c r="Z979">
        <v>97.34999999999999</v>
      </c>
      <c r="AA979">
        <v>40.874928</v>
      </c>
      <c r="AB979">
        <v>-73.829466</v>
      </c>
      <c r="AC979" t="s">
        <v>10837</v>
      </c>
      <c r="AD979" t="s">
        <v>10840</v>
      </c>
      <c r="AG979" t="s">
        <v>10858</v>
      </c>
      <c r="AH979" t="s">
        <v>10861</v>
      </c>
      <c r="AI979">
        <v>234</v>
      </c>
      <c r="AJ979" t="s">
        <v>10214</v>
      </c>
      <c r="AL979">
        <v>12.1</v>
      </c>
      <c r="AM979" t="s">
        <v>10893</v>
      </c>
      <c r="AN979" t="s">
        <v>10911</v>
      </c>
      <c r="AO979" t="s">
        <v>11010</v>
      </c>
      <c r="AP979" t="s">
        <v>11085</v>
      </c>
      <c r="AR979" t="s">
        <v>11395</v>
      </c>
      <c r="AS979" t="s">
        <v>9926</v>
      </c>
      <c r="AT979" t="s">
        <v>11642</v>
      </c>
      <c r="AX979" t="s">
        <v>10838</v>
      </c>
      <c r="BA979" t="s">
        <v>11742</v>
      </c>
      <c r="BB979">
        <v>0</v>
      </c>
      <c r="BC979">
        <v>0</v>
      </c>
      <c r="BD979">
        <v>0</v>
      </c>
      <c r="BE979">
        <v>0</v>
      </c>
      <c r="BF979">
        <v>7</v>
      </c>
      <c r="BG979">
        <v>0</v>
      </c>
    </row>
    <row r="980" spans="1:59">
      <c r="A980" s="1">
        <f>HYPERLINK("https://lsnyc.legalserver.org/matter/dynamic-profile/view/1904782","19-1904782")</f>
        <v>0</v>
      </c>
      <c r="B980" t="s">
        <v>931</v>
      </c>
      <c r="C980" t="s">
        <v>5815</v>
      </c>
      <c r="D980" t="s">
        <v>9929</v>
      </c>
      <c r="E980" t="s">
        <v>10075</v>
      </c>
      <c r="F980">
        <v>10304</v>
      </c>
      <c r="G980" t="s">
        <v>10088</v>
      </c>
      <c r="H980" t="s">
        <v>10105</v>
      </c>
      <c r="I980" t="s">
        <v>10169</v>
      </c>
      <c r="J980" t="s">
        <v>10208</v>
      </c>
      <c r="K980" t="s">
        <v>10217</v>
      </c>
      <c r="M980" t="s">
        <v>10515</v>
      </c>
      <c r="N980" t="s">
        <v>10673</v>
      </c>
      <c r="P980" t="s">
        <v>10753</v>
      </c>
      <c r="Q980" t="s">
        <v>10763</v>
      </c>
      <c r="R980" t="s">
        <v>10821</v>
      </c>
      <c r="T980">
        <v>41600</v>
      </c>
      <c r="U980">
        <v>3466.67</v>
      </c>
      <c r="V980">
        <v>49</v>
      </c>
      <c r="W980">
        <v>2</v>
      </c>
      <c r="X980">
        <v>1</v>
      </c>
      <c r="Z980">
        <v>195.03</v>
      </c>
      <c r="AA980">
        <v>40.59574</v>
      </c>
      <c r="AB980">
        <v>-74.094281</v>
      </c>
      <c r="AD980" t="s">
        <v>10839</v>
      </c>
      <c r="AF980" t="s">
        <v>10842</v>
      </c>
      <c r="AG980" t="s">
        <v>10859</v>
      </c>
      <c r="AH980" t="s">
        <v>10861</v>
      </c>
      <c r="AI980">
        <v>285</v>
      </c>
      <c r="AJ980" t="s">
        <v>10208</v>
      </c>
      <c r="AL980">
        <v>3.5</v>
      </c>
      <c r="AM980" t="s">
        <v>10883</v>
      </c>
      <c r="AN980" t="s">
        <v>10928</v>
      </c>
      <c r="AO980" t="s">
        <v>10999</v>
      </c>
      <c r="AP980" t="s">
        <v>11063</v>
      </c>
      <c r="AQ980" t="s">
        <v>11139</v>
      </c>
      <c r="AR980" t="s">
        <v>11257</v>
      </c>
      <c r="AS980" t="s">
        <v>11593</v>
      </c>
      <c r="AT980" t="s">
        <v>11641</v>
      </c>
      <c r="AX980" t="s">
        <v>10838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</row>
    <row r="981" spans="1:59">
      <c r="A981" s="1">
        <f>HYPERLINK("https://lsnyc.legalserver.org/matter/dynamic-profile/view/1904783","19-1904783")</f>
        <v>0</v>
      </c>
      <c r="B981" t="s">
        <v>932</v>
      </c>
      <c r="C981" t="s">
        <v>5816</v>
      </c>
      <c r="D981" t="s">
        <v>9928</v>
      </c>
      <c r="E981" t="s">
        <v>10075</v>
      </c>
      <c r="F981">
        <v>11209</v>
      </c>
      <c r="G981" t="s">
        <v>10093</v>
      </c>
      <c r="H981" t="s">
        <v>10133</v>
      </c>
      <c r="I981" t="s">
        <v>10168</v>
      </c>
      <c r="J981" t="s">
        <v>10213</v>
      </c>
      <c r="K981" t="s">
        <v>10217</v>
      </c>
      <c r="M981" t="s">
        <v>10245</v>
      </c>
      <c r="N981" t="s">
        <v>10664</v>
      </c>
      <c r="P981" t="s">
        <v>10749</v>
      </c>
      <c r="Q981" t="s">
        <v>10765</v>
      </c>
      <c r="R981" t="s">
        <v>10820</v>
      </c>
      <c r="T981">
        <v>8000</v>
      </c>
      <c r="U981">
        <v>666.67</v>
      </c>
      <c r="V981">
        <v>43</v>
      </c>
      <c r="W981">
        <v>1</v>
      </c>
      <c r="X981">
        <v>1</v>
      </c>
      <c r="Z981">
        <v>47.31</v>
      </c>
      <c r="AA981">
        <v>40.615897</v>
      </c>
      <c r="AB981">
        <v>-74.03021</v>
      </c>
      <c r="AD981" t="s">
        <v>10839</v>
      </c>
      <c r="AG981" t="s">
        <v>10858</v>
      </c>
      <c r="AH981" t="s">
        <v>10862</v>
      </c>
      <c r="AI981">
        <v>239</v>
      </c>
      <c r="AJ981" t="s">
        <v>10213</v>
      </c>
      <c r="AL981">
        <v>0.7</v>
      </c>
      <c r="AM981" t="s">
        <v>10883</v>
      </c>
      <c r="AN981" t="s">
        <v>10960</v>
      </c>
      <c r="AO981" t="s">
        <v>11023</v>
      </c>
      <c r="AP981" t="s">
        <v>11086</v>
      </c>
      <c r="AR981" t="s">
        <v>11257</v>
      </c>
      <c r="AS981" t="s">
        <v>11595</v>
      </c>
      <c r="AT981" t="s">
        <v>11641</v>
      </c>
      <c r="AW981" t="s">
        <v>11645</v>
      </c>
      <c r="BA981" t="s">
        <v>11741</v>
      </c>
      <c r="BB981">
        <v>0</v>
      </c>
      <c r="BC981">
        <v>0</v>
      </c>
      <c r="BD981">
        <v>0</v>
      </c>
      <c r="BE981">
        <v>0</v>
      </c>
      <c r="BF981">
        <v>1</v>
      </c>
      <c r="BG981">
        <v>0</v>
      </c>
    </row>
    <row r="982" spans="1:59">
      <c r="A982" s="1">
        <f>HYPERLINK("https://lsnyc.legalserver.org/matter/dynamic-profile/view/1904785","19-1904785")</f>
        <v>0</v>
      </c>
      <c r="B982" t="s">
        <v>931</v>
      </c>
      <c r="C982" t="s">
        <v>5815</v>
      </c>
      <c r="D982" t="s">
        <v>9929</v>
      </c>
      <c r="E982" t="s">
        <v>10075</v>
      </c>
      <c r="F982">
        <v>10304</v>
      </c>
      <c r="G982" t="s">
        <v>10088</v>
      </c>
      <c r="H982" t="s">
        <v>10105</v>
      </c>
      <c r="I982" t="s">
        <v>10169</v>
      </c>
      <c r="J982" t="s">
        <v>10208</v>
      </c>
      <c r="K982" t="s">
        <v>10217</v>
      </c>
      <c r="M982" t="s">
        <v>10515</v>
      </c>
      <c r="N982" t="s">
        <v>10649</v>
      </c>
      <c r="P982" t="s">
        <v>10753</v>
      </c>
      <c r="Q982" t="s">
        <v>10763</v>
      </c>
      <c r="R982" t="s">
        <v>10821</v>
      </c>
      <c r="T982">
        <v>41600</v>
      </c>
      <c r="U982">
        <v>3466.67</v>
      </c>
      <c r="V982">
        <v>49</v>
      </c>
      <c r="W982">
        <v>2</v>
      </c>
      <c r="X982">
        <v>1</v>
      </c>
      <c r="Z982">
        <v>195.03</v>
      </c>
      <c r="AA982">
        <v>40.59574</v>
      </c>
      <c r="AB982">
        <v>-74.094281</v>
      </c>
      <c r="AD982" t="s">
        <v>10839</v>
      </c>
      <c r="AF982" t="s">
        <v>10842</v>
      </c>
      <c r="AG982" t="s">
        <v>10859</v>
      </c>
      <c r="AH982" t="s">
        <v>10861</v>
      </c>
      <c r="AI982">
        <v>285</v>
      </c>
      <c r="AJ982" t="s">
        <v>10208</v>
      </c>
      <c r="AL982">
        <v>0</v>
      </c>
      <c r="AM982" t="s">
        <v>10883</v>
      </c>
      <c r="AN982" t="s">
        <v>10928</v>
      </c>
      <c r="AO982" t="s">
        <v>10999</v>
      </c>
      <c r="AP982" t="s">
        <v>11063</v>
      </c>
      <c r="AQ982" t="s">
        <v>11109</v>
      </c>
      <c r="AR982" t="s">
        <v>11257</v>
      </c>
      <c r="AS982" t="s">
        <v>11593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</row>
    <row r="983" spans="1:59">
      <c r="A983" s="1">
        <f>HYPERLINK("https://lsnyc.legalserver.org/matter/dynamic-profile/view/1904786","19-1904786")</f>
        <v>0</v>
      </c>
      <c r="B983" t="s">
        <v>931</v>
      </c>
      <c r="C983" t="s">
        <v>5815</v>
      </c>
      <c r="D983" t="s">
        <v>9929</v>
      </c>
      <c r="E983" t="s">
        <v>10075</v>
      </c>
      <c r="F983">
        <v>10304</v>
      </c>
      <c r="G983" t="s">
        <v>10088</v>
      </c>
      <c r="H983" t="s">
        <v>10105</v>
      </c>
      <c r="I983" t="s">
        <v>10169</v>
      </c>
      <c r="J983" t="s">
        <v>10208</v>
      </c>
      <c r="K983" t="s">
        <v>10217</v>
      </c>
      <c r="M983" t="s">
        <v>10515</v>
      </c>
      <c r="N983" t="s">
        <v>10649</v>
      </c>
      <c r="P983" t="s">
        <v>10753</v>
      </c>
      <c r="Q983" t="s">
        <v>10763</v>
      </c>
      <c r="R983" t="s">
        <v>10821</v>
      </c>
      <c r="T983">
        <v>41600</v>
      </c>
      <c r="U983">
        <v>3466.67</v>
      </c>
      <c r="V983">
        <v>49</v>
      </c>
      <c r="W983">
        <v>2</v>
      </c>
      <c r="X983">
        <v>1</v>
      </c>
      <c r="Z983">
        <v>195.03</v>
      </c>
      <c r="AA983">
        <v>40.59574</v>
      </c>
      <c r="AB983">
        <v>-74.094281</v>
      </c>
      <c r="AD983" t="s">
        <v>10839</v>
      </c>
      <c r="AF983" t="s">
        <v>10842</v>
      </c>
      <c r="AG983" t="s">
        <v>10859</v>
      </c>
      <c r="AH983" t="s">
        <v>10861</v>
      </c>
      <c r="AI983">
        <v>285</v>
      </c>
      <c r="AJ983" t="s">
        <v>10208</v>
      </c>
      <c r="AL983">
        <v>2</v>
      </c>
      <c r="AM983" t="s">
        <v>10883</v>
      </c>
      <c r="AN983" t="s">
        <v>10928</v>
      </c>
      <c r="AO983" t="s">
        <v>10999</v>
      </c>
      <c r="AP983" t="s">
        <v>11063</v>
      </c>
      <c r="AQ983" t="s">
        <v>11178</v>
      </c>
      <c r="AR983" t="s">
        <v>11257</v>
      </c>
      <c r="AS983" t="s">
        <v>11593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</row>
    <row r="984" spans="1:59">
      <c r="A984" s="1">
        <f>HYPERLINK("https://lsnyc.legalserver.org/matter/dynamic-profile/view/1904787","19-1904787")</f>
        <v>0</v>
      </c>
      <c r="B984" t="s">
        <v>933</v>
      </c>
      <c r="C984" t="s">
        <v>5817</v>
      </c>
      <c r="D984" t="s">
        <v>9946</v>
      </c>
      <c r="E984" t="s">
        <v>10075</v>
      </c>
      <c r="F984">
        <v>11385</v>
      </c>
      <c r="G984" t="s">
        <v>10092</v>
      </c>
      <c r="H984" t="s">
        <v>10133</v>
      </c>
      <c r="J984" t="s">
        <v>10212</v>
      </c>
      <c r="K984" t="s">
        <v>10218</v>
      </c>
      <c r="L984" t="s">
        <v>10100</v>
      </c>
      <c r="M984" t="s">
        <v>10366</v>
      </c>
      <c r="N984" t="s">
        <v>10688</v>
      </c>
      <c r="P984" t="s">
        <v>10752</v>
      </c>
      <c r="Q984" t="s">
        <v>10783</v>
      </c>
      <c r="R984" t="s">
        <v>10824</v>
      </c>
      <c r="T984">
        <v>24000</v>
      </c>
      <c r="U984">
        <v>2000</v>
      </c>
      <c r="V984">
        <v>39</v>
      </c>
      <c r="W984">
        <v>1</v>
      </c>
      <c r="X984">
        <v>0</v>
      </c>
      <c r="Y984" t="s">
        <v>10829</v>
      </c>
      <c r="Z984">
        <v>192.15</v>
      </c>
      <c r="AA984">
        <v>40.698473</v>
      </c>
      <c r="AB984">
        <v>-73.899126</v>
      </c>
      <c r="AC984" t="s">
        <v>10837</v>
      </c>
      <c r="AD984" t="s">
        <v>10840</v>
      </c>
      <c r="AG984" t="s">
        <v>10858</v>
      </c>
      <c r="AH984" t="s">
        <v>10863</v>
      </c>
      <c r="AI984">
        <v>236</v>
      </c>
      <c r="AJ984" t="s">
        <v>10209</v>
      </c>
      <c r="AK984" t="s">
        <v>10838</v>
      </c>
      <c r="AL984">
        <v>2.4</v>
      </c>
      <c r="AM984" t="s">
        <v>10886</v>
      </c>
      <c r="AN984" t="s">
        <v>10945</v>
      </c>
      <c r="AO984" t="s">
        <v>11003</v>
      </c>
      <c r="AP984" t="s">
        <v>11071</v>
      </c>
      <c r="AQ984" t="s">
        <v>11179</v>
      </c>
      <c r="AR984" t="s">
        <v>11257</v>
      </c>
      <c r="AS984" t="s">
        <v>11594</v>
      </c>
      <c r="AY984" t="s">
        <v>10829</v>
      </c>
      <c r="AZ984" t="s">
        <v>11680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</row>
    <row r="985" spans="1:59">
      <c r="A985" s="1">
        <f>HYPERLINK("https://lsnyc.legalserver.org/matter/dynamic-profile/view/1904788","19-1904788")</f>
        <v>0</v>
      </c>
      <c r="B985" t="s">
        <v>934</v>
      </c>
      <c r="C985" t="s">
        <v>5818</v>
      </c>
      <c r="D985" t="s">
        <v>9926</v>
      </c>
      <c r="E985" t="s">
        <v>10075</v>
      </c>
      <c r="F985">
        <v>10466</v>
      </c>
      <c r="G985" t="s">
        <v>10090</v>
      </c>
      <c r="H985" t="s">
        <v>10133</v>
      </c>
      <c r="I985" t="s">
        <v>10168</v>
      </c>
      <c r="J985" t="s">
        <v>10210</v>
      </c>
      <c r="K985" t="s">
        <v>10217</v>
      </c>
      <c r="M985" t="s">
        <v>10303</v>
      </c>
      <c r="N985" t="s">
        <v>10677</v>
      </c>
      <c r="P985" t="s">
        <v>10751</v>
      </c>
      <c r="Q985" t="s">
        <v>10761</v>
      </c>
      <c r="R985" t="s">
        <v>10824</v>
      </c>
      <c r="T985">
        <v>2196</v>
      </c>
      <c r="U985">
        <v>183</v>
      </c>
      <c r="V985">
        <v>62</v>
      </c>
      <c r="W985">
        <v>1</v>
      </c>
      <c r="X985">
        <v>0</v>
      </c>
      <c r="Z985">
        <v>17.58</v>
      </c>
      <c r="AA985">
        <v>40.883824</v>
      </c>
      <c r="AB985">
        <v>-73.843374</v>
      </c>
      <c r="AD985" t="s">
        <v>10840</v>
      </c>
      <c r="AG985" t="s">
        <v>10858</v>
      </c>
      <c r="AH985" t="s">
        <v>10861</v>
      </c>
      <c r="AI985">
        <v>234</v>
      </c>
      <c r="AJ985" t="s">
        <v>10214</v>
      </c>
      <c r="AL985">
        <v>6.95</v>
      </c>
      <c r="AM985" t="s">
        <v>10893</v>
      </c>
      <c r="AN985" t="s">
        <v>10956</v>
      </c>
      <c r="AO985" t="s">
        <v>11010</v>
      </c>
      <c r="AP985" t="s">
        <v>11085</v>
      </c>
      <c r="AR985" t="s">
        <v>11255</v>
      </c>
      <c r="AS985" t="s">
        <v>9926</v>
      </c>
      <c r="AT985" t="s">
        <v>11642</v>
      </c>
      <c r="AX985" t="s">
        <v>10838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</row>
    <row r="986" spans="1:59">
      <c r="A986" s="1">
        <f>HYPERLINK("https://lsnyc.legalserver.org/matter/dynamic-profile/view/1904789","19-1904789")</f>
        <v>0</v>
      </c>
      <c r="B986" t="s">
        <v>931</v>
      </c>
      <c r="C986" t="s">
        <v>5815</v>
      </c>
      <c r="D986" t="s">
        <v>9929</v>
      </c>
      <c r="E986" t="s">
        <v>10075</v>
      </c>
      <c r="F986">
        <v>10304</v>
      </c>
      <c r="G986" t="s">
        <v>10088</v>
      </c>
      <c r="H986" t="s">
        <v>10105</v>
      </c>
      <c r="I986" t="s">
        <v>10169</v>
      </c>
      <c r="J986" t="s">
        <v>10208</v>
      </c>
      <c r="K986" t="s">
        <v>10217</v>
      </c>
      <c r="M986" t="s">
        <v>10515</v>
      </c>
      <c r="N986" t="s">
        <v>10649</v>
      </c>
      <c r="P986" t="s">
        <v>10753</v>
      </c>
      <c r="Q986" t="s">
        <v>10763</v>
      </c>
      <c r="R986" t="s">
        <v>10821</v>
      </c>
      <c r="T986">
        <v>41600</v>
      </c>
      <c r="U986">
        <v>3466.67</v>
      </c>
      <c r="V986">
        <v>49</v>
      </c>
      <c r="W986">
        <v>2</v>
      </c>
      <c r="X986">
        <v>1</v>
      </c>
      <c r="Z986">
        <v>195.03</v>
      </c>
      <c r="AA986">
        <v>40.59574</v>
      </c>
      <c r="AB986">
        <v>-74.094281</v>
      </c>
      <c r="AD986" t="s">
        <v>10839</v>
      </c>
      <c r="AF986" t="s">
        <v>10842</v>
      </c>
      <c r="AG986" t="s">
        <v>10859</v>
      </c>
      <c r="AH986" t="s">
        <v>10861</v>
      </c>
      <c r="AI986">
        <v>285</v>
      </c>
      <c r="AJ986" t="s">
        <v>10208</v>
      </c>
      <c r="AL986">
        <v>2</v>
      </c>
      <c r="AM986" t="s">
        <v>10883</v>
      </c>
      <c r="AN986" t="s">
        <v>10928</v>
      </c>
      <c r="AO986" t="s">
        <v>10999</v>
      </c>
      <c r="AP986" t="s">
        <v>11063</v>
      </c>
      <c r="AQ986" t="s">
        <v>11178</v>
      </c>
      <c r="AR986" t="s">
        <v>11257</v>
      </c>
      <c r="AS986" t="s">
        <v>11593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</row>
    <row r="987" spans="1:59">
      <c r="A987" s="1">
        <f>HYPERLINK("https://lsnyc.legalserver.org/matter/dynamic-profile/view/1904790","19-1904790")</f>
        <v>0</v>
      </c>
      <c r="B987" t="s">
        <v>935</v>
      </c>
      <c r="C987" t="s">
        <v>5819</v>
      </c>
      <c r="D987" t="s">
        <v>9928</v>
      </c>
      <c r="E987" t="s">
        <v>10075</v>
      </c>
      <c r="F987">
        <v>11218</v>
      </c>
      <c r="G987" t="s">
        <v>10093</v>
      </c>
      <c r="H987" t="s">
        <v>10133</v>
      </c>
      <c r="J987" t="s">
        <v>10213</v>
      </c>
      <c r="K987" t="s">
        <v>10217</v>
      </c>
      <c r="M987" t="s">
        <v>10494</v>
      </c>
      <c r="N987" t="s">
        <v>10664</v>
      </c>
      <c r="P987" t="s">
        <v>10749</v>
      </c>
      <c r="Q987" t="s">
        <v>10765</v>
      </c>
      <c r="R987" t="s">
        <v>10822</v>
      </c>
      <c r="T987">
        <v>0</v>
      </c>
      <c r="U987">
        <v>0</v>
      </c>
      <c r="V987">
        <v>33</v>
      </c>
      <c r="W987">
        <v>1</v>
      </c>
      <c r="X987">
        <v>0</v>
      </c>
      <c r="Z987">
        <v>0</v>
      </c>
      <c r="AA987">
        <v>40.636668</v>
      </c>
      <c r="AB987">
        <v>-73.970055</v>
      </c>
      <c r="AD987" t="s">
        <v>10822</v>
      </c>
      <c r="AF987" t="s">
        <v>10842</v>
      </c>
      <c r="AG987" t="s">
        <v>10859</v>
      </c>
      <c r="AH987" t="s">
        <v>10862</v>
      </c>
      <c r="AI987">
        <v>239</v>
      </c>
      <c r="AJ987" t="s">
        <v>10213</v>
      </c>
      <c r="AL987">
        <v>41.9</v>
      </c>
      <c r="AM987" t="s">
        <v>10894</v>
      </c>
      <c r="AN987" t="s">
        <v>10941</v>
      </c>
      <c r="AO987" t="s">
        <v>11015</v>
      </c>
      <c r="AP987" t="s">
        <v>11050</v>
      </c>
      <c r="AR987" t="s">
        <v>11267</v>
      </c>
      <c r="AS987" t="s">
        <v>11595</v>
      </c>
      <c r="BA987" t="s">
        <v>11738</v>
      </c>
      <c r="BB987">
        <v>0</v>
      </c>
      <c r="BC987">
        <v>0</v>
      </c>
      <c r="BD987">
        <v>0</v>
      </c>
      <c r="BE987">
        <v>0</v>
      </c>
      <c r="BF987">
        <v>5</v>
      </c>
      <c r="BG987">
        <v>0</v>
      </c>
    </row>
    <row r="988" spans="1:59">
      <c r="A988" s="1">
        <f>HYPERLINK("https://lsnyc.legalserver.org/matter/dynamic-profile/view/1904791","19-1904791")</f>
        <v>0</v>
      </c>
      <c r="B988" t="s">
        <v>936</v>
      </c>
      <c r="C988" t="s">
        <v>5820</v>
      </c>
      <c r="D988" t="s">
        <v>9928</v>
      </c>
      <c r="E988" t="s">
        <v>10075</v>
      </c>
      <c r="F988">
        <v>11208</v>
      </c>
      <c r="G988" t="s">
        <v>10093</v>
      </c>
      <c r="H988" t="s">
        <v>10133</v>
      </c>
      <c r="I988" t="s">
        <v>10169</v>
      </c>
      <c r="J988" t="s">
        <v>10213</v>
      </c>
      <c r="K988" t="s">
        <v>10218</v>
      </c>
      <c r="L988" t="s">
        <v>10111</v>
      </c>
      <c r="M988" t="s">
        <v>10382</v>
      </c>
      <c r="N988" t="s">
        <v>10650</v>
      </c>
      <c r="P988" t="s">
        <v>10749</v>
      </c>
      <c r="Q988" t="s">
        <v>10765</v>
      </c>
      <c r="R988" t="s">
        <v>10821</v>
      </c>
      <c r="T988">
        <v>30420</v>
      </c>
      <c r="U988">
        <v>2535</v>
      </c>
      <c r="V988">
        <v>31</v>
      </c>
      <c r="W988">
        <v>2</v>
      </c>
      <c r="X988">
        <v>2</v>
      </c>
      <c r="Y988" t="s">
        <v>10829</v>
      </c>
      <c r="Z988">
        <v>118.14</v>
      </c>
      <c r="AA988">
        <v>40.683934</v>
      </c>
      <c r="AB988">
        <v>-73.88254999999999</v>
      </c>
      <c r="AD988" t="s">
        <v>10839</v>
      </c>
      <c r="AF988" t="s">
        <v>10843</v>
      </c>
      <c r="AG988" t="s">
        <v>10859</v>
      </c>
      <c r="AH988" t="s">
        <v>10861</v>
      </c>
      <c r="AI988">
        <v>234</v>
      </c>
      <c r="AJ988" t="s">
        <v>10214</v>
      </c>
      <c r="AK988" t="s">
        <v>10838</v>
      </c>
      <c r="AL988">
        <v>1.9</v>
      </c>
      <c r="AM988" t="s">
        <v>10886</v>
      </c>
      <c r="AN988" t="s">
        <v>10920</v>
      </c>
      <c r="AO988" t="s">
        <v>11011</v>
      </c>
      <c r="AP988" t="s">
        <v>11058</v>
      </c>
      <c r="AR988" t="s">
        <v>11297</v>
      </c>
      <c r="AS988" t="s">
        <v>11595</v>
      </c>
      <c r="AT988" t="s">
        <v>11641</v>
      </c>
      <c r="AX988" t="s">
        <v>10838</v>
      </c>
      <c r="AY988" t="s">
        <v>10829</v>
      </c>
      <c r="AZ988" t="s">
        <v>11706</v>
      </c>
      <c r="BA988" t="s">
        <v>11741</v>
      </c>
      <c r="BB988">
        <v>0</v>
      </c>
      <c r="BC988">
        <v>0</v>
      </c>
      <c r="BD988">
        <v>0</v>
      </c>
      <c r="BE988">
        <v>0</v>
      </c>
      <c r="BF988">
        <v>1</v>
      </c>
      <c r="BG988">
        <v>0</v>
      </c>
    </row>
    <row r="989" spans="1:59">
      <c r="A989" s="1">
        <f>HYPERLINK("https://lsnyc.legalserver.org/matter/dynamic-profile/view/1904792","19-1904792")</f>
        <v>0</v>
      </c>
      <c r="B989" t="s">
        <v>937</v>
      </c>
      <c r="C989" t="s">
        <v>5821</v>
      </c>
      <c r="D989" t="s">
        <v>9928</v>
      </c>
      <c r="E989" t="s">
        <v>10075</v>
      </c>
      <c r="F989">
        <v>11223</v>
      </c>
      <c r="G989" t="s">
        <v>10091</v>
      </c>
      <c r="H989" t="s">
        <v>10133</v>
      </c>
      <c r="I989" t="s">
        <v>10168</v>
      </c>
      <c r="J989" t="s">
        <v>10214</v>
      </c>
      <c r="K989" t="s">
        <v>10217</v>
      </c>
      <c r="M989" t="s">
        <v>10286</v>
      </c>
      <c r="N989" t="s">
        <v>10671</v>
      </c>
      <c r="P989" t="s">
        <v>10751</v>
      </c>
      <c r="Q989" t="s">
        <v>10780</v>
      </c>
      <c r="R989" t="s">
        <v>10820</v>
      </c>
      <c r="T989">
        <v>10296</v>
      </c>
      <c r="U989">
        <v>858</v>
      </c>
      <c r="V989">
        <v>30</v>
      </c>
      <c r="W989">
        <v>1</v>
      </c>
      <c r="X989">
        <v>0</v>
      </c>
      <c r="Z989">
        <v>82.43000000000001</v>
      </c>
      <c r="AA989">
        <v>40.588047</v>
      </c>
      <c r="AB989">
        <v>-73.968609</v>
      </c>
      <c r="AD989" t="s">
        <v>10840</v>
      </c>
      <c r="AG989" t="s">
        <v>10858</v>
      </c>
      <c r="AH989" t="s">
        <v>10861</v>
      </c>
      <c r="AI989">
        <v>234</v>
      </c>
      <c r="AJ989" t="s">
        <v>10214</v>
      </c>
      <c r="AL989">
        <v>0.6</v>
      </c>
      <c r="AM989" t="s">
        <v>10883</v>
      </c>
      <c r="AN989" t="s">
        <v>10960</v>
      </c>
      <c r="AO989" t="s">
        <v>11006</v>
      </c>
      <c r="AP989" t="s">
        <v>11087</v>
      </c>
      <c r="AR989" t="s">
        <v>11274</v>
      </c>
      <c r="AS989" t="s">
        <v>11595</v>
      </c>
      <c r="AT989" t="s">
        <v>11642</v>
      </c>
      <c r="AX989" t="s">
        <v>10838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</row>
    <row r="990" spans="1:59">
      <c r="A990" s="1">
        <f>HYPERLINK("https://lsnyc.legalserver.org/matter/dynamic-profile/view/1904793","19-1904793")</f>
        <v>0</v>
      </c>
      <c r="B990" t="s">
        <v>938</v>
      </c>
      <c r="C990" t="s">
        <v>5822</v>
      </c>
      <c r="D990" t="s">
        <v>9940</v>
      </c>
      <c r="E990" t="s">
        <v>10075</v>
      </c>
      <c r="F990">
        <v>11421</v>
      </c>
      <c r="G990" t="s">
        <v>10092</v>
      </c>
      <c r="H990" t="s">
        <v>10133</v>
      </c>
      <c r="I990" t="s">
        <v>10168</v>
      </c>
      <c r="J990" t="s">
        <v>10212</v>
      </c>
      <c r="K990" t="s">
        <v>10218</v>
      </c>
      <c r="L990" t="s">
        <v>10120</v>
      </c>
      <c r="M990" t="s">
        <v>10340</v>
      </c>
      <c r="N990" t="s">
        <v>10656</v>
      </c>
      <c r="P990" t="s">
        <v>10751</v>
      </c>
      <c r="Q990" t="s">
        <v>10768</v>
      </c>
      <c r="R990" t="s">
        <v>10821</v>
      </c>
      <c r="T990">
        <v>0</v>
      </c>
      <c r="U990">
        <v>0</v>
      </c>
      <c r="V990">
        <v>43</v>
      </c>
      <c r="W990">
        <v>1</v>
      </c>
      <c r="X990">
        <v>0</v>
      </c>
      <c r="Y990" t="s">
        <v>10829</v>
      </c>
      <c r="Z990">
        <v>0</v>
      </c>
      <c r="AA990">
        <v>40.693817</v>
      </c>
      <c r="AB990">
        <v>-73.864739</v>
      </c>
      <c r="AD990" t="s">
        <v>10840</v>
      </c>
      <c r="AG990" t="s">
        <v>10858</v>
      </c>
      <c r="AH990" t="s">
        <v>10861</v>
      </c>
      <c r="AI990">
        <v>234</v>
      </c>
      <c r="AJ990" t="s">
        <v>10214</v>
      </c>
      <c r="AK990" t="s">
        <v>10838</v>
      </c>
      <c r="AL990">
        <v>3.2</v>
      </c>
      <c r="AM990" t="s">
        <v>10886</v>
      </c>
      <c r="AN990" t="s">
        <v>10945</v>
      </c>
      <c r="AO990" t="s">
        <v>11003</v>
      </c>
      <c r="AP990" t="s">
        <v>11077</v>
      </c>
      <c r="AR990" t="s">
        <v>11267</v>
      </c>
      <c r="AS990" t="s">
        <v>11594</v>
      </c>
      <c r="AT990" t="s">
        <v>11642</v>
      </c>
      <c r="AX990" t="s">
        <v>10838</v>
      </c>
      <c r="AY990" t="s">
        <v>10829</v>
      </c>
      <c r="AZ990" t="s">
        <v>11682</v>
      </c>
      <c r="BA990" t="s">
        <v>11741</v>
      </c>
      <c r="BB990">
        <v>0</v>
      </c>
      <c r="BC990">
        <v>0</v>
      </c>
      <c r="BD990">
        <v>0</v>
      </c>
      <c r="BE990">
        <v>0</v>
      </c>
      <c r="BF990">
        <v>1</v>
      </c>
      <c r="BG990">
        <v>0</v>
      </c>
    </row>
    <row r="991" spans="1:59">
      <c r="A991" s="1">
        <f>HYPERLINK("https://lsnyc.legalserver.org/matter/dynamic-profile/view/1904794","19-1904794")</f>
        <v>0</v>
      </c>
      <c r="B991" t="s">
        <v>721</v>
      </c>
      <c r="C991" t="s">
        <v>5823</v>
      </c>
      <c r="D991" t="s">
        <v>9928</v>
      </c>
      <c r="E991" t="s">
        <v>10075</v>
      </c>
      <c r="F991">
        <v>11203</v>
      </c>
      <c r="G991" t="s">
        <v>10093</v>
      </c>
      <c r="H991" t="s">
        <v>10133</v>
      </c>
      <c r="I991" t="s">
        <v>10168</v>
      </c>
      <c r="J991" t="s">
        <v>10213</v>
      </c>
      <c r="K991" t="s">
        <v>10217</v>
      </c>
      <c r="M991" t="s">
        <v>10358</v>
      </c>
      <c r="N991" t="s">
        <v>10671</v>
      </c>
      <c r="P991" t="s">
        <v>10752</v>
      </c>
      <c r="Q991" t="s">
        <v>10783</v>
      </c>
      <c r="R991" t="s">
        <v>10824</v>
      </c>
      <c r="T991">
        <v>0</v>
      </c>
      <c r="U991">
        <v>0</v>
      </c>
      <c r="V991">
        <v>58</v>
      </c>
      <c r="W991">
        <v>1</v>
      </c>
      <c r="X991">
        <v>0</v>
      </c>
      <c r="Z991">
        <v>0</v>
      </c>
      <c r="AA991">
        <v>40.651389</v>
      </c>
      <c r="AB991">
        <v>-73.922512</v>
      </c>
      <c r="AD991" t="s">
        <v>10840</v>
      </c>
      <c r="AG991" t="s">
        <v>10858</v>
      </c>
      <c r="AH991" t="s">
        <v>10871</v>
      </c>
      <c r="AI991">
        <v>234</v>
      </c>
      <c r="AJ991" t="s">
        <v>10214</v>
      </c>
      <c r="AL991">
        <v>10</v>
      </c>
      <c r="AM991" t="s">
        <v>10888</v>
      </c>
      <c r="AN991" t="s">
        <v>10925</v>
      </c>
      <c r="AO991" t="s">
        <v>11008</v>
      </c>
      <c r="AP991" t="s">
        <v>11065</v>
      </c>
      <c r="AR991" t="s">
        <v>11267</v>
      </c>
      <c r="AS991" t="s">
        <v>11595</v>
      </c>
      <c r="AT991" t="s">
        <v>11642</v>
      </c>
      <c r="AX991" t="s">
        <v>10838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</row>
    <row r="992" spans="1:59">
      <c r="A992" s="1">
        <f>HYPERLINK("https://lsnyc.legalserver.org/matter/dynamic-profile/view/1904795","19-1904795")</f>
        <v>0</v>
      </c>
      <c r="B992" t="s">
        <v>939</v>
      </c>
      <c r="C992" t="s">
        <v>5824</v>
      </c>
      <c r="D992" t="s">
        <v>9926</v>
      </c>
      <c r="E992" t="s">
        <v>10075</v>
      </c>
      <c r="F992">
        <v>10457</v>
      </c>
      <c r="G992" t="s">
        <v>10090</v>
      </c>
      <c r="H992" t="s">
        <v>10133</v>
      </c>
      <c r="I992" t="s">
        <v>10169</v>
      </c>
      <c r="J992" t="s">
        <v>10210</v>
      </c>
      <c r="K992" t="s">
        <v>10217</v>
      </c>
      <c r="M992" t="s">
        <v>10498</v>
      </c>
      <c r="N992" t="s">
        <v>10650</v>
      </c>
      <c r="P992" t="s">
        <v>10749</v>
      </c>
      <c r="Q992" t="s">
        <v>10765</v>
      </c>
      <c r="R992" t="s">
        <v>10821</v>
      </c>
      <c r="T992">
        <v>36400</v>
      </c>
      <c r="U992">
        <v>3033.33</v>
      </c>
      <c r="V992">
        <v>58</v>
      </c>
      <c r="W992">
        <v>4</v>
      </c>
      <c r="X992">
        <v>1</v>
      </c>
      <c r="Z992">
        <v>120.65</v>
      </c>
      <c r="AA992">
        <v>40.841297</v>
      </c>
      <c r="AB992">
        <v>-73.91159500000001</v>
      </c>
      <c r="AD992" t="s">
        <v>10840</v>
      </c>
      <c r="AG992" t="s">
        <v>10858</v>
      </c>
      <c r="AH992" t="s">
        <v>10862</v>
      </c>
      <c r="AI992">
        <v>230</v>
      </c>
      <c r="AJ992" t="s">
        <v>10210</v>
      </c>
      <c r="AK992" t="s">
        <v>10838</v>
      </c>
      <c r="AL992">
        <v>3.5</v>
      </c>
      <c r="AM992" t="s">
        <v>10884</v>
      </c>
      <c r="AN992" t="s">
        <v>10929</v>
      </c>
      <c r="AO992" t="s">
        <v>11013</v>
      </c>
      <c r="AP992" t="s">
        <v>11055</v>
      </c>
      <c r="AR992" t="s">
        <v>11257</v>
      </c>
      <c r="AS992" t="s">
        <v>9926</v>
      </c>
      <c r="AZ992" t="s">
        <v>11681</v>
      </c>
      <c r="BA992" t="s">
        <v>11741</v>
      </c>
      <c r="BB992">
        <v>0</v>
      </c>
      <c r="BC992">
        <v>0</v>
      </c>
      <c r="BD992">
        <v>0</v>
      </c>
      <c r="BE992">
        <v>0</v>
      </c>
      <c r="BF992">
        <v>1</v>
      </c>
      <c r="BG992">
        <v>0</v>
      </c>
    </row>
    <row r="993" spans="1:59">
      <c r="A993" s="1">
        <f>HYPERLINK("https://lsnyc.legalserver.org/matter/dynamic-profile/view/1904796","19-1904796")</f>
        <v>0</v>
      </c>
      <c r="B993" t="s">
        <v>940</v>
      </c>
      <c r="C993" t="s">
        <v>5825</v>
      </c>
      <c r="D993" t="s">
        <v>9926</v>
      </c>
      <c r="E993" t="s">
        <v>10075</v>
      </c>
      <c r="F993">
        <v>10458</v>
      </c>
      <c r="G993" t="s">
        <v>10090</v>
      </c>
      <c r="H993" t="s">
        <v>10133</v>
      </c>
      <c r="I993" t="s">
        <v>10168</v>
      </c>
      <c r="J993" t="s">
        <v>10210</v>
      </c>
      <c r="K993" t="s">
        <v>10217</v>
      </c>
      <c r="M993" t="s">
        <v>10250</v>
      </c>
      <c r="N993" t="s">
        <v>10650</v>
      </c>
      <c r="P993" t="s">
        <v>10749</v>
      </c>
      <c r="Q993" t="s">
        <v>10765</v>
      </c>
      <c r="R993" t="s">
        <v>10824</v>
      </c>
      <c r="T993">
        <v>14400</v>
      </c>
      <c r="U993">
        <v>1200</v>
      </c>
      <c r="V993">
        <v>62</v>
      </c>
      <c r="W993">
        <v>1</v>
      </c>
      <c r="X993">
        <v>0</v>
      </c>
      <c r="Z993">
        <v>115.29</v>
      </c>
      <c r="AA993">
        <v>40.864404</v>
      </c>
      <c r="AB993">
        <v>-73.891418</v>
      </c>
      <c r="AD993" t="s">
        <v>10840</v>
      </c>
      <c r="AG993" t="s">
        <v>10858</v>
      </c>
      <c r="AH993" t="s">
        <v>10862</v>
      </c>
      <c r="AI993">
        <v>230</v>
      </c>
      <c r="AJ993" t="s">
        <v>10210</v>
      </c>
      <c r="AL993">
        <v>1</v>
      </c>
      <c r="AM993" t="s">
        <v>10887</v>
      </c>
      <c r="AN993" t="s">
        <v>10907</v>
      </c>
      <c r="AO993" t="s">
        <v>11000</v>
      </c>
      <c r="AP993" t="s">
        <v>11056</v>
      </c>
      <c r="AR993" t="s">
        <v>11296</v>
      </c>
      <c r="AS993" t="s">
        <v>9926</v>
      </c>
      <c r="BA993" t="s">
        <v>11739</v>
      </c>
      <c r="BB993">
        <v>0</v>
      </c>
      <c r="BC993">
        <v>0</v>
      </c>
      <c r="BD993">
        <v>0</v>
      </c>
      <c r="BE993">
        <v>0</v>
      </c>
      <c r="BF993">
        <v>4</v>
      </c>
      <c r="BG993">
        <v>0</v>
      </c>
    </row>
    <row r="994" spans="1:59">
      <c r="A994" s="1">
        <f>HYPERLINK("https://lsnyc.legalserver.org/matter/dynamic-profile/view/1904797","19-1904797")</f>
        <v>0</v>
      </c>
      <c r="B994" t="s">
        <v>941</v>
      </c>
      <c r="C994" t="s">
        <v>5297</v>
      </c>
      <c r="D994" t="s">
        <v>9926</v>
      </c>
      <c r="E994" t="s">
        <v>10075</v>
      </c>
      <c r="F994">
        <v>10457</v>
      </c>
      <c r="G994" t="s">
        <v>10090</v>
      </c>
      <c r="H994" t="s">
        <v>10133</v>
      </c>
      <c r="I994" t="s">
        <v>10168</v>
      </c>
      <c r="J994" t="s">
        <v>10210</v>
      </c>
      <c r="K994" t="s">
        <v>10217</v>
      </c>
      <c r="M994" t="s">
        <v>10349</v>
      </c>
      <c r="N994" t="s">
        <v>10651</v>
      </c>
      <c r="P994" t="s">
        <v>10749</v>
      </c>
      <c r="Q994" t="s">
        <v>10765</v>
      </c>
      <c r="R994" t="s">
        <v>10821</v>
      </c>
      <c r="T994">
        <v>53064</v>
      </c>
      <c r="U994">
        <v>4422</v>
      </c>
      <c r="V994">
        <v>39</v>
      </c>
      <c r="W994">
        <v>1</v>
      </c>
      <c r="X994">
        <v>3</v>
      </c>
      <c r="Z994">
        <v>206.07</v>
      </c>
      <c r="AA994">
        <v>40.849804</v>
      </c>
      <c r="AB994">
        <v>-73.89106</v>
      </c>
      <c r="AD994" t="s">
        <v>10839</v>
      </c>
      <c r="AG994" t="s">
        <v>10858</v>
      </c>
      <c r="AH994" t="s">
        <v>10862</v>
      </c>
      <c r="AI994">
        <v>230</v>
      </c>
      <c r="AJ994" t="s">
        <v>10210</v>
      </c>
      <c r="AL994">
        <v>3.5</v>
      </c>
      <c r="AM994" t="s">
        <v>10884</v>
      </c>
      <c r="AN994" t="s">
        <v>10931</v>
      </c>
      <c r="AO994" t="s">
        <v>11000</v>
      </c>
      <c r="AP994" t="s">
        <v>11056</v>
      </c>
      <c r="AR994" t="s">
        <v>11295</v>
      </c>
      <c r="AS994" t="s">
        <v>9926</v>
      </c>
      <c r="AT994" t="s">
        <v>11641</v>
      </c>
      <c r="BA994" t="s">
        <v>11738</v>
      </c>
      <c r="BB994">
        <v>0</v>
      </c>
      <c r="BC994">
        <v>0</v>
      </c>
      <c r="BD994">
        <v>0</v>
      </c>
      <c r="BE994">
        <v>0</v>
      </c>
      <c r="BF994">
        <v>5</v>
      </c>
      <c r="BG994">
        <v>0</v>
      </c>
    </row>
    <row r="995" spans="1:59">
      <c r="A995" s="1">
        <f>HYPERLINK("https://lsnyc.legalserver.org/matter/dynamic-profile/view/1904800","19-1904800")</f>
        <v>0</v>
      </c>
      <c r="B995" t="s">
        <v>942</v>
      </c>
      <c r="C995" t="s">
        <v>5826</v>
      </c>
      <c r="D995" t="s">
        <v>9938</v>
      </c>
      <c r="E995" t="s">
        <v>10075</v>
      </c>
      <c r="F995">
        <v>11433</v>
      </c>
      <c r="G995" t="s">
        <v>10093</v>
      </c>
      <c r="H995" t="s">
        <v>10133</v>
      </c>
      <c r="I995" t="s">
        <v>10169</v>
      </c>
      <c r="J995" t="s">
        <v>10213</v>
      </c>
      <c r="K995" t="s">
        <v>10218</v>
      </c>
      <c r="L995" t="s">
        <v>10110</v>
      </c>
      <c r="M995" t="s">
        <v>10435</v>
      </c>
      <c r="N995" t="s">
        <v>10665</v>
      </c>
      <c r="P995" t="s">
        <v>10750</v>
      </c>
      <c r="Q995" t="s">
        <v>10760</v>
      </c>
      <c r="R995" t="s">
        <v>10821</v>
      </c>
      <c r="T995">
        <v>0</v>
      </c>
      <c r="U995">
        <v>0</v>
      </c>
      <c r="V995">
        <v>52</v>
      </c>
      <c r="W995">
        <v>1</v>
      </c>
      <c r="X995">
        <v>0</v>
      </c>
      <c r="Y995" t="s">
        <v>10829</v>
      </c>
      <c r="Z995">
        <v>0</v>
      </c>
      <c r="AA995">
        <v>40.690763</v>
      </c>
      <c r="AB995">
        <v>-73.795765</v>
      </c>
      <c r="AC995" t="s">
        <v>10837</v>
      </c>
      <c r="AD995" t="s">
        <v>10839</v>
      </c>
      <c r="AG995" t="s">
        <v>10858</v>
      </c>
      <c r="AH995" t="s">
        <v>10861</v>
      </c>
      <c r="AI995">
        <v>234</v>
      </c>
      <c r="AJ995" t="s">
        <v>10214</v>
      </c>
      <c r="AK995" t="s">
        <v>10838</v>
      </c>
      <c r="AL995">
        <v>1.75</v>
      </c>
      <c r="AM995" t="s">
        <v>10892</v>
      </c>
      <c r="AN995" t="s">
        <v>10951</v>
      </c>
      <c r="AO995" t="s">
        <v>11017</v>
      </c>
      <c r="AP995" t="s">
        <v>11070</v>
      </c>
      <c r="AR995" t="s">
        <v>11279</v>
      </c>
      <c r="AS995" t="s">
        <v>11594</v>
      </c>
      <c r="AT995" t="s">
        <v>11641</v>
      </c>
      <c r="AX995" t="s">
        <v>10838</v>
      </c>
      <c r="AY995" t="s">
        <v>10829</v>
      </c>
      <c r="AZ995" t="s">
        <v>11679</v>
      </c>
      <c r="BA995" t="s">
        <v>11741</v>
      </c>
      <c r="BB995">
        <v>0</v>
      </c>
      <c r="BC995">
        <v>0</v>
      </c>
      <c r="BD995">
        <v>0</v>
      </c>
      <c r="BE995">
        <v>0</v>
      </c>
      <c r="BF995">
        <v>1</v>
      </c>
      <c r="BG995">
        <v>0</v>
      </c>
    </row>
    <row r="996" spans="1:59">
      <c r="A996" s="1">
        <f>HYPERLINK("https://lsnyc.legalserver.org/matter/dynamic-profile/view/1904801","19-1904801")</f>
        <v>0</v>
      </c>
      <c r="B996" t="s">
        <v>943</v>
      </c>
      <c r="C996" t="s">
        <v>5825</v>
      </c>
      <c r="D996" t="s">
        <v>9926</v>
      </c>
      <c r="E996" t="s">
        <v>10075</v>
      </c>
      <c r="F996">
        <v>10458</v>
      </c>
      <c r="G996" t="s">
        <v>10090</v>
      </c>
      <c r="H996" t="s">
        <v>10133</v>
      </c>
      <c r="I996" t="s">
        <v>10168</v>
      </c>
      <c r="J996" t="s">
        <v>10210</v>
      </c>
      <c r="K996" t="s">
        <v>10217</v>
      </c>
      <c r="M996" t="s">
        <v>10250</v>
      </c>
      <c r="N996" t="s">
        <v>10650</v>
      </c>
      <c r="P996" t="s">
        <v>10749</v>
      </c>
      <c r="Q996" t="s">
        <v>10765</v>
      </c>
      <c r="R996" t="s">
        <v>10824</v>
      </c>
      <c r="T996">
        <v>20000</v>
      </c>
      <c r="U996">
        <v>1666.67</v>
      </c>
      <c r="V996">
        <v>50</v>
      </c>
      <c r="W996">
        <v>1</v>
      </c>
      <c r="X996">
        <v>0</v>
      </c>
      <c r="Z996">
        <v>160.13</v>
      </c>
      <c r="AA996">
        <v>40.864404</v>
      </c>
      <c r="AB996">
        <v>-73.891418</v>
      </c>
      <c r="AD996" t="s">
        <v>10839</v>
      </c>
      <c r="AG996" t="s">
        <v>10858</v>
      </c>
      <c r="AH996" t="s">
        <v>10862</v>
      </c>
      <c r="AI996">
        <v>230</v>
      </c>
      <c r="AJ996" t="s">
        <v>10210</v>
      </c>
      <c r="AL996">
        <v>1</v>
      </c>
      <c r="AM996" t="s">
        <v>10887</v>
      </c>
      <c r="AN996" t="s">
        <v>10907</v>
      </c>
      <c r="AO996" t="s">
        <v>11000</v>
      </c>
      <c r="AP996" t="s">
        <v>11056</v>
      </c>
      <c r="AR996" t="s">
        <v>11257</v>
      </c>
      <c r="AS996" t="s">
        <v>9926</v>
      </c>
      <c r="BA996" t="s">
        <v>11739</v>
      </c>
      <c r="BB996">
        <v>0</v>
      </c>
      <c r="BC996">
        <v>0</v>
      </c>
      <c r="BD996">
        <v>0</v>
      </c>
      <c r="BE996">
        <v>0</v>
      </c>
      <c r="BF996">
        <v>4</v>
      </c>
      <c r="BG996">
        <v>0</v>
      </c>
    </row>
    <row r="997" spans="1:59">
      <c r="A997" s="1">
        <f>HYPERLINK("https://lsnyc.legalserver.org/matter/dynamic-profile/view/1904802","19-1904802")</f>
        <v>0</v>
      </c>
      <c r="B997" t="s">
        <v>944</v>
      </c>
      <c r="C997" t="s">
        <v>5827</v>
      </c>
      <c r="D997" t="s">
        <v>9928</v>
      </c>
      <c r="E997" t="s">
        <v>10075</v>
      </c>
      <c r="F997">
        <v>11225</v>
      </c>
      <c r="G997" t="s">
        <v>10091</v>
      </c>
      <c r="H997" t="s">
        <v>10133</v>
      </c>
      <c r="I997" t="s">
        <v>10168</v>
      </c>
      <c r="J997" t="s">
        <v>10211</v>
      </c>
      <c r="K997" t="s">
        <v>10217</v>
      </c>
      <c r="M997" t="s">
        <v>10231</v>
      </c>
      <c r="N997" t="s">
        <v>10647</v>
      </c>
      <c r="P997" t="s">
        <v>10752</v>
      </c>
      <c r="Q997" t="s">
        <v>10762</v>
      </c>
      <c r="R997" t="s">
        <v>10820</v>
      </c>
      <c r="T997">
        <v>12000</v>
      </c>
      <c r="U997">
        <v>1000</v>
      </c>
      <c r="V997">
        <v>34</v>
      </c>
      <c r="W997">
        <v>1</v>
      </c>
      <c r="X997">
        <v>0</v>
      </c>
      <c r="Z997">
        <v>96.08</v>
      </c>
      <c r="AA997">
        <v>40.657931</v>
      </c>
      <c r="AB997">
        <v>-73.95425899999999</v>
      </c>
      <c r="AD997" t="s">
        <v>10839</v>
      </c>
      <c r="AG997" t="s">
        <v>10858</v>
      </c>
      <c r="AH997" t="s">
        <v>10861</v>
      </c>
      <c r="AI997">
        <v>234</v>
      </c>
      <c r="AJ997" t="s">
        <v>10214</v>
      </c>
      <c r="AL997">
        <v>3.8</v>
      </c>
      <c r="AM997" t="s">
        <v>10888</v>
      </c>
      <c r="AN997" t="s">
        <v>10912</v>
      </c>
      <c r="AO997" t="s">
        <v>11005</v>
      </c>
      <c r="AP997" t="s">
        <v>11050</v>
      </c>
      <c r="AR997" t="s">
        <v>11276</v>
      </c>
      <c r="AS997" t="s">
        <v>11595</v>
      </c>
      <c r="AT997" t="s">
        <v>11641</v>
      </c>
      <c r="AX997" t="s">
        <v>10837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</row>
    <row r="998" spans="1:59">
      <c r="A998" s="1">
        <f>HYPERLINK("https://lsnyc.legalserver.org/matter/dynamic-profile/view/1904804","19-1904804")</f>
        <v>0</v>
      </c>
      <c r="B998" t="s">
        <v>941</v>
      </c>
      <c r="C998" t="s">
        <v>5297</v>
      </c>
      <c r="D998" t="s">
        <v>9926</v>
      </c>
      <c r="E998" t="s">
        <v>10075</v>
      </c>
      <c r="F998">
        <v>10457</v>
      </c>
      <c r="G998" t="s">
        <v>10090</v>
      </c>
      <c r="H998" t="s">
        <v>10133</v>
      </c>
      <c r="I998" t="s">
        <v>10168</v>
      </c>
      <c r="J998" t="s">
        <v>10210</v>
      </c>
      <c r="K998" t="s">
        <v>10217</v>
      </c>
      <c r="M998" t="s">
        <v>10353</v>
      </c>
      <c r="N998" t="s">
        <v>10646</v>
      </c>
      <c r="P998" t="s">
        <v>10751</v>
      </c>
      <c r="Q998" t="s">
        <v>10761</v>
      </c>
      <c r="R998" t="s">
        <v>10821</v>
      </c>
      <c r="T998">
        <v>53064</v>
      </c>
      <c r="U998">
        <v>4422</v>
      </c>
      <c r="V998">
        <v>39</v>
      </c>
      <c r="W998">
        <v>1</v>
      </c>
      <c r="X998">
        <v>3</v>
      </c>
      <c r="Z998">
        <v>206.07</v>
      </c>
      <c r="AA998">
        <v>40.849804</v>
      </c>
      <c r="AB998">
        <v>-73.89106</v>
      </c>
      <c r="AD998" t="s">
        <v>10839</v>
      </c>
      <c r="AG998" t="s">
        <v>10858</v>
      </c>
      <c r="AH998" t="s">
        <v>10862</v>
      </c>
      <c r="AI998">
        <v>230</v>
      </c>
      <c r="AJ998" t="s">
        <v>10210</v>
      </c>
      <c r="AL998">
        <v>0.7</v>
      </c>
      <c r="AR998" t="s">
        <v>11295</v>
      </c>
      <c r="AS998" t="s">
        <v>9926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</row>
    <row r="999" spans="1:59">
      <c r="A999" s="1">
        <f>HYPERLINK("https://lsnyc.legalserver.org/matter/dynamic-profile/view/1904806","19-1904806")</f>
        <v>0</v>
      </c>
      <c r="B999" t="s">
        <v>945</v>
      </c>
      <c r="C999" t="s">
        <v>5815</v>
      </c>
      <c r="D999" t="s">
        <v>9929</v>
      </c>
      <c r="E999" t="s">
        <v>10075</v>
      </c>
      <c r="F999">
        <v>10304</v>
      </c>
      <c r="G999" t="s">
        <v>10088</v>
      </c>
      <c r="H999" t="s">
        <v>10105</v>
      </c>
      <c r="I999" t="s">
        <v>10169</v>
      </c>
      <c r="J999" t="s">
        <v>10208</v>
      </c>
      <c r="K999" t="s">
        <v>10217</v>
      </c>
      <c r="M999" t="s">
        <v>10515</v>
      </c>
      <c r="N999" t="s">
        <v>10673</v>
      </c>
      <c r="P999" t="s">
        <v>10753</v>
      </c>
      <c r="Q999" t="s">
        <v>10763</v>
      </c>
      <c r="R999" t="s">
        <v>10821</v>
      </c>
      <c r="T999">
        <v>41600</v>
      </c>
      <c r="U999">
        <v>3466.67</v>
      </c>
      <c r="V999">
        <v>20</v>
      </c>
      <c r="W999">
        <v>2</v>
      </c>
      <c r="X999">
        <v>1</v>
      </c>
      <c r="Z999">
        <v>195.03</v>
      </c>
      <c r="AA999">
        <v>40.59574</v>
      </c>
      <c r="AB999">
        <v>-74.094281</v>
      </c>
      <c r="AD999" t="s">
        <v>10839</v>
      </c>
      <c r="AF999" t="s">
        <v>10842</v>
      </c>
      <c r="AG999" t="s">
        <v>10859</v>
      </c>
      <c r="AH999" t="s">
        <v>10861</v>
      </c>
      <c r="AI999">
        <v>285</v>
      </c>
      <c r="AJ999" t="s">
        <v>10208</v>
      </c>
      <c r="AL999">
        <v>18.1</v>
      </c>
      <c r="AM999" t="s">
        <v>10883</v>
      </c>
      <c r="AN999" t="s">
        <v>10928</v>
      </c>
      <c r="AO999" t="s">
        <v>10999</v>
      </c>
      <c r="AP999" t="s">
        <v>11063</v>
      </c>
      <c r="AR999" t="s">
        <v>11257</v>
      </c>
      <c r="AS999" t="s">
        <v>11593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</row>
    <row r="1000" spans="1:59">
      <c r="A1000" s="1">
        <f>HYPERLINK("https://lsnyc.legalserver.org/matter/dynamic-profile/view/1904807","19-1904807")</f>
        <v>0</v>
      </c>
      <c r="B1000" t="s">
        <v>946</v>
      </c>
      <c r="C1000" t="s">
        <v>5825</v>
      </c>
      <c r="D1000" t="s">
        <v>9926</v>
      </c>
      <c r="E1000" t="s">
        <v>10075</v>
      </c>
      <c r="F1000">
        <v>10458</v>
      </c>
      <c r="G1000" t="s">
        <v>10090</v>
      </c>
      <c r="H1000" t="s">
        <v>10133</v>
      </c>
      <c r="I1000" t="s">
        <v>10168</v>
      </c>
      <c r="J1000" t="s">
        <v>10210</v>
      </c>
      <c r="K1000" t="s">
        <v>10217</v>
      </c>
      <c r="M1000" t="s">
        <v>10250</v>
      </c>
      <c r="N1000" t="s">
        <v>10650</v>
      </c>
      <c r="P1000" t="s">
        <v>10749</v>
      </c>
      <c r="Q1000" t="s">
        <v>10765</v>
      </c>
      <c r="R1000" t="s">
        <v>10821</v>
      </c>
      <c r="T1000">
        <v>146000</v>
      </c>
      <c r="U1000">
        <v>12166.67</v>
      </c>
      <c r="V1000">
        <v>3</v>
      </c>
      <c r="W1000">
        <v>4</v>
      </c>
      <c r="X1000">
        <v>0</v>
      </c>
      <c r="Z1000">
        <v>566.99</v>
      </c>
      <c r="AA1000">
        <v>40.864404</v>
      </c>
      <c r="AB1000">
        <v>-73.891418</v>
      </c>
      <c r="AD1000" t="s">
        <v>10839</v>
      </c>
      <c r="AG1000" t="s">
        <v>10858</v>
      </c>
      <c r="AH1000" t="s">
        <v>10862</v>
      </c>
      <c r="AI1000">
        <v>230</v>
      </c>
      <c r="AJ1000" t="s">
        <v>10210</v>
      </c>
      <c r="AL1000">
        <v>1</v>
      </c>
      <c r="AM1000" t="s">
        <v>10887</v>
      </c>
      <c r="AN1000" t="s">
        <v>10907</v>
      </c>
      <c r="AO1000" t="s">
        <v>11000</v>
      </c>
      <c r="AP1000" t="s">
        <v>11056</v>
      </c>
      <c r="AR1000" t="s">
        <v>11257</v>
      </c>
      <c r="AS1000" t="s">
        <v>9926</v>
      </c>
      <c r="BA1000" t="s">
        <v>11739</v>
      </c>
      <c r="BB1000">
        <v>0</v>
      </c>
      <c r="BC1000">
        <v>0</v>
      </c>
      <c r="BD1000">
        <v>0</v>
      </c>
      <c r="BE1000">
        <v>0</v>
      </c>
      <c r="BF1000">
        <v>4</v>
      </c>
      <c r="BG1000">
        <v>0</v>
      </c>
    </row>
    <row r="1001" spans="1:59">
      <c r="A1001" s="1">
        <f>HYPERLINK("https://lsnyc.legalserver.org/matter/dynamic-profile/view/1904809","19-1904809")</f>
        <v>0</v>
      </c>
      <c r="B1001" t="s">
        <v>947</v>
      </c>
      <c r="C1001" t="s">
        <v>5828</v>
      </c>
      <c r="D1001" t="s">
        <v>9928</v>
      </c>
      <c r="E1001" t="s">
        <v>10075</v>
      </c>
      <c r="F1001">
        <v>11225</v>
      </c>
      <c r="G1001" t="s">
        <v>10093</v>
      </c>
      <c r="H1001" t="s">
        <v>10133</v>
      </c>
      <c r="I1001" t="s">
        <v>10168</v>
      </c>
      <c r="J1001" t="s">
        <v>10213</v>
      </c>
      <c r="K1001" t="s">
        <v>10217</v>
      </c>
      <c r="M1001" t="s">
        <v>10304</v>
      </c>
      <c r="N1001" t="s">
        <v>10646</v>
      </c>
      <c r="P1001" t="s">
        <v>10749</v>
      </c>
      <c r="Q1001" t="s">
        <v>10765</v>
      </c>
      <c r="R1001" t="s">
        <v>10824</v>
      </c>
      <c r="T1001">
        <v>41600</v>
      </c>
      <c r="U1001">
        <v>3466.67</v>
      </c>
      <c r="V1001">
        <v>53</v>
      </c>
      <c r="W1001">
        <v>1</v>
      </c>
      <c r="X1001">
        <v>0</v>
      </c>
      <c r="Z1001">
        <v>333.07</v>
      </c>
      <c r="AA1001">
        <v>40.656844</v>
      </c>
      <c r="AB1001">
        <v>-73.961072</v>
      </c>
      <c r="AD1001" t="s">
        <v>10839</v>
      </c>
      <c r="AG1001" t="s">
        <v>10858</v>
      </c>
      <c r="AH1001" t="s">
        <v>10861</v>
      </c>
      <c r="AI1001">
        <v>234</v>
      </c>
      <c r="AJ1001" t="s">
        <v>10214</v>
      </c>
      <c r="AL1001">
        <v>1.3</v>
      </c>
      <c r="AM1001" t="s">
        <v>10888</v>
      </c>
      <c r="AN1001" t="s">
        <v>10912</v>
      </c>
      <c r="AO1001" t="s">
        <v>11008</v>
      </c>
      <c r="AP1001" t="s">
        <v>11050</v>
      </c>
      <c r="AR1001" t="s">
        <v>11257</v>
      </c>
      <c r="AS1001" t="s">
        <v>11595</v>
      </c>
      <c r="AT1001" t="s">
        <v>11641</v>
      </c>
      <c r="AX1001" t="s">
        <v>10838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</row>
    <row r="1002" spans="1:59">
      <c r="A1002" s="1">
        <f>HYPERLINK("https://lsnyc.legalserver.org/matter/dynamic-profile/view/1904810","19-1904810")</f>
        <v>0</v>
      </c>
      <c r="B1002" t="s">
        <v>409</v>
      </c>
      <c r="C1002" t="s">
        <v>5331</v>
      </c>
      <c r="D1002" t="s">
        <v>9926</v>
      </c>
      <c r="E1002" t="s">
        <v>10075</v>
      </c>
      <c r="F1002">
        <v>10468</v>
      </c>
      <c r="G1002" t="s">
        <v>10090</v>
      </c>
      <c r="H1002" t="s">
        <v>10133</v>
      </c>
      <c r="I1002" t="s">
        <v>10169</v>
      </c>
      <c r="J1002" t="s">
        <v>10210</v>
      </c>
      <c r="K1002" t="s">
        <v>10217</v>
      </c>
      <c r="M1002" t="s">
        <v>10516</v>
      </c>
      <c r="N1002" t="s">
        <v>10656</v>
      </c>
      <c r="P1002" t="s">
        <v>10751</v>
      </c>
      <c r="Q1002" t="s">
        <v>10780</v>
      </c>
      <c r="R1002" t="s">
        <v>10823</v>
      </c>
      <c r="T1002">
        <v>10764</v>
      </c>
      <c r="U1002">
        <v>897</v>
      </c>
      <c r="V1002">
        <v>59</v>
      </c>
      <c r="W1002">
        <v>2</v>
      </c>
      <c r="X1002">
        <v>1</v>
      </c>
      <c r="Z1002">
        <v>50.46</v>
      </c>
      <c r="AA1002">
        <v>40.861124</v>
      </c>
      <c r="AB1002">
        <v>-73.908012</v>
      </c>
      <c r="AD1002" t="s">
        <v>10839</v>
      </c>
      <c r="AG1002" t="s">
        <v>10858</v>
      </c>
      <c r="AH1002" t="s">
        <v>10866</v>
      </c>
      <c r="AI1002">
        <v>230</v>
      </c>
      <c r="AJ1002" t="s">
        <v>10210</v>
      </c>
      <c r="AL1002">
        <v>9.800000000000001</v>
      </c>
      <c r="AM1002" t="s">
        <v>10887</v>
      </c>
      <c r="AN1002" t="s">
        <v>10931</v>
      </c>
      <c r="AO1002" t="s">
        <v>11000</v>
      </c>
      <c r="AP1002" t="s">
        <v>11045</v>
      </c>
      <c r="AQ1002" t="s">
        <v>11118</v>
      </c>
      <c r="AR1002" t="s">
        <v>11257</v>
      </c>
      <c r="AS1002" t="s">
        <v>9926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</row>
    <row r="1003" spans="1:59">
      <c r="A1003" s="1">
        <f>HYPERLINK("https://lsnyc.legalserver.org/matter/dynamic-profile/view/1904811","19-1904811")</f>
        <v>0</v>
      </c>
      <c r="B1003" t="s">
        <v>948</v>
      </c>
      <c r="C1003" t="s">
        <v>5829</v>
      </c>
      <c r="D1003" t="s">
        <v>9926</v>
      </c>
      <c r="E1003" t="s">
        <v>10075</v>
      </c>
      <c r="F1003">
        <v>10467</v>
      </c>
      <c r="G1003" t="s">
        <v>10090</v>
      </c>
      <c r="H1003" t="s">
        <v>10133</v>
      </c>
      <c r="I1003" t="s">
        <v>10168</v>
      </c>
      <c r="J1003" t="s">
        <v>10210</v>
      </c>
      <c r="K1003" t="s">
        <v>10217</v>
      </c>
      <c r="M1003" t="s">
        <v>10276</v>
      </c>
      <c r="N1003" t="s">
        <v>10651</v>
      </c>
      <c r="P1003" t="s">
        <v>10749</v>
      </c>
      <c r="Q1003" t="s">
        <v>10765</v>
      </c>
      <c r="R1003" t="s">
        <v>10824</v>
      </c>
      <c r="T1003">
        <v>28000</v>
      </c>
      <c r="U1003">
        <v>2333.33</v>
      </c>
      <c r="V1003">
        <v>25</v>
      </c>
      <c r="W1003">
        <v>1</v>
      </c>
      <c r="X1003">
        <v>1</v>
      </c>
      <c r="Z1003">
        <v>165.58</v>
      </c>
      <c r="AA1003">
        <v>40.866793</v>
      </c>
      <c r="AB1003">
        <v>-73.868804</v>
      </c>
      <c r="AD1003" t="s">
        <v>10839</v>
      </c>
      <c r="AG1003" t="s">
        <v>10858</v>
      </c>
      <c r="AH1003" t="s">
        <v>10862</v>
      </c>
      <c r="AI1003">
        <v>230</v>
      </c>
      <c r="AJ1003" t="s">
        <v>10210</v>
      </c>
      <c r="AL1003">
        <v>4.05</v>
      </c>
      <c r="AM1003" t="s">
        <v>10885</v>
      </c>
      <c r="AN1003" t="s">
        <v>10938</v>
      </c>
      <c r="AO1003" t="s">
        <v>11010</v>
      </c>
      <c r="AP1003" t="s">
        <v>11056</v>
      </c>
      <c r="AR1003" t="s">
        <v>11257</v>
      </c>
      <c r="AS1003" t="s">
        <v>9926</v>
      </c>
      <c r="AT1003" t="s">
        <v>11641</v>
      </c>
      <c r="AX1003" t="s">
        <v>10838</v>
      </c>
      <c r="BA1003" t="s">
        <v>11738</v>
      </c>
      <c r="BB1003">
        <v>0</v>
      </c>
      <c r="BC1003">
        <v>0</v>
      </c>
      <c r="BD1003">
        <v>0</v>
      </c>
      <c r="BE1003">
        <v>0</v>
      </c>
      <c r="BF1003">
        <v>5</v>
      </c>
      <c r="BG1003">
        <v>0</v>
      </c>
    </row>
    <row r="1004" spans="1:59">
      <c r="A1004" s="1">
        <f>HYPERLINK("https://lsnyc.legalserver.org/matter/dynamic-profile/view/1904812","19-1904812")</f>
        <v>0</v>
      </c>
      <c r="B1004" t="s">
        <v>949</v>
      </c>
      <c r="C1004" t="s">
        <v>5830</v>
      </c>
      <c r="D1004" t="s">
        <v>9926</v>
      </c>
      <c r="E1004" t="s">
        <v>10075</v>
      </c>
      <c r="F1004">
        <v>10452</v>
      </c>
      <c r="G1004" t="s">
        <v>10090</v>
      </c>
      <c r="H1004" t="s">
        <v>10133</v>
      </c>
      <c r="J1004" t="s">
        <v>10210</v>
      </c>
      <c r="K1004" t="s">
        <v>10218</v>
      </c>
      <c r="L1004" t="s">
        <v>10111</v>
      </c>
      <c r="M1004" t="s">
        <v>10513</v>
      </c>
      <c r="N1004" t="s">
        <v>10650</v>
      </c>
      <c r="P1004" t="s">
        <v>10749</v>
      </c>
      <c r="Q1004" t="s">
        <v>10765</v>
      </c>
      <c r="R1004" t="s">
        <v>10821</v>
      </c>
      <c r="T1004">
        <v>26000</v>
      </c>
      <c r="U1004">
        <v>2166.67</v>
      </c>
      <c r="V1004">
        <v>53</v>
      </c>
      <c r="W1004">
        <v>2</v>
      </c>
      <c r="X1004">
        <v>2</v>
      </c>
      <c r="Y1004" t="s">
        <v>10829</v>
      </c>
      <c r="Z1004">
        <v>100.97</v>
      </c>
      <c r="AA1004">
        <v>40.837461</v>
      </c>
      <c r="AB1004">
        <v>-73.917238</v>
      </c>
      <c r="AD1004" t="s">
        <v>10840</v>
      </c>
      <c r="AG1004" t="s">
        <v>10858</v>
      </c>
      <c r="AH1004" t="s">
        <v>10862</v>
      </c>
      <c r="AI1004">
        <v>230</v>
      </c>
      <c r="AJ1004" t="s">
        <v>10210</v>
      </c>
      <c r="AK1004" t="s">
        <v>10838</v>
      </c>
      <c r="AL1004">
        <v>1.5</v>
      </c>
      <c r="AM1004" t="s">
        <v>10884</v>
      </c>
      <c r="AN1004" t="s">
        <v>10924</v>
      </c>
      <c r="AO1004" t="s">
        <v>11013</v>
      </c>
      <c r="AP1004" t="s">
        <v>11055</v>
      </c>
      <c r="AR1004" t="s">
        <v>11257</v>
      </c>
      <c r="AS1004" t="s">
        <v>9926</v>
      </c>
      <c r="AY1004" t="s">
        <v>10829</v>
      </c>
      <c r="AZ1004" t="s">
        <v>11681</v>
      </c>
      <c r="BA1004" t="s">
        <v>11741</v>
      </c>
      <c r="BB1004">
        <v>0</v>
      </c>
      <c r="BC1004">
        <v>0</v>
      </c>
      <c r="BD1004">
        <v>0</v>
      </c>
      <c r="BE1004">
        <v>0</v>
      </c>
      <c r="BF1004">
        <v>1</v>
      </c>
      <c r="BG1004">
        <v>0</v>
      </c>
    </row>
    <row r="1005" spans="1:59">
      <c r="A1005" s="1">
        <f>HYPERLINK("https://lsnyc.legalserver.org/matter/dynamic-profile/view/1904813","19-1904813")</f>
        <v>0</v>
      </c>
      <c r="B1005" t="s">
        <v>950</v>
      </c>
      <c r="C1005" t="s">
        <v>5815</v>
      </c>
      <c r="D1005" t="s">
        <v>9929</v>
      </c>
      <c r="E1005" t="s">
        <v>10075</v>
      </c>
      <c r="F1005">
        <v>10304</v>
      </c>
      <c r="G1005" t="s">
        <v>10088</v>
      </c>
      <c r="H1005" t="s">
        <v>10105</v>
      </c>
      <c r="I1005" t="s">
        <v>10169</v>
      </c>
      <c r="J1005" t="s">
        <v>10208</v>
      </c>
      <c r="K1005" t="s">
        <v>10217</v>
      </c>
      <c r="M1005" t="s">
        <v>10515</v>
      </c>
      <c r="N1005" t="s">
        <v>10673</v>
      </c>
      <c r="P1005" t="s">
        <v>10753</v>
      </c>
      <c r="Q1005" t="s">
        <v>10763</v>
      </c>
      <c r="R1005" t="s">
        <v>10821</v>
      </c>
      <c r="T1005">
        <v>41600</v>
      </c>
      <c r="U1005">
        <v>3466.67</v>
      </c>
      <c r="V1005">
        <v>15</v>
      </c>
      <c r="W1005">
        <v>2</v>
      </c>
      <c r="X1005">
        <v>1</v>
      </c>
      <c r="Z1005">
        <v>195.03</v>
      </c>
      <c r="AA1005">
        <v>40.59574</v>
      </c>
      <c r="AB1005">
        <v>-74.094281</v>
      </c>
      <c r="AD1005" t="s">
        <v>10839</v>
      </c>
      <c r="AF1005" t="s">
        <v>10842</v>
      </c>
      <c r="AG1005" t="s">
        <v>10859</v>
      </c>
      <c r="AH1005" t="s">
        <v>10861</v>
      </c>
      <c r="AI1005">
        <v>285</v>
      </c>
      <c r="AJ1005" t="s">
        <v>10208</v>
      </c>
      <c r="AL1005">
        <v>6.6</v>
      </c>
      <c r="AM1005" t="s">
        <v>10883</v>
      </c>
      <c r="AN1005" t="s">
        <v>10928</v>
      </c>
      <c r="AO1005" t="s">
        <v>10999</v>
      </c>
      <c r="AP1005" t="s">
        <v>11063</v>
      </c>
      <c r="AR1005" t="s">
        <v>11257</v>
      </c>
      <c r="AS1005" t="s">
        <v>11593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</row>
    <row r="1006" spans="1:59">
      <c r="A1006" s="1">
        <f>HYPERLINK("https://lsnyc.legalserver.org/matter/dynamic-profile/view/1904814","19-1904814")</f>
        <v>0</v>
      </c>
      <c r="B1006" t="s">
        <v>951</v>
      </c>
      <c r="C1006" t="s">
        <v>5831</v>
      </c>
      <c r="D1006" t="s">
        <v>9926</v>
      </c>
      <c r="E1006" t="s">
        <v>10075</v>
      </c>
      <c r="F1006">
        <v>10452</v>
      </c>
      <c r="G1006" t="s">
        <v>10090</v>
      </c>
      <c r="H1006" t="s">
        <v>10133</v>
      </c>
      <c r="I1006" t="s">
        <v>10168</v>
      </c>
      <c r="J1006" t="s">
        <v>10210</v>
      </c>
      <c r="K1006" t="s">
        <v>10217</v>
      </c>
      <c r="M1006" t="s">
        <v>10450</v>
      </c>
      <c r="N1006" t="s">
        <v>10650</v>
      </c>
      <c r="P1006" t="s">
        <v>10749</v>
      </c>
      <c r="Q1006" t="s">
        <v>10765</v>
      </c>
      <c r="R1006" t="s">
        <v>10825</v>
      </c>
      <c r="T1006">
        <v>30352</v>
      </c>
      <c r="U1006">
        <v>2529.33</v>
      </c>
      <c r="V1006">
        <v>69</v>
      </c>
      <c r="W1006">
        <v>2</v>
      </c>
      <c r="X1006">
        <v>0</v>
      </c>
      <c r="Z1006">
        <v>179.49</v>
      </c>
      <c r="AA1006">
        <v>40.842767</v>
      </c>
      <c r="AB1006">
        <v>-73.92515</v>
      </c>
      <c r="AC1006" t="s">
        <v>10837</v>
      </c>
      <c r="AD1006" t="s">
        <v>10839</v>
      </c>
      <c r="AG1006" t="s">
        <v>10858</v>
      </c>
      <c r="AH1006" t="s">
        <v>10861</v>
      </c>
      <c r="AI1006">
        <v>234</v>
      </c>
      <c r="AJ1006" t="s">
        <v>10214</v>
      </c>
      <c r="AL1006">
        <v>2</v>
      </c>
      <c r="AM1006" t="s">
        <v>10884</v>
      </c>
      <c r="AN1006" t="s">
        <v>10929</v>
      </c>
      <c r="AO1006" t="s">
        <v>11013</v>
      </c>
      <c r="AP1006" t="s">
        <v>11055</v>
      </c>
      <c r="AR1006" t="s">
        <v>11265</v>
      </c>
      <c r="AS1006" t="s">
        <v>9926</v>
      </c>
      <c r="AT1006" t="s">
        <v>11641</v>
      </c>
      <c r="AX1006" t="s">
        <v>10838</v>
      </c>
      <c r="BA1006" t="s">
        <v>11741</v>
      </c>
      <c r="BB1006">
        <v>0</v>
      </c>
      <c r="BC1006">
        <v>0</v>
      </c>
      <c r="BD1006">
        <v>0</v>
      </c>
      <c r="BE1006">
        <v>0</v>
      </c>
      <c r="BF1006">
        <v>1</v>
      </c>
      <c r="BG1006">
        <v>0</v>
      </c>
    </row>
    <row r="1007" spans="1:59">
      <c r="A1007" s="1">
        <f>HYPERLINK("https://lsnyc.legalserver.org/matter/dynamic-profile/view/1904815","19-1904815")</f>
        <v>0</v>
      </c>
      <c r="B1007" t="s">
        <v>952</v>
      </c>
      <c r="C1007" t="s">
        <v>5832</v>
      </c>
      <c r="D1007" t="s">
        <v>9926</v>
      </c>
      <c r="E1007" t="s">
        <v>10075</v>
      </c>
      <c r="F1007">
        <v>10457</v>
      </c>
      <c r="G1007" t="s">
        <v>10090</v>
      </c>
      <c r="H1007" t="s">
        <v>10133</v>
      </c>
      <c r="I1007" t="s">
        <v>10169</v>
      </c>
      <c r="J1007" t="s">
        <v>10210</v>
      </c>
      <c r="K1007" t="s">
        <v>10218</v>
      </c>
      <c r="L1007" t="s">
        <v>10098</v>
      </c>
      <c r="M1007" t="s">
        <v>10517</v>
      </c>
      <c r="N1007" t="s">
        <v>10650</v>
      </c>
      <c r="P1007" t="s">
        <v>10749</v>
      </c>
      <c r="Q1007" t="s">
        <v>10765</v>
      </c>
      <c r="R1007" t="s">
        <v>10821</v>
      </c>
      <c r="T1007">
        <v>8760</v>
      </c>
      <c r="U1007">
        <v>730</v>
      </c>
      <c r="V1007">
        <v>64</v>
      </c>
      <c r="W1007">
        <v>2</v>
      </c>
      <c r="X1007">
        <v>0</v>
      </c>
      <c r="Y1007" t="s">
        <v>10829</v>
      </c>
      <c r="Z1007">
        <v>51.8</v>
      </c>
      <c r="AA1007">
        <v>40.850435</v>
      </c>
      <c r="AB1007">
        <v>-73.89948200000001</v>
      </c>
      <c r="AD1007" t="s">
        <v>10839</v>
      </c>
      <c r="AG1007" t="s">
        <v>10858</v>
      </c>
      <c r="AH1007" t="s">
        <v>10861</v>
      </c>
      <c r="AI1007">
        <v>234</v>
      </c>
      <c r="AJ1007" t="s">
        <v>10214</v>
      </c>
      <c r="AK1007" t="s">
        <v>10838</v>
      </c>
      <c r="AL1007">
        <v>1.75</v>
      </c>
      <c r="AM1007" t="s">
        <v>10884</v>
      </c>
      <c r="AN1007" t="s">
        <v>10931</v>
      </c>
      <c r="AO1007" t="s">
        <v>11000</v>
      </c>
      <c r="AP1007" t="s">
        <v>11056</v>
      </c>
      <c r="AR1007" t="s">
        <v>11254</v>
      </c>
      <c r="AS1007" t="s">
        <v>9926</v>
      </c>
      <c r="AT1007" t="s">
        <v>11642</v>
      </c>
      <c r="AX1007" t="s">
        <v>10838</v>
      </c>
      <c r="AY1007" t="s">
        <v>10829</v>
      </c>
      <c r="AZ1007" t="s">
        <v>11681</v>
      </c>
      <c r="BA1007" t="s">
        <v>11740</v>
      </c>
      <c r="BB1007">
        <v>0</v>
      </c>
      <c r="BC1007">
        <v>0</v>
      </c>
      <c r="BD1007">
        <v>0</v>
      </c>
      <c r="BE1007">
        <v>0</v>
      </c>
      <c r="BF1007">
        <v>2</v>
      </c>
      <c r="BG1007">
        <v>0</v>
      </c>
    </row>
    <row r="1008" spans="1:59">
      <c r="A1008" s="1">
        <f>HYPERLINK("https://lsnyc.legalserver.org/matter/dynamic-profile/view/1904816","19-1904816")</f>
        <v>0</v>
      </c>
      <c r="B1008" t="s">
        <v>953</v>
      </c>
      <c r="C1008" t="s">
        <v>5833</v>
      </c>
      <c r="D1008" t="s">
        <v>9926</v>
      </c>
      <c r="E1008" t="s">
        <v>10075</v>
      </c>
      <c r="F1008">
        <v>10453</v>
      </c>
      <c r="G1008" t="s">
        <v>10090</v>
      </c>
      <c r="H1008" t="s">
        <v>10133</v>
      </c>
      <c r="I1008" t="s">
        <v>10168</v>
      </c>
      <c r="J1008" t="s">
        <v>10210</v>
      </c>
      <c r="K1008" t="s">
        <v>10218</v>
      </c>
      <c r="L1008" t="s">
        <v>10109</v>
      </c>
      <c r="M1008" t="s">
        <v>10362</v>
      </c>
      <c r="N1008" t="s">
        <v>10666</v>
      </c>
      <c r="P1008" t="s">
        <v>10749</v>
      </c>
      <c r="Q1008" t="s">
        <v>10765</v>
      </c>
      <c r="R1008" t="s">
        <v>10824</v>
      </c>
      <c r="T1008">
        <v>0</v>
      </c>
      <c r="U1008">
        <v>0</v>
      </c>
      <c r="V1008">
        <v>38</v>
      </c>
      <c r="W1008">
        <v>1</v>
      </c>
      <c r="X1008">
        <v>0</v>
      </c>
      <c r="Y1008" t="s">
        <v>10829</v>
      </c>
      <c r="Z1008">
        <v>0</v>
      </c>
      <c r="AA1008">
        <v>40.85088</v>
      </c>
      <c r="AB1008">
        <v>-73.91213999999999</v>
      </c>
      <c r="AD1008" t="s">
        <v>10840</v>
      </c>
      <c r="AG1008" t="s">
        <v>10858</v>
      </c>
      <c r="AH1008" t="s">
        <v>10862</v>
      </c>
      <c r="AI1008">
        <v>230</v>
      </c>
      <c r="AJ1008" t="s">
        <v>10210</v>
      </c>
      <c r="AK1008" t="s">
        <v>10838</v>
      </c>
      <c r="AL1008">
        <v>2.4</v>
      </c>
      <c r="AM1008" t="s">
        <v>10884</v>
      </c>
      <c r="AN1008" t="s">
        <v>10929</v>
      </c>
      <c r="AO1008" t="s">
        <v>11013</v>
      </c>
      <c r="AP1008" t="s">
        <v>11045</v>
      </c>
      <c r="AR1008" t="s">
        <v>11279</v>
      </c>
      <c r="AS1008" t="s">
        <v>9926</v>
      </c>
      <c r="AT1008" t="s">
        <v>11642</v>
      </c>
      <c r="AX1008" t="s">
        <v>10838</v>
      </c>
      <c r="AY1008" t="s">
        <v>10829</v>
      </c>
      <c r="AZ1008" t="s">
        <v>11681</v>
      </c>
      <c r="BA1008" t="s">
        <v>11741</v>
      </c>
      <c r="BB1008">
        <v>0</v>
      </c>
      <c r="BC1008">
        <v>0</v>
      </c>
      <c r="BD1008">
        <v>0</v>
      </c>
      <c r="BE1008">
        <v>0</v>
      </c>
      <c r="BF1008">
        <v>1</v>
      </c>
      <c r="BG1008">
        <v>0</v>
      </c>
    </row>
    <row r="1009" spans="1:59">
      <c r="A1009" s="1">
        <f>HYPERLINK("https://lsnyc.legalserver.org/matter/dynamic-profile/view/1904817","19-1904817")</f>
        <v>0</v>
      </c>
      <c r="B1009" t="s">
        <v>954</v>
      </c>
      <c r="C1009" t="s">
        <v>5271</v>
      </c>
      <c r="D1009" t="s">
        <v>9925</v>
      </c>
      <c r="E1009" t="s">
        <v>10075</v>
      </c>
      <c r="F1009">
        <v>10024</v>
      </c>
      <c r="G1009" t="s">
        <v>10089</v>
      </c>
      <c r="H1009" t="s">
        <v>10133</v>
      </c>
      <c r="I1009" t="s">
        <v>10168</v>
      </c>
      <c r="J1009" t="s">
        <v>10209</v>
      </c>
      <c r="K1009" t="s">
        <v>10217</v>
      </c>
      <c r="M1009" t="s">
        <v>10396</v>
      </c>
      <c r="N1009" t="s">
        <v>10650</v>
      </c>
      <c r="P1009" t="s">
        <v>10749</v>
      </c>
      <c r="Q1009" t="s">
        <v>10765</v>
      </c>
      <c r="R1009" t="s">
        <v>10824</v>
      </c>
      <c r="T1009">
        <v>12000</v>
      </c>
      <c r="U1009">
        <v>1000</v>
      </c>
      <c r="V1009">
        <v>83</v>
      </c>
      <c r="W1009">
        <v>1</v>
      </c>
      <c r="X1009">
        <v>0</v>
      </c>
      <c r="Z1009">
        <v>96.08</v>
      </c>
      <c r="AA1009">
        <v>40.784487</v>
      </c>
      <c r="AB1009">
        <v>-73.973958</v>
      </c>
      <c r="AD1009" t="s">
        <v>10840</v>
      </c>
      <c r="AG1009" t="s">
        <v>10858</v>
      </c>
      <c r="AH1009" t="s">
        <v>10862</v>
      </c>
      <c r="AI1009">
        <v>236</v>
      </c>
      <c r="AJ1009" t="s">
        <v>10209</v>
      </c>
      <c r="AL1009">
        <v>17.35</v>
      </c>
      <c r="AM1009" t="s">
        <v>10894</v>
      </c>
      <c r="AN1009" t="s">
        <v>10953</v>
      </c>
      <c r="AO1009" t="s">
        <v>11013</v>
      </c>
      <c r="AP1009" t="s">
        <v>11089</v>
      </c>
      <c r="AR1009" t="s">
        <v>11300</v>
      </c>
      <c r="AS1009" t="s">
        <v>9925</v>
      </c>
      <c r="AT1009" t="s">
        <v>11642</v>
      </c>
      <c r="AX1009" t="s">
        <v>10838</v>
      </c>
      <c r="BA1009" t="s">
        <v>11738</v>
      </c>
      <c r="BB1009">
        <v>0</v>
      </c>
      <c r="BC1009">
        <v>0</v>
      </c>
      <c r="BD1009">
        <v>0</v>
      </c>
      <c r="BE1009">
        <v>0</v>
      </c>
      <c r="BF1009">
        <v>5</v>
      </c>
      <c r="BG1009">
        <v>0</v>
      </c>
    </row>
    <row r="1010" spans="1:59">
      <c r="A1010" s="1">
        <f>HYPERLINK("https://lsnyc.legalserver.org/matter/dynamic-profile/view/1904820","19-1904820")</f>
        <v>0</v>
      </c>
      <c r="B1010" t="s">
        <v>955</v>
      </c>
      <c r="C1010" t="s">
        <v>5834</v>
      </c>
      <c r="D1010" t="s">
        <v>9925</v>
      </c>
      <c r="E1010" t="s">
        <v>10075</v>
      </c>
      <c r="F1010">
        <v>10011</v>
      </c>
      <c r="G1010" t="s">
        <v>10091</v>
      </c>
      <c r="H1010" t="s">
        <v>10133</v>
      </c>
      <c r="I1010" t="s">
        <v>10168</v>
      </c>
      <c r="J1010" t="s">
        <v>10214</v>
      </c>
      <c r="K1010" t="s">
        <v>10217</v>
      </c>
      <c r="M1010" t="s">
        <v>10286</v>
      </c>
      <c r="N1010" t="s">
        <v>10671</v>
      </c>
      <c r="P1010" t="s">
        <v>10752</v>
      </c>
      <c r="Q1010" t="s">
        <v>10762</v>
      </c>
      <c r="R1010" t="s">
        <v>10820</v>
      </c>
      <c r="T1010">
        <v>17844</v>
      </c>
      <c r="U1010">
        <v>1487</v>
      </c>
      <c r="V1010">
        <v>86</v>
      </c>
      <c r="W1010">
        <v>1</v>
      </c>
      <c r="X1010">
        <v>0</v>
      </c>
      <c r="Z1010">
        <v>142.87</v>
      </c>
      <c r="AA1010">
        <v>40.746682</v>
      </c>
      <c r="AB1010">
        <v>-74.000688</v>
      </c>
      <c r="AD1010" t="s">
        <v>10839</v>
      </c>
      <c r="AG1010" t="s">
        <v>10858</v>
      </c>
      <c r="AH1010" t="s">
        <v>10091</v>
      </c>
      <c r="AI1010">
        <v>234</v>
      </c>
      <c r="AJ1010" t="s">
        <v>10214</v>
      </c>
      <c r="AL1010">
        <v>0</v>
      </c>
      <c r="AM1010" t="s">
        <v>10894</v>
      </c>
      <c r="AN1010" t="s">
        <v>10966</v>
      </c>
      <c r="AO1010" t="s">
        <v>11021</v>
      </c>
      <c r="AP1010" t="s">
        <v>11090</v>
      </c>
      <c r="AR1010" t="s">
        <v>11316</v>
      </c>
      <c r="AS1010" t="s">
        <v>9925</v>
      </c>
      <c r="AT1010" t="s">
        <v>11641</v>
      </c>
      <c r="AX1010" t="s">
        <v>10838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</row>
    <row r="1011" spans="1:59">
      <c r="A1011" s="1">
        <f>HYPERLINK("https://lsnyc.legalserver.org/matter/dynamic-profile/view/1904821","19-1904821")</f>
        <v>0</v>
      </c>
      <c r="B1011" t="s">
        <v>956</v>
      </c>
      <c r="C1011" t="s">
        <v>5835</v>
      </c>
      <c r="D1011" t="s">
        <v>9925</v>
      </c>
      <c r="E1011" t="s">
        <v>10075</v>
      </c>
      <c r="F1011">
        <v>10037</v>
      </c>
      <c r="G1011" t="s">
        <v>10091</v>
      </c>
      <c r="H1011" t="s">
        <v>10133</v>
      </c>
      <c r="I1011" t="s">
        <v>10168</v>
      </c>
      <c r="J1011" t="s">
        <v>10214</v>
      </c>
      <c r="K1011" t="s">
        <v>10217</v>
      </c>
      <c r="M1011" t="s">
        <v>10286</v>
      </c>
      <c r="N1011" t="s">
        <v>10671</v>
      </c>
      <c r="P1011" t="s">
        <v>10752</v>
      </c>
      <c r="Q1011" t="s">
        <v>10762</v>
      </c>
      <c r="R1011" t="s">
        <v>10824</v>
      </c>
      <c r="T1011">
        <v>9756</v>
      </c>
      <c r="U1011">
        <v>813</v>
      </c>
      <c r="V1011">
        <v>85</v>
      </c>
      <c r="W1011">
        <v>1</v>
      </c>
      <c r="X1011">
        <v>0</v>
      </c>
      <c r="Z1011">
        <v>78.11</v>
      </c>
      <c r="AA1011">
        <v>40.813369</v>
      </c>
      <c r="AB1011">
        <v>-73.94006899999999</v>
      </c>
      <c r="AD1011" t="s">
        <v>10839</v>
      </c>
      <c r="AG1011" t="s">
        <v>10858</v>
      </c>
      <c r="AH1011" t="s">
        <v>10861</v>
      </c>
      <c r="AI1011">
        <v>234</v>
      </c>
      <c r="AJ1011" t="s">
        <v>10214</v>
      </c>
      <c r="AL1011">
        <v>1</v>
      </c>
      <c r="AM1011" t="s">
        <v>10887</v>
      </c>
      <c r="AN1011" t="s">
        <v>10936</v>
      </c>
      <c r="AO1011" t="s">
        <v>11016</v>
      </c>
      <c r="AP1011" t="s">
        <v>11076</v>
      </c>
      <c r="AR1011" t="s">
        <v>11300</v>
      </c>
      <c r="AS1011" t="s">
        <v>9925</v>
      </c>
      <c r="AT1011" t="s">
        <v>11641</v>
      </c>
      <c r="AX1011" t="s">
        <v>11678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</row>
    <row r="1012" spans="1:59">
      <c r="A1012" s="1">
        <f>HYPERLINK("https://lsnyc.legalserver.org/matter/dynamic-profile/view/1904822","19-1904822")</f>
        <v>0</v>
      </c>
      <c r="B1012" t="s">
        <v>705</v>
      </c>
      <c r="C1012" t="s">
        <v>5613</v>
      </c>
      <c r="D1012" t="s">
        <v>9950</v>
      </c>
      <c r="E1012" t="s">
        <v>10075</v>
      </c>
      <c r="F1012">
        <v>11418</v>
      </c>
      <c r="G1012" t="s">
        <v>10092</v>
      </c>
      <c r="H1012" t="s">
        <v>10133</v>
      </c>
      <c r="I1012" t="s">
        <v>10183</v>
      </c>
      <c r="J1012" t="s">
        <v>10212</v>
      </c>
      <c r="K1012" t="s">
        <v>10217</v>
      </c>
      <c r="M1012" t="s">
        <v>10518</v>
      </c>
      <c r="N1012" t="s">
        <v>10709</v>
      </c>
      <c r="P1012" t="s">
        <v>10754</v>
      </c>
      <c r="Q1012" t="s">
        <v>10766</v>
      </c>
      <c r="R1012" t="s">
        <v>10820</v>
      </c>
      <c r="T1012">
        <v>40000</v>
      </c>
      <c r="U1012">
        <v>3333.33</v>
      </c>
      <c r="V1012">
        <v>52</v>
      </c>
      <c r="W1012">
        <v>1</v>
      </c>
      <c r="X1012">
        <v>1</v>
      </c>
      <c r="Z1012">
        <v>236.55</v>
      </c>
      <c r="AA1012">
        <v>40.70617</v>
      </c>
      <c r="AB1012">
        <v>-73.835733</v>
      </c>
      <c r="AD1012" t="s">
        <v>10839</v>
      </c>
      <c r="AG1012" t="s">
        <v>10858</v>
      </c>
      <c r="AH1012" t="s">
        <v>10865</v>
      </c>
      <c r="AI1012">
        <v>237</v>
      </c>
      <c r="AJ1012" t="s">
        <v>10212</v>
      </c>
      <c r="AK1012" t="s">
        <v>10837</v>
      </c>
      <c r="AL1012">
        <v>7.25</v>
      </c>
      <c r="AM1012" t="s">
        <v>10890</v>
      </c>
      <c r="AN1012" t="s">
        <v>10952</v>
      </c>
      <c r="AO1012" t="s">
        <v>11020</v>
      </c>
      <c r="AP1012" t="s">
        <v>11083</v>
      </c>
      <c r="AR1012" t="s">
        <v>11257</v>
      </c>
      <c r="AS1012" t="s">
        <v>11594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</row>
    <row r="1013" spans="1:59">
      <c r="A1013" s="1">
        <f>HYPERLINK("https://lsnyc.legalserver.org/matter/dynamic-profile/view/1904823","19-1904823")</f>
        <v>0</v>
      </c>
      <c r="B1013" t="s">
        <v>875</v>
      </c>
      <c r="D1013" t="s">
        <v>9926</v>
      </c>
      <c r="E1013" t="s">
        <v>10075</v>
      </c>
      <c r="F1013">
        <v>10456</v>
      </c>
      <c r="G1013" t="s">
        <v>10090</v>
      </c>
      <c r="H1013" t="s">
        <v>10133</v>
      </c>
      <c r="I1013" t="s">
        <v>10171</v>
      </c>
      <c r="J1013" t="s">
        <v>10210</v>
      </c>
      <c r="K1013" t="s">
        <v>10217</v>
      </c>
      <c r="M1013" t="s">
        <v>10445</v>
      </c>
      <c r="N1013" t="s">
        <v>10712</v>
      </c>
      <c r="P1013" t="s">
        <v>10753</v>
      </c>
      <c r="Q1013" t="s">
        <v>10763</v>
      </c>
      <c r="R1013" t="s">
        <v>10825</v>
      </c>
      <c r="T1013">
        <v>0</v>
      </c>
      <c r="U1013">
        <v>0</v>
      </c>
      <c r="V1013">
        <v>29</v>
      </c>
      <c r="W1013">
        <v>1</v>
      </c>
      <c r="X1013">
        <v>0</v>
      </c>
      <c r="Z1013">
        <v>0</v>
      </c>
      <c r="AA1013">
        <v>0</v>
      </c>
      <c r="AB1013">
        <v>0</v>
      </c>
      <c r="AD1013" t="s">
        <v>10839</v>
      </c>
      <c r="AF1013" t="s">
        <v>10842</v>
      </c>
      <c r="AG1013" t="s">
        <v>10859</v>
      </c>
      <c r="AH1013" t="s">
        <v>10864</v>
      </c>
      <c r="AI1013">
        <v>230</v>
      </c>
      <c r="AJ1013" t="s">
        <v>10210</v>
      </c>
      <c r="AL1013">
        <v>0</v>
      </c>
      <c r="AQ1013" t="s">
        <v>11140</v>
      </c>
      <c r="AR1013" t="s">
        <v>11267</v>
      </c>
      <c r="AS1013" t="s">
        <v>9926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</row>
    <row r="1014" spans="1:59">
      <c r="A1014" s="1">
        <f>HYPERLINK("https://lsnyc.legalserver.org/matter/dynamic-profile/view/1904824","19-1904824")</f>
        <v>0</v>
      </c>
      <c r="B1014" t="s">
        <v>957</v>
      </c>
      <c r="C1014" t="s">
        <v>5836</v>
      </c>
      <c r="D1014" t="s">
        <v>9928</v>
      </c>
      <c r="E1014" t="s">
        <v>10075</v>
      </c>
      <c r="F1014">
        <v>11218</v>
      </c>
      <c r="G1014" t="s">
        <v>10093</v>
      </c>
      <c r="H1014" t="s">
        <v>10133</v>
      </c>
      <c r="I1014" t="s">
        <v>10168</v>
      </c>
      <c r="J1014" t="s">
        <v>10213</v>
      </c>
      <c r="K1014" t="s">
        <v>10218</v>
      </c>
      <c r="L1014" t="s">
        <v>10110</v>
      </c>
      <c r="M1014" t="s">
        <v>10436</v>
      </c>
      <c r="N1014" t="s">
        <v>10710</v>
      </c>
      <c r="P1014" t="s">
        <v>10750</v>
      </c>
      <c r="Q1014" t="s">
        <v>10760</v>
      </c>
      <c r="R1014" t="s">
        <v>10820</v>
      </c>
      <c r="T1014">
        <v>57748</v>
      </c>
      <c r="U1014">
        <v>4812.33</v>
      </c>
      <c r="V1014">
        <v>66</v>
      </c>
      <c r="W1014">
        <v>1</v>
      </c>
      <c r="X1014">
        <v>0</v>
      </c>
      <c r="Y1014" t="s">
        <v>10829</v>
      </c>
      <c r="Z1014">
        <v>462.35</v>
      </c>
      <c r="AA1014">
        <v>40.640332</v>
      </c>
      <c r="AB1014">
        <v>-73.971892</v>
      </c>
      <c r="AD1014" t="s">
        <v>10839</v>
      </c>
      <c r="AG1014" t="s">
        <v>10858</v>
      </c>
      <c r="AH1014" t="s">
        <v>10861</v>
      </c>
      <c r="AI1014">
        <v>234</v>
      </c>
      <c r="AJ1014" t="s">
        <v>10214</v>
      </c>
      <c r="AK1014" t="s">
        <v>10838</v>
      </c>
      <c r="AL1014">
        <v>1.1</v>
      </c>
      <c r="AM1014" t="s">
        <v>10894</v>
      </c>
      <c r="AN1014" t="s">
        <v>10941</v>
      </c>
      <c r="AO1014" t="s">
        <v>11015</v>
      </c>
      <c r="AP1014" t="s">
        <v>11050</v>
      </c>
      <c r="AR1014" t="s">
        <v>11396</v>
      </c>
      <c r="AS1014" t="s">
        <v>11595</v>
      </c>
      <c r="AT1014" t="s">
        <v>11641</v>
      </c>
      <c r="AX1014" t="s">
        <v>10838</v>
      </c>
      <c r="AY1014" t="s">
        <v>10829</v>
      </c>
      <c r="AZ1014" t="s">
        <v>11679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</row>
    <row r="1015" spans="1:59">
      <c r="A1015" s="1">
        <f>HYPERLINK("https://lsnyc.legalserver.org/matter/dynamic-profile/view/1904825","19-1904825")</f>
        <v>0</v>
      </c>
      <c r="B1015" t="s">
        <v>958</v>
      </c>
      <c r="C1015" t="s">
        <v>5020</v>
      </c>
      <c r="D1015" t="s">
        <v>9926</v>
      </c>
      <c r="E1015" t="s">
        <v>10075</v>
      </c>
      <c r="F1015">
        <v>10456</v>
      </c>
      <c r="G1015" t="s">
        <v>10090</v>
      </c>
      <c r="H1015" t="s">
        <v>10133</v>
      </c>
      <c r="I1015" t="s">
        <v>10169</v>
      </c>
      <c r="J1015" t="s">
        <v>10210</v>
      </c>
      <c r="K1015" t="s">
        <v>10217</v>
      </c>
      <c r="M1015" t="s">
        <v>10397</v>
      </c>
      <c r="N1015" t="s">
        <v>10650</v>
      </c>
      <c r="P1015" t="s">
        <v>10749</v>
      </c>
      <c r="Q1015" t="s">
        <v>10765</v>
      </c>
      <c r="R1015" t="s">
        <v>10823</v>
      </c>
      <c r="T1015">
        <v>35000</v>
      </c>
      <c r="U1015">
        <v>2916.67</v>
      </c>
      <c r="V1015">
        <v>45</v>
      </c>
      <c r="W1015">
        <v>3</v>
      </c>
      <c r="X1015">
        <v>0</v>
      </c>
      <c r="Z1015">
        <v>164.09</v>
      </c>
      <c r="AA1015">
        <v>40.829372</v>
      </c>
      <c r="AB1015">
        <v>-73.91876000000001</v>
      </c>
      <c r="AD1015" t="s">
        <v>10839</v>
      </c>
      <c r="AG1015" t="s">
        <v>10858</v>
      </c>
      <c r="AH1015" t="s">
        <v>10862</v>
      </c>
      <c r="AI1015">
        <v>230</v>
      </c>
      <c r="AJ1015" t="s">
        <v>10210</v>
      </c>
      <c r="AL1015">
        <v>0</v>
      </c>
      <c r="AM1015" t="s">
        <v>10884</v>
      </c>
      <c r="AN1015" t="s">
        <v>10918</v>
      </c>
      <c r="AO1015" t="s">
        <v>11001</v>
      </c>
      <c r="AP1015" t="s">
        <v>11055</v>
      </c>
      <c r="AR1015" t="s">
        <v>11257</v>
      </c>
      <c r="AS1015" t="s">
        <v>9926</v>
      </c>
      <c r="AT1015" t="s">
        <v>11641</v>
      </c>
      <c r="BA1015" t="s">
        <v>11739</v>
      </c>
      <c r="BB1015">
        <v>0</v>
      </c>
      <c r="BC1015">
        <v>0</v>
      </c>
      <c r="BD1015">
        <v>0</v>
      </c>
      <c r="BE1015">
        <v>0</v>
      </c>
      <c r="BF1015">
        <v>4</v>
      </c>
      <c r="BG1015">
        <v>0</v>
      </c>
    </row>
    <row r="1016" spans="1:59">
      <c r="A1016" s="1">
        <f>HYPERLINK("https://lsnyc.legalserver.org/matter/dynamic-profile/view/1904826","19-1904826")</f>
        <v>0</v>
      </c>
      <c r="B1016" t="s">
        <v>596</v>
      </c>
      <c r="C1016" t="s">
        <v>5837</v>
      </c>
      <c r="D1016" t="s">
        <v>9932</v>
      </c>
      <c r="E1016" t="s">
        <v>10075</v>
      </c>
      <c r="F1016">
        <v>11368</v>
      </c>
      <c r="G1016" t="s">
        <v>10091</v>
      </c>
      <c r="H1016" t="s">
        <v>10133</v>
      </c>
      <c r="I1016" t="s">
        <v>10168</v>
      </c>
      <c r="J1016" t="s">
        <v>10211</v>
      </c>
      <c r="K1016" t="s">
        <v>10217</v>
      </c>
      <c r="M1016" t="s">
        <v>10307</v>
      </c>
      <c r="N1016" t="s">
        <v>10671</v>
      </c>
      <c r="P1016" t="s">
        <v>10752</v>
      </c>
      <c r="Q1016" t="s">
        <v>10762</v>
      </c>
      <c r="R1016" t="s">
        <v>10820</v>
      </c>
      <c r="T1016">
        <v>10400</v>
      </c>
      <c r="U1016">
        <v>866.67</v>
      </c>
      <c r="V1016">
        <v>36</v>
      </c>
      <c r="W1016">
        <v>1</v>
      </c>
      <c r="X1016">
        <v>0</v>
      </c>
      <c r="Z1016">
        <v>83.27</v>
      </c>
      <c r="AA1016">
        <v>40.735882</v>
      </c>
      <c r="AB1016">
        <v>-73.86198400000001</v>
      </c>
      <c r="AD1016" t="s">
        <v>10839</v>
      </c>
      <c r="AG1016" t="s">
        <v>10858</v>
      </c>
      <c r="AH1016" t="s">
        <v>10871</v>
      </c>
      <c r="AI1016">
        <v>234</v>
      </c>
      <c r="AJ1016" t="s">
        <v>10214</v>
      </c>
      <c r="AL1016">
        <v>1</v>
      </c>
      <c r="AM1016" t="s">
        <v>10885</v>
      </c>
      <c r="AN1016" t="s">
        <v>10916</v>
      </c>
      <c r="AO1016" t="s">
        <v>11014</v>
      </c>
      <c r="AP1016" t="s">
        <v>11068</v>
      </c>
      <c r="AR1016" t="s">
        <v>11257</v>
      </c>
      <c r="AS1016" t="s">
        <v>11594</v>
      </c>
      <c r="AT1016" t="s">
        <v>11641</v>
      </c>
      <c r="AX1016" t="s">
        <v>10838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</row>
    <row r="1017" spans="1:59">
      <c r="A1017" s="1">
        <f>HYPERLINK("https://lsnyc.legalserver.org/matter/dynamic-profile/view/1904827","19-1904827")</f>
        <v>0</v>
      </c>
      <c r="B1017" t="s">
        <v>959</v>
      </c>
      <c r="C1017" t="s">
        <v>5838</v>
      </c>
      <c r="D1017" t="s">
        <v>9938</v>
      </c>
      <c r="E1017" t="s">
        <v>10075</v>
      </c>
      <c r="F1017">
        <v>11434</v>
      </c>
      <c r="G1017" t="s">
        <v>10092</v>
      </c>
      <c r="H1017" t="s">
        <v>10133</v>
      </c>
      <c r="I1017" t="s">
        <v>10168</v>
      </c>
      <c r="J1017" t="s">
        <v>10212</v>
      </c>
      <c r="K1017" t="s">
        <v>10217</v>
      </c>
      <c r="M1017" t="s">
        <v>10416</v>
      </c>
      <c r="N1017" t="s">
        <v>10678</v>
      </c>
      <c r="P1017" t="s">
        <v>10749</v>
      </c>
      <c r="Q1017" t="s">
        <v>10769</v>
      </c>
      <c r="R1017" t="s">
        <v>10827</v>
      </c>
      <c r="T1017">
        <v>67000</v>
      </c>
      <c r="U1017">
        <v>5583.33</v>
      </c>
      <c r="V1017">
        <v>65</v>
      </c>
      <c r="W1017">
        <v>1</v>
      </c>
      <c r="X1017">
        <v>0</v>
      </c>
      <c r="Z1017">
        <v>536.4299999999999</v>
      </c>
      <c r="AA1017">
        <v>40.685149</v>
      </c>
      <c r="AB1017">
        <v>-73.776017</v>
      </c>
      <c r="AD1017" t="s">
        <v>10839</v>
      </c>
      <c r="AG1017" t="s">
        <v>10858</v>
      </c>
      <c r="AH1017" t="s">
        <v>10861</v>
      </c>
      <c r="AI1017">
        <v>234</v>
      </c>
      <c r="AJ1017" t="s">
        <v>10214</v>
      </c>
      <c r="AL1017">
        <v>1.45</v>
      </c>
      <c r="AM1017" t="s">
        <v>10892</v>
      </c>
      <c r="AN1017" t="s">
        <v>10951</v>
      </c>
      <c r="AO1017" t="s">
        <v>11017</v>
      </c>
      <c r="AP1017" t="s">
        <v>11075</v>
      </c>
      <c r="AR1017" t="s">
        <v>11257</v>
      </c>
      <c r="AS1017" t="s">
        <v>11594</v>
      </c>
      <c r="AT1017" t="s">
        <v>11641</v>
      </c>
      <c r="AX1017" t="s">
        <v>10838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</row>
    <row r="1018" spans="1:59">
      <c r="A1018" s="1">
        <f>HYPERLINK("https://lsnyc.legalserver.org/matter/dynamic-profile/view/1904828","19-1904828")</f>
        <v>0</v>
      </c>
      <c r="B1018" t="s">
        <v>960</v>
      </c>
      <c r="C1018" t="s">
        <v>5839</v>
      </c>
      <c r="D1018" t="s">
        <v>9928</v>
      </c>
      <c r="E1018" t="s">
        <v>10075</v>
      </c>
      <c r="F1018">
        <v>11203</v>
      </c>
      <c r="G1018" t="s">
        <v>10093</v>
      </c>
      <c r="H1018" t="s">
        <v>10133</v>
      </c>
      <c r="I1018" t="s">
        <v>10168</v>
      </c>
      <c r="J1018" t="s">
        <v>10213</v>
      </c>
      <c r="K1018" t="s">
        <v>10218</v>
      </c>
      <c r="L1018" t="s">
        <v>10102</v>
      </c>
      <c r="M1018" t="s">
        <v>10293</v>
      </c>
      <c r="N1018" t="s">
        <v>10644</v>
      </c>
      <c r="P1018" t="s">
        <v>10756</v>
      </c>
      <c r="Q1018" t="s">
        <v>10787</v>
      </c>
      <c r="R1018" t="s">
        <v>10824</v>
      </c>
      <c r="T1018">
        <v>10656</v>
      </c>
      <c r="U1018">
        <v>888</v>
      </c>
      <c r="V1018">
        <v>72</v>
      </c>
      <c r="W1018">
        <v>1</v>
      </c>
      <c r="X1018">
        <v>0</v>
      </c>
      <c r="Y1018" t="s">
        <v>10830</v>
      </c>
      <c r="Z1018">
        <v>85.31999999999999</v>
      </c>
      <c r="AA1018">
        <v>40.662891</v>
      </c>
      <c r="AB1018">
        <v>-73.93777300000001</v>
      </c>
      <c r="AD1018" t="s">
        <v>10839</v>
      </c>
      <c r="AG1018" t="s">
        <v>10858</v>
      </c>
      <c r="AH1018" t="s">
        <v>10869</v>
      </c>
      <c r="AI1018">
        <v>239</v>
      </c>
      <c r="AJ1018" t="s">
        <v>10213</v>
      </c>
      <c r="AK1018" t="s">
        <v>10882</v>
      </c>
      <c r="AL1018">
        <v>1.75</v>
      </c>
      <c r="AM1018" t="s">
        <v>10888</v>
      </c>
      <c r="AN1018" t="s">
        <v>10912</v>
      </c>
      <c r="AO1018" t="s">
        <v>11005</v>
      </c>
      <c r="AP1018" t="s">
        <v>11064</v>
      </c>
      <c r="AR1018" t="s">
        <v>11268</v>
      </c>
      <c r="AS1018" t="s">
        <v>11595</v>
      </c>
      <c r="AT1018" t="s">
        <v>11641</v>
      </c>
      <c r="AW1018" t="s">
        <v>11645</v>
      </c>
      <c r="AY1018" t="s">
        <v>10830</v>
      </c>
      <c r="AZ1018" t="s">
        <v>11715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</row>
    <row r="1019" spans="1:59">
      <c r="A1019" s="1">
        <f>HYPERLINK("https://lsnyc.legalserver.org/matter/dynamic-profile/view/1904830","19-1904830")</f>
        <v>0</v>
      </c>
      <c r="B1019" t="s">
        <v>961</v>
      </c>
      <c r="C1019" t="s">
        <v>5840</v>
      </c>
      <c r="D1019" t="s">
        <v>9985</v>
      </c>
      <c r="E1019" t="s">
        <v>10075</v>
      </c>
      <c r="F1019">
        <v>12401</v>
      </c>
      <c r="G1019" t="s">
        <v>10093</v>
      </c>
      <c r="H1019" t="s">
        <v>10133</v>
      </c>
      <c r="I1019" t="s">
        <v>10168</v>
      </c>
      <c r="J1019" t="s">
        <v>10213</v>
      </c>
      <c r="K1019" t="s">
        <v>10218</v>
      </c>
      <c r="L1019" t="s">
        <v>10146</v>
      </c>
      <c r="M1019" t="s">
        <v>10436</v>
      </c>
      <c r="N1019" t="s">
        <v>10710</v>
      </c>
      <c r="P1019" t="s">
        <v>10750</v>
      </c>
      <c r="Q1019" t="s">
        <v>10760</v>
      </c>
      <c r="R1019" t="s">
        <v>10820</v>
      </c>
      <c r="T1019">
        <v>19788</v>
      </c>
      <c r="U1019">
        <v>1649</v>
      </c>
      <c r="V1019">
        <v>55</v>
      </c>
      <c r="W1019">
        <v>1</v>
      </c>
      <c r="X1019">
        <v>0</v>
      </c>
      <c r="Y1019" t="s">
        <v>10829</v>
      </c>
      <c r="Z1019">
        <v>158.43</v>
      </c>
      <c r="AA1019">
        <v>41.956389</v>
      </c>
      <c r="AB1019">
        <v>-73.969022</v>
      </c>
      <c r="AD1019" t="s">
        <v>10839</v>
      </c>
      <c r="AG1019" t="s">
        <v>10858</v>
      </c>
      <c r="AH1019" t="s">
        <v>10861</v>
      </c>
      <c r="AI1019">
        <v>234</v>
      </c>
      <c r="AJ1019" t="s">
        <v>10214</v>
      </c>
      <c r="AK1019" t="s">
        <v>10838</v>
      </c>
      <c r="AL1019">
        <v>0.5</v>
      </c>
      <c r="AM1019" t="s">
        <v>10898</v>
      </c>
      <c r="AN1019" t="s">
        <v>10975</v>
      </c>
      <c r="AO1019" t="s">
        <v>11029</v>
      </c>
      <c r="AR1019" t="s">
        <v>11254</v>
      </c>
      <c r="AS1019" t="s">
        <v>11608</v>
      </c>
      <c r="AT1019" t="s">
        <v>11641</v>
      </c>
      <c r="AX1019" t="s">
        <v>10838</v>
      </c>
      <c r="AY1019" t="s">
        <v>10829</v>
      </c>
      <c r="AZ1019" t="s">
        <v>11679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</row>
    <row r="1020" spans="1:59">
      <c r="A1020" s="1">
        <f>HYPERLINK("https://lsnyc.legalserver.org/matter/dynamic-profile/view/1904832","19-1904832")</f>
        <v>0</v>
      </c>
      <c r="B1020" t="s">
        <v>962</v>
      </c>
      <c r="C1020" t="s">
        <v>5841</v>
      </c>
      <c r="D1020" t="s">
        <v>9926</v>
      </c>
      <c r="E1020" t="s">
        <v>10075</v>
      </c>
      <c r="F1020">
        <v>10452</v>
      </c>
      <c r="G1020" t="s">
        <v>10090</v>
      </c>
      <c r="H1020" t="s">
        <v>10133</v>
      </c>
      <c r="I1020" t="s">
        <v>10168</v>
      </c>
      <c r="J1020" t="s">
        <v>10210</v>
      </c>
      <c r="K1020" t="s">
        <v>10217</v>
      </c>
      <c r="M1020" t="s">
        <v>10513</v>
      </c>
      <c r="N1020" t="s">
        <v>10650</v>
      </c>
      <c r="P1020" t="s">
        <v>10749</v>
      </c>
      <c r="Q1020" t="s">
        <v>10765</v>
      </c>
      <c r="R1020" t="s">
        <v>10824</v>
      </c>
      <c r="T1020">
        <v>17148</v>
      </c>
      <c r="U1020">
        <v>1429</v>
      </c>
      <c r="V1020">
        <v>58</v>
      </c>
      <c r="W1020">
        <v>1</v>
      </c>
      <c r="X1020">
        <v>0</v>
      </c>
      <c r="Z1020">
        <v>137.29</v>
      </c>
      <c r="AA1020">
        <v>40.833318</v>
      </c>
      <c r="AB1020">
        <v>-73.92610000000001</v>
      </c>
      <c r="AD1020" t="s">
        <v>10840</v>
      </c>
      <c r="AG1020" t="s">
        <v>10858</v>
      </c>
      <c r="AH1020" t="s">
        <v>10861</v>
      </c>
      <c r="AI1020">
        <v>234</v>
      </c>
      <c r="AJ1020" t="s">
        <v>10214</v>
      </c>
      <c r="AL1020">
        <v>26.4</v>
      </c>
      <c r="AM1020" t="s">
        <v>10884</v>
      </c>
      <c r="AN1020" t="s">
        <v>10929</v>
      </c>
      <c r="AO1020" t="s">
        <v>11013</v>
      </c>
      <c r="AP1020" t="s">
        <v>11066</v>
      </c>
      <c r="AR1020" t="s">
        <v>11397</v>
      </c>
      <c r="AS1020" t="s">
        <v>9926</v>
      </c>
      <c r="AT1020" t="s">
        <v>11642</v>
      </c>
      <c r="AX1020" t="s">
        <v>10838</v>
      </c>
      <c r="BA1020" t="s">
        <v>11738</v>
      </c>
      <c r="BB1020">
        <v>0</v>
      </c>
      <c r="BC1020">
        <v>0</v>
      </c>
      <c r="BD1020">
        <v>0</v>
      </c>
      <c r="BE1020">
        <v>0</v>
      </c>
      <c r="BF1020">
        <v>5</v>
      </c>
      <c r="BG1020">
        <v>0</v>
      </c>
    </row>
    <row r="1021" spans="1:59">
      <c r="A1021" s="1">
        <f>HYPERLINK("https://lsnyc.legalserver.org/matter/dynamic-profile/view/1904833","19-1904833")</f>
        <v>0</v>
      </c>
      <c r="B1021" t="s">
        <v>963</v>
      </c>
      <c r="C1021" t="s">
        <v>5842</v>
      </c>
      <c r="D1021" t="s">
        <v>9928</v>
      </c>
      <c r="E1021" t="s">
        <v>10075</v>
      </c>
      <c r="F1021">
        <v>11219</v>
      </c>
      <c r="G1021" t="s">
        <v>10093</v>
      </c>
      <c r="H1021" t="s">
        <v>10133</v>
      </c>
      <c r="I1021" t="s">
        <v>10169</v>
      </c>
      <c r="J1021" t="s">
        <v>10213</v>
      </c>
      <c r="K1021" t="s">
        <v>10218</v>
      </c>
      <c r="L1021" t="s">
        <v>10128</v>
      </c>
      <c r="M1021" t="s">
        <v>10443</v>
      </c>
      <c r="N1021" t="s">
        <v>10644</v>
      </c>
      <c r="P1021" t="s">
        <v>10749</v>
      </c>
      <c r="Q1021" t="s">
        <v>10791</v>
      </c>
      <c r="R1021" t="s">
        <v>10823</v>
      </c>
      <c r="T1021">
        <v>6312</v>
      </c>
      <c r="U1021">
        <v>526</v>
      </c>
      <c r="V1021">
        <v>64</v>
      </c>
      <c r="W1021">
        <v>1</v>
      </c>
      <c r="X1021">
        <v>1</v>
      </c>
      <c r="Y1021" t="s">
        <v>10830</v>
      </c>
      <c r="Z1021">
        <v>37.33</v>
      </c>
      <c r="AA1021">
        <v>40.643729</v>
      </c>
      <c r="AB1021">
        <v>-73.997147</v>
      </c>
      <c r="AD1021" t="s">
        <v>10839</v>
      </c>
      <c r="AG1021" t="s">
        <v>10858</v>
      </c>
      <c r="AH1021" t="s">
        <v>10869</v>
      </c>
      <c r="AI1021">
        <v>239</v>
      </c>
      <c r="AJ1021" t="s">
        <v>10213</v>
      </c>
      <c r="AK1021" t="s">
        <v>10838</v>
      </c>
      <c r="AL1021">
        <v>1.75</v>
      </c>
      <c r="AM1021" t="s">
        <v>10886</v>
      </c>
      <c r="AN1021" t="s">
        <v>10921</v>
      </c>
      <c r="AO1021" t="s">
        <v>11015</v>
      </c>
      <c r="AP1021" t="s">
        <v>11069</v>
      </c>
      <c r="AR1021" t="s">
        <v>11348</v>
      </c>
      <c r="AS1021" t="s">
        <v>11595</v>
      </c>
      <c r="AT1021" t="s">
        <v>11641</v>
      </c>
      <c r="AW1021" t="s">
        <v>11645</v>
      </c>
      <c r="AX1021" t="s">
        <v>10838</v>
      </c>
      <c r="AY1021" t="s">
        <v>10830</v>
      </c>
      <c r="AZ1021" t="s">
        <v>11681</v>
      </c>
      <c r="BA1021" t="s">
        <v>11740</v>
      </c>
      <c r="BB1021">
        <v>0</v>
      </c>
      <c r="BC1021">
        <v>0</v>
      </c>
      <c r="BD1021">
        <v>0</v>
      </c>
      <c r="BE1021">
        <v>0</v>
      </c>
      <c r="BF1021">
        <v>2</v>
      </c>
      <c r="BG1021">
        <v>0</v>
      </c>
    </row>
    <row r="1022" spans="1:59">
      <c r="A1022" s="1">
        <f>HYPERLINK("https://lsnyc.legalserver.org/matter/dynamic-profile/view/1904834","19-1904834")</f>
        <v>0</v>
      </c>
      <c r="B1022" t="s">
        <v>964</v>
      </c>
      <c r="C1022" t="s">
        <v>5843</v>
      </c>
      <c r="D1022" t="s">
        <v>9928</v>
      </c>
      <c r="E1022" t="s">
        <v>10075</v>
      </c>
      <c r="F1022">
        <v>11225</v>
      </c>
      <c r="G1022" t="s">
        <v>10093</v>
      </c>
      <c r="H1022" t="s">
        <v>10133</v>
      </c>
      <c r="I1022" t="s">
        <v>10168</v>
      </c>
      <c r="J1022" t="s">
        <v>10213</v>
      </c>
      <c r="K1022" t="s">
        <v>10218</v>
      </c>
      <c r="L1022" t="s">
        <v>10220</v>
      </c>
      <c r="M1022" t="s">
        <v>10265</v>
      </c>
      <c r="N1022" t="s">
        <v>10646</v>
      </c>
      <c r="P1022" t="s">
        <v>10749</v>
      </c>
      <c r="Q1022" t="s">
        <v>10791</v>
      </c>
      <c r="R1022" t="s">
        <v>10825</v>
      </c>
      <c r="T1022">
        <v>58600</v>
      </c>
      <c r="U1022">
        <v>4883.33</v>
      </c>
      <c r="V1022">
        <v>66</v>
      </c>
      <c r="W1022">
        <v>2</v>
      </c>
      <c r="X1022">
        <v>0</v>
      </c>
      <c r="Y1022" t="s">
        <v>10832</v>
      </c>
      <c r="Z1022">
        <v>346.54</v>
      </c>
      <c r="AA1022">
        <v>40.661786</v>
      </c>
      <c r="AB1022">
        <v>-73.962721</v>
      </c>
      <c r="AD1022" t="s">
        <v>10840</v>
      </c>
      <c r="AG1022" t="s">
        <v>10858</v>
      </c>
      <c r="AH1022" t="s">
        <v>10862</v>
      </c>
      <c r="AI1022">
        <v>239</v>
      </c>
      <c r="AJ1022" t="s">
        <v>10213</v>
      </c>
      <c r="AK1022" t="s">
        <v>10838</v>
      </c>
      <c r="AL1022">
        <v>9.699999999999999</v>
      </c>
      <c r="AM1022" t="s">
        <v>10888</v>
      </c>
      <c r="AN1022" t="s">
        <v>10912</v>
      </c>
      <c r="AO1022" t="s">
        <v>11008</v>
      </c>
      <c r="AP1022" t="s">
        <v>11050</v>
      </c>
      <c r="AR1022" t="s">
        <v>11257</v>
      </c>
      <c r="AS1022" t="s">
        <v>11595</v>
      </c>
      <c r="AY1022" t="s">
        <v>10832</v>
      </c>
      <c r="AZ1022" t="s">
        <v>11687</v>
      </c>
      <c r="BA1022" t="s">
        <v>11737</v>
      </c>
      <c r="BB1022">
        <v>0</v>
      </c>
      <c r="BC1022">
        <v>0</v>
      </c>
      <c r="BD1022">
        <v>0</v>
      </c>
      <c r="BE1022">
        <v>0</v>
      </c>
      <c r="BF1022">
        <v>3</v>
      </c>
      <c r="BG1022">
        <v>0</v>
      </c>
    </row>
    <row r="1023" spans="1:59">
      <c r="A1023" s="1">
        <f>HYPERLINK("https://lsnyc.legalserver.org/matter/dynamic-profile/view/1904835","19-1904835")</f>
        <v>0</v>
      </c>
      <c r="B1023" t="s">
        <v>965</v>
      </c>
      <c r="C1023" t="s">
        <v>5844</v>
      </c>
      <c r="D1023" t="s">
        <v>9931</v>
      </c>
      <c r="E1023" t="s">
        <v>10075</v>
      </c>
      <c r="F1023">
        <v>11354</v>
      </c>
      <c r="G1023" t="s">
        <v>10092</v>
      </c>
      <c r="H1023" t="s">
        <v>10133</v>
      </c>
      <c r="I1023" t="s">
        <v>10188</v>
      </c>
      <c r="J1023" t="s">
        <v>10212</v>
      </c>
      <c r="K1023" t="s">
        <v>10218</v>
      </c>
      <c r="L1023" t="s">
        <v>10139</v>
      </c>
      <c r="M1023" t="s">
        <v>10342</v>
      </c>
      <c r="N1023" t="s">
        <v>10671</v>
      </c>
      <c r="P1023" t="s">
        <v>10749</v>
      </c>
      <c r="Q1023" t="s">
        <v>10765</v>
      </c>
      <c r="R1023" t="s">
        <v>10827</v>
      </c>
      <c r="T1023">
        <v>0</v>
      </c>
      <c r="U1023">
        <v>0</v>
      </c>
      <c r="V1023">
        <v>59</v>
      </c>
      <c r="W1023">
        <v>1</v>
      </c>
      <c r="X1023">
        <v>0</v>
      </c>
      <c r="Y1023" t="s">
        <v>10829</v>
      </c>
      <c r="Z1023">
        <v>0</v>
      </c>
      <c r="AA1023">
        <v>40.762405</v>
      </c>
      <c r="AB1023">
        <v>-73.824504</v>
      </c>
      <c r="AD1023" t="s">
        <v>10839</v>
      </c>
      <c r="AF1023" t="s">
        <v>10842</v>
      </c>
      <c r="AG1023" t="s">
        <v>10859</v>
      </c>
      <c r="AH1023" t="s">
        <v>10861</v>
      </c>
      <c r="AI1023">
        <v>234</v>
      </c>
      <c r="AJ1023" t="s">
        <v>10214</v>
      </c>
      <c r="AK1023" t="s">
        <v>10882</v>
      </c>
      <c r="AL1023">
        <v>2.3</v>
      </c>
      <c r="AM1023" t="s">
        <v>10890</v>
      </c>
      <c r="AN1023" t="s">
        <v>10927</v>
      </c>
      <c r="AO1023" t="s">
        <v>11009</v>
      </c>
      <c r="AP1023" t="s">
        <v>11067</v>
      </c>
      <c r="AR1023" t="s">
        <v>11267</v>
      </c>
      <c r="AS1023" t="s">
        <v>11594</v>
      </c>
      <c r="AT1023" t="s">
        <v>11641</v>
      </c>
      <c r="AX1023" t="s">
        <v>10838</v>
      </c>
      <c r="AY1023" t="s">
        <v>10829</v>
      </c>
      <c r="AZ1023" t="s">
        <v>11681</v>
      </c>
      <c r="BA1023" t="s">
        <v>11741</v>
      </c>
      <c r="BB1023">
        <v>0</v>
      </c>
      <c r="BC1023">
        <v>0</v>
      </c>
      <c r="BD1023">
        <v>0</v>
      </c>
      <c r="BE1023">
        <v>0</v>
      </c>
      <c r="BF1023">
        <v>1</v>
      </c>
      <c r="BG1023">
        <v>0</v>
      </c>
    </row>
    <row r="1024" spans="1:59">
      <c r="A1024" s="1">
        <f>HYPERLINK("https://lsnyc.legalserver.org/matter/dynamic-profile/view/1904836","19-1904836")</f>
        <v>0</v>
      </c>
      <c r="B1024" t="s">
        <v>966</v>
      </c>
      <c r="C1024" t="s">
        <v>5845</v>
      </c>
      <c r="D1024" t="s">
        <v>9928</v>
      </c>
      <c r="E1024" t="s">
        <v>10075</v>
      </c>
      <c r="F1024">
        <v>11208</v>
      </c>
      <c r="G1024" t="s">
        <v>10093</v>
      </c>
      <c r="H1024" t="s">
        <v>10133</v>
      </c>
      <c r="I1024" t="s">
        <v>10169</v>
      </c>
      <c r="J1024" t="s">
        <v>10213</v>
      </c>
      <c r="K1024" t="s">
        <v>10217</v>
      </c>
      <c r="M1024" t="s">
        <v>10309</v>
      </c>
      <c r="N1024" t="s">
        <v>10662</v>
      </c>
      <c r="P1024" t="s">
        <v>10749</v>
      </c>
      <c r="Q1024" t="s">
        <v>10765</v>
      </c>
      <c r="R1024" t="s">
        <v>10821</v>
      </c>
      <c r="T1024">
        <v>4888</v>
      </c>
      <c r="U1024">
        <v>407.33</v>
      </c>
      <c r="V1024">
        <v>38</v>
      </c>
      <c r="W1024">
        <v>2</v>
      </c>
      <c r="X1024">
        <v>0</v>
      </c>
      <c r="Z1024">
        <v>28.91</v>
      </c>
      <c r="AA1024">
        <v>40.670266</v>
      </c>
      <c r="AB1024">
        <v>-73.87960200000001</v>
      </c>
      <c r="AD1024" t="s">
        <v>10839</v>
      </c>
      <c r="AF1024" t="s">
        <v>10846</v>
      </c>
      <c r="AG1024" t="s">
        <v>10859</v>
      </c>
      <c r="AH1024" t="s">
        <v>10861</v>
      </c>
      <c r="AI1024">
        <v>234</v>
      </c>
      <c r="AJ1024" t="s">
        <v>10214</v>
      </c>
      <c r="AL1024">
        <v>7.25</v>
      </c>
      <c r="AM1024" t="s">
        <v>10889</v>
      </c>
      <c r="AN1024" t="s">
        <v>10946</v>
      </c>
      <c r="AO1024" t="s">
        <v>11011</v>
      </c>
      <c r="AP1024" t="s">
        <v>11060</v>
      </c>
      <c r="AR1024" t="s">
        <v>11305</v>
      </c>
      <c r="AS1024" t="s">
        <v>11595</v>
      </c>
      <c r="AT1024" t="s">
        <v>11641</v>
      </c>
      <c r="AX1024" t="s">
        <v>10837</v>
      </c>
      <c r="BA1024" t="s">
        <v>11741</v>
      </c>
      <c r="BB1024">
        <v>0</v>
      </c>
      <c r="BC1024">
        <v>0</v>
      </c>
      <c r="BD1024">
        <v>0</v>
      </c>
      <c r="BE1024">
        <v>0</v>
      </c>
      <c r="BF1024">
        <v>1</v>
      </c>
      <c r="BG1024">
        <v>0</v>
      </c>
    </row>
    <row r="1025" spans="1:59">
      <c r="A1025" s="1">
        <f>HYPERLINK("https://lsnyc.legalserver.org/matter/dynamic-profile/view/1904837","19-1904837")</f>
        <v>0</v>
      </c>
      <c r="B1025" t="s">
        <v>967</v>
      </c>
      <c r="C1025" t="s">
        <v>5846</v>
      </c>
      <c r="D1025" t="s">
        <v>9950</v>
      </c>
      <c r="E1025" t="s">
        <v>10075</v>
      </c>
      <c r="F1025">
        <v>11418</v>
      </c>
      <c r="G1025" t="s">
        <v>10092</v>
      </c>
      <c r="H1025" t="s">
        <v>10133</v>
      </c>
      <c r="I1025" t="s">
        <v>10168</v>
      </c>
      <c r="J1025" t="s">
        <v>10212</v>
      </c>
      <c r="K1025" t="s">
        <v>10217</v>
      </c>
      <c r="M1025" t="s">
        <v>10318</v>
      </c>
      <c r="N1025" t="s">
        <v>10684</v>
      </c>
      <c r="P1025" t="s">
        <v>10751</v>
      </c>
      <c r="Q1025" t="s">
        <v>10786</v>
      </c>
      <c r="R1025" t="s">
        <v>10827</v>
      </c>
      <c r="T1025">
        <v>20800</v>
      </c>
      <c r="U1025">
        <v>1733.33</v>
      </c>
      <c r="V1025">
        <v>43</v>
      </c>
      <c r="W1025">
        <v>2</v>
      </c>
      <c r="X1025">
        <v>2</v>
      </c>
      <c r="Z1025">
        <v>80.78</v>
      </c>
      <c r="AA1025">
        <v>40.694892</v>
      </c>
      <c r="AB1025">
        <v>-73.837583</v>
      </c>
      <c r="AD1025" t="s">
        <v>10839</v>
      </c>
      <c r="AG1025" t="s">
        <v>10858</v>
      </c>
      <c r="AH1025" t="s">
        <v>10873</v>
      </c>
      <c r="AI1025">
        <v>237</v>
      </c>
      <c r="AJ1025" t="s">
        <v>10212</v>
      </c>
      <c r="AL1025">
        <v>3.75</v>
      </c>
      <c r="AM1025" t="s">
        <v>10892</v>
      </c>
      <c r="AN1025" t="s">
        <v>10945</v>
      </c>
      <c r="AO1025" t="s">
        <v>11017</v>
      </c>
      <c r="AP1025" t="s">
        <v>11070</v>
      </c>
      <c r="AR1025" t="s">
        <v>11257</v>
      </c>
      <c r="AS1025" t="s">
        <v>11594</v>
      </c>
      <c r="AT1025" t="s">
        <v>11641</v>
      </c>
      <c r="AX1025" t="s">
        <v>10838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</row>
    <row r="1026" spans="1:59">
      <c r="A1026" s="1">
        <f>HYPERLINK("https://lsnyc.legalserver.org/matter/dynamic-profile/view/1904838","19-1904838")</f>
        <v>0</v>
      </c>
      <c r="B1026" t="s">
        <v>968</v>
      </c>
      <c r="C1026" t="s">
        <v>5847</v>
      </c>
      <c r="D1026" t="s">
        <v>9926</v>
      </c>
      <c r="E1026" t="s">
        <v>10075</v>
      </c>
      <c r="F1026">
        <v>10469</v>
      </c>
      <c r="G1026" t="s">
        <v>10090</v>
      </c>
      <c r="H1026" t="s">
        <v>10133</v>
      </c>
      <c r="J1026" t="s">
        <v>10210</v>
      </c>
      <c r="K1026" t="s">
        <v>10217</v>
      </c>
      <c r="M1026" t="s">
        <v>10401</v>
      </c>
      <c r="N1026" t="s">
        <v>10677</v>
      </c>
      <c r="P1026" t="s">
        <v>10757</v>
      </c>
      <c r="Q1026" t="s">
        <v>10810</v>
      </c>
      <c r="R1026" t="s">
        <v>10824</v>
      </c>
      <c r="T1026">
        <v>12480</v>
      </c>
      <c r="U1026">
        <v>1040</v>
      </c>
      <c r="V1026">
        <v>103</v>
      </c>
      <c r="W1026">
        <v>1</v>
      </c>
      <c r="X1026">
        <v>0</v>
      </c>
      <c r="Z1026">
        <v>99.92</v>
      </c>
      <c r="AA1026">
        <v>40.87082</v>
      </c>
      <c r="AB1026">
        <v>-73.850369</v>
      </c>
      <c r="AD1026" t="s">
        <v>10839</v>
      </c>
      <c r="AG1026" t="s">
        <v>10858</v>
      </c>
      <c r="AH1026" t="s">
        <v>10874</v>
      </c>
      <c r="AI1026">
        <v>230</v>
      </c>
      <c r="AJ1026" t="s">
        <v>10210</v>
      </c>
      <c r="AL1026">
        <v>7.15</v>
      </c>
      <c r="AM1026" t="s">
        <v>10893</v>
      </c>
      <c r="AN1026" t="s">
        <v>10956</v>
      </c>
      <c r="AO1026" t="s">
        <v>11010</v>
      </c>
      <c r="AP1026" t="s">
        <v>11085</v>
      </c>
      <c r="AR1026" t="s">
        <v>11386</v>
      </c>
      <c r="AS1026" t="s">
        <v>9926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</row>
    <row r="1027" spans="1:59">
      <c r="A1027" s="1">
        <f>HYPERLINK("https://lsnyc.legalserver.org/matter/dynamic-profile/view/1904839","19-1904839")</f>
        <v>0</v>
      </c>
      <c r="B1027" t="s">
        <v>969</v>
      </c>
      <c r="C1027" t="s">
        <v>5848</v>
      </c>
      <c r="D1027" t="s">
        <v>9928</v>
      </c>
      <c r="E1027" t="s">
        <v>10075</v>
      </c>
      <c r="F1027">
        <v>11236</v>
      </c>
      <c r="G1027" t="s">
        <v>10093</v>
      </c>
      <c r="H1027" t="s">
        <v>10133</v>
      </c>
      <c r="I1027" t="s">
        <v>10168</v>
      </c>
      <c r="J1027" t="s">
        <v>10213</v>
      </c>
      <c r="K1027" t="s">
        <v>10217</v>
      </c>
      <c r="M1027" t="s">
        <v>10293</v>
      </c>
      <c r="N1027" t="s">
        <v>10644</v>
      </c>
      <c r="P1027" t="s">
        <v>10749</v>
      </c>
      <c r="Q1027" t="s">
        <v>10791</v>
      </c>
      <c r="R1027" t="s">
        <v>10824</v>
      </c>
      <c r="T1027">
        <v>48841.2</v>
      </c>
      <c r="U1027">
        <v>4070.1</v>
      </c>
      <c r="V1027">
        <v>65</v>
      </c>
      <c r="W1027">
        <v>2</v>
      </c>
      <c r="X1027">
        <v>0</v>
      </c>
      <c r="Z1027">
        <v>288.83</v>
      </c>
      <c r="AA1027">
        <v>40.630628</v>
      </c>
      <c r="AB1027">
        <v>-73.908919</v>
      </c>
      <c r="AD1027" t="s">
        <v>10839</v>
      </c>
      <c r="AG1027" t="s">
        <v>10858</v>
      </c>
      <c r="AH1027" t="s">
        <v>10869</v>
      </c>
      <c r="AI1027">
        <v>239</v>
      </c>
      <c r="AJ1027" t="s">
        <v>10213</v>
      </c>
      <c r="AL1027">
        <v>3.9</v>
      </c>
      <c r="AM1027" t="s">
        <v>10889</v>
      </c>
      <c r="AN1027" t="s">
        <v>10959</v>
      </c>
      <c r="AO1027" t="s">
        <v>11012</v>
      </c>
      <c r="AP1027" t="s">
        <v>11072</v>
      </c>
      <c r="AQ1027" t="s">
        <v>11133</v>
      </c>
      <c r="AR1027" t="s">
        <v>11398</v>
      </c>
      <c r="AS1027" t="s">
        <v>11595</v>
      </c>
      <c r="AT1027" t="s">
        <v>11641</v>
      </c>
      <c r="AV1027" t="s">
        <v>11656</v>
      </c>
      <c r="AW1027" t="s">
        <v>11645</v>
      </c>
      <c r="BA1027" t="s">
        <v>11741</v>
      </c>
      <c r="BB1027">
        <v>0</v>
      </c>
      <c r="BC1027">
        <v>0</v>
      </c>
      <c r="BD1027">
        <v>0</v>
      </c>
      <c r="BE1027">
        <v>0</v>
      </c>
      <c r="BF1027">
        <v>1</v>
      </c>
      <c r="BG1027">
        <v>0</v>
      </c>
    </row>
    <row r="1028" spans="1:59">
      <c r="A1028" s="1">
        <f>HYPERLINK("https://lsnyc.legalserver.org/matter/dynamic-profile/view/1904840","19-1904840")</f>
        <v>0</v>
      </c>
      <c r="B1028" t="s">
        <v>970</v>
      </c>
      <c r="C1028" t="s">
        <v>5849</v>
      </c>
      <c r="D1028" t="s">
        <v>9954</v>
      </c>
      <c r="E1028" t="s">
        <v>10075</v>
      </c>
      <c r="F1028">
        <v>11372</v>
      </c>
      <c r="G1028" t="s">
        <v>10092</v>
      </c>
      <c r="H1028" t="s">
        <v>10133</v>
      </c>
      <c r="I1028" t="s">
        <v>10168</v>
      </c>
      <c r="J1028" t="s">
        <v>10212</v>
      </c>
      <c r="K1028" t="s">
        <v>10217</v>
      </c>
      <c r="M1028" t="s">
        <v>10318</v>
      </c>
      <c r="N1028" t="s">
        <v>10684</v>
      </c>
      <c r="P1028" t="s">
        <v>10751</v>
      </c>
      <c r="Q1028" t="s">
        <v>10786</v>
      </c>
      <c r="R1028" t="s">
        <v>10827</v>
      </c>
      <c r="T1028">
        <v>26944</v>
      </c>
      <c r="U1028">
        <v>2245.33</v>
      </c>
      <c r="V1028">
        <v>45</v>
      </c>
      <c r="W1028">
        <v>2</v>
      </c>
      <c r="X1028">
        <v>3</v>
      </c>
      <c r="Z1028">
        <v>89.31</v>
      </c>
      <c r="AA1028">
        <v>40.75476</v>
      </c>
      <c r="AB1028">
        <v>-73.881122</v>
      </c>
      <c r="AD1028" t="s">
        <v>10840</v>
      </c>
      <c r="AG1028" t="s">
        <v>10858</v>
      </c>
      <c r="AH1028" t="s">
        <v>10873</v>
      </c>
      <c r="AI1028">
        <v>237</v>
      </c>
      <c r="AJ1028" t="s">
        <v>10212</v>
      </c>
      <c r="AL1028">
        <v>4</v>
      </c>
      <c r="AM1028" t="s">
        <v>10885</v>
      </c>
      <c r="AN1028" t="s">
        <v>10909</v>
      </c>
      <c r="AO1028" t="s">
        <v>11014</v>
      </c>
      <c r="AP1028" t="s">
        <v>11053</v>
      </c>
      <c r="AR1028" t="s">
        <v>11358</v>
      </c>
      <c r="AS1028" t="s">
        <v>11594</v>
      </c>
      <c r="AT1028" t="s">
        <v>11642</v>
      </c>
      <c r="AX1028" t="s">
        <v>10838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</row>
    <row r="1029" spans="1:59">
      <c r="A1029" s="1">
        <f>HYPERLINK("https://lsnyc.legalserver.org/matter/dynamic-profile/view/1904841","19-1904841")</f>
        <v>0</v>
      </c>
      <c r="B1029" t="s">
        <v>971</v>
      </c>
      <c r="C1029" t="s">
        <v>5850</v>
      </c>
      <c r="D1029" t="s">
        <v>9929</v>
      </c>
      <c r="E1029" t="s">
        <v>10075</v>
      </c>
      <c r="F1029">
        <v>10303</v>
      </c>
      <c r="G1029" t="s">
        <v>10088</v>
      </c>
      <c r="H1029" t="s">
        <v>10105</v>
      </c>
      <c r="J1029" t="s">
        <v>10208</v>
      </c>
      <c r="K1029" t="s">
        <v>10217</v>
      </c>
      <c r="M1029" t="s">
        <v>10515</v>
      </c>
      <c r="N1029" t="s">
        <v>10649</v>
      </c>
      <c r="P1029" t="s">
        <v>10753</v>
      </c>
      <c r="Q1029" t="s">
        <v>10763</v>
      </c>
      <c r="R1029" t="s">
        <v>10821</v>
      </c>
      <c r="T1029">
        <v>26000</v>
      </c>
      <c r="U1029">
        <v>2166.67</v>
      </c>
      <c r="V1029">
        <v>29</v>
      </c>
      <c r="W1029">
        <v>2</v>
      </c>
      <c r="X1029">
        <v>0</v>
      </c>
      <c r="Z1029">
        <v>153.76</v>
      </c>
      <c r="AA1029">
        <v>40.635538</v>
      </c>
      <c r="AB1029">
        <v>-74.167771</v>
      </c>
      <c r="AD1029" t="s">
        <v>10839</v>
      </c>
      <c r="AF1029" t="s">
        <v>10844</v>
      </c>
      <c r="AG1029" t="s">
        <v>10859</v>
      </c>
      <c r="AH1029" t="s">
        <v>10861</v>
      </c>
      <c r="AI1029">
        <v>285</v>
      </c>
      <c r="AJ1029" t="s">
        <v>10208</v>
      </c>
      <c r="AL1029">
        <v>1.5</v>
      </c>
      <c r="AM1029" t="s">
        <v>10883</v>
      </c>
      <c r="AN1029" t="s">
        <v>10928</v>
      </c>
      <c r="AO1029" t="s">
        <v>11006</v>
      </c>
      <c r="AP1029" t="s">
        <v>11051</v>
      </c>
      <c r="AQ1029" t="s">
        <v>11109</v>
      </c>
      <c r="AR1029" t="s">
        <v>11257</v>
      </c>
      <c r="AS1029" t="s">
        <v>11593</v>
      </c>
      <c r="AT1029" t="s">
        <v>11641</v>
      </c>
      <c r="AX1029" t="s">
        <v>10838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</row>
    <row r="1030" spans="1:59">
      <c r="A1030" s="1">
        <f>HYPERLINK("https://lsnyc.legalserver.org/matter/dynamic-profile/view/1904842","19-1904842")</f>
        <v>0</v>
      </c>
      <c r="B1030" t="s">
        <v>972</v>
      </c>
      <c r="C1030" t="s">
        <v>5851</v>
      </c>
      <c r="D1030" t="s">
        <v>9926</v>
      </c>
      <c r="E1030" t="s">
        <v>10075</v>
      </c>
      <c r="F1030">
        <v>10454</v>
      </c>
      <c r="G1030" t="s">
        <v>10089</v>
      </c>
      <c r="H1030" t="s">
        <v>10133</v>
      </c>
      <c r="I1030" t="s">
        <v>10169</v>
      </c>
      <c r="J1030" t="s">
        <v>10209</v>
      </c>
      <c r="K1030" t="s">
        <v>10218</v>
      </c>
      <c r="L1030" t="s">
        <v>10160</v>
      </c>
      <c r="M1030" t="s">
        <v>10402</v>
      </c>
      <c r="N1030" t="s">
        <v>10707</v>
      </c>
      <c r="P1030" t="s">
        <v>10753</v>
      </c>
      <c r="Q1030" t="s">
        <v>10763</v>
      </c>
      <c r="R1030" t="s">
        <v>10823</v>
      </c>
      <c r="T1030">
        <v>24000</v>
      </c>
      <c r="U1030">
        <v>2000</v>
      </c>
      <c r="V1030">
        <v>39</v>
      </c>
      <c r="W1030">
        <v>1</v>
      </c>
      <c r="X1030">
        <v>0</v>
      </c>
      <c r="Y1030" t="s">
        <v>10829</v>
      </c>
      <c r="Z1030">
        <v>192.15</v>
      </c>
      <c r="AA1030">
        <v>40.805569</v>
      </c>
      <c r="AB1030">
        <v>-73.926205</v>
      </c>
      <c r="AD1030" t="s">
        <v>10840</v>
      </c>
      <c r="AF1030" t="s">
        <v>10848</v>
      </c>
      <c r="AG1030" t="s">
        <v>10859</v>
      </c>
      <c r="AH1030" t="s">
        <v>10868</v>
      </c>
      <c r="AI1030">
        <v>236</v>
      </c>
      <c r="AJ1030" t="s">
        <v>10209</v>
      </c>
      <c r="AK1030" t="s">
        <v>10838</v>
      </c>
      <c r="AL1030">
        <v>1.5</v>
      </c>
      <c r="AM1030" t="s">
        <v>10884</v>
      </c>
      <c r="AN1030" t="s">
        <v>10924</v>
      </c>
      <c r="AO1030" t="s">
        <v>11013</v>
      </c>
      <c r="AP1030" t="s">
        <v>11066</v>
      </c>
      <c r="AR1030" t="s">
        <v>11257</v>
      </c>
      <c r="AS1030" t="s">
        <v>9926</v>
      </c>
      <c r="AT1030" t="s">
        <v>11642</v>
      </c>
      <c r="AX1030" t="s">
        <v>10837</v>
      </c>
      <c r="AY1030" t="s">
        <v>10829</v>
      </c>
      <c r="AZ1030" t="s">
        <v>11709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</row>
    <row r="1031" spans="1:59">
      <c r="A1031" s="1">
        <f>HYPERLINK("https://lsnyc.legalserver.org/matter/dynamic-profile/view/1904843","19-1904843")</f>
        <v>0</v>
      </c>
      <c r="B1031" t="s">
        <v>973</v>
      </c>
      <c r="C1031" t="s">
        <v>5852</v>
      </c>
      <c r="D1031" t="s">
        <v>9938</v>
      </c>
      <c r="E1031" t="s">
        <v>10075</v>
      </c>
      <c r="F1031">
        <v>11420</v>
      </c>
      <c r="G1031" t="s">
        <v>10092</v>
      </c>
      <c r="H1031" t="s">
        <v>10133</v>
      </c>
      <c r="I1031" t="s">
        <v>10179</v>
      </c>
      <c r="J1031" t="s">
        <v>10212</v>
      </c>
      <c r="K1031" t="s">
        <v>10217</v>
      </c>
      <c r="M1031" t="s">
        <v>10363</v>
      </c>
      <c r="N1031" t="s">
        <v>10706</v>
      </c>
      <c r="P1031" t="s">
        <v>10751</v>
      </c>
      <c r="Q1031" t="s">
        <v>10796</v>
      </c>
      <c r="R1031" t="s">
        <v>10828</v>
      </c>
      <c r="T1031">
        <v>9276</v>
      </c>
      <c r="U1031">
        <v>773</v>
      </c>
      <c r="V1031">
        <v>37</v>
      </c>
      <c r="W1031">
        <v>1</v>
      </c>
      <c r="X1031">
        <v>0</v>
      </c>
      <c r="Z1031">
        <v>74.27</v>
      </c>
      <c r="AA1031">
        <v>40.686059</v>
      </c>
      <c r="AB1031">
        <v>-73.80958099999999</v>
      </c>
      <c r="AD1031" t="s">
        <v>10840</v>
      </c>
      <c r="AG1031" t="s">
        <v>10858</v>
      </c>
      <c r="AH1031" t="s">
        <v>10874</v>
      </c>
      <c r="AI1031">
        <v>237</v>
      </c>
      <c r="AJ1031" t="s">
        <v>10212</v>
      </c>
      <c r="AL1031">
        <v>12.4</v>
      </c>
      <c r="AM1031" t="s">
        <v>10892</v>
      </c>
      <c r="AN1031" t="s">
        <v>10951</v>
      </c>
      <c r="AO1031" t="s">
        <v>11017</v>
      </c>
      <c r="AP1031" t="s">
        <v>11070</v>
      </c>
      <c r="AR1031" t="s">
        <v>11318</v>
      </c>
      <c r="AS1031" t="s">
        <v>11594</v>
      </c>
      <c r="BA1031" t="s">
        <v>11741</v>
      </c>
      <c r="BB1031">
        <v>0</v>
      </c>
      <c r="BC1031">
        <v>0</v>
      </c>
      <c r="BD1031">
        <v>0</v>
      </c>
      <c r="BE1031">
        <v>0</v>
      </c>
      <c r="BF1031">
        <v>1</v>
      </c>
      <c r="BG1031">
        <v>0</v>
      </c>
    </row>
    <row r="1032" spans="1:59">
      <c r="A1032" s="1">
        <f>HYPERLINK("https://lsnyc.legalserver.org/matter/dynamic-profile/view/1904844","19-1904844")</f>
        <v>0</v>
      </c>
      <c r="B1032" t="s">
        <v>974</v>
      </c>
      <c r="C1032" t="s">
        <v>5850</v>
      </c>
      <c r="D1032" t="s">
        <v>9929</v>
      </c>
      <c r="E1032" t="s">
        <v>10075</v>
      </c>
      <c r="F1032">
        <v>10303</v>
      </c>
      <c r="G1032" t="s">
        <v>10088</v>
      </c>
      <c r="H1032" t="s">
        <v>10105</v>
      </c>
      <c r="J1032" t="s">
        <v>10208</v>
      </c>
      <c r="K1032" t="s">
        <v>10217</v>
      </c>
      <c r="M1032" t="s">
        <v>10515</v>
      </c>
      <c r="N1032" t="s">
        <v>10679</v>
      </c>
      <c r="P1032" t="s">
        <v>10753</v>
      </c>
      <c r="Q1032" t="s">
        <v>10763</v>
      </c>
      <c r="R1032" t="s">
        <v>10821</v>
      </c>
      <c r="T1032">
        <v>26000</v>
      </c>
      <c r="U1032">
        <v>2166.67</v>
      </c>
      <c r="V1032">
        <v>4</v>
      </c>
      <c r="W1032">
        <v>2</v>
      </c>
      <c r="X1032">
        <v>0</v>
      </c>
      <c r="Z1032">
        <v>153.76</v>
      </c>
      <c r="AA1032">
        <v>40.635538</v>
      </c>
      <c r="AB1032">
        <v>-74.167771</v>
      </c>
      <c r="AD1032" t="s">
        <v>10839</v>
      </c>
      <c r="AF1032" t="s">
        <v>10844</v>
      </c>
      <c r="AG1032" t="s">
        <v>10859</v>
      </c>
      <c r="AH1032" t="s">
        <v>10861</v>
      </c>
      <c r="AI1032">
        <v>285</v>
      </c>
      <c r="AJ1032" t="s">
        <v>10208</v>
      </c>
      <c r="AL1032">
        <v>0.8</v>
      </c>
      <c r="AM1032" t="s">
        <v>10883</v>
      </c>
      <c r="AN1032" t="s">
        <v>10928</v>
      </c>
      <c r="AO1032" t="s">
        <v>11006</v>
      </c>
      <c r="AP1032" t="s">
        <v>11051</v>
      </c>
      <c r="AQ1032" t="s">
        <v>11109</v>
      </c>
      <c r="AR1032" t="s">
        <v>11257</v>
      </c>
      <c r="AS1032" t="s">
        <v>11593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</row>
    <row r="1033" spans="1:59">
      <c r="A1033" s="1">
        <f>HYPERLINK("https://lsnyc.legalserver.org/matter/dynamic-profile/view/1904845","19-1904845")</f>
        <v>0</v>
      </c>
      <c r="B1033" t="s">
        <v>975</v>
      </c>
      <c r="C1033" t="s">
        <v>5850</v>
      </c>
      <c r="D1033" t="s">
        <v>9929</v>
      </c>
      <c r="E1033" t="s">
        <v>10075</v>
      </c>
      <c r="F1033">
        <v>10303</v>
      </c>
      <c r="G1033" t="s">
        <v>10088</v>
      </c>
      <c r="H1033" t="s">
        <v>10105</v>
      </c>
      <c r="J1033" t="s">
        <v>10208</v>
      </c>
      <c r="K1033" t="s">
        <v>10217</v>
      </c>
      <c r="M1033" t="s">
        <v>10515</v>
      </c>
      <c r="N1033" t="s">
        <v>10679</v>
      </c>
      <c r="P1033" t="s">
        <v>10753</v>
      </c>
      <c r="Q1033" t="s">
        <v>10763</v>
      </c>
      <c r="R1033" t="s">
        <v>10821</v>
      </c>
      <c r="T1033">
        <v>26000</v>
      </c>
      <c r="U1033">
        <v>2166.67</v>
      </c>
      <c r="V1033">
        <v>11</v>
      </c>
      <c r="W1033">
        <v>2</v>
      </c>
      <c r="X1033">
        <v>0</v>
      </c>
      <c r="Z1033">
        <v>153.76</v>
      </c>
      <c r="AA1033">
        <v>40.635538</v>
      </c>
      <c r="AB1033">
        <v>-74.167771</v>
      </c>
      <c r="AD1033" t="s">
        <v>10839</v>
      </c>
      <c r="AF1033" t="s">
        <v>10844</v>
      </c>
      <c r="AG1033" t="s">
        <v>10859</v>
      </c>
      <c r="AH1033" t="s">
        <v>10861</v>
      </c>
      <c r="AI1033">
        <v>285</v>
      </c>
      <c r="AJ1033" t="s">
        <v>10208</v>
      </c>
      <c r="AL1033">
        <v>1</v>
      </c>
      <c r="AM1033" t="s">
        <v>10883</v>
      </c>
      <c r="AN1033" t="s">
        <v>10928</v>
      </c>
      <c r="AO1033" t="s">
        <v>11006</v>
      </c>
      <c r="AP1033" t="s">
        <v>11051</v>
      </c>
      <c r="AR1033" t="s">
        <v>11257</v>
      </c>
      <c r="AS1033" t="s">
        <v>11593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</row>
    <row r="1034" spans="1:59">
      <c r="A1034" s="1">
        <f>HYPERLINK("https://lsnyc.legalserver.org/matter/dynamic-profile/view/1904846","19-1904846")</f>
        <v>0</v>
      </c>
      <c r="B1034" t="s">
        <v>976</v>
      </c>
      <c r="C1034" t="s">
        <v>5853</v>
      </c>
      <c r="D1034" t="s">
        <v>9956</v>
      </c>
      <c r="E1034" t="s">
        <v>10075</v>
      </c>
      <c r="F1034">
        <v>11365</v>
      </c>
      <c r="G1034" t="s">
        <v>10093</v>
      </c>
      <c r="H1034" t="s">
        <v>10133</v>
      </c>
      <c r="I1034" t="s">
        <v>10170</v>
      </c>
      <c r="J1034" t="s">
        <v>10213</v>
      </c>
      <c r="K1034" t="s">
        <v>10218</v>
      </c>
      <c r="L1034" t="s">
        <v>10147</v>
      </c>
      <c r="M1034" t="s">
        <v>10443</v>
      </c>
      <c r="N1034" t="s">
        <v>10644</v>
      </c>
      <c r="P1034" t="s">
        <v>10749</v>
      </c>
      <c r="Q1034" t="s">
        <v>10765</v>
      </c>
      <c r="R1034" t="s">
        <v>10827</v>
      </c>
      <c r="T1034">
        <v>21600</v>
      </c>
      <c r="U1034">
        <v>1800</v>
      </c>
      <c r="V1034">
        <v>73</v>
      </c>
      <c r="W1034">
        <v>1</v>
      </c>
      <c r="X1034">
        <v>0</v>
      </c>
      <c r="Y1034" t="s">
        <v>10829</v>
      </c>
      <c r="Z1034">
        <v>172.94</v>
      </c>
      <c r="AA1034">
        <v>40.740962</v>
      </c>
      <c r="AB1034">
        <v>-73.77836600000001</v>
      </c>
      <c r="AD1034" t="s">
        <v>10839</v>
      </c>
      <c r="AG1034" t="s">
        <v>10858</v>
      </c>
      <c r="AH1034" t="s">
        <v>10869</v>
      </c>
      <c r="AI1034">
        <v>239</v>
      </c>
      <c r="AJ1034" t="s">
        <v>10213</v>
      </c>
      <c r="AK1034" t="s">
        <v>10838</v>
      </c>
      <c r="AL1034">
        <v>3.5</v>
      </c>
      <c r="AM1034" t="s">
        <v>10890</v>
      </c>
      <c r="AN1034" t="s">
        <v>10934</v>
      </c>
      <c r="AO1034" t="s">
        <v>11009</v>
      </c>
      <c r="AP1034" t="s">
        <v>11078</v>
      </c>
      <c r="AR1034" t="s">
        <v>11370</v>
      </c>
      <c r="AS1034" t="s">
        <v>11594</v>
      </c>
      <c r="AT1034" t="s">
        <v>11641</v>
      </c>
      <c r="AV1034" t="s">
        <v>11656</v>
      </c>
      <c r="AW1034" t="s">
        <v>11645</v>
      </c>
      <c r="AX1034" t="s">
        <v>10838</v>
      </c>
      <c r="AY1034" t="s">
        <v>10829</v>
      </c>
      <c r="AZ1034" t="s">
        <v>11681</v>
      </c>
      <c r="BA1034" t="s">
        <v>11741</v>
      </c>
      <c r="BB1034">
        <v>0</v>
      </c>
      <c r="BC1034">
        <v>0</v>
      </c>
      <c r="BD1034">
        <v>0</v>
      </c>
      <c r="BE1034">
        <v>0</v>
      </c>
      <c r="BF1034">
        <v>1</v>
      </c>
      <c r="BG1034">
        <v>0</v>
      </c>
    </row>
    <row r="1035" spans="1:59">
      <c r="A1035" s="1">
        <f>HYPERLINK("https://lsnyc.legalserver.org/matter/dynamic-profile/view/1904847","19-1904847")</f>
        <v>0</v>
      </c>
      <c r="B1035" t="s">
        <v>977</v>
      </c>
      <c r="C1035" t="s">
        <v>5854</v>
      </c>
      <c r="D1035" t="s">
        <v>9986</v>
      </c>
      <c r="E1035" t="s">
        <v>10078</v>
      </c>
      <c r="F1035">
        <v>33543</v>
      </c>
      <c r="G1035" t="s">
        <v>10089</v>
      </c>
      <c r="H1035" t="s">
        <v>10133</v>
      </c>
      <c r="I1035" t="s">
        <v>10168</v>
      </c>
      <c r="J1035" t="s">
        <v>10209</v>
      </c>
      <c r="K1035" t="s">
        <v>10217</v>
      </c>
      <c r="M1035" t="s">
        <v>10503</v>
      </c>
      <c r="N1035" t="s">
        <v>10721</v>
      </c>
      <c r="P1035" t="s">
        <v>10754</v>
      </c>
      <c r="Q1035" t="s">
        <v>10777</v>
      </c>
      <c r="R1035" t="s">
        <v>10821</v>
      </c>
      <c r="T1035">
        <v>0</v>
      </c>
      <c r="U1035">
        <v>0</v>
      </c>
      <c r="V1035">
        <v>28</v>
      </c>
      <c r="W1035">
        <v>1</v>
      </c>
      <c r="X1035">
        <v>2</v>
      </c>
      <c r="Z1035">
        <v>0</v>
      </c>
      <c r="AA1035">
        <v>28.217865</v>
      </c>
      <c r="AB1035">
        <v>-82.31388699999999</v>
      </c>
      <c r="AD1035" t="s">
        <v>10839</v>
      </c>
      <c r="AG1035" t="s">
        <v>10858</v>
      </c>
      <c r="AH1035" t="s">
        <v>10871</v>
      </c>
      <c r="AI1035">
        <v>234</v>
      </c>
      <c r="AJ1035" t="s">
        <v>10214</v>
      </c>
      <c r="AK1035" t="s">
        <v>10837</v>
      </c>
      <c r="AL1035">
        <v>22.75</v>
      </c>
      <c r="AR1035" t="s">
        <v>11279</v>
      </c>
      <c r="AS1035" t="s">
        <v>11609</v>
      </c>
      <c r="AT1035" t="s">
        <v>11641</v>
      </c>
      <c r="AX1035" t="s">
        <v>10838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</row>
    <row r="1036" spans="1:59">
      <c r="A1036" s="1">
        <f>HYPERLINK("https://lsnyc.legalserver.org/matter/dynamic-profile/view/1904848","19-1904848")</f>
        <v>0</v>
      </c>
      <c r="B1036" t="s">
        <v>978</v>
      </c>
      <c r="C1036" t="s">
        <v>5855</v>
      </c>
      <c r="D1036" t="s">
        <v>9927</v>
      </c>
      <c r="E1036" t="s">
        <v>10075</v>
      </c>
      <c r="F1036">
        <v>11377</v>
      </c>
      <c r="G1036" t="s">
        <v>10092</v>
      </c>
      <c r="H1036" t="s">
        <v>10133</v>
      </c>
      <c r="I1036" t="s">
        <v>10168</v>
      </c>
      <c r="J1036" t="s">
        <v>10212</v>
      </c>
      <c r="K1036" t="s">
        <v>10217</v>
      </c>
      <c r="M1036" t="s">
        <v>10318</v>
      </c>
      <c r="N1036" t="s">
        <v>10684</v>
      </c>
      <c r="P1036" t="s">
        <v>10751</v>
      </c>
      <c r="Q1036" t="s">
        <v>10786</v>
      </c>
      <c r="R1036" t="s">
        <v>10821</v>
      </c>
      <c r="T1036">
        <v>0</v>
      </c>
      <c r="U1036">
        <v>0</v>
      </c>
      <c r="V1036">
        <v>2</v>
      </c>
      <c r="W1036">
        <v>1</v>
      </c>
      <c r="X1036">
        <v>1</v>
      </c>
      <c r="Z1036">
        <v>0</v>
      </c>
      <c r="AA1036">
        <v>40.743285</v>
      </c>
      <c r="AB1036">
        <v>-73.896896</v>
      </c>
      <c r="AD1036" t="s">
        <v>10840</v>
      </c>
      <c r="AG1036" t="s">
        <v>10858</v>
      </c>
      <c r="AH1036" t="s">
        <v>10873</v>
      </c>
      <c r="AI1036">
        <v>237</v>
      </c>
      <c r="AJ1036" t="s">
        <v>10212</v>
      </c>
      <c r="AL1036">
        <v>2.25</v>
      </c>
      <c r="AM1036" t="s">
        <v>10885</v>
      </c>
      <c r="AN1036" t="s">
        <v>10909</v>
      </c>
      <c r="AO1036" t="s">
        <v>11003</v>
      </c>
      <c r="AP1036" t="s">
        <v>11047</v>
      </c>
      <c r="AR1036" t="s">
        <v>11267</v>
      </c>
      <c r="AS1036" t="s">
        <v>11594</v>
      </c>
      <c r="AT1036" t="s">
        <v>11642</v>
      </c>
      <c r="AX1036" t="s">
        <v>10838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</row>
    <row r="1037" spans="1:59">
      <c r="A1037" s="1">
        <f>HYPERLINK("https://lsnyc.legalserver.org/matter/dynamic-profile/view/1904849","19-1904849")</f>
        <v>0</v>
      </c>
      <c r="B1037" t="s">
        <v>979</v>
      </c>
      <c r="C1037" t="s">
        <v>5856</v>
      </c>
      <c r="D1037" t="s">
        <v>9925</v>
      </c>
      <c r="E1037" t="s">
        <v>10075</v>
      </c>
      <c r="F1037">
        <v>10025</v>
      </c>
      <c r="G1037" t="s">
        <v>10093</v>
      </c>
      <c r="H1037" t="s">
        <v>10133</v>
      </c>
      <c r="I1037" t="s">
        <v>10168</v>
      </c>
      <c r="J1037" t="s">
        <v>10213</v>
      </c>
      <c r="K1037" t="s">
        <v>10218</v>
      </c>
      <c r="L1037" t="s">
        <v>10152</v>
      </c>
      <c r="M1037" t="s">
        <v>10358</v>
      </c>
      <c r="N1037" t="s">
        <v>10671</v>
      </c>
      <c r="P1037" t="s">
        <v>10752</v>
      </c>
      <c r="Q1037" t="s">
        <v>10783</v>
      </c>
      <c r="R1037" t="s">
        <v>10824</v>
      </c>
      <c r="T1037">
        <v>4800</v>
      </c>
      <c r="U1037">
        <v>400</v>
      </c>
      <c r="V1037">
        <v>32</v>
      </c>
      <c r="W1037">
        <v>1</v>
      </c>
      <c r="X1037">
        <v>1</v>
      </c>
      <c r="Y1037" t="s">
        <v>10829</v>
      </c>
      <c r="Z1037">
        <v>28.39</v>
      </c>
      <c r="AA1037">
        <v>40.802049</v>
      </c>
      <c r="AB1037">
        <v>-73.96293799999999</v>
      </c>
      <c r="AD1037" t="s">
        <v>10839</v>
      </c>
      <c r="AG1037" t="s">
        <v>10858</v>
      </c>
      <c r="AH1037" t="s">
        <v>10861</v>
      </c>
      <c r="AI1037">
        <v>234</v>
      </c>
      <c r="AJ1037" t="s">
        <v>10214</v>
      </c>
      <c r="AK1037" t="s">
        <v>10882</v>
      </c>
      <c r="AL1037">
        <v>1</v>
      </c>
      <c r="AM1037" t="s">
        <v>10887</v>
      </c>
      <c r="AN1037" t="s">
        <v>10953</v>
      </c>
      <c r="AO1037" t="s">
        <v>11016</v>
      </c>
      <c r="AP1037" t="s">
        <v>11073</v>
      </c>
      <c r="AR1037" t="s">
        <v>11297</v>
      </c>
      <c r="AS1037" t="s">
        <v>9925</v>
      </c>
      <c r="AT1037" t="s">
        <v>11641</v>
      </c>
      <c r="AX1037" t="s">
        <v>10838</v>
      </c>
      <c r="AY1037" t="s">
        <v>10829</v>
      </c>
      <c r="AZ1037" t="s">
        <v>11680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</row>
    <row r="1038" spans="1:59">
      <c r="A1038" s="1">
        <f>HYPERLINK("https://lsnyc.legalserver.org/matter/dynamic-profile/view/1904850","19-1904850")</f>
        <v>0</v>
      </c>
      <c r="B1038" t="s">
        <v>980</v>
      </c>
      <c r="C1038" t="s">
        <v>5857</v>
      </c>
      <c r="D1038" t="s">
        <v>9928</v>
      </c>
      <c r="E1038" t="s">
        <v>10075</v>
      </c>
      <c r="F1038">
        <v>11213</v>
      </c>
      <c r="G1038" t="s">
        <v>10093</v>
      </c>
      <c r="H1038" t="s">
        <v>10133</v>
      </c>
      <c r="J1038" t="s">
        <v>10213</v>
      </c>
      <c r="K1038" t="s">
        <v>10218</v>
      </c>
      <c r="L1038" t="s">
        <v>10098</v>
      </c>
      <c r="M1038" t="s">
        <v>10309</v>
      </c>
      <c r="N1038" t="s">
        <v>10698</v>
      </c>
      <c r="P1038" t="s">
        <v>10751</v>
      </c>
      <c r="Q1038" t="s">
        <v>10768</v>
      </c>
      <c r="R1038" t="s">
        <v>10824</v>
      </c>
      <c r="T1038">
        <v>4889.3</v>
      </c>
      <c r="U1038">
        <v>407.44</v>
      </c>
      <c r="V1038">
        <v>54</v>
      </c>
      <c r="W1038">
        <v>1</v>
      </c>
      <c r="X1038">
        <v>0</v>
      </c>
      <c r="Y1038" t="s">
        <v>10830</v>
      </c>
      <c r="Z1038">
        <v>39.15</v>
      </c>
      <c r="AA1038">
        <v>40.669648</v>
      </c>
      <c r="AB1038">
        <v>-73.937727</v>
      </c>
      <c r="AD1038" t="s">
        <v>10839</v>
      </c>
      <c r="AG1038" t="s">
        <v>10858</v>
      </c>
      <c r="AH1038" t="s">
        <v>10868</v>
      </c>
      <c r="AI1038">
        <v>239</v>
      </c>
      <c r="AJ1038" t="s">
        <v>10213</v>
      </c>
      <c r="AK1038" t="s">
        <v>10838</v>
      </c>
      <c r="AL1038">
        <v>9.75</v>
      </c>
      <c r="AM1038" t="s">
        <v>10888</v>
      </c>
      <c r="AN1038" t="s">
        <v>10914</v>
      </c>
      <c r="AO1038" t="s">
        <v>11005</v>
      </c>
      <c r="AP1038" t="s">
        <v>11061</v>
      </c>
      <c r="AR1038" t="s">
        <v>11255</v>
      </c>
      <c r="AS1038" t="s">
        <v>11595</v>
      </c>
      <c r="AT1038" t="s">
        <v>11641</v>
      </c>
      <c r="AX1038" t="s">
        <v>10838</v>
      </c>
      <c r="AY1038" t="s">
        <v>10830</v>
      </c>
      <c r="AZ1038" t="s">
        <v>11682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</row>
    <row r="1039" spans="1:59">
      <c r="A1039" s="1">
        <f>HYPERLINK("https://lsnyc.legalserver.org/matter/dynamic-profile/view/1904852","19-1904852")</f>
        <v>0</v>
      </c>
      <c r="B1039" t="s">
        <v>981</v>
      </c>
      <c r="C1039" t="s">
        <v>5858</v>
      </c>
      <c r="D1039" t="s">
        <v>9928</v>
      </c>
      <c r="E1039" t="s">
        <v>10075</v>
      </c>
      <c r="F1039">
        <v>11206</v>
      </c>
      <c r="G1039" t="s">
        <v>10093</v>
      </c>
      <c r="H1039" t="s">
        <v>10133</v>
      </c>
      <c r="I1039" t="s">
        <v>10168</v>
      </c>
      <c r="J1039" t="s">
        <v>10213</v>
      </c>
      <c r="K1039" t="s">
        <v>10217</v>
      </c>
      <c r="M1039" t="s">
        <v>10290</v>
      </c>
      <c r="N1039" t="s">
        <v>10694</v>
      </c>
      <c r="P1039" t="s">
        <v>10751</v>
      </c>
      <c r="Q1039" t="s">
        <v>10773</v>
      </c>
      <c r="R1039" t="s">
        <v>10821</v>
      </c>
      <c r="T1039">
        <v>15704</v>
      </c>
      <c r="U1039">
        <v>1308.67</v>
      </c>
      <c r="V1039">
        <v>28</v>
      </c>
      <c r="W1039">
        <v>1</v>
      </c>
      <c r="X1039">
        <v>0</v>
      </c>
      <c r="Z1039">
        <v>125.73</v>
      </c>
      <c r="AA1039">
        <v>40.702391</v>
      </c>
      <c r="AB1039">
        <v>-73.95268799999999</v>
      </c>
      <c r="AD1039" t="s">
        <v>10840</v>
      </c>
      <c r="AG1039" t="s">
        <v>10858</v>
      </c>
      <c r="AH1039" t="s">
        <v>10861</v>
      </c>
      <c r="AI1039">
        <v>234</v>
      </c>
      <c r="AJ1039" t="s">
        <v>10214</v>
      </c>
      <c r="AL1039">
        <v>1.3</v>
      </c>
      <c r="AM1039" t="s">
        <v>10886</v>
      </c>
      <c r="AN1039" t="s">
        <v>10939</v>
      </c>
      <c r="AO1039" t="s">
        <v>11004</v>
      </c>
      <c r="AP1039" t="s">
        <v>11054</v>
      </c>
      <c r="AR1039" t="s">
        <v>11293</v>
      </c>
      <c r="AS1039" t="s">
        <v>11595</v>
      </c>
      <c r="AT1039" t="s">
        <v>11642</v>
      </c>
      <c r="AX1039" t="s">
        <v>10838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</row>
    <row r="1040" spans="1:59">
      <c r="A1040" s="1">
        <f>HYPERLINK("https://lsnyc.legalserver.org/matter/dynamic-profile/view/1904853","19-1904853")</f>
        <v>0</v>
      </c>
      <c r="B1040" t="s">
        <v>982</v>
      </c>
      <c r="C1040" t="s">
        <v>5859</v>
      </c>
      <c r="D1040" t="s">
        <v>9929</v>
      </c>
      <c r="E1040" t="s">
        <v>10075</v>
      </c>
      <c r="F1040">
        <v>10301</v>
      </c>
      <c r="G1040" t="s">
        <v>10088</v>
      </c>
      <c r="H1040" t="s">
        <v>10124</v>
      </c>
      <c r="I1040" t="s">
        <v>10168</v>
      </c>
      <c r="J1040" t="s">
        <v>10208</v>
      </c>
      <c r="K1040" t="s">
        <v>10217</v>
      </c>
      <c r="M1040" t="s">
        <v>10237</v>
      </c>
      <c r="N1040" t="s">
        <v>10652</v>
      </c>
      <c r="P1040" t="s">
        <v>10754</v>
      </c>
      <c r="Q1040" t="s">
        <v>10766</v>
      </c>
      <c r="R1040" t="s">
        <v>10822</v>
      </c>
      <c r="T1040">
        <v>4800</v>
      </c>
      <c r="U1040">
        <v>400</v>
      </c>
      <c r="V1040">
        <v>22</v>
      </c>
      <c r="W1040">
        <v>1</v>
      </c>
      <c r="X1040">
        <v>1</v>
      </c>
      <c r="Z1040">
        <v>28.39</v>
      </c>
      <c r="AA1040">
        <v>40.641463</v>
      </c>
      <c r="AB1040">
        <v>-74.087553</v>
      </c>
      <c r="AD1040" t="s">
        <v>10839</v>
      </c>
      <c r="AG1040" t="s">
        <v>10858</v>
      </c>
      <c r="AH1040" t="s">
        <v>10861</v>
      </c>
      <c r="AI1040">
        <v>285</v>
      </c>
      <c r="AJ1040" t="s">
        <v>10208</v>
      </c>
      <c r="AL1040">
        <v>3.2</v>
      </c>
      <c r="AM1040" t="s">
        <v>10883</v>
      </c>
      <c r="AN1040" t="s">
        <v>10913</v>
      </c>
      <c r="AO1040" t="s">
        <v>11006</v>
      </c>
      <c r="AP1040" t="s">
        <v>11051</v>
      </c>
      <c r="AR1040" t="s">
        <v>11257</v>
      </c>
      <c r="AS1040" t="s">
        <v>11593</v>
      </c>
      <c r="AT1040" t="s">
        <v>11641</v>
      </c>
      <c r="AX1040" t="s">
        <v>10838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</row>
    <row r="1041" spans="1:59">
      <c r="A1041" s="1">
        <f>HYPERLINK("https://lsnyc.legalserver.org/matter/dynamic-profile/view/1904854","19-1904854")</f>
        <v>0</v>
      </c>
      <c r="B1041" t="s">
        <v>983</v>
      </c>
      <c r="C1041" t="s">
        <v>5860</v>
      </c>
      <c r="D1041" t="s">
        <v>9928</v>
      </c>
      <c r="E1041" t="s">
        <v>10075</v>
      </c>
      <c r="F1041">
        <v>11236</v>
      </c>
      <c r="G1041" t="s">
        <v>10093</v>
      </c>
      <c r="H1041" t="s">
        <v>10133</v>
      </c>
      <c r="J1041" t="s">
        <v>10213</v>
      </c>
      <c r="K1041" t="s">
        <v>10217</v>
      </c>
      <c r="M1041" t="s">
        <v>10249</v>
      </c>
      <c r="N1041" t="s">
        <v>10653</v>
      </c>
      <c r="P1041" t="s">
        <v>10749</v>
      </c>
      <c r="Q1041" t="s">
        <v>10759</v>
      </c>
      <c r="R1041" t="s">
        <v>10824</v>
      </c>
      <c r="T1041">
        <v>35200</v>
      </c>
      <c r="U1041">
        <v>2933.33</v>
      </c>
      <c r="V1041">
        <v>40</v>
      </c>
      <c r="W1041">
        <v>2</v>
      </c>
      <c r="X1041">
        <v>0</v>
      </c>
      <c r="Z1041">
        <v>208.16</v>
      </c>
      <c r="AA1041">
        <v>40.630706</v>
      </c>
      <c r="AB1041">
        <v>-73.906539</v>
      </c>
      <c r="AD1041" t="s">
        <v>10839</v>
      </c>
      <c r="AG1041" t="s">
        <v>10858</v>
      </c>
      <c r="AH1041" t="s">
        <v>10860</v>
      </c>
      <c r="AI1041">
        <v>239</v>
      </c>
      <c r="AJ1041" t="s">
        <v>10213</v>
      </c>
      <c r="AL1041">
        <v>2</v>
      </c>
      <c r="AM1041" t="s">
        <v>10889</v>
      </c>
      <c r="AN1041" t="s">
        <v>10959</v>
      </c>
      <c r="AO1041" t="s">
        <v>11012</v>
      </c>
      <c r="AP1041" t="s">
        <v>11072</v>
      </c>
      <c r="AR1041" t="s">
        <v>11280</v>
      </c>
      <c r="AS1041" t="s">
        <v>11595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</row>
    <row r="1042" spans="1:59">
      <c r="A1042" s="1">
        <f>HYPERLINK("https://lsnyc.legalserver.org/matter/dynamic-profile/view/1904855","19-1904855")</f>
        <v>0</v>
      </c>
      <c r="B1042" t="s">
        <v>984</v>
      </c>
      <c r="C1042" t="s">
        <v>5861</v>
      </c>
      <c r="D1042" t="s">
        <v>9932</v>
      </c>
      <c r="E1042" t="s">
        <v>10075</v>
      </c>
      <c r="F1042">
        <v>11368</v>
      </c>
      <c r="G1042" t="s">
        <v>10092</v>
      </c>
      <c r="H1042" t="s">
        <v>10133</v>
      </c>
      <c r="I1042" t="s">
        <v>10168</v>
      </c>
      <c r="J1042" t="s">
        <v>10212</v>
      </c>
      <c r="K1042" t="s">
        <v>10217</v>
      </c>
      <c r="M1042" t="s">
        <v>10318</v>
      </c>
      <c r="N1042" t="s">
        <v>10684</v>
      </c>
      <c r="P1042" t="s">
        <v>10751</v>
      </c>
      <c r="Q1042" t="s">
        <v>10786</v>
      </c>
      <c r="R1042" t="s">
        <v>10821</v>
      </c>
      <c r="T1042">
        <v>5200</v>
      </c>
      <c r="U1042">
        <v>433.33</v>
      </c>
      <c r="V1042">
        <v>6</v>
      </c>
      <c r="W1042">
        <v>1</v>
      </c>
      <c r="X1042">
        <v>1</v>
      </c>
      <c r="Z1042">
        <v>30.75</v>
      </c>
      <c r="AA1042">
        <v>40.750654</v>
      </c>
      <c r="AB1042">
        <v>-73.861799</v>
      </c>
      <c r="AD1042" t="s">
        <v>10840</v>
      </c>
      <c r="AG1042" t="s">
        <v>10858</v>
      </c>
      <c r="AH1042" t="s">
        <v>10873</v>
      </c>
      <c r="AI1042">
        <v>237</v>
      </c>
      <c r="AJ1042" t="s">
        <v>10212</v>
      </c>
      <c r="AL1042">
        <v>3.25</v>
      </c>
      <c r="AM1042" t="s">
        <v>10885</v>
      </c>
      <c r="AN1042" t="s">
        <v>10949</v>
      </c>
      <c r="AO1042" t="s">
        <v>11014</v>
      </c>
      <c r="AP1042" t="s">
        <v>11068</v>
      </c>
      <c r="AR1042" t="s">
        <v>11257</v>
      </c>
      <c r="AS1042" t="s">
        <v>11594</v>
      </c>
      <c r="AT1042" t="s">
        <v>11642</v>
      </c>
      <c r="AX1042" t="s">
        <v>10838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</row>
    <row r="1043" spans="1:59">
      <c r="A1043" s="1">
        <f>HYPERLINK("https://lsnyc.legalserver.org/matter/dynamic-profile/view/1904856","19-1904856")</f>
        <v>0</v>
      </c>
      <c r="B1043" t="s">
        <v>985</v>
      </c>
      <c r="C1043" t="s">
        <v>5862</v>
      </c>
      <c r="D1043" t="s">
        <v>9929</v>
      </c>
      <c r="E1043" t="s">
        <v>10075</v>
      </c>
      <c r="F1043">
        <v>10303</v>
      </c>
      <c r="G1043" t="s">
        <v>10088</v>
      </c>
      <c r="H1043" t="s">
        <v>10124</v>
      </c>
      <c r="I1043" t="s">
        <v>10169</v>
      </c>
      <c r="J1043" t="s">
        <v>10208</v>
      </c>
      <c r="K1043" t="s">
        <v>10217</v>
      </c>
      <c r="M1043" t="s">
        <v>10237</v>
      </c>
      <c r="N1043" t="s">
        <v>10652</v>
      </c>
      <c r="P1043" t="s">
        <v>10754</v>
      </c>
      <c r="Q1043" t="s">
        <v>10766</v>
      </c>
      <c r="R1043" t="s">
        <v>10821</v>
      </c>
      <c r="T1043">
        <v>20000</v>
      </c>
      <c r="U1043">
        <v>1666.67</v>
      </c>
      <c r="V1043">
        <v>40</v>
      </c>
      <c r="W1043">
        <v>1</v>
      </c>
      <c r="X1043">
        <v>2</v>
      </c>
      <c r="Z1043">
        <v>93.76000000000001</v>
      </c>
      <c r="AA1043">
        <v>40.640033</v>
      </c>
      <c r="AB1043">
        <v>-74.17065700000001</v>
      </c>
      <c r="AD1043" t="s">
        <v>10839</v>
      </c>
      <c r="AG1043" t="s">
        <v>10858</v>
      </c>
      <c r="AH1043" t="s">
        <v>10861</v>
      </c>
      <c r="AI1043">
        <v>285</v>
      </c>
      <c r="AJ1043" t="s">
        <v>10208</v>
      </c>
      <c r="AL1043">
        <v>0.5</v>
      </c>
      <c r="AM1043" t="s">
        <v>10883</v>
      </c>
      <c r="AN1043" t="s">
        <v>10928</v>
      </c>
      <c r="AO1043" t="s">
        <v>11006</v>
      </c>
      <c r="AP1043" t="s">
        <v>11051</v>
      </c>
      <c r="AR1043" t="s">
        <v>11257</v>
      </c>
      <c r="AS1043" t="s">
        <v>11593</v>
      </c>
      <c r="AT1043" t="s">
        <v>11641</v>
      </c>
      <c r="AX1043" t="s">
        <v>10837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</row>
    <row r="1044" spans="1:59">
      <c r="A1044" s="1">
        <f>HYPERLINK("https://lsnyc.legalserver.org/matter/dynamic-profile/view/1904857","19-1904857")</f>
        <v>0</v>
      </c>
      <c r="B1044" t="s">
        <v>986</v>
      </c>
      <c r="C1044" t="s">
        <v>5863</v>
      </c>
      <c r="D1044" t="s">
        <v>9926</v>
      </c>
      <c r="E1044" t="s">
        <v>10075</v>
      </c>
      <c r="F1044">
        <v>10467</v>
      </c>
      <c r="G1044" t="s">
        <v>10090</v>
      </c>
      <c r="H1044" t="s">
        <v>10133</v>
      </c>
      <c r="I1044" t="s">
        <v>10169</v>
      </c>
      <c r="J1044" t="s">
        <v>10210</v>
      </c>
      <c r="K1044" t="s">
        <v>10218</v>
      </c>
      <c r="L1044" t="s">
        <v>10153</v>
      </c>
      <c r="M1044" t="s">
        <v>10303</v>
      </c>
      <c r="N1044" t="s">
        <v>10682</v>
      </c>
      <c r="P1044" t="s">
        <v>10751</v>
      </c>
      <c r="Q1044" t="s">
        <v>10776</v>
      </c>
      <c r="R1044" t="s">
        <v>10821</v>
      </c>
      <c r="S1044" t="s">
        <v>10821</v>
      </c>
      <c r="T1044">
        <v>9528</v>
      </c>
      <c r="U1044">
        <v>794</v>
      </c>
      <c r="V1044">
        <v>57</v>
      </c>
      <c r="W1044">
        <v>2</v>
      </c>
      <c r="X1044">
        <v>0</v>
      </c>
      <c r="Y1044" t="s">
        <v>10833</v>
      </c>
      <c r="Z1044">
        <v>56.35</v>
      </c>
      <c r="AA1044">
        <v>40.870429</v>
      </c>
      <c r="AB1044">
        <v>-73.867497</v>
      </c>
      <c r="AD1044" t="s">
        <v>10840</v>
      </c>
      <c r="AG1044" t="s">
        <v>10858</v>
      </c>
      <c r="AH1044" t="s">
        <v>10874</v>
      </c>
      <c r="AI1044">
        <v>230</v>
      </c>
      <c r="AJ1044" t="s">
        <v>10210</v>
      </c>
      <c r="AK1044" t="s">
        <v>10838</v>
      </c>
      <c r="AL1044">
        <v>3.45</v>
      </c>
      <c r="AM1044" t="s">
        <v>10893</v>
      </c>
      <c r="AN1044" t="s">
        <v>10938</v>
      </c>
      <c r="AO1044" t="s">
        <v>11010</v>
      </c>
      <c r="AP1044" t="s">
        <v>11056</v>
      </c>
      <c r="AR1044" t="s">
        <v>11263</v>
      </c>
      <c r="AS1044" t="s">
        <v>9926</v>
      </c>
      <c r="AY1044" t="s">
        <v>10833</v>
      </c>
      <c r="AZ1044" t="s">
        <v>11688</v>
      </c>
      <c r="BB1044">
        <v>0</v>
      </c>
      <c r="BC1044">
        <v>0</v>
      </c>
      <c r="BD1044">
        <v>1099.21</v>
      </c>
      <c r="BE1044">
        <v>0</v>
      </c>
      <c r="BF1044">
        <v>0</v>
      </c>
      <c r="BG1044">
        <v>0</v>
      </c>
    </row>
    <row r="1045" spans="1:59">
      <c r="A1045" s="1">
        <f>HYPERLINK("https://lsnyc.legalserver.org/matter/dynamic-profile/view/1904859","19-1904859")</f>
        <v>0</v>
      </c>
      <c r="B1045" t="s">
        <v>987</v>
      </c>
      <c r="C1045" t="s">
        <v>5864</v>
      </c>
      <c r="D1045" t="s">
        <v>9928</v>
      </c>
      <c r="E1045" t="s">
        <v>10075</v>
      </c>
      <c r="F1045">
        <v>11207</v>
      </c>
      <c r="G1045" t="s">
        <v>10093</v>
      </c>
      <c r="H1045" t="s">
        <v>10133</v>
      </c>
      <c r="I1045" t="s">
        <v>10168</v>
      </c>
      <c r="J1045" t="s">
        <v>10213</v>
      </c>
      <c r="K1045" t="s">
        <v>10217</v>
      </c>
      <c r="M1045" t="s">
        <v>10265</v>
      </c>
      <c r="N1045" t="s">
        <v>10671</v>
      </c>
      <c r="P1045" t="s">
        <v>10751</v>
      </c>
      <c r="Q1045" t="s">
        <v>10761</v>
      </c>
      <c r="R1045" t="s">
        <v>10824</v>
      </c>
      <c r="T1045">
        <v>31200</v>
      </c>
      <c r="U1045">
        <v>2600</v>
      </c>
      <c r="V1045">
        <v>24</v>
      </c>
      <c r="W1045">
        <v>2</v>
      </c>
      <c r="X1045">
        <v>0</v>
      </c>
      <c r="Z1045">
        <v>184.51</v>
      </c>
      <c r="AA1045">
        <v>40.673108</v>
      </c>
      <c r="AB1045">
        <v>-73.89161799999999</v>
      </c>
      <c r="AD1045" t="s">
        <v>10822</v>
      </c>
      <c r="AG1045" t="s">
        <v>10858</v>
      </c>
      <c r="AH1045" t="s">
        <v>10862</v>
      </c>
      <c r="AI1045">
        <v>239</v>
      </c>
      <c r="AJ1045" t="s">
        <v>10213</v>
      </c>
      <c r="AL1045">
        <v>15.75</v>
      </c>
      <c r="AM1045" t="s">
        <v>10889</v>
      </c>
      <c r="AN1045" t="s">
        <v>10922</v>
      </c>
      <c r="AO1045" t="s">
        <v>11012</v>
      </c>
      <c r="AP1045" t="s">
        <v>11058</v>
      </c>
      <c r="AR1045" t="s">
        <v>11257</v>
      </c>
      <c r="AS1045" t="s">
        <v>11595</v>
      </c>
      <c r="AT1045" t="s">
        <v>11641</v>
      </c>
      <c r="BA1045" t="s">
        <v>11737</v>
      </c>
      <c r="BB1045">
        <v>0</v>
      </c>
      <c r="BC1045">
        <v>0</v>
      </c>
      <c r="BD1045">
        <v>0</v>
      </c>
      <c r="BE1045">
        <v>0</v>
      </c>
      <c r="BF1045">
        <v>3</v>
      </c>
      <c r="BG1045">
        <v>0</v>
      </c>
    </row>
    <row r="1046" spans="1:59">
      <c r="A1046" s="1">
        <f>HYPERLINK("https://lsnyc.legalserver.org/matter/dynamic-profile/view/1904862","19-1904862")</f>
        <v>0</v>
      </c>
      <c r="B1046" t="s">
        <v>988</v>
      </c>
      <c r="C1046" t="s">
        <v>5187</v>
      </c>
      <c r="D1046" t="s">
        <v>9928</v>
      </c>
      <c r="E1046" t="s">
        <v>10075</v>
      </c>
      <c r="F1046">
        <v>11226</v>
      </c>
      <c r="G1046" t="s">
        <v>10093</v>
      </c>
      <c r="H1046" t="s">
        <v>10133</v>
      </c>
      <c r="I1046" t="s">
        <v>10168</v>
      </c>
      <c r="J1046" t="s">
        <v>10213</v>
      </c>
      <c r="K1046" t="s">
        <v>10217</v>
      </c>
      <c r="M1046" t="s">
        <v>10390</v>
      </c>
      <c r="N1046" t="s">
        <v>10644</v>
      </c>
      <c r="P1046" t="s">
        <v>10749</v>
      </c>
      <c r="Q1046" t="s">
        <v>10767</v>
      </c>
      <c r="R1046" t="s">
        <v>10824</v>
      </c>
      <c r="T1046">
        <v>1980</v>
      </c>
      <c r="U1046">
        <v>165</v>
      </c>
      <c r="V1046">
        <v>63</v>
      </c>
      <c r="W1046">
        <v>1</v>
      </c>
      <c r="X1046">
        <v>0</v>
      </c>
      <c r="Z1046">
        <v>15.85</v>
      </c>
      <c r="AA1046">
        <v>40.639528</v>
      </c>
      <c r="AB1046">
        <v>-73.957795</v>
      </c>
      <c r="AD1046" t="s">
        <v>10840</v>
      </c>
      <c r="AG1046" t="s">
        <v>10858</v>
      </c>
      <c r="AH1046" t="s">
        <v>10869</v>
      </c>
      <c r="AI1046">
        <v>239</v>
      </c>
      <c r="AJ1046" t="s">
        <v>10213</v>
      </c>
      <c r="AL1046">
        <v>1.5</v>
      </c>
      <c r="AM1046" t="s">
        <v>10888</v>
      </c>
      <c r="AN1046" t="s">
        <v>10932</v>
      </c>
      <c r="AO1046" t="s">
        <v>11008</v>
      </c>
      <c r="AP1046" t="s">
        <v>11050</v>
      </c>
      <c r="AR1046" t="s">
        <v>11291</v>
      </c>
      <c r="AS1046" t="s">
        <v>11595</v>
      </c>
      <c r="BA1046" t="s">
        <v>11740</v>
      </c>
      <c r="BB1046">
        <v>0</v>
      </c>
      <c r="BC1046">
        <v>0</v>
      </c>
      <c r="BD1046">
        <v>0</v>
      </c>
      <c r="BE1046">
        <v>0</v>
      </c>
      <c r="BF1046">
        <v>2</v>
      </c>
      <c r="BG1046">
        <v>0</v>
      </c>
    </row>
    <row r="1047" spans="1:59">
      <c r="A1047" s="1">
        <f>HYPERLINK("https://lsnyc.legalserver.org/matter/dynamic-profile/view/1904863","19-1904863")</f>
        <v>0</v>
      </c>
      <c r="B1047" t="s">
        <v>986</v>
      </c>
      <c r="C1047" t="s">
        <v>5863</v>
      </c>
      <c r="D1047" t="s">
        <v>9926</v>
      </c>
      <c r="E1047" t="s">
        <v>10075</v>
      </c>
      <c r="F1047">
        <v>10467</v>
      </c>
      <c r="G1047" t="s">
        <v>10090</v>
      </c>
      <c r="H1047" t="s">
        <v>10133</v>
      </c>
      <c r="I1047" t="s">
        <v>10169</v>
      </c>
      <c r="J1047" t="s">
        <v>10210</v>
      </c>
      <c r="K1047" t="s">
        <v>10218</v>
      </c>
      <c r="L1047" t="s">
        <v>10153</v>
      </c>
      <c r="M1047" t="s">
        <v>10303</v>
      </c>
      <c r="N1047" t="s">
        <v>10688</v>
      </c>
      <c r="P1047" t="s">
        <v>10751</v>
      </c>
      <c r="Q1047" t="s">
        <v>10786</v>
      </c>
      <c r="R1047" t="s">
        <v>10821</v>
      </c>
      <c r="S1047" t="s">
        <v>10821</v>
      </c>
      <c r="T1047">
        <v>9528</v>
      </c>
      <c r="U1047">
        <v>794</v>
      </c>
      <c r="V1047">
        <v>57</v>
      </c>
      <c r="W1047">
        <v>2</v>
      </c>
      <c r="X1047">
        <v>0</v>
      </c>
      <c r="Y1047" t="s">
        <v>10834</v>
      </c>
      <c r="Z1047">
        <v>56.35</v>
      </c>
      <c r="AA1047">
        <v>40.870429</v>
      </c>
      <c r="AB1047">
        <v>-73.867497</v>
      </c>
      <c r="AD1047" t="s">
        <v>10840</v>
      </c>
      <c r="AG1047" t="s">
        <v>10858</v>
      </c>
      <c r="AH1047" t="s">
        <v>10874</v>
      </c>
      <c r="AI1047">
        <v>230</v>
      </c>
      <c r="AJ1047" t="s">
        <v>10210</v>
      </c>
      <c r="AK1047" t="s">
        <v>10838</v>
      </c>
      <c r="AL1047">
        <v>2</v>
      </c>
      <c r="AR1047" t="s">
        <v>11263</v>
      </c>
      <c r="AS1047" t="s">
        <v>9926</v>
      </c>
      <c r="AY1047" t="s">
        <v>10834</v>
      </c>
      <c r="AZ1047" t="s">
        <v>11688</v>
      </c>
      <c r="BB1047">
        <v>0</v>
      </c>
      <c r="BC1047">
        <v>0</v>
      </c>
      <c r="BD1047">
        <v>0</v>
      </c>
      <c r="BE1047">
        <v>192</v>
      </c>
      <c r="BF1047">
        <v>0</v>
      </c>
      <c r="BG1047">
        <v>0</v>
      </c>
    </row>
    <row r="1048" spans="1:59">
      <c r="A1048" s="1">
        <f>HYPERLINK("https://lsnyc.legalserver.org/matter/dynamic-profile/view/1904865","19-1904865")</f>
        <v>0</v>
      </c>
      <c r="B1048" t="s">
        <v>989</v>
      </c>
      <c r="C1048" t="s">
        <v>5865</v>
      </c>
      <c r="D1048" t="s">
        <v>9926</v>
      </c>
      <c r="E1048" t="s">
        <v>10075</v>
      </c>
      <c r="F1048">
        <v>10456</v>
      </c>
      <c r="G1048" t="s">
        <v>10090</v>
      </c>
      <c r="H1048" t="s">
        <v>10133</v>
      </c>
      <c r="I1048" t="s">
        <v>10169</v>
      </c>
      <c r="J1048" t="s">
        <v>10210</v>
      </c>
      <c r="K1048" t="s">
        <v>10217</v>
      </c>
      <c r="M1048" t="s">
        <v>10519</v>
      </c>
      <c r="N1048" t="s">
        <v>10723</v>
      </c>
      <c r="P1048" t="s">
        <v>10753</v>
      </c>
      <c r="Q1048" t="s">
        <v>10809</v>
      </c>
      <c r="R1048" t="s">
        <v>10821</v>
      </c>
      <c r="T1048">
        <v>0</v>
      </c>
      <c r="U1048">
        <v>0</v>
      </c>
      <c r="V1048">
        <v>49</v>
      </c>
      <c r="W1048">
        <v>2</v>
      </c>
      <c r="X1048">
        <v>0</v>
      </c>
      <c r="Z1048">
        <v>0</v>
      </c>
      <c r="AA1048">
        <v>40.835974</v>
      </c>
      <c r="AB1048">
        <v>-73.9152</v>
      </c>
      <c r="AD1048" t="s">
        <v>10839</v>
      </c>
      <c r="AF1048" t="s">
        <v>10842</v>
      </c>
      <c r="AG1048" t="s">
        <v>10859</v>
      </c>
      <c r="AH1048" t="s">
        <v>10861</v>
      </c>
      <c r="AI1048">
        <v>230</v>
      </c>
      <c r="AJ1048" t="s">
        <v>10210</v>
      </c>
      <c r="AL1048">
        <v>8.699999999999999</v>
      </c>
      <c r="AM1048" t="s">
        <v>10884</v>
      </c>
      <c r="AN1048" t="s">
        <v>10929</v>
      </c>
      <c r="AO1048" t="s">
        <v>11013</v>
      </c>
      <c r="AP1048" t="s">
        <v>11055</v>
      </c>
      <c r="AQ1048" t="s">
        <v>11180</v>
      </c>
      <c r="AR1048" t="s">
        <v>11267</v>
      </c>
      <c r="AS1048" t="s">
        <v>9926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</row>
    <row r="1049" spans="1:59">
      <c r="A1049" s="1">
        <f>HYPERLINK("https://lsnyc.legalserver.org/matter/dynamic-profile/view/1904866","19-1904866")</f>
        <v>0</v>
      </c>
      <c r="B1049" t="s">
        <v>990</v>
      </c>
      <c r="C1049" t="s">
        <v>5866</v>
      </c>
      <c r="D1049" t="s">
        <v>9951</v>
      </c>
      <c r="E1049" t="s">
        <v>10075</v>
      </c>
      <c r="F1049">
        <v>11416</v>
      </c>
      <c r="G1049" t="s">
        <v>10092</v>
      </c>
      <c r="H1049" t="s">
        <v>10133</v>
      </c>
      <c r="I1049" t="s">
        <v>10168</v>
      </c>
      <c r="J1049" t="s">
        <v>10212</v>
      </c>
      <c r="K1049" t="s">
        <v>10217</v>
      </c>
      <c r="M1049" t="s">
        <v>10520</v>
      </c>
      <c r="N1049" t="s">
        <v>10678</v>
      </c>
      <c r="P1049" t="s">
        <v>10749</v>
      </c>
      <c r="Q1049" t="s">
        <v>10769</v>
      </c>
      <c r="R1049" t="s">
        <v>10825</v>
      </c>
      <c r="T1049">
        <v>2470</v>
      </c>
      <c r="U1049">
        <v>205.83</v>
      </c>
      <c r="V1049">
        <v>61</v>
      </c>
      <c r="W1049">
        <v>1</v>
      </c>
      <c r="X1049">
        <v>0</v>
      </c>
      <c r="Z1049">
        <v>19.78</v>
      </c>
      <c r="AA1049">
        <v>40.682408</v>
      </c>
      <c r="AB1049">
        <v>-73.86304</v>
      </c>
      <c r="AD1049" t="s">
        <v>10839</v>
      </c>
      <c r="AG1049" t="s">
        <v>10858</v>
      </c>
      <c r="AH1049" t="s">
        <v>10861</v>
      </c>
      <c r="AI1049">
        <v>234</v>
      </c>
      <c r="AJ1049" t="s">
        <v>10214</v>
      </c>
      <c r="AL1049">
        <v>6.85</v>
      </c>
      <c r="AM1049" t="s">
        <v>10886</v>
      </c>
      <c r="AN1049" t="s">
        <v>10945</v>
      </c>
      <c r="AO1049" t="s">
        <v>11003</v>
      </c>
      <c r="AP1049" t="s">
        <v>11088</v>
      </c>
      <c r="AR1049" t="s">
        <v>11255</v>
      </c>
      <c r="AS1049" t="s">
        <v>11594</v>
      </c>
      <c r="AT1049" t="s">
        <v>11641</v>
      </c>
      <c r="AX1049" t="s">
        <v>10838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</row>
    <row r="1050" spans="1:59">
      <c r="A1050" s="1">
        <f>HYPERLINK("https://lsnyc.legalserver.org/matter/dynamic-profile/view/1904867","19-1904867")</f>
        <v>0</v>
      </c>
      <c r="B1050" t="s">
        <v>991</v>
      </c>
      <c r="C1050" t="s">
        <v>5867</v>
      </c>
      <c r="D1050" t="s">
        <v>9925</v>
      </c>
      <c r="E1050" t="s">
        <v>10075</v>
      </c>
      <c r="F1050">
        <v>10040</v>
      </c>
      <c r="G1050" t="s">
        <v>10089</v>
      </c>
      <c r="H1050" t="s">
        <v>10133</v>
      </c>
      <c r="I1050" t="s">
        <v>10168</v>
      </c>
      <c r="J1050" t="s">
        <v>10209</v>
      </c>
      <c r="K1050" t="s">
        <v>10217</v>
      </c>
      <c r="M1050" t="s">
        <v>10301</v>
      </c>
      <c r="N1050" t="s">
        <v>10665</v>
      </c>
      <c r="P1050" t="s">
        <v>10751</v>
      </c>
      <c r="Q1050" t="s">
        <v>10773</v>
      </c>
      <c r="R1050" t="s">
        <v>10823</v>
      </c>
      <c r="T1050">
        <v>49400</v>
      </c>
      <c r="U1050">
        <v>4116.67</v>
      </c>
      <c r="V1050">
        <v>58</v>
      </c>
      <c r="W1050">
        <v>2</v>
      </c>
      <c r="X1050">
        <v>0</v>
      </c>
      <c r="Z1050">
        <v>292.13</v>
      </c>
      <c r="AA1050">
        <v>40.861034</v>
      </c>
      <c r="AB1050">
        <v>-73.92572800000001</v>
      </c>
      <c r="AC1050" t="s">
        <v>10837</v>
      </c>
      <c r="AD1050" t="s">
        <v>10840</v>
      </c>
      <c r="AG1050" t="s">
        <v>10858</v>
      </c>
      <c r="AH1050" t="s">
        <v>10861</v>
      </c>
      <c r="AI1050">
        <v>234</v>
      </c>
      <c r="AJ1050" t="s">
        <v>10214</v>
      </c>
      <c r="AL1050">
        <v>21.65</v>
      </c>
      <c r="AM1050" t="s">
        <v>10887</v>
      </c>
      <c r="AN1050" t="s">
        <v>10937</v>
      </c>
      <c r="AO1050" t="s">
        <v>11019</v>
      </c>
      <c r="AP1050" t="s">
        <v>11074</v>
      </c>
      <c r="AQ1050" t="s">
        <v>11115</v>
      </c>
      <c r="AR1050" t="s">
        <v>11332</v>
      </c>
      <c r="AS1050" t="s">
        <v>9925</v>
      </c>
      <c r="AT1050" t="s">
        <v>11642</v>
      </c>
      <c r="AX1050" t="s">
        <v>10838</v>
      </c>
      <c r="BA1050" t="s">
        <v>11739</v>
      </c>
      <c r="BB1050">
        <v>0</v>
      </c>
      <c r="BC1050">
        <v>0</v>
      </c>
      <c r="BD1050">
        <v>0</v>
      </c>
      <c r="BE1050">
        <v>0</v>
      </c>
      <c r="BF1050">
        <v>4</v>
      </c>
      <c r="BG1050">
        <v>0</v>
      </c>
    </row>
    <row r="1051" spans="1:59">
      <c r="A1051" s="1">
        <f>HYPERLINK("https://lsnyc.legalserver.org/matter/dynamic-profile/view/1904868","19-1904868")</f>
        <v>0</v>
      </c>
      <c r="B1051" t="s">
        <v>909</v>
      </c>
      <c r="C1051" t="s">
        <v>5795</v>
      </c>
      <c r="D1051" t="s">
        <v>9926</v>
      </c>
      <c r="E1051" t="s">
        <v>10075</v>
      </c>
      <c r="F1051">
        <v>10462</v>
      </c>
      <c r="G1051" t="s">
        <v>10090</v>
      </c>
      <c r="H1051" t="s">
        <v>10112</v>
      </c>
      <c r="I1051" t="s">
        <v>10168</v>
      </c>
      <c r="J1051" t="s">
        <v>10210</v>
      </c>
      <c r="K1051" t="s">
        <v>10217</v>
      </c>
      <c r="M1051" t="s">
        <v>10511</v>
      </c>
      <c r="N1051" t="s">
        <v>10671</v>
      </c>
      <c r="P1051" t="s">
        <v>10751</v>
      </c>
      <c r="Q1051" t="s">
        <v>10761</v>
      </c>
      <c r="R1051" t="s">
        <v>10824</v>
      </c>
      <c r="T1051">
        <v>22568</v>
      </c>
      <c r="U1051">
        <v>1880.67</v>
      </c>
      <c r="V1051">
        <v>53</v>
      </c>
      <c r="W1051">
        <v>2</v>
      </c>
      <c r="X1051">
        <v>1</v>
      </c>
      <c r="Z1051">
        <v>105.8</v>
      </c>
      <c r="AA1051">
        <v>40.839891</v>
      </c>
      <c r="AB1051">
        <v>-73.862419</v>
      </c>
      <c r="AD1051" t="s">
        <v>10839</v>
      </c>
      <c r="AG1051" t="s">
        <v>10858</v>
      </c>
      <c r="AH1051" t="s">
        <v>10862</v>
      </c>
      <c r="AI1051">
        <v>230</v>
      </c>
      <c r="AJ1051" t="s">
        <v>10210</v>
      </c>
      <c r="AL1051">
        <v>0.5</v>
      </c>
      <c r="AM1051" t="s">
        <v>10885</v>
      </c>
      <c r="AN1051" t="s">
        <v>10908</v>
      </c>
      <c r="AO1051" t="s">
        <v>11001</v>
      </c>
      <c r="AP1051" t="s">
        <v>11046</v>
      </c>
      <c r="AR1051" t="s">
        <v>11257</v>
      </c>
      <c r="AS1051" t="s">
        <v>9926</v>
      </c>
      <c r="AT1051" t="s">
        <v>11641</v>
      </c>
      <c r="AX1051" t="s">
        <v>10838</v>
      </c>
      <c r="BA1051" t="s">
        <v>11737</v>
      </c>
      <c r="BB1051">
        <v>0</v>
      </c>
      <c r="BC1051">
        <v>0</v>
      </c>
      <c r="BD1051">
        <v>0</v>
      </c>
      <c r="BE1051">
        <v>0</v>
      </c>
      <c r="BF1051">
        <v>3</v>
      </c>
      <c r="BG1051">
        <v>0</v>
      </c>
    </row>
    <row r="1052" spans="1:59">
      <c r="A1052" s="1">
        <f>HYPERLINK("https://lsnyc.legalserver.org/matter/dynamic-profile/view/1904869","19-1904869")</f>
        <v>0</v>
      </c>
      <c r="B1052" t="s">
        <v>992</v>
      </c>
      <c r="C1052" t="s">
        <v>5868</v>
      </c>
      <c r="D1052" t="s">
        <v>9926</v>
      </c>
      <c r="E1052" t="s">
        <v>10075</v>
      </c>
      <c r="F1052">
        <v>10462</v>
      </c>
      <c r="G1052" t="s">
        <v>10090</v>
      </c>
      <c r="H1052" t="s">
        <v>10133</v>
      </c>
      <c r="I1052" t="s">
        <v>10168</v>
      </c>
      <c r="J1052" t="s">
        <v>10210</v>
      </c>
      <c r="K1052" t="s">
        <v>10217</v>
      </c>
      <c r="M1052" t="s">
        <v>10338</v>
      </c>
      <c r="N1052" t="s">
        <v>10671</v>
      </c>
      <c r="P1052" t="s">
        <v>10752</v>
      </c>
      <c r="Q1052" t="s">
        <v>10811</v>
      </c>
      <c r="R1052" t="s">
        <v>10825</v>
      </c>
      <c r="T1052">
        <v>20832</v>
      </c>
      <c r="U1052">
        <v>1736</v>
      </c>
      <c r="V1052">
        <v>32</v>
      </c>
      <c r="W1052">
        <v>1</v>
      </c>
      <c r="X1052">
        <v>0</v>
      </c>
      <c r="Z1052">
        <v>166.79</v>
      </c>
      <c r="AA1052">
        <v>40.833385</v>
      </c>
      <c r="AB1052">
        <v>-73.856517</v>
      </c>
      <c r="AD1052" t="s">
        <v>10840</v>
      </c>
      <c r="AG1052" t="s">
        <v>10858</v>
      </c>
      <c r="AH1052" t="s">
        <v>10874</v>
      </c>
      <c r="AI1052">
        <v>230</v>
      </c>
      <c r="AJ1052" t="s">
        <v>10210</v>
      </c>
      <c r="AL1052">
        <v>1.3</v>
      </c>
      <c r="AM1052" t="s">
        <v>10885</v>
      </c>
      <c r="AN1052" t="s">
        <v>10908</v>
      </c>
      <c r="AO1052" t="s">
        <v>11002</v>
      </c>
      <c r="AP1052" t="s">
        <v>11046</v>
      </c>
      <c r="AR1052" t="s">
        <v>11296</v>
      </c>
      <c r="AS1052" t="s">
        <v>9926</v>
      </c>
      <c r="BA1052" t="s">
        <v>11740</v>
      </c>
      <c r="BB1052">
        <v>0</v>
      </c>
      <c r="BC1052">
        <v>0</v>
      </c>
      <c r="BD1052">
        <v>0</v>
      </c>
      <c r="BE1052">
        <v>0</v>
      </c>
      <c r="BF1052">
        <v>2</v>
      </c>
      <c r="BG1052">
        <v>0</v>
      </c>
    </row>
    <row r="1053" spans="1:59">
      <c r="A1053" s="1">
        <f>HYPERLINK("https://lsnyc.legalserver.org/matter/dynamic-profile/view/1904870","19-1904870")</f>
        <v>0</v>
      </c>
      <c r="B1053" t="s">
        <v>993</v>
      </c>
      <c r="C1053" t="s">
        <v>5869</v>
      </c>
      <c r="D1053" t="s">
        <v>9926</v>
      </c>
      <c r="E1053" t="s">
        <v>10075</v>
      </c>
      <c r="F1053">
        <v>10451</v>
      </c>
      <c r="G1053" t="s">
        <v>10090</v>
      </c>
      <c r="H1053" t="s">
        <v>10133</v>
      </c>
      <c r="I1053" t="s">
        <v>10168</v>
      </c>
      <c r="J1053" t="s">
        <v>10210</v>
      </c>
      <c r="K1053" t="s">
        <v>10217</v>
      </c>
      <c r="M1053" t="s">
        <v>10407</v>
      </c>
      <c r="N1053" t="s">
        <v>10671</v>
      </c>
      <c r="P1053" t="s">
        <v>10754</v>
      </c>
      <c r="Q1053" t="s">
        <v>10775</v>
      </c>
      <c r="R1053" t="s">
        <v>10820</v>
      </c>
      <c r="T1053">
        <v>4656</v>
      </c>
      <c r="U1053">
        <v>388</v>
      </c>
      <c r="V1053">
        <v>29</v>
      </c>
      <c r="W1053">
        <v>1</v>
      </c>
      <c r="X1053">
        <v>1</v>
      </c>
      <c r="Z1053">
        <v>27.53</v>
      </c>
      <c r="AA1053">
        <v>40.814283</v>
      </c>
      <c r="AB1053">
        <v>-73.924423</v>
      </c>
      <c r="AD1053" t="s">
        <v>10839</v>
      </c>
      <c r="AG1053" t="s">
        <v>10858</v>
      </c>
      <c r="AH1053" t="s">
        <v>10861</v>
      </c>
      <c r="AI1053">
        <v>234</v>
      </c>
      <c r="AJ1053" t="s">
        <v>10214</v>
      </c>
      <c r="AL1053">
        <v>0.9</v>
      </c>
      <c r="AM1053" t="s">
        <v>10884</v>
      </c>
      <c r="AN1053" t="s">
        <v>10924</v>
      </c>
      <c r="AO1053" t="s">
        <v>11013</v>
      </c>
      <c r="AP1053" t="s">
        <v>11066</v>
      </c>
      <c r="AR1053" t="s">
        <v>11311</v>
      </c>
      <c r="AS1053" t="s">
        <v>9926</v>
      </c>
      <c r="AT1053" t="s">
        <v>11641</v>
      </c>
      <c r="AX1053" t="s">
        <v>10838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</row>
    <row r="1054" spans="1:59">
      <c r="A1054" s="1">
        <f>HYPERLINK("https://lsnyc.legalserver.org/matter/dynamic-profile/view/1904871","19-1904871")</f>
        <v>0</v>
      </c>
      <c r="B1054" t="s">
        <v>994</v>
      </c>
      <c r="C1054" t="s">
        <v>5870</v>
      </c>
      <c r="D1054" t="s">
        <v>9928</v>
      </c>
      <c r="E1054" t="s">
        <v>10075</v>
      </c>
      <c r="F1054">
        <v>11208</v>
      </c>
      <c r="G1054" t="s">
        <v>10093</v>
      </c>
      <c r="H1054" t="s">
        <v>10130</v>
      </c>
      <c r="J1054" t="s">
        <v>10213</v>
      </c>
      <c r="K1054" t="s">
        <v>10218</v>
      </c>
      <c r="L1054" t="s">
        <v>10146</v>
      </c>
      <c r="M1054" t="s">
        <v>10248</v>
      </c>
      <c r="N1054" t="s">
        <v>10720</v>
      </c>
      <c r="P1054" t="s">
        <v>10749</v>
      </c>
      <c r="Q1054" t="s">
        <v>10759</v>
      </c>
      <c r="R1054" t="s">
        <v>10821</v>
      </c>
      <c r="T1054">
        <v>41600</v>
      </c>
      <c r="U1054">
        <v>3466.67</v>
      </c>
      <c r="V1054">
        <v>47</v>
      </c>
      <c r="W1054">
        <v>2</v>
      </c>
      <c r="X1054">
        <v>0</v>
      </c>
      <c r="Y1054" t="s">
        <v>10830</v>
      </c>
      <c r="Z1054">
        <v>246.01</v>
      </c>
      <c r="AA1054">
        <v>40.674956</v>
      </c>
      <c r="AB1054">
        <v>-73.87639799999999</v>
      </c>
      <c r="AD1054" t="s">
        <v>10839</v>
      </c>
      <c r="AG1054" t="s">
        <v>10858</v>
      </c>
      <c r="AH1054" t="s">
        <v>10860</v>
      </c>
      <c r="AI1054">
        <v>239</v>
      </c>
      <c r="AJ1054" t="s">
        <v>10213</v>
      </c>
      <c r="AK1054" t="s">
        <v>10838</v>
      </c>
      <c r="AL1054">
        <v>1.5</v>
      </c>
      <c r="AM1054" t="s">
        <v>10889</v>
      </c>
      <c r="AN1054" t="s">
        <v>10920</v>
      </c>
      <c r="AO1054" t="s">
        <v>11011</v>
      </c>
      <c r="AP1054" t="s">
        <v>11058</v>
      </c>
      <c r="AR1054" t="s">
        <v>11257</v>
      </c>
      <c r="AS1054" t="s">
        <v>11595</v>
      </c>
      <c r="AY1054" t="s">
        <v>10830</v>
      </c>
      <c r="AZ1054" t="s">
        <v>11681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</row>
    <row r="1055" spans="1:59">
      <c r="A1055" s="1">
        <f>HYPERLINK("https://lsnyc.legalserver.org/matter/dynamic-profile/view/1904872","19-1904872")</f>
        <v>0</v>
      </c>
      <c r="B1055" t="s">
        <v>995</v>
      </c>
      <c r="C1055" t="s">
        <v>5871</v>
      </c>
      <c r="D1055" t="s">
        <v>9928</v>
      </c>
      <c r="E1055" t="s">
        <v>10075</v>
      </c>
      <c r="F1055">
        <v>11216</v>
      </c>
      <c r="G1055" t="s">
        <v>10093</v>
      </c>
      <c r="H1055" t="s">
        <v>10133</v>
      </c>
      <c r="I1055" t="s">
        <v>10168</v>
      </c>
      <c r="J1055" t="s">
        <v>10213</v>
      </c>
      <c r="K1055" t="s">
        <v>10217</v>
      </c>
      <c r="M1055" t="s">
        <v>10245</v>
      </c>
      <c r="N1055" t="s">
        <v>10667</v>
      </c>
      <c r="P1055" t="s">
        <v>10749</v>
      </c>
      <c r="Q1055" t="s">
        <v>10765</v>
      </c>
      <c r="R1055" t="s">
        <v>10824</v>
      </c>
      <c r="T1055">
        <v>26000</v>
      </c>
      <c r="U1055">
        <v>2166.67</v>
      </c>
      <c r="V1055">
        <v>26</v>
      </c>
      <c r="W1055">
        <v>1</v>
      </c>
      <c r="X1055">
        <v>0</v>
      </c>
      <c r="Z1055">
        <v>208.17</v>
      </c>
      <c r="AA1055">
        <v>40.675076</v>
      </c>
      <c r="AB1055">
        <v>-73.949443</v>
      </c>
      <c r="AD1055" t="s">
        <v>10839</v>
      </c>
      <c r="AG1055" t="s">
        <v>10858</v>
      </c>
      <c r="AH1055" t="s">
        <v>10862</v>
      </c>
      <c r="AI1055">
        <v>239</v>
      </c>
      <c r="AJ1055" t="s">
        <v>10213</v>
      </c>
      <c r="AL1055">
        <v>0.7</v>
      </c>
      <c r="AM1055" t="s">
        <v>10888</v>
      </c>
      <c r="AN1055" t="s">
        <v>10912</v>
      </c>
      <c r="AO1055" t="s">
        <v>11007</v>
      </c>
      <c r="AP1055" t="s">
        <v>11052</v>
      </c>
      <c r="AR1055" t="s">
        <v>11262</v>
      </c>
      <c r="AS1055" t="s">
        <v>11595</v>
      </c>
      <c r="BA1055" t="s">
        <v>11741</v>
      </c>
      <c r="BB1055">
        <v>0</v>
      </c>
      <c r="BC1055">
        <v>0</v>
      </c>
      <c r="BD1055">
        <v>0</v>
      </c>
      <c r="BE1055">
        <v>0</v>
      </c>
      <c r="BF1055">
        <v>1</v>
      </c>
      <c r="BG1055">
        <v>0</v>
      </c>
    </row>
    <row r="1056" spans="1:59">
      <c r="A1056" s="1">
        <f>HYPERLINK("https://lsnyc.legalserver.org/matter/dynamic-profile/view/1904873","19-1904873")</f>
        <v>0</v>
      </c>
      <c r="B1056" t="s">
        <v>996</v>
      </c>
      <c r="C1056" t="s">
        <v>5872</v>
      </c>
      <c r="D1056" t="s">
        <v>9939</v>
      </c>
      <c r="E1056" t="s">
        <v>10075</v>
      </c>
      <c r="F1056">
        <v>11419</v>
      </c>
      <c r="G1056" t="s">
        <v>10092</v>
      </c>
      <c r="H1056" t="s">
        <v>10133</v>
      </c>
      <c r="I1056" t="s">
        <v>10168</v>
      </c>
      <c r="J1056" t="s">
        <v>10212</v>
      </c>
      <c r="K1056" t="s">
        <v>10217</v>
      </c>
      <c r="M1056" t="s">
        <v>10325</v>
      </c>
      <c r="N1056" t="s">
        <v>10676</v>
      </c>
      <c r="P1056" t="s">
        <v>10751</v>
      </c>
      <c r="Q1056" t="s">
        <v>10796</v>
      </c>
      <c r="R1056" t="s">
        <v>10825</v>
      </c>
      <c r="T1056">
        <v>9000</v>
      </c>
      <c r="U1056">
        <v>750</v>
      </c>
      <c r="V1056">
        <v>75</v>
      </c>
      <c r="W1056">
        <v>1</v>
      </c>
      <c r="X1056">
        <v>0</v>
      </c>
      <c r="Z1056">
        <v>72.06</v>
      </c>
      <c r="AA1056">
        <v>40.696219</v>
      </c>
      <c r="AB1056">
        <v>-73.815696</v>
      </c>
      <c r="AD1056" t="s">
        <v>10839</v>
      </c>
      <c r="AG1056" t="s">
        <v>10858</v>
      </c>
      <c r="AH1056" t="s">
        <v>10861</v>
      </c>
      <c r="AI1056">
        <v>237</v>
      </c>
      <c r="AJ1056" t="s">
        <v>10212</v>
      </c>
      <c r="AL1056">
        <v>4.5</v>
      </c>
      <c r="AM1056" t="s">
        <v>10892</v>
      </c>
      <c r="AN1056" t="s">
        <v>10944</v>
      </c>
      <c r="AO1056" t="s">
        <v>11017</v>
      </c>
      <c r="AP1056" t="s">
        <v>11070</v>
      </c>
      <c r="AR1056" t="s">
        <v>11274</v>
      </c>
      <c r="AS1056" t="s">
        <v>11594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</row>
    <row r="1057" spans="1:59">
      <c r="A1057" s="1">
        <f>HYPERLINK("https://lsnyc.legalserver.org/matter/dynamic-profile/view/1904874","19-1904874")</f>
        <v>0</v>
      </c>
      <c r="B1057" t="s">
        <v>997</v>
      </c>
      <c r="C1057" t="s">
        <v>5873</v>
      </c>
      <c r="D1057" t="s">
        <v>9987</v>
      </c>
      <c r="E1057" t="s">
        <v>10075</v>
      </c>
      <c r="F1057">
        <v>7104</v>
      </c>
      <c r="G1057" t="s">
        <v>10093</v>
      </c>
      <c r="H1057" t="s">
        <v>10133</v>
      </c>
      <c r="I1057" t="s">
        <v>10168</v>
      </c>
      <c r="J1057" t="s">
        <v>10213</v>
      </c>
      <c r="K1057" t="s">
        <v>10217</v>
      </c>
      <c r="M1057" t="s">
        <v>10290</v>
      </c>
      <c r="N1057" t="s">
        <v>10665</v>
      </c>
      <c r="P1057" t="s">
        <v>10751</v>
      </c>
      <c r="Q1057" t="s">
        <v>10773</v>
      </c>
      <c r="R1057" t="s">
        <v>10824</v>
      </c>
      <c r="T1057">
        <v>0</v>
      </c>
      <c r="U1057">
        <v>0</v>
      </c>
      <c r="V1057">
        <v>36</v>
      </c>
      <c r="W1057">
        <v>1</v>
      </c>
      <c r="X1057">
        <v>0</v>
      </c>
      <c r="Z1057">
        <v>0</v>
      </c>
      <c r="AA1057">
        <v>40.762209</v>
      </c>
      <c r="AB1057">
        <v>-74.172828</v>
      </c>
      <c r="AD1057" t="s">
        <v>10839</v>
      </c>
      <c r="AG1057" t="s">
        <v>10858</v>
      </c>
      <c r="AH1057" t="s">
        <v>10861</v>
      </c>
      <c r="AI1057">
        <v>234</v>
      </c>
      <c r="AJ1057" t="s">
        <v>10214</v>
      </c>
      <c r="AL1057">
        <v>10.2</v>
      </c>
      <c r="AR1057" t="s">
        <v>11267</v>
      </c>
      <c r="AS1057" t="s">
        <v>11610</v>
      </c>
      <c r="AT1057" t="s">
        <v>11641</v>
      </c>
      <c r="AX1057" t="s">
        <v>10838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</row>
    <row r="1058" spans="1:59">
      <c r="A1058" s="1">
        <f>HYPERLINK("https://lsnyc.legalserver.org/matter/dynamic-profile/view/1904875","19-1904875")</f>
        <v>0</v>
      </c>
      <c r="B1058" t="s">
        <v>998</v>
      </c>
      <c r="C1058" t="s">
        <v>5874</v>
      </c>
      <c r="D1058" t="s">
        <v>9925</v>
      </c>
      <c r="E1058" t="s">
        <v>10075</v>
      </c>
      <c r="F1058">
        <v>10026</v>
      </c>
      <c r="G1058" t="s">
        <v>10093</v>
      </c>
      <c r="H1058" t="s">
        <v>10133</v>
      </c>
      <c r="I1058" t="s">
        <v>10168</v>
      </c>
      <c r="J1058" t="s">
        <v>10213</v>
      </c>
      <c r="K1058" t="s">
        <v>10217</v>
      </c>
      <c r="M1058" t="s">
        <v>10521</v>
      </c>
      <c r="N1058" t="s">
        <v>10646</v>
      </c>
      <c r="P1058" t="s">
        <v>10754</v>
      </c>
      <c r="Q1058" t="s">
        <v>10771</v>
      </c>
      <c r="R1058" t="s">
        <v>10824</v>
      </c>
      <c r="T1058">
        <v>33800</v>
      </c>
      <c r="U1058">
        <v>2816.67</v>
      </c>
      <c r="V1058">
        <v>34</v>
      </c>
      <c r="W1058">
        <v>1</v>
      </c>
      <c r="X1058">
        <v>1</v>
      </c>
      <c r="Z1058">
        <v>199.88</v>
      </c>
      <c r="AA1058">
        <v>40.806605</v>
      </c>
      <c r="AB1058">
        <v>-73.954842</v>
      </c>
      <c r="AD1058" t="s">
        <v>10840</v>
      </c>
      <c r="AG1058" t="s">
        <v>10858</v>
      </c>
      <c r="AH1058" t="s">
        <v>10875</v>
      </c>
      <c r="AI1058">
        <v>230</v>
      </c>
      <c r="AJ1058" t="s">
        <v>10210</v>
      </c>
      <c r="AL1058">
        <v>0.9</v>
      </c>
      <c r="AM1058" t="s">
        <v>10887</v>
      </c>
      <c r="AN1058" t="s">
        <v>10936</v>
      </c>
      <c r="AO1058" t="s">
        <v>11016</v>
      </c>
      <c r="AP1058" t="s">
        <v>11076</v>
      </c>
      <c r="AR1058" t="s">
        <v>11257</v>
      </c>
      <c r="AS1058" t="s">
        <v>9925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</row>
    <row r="1059" spans="1:59">
      <c r="A1059" s="1">
        <f>HYPERLINK("https://lsnyc.legalserver.org/matter/dynamic-profile/view/1904876","19-1904876")</f>
        <v>0</v>
      </c>
      <c r="B1059" t="s">
        <v>999</v>
      </c>
      <c r="C1059" t="s">
        <v>5875</v>
      </c>
      <c r="D1059" t="s">
        <v>9925</v>
      </c>
      <c r="E1059" t="s">
        <v>10075</v>
      </c>
      <c r="F1059">
        <v>10024</v>
      </c>
      <c r="G1059" t="s">
        <v>10089</v>
      </c>
      <c r="H1059" t="s">
        <v>10133</v>
      </c>
      <c r="I1059" t="s">
        <v>10168</v>
      </c>
      <c r="J1059" t="s">
        <v>10209</v>
      </c>
      <c r="K1059" t="s">
        <v>10218</v>
      </c>
      <c r="L1059" t="s">
        <v>10134</v>
      </c>
      <c r="M1059" t="s">
        <v>10442</v>
      </c>
      <c r="N1059" t="s">
        <v>10671</v>
      </c>
      <c r="O1059" t="s">
        <v>10691</v>
      </c>
      <c r="P1059" t="s">
        <v>10749</v>
      </c>
      <c r="Q1059" t="s">
        <v>10765</v>
      </c>
      <c r="R1059" t="s">
        <v>10822</v>
      </c>
      <c r="T1059">
        <v>8400</v>
      </c>
      <c r="U1059">
        <v>700</v>
      </c>
      <c r="V1059">
        <v>67</v>
      </c>
      <c r="W1059">
        <v>1</v>
      </c>
      <c r="X1059">
        <v>0</v>
      </c>
      <c r="Y1059" t="s">
        <v>10830</v>
      </c>
      <c r="Z1059">
        <v>67.25</v>
      </c>
      <c r="AA1059">
        <v>40.784465</v>
      </c>
      <c r="AB1059">
        <v>-73.977746</v>
      </c>
      <c r="AD1059" t="s">
        <v>10839</v>
      </c>
      <c r="AG1059" t="s">
        <v>10858</v>
      </c>
      <c r="AH1059" t="s">
        <v>10861</v>
      </c>
      <c r="AI1059">
        <v>234</v>
      </c>
      <c r="AJ1059" t="s">
        <v>10214</v>
      </c>
      <c r="AK1059" t="s">
        <v>10882</v>
      </c>
      <c r="AL1059">
        <v>1</v>
      </c>
      <c r="AM1059" t="s">
        <v>10894</v>
      </c>
      <c r="AN1059" t="s">
        <v>10964</v>
      </c>
      <c r="AO1059" t="s">
        <v>11013</v>
      </c>
      <c r="AP1059" t="s">
        <v>11089</v>
      </c>
      <c r="AR1059" t="s">
        <v>11268</v>
      </c>
      <c r="AS1059" t="s">
        <v>9925</v>
      </c>
      <c r="AT1059" t="s">
        <v>11641</v>
      </c>
      <c r="AX1059" t="s">
        <v>10838</v>
      </c>
      <c r="AY1059" t="s">
        <v>10830</v>
      </c>
      <c r="AZ1059" t="s">
        <v>11690</v>
      </c>
      <c r="BA1059" t="s">
        <v>11740</v>
      </c>
      <c r="BB1059">
        <v>0</v>
      </c>
      <c r="BC1059">
        <v>0</v>
      </c>
      <c r="BD1059">
        <v>0</v>
      </c>
      <c r="BE1059">
        <v>0</v>
      </c>
      <c r="BF1059">
        <v>2</v>
      </c>
      <c r="BG1059">
        <v>0</v>
      </c>
    </row>
    <row r="1060" spans="1:59">
      <c r="A1060" s="1">
        <f>HYPERLINK("https://lsnyc.legalserver.org/matter/dynamic-profile/view/1904877","19-1904877")</f>
        <v>0</v>
      </c>
      <c r="B1060" t="s">
        <v>1000</v>
      </c>
      <c r="C1060" t="s">
        <v>5876</v>
      </c>
      <c r="D1060" t="s">
        <v>9929</v>
      </c>
      <c r="E1060" t="s">
        <v>10075</v>
      </c>
      <c r="F1060">
        <v>10306</v>
      </c>
      <c r="G1060" t="s">
        <v>10088</v>
      </c>
      <c r="H1060" t="s">
        <v>10134</v>
      </c>
      <c r="I1060" t="s">
        <v>10168</v>
      </c>
      <c r="J1060" t="s">
        <v>10208</v>
      </c>
      <c r="K1060" t="s">
        <v>10217</v>
      </c>
      <c r="M1060" t="s">
        <v>10228</v>
      </c>
      <c r="N1060" t="s">
        <v>10661</v>
      </c>
      <c r="P1060" t="s">
        <v>10749</v>
      </c>
      <c r="Q1060" t="s">
        <v>10759</v>
      </c>
      <c r="R1060" t="s">
        <v>10820</v>
      </c>
      <c r="T1060">
        <v>38448</v>
      </c>
      <c r="U1060">
        <v>3204</v>
      </c>
      <c r="V1060">
        <v>62</v>
      </c>
      <c r="W1060">
        <v>3</v>
      </c>
      <c r="X1060">
        <v>0</v>
      </c>
      <c r="Z1060">
        <v>180.25</v>
      </c>
      <c r="AA1060">
        <v>40.570654</v>
      </c>
      <c r="AB1060">
        <v>-74.094792</v>
      </c>
      <c r="AC1060" t="s">
        <v>10837</v>
      </c>
      <c r="AD1060" t="s">
        <v>10840</v>
      </c>
      <c r="AG1060" t="s">
        <v>10858</v>
      </c>
      <c r="AH1060" t="s">
        <v>10860</v>
      </c>
      <c r="AI1060">
        <v>285</v>
      </c>
      <c r="AJ1060" t="s">
        <v>10208</v>
      </c>
      <c r="AL1060">
        <v>2.5</v>
      </c>
      <c r="AM1060" t="s">
        <v>10883</v>
      </c>
      <c r="AN1060" t="s">
        <v>10915</v>
      </c>
      <c r="AO1060" t="s">
        <v>10999</v>
      </c>
      <c r="AP1060" t="s">
        <v>11063</v>
      </c>
      <c r="AR1060" t="s">
        <v>11399</v>
      </c>
      <c r="AS1060" t="s">
        <v>11593</v>
      </c>
      <c r="AT1060" t="s">
        <v>11642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</row>
    <row r="1061" spans="1:59">
      <c r="A1061" s="1">
        <f>HYPERLINK("https://lsnyc.legalserver.org/matter/dynamic-profile/view/1904878","19-1904878")</f>
        <v>0</v>
      </c>
      <c r="B1061" t="s">
        <v>65</v>
      </c>
      <c r="C1061" t="s">
        <v>5877</v>
      </c>
      <c r="D1061" t="s">
        <v>9926</v>
      </c>
      <c r="E1061" t="s">
        <v>10075</v>
      </c>
      <c r="F1061">
        <v>10459</v>
      </c>
      <c r="G1061" t="s">
        <v>10090</v>
      </c>
      <c r="H1061" t="s">
        <v>10133</v>
      </c>
      <c r="I1061" t="s">
        <v>10168</v>
      </c>
      <c r="J1061" t="s">
        <v>10210</v>
      </c>
      <c r="K1061" t="s">
        <v>10217</v>
      </c>
      <c r="M1061" t="s">
        <v>10477</v>
      </c>
      <c r="N1061" t="s">
        <v>10650</v>
      </c>
      <c r="P1061" t="s">
        <v>10749</v>
      </c>
      <c r="Q1061" t="s">
        <v>10774</v>
      </c>
      <c r="R1061" t="s">
        <v>10824</v>
      </c>
      <c r="T1061">
        <v>33760</v>
      </c>
      <c r="U1061">
        <v>2813.33</v>
      </c>
      <c r="V1061">
        <v>57</v>
      </c>
      <c r="W1061">
        <v>2</v>
      </c>
      <c r="X1061">
        <v>2</v>
      </c>
      <c r="Z1061">
        <v>131.11</v>
      </c>
      <c r="AA1061">
        <v>40.831061</v>
      </c>
      <c r="AB1061">
        <v>-73.892725</v>
      </c>
      <c r="AD1061" t="s">
        <v>10839</v>
      </c>
      <c r="AG1061" t="s">
        <v>10858</v>
      </c>
      <c r="AH1061" t="s">
        <v>10862</v>
      </c>
      <c r="AI1061">
        <v>230</v>
      </c>
      <c r="AJ1061" t="s">
        <v>10210</v>
      </c>
      <c r="AL1061">
        <v>0</v>
      </c>
      <c r="AM1061" t="s">
        <v>10884</v>
      </c>
      <c r="AN1061" t="s">
        <v>10918</v>
      </c>
      <c r="AO1061" t="s">
        <v>11001</v>
      </c>
      <c r="AP1061" t="s">
        <v>11062</v>
      </c>
      <c r="AR1061" t="s">
        <v>11295</v>
      </c>
      <c r="AS1061" t="s">
        <v>9926</v>
      </c>
      <c r="AT1061" t="s">
        <v>11641</v>
      </c>
      <c r="BA1061" t="s">
        <v>11738</v>
      </c>
      <c r="BB1061">
        <v>0</v>
      </c>
      <c r="BC1061">
        <v>0</v>
      </c>
      <c r="BD1061">
        <v>0</v>
      </c>
      <c r="BE1061">
        <v>0</v>
      </c>
      <c r="BF1061">
        <v>5</v>
      </c>
      <c r="BG1061">
        <v>0</v>
      </c>
    </row>
    <row r="1062" spans="1:59">
      <c r="A1062" s="1">
        <f>HYPERLINK("https://lsnyc.legalserver.org/matter/dynamic-profile/view/1904879","19-1904879")</f>
        <v>0</v>
      </c>
      <c r="B1062" t="s">
        <v>1001</v>
      </c>
      <c r="C1062" t="s">
        <v>5878</v>
      </c>
      <c r="D1062" t="s">
        <v>9925</v>
      </c>
      <c r="E1062" t="s">
        <v>10075</v>
      </c>
      <c r="F1062">
        <v>10035</v>
      </c>
      <c r="G1062" t="s">
        <v>10089</v>
      </c>
      <c r="H1062" t="s">
        <v>10133</v>
      </c>
      <c r="I1062" t="s">
        <v>10168</v>
      </c>
      <c r="J1062" t="s">
        <v>10209</v>
      </c>
      <c r="K1062" t="s">
        <v>10217</v>
      </c>
      <c r="M1062" t="s">
        <v>10302</v>
      </c>
      <c r="N1062" t="s">
        <v>10681</v>
      </c>
      <c r="P1062" t="s">
        <v>10754</v>
      </c>
      <c r="Q1062" t="s">
        <v>10770</v>
      </c>
      <c r="R1062" t="s">
        <v>10825</v>
      </c>
      <c r="T1062">
        <v>9708</v>
      </c>
      <c r="U1062">
        <v>809</v>
      </c>
      <c r="V1062">
        <v>32</v>
      </c>
      <c r="W1062">
        <v>1</v>
      </c>
      <c r="X1062">
        <v>3</v>
      </c>
      <c r="Z1062">
        <v>37.7</v>
      </c>
      <c r="AA1062">
        <v>40.805234</v>
      </c>
      <c r="AB1062">
        <v>-73.94125099999999</v>
      </c>
      <c r="AD1062" t="s">
        <v>10839</v>
      </c>
      <c r="AF1062" t="s">
        <v>10843</v>
      </c>
      <c r="AG1062" t="s">
        <v>10859</v>
      </c>
      <c r="AH1062" t="s">
        <v>10865</v>
      </c>
      <c r="AI1062">
        <v>236</v>
      </c>
      <c r="AJ1062" t="s">
        <v>10209</v>
      </c>
      <c r="AL1062">
        <v>21.3</v>
      </c>
      <c r="AM1062" t="s">
        <v>10887</v>
      </c>
      <c r="AN1062" t="s">
        <v>10926</v>
      </c>
      <c r="AO1062" t="s">
        <v>11016</v>
      </c>
      <c r="AP1062" t="s">
        <v>11076</v>
      </c>
      <c r="AQ1062" t="s">
        <v>11152</v>
      </c>
      <c r="AR1062" t="s">
        <v>11344</v>
      </c>
      <c r="AS1062" t="s">
        <v>9925</v>
      </c>
      <c r="AT1062" t="s">
        <v>11641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</row>
    <row r="1063" spans="1:59">
      <c r="A1063" s="1">
        <f>HYPERLINK("https://lsnyc.legalserver.org/matter/dynamic-profile/view/1904880","19-1904880")</f>
        <v>0</v>
      </c>
      <c r="B1063" t="s">
        <v>1002</v>
      </c>
      <c r="C1063" t="s">
        <v>5879</v>
      </c>
      <c r="D1063" t="s">
        <v>9928</v>
      </c>
      <c r="E1063" t="s">
        <v>10075</v>
      </c>
      <c r="F1063">
        <v>11212</v>
      </c>
      <c r="G1063" t="s">
        <v>10093</v>
      </c>
      <c r="H1063" t="s">
        <v>10124</v>
      </c>
      <c r="I1063" t="s">
        <v>10169</v>
      </c>
      <c r="J1063" t="s">
        <v>10213</v>
      </c>
      <c r="K1063" t="s">
        <v>10217</v>
      </c>
      <c r="M1063" t="s">
        <v>10358</v>
      </c>
      <c r="N1063" t="s">
        <v>10671</v>
      </c>
      <c r="P1063" t="s">
        <v>10752</v>
      </c>
      <c r="Q1063" t="s">
        <v>10783</v>
      </c>
      <c r="R1063" t="s">
        <v>10821</v>
      </c>
      <c r="T1063">
        <v>9600</v>
      </c>
      <c r="U1063">
        <v>800</v>
      </c>
      <c r="V1063">
        <v>64</v>
      </c>
      <c r="W1063">
        <v>1</v>
      </c>
      <c r="X1063">
        <v>0</v>
      </c>
      <c r="Z1063">
        <v>76.86</v>
      </c>
      <c r="AA1063">
        <v>40.65608</v>
      </c>
      <c r="AB1063">
        <v>-73.910746</v>
      </c>
      <c r="AD1063" t="s">
        <v>10840</v>
      </c>
      <c r="AF1063" t="s">
        <v>10843</v>
      </c>
      <c r="AG1063" t="s">
        <v>10859</v>
      </c>
      <c r="AH1063" t="s">
        <v>10861</v>
      </c>
      <c r="AI1063">
        <v>234</v>
      </c>
      <c r="AJ1063" t="s">
        <v>10214</v>
      </c>
      <c r="AL1063">
        <v>1</v>
      </c>
      <c r="AM1063" t="s">
        <v>10888</v>
      </c>
      <c r="AN1063" t="s">
        <v>10925</v>
      </c>
      <c r="AO1063" t="s">
        <v>11012</v>
      </c>
      <c r="AP1063" t="s">
        <v>11060</v>
      </c>
      <c r="AR1063" t="s">
        <v>11274</v>
      </c>
      <c r="AS1063" t="s">
        <v>11595</v>
      </c>
      <c r="AT1063" t="s">
        <v>11641</v>
      </c>
      <c r="AX1063" t="s">
        <v>10838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</row>
    <row r="1064" spans="1:59">
      <c r="A1064" s="1">
        <f>HYPERLINK("https://lsnyc.legalserver.org/matter/dynamic-profile/view/1904881","19-1904881")</f>
        <v>0</v>
      </c>
      <c r="B1064" t="s">
        <v>1003</v>
      </c>
      <c r="C1064" t="s">
        <v>5880</v>
      </c>
      <c r="D1064" t="s">
        <v>9926</v>
      </c>
      <c r="E1064" t="s">
        <v>10075</v>
      </c>
      <c r="F1064">
        <v>10462</v>
      </c>
      <c r="G1064" t="s">
        <v>10090</v>
      </c>
      <c r="H1064" t="s">
        <v>10133</v>
      </c>
      <c r="I1064" t="s">
        <v>10168</v>
      </c>
      <c r="J1064" t="s">
        <v>10210</v>
      </c>
      <c r="K1064" t="s">
        <v>10218</v>
      </c>
      <c r="L1064" t="s">
        <v>10141</v>
      </c>
      <c r="M1064" t="s">
        <v>10338</v>
      </c>
      <c r="N1064" t="s">
        <v>10671</v>
      </c>
      <c r="P1064" t="s">
        <v>10757</v>
      </c>
      <c r="Q1064" t="s">
        <v>10789</v>
      </c>
      <c r="R1064" t="s">
        <v>10820</v>
      </c>
      <c r="T1064">
        <v>19212</v>
      </c>
      <c r="U1064">
        <v>1601</v>
      </c>
      <c r="V1064">
        <v>50</v>
      </c>
      <c r="W1064">
        <v>1</v>
      </c>
      <c r="X1064">
        <v>0</v>
      </c>
      <c r="Y1064" t="s">
        <v>10830</v>
      </c>
      <c r="Z1064">
        <v>153.82</v>
      </c>
      <c r="AA1064">
        <v>40.851132</v>
      </c>
      <c r="AB1064">
        <v>-73.859469</v>
      </c>
      <c r="AD1064" t="s">
        <v>10840</v>
      </c>
      <c r="AG1064" t="s">
        <v>10858</v>
      </c>
      <c r="AH1064" t="s">
        <v>10874</v>
      </c>
      <c r="AI1064">
        <v>230</v>
      </c>
      <c r="AJ1064" t="s">
        <v>10210</v>
      </c>
      <c r="AK1064" t="s">
        <v>10838</v>
      </c>
      <c r="AL1064">
        <v>1.4</v>
      </c>
      <c r="AM1064" t="s">
        <v>10885</v>
      </c>
      <c r="AN1064" t="s">
        <v>10938</v>
      </c>
      <c r="AO1064" t="s">
        <v>11002</v>
      </c>
      <c r="AP1064" t="s">
        <v>11049</v>
      </c>
      <c r="AQ1064" t="s">
        <v>11121</v>
      </c>
      <c r="AR1064" t="s">
        <v>11296</v>
      </c>
      <c r="AS1064" t="s">
        <v>9926</v>
      </c>
      <c r="AY1064" t="s">
        <v>10830</v>
      </c>
      <c r="AZ1064" t="s">
        <v>11716</v>
      </c>
      <c r="BA1064" t="s">
        <v>11740</v>
      </c>
      <c r="BB1064">
        <v>0</v>
      </c>
      <c r="BC1064">
        <v>0</v>
      </c>
      <c r="BD1064">
        <v>0</v>
      </c>
      <c r="BE1064">
        <v>0</v>
      </c>
      <c r="BF1064">
        <v>2</v>
      </c>
      <c r="BG1064">
        <v>0</v>
      </c>
    </row>
    <row r="1065" spans="1:59">
      <c r="A1065" s="1">
        <f>HYPERLINK("https://lsnyc.legalserver.org/matter/dynamic-profile/view/1904882","19-1904882")</f>
        <v>0</v>
      </c>
      <c r="B1065" t="s">
        <v>1004</v>
      </c>
      <c r="C1065" t="s">
        <v>5829</v>
      </c>
      <c r="D1065" t="s">
        <v>9926</v>
      </c>
      <c r="E1065" t="s">
        <v>10075</v>
      </c>
      <c r="F1065">
        <v>10467</v>
      </c>
      <c r="G1065" t="s">
        <v>10090</v>
      </c>
      <c r="H1065" t="s">
        <v>10133</v>
      </c>
      <c r="I1065" t="s">
        <v>10168</v>
      </c>
      <c r="J1065" t="s">
        <v>10210</v>
      </c>
      <c r="K1065" t="s">
        <v>10217</v>
      </c>
      <c r="M1065" t="s">
        <v>10415</v>
      </c>
      <c r="N1065" t="s">
        <v>10651</v>
      </c>
      <c r="P1065" t="s">
        <v>10749</v>
      </c>
      <c r="Q1065" t="s">
        <v>10765</v>
      </c>
      <c r="R1065" t="s">
        <v>10824</v>
      </c>
      <c r="T1065">
        <v>9620</v>
      </c>
      <c r="U1065">
        <v>801.67</v>
      </c>
      <c r="V1065">
        <v>55</v>
      </c>
      <c r="W1065">
        <v>1</v>
      </c>
      <c r="X1065">
        <v>0</v>
      </c>
      <c r="Z1065">
        <v>77.02</v>
      </c>
      <c r="AA1065">
        <v>40.866793</v>
      </c>
      <c r="AB1065">
        <v>-73.868804</v>
      </c>
      <c r="AD1065" t="s">
        <v>10839</v>
      </c>
      <c r="AG1065" t="s">
        <v>10858</v>
      </c>
      <c r="AH1065" t="s">
        <v>10862</v>
      </c>
      <c r="AI1065">
        <v>230</v>
      </c>
      <c r="AJ1065" t="s">
        <v>10210</v>
      </c>
      <c r="AL1065">
        <v>5.05</v>
      </c>
      <c r="AM1065" t="s">
        <v>10885</v>
      </c>
      <c r="AN1065" t="s">
        <v>10938</v>
      </c>
      <c r="AO1065" t="s">
        <v>11010</v>
      </c>
      <c r="AP1065" t="s">
        <v>11056</v>
      </c>
      <c r="AR1065" t="s">
        <v>11257</v>
      </c>
      <c r="AS1065" t="s">
        <v>9926</v>
      </c>
      <c r="AX1065" t="s">
        <v>10838</v>
      </c>
      <c r="BA1065" t="s">
        <v>11738</v>
      </c>
      <c r="BB1065">
        <v>0</v>
      </c>
      <c r="BC1065">
        <v>0</v>
      </c>
      <c r="BD1065">
        <v>0</v>
      </c>
      <c r="BE1065">
        <v>0</v>
      </c>
      <c r="BF1065">
        <v>5</v>
      </c>
      <c r="BG1065">
        <v>0</v>
      </c>
    </row>
    <row r="1066" spans="1:59">
      <c r="A1066" s="1">
        <f>HYPERLINK("https://lsnyc.legalserver.org/matter/dynamic-profile/view/1904883","19-1904883")</f>
        <v>0</v>
      </c>
      <c r="B1066" t="s">
        <v>773</v>
      </c>
      <c r="C1066" t="s">
        <v>5675</v>
      </c>
      <c r="D1066" t="s">
        <v>9925</v>
      </c>
      <c r="E1066" t="s">
        <v>10075</v>
      </c>
      <c r="F1066">
        <v>10032</v>
      </c>
      <c r="G1066" t="s">
        <v>10089</v>
      </c>
      <c r="H1066" t="s">
        <v>10133</v>
      </c>
      <c r="I1066" t="s">
        <v>10168</v>
      </c>
      <c r="J1066" t="s">
        <v>10209</v>
      </c>
      <c r="K1066" t="s">
        <v>10217</v>
      </c>
      <c r="M1066" t="s">
        <v>10229</v>
      </c>
      <c r="N1066" t="s">
        <v>10645</v>
      </c>
      <c r="P1066" t="s">
        <v>10750</v>
      </c>
      <c r="Q1066" t="s">
        <v>10779</v>
      </c>
      <c r="R1066" t="s">
        <v>10824</v>
      </c>
      <c r="T1066">
        <v>7692</v>
      </c>
      <c r="U1066">
        <v>641</v>
      </c>
      <c r="V1066">
        <v>57</v>
      </c>
      <c r="W1066">
        <v>1</v>
      </c>
      <c r="X1066">
        <v>0</v>
      </c>
      <c r="Z1066">
        <v>61.59</v>
      </c>
      <c r="AA1066">
        <v>40.830772</v>
      </c>
      <c r="AB1066">
        <v>-73.9417</v>
      </c>
      <c r="AD1066" t="s">
        <v>10840</v>
      </c>
      <c r="AG1066" t="s">
        <v>10858</v>
      </c>
      <c r="AH1066" t="s">
        <v>10876</v>
      </c>
      <c r="AI1066">
        <v>236</v>
      </c>
      <c r="AJ1066" t="s">
        <v>10209</v>
      </c>
      <c r="AL1066">
        <v>2.1</v>
      </c>
      <c r="AM1066" t="s">
        <v>10887</v>
      </c>
      <c r="AN1066" t="s">
        <v>10943</v>
      </c>
      <c r="AO1066" t="s">
        <v>11016</v>
      </c>
      <c r="AP1066" t="s">
        <v>11073</v>
      </c>
      <c r="AQ1066" t="s">
        <v>11095</v>
      </c>
      <c r="AR1066" t="s">
        <v>11263</v>
      </c>
      <c r="AS1066" t="s">
        <v>9925</v>
      </c>
      <c r="AT1066" t="s">
        <v>11642</v>
      </c>
      <c r="AX1066" t="s">
        <v>11678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</row>
    <row r="1067" spans="1:59">
      <c r="A1067" s="1">
        <f>HYPERLINK("https://lsnyc.legalserver.org/matter/dynamic-profile/view/1904884","19-1904884")</f>
        <v>0</v>
      </c>
      <c r="B1067" t="s">
        <v>1005</v>
      </c>
      <c r="C1067" t="s">
        <v>5881</v>
      </c>
      <c r="D1067" t="s">
        <v>9925</v>
      </c>
      <c r="E1067" t="s">
        <v>10075</v>
      </c>
      <c r="F1067">
        <v>10040</v>
      </c>
      <c r="G1067" t="s">
        <v>10089</v>
      </c>
      <c r="H1067" t="s">
        <v>10133</v>
      </c>
      <c r="I1067" t="s">
        <v>10169</v>
      </c>
      <c r="J1067" t="s">
        <v>10209</v>
      </c>
      <c r="K1067" t="s">
        <v>10218</v>
      </c>
      <c r="L1067" t="s">
        <v>4843</v>
      </c>
      <c r="M1067" t="s">
        <v>10421</v>
      </c>
      <c r="N1067" t="s">
        <v>10670</v>
      </c>
      <c r="P1067" t="s">
        <v>10754</v>
      </c>
      <c r="Q1067" t="s">
        <v>10775</v>
      </c>
      <c r="R1067" t="s">
        <v>10821</v>
      </c>
      <c r="T1067">
        <v>19500</v>
      </c>
      <c r="U1067">
        <v>1625</v>
      </c>
      <c r="V1067">
        <v>41</v>
      </c>
      <c r="W1067">
        <v>1</v>
      </c>
      <c r="X1067">
        <v>2</v>
      </c>
      <c r="Y1067" t="s">
        <v>10829</v>
      </c>
      <c r="Z1067">
        <v>91.42</v>
      </c>
      <c r="AA1067">
        <v>40.852636</v>
      </c>
      <c r="AB1067">
        <v>-73.929312</v>
      </c>
      <c r="AD1067" t="s">
        <v>10839</v>
      </c>
      <c r="AG1067" t="s">
        <v>10858</v>
      </c>
      <c r="AH1067" t="s">
        <v>10865</v>
      </c>
      <c r="AI1067">
        <v>236</v>
      </c>
      <c r="AJ1067" t="s">
        <v>10209</v>
      </c>
      <c r="AK1067" t="s">
        <v>10837</v>
      </c>
      <c r="AL1067">
        <v>3.5</v>
      </c>
      <c r="AM1067" t="s">
        <v>10887</v>
      </c>
      <c r="AN1067" t="s">
        <v>10937</v>
      </c>
      <c r="AO1067" t="s">
        <v>11019</v>
      </c>
      <c r="AP1067" t="s">
        <v>11074</v>
      </c>
      <c r="AQ1067" t="s">
        <v>11114</v>
      </c>
      <c r="AR1067" t="s">
        <v>11257</v>
      </c>
      <c r="AS1067" t="s">
        <v>9925</v>
      </c>
      <c r="AT1067" t="s">
        <v>11641</v>
      </c>
      <c r="AY1067" t="s">
        <v>10829</v>
      </c>
      <c r="AZ1067" t="s">
        <v>11683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</row>
    <row r="1068" spans="1:59">
      <c r="A1068" s="1">
        <f>HYPERLINK("https://lsnyc.legalserver.org/matter/dynamic-profile/view/1904885","19-1904885")</f>
        <v>0</v>
      </c>
      <c r="B1068" t="s">
        <v>1006</v>
      </c>
      <c r="C1068" t="s">
        <v>5882</v>
      </c>
      <c r="D1068" t="s">
        <v>9928</v>
      </c>
      <c r="E1068" t="s">
        <v>10075</v>
      </c>
      <c r="F1068">
        <v>11204</v>
      </c>
      <c r="G1068" t="s">
        <v>10093</v>
      </c>
      <c r="H1068" t="s">
        <v>10133</v>
      </c>
      <c r="I1068" t="s">
        <v>10168</v>
      </c>
      <c r="J1068" t="s">
        <v>10213</v>
      </c>
      <c r="K1068" t="s">
        <v>10217</v>
      </c>
      <c r="M1068" t="s">
        <v>10256</v>
      </c>
      <c r="N1068" t="s">
        <v>10680</v>
      </c>
      <c r="P1068" t="s">
        <v>10749</v>
      </c>
      <c r="Q1068" t="s">
        <v>10765</v>
      </c>
      <c r="R1068" t="s">
        <v>10820</v>
      </c>
      <c r="T1068">
        <v>0</v>
      </c>
      <c r="U1068">
        <v>0</v>
      </c>
      <c r="V1068">
        <v>68</v>
      </c>
      <c r="W1068">
        <v>1</v>
      </c>
      <c r="X1068">
        <v>0</v>
      </c>
      <c r="Z1068">
        <v>0</v>
      </c>
      <c r="AA1068">
        <v>40.634094</v>
      </c>
      <c r="AB1068">
        <v>-73.9819</v>
      </c>
      <c r="AD1068" t="s">
        <v>10839</v>
      </c>
      <c r="AG1068" t="s">
        <v>10858</v>
      </c>
      <c r="AH1068" t="s">
        <v>10869</v>
      </c>
      <c r="AI1068">
        <v>239</v>
      </c>
      <c r="AJ1068" t="s">
        <v>10213</v>
      </c>
      <c r="AL1068">
        <v>9</v>
      </c>
      <c r="AM1068" t="s">
        <v>10894</v>
      </c>
      <c r="AN1068" t="s">
        <v>10947</v>
      </c>
      <c r="AO1068" t="s">
        <v>11015</v>
      </c>
      <c r="AP1068" t="s">
        <v>11079</v>
      </c>
      <c r="AR1068" t="s">
        <v>11267</v>
      </c>
      <c r="AS1068" t="s">
        <v>11595</v>
      </c>
      <c r="BA1068" t="s">
        <v>11742</v>
      </c>
      <c r="BB1068">
        <v>0</v>
      </c>
      <c r="BC1068">
        <v>0</v>
      </c>
      <c r="BD1068">
        <v>0</v>
      </c>
      <c r="BE1068">
        <v>0</v>
      </c>
      <c r="BF1068">
        <v>7</v>
      </c>
      <c r="BG1068">
        <v>0</v>
      </c>
    </row>
    <row r="1069" spans="1:59">
      <c r="A1069" s="1">
        <f>HYPERLINK("https://lsnyc.legalserver.org/matter/dynamic-profile/view/1904886","19-1904886")</f>
        <v>0</v>
      </c>
      <c r="B1069" t="s">
        <v>1007</v>
      </c>
      <c r="C1069" t="s">
        <v>5883</v>
      </c>
      <c r="D1069" t="s">
        <v>9925</v>
      </c>
      <c r="E1069" t="s">
        <v>10075</v>
      </c>
      <c r="F1069">
        <v>10039</v>
      </c>
      <c r="G1069" t="s">
        <v>10090</v>
      </c>
      <c r="H1069" t="s">
        <v>10133</v>
      </c>
      <c r="I1069" t="s">
        <v>10168</v>
      </c>
      <c r="J1069" t="s">
        <v>10210</v>
      </c>
      <c r="K1069" t="s">
        <v>10218</v>
      </c>
      <c r="L1069" t="s">
        <v>10100</v>
      </c>
      <c r="M1069" t="s">
        <v>10338</v>
      </c>
      <c r="N1069" t="s">
        <v>10671</v>
      </c>
      <c r="P1069" t="s">
        <v>10751</v>
      </c>
      <c r="Q1069" t="s">
        <v>10780</v>
      </c>
      <c r="R1069" t="s">
        <v>10823</v>
      </c>
      <c r="T1069">
        <v>10536</v>
      </c>
      <c r="U1069">
        <v>878</v>
      </c>
      <c r="V1069">
        <v>57</v>
      </c>
      <c r="W1069">
        <v>1</v>
      </c>
      <c r="X1069">
        <v>0</v>
      </c>
      <c r="Y1069" t="s">
        <v>10830</v>
      </c>
      <c r="Z1069">
        <v>84.36</v>
      </c>
      <c r="AA1069">
        <v>40.826154</v>
      </c>
      <c r="AB1069">
        <v>-73.93534200000001</v>
      </c>
      <c r="AD1069" t="s">
        <v>10840</v>
      </c>
      <c r="AG1069" t="s">
        <v>10858</v>
      </c>
      <c r="AH1069" t="s">
        <v>10874</v>
      </c>
      <c r="AI1069">
        <v>230</v>
      </c>
      <c r="AJ1069" t="s">
        <v>10210</v>
      </c>
      <c r="AK1069" t="s">
        <v>10838</v>
      </c>
      <c r="AL1069">
        <v>1.7</v>
      </c>
      <c r="AM1069" t="s">
        <v>10887</v>
      </c>
      <c r="AN1069" t="s">
        <v>10943</v>
      </c>
      <c r="AO1069" t="s">
        <v>11016</v>
      </c>
      <c r="AP1069" t="s">
        <v>11076</v>
      </c>
      <c r="AR1069" t="s">
        <v>11367</v>
      </c>
      <c r="AS1069" t="s">
        <v>9925</v>
      </c>
      <c r="AT1069" t="s">
        <v>11642</v>
      </c>
      <c r="AX1069" t="s">
        <v>10837</v>
      </c>
      <c r="AY1069" t="s">
        <v>10830</v>
      </c>
      <c r="AZ1069" t="s">
        <v>11682</v>
      </c>
      <c r="BA1069" t="s">
        <v>11740</v>
      </c>
      <c r="BB1069">
        <v>0</v>
      </c>
      <c r="BC1069">
        <v>0</v>
      </c>
      <c r="BD1069">
        <v>0</v>
      </c>
      <c r="BE1069">
        <v>0</v>
      </c>
      <c r="BF1069">
        <v>2</v>
      </c>
      <c r="BG1069">
        <v>0</v>
      </c>
    </row>
    <row r="1070" spans="1:59">
      <c r="A1070" s="1">
        <f>HYPERLINK("https://lsnyc.legalserver.org/matter/dynamic-profile/view/1904887","19-1904887")</f>
        <v>0</v>
      </c>
      <c r="B1070" t="s">
        <v>1007</v>
      </c>
      <c r="C1070" t="s">
        <v>5883</v>
      </c>
      <c r="D1070" t="s">
        <v>9925</v>
      </c>
      <c r="E1070" t="s">
        <v>10075</v>
      </c>
      <c r="F1070">
        <v>10039</v>
      </c>
      <c r="G1070" t="s">
        <v>10090</v>
      </c>
      <c r="H1070" t="s">
        <v>10133</v>
      </c>
      <c r="I1070" t="s">
        <v>10168</v>
      </c>
      <c r="J1070" t="s">
        <v>10210</v>
      </c>
      <c r="K1070" t="s">
        <v>10218</v>
      </c>
      <c r="L1070" t="s">
        <v>10161</v>
      </c>
      <c r="M1070" t="s">
        <v>10338</v>
      </c>
      <c r="N1070" t="s">
        <v>10671</v>
      </c>
      <c r="P1070" t="s">
        <v>10757</v>
      </c>
      <c r="Q1070" t="s">
        <v>10789</v>
      </c>
      <c r="R1070" t="s">
        <v>10823</v>
      </c>
      <c r="T1070">
        <v>10536</v>
      </c>
      <c r="U1070">
        <v>878</v>
      </c>
      <c r="V1070">
        <v>57</v>
      </c>
      <c r="W1070">
        <v>1</v>
      </c>
      <c r="X1070">
        <v>0</v>
      </c>
      <c r="Y1070" t="s">
        <v>10830</v>
      </c>
      <c r="Z1070">
        <v>84.36</v>
      </c>
      <c r="AA1070">
        <v>40.826154</v>
      </c>
      <c r="AB1070">
        <v>-73.93534200000001</v>
      </c>
      <c r="AD1070" t="s">
        <v>10840</v>
      </c>
      <c r="AG1070" t="s">
        <v>10858</v>
      </c>
      <c r="AH1070" t="s">
        <v>10874</v>
      </c>
      <c r="AI1070">
        <v>230</v>
      </c>
      <c r="AJ1070" t="s">
        <v>10210</v>
      </c>
      <c r="AK1070" t="s">
        <v>10838</v>
      </c>
      <c r="AL1070">
        <v>1.1</v>
      </c>
      <c r="AQ1070" t="s">
        <v>11121</v>
      </c>
      <c r="AR1070" t="s">
        <v>11367</v>
      </c>
      <c r="AS1070" t="s">
        <v>9925</v>
      </c>
      <c r="AY1070" t="s">
        <v>10830</v>
      </c>
      <c r="AZ1070" t="s">
        <v>11716</v>
      </c>
      <c r="BA1070" t="s">
        <v>11740</v>
      </c>
      <c r="BB1070">
        <v>0</v>
      </c>
      <c r="BC1070">
        <v>0</v>
      </c>
      <c r="BD1070">
        <v>0</v>
      </c>
      <c r="BE1070">
        <v>0</v>
      </c>
      <c r="BF1070">
        <v>2</v>
      </c>
      <c r="BG1070">
        <v>0</v>
      </c>
    </row>
    <row r="1071" spans="1:59">
      <c r="A1071" s="1">
        <f>HYPERLINK("https://lsnyc.legalserver.org/matter/dynamic-profile/view/1904888","19-1904888")</f>
        <v>0</v>
      </c>
      <c r="B1071" t="s">
        <v>573</v>
      </c>
      <c r="C1071" t="s">
        <v>5485</v>
      </c>
      <c r="D1071" t="s">
        <v>9928</v>
      </c>
      <c r="E1071" t="s">
        <v>10075</v>
      </c>
      <c r="F1071">
        <v>11213</v>
      </c>
      <c r="G1071" t="s">
        <v>10093</v>
      </c>
      <c r="H1071" t="s">
        <v>10133</v>
      </c>
      <c r="J1071" t="s">
        <v>10213</v>
      </c>
      <c r="K1071" t="s">
        <v>10217</v>
      </c>
      <c r="M1071" t="s">
        <v>10457</v>
      </c>
      <c r="N1071" t="s">
        <v>10664</v>
      </c>
      <c r="P1071" t="s">
        <v>10749</v>
      </c>
      <c r="Q1071" t="s">
        <v>10765</v>
      </c>
      <c r="R1071" t="s">
        <v>10824</v>
      </c>
      <c r="T1071">
        <v>4160</v>
      </c>
      <c r="U1071">
        <v>346.67</v>
      </c>
      <c r="V1071">
        <v>39</v>
      </c>
      <c r="W1071">
        <v>1</v>
      </c>
      <c r="X1071">
        <v>0</v>
      </c>
      <c r="Z1071">
        <v>33.31</v>
      </c>
      <c r="AA1071">
        <v>40.679443</v>
      </c>
      <c r="AB1071">
        <v>-73.94138599999999</v>
      </c>
      <c r="AD1071" t="s">
        <v>10839</v>
      </c>
      <c r="AG1071" t="s">
        <v>10858</v>
      </c>
      <c r="AH1071" t="s">
        <v>10868</v>
      </c>
      <c r="AI1071">
        <v>239</v>
      </c>
      <c r="AJ1071" t="s">
        <v>10213</v>
      </c>
      <c r="AL1071">
        <v>12.5</v>
      </c>
      <c r="AM1071" t="s">
        <v>10889</v>
      </c>
      <c r="AN1071" t="s">
        <v>10914</v>
      </c>
      <c r="AO1071" t="s">
        <v>11007</v>
      </c>
      <c r="AP1071" t="s">
        <v>11052</v>
      </c>
      <c r="AR1071" t="s">
        <v>11255</v>
      </c>
      <c r="AS1071" t="s">
        <v>11595</v>
      </c>
      <c r="AT1071" t="s">
        <v>11641</v>
      </c>
      <c r="AX1071" t="s">
        <v>10838</v>
      </c>
      <c r="BA1071" t="s">
        <v>11738</v>
      </c>
      <c r="BB1071">
        <v>0</v>
      </c>
      <c r="BC1071">
        <v>0</v>
      </c>
      <c r="BD1071">
        <v>0</v>
      </c>
      <c r="BE1071">
        <v>0</v>
      </c>
      <c r="BF1071">
        <v>5</v>
      </c>
      <c r="BG1071">
        <v>0</v>
      </c>
    </row>
    <row r="1072" spans="1:59">
      <c r="A1072" s="1">
        <f>HYPERLINK("https://lsnyc.legalserver.org/matter/dynamic-profile/view/1904889","19-1904889")</f>
        <v>0</v>
      </c>
      <c r="B1072" t="s">
        <v>889</v>
      </c>
      <c r="C1072" t="s">
        <v>5775</v>
      </c>
      <c r="D1072" t="s">
        <v>9948</v>
      </c>
      <c r="E1072" t="s">
        <v>10075</v>
      </c>
      <c r="F1072">
        <v>11691</v>
      </c>
      <c r="G1072" t="s">
        <v>10092</v>
      </c>
      <c r="H1072" t="s">
        <v>10124</v>
      </c>
      <c r="I1072" t="s">
        <v>10168</v>
      </c>
      <c r="J1072" t="s">
        <v>10212</v>
      </c>
      <c r="K1072" t="s">
        <v>10217</v>
      </c>
      <c r="M1072" t="s">
        <v>10258</v>
      </c>
      <c r="N1072" t="s">
        <v>10650</v>
      </c>
      <c r="P1072" t="s">
        <v>10749</v>
      </c>
      <c r="Q1072" t="s">
        <v>10765</v>
      </c>
      <c r="R1072" t="s">
        <v>10820</v>
      </c>
      <c r="T1072">
        <v>4200</v>
      </c>
      <c r="U1072">
        <v>350</v>
      </c>
      <c r="V1072">
        <v>53</v>
      </c>
      <c r="W1072">
        <v>1</v>
      </c>
      <c r="X1072">
        <v>0</v>
      </c>
      <c r="Z1072">
        <v>33.63</v>
      </c>
      <c r="AA1072">
        <v>40.596354</v>
      </c>
      <c r="AB1072">
        <v>-73.76511499999999</v>
      </c>
      <c r="AD1072" t="s">
        <v>10839</v>
      </c>
      <c r="AG1072" t="s">
        <v>10858</v>
      </c>
      <c r="AH1072" t="s">
        <v>10862</v>
      </c>
      <c r="AI1072">
        <v>237</v>
      </c>
      <c r="AJ1072" t="s">
        <v>10212</v>
      </c>
      <c r="AL1072">
        <v>0.61</v>
      </c>
      <c r="AM1072" t="s">
        <v>10892</v>
      </c>
      <c r="AN1072" t="s">
        <v>10958</v>
      </c>
      <c r="AO1072" t="s">
        <v>11017</v>
      </c>
      <c r="AP1072" t="s">
        <v>11082</v>
      </c>
      <c r="AQ1072" t="s">
        <v>11101</v>
      </c>
      <c r="AR1072" t="s">
        <v>11257</v>
      </c>
      <c r="AS1072" t="s">
        <v>11594</v>
      </c>
      <c r="AT1072" t="s">
        <v>11641</v>
      </c>
      <c r="BA1072" t="s">
        <v>11738</v>
      </c>
      <c r="BB1072">
        <v>0</v>
      </c>
      <c r="BC1072">
        <v>0</v>
      </c>
      <c r="BD1072">
        <v>0</v>
      </c>
      <c r="BE1072">
        <v>0</v>
      </c>
      <c r="BF1072">
        <v>5</v>
      </c>
      <c r="BG1072">
        <v>0</v>
      </c>
    </row>
    <row r="1073" spans="1:59">
      <c r="A1073" s="1">
        <f>HYPERLINK("https://lsnyc.legalserver.org/matter/dynamic-profile/view/1904890","19-1904890")</f>
        <v>0</v>
      </c>
      <c r="B1073" t="s">
        <v>1008</v>
      </c>
      <c r="C1073" t="s">
        <v>5601</v>
      </c>
      <c r="D1073" t="s">
        <v>9926</v>
      </c>
      <c r="E1073" t="s">
        <v>10075</v>
      </c>
      <c r="F1073">
        <v>10453</v>
      </c>
      <c r="G1073" t="s">
        <v>10090</v>
      </c>
      <c r="H1073" t="s">
        <v>10124</v>
      </c>
      <c r="I1073" t="s">
        <v>10168</v>
      </c>
      <c r="J1073" t="s">
        <v>10210</v>
      </c>
      <c r="K1073" t="s">
        <v>10217</v>
      </c>
      <c r="M1073" t="s">
        <v>10463</v>
      </c>
      <c r="N1073" t="s">
        <v>10650</v>
      </c>
      <c r="P1073" t="s">
        <v>10749</v>
      </c>
      <c r="Q1073" t="s">
        <v>10765</v>
      </c>
      <c r="R1073" t="s">
        <v>10824</v>
      </c>
      <c r="T1073">
        <v>76000</v>
      </c>
      <c r="U1073">
        <v>6333.33</v>
      </c>
      <c r="V1073">
        <v>66</v>
      </c>
      <c r="W1073">
        <v>1</v>
      </c>
      <c r="X1073">
        <v>0</v>
      </c>
      <c r="Z1073">
        <v>626.03</v>
      </c>
      <c r="AA1073">
        <v>40.846849</v>
      </c>
      <c r="AB1073">
        <v>-73.90953500000001</v>
      </c>
      <c r="AD1073" t="s">
        <v>10840</v>
      </c>
      <c r="AG1073" t="s">
        <v>10858</v>
      </c>
      <c r="AH1073" t="s">
        <v>10862</v>
      </c>
      <c r="AI1073">
        <v>230</v>
      </c>
      <c r="AJ1073" t="s">
        <v>10210</v>
      </c>
      <c r="AL1073">
        <v>0</v>
      </c>
      <c r="AM1073" t="s">
        <v>10884</v>
      </c>
      <c r="AN1073" t="s">
        <v>10931</v>
      </c>
      <c r="AO1073" t="s">
        <v>11000</v>
      </c>
      <c r="AP1073" t="s">
        <v>11045</v>
      </c>
      <c r="AR1073" t="s">
        <v>11257</v>
      </c>
      <c r="AS1073" t="s">
        <v>9926</v>
      </c>
      <c r="BA1073" t="s">
        <v>11739</v>
      </c>
      <c r="BB1073">
        <v>0</v>
      </c>
      <c r="BC1073">
        <v>0</v>
      </c>
      <c r="BD1073">
        <v>0</v>
      </c>
      <c r="BE1073">
        <v>0</v>
      </c>
      <c r="BF1073">
        <v>4</v>
      </c>
      <c r="BG1073">
        <v>0</v>
      </c>
    </row>
    <row r="1074" spans="1:59">
      <c r="A1074" s="1">
        <f>HYPERLINK("https://lsnyc.legalserver.org/matter/dynamic-profile/view/1904891","19-1904891")</f>
        <v>0</v>
      </c>
      <c r="B1074" t="s">
        <v>1009</v>
      </c>
      <c r="C1074" t="s">
        <v>5884</v>
      </c>
      <c r="D1074" t="s">
        <v>9928</v>
      </c>
      <c r="E1074" t="s">
        <v>10075</v>
      </c>
      <c r="F1074">
        <v>11218</v>
      </c>
      <c r="G1074" t="s">
        <v>10093</v>
      </c>
      <c r="H1074" t="s">
        <v>10124</v>
      </c>
      <c r="I1074" t="s">
        <v>10168</v>
      </c>
      <c r="J1074" t="s">
        <v>10213</v>
      </c>
      <c r="K1074" t="s">
        <v>10217</v>
      </c>
      <c r="M1074" t="s">
        <v>10265</v>
      </c>
      <c r="N1074" t="s">
        <v>10671</v>
      </c>
      <c r="P1074" t="s">
        <v>10751</v>
      </c>
      <c r="Q1074" t="s">
        <v>10761</v>
      </c>
      <c r="R1074" t="s">
        <v>10822</v>
      </c>
      <c r="T1074">
        <v>14196</v>
      </c>
      <c r="U1074">
        <v>1183</v>
      </c>
      <c r="V1074">
        <v>44</v>
      </c>
      <c r="W1074">
        <v>2</v>
      </c>
      <c r="X1074">
        <v>0</v>
      </c>
      <c r="Z1074">
        <v>83.95</v>
      </c>
      <c r="AA1074">
        <v>40.643853</v>
      </c>
      <c r="AB1074">
        <v>-73.971501</v>
      </c>
      <c r="AD1074" t="s">
        <v>10822</v>
      </c>
      <c r="AG1074" t="s">
        <v>10858</v>
      </c>
      <c r="AH1074" t="s">
        <v>10862</v>
      </c>
      <c r="AI1074">
        <v>239</v>
      </c>
      <c r="AJ1074" t="s">
        <v>10213</v>
      </c>
      <c r="AL1074">
        <v>4.25</v>
      </c>
      <c r="AM1074" t="s">
        <v>10894</v>
      </c>
      <c r="AN1074" t="s">
        <v>10941</v>
      </c>
      <c r="AO1074" t="s">
        <v>11008</v>
      </c>
      <c r="AP1074" t="s">
        <v>11050</v>
      </c>
      <c r="AR1074" t="s">
        <v>11372</v>
      </c>
      <c r="AS1074" t="s">
        <v>11595</v>
      </c>
      <c r="BA1074" t="s">
        <v>11737</v>
      </c>
      <c r="BB1074">
        <v>0</v>
      </c>
      <c r="BC1074">
        <v>0</v>
      </c>
      <c r="BD1074">
        <v>0</v>
      </c>
      <c r="BE1074">
        <v>0</v>
      </c>
      <c r="BF1074">
        <v>3</v>
      </c>
      <c r="BG1074">
        <v>0</v>
      </c>
    </row>
    <row r="1075" spans="1:59">
      <c r="A1075" s="1">
        <f>HYPERLINK("https://lsnyc.legalserver.org/matter/dynamic-profile/view/1904892","19-1904892")</f>
        <v>0</v>
      </c>
      <c r="B1075" t="s">
        <v>1010</v>
      </c>
      <c r="C1075" t="s">
        <v>5885</v>
      </c>
      <c r="D1075" t="s">
        <v>9925</v>
      </c>
      <c r="E1075" t="s">
        <v>10075</v>
      </c>
      <c r="F1075">
        <v>10033</v>
      </c>
      <c r="G1075" t="s">
        <v>10089</v>
      </c>
      <c r="H1075" t="s">
        <v>10124</v>
      </c>
      <c r="I1075" t="s">
        <v>10168</v>
      </c>
      <c r="J1075" t="s">
        <v>10209</v>
      </c>
      <c r="K1075" t="s">
        <v>10218</v>
      </c>
      <c r="L1075" t="s">
        <v>10134</v>
      </c>
      <c r="M1075" t="s">
        <v>10393</v>
      </c>
      <c r="N1075" t="s">
        <v>10650</v>
      </c>
      <c r="P1075" t="s">
        <v>10749</v>
      </c>
      <c r="Q1075" t="s">
        <v>10765</v>
      </c>
      <c r="R1075" t="s">
        <v>10820</v>
      </c>
      <c r="T1075">
        <v>120000</v>
      </c>
      <c r="U1075">
        <v>10000</v>
      </c>
      <c r="V1075">
        <v>48</v>
      </c>
      <c r="W1075">
        <v>2</v>
      </c>
      <c r="X1075">
        <v>0</v>
      </c>
      <c r="Y1075" t="s">
        <v>10829</v>
      </c>
      <c r="Z1075">
        <v>709.64</v>
      </c>
      <c r="AA1075">
        <v>40.846943</v>
      </c>
      <c r="AB1075">
        <v>-73.942724</v>
      </c>
      <c r="AD1075" t="s">
        <v>10840</v>
      </c>
      <c r="AG1075" t="s">
        <v>10858</v>
      </c>
      <c r="AH1075" t="s">
        <v>10862</v>
      </c>
      <c r="AI1075">
        <v>236</v>
      </c>
      <c r="AJ1075" t="s">
        <v>10209</v>
      </c>
      <c r="AK1075" t="s">
        <v>10838</v>
      </c>
      <c r="AL1075">
        <v>1.1</v>
      </c>
      <c r="AM1075" t="s">
        <v>10887</v>
      </c>
      <c r="AN1075" t="s">
        <v>10943</v>
      </c>
      <c r="AO1075" t="s">
        <v>11019</v>
      </c>
      <c r="AP1075" t="s">
        <v>11074</v>
      </c>
      <c r="AR1075" t="s">
        <v>11257</v>
      </c>
      <c r="AS1075" t="s">
        <v>9925</v>
      </c>
      <c r="AT1075" t="s">
        <v>11642</v>
      </c>
      <c r="AX1075" t="s">
        <v>10838</v>
      </c>
      <c r="AY1075" t="s">
        <v>10829</v>
      </c>
      <c r="AZ1075" t="s">
        <v>11681</v>
      </c>
      <c r="BA1075" t="s">
        <v>11741</v>
      </c>
      <c r="BB1075">
        <v>0</v>
      </c>
      <c r="BC1075">
        <v>0</v>
      </c>
      <c r="BD1075">
        <v>0</v>
      </c>
      <c r="BE1075">
        <v>0</v>
      </c>
      <c r="BF1075">
        <v>1</v>
      </c>
      <c r="BG1075">
        <v>0</v>
      </c>
    </row>
    <row r="1076" spans="1:59">
      <c r="A1076" s="1">
        <f>HYPERLINK("https://lsnyc.legalserver.org/matter/dynamic-profile/view/1904893","19-1904893")</f>
        <v>0</v>
      </c>
      <c r="B1076" t="s">
        <v>1011</v>
      </c>
      <c r="C1076" t="s">
        <v>5886</v>
      </c>
      <c r="D1076" t="s">
        <v>9951</v>
      </c>
      <c r="E1076" t="s">
        <v>10075</v>
      </c>
      <c r="F1076">
        <v>11417</v>
      </c>
      <c r="G1076" t="s">
        <v>10092</v>
      </c>
      <c r="H1076" t="s">
        <v>10124</v>
      </c>
      <c r="I1076" t="s">
        <v>10168</v>
      </c>
      <c r="J1076" t="s">
        <v>10212</v>
      </c>
      <c r="K1076" t="s">
        <v>10217</v>
      </c>
      <c r="M1076" t="s">
        <v>10475</v>
      </c>
      <c r="N1076" t="s">
        <v>10650</v>
      </c>
      <c r="P1076" t="s">
        <v>10749</v>
      </c>
      <c r="Q1076" t="s">
        <v>10765</v>
      </c>
      <c r="R1076" t="s">
        <v>10820</v>
      </c>
      <c r="T1076">
        <v>8400</v>
      </c>
      <c r="U1076">
        <v>700</v>
      </c>
      <c r="V1076">
        <v>46</v>
      </c>
      <c r="W1076">
        <v>1</v>
      </c>
      <c r="X1076">
        <v>2</v>
      </c>
      <c r="Z1076">
        <v>39.38</v>
      </c>
      <c r="AA1076">
        <v>40.676348</v>
      </c>
      <c r="AB1076">
        <v>-73.845928</v>
      </c>
      <c r="AD1076" t="s">
        <v>10840</v>
      </c>
      <c r="AG1076" t="s">
        <v>10858</v>
      </c>
      <c r="AH1076" t="s">
        <v>10861</v>
      </c>
      <c r="AI1076">
        <v>234</v>
      </c>
      <c r="AJ1076" t="s">
        <v>10214</v>
      </c>
      <c r="AL1076">
        <v>18.51</v>
      </c>
      <c r="AM1076" t="s">
        <v>10889</v>
      </c>
      <c r="AN1076" t="s">
        <v>10958</v>
      </c>
      <c r="AO1076" t="s">
        <v>11024</v>
      </c>
      <c r="AP1076" t="s">
        <v>11088</v>
      </c>
      <c r="AR1076" t="s">
        <v>11400</v>
      </c>
      <c r="AS1076" t="s">
        <v>11594</v>
      </c>
      <c r="AT1076" t="s">
        <v>11642</v>
      </c>
      <c r="AX1076" t="s">
        <v>10838</v>
      </c>
      <c r="BA1076" t="s">
        <v>11738</v>
      </c>
      <c r="BB1076">
        <v>0</v>
      </c>
      <c r="BC1076">
        <v>0</v>
      </c>
      <c r="BD1076">
        <v>0</v>
      </c>
      <c r="BE1076">
        <v>0</v>
      </c>
      <c r="BF1076">
        <v>5</v>
      </c>
      <c r="BG1076">
        <v>0</v>
      </c>
    </row>
    <row r="1077" spans="1:59">
      <c r="A1077" s="1">
        <f>HYPERLINK("https://lsnyc.legalserver.org/matter/dynamic-profile/view/1904895","19-1904895")</f>
        <v>0</v>
      </c>
      <c r="B1077" t="s">
        <v>1012</v>
      </c>
      <c r="C1077" t="s">
        <v>5887</v>
      </c>
      <c r="D1077" t="s">
        <v>9925</v>
      </c>
      <c r="E1077" t="s">
        <v>10075</v>
      </c>
      <c r="F1077">
        <v>10034</v>
      </c>
      <c r="G1077" t="s">
        <v>10089</v>
      </c>
      <c r="H1077" t="s">
        <v>10124</v>
      </c>
      <c r="I1077" t="s">
        <v>10168</v>
      </c>
      <c r="J1077" t="s">
        <v>10209</v>
      </c>
      <c r="K1077" t="s">
        <v>10217</v>
      </c>
      <c r="M1077" t="s">
        <v>10393</v>
      </c>
      <c r="N1077" t="s">
        <v>10650</v>
      </c>
      <c r="P1077" t="s">
        <v>10749</v>
      </c>
      <c r="Q1077" t="s">
        <v>10765</v>
      </c>
      <c r="R1077" t="s">
        <v>10820</v>
      </c>
      <c r="T1077">
        <v>24000</v>
      </c>
      <c r="U1077">
        <v>2000</v>
      </c>
      <c r="V1077">
        <v>32</v>
      </c>
      <c r="W1077">
        <v>1</v>
      </c>
      <c r="X1077">
        <v>0</v>
      </c>
      <c r="Z1077">
        <v>192.15</v>
      </c>
      <c r="AA1077">
        <v>40.868537</v>
      </c>
      <c r="AB1077">
        <v>-73.923261</v>
      </c>
      <c r="AD1077" t="s">
        <v>10839</v>
      </c>
      <c r="AG1077" t="s">
        <v>10858</v>
      </c>
      <c r="AH1077" t="s">
        <v>10862</v>
      </c>
      <c r="AI1077">
        <v>236</v>
      </c>
      <c r="AJ1077" t="s">
        <v>10209</v>
      </c>
      <c r="AK1077" t="s">
        <v>10838</v>
      </c>
      <c r="AL1077">
        <v>2.7</v>
      </c>
      <c r="AM1077" t="s">
        <v>10887</v>
      </c>
      <c r="AN1077" t="s">
        <v>10937</v>
      </c>
      <c r="AO1077" t="s">
        <v>11019</v>
      </c>
      <c r="AP1077" t="s">
        <v>11074</v>
      </c>
      <c r="AR1077" t="s">
        <v>11270</v>
      </c>
      <c r="AS1077" t="s">
        <v>9925</v>
      </c>
      <c r="AT1077" t="s">
        <v>11641</v>
      </c>
      <c r="AX1077" t="s">
        <v>10838</v>
      </c>
      <c r="BA1077" t="s">
        <v>11740</v>
      </c>
      <c r="BB1077">
        <v>0</v>
      </c>
      <c r="BC1077">
        <v>0</v>
      </c>
      <c r="BD1077">
        <v>0</v>
      </c>
      <c r="BE1077">
        <v>0</v>
      </c>
      <c r="BF1077">
        <v>2</v>
      </c>
      <c r="BG1077">
        <v>0</v>
      </c>
    </row>
    <row r="1078" spans="1:59">
      <c r="A1078" s="1">
        <f>HYPERLINK("https://lsnyc.legalserver.org/matter/dynamic-profile/view/1904896","19-1904896")</f>
        <v>0</v>
      </c>
      <c r="B1078" t="s">
        <v>1013</v>
      </c>
      <c r="C1078" t="s">
        <v>5888</v>
      </c>
      <c r="D1078" t="s">
        <v>9925</v>
      </c>
      <c r="E1078" t="s">
        <v>10075</v>
      </c>
      <c r="F1078">
        <v>10034</v>
      </c>
      <c r="G1078" t="s">
        <v>10089</v>
      </c>
      <c r="H1078" t="s">
        <v>10124</v>
      </c>
      <c r="I1078" t="s">
        <v>10168</v>
      </c>
      <c r="J1078" t="s">
        <v>10209</v>
      </c>
      <c r="K1078" t="s">
        <v>10217</v>
      </c>
      <c r="M1078" t="s">
        <v>10393</v>
      </c>
      <c r="N1078" t="s">
        <v>10650</v>
      </c>
      <c r="P1078" t="s">
        <v>10749</v>
      </c>
      <c r="Q1078" t="s">
        <v>10765</v>
      </c>
      <c r="R1078" t="s">
        <v>10821</v>
      </c>
      <c r="T1078">
        <v>9600</v>
      </c>
      <c r="U1078">
        <v>800</v>
      </c>
      <c r="V1078">
        <v>61</v>
      </c>
      <c r="W1078">
        <v>1</v>
      </c>
      <c r="X1078">
        <v>0</v>
      </c>
      <c r="Z1078">
        <v>76.86</v>
      </c>
      <c r="AA1078">
        <v>40.866112</v>
      </c>
      <c r="AB1078">
        <v>-73.91863499999999</v>
      </c>
      <c r="AD1078" t="s">
        <v>10840</v>
      </c>
      <c r="AF1078" t="s">
        <v>10843</v>
      </c>
      <c r="AG1078" t="s">
        <v>10859</v>
      </c>
      <c r="AH1078" t="s">
        <v>10862</v>
      </c>
      <c r="AI1078">
        <v>236</v>
      </c>
      <c r="AJ1078" t="s">
        <v>10209</v>
      </c>
      <c r="AL1078">
        <v>1.9</v>
      </c>
      <c r="AM1078" t="s">
        <v>10887</v>
      </c>
      <c r="AN1078" t="s">
        <v>10937</v>
      </c>
      <c r="AO1078" t="s">
        <v>11019</v>
      </c>
      <c r="AP1078" t="s">
        <v>11074</v>
      </c>
      <c r="AR1078" t="s">
        <v>11270</v>
      </c>
      <c r="AS1078" t="s">
        <v>9925</v>
      </c>
      <c r="AT1078" t="s">
        <v>11642</v>
      </c>
      <c r="AX1078" t="s">
        <v>10838</v>
      </c>
      <c r="BA1078" t="s">
        <v>11740</v>
      </c>
      <c r="BB1078">
        <v>0</v>
      </c>
      <c r="BC1078">
        <v>0</v>
      </c>
      <c r="BD1078">
        <v>0</v>
      </c>
      <c r="BE1078">
        <v>0</v>
      </c>
      <c r="BF1078">
        <v>2</v>
      </c>
      <c r="BG1078">
        <v>0</v>
      </c>
    </row>
    <row r="1079" spans="1:59">
      <c r="A1079" s="1">
        <f>HYPERLINK("https://lsnyc.legalserver.org/matter/dynamic-profile/view/1904897","19-1904897")</f>
        <v>0</v>
      </c>
      <c r="B1079" t="s">
        <v>1014</v>
      </c>
      <c r="C1079" t="s">
        <v>5889</v>
      </c>
      <c r="D1079" t="s">
        <v>9951</v>
      </c>
      <c r="E1079" t="s">
        <v>10075</v>
      </c>
      <c r="F1079">
        <v>11417</v>
      </c>
      <c r="G1079" t="s">
        <v>10092</v>
      </c>
      <c r="H1079" t="s">
        <v>10124</v>
      </c>
      <c r="I1079" t="s">
        <v>10168</v>
      </c>
      <c r="J1079" t="s">
        <v>10212</v>
      </c>
      <c r="K1079" t="s">
        <v>10217</v>
      </c>
      <c r="M1079" t="s">
        <v>10318</v>
      </c>
      <c r="N1079" t="s">
        <v>10684</v>
      </c>
      <c r="P1079" t="s">
        <v>10751</v>
      </c>
      <c r="Q1079" t="s">
        <v>10786</v>
      </c>
      <c r="R1079" t="s">
        <v>10821</v>
      </c>
      <c r="T1079">
        <v>1300</v>
      </c>
      <c r="U1079">
        <v>108.33</v>
      </c>
      <c r="V1079">
        <v>23</v>
      </c>
      <c r="W1079">
        <v>2</v>
      </c>
      <c r="X1079">
        <v>0</v>
      </c>
      <c r="Z1079">
        <v>7.69</v>
      </c>
      <c r="AA1079">
        <v>40.676537</v>
      </c>
      <c r="AB1079">
        <v>-73.835233</v>
      </c>
      <c r="AD1079" t="s">
        <v>10840</v>
      </c>
      <c r="AG1079" t="s">
        <v>10858</v>
      </c>
      <c r="AH1079" t="s">
        <v>10873</v>
      </c>
      <c r="AI1079">
        <v>237</v>
      </c>
      <c r="AJ1079" t="s">
        <v>10212</v>
      </c>
      <c r="AL1079">
        <v>2.25</v>
      </c>
      <c r="AM1079" t="s">
        <v>10892</v>
      </c>
      <c r="AN1079" t="s">
        <v>10958</v>
      </c>
      <c r="AO1079" t="s">
        <v>11024</v>
      </c>
      <c r="AP1079" t="s">
        <v>11088</v>
      </c>
      <c r="AR1079" t="s">
        <v>11268</v>
      </c>
      <c r="AS1079" t="s">
        <v>11594</v>
      </c>
      <c r="AT1079" t="s">
        <v>11642</v>
      </c>
      <c r="AX1079" t="s">
        <v>10838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</row>
    <row r="1080" spans="1:59">
      <c r="A1080" s="1">
        <f>HYPERLINK("https://lsnyc.legalserver.org/matter/dynamic-profile/view/1904898","19-1904898")</f>
        <v>0</v>
      </c>
      <c r="B1080" t="s">
        <v>1015</v>
      </c>
      <c r="C1080" t="s">
        <v>5890</v>
      </c>
      <c r="D1080" t="s">
        <v>9937</v>
      </c>
      <c r="E1080" t="s">
        <v>10075</v>
      </c>
      <c r="F1080">
        <v>11412</v>
      </c>
      <c r="G1080" t="s">
        <v>10092</v>
      </c>
      <c r="H1080" t="s">
        <v>10124</v>
      </c>
      <c r="I1080" t="s">
        <v>10168</v>
      </c>
      <c r="J1080" t="s">
        <v>10212</v>
      </c>
      <c r="K1080" t="s">
        <v>10217</v>
      </c>
      <c r="M1080" t="s">
        <v>10329</v>
      </c>
      <c r="N1080" t="s">
        <v>10711</v>
      </c>
      <c r="P1080" t="s">
        <v>10749</v>
      </c>
      <c r="Q1080" t="s">
        <v>10765</v>
      </c>
      <c r="R1080" t="s">
        <v>10824</v>
      </c>
      <c r="T1080">
        <v>9252</v>
      </c>
      <c r="U1080">
        <v>771</v>
      </c>
      <c r="V1080">
        <v>33</v>
      </c>
      <c r="W1080">
        <v>1</v>
      </c>
      <c r="X1080">
        <v>2</v>
      </c>
      <c r="Z1080">
        <v>43.38</v>
      </c>
      <c r="AA1080">
        <v>40.697266</v>
      </c>
      <c r="AB1080">
        <v>-73.749752</v>
      </c>
      <c r="AD1080" t="s">
        <v>10839</v>
      </c>
      <c r="AG1080" t="s">
        <v>10858</v>
      </c>
      <c r="AH1080" t="s">
        <v>10862</v>
      </c>
      <c r="AI1080">
        <v>237</v>
      </c>
      <c r="AJ1080" t="s">
        <v>10212</v>
      </c>
      <c r="AL1080">
        <v>14.16</v>
      </c>
      <c r="AM1080" t="s">
        <v>10892</v>
      </c>
      <c r="AN1080" t="s">
        <v>10940</v>
      </c>
      <c r="AO1080" t="s">
        <v>11020</v>
      </c>
      <c r="AP1080" t="s">
        <v>11075</v>
      </c>
      <c r="AR1080" t="s">
        <v>11263</v>
      </c>
      <c r="AS1080" t="s">
        <v>11594</v>
      </c>
      <c r="BA1080" t="s">
        <v>11738</v>
      </c>
      <c r="BB1080">
        <v>0</v>
      </c>
      <c r="BC1080">
        <v>0</v>
      </c>
      <c r="BD1080">
        <v>0</v>
      </c>
      <c r="BE1080">
        <v>0</v>
      </c>
      <c r="BF1080">
        <v>5</v>
      </c>
      <c r="BG1080">
        <v>0</v>
      </c>
    </row>
    <row r="1081" spans="1:59">
      <c r="A1081" s="1">
        <f>HYPERLINK("https://lsnyc.legalserver.org/matter/dynamic-profile/view/1904899","19-1904899")</f>
        <v>0</v>
      </c>
      <c r="B1081" t="s">
        <v>1008</v>
      </c>
      <c r="C1081" t="s">
        <v>5601</v>
      </c>
      <c r="D1081" t="s">
        <v>9926</v>
      </c>
      <c r="E1081" t="s">
        <v>10075</v>
      </c>
      <c r="F1081">
        <v>10453</v>
      </c>
      <c r="G1081" t="s">
        <v>10090</v>
      </c>
      <c r="H1081" t="s">
        <v>10124</v>
      </c>
      <c r="I1081" t="s">
        <v>10168</v>
      </c>
      <c r="J1081" t="s">
        <v>10210</v>
      </c>
      <c r="K1081" t="s">
        <v>10217</v>
      </c>
      <c r="M1081" t="s">
        <v>10463</v>
      </c>
      <c r="N1081" t="s">
        <v>10650</v>
      </c>
      <c r="P1081" t="s">
        <v>10749</v>
      </c>
      <c r="Q1081" t="s">
        <v>10765</v>
      </c>
      <c r="R1081" t="s">
        <v>10824</v>
      </c>
      <c r="T1081">
        <v>76000</v>
      </c>
      <c r="U1081">
        <v>6333.33</v>
      </c>
      <c r="V1081">
        <v>66</v>
      </c>
      <c r="W1081">
        <v>1</v>
      </c>
      <c r="X1081">
        <v>0</v>
      </c>
      <c r="Z1081">
        <v>626.03</v>
      </c>
      <c r="AA1081">
        <v>40.846849</v>
      </c>
      <c r="AB1081">
        <v>-73.90953500000001</v>
      </c>
      <c r="AD1081" t="s">
        <v>10840</v>
      </c>
      <c r="AG1081" t="s">
        <v>10858</v>
      </c>
      <c r="AH1081" t="s">
        <v>10862</v>
      </c>
      <c r="AI1081">
        <v>230</v>
      </c>
      <c r="AJ1081" t="s">
        <v>10210</v>
      </c>
      <c r="AL1081">
        <v>0</v>
      </c>
      <c r="AM1081" t="s">
        <v>10884</v>
      </c>
      <c r="AN1081" t="s">
        <v>10931</v>
      </c>
      <c r="AO1081" t="s">
        <v>11000</v>
      </c>
      <c r="AP1081" t="s">
        <v>11045</v>
      </c>
      <c r="AR1081" t="s">
        <v>11257</v>
      </c>
      <c r="AS1081" t="s">
        <v>9926</v>
      </c>
      <c r="AT1081" t="s">
        <v>11642</v>
      </c>
      <c r="BA1081" t="s">
        <v>11739</v>
      </c>
      <c r="BB1081">
        <v>0</v>
      </c>
      <c r="BC1081">
        <v>0</v>
      </c>
      <c r="BD1081">
        <v>0</v>
      </c>
      <c r="BE1081">
        <v>0</v>
      </c>
      <c r="BF1081">
        <v>4</v>
      </c>
      <c r="BG1081">
        <v>0</v>
      </c>
    </row>
    <row r="1082" spans="1:59">
      <c r="A1082" s="1">
        <f>HYPERLINK("https://lsnyc.legalserver.org/matter/dynamic-profile/view/1904900","19-1904900")</f>
        <v>0</v>
      </c>
      <c r="B1082" t="s">
        <v>1016</v>
      </c>
      <c r="C1082" t="s">
        <v>5891</v>
      </c>
      <c r="D1082" t="s">
        <v>9929</v>
      </c>
      <c r="E1082" t="s">
        <v>10075</v>
      </c>
      <c r="F1082">
        <v>10301</v>
      </c>
      <c r="G1082" t="s">
        <v>10088</v>
      </c>
      <c r="H1082" t="s">
        <v>10110</v>
      </c>
      <c r="I1082" t="s">
        <v>10168</v>
      </c>
      <c r="J1082" t="s">
        <v>10208</v>
      </c>
      <c r="K1082" t="s">
        <v>10217</v>
      </c>
      <c r="M1082" t="s">
        <v>10240</v>
      </c>
      <c r="N1082" t="s">
        <v>10650</v>
      </c>
      <c r="P1082" t="s">
        <v>10749</v>
      </c>
      <c r="Q1082" t="s">
        <v>10765</v>
      </c>
      <c r="R1082" t="s">
        <v>10824</v>
      </c>
      <c r="T1082">
        <v>14592</v>
      </c>
      <c r="U1082">
        <v>1216</v>
      </c>
      <c r="V1082">
        <v>55</v>
      </c>
      <c r="W1082">
        <v>1</v>
      </c>
      <c r="X1082">
        <v>0</v>
      </c>
      <c r="Z1082">
        <v>116.83</v>
      </c>
      <c r="AA1082">
        <v>40.640907</v>
      </c>
      <c r="AB1082">
        <v>-74.085947</v>
      </c>
      <c r="AD1082" t="s">
        <v>10840</v>
      </c>
      <c r="AG1082" t="s">
        <v>10858</v>
      </c>
      <c r="AH1082" t="s">
        <v>10862</v>
      </c>
      <c r="AI1082">
        <v>285</v>
      </c>
      <c r="AJ1082" t="s">
        <v>10208</v>
      </c>
      <c r="AL1082">
        <v>6.5</v>
      </c>
      <c r="AM1082" t="s">
        <v>10883</v>
      </c>
      <c r="AN1082" t="s">
        <v>10913</v>
      </c>
      <c r="AO1082" t="s">
        <v>11006</v>
      </c>
      <c r="AP1082" t="s">
        <v>11051</v>
      </c>
      <c r="AR1082" t="s">
        <v>11298</v>
      </c>
      <c r="AS1082" t="s">
        <v>11593</v>
      </c>
      <c r="BA1082" t="s">
        <v>11738</v>
      </c>
      <c r="BB1082">
        <v>0</v>
      </c>
      <c r="BC1082">
        <v>0</v>
      </c>
      <c r="BD1082">
        <v>0</v>
      </c>
      <c r="BE1082">
        <v>0</v>
      </c>
      <c r="BF1082">
        <v>5</v>
      </c>
      <c r="BG1082">
        <v>0</v>
      </c>
    </row>
    <row r="1083" spans="1:59">
      <c r="A1083" s="1">
        <f>HYPERLINK("https://lsnyc.legalserver.org/matter/dynamic-profile/view/1904901","19-1904901")</f>
        <v>0</v>
      </c>
      <c r="B1083" t="s">
        <v>1017</v>
      </c>
      <c r="C1083" t="s">
        <v>5892</v>
      </c>
      <c r="D1083" t="s">
        <v>9938</v>
      </c>
      <c r="E1083" t="s">
        <v>10075</v>
      </c>
      <c r="F1083">
        <v>11418</v>
      </c>
      <c r="G1083" t="s">
        <v>10091</v>
      </c>
      <c r="H1083" t="s">
        <v>10124</v>
      </c>
      <c r="I1083" t="s">
        <v>10180</v>
      </c>
      <c r="J1083" t="s">
        <v>10214</v>
      </c>
      <c r="K1083" t="s">
        <v>10217</v>
      </c>
      <c r="M1083" t="s">
        <v>10522</v>
      </c>
      <c r="N1083" t="s">
        <v>10646</v>
      </c>
      <c r="P1083" t="s">
        <v>10753</v>
      </c>
      <c r="Q1083" t="s">
        <v>10763</v>
      </c>
      <c r="R1083" t="s">
        <v>10826</v>
      </c>
      <c r="T1083">
        <v>40300</v>
      </c>
      <c r="U1083">
        <v>3358.33</v>
      </c>
      <c r="V1083">
        <v>54</v>
      </c>
      <c r="W1083">
        <v>1</v>
      </c>
      <c r="X1083">
        <v>1</v>
      </c>
      <c r="Z1083">
        <v>238.32</v>
      </c>
      <c r="AA1083">
        <v>40.69498</v>
      </c>
      <c r="AB1083">
        <v>-73.842096</v>
      </c>
      <c r="AD1083" t="s">
        <v>10840</v>
      </c>
      <c r="AF1083" t="s">
        <v>10842</v>
      </c>
      <c r="AG1083" t="s">
        <v>10859</v>
      </c>
      <c r="AH1083" t="s">
        <v>10864</v>
      </c>
      <c r="AI1083">
        <v>234</v>
      </c>
      <c r="AJ1083" t="s">
        <v>10214</v>
      </c>
      <c r="AL1083">
        <v>29.5</v>
      </c>
      <c r="AM1083" t="s">
        <v>10892</v>
      </c>
      <c r="AN1083" t="s">
        <v>10945</v>
      </c>
      <c r="AO1083" t="s">
        <v>11017</v>
      </c>
      <c r="AP1083" t="s">
        <v>11088</v>
      </c>
      <c r="AQ1083" t="s">
        <v>11119</v>
      </c>
      <c r="AR1083" t="s">
        <v>11257</v>
      </c>
      <c r="AS1083" t="s">
        <v>11594</v>
      </c>
      <c r="AX1083" t="s">
        <v>10838</v>
      </c>
      <c r="BA1083" t="s">
        <v>11742</v>
      </c>
      <c r="BB1083">
        <v>0</v>
      </c>
      <c r="BC1083">
        <v>0</v>
      </c>
      <c r="BD1083">
        <v>0</v>
      </c>
      <c r="BE1083">
        <v>0</v>
      </c>
      <c r="BF1083">
        <v>7</v>
      </c>
      <c r="BG1083">
        <v>0</v>
      </c>
    </row>
    <row r="1084" spans="1:59">
      <c r="A1084" s="1">
        <f>HYPERLINK("https://lsnyc.legalserver.org/matter/dynamic-profile/view/1904902","19-1904902")</f>
        <v>0</v>
      </c>
      <c r="B1084" t="s">
        <v>1018</v>
      </c>
      <c r="C1084" t="s">
        <v>5893</v>
      </c>
      <c r="D1084" t="s">
        <v>9926</v>
      </c>
      <c r="E1084" t="s">
        <v>10075</v>
      </c>
      <c r="F1084">
        <v>10453</v>
      </c>
      <c r="G1084" t="s">
        <v>10091</v>
      </c>
      <c r="H1084" t="s">
        <v>10124</v>
      </c>
      <c r="I1084" t="s">
        <v>10168</v>
      </c>
      <c r="J1084" t="s">
        <v>10214</v>
      </c>
      <c r="K1084" t="s">
        <v>10217</v>
      </c>
      <c r="M1084" t="s">
        <v>10286</v>
      </c>
      <c r="N1084" t="s">
        <v>10671</v>
      </c>
      <c r="P1084" t="s">
        <v>10751</v>
      </c>
      <c r="Q1084" t="s">
        <v>10768</v>
      </c>
      <c r="R1084" t="s">
        <v>10821</v>
      </c>
      <c r="T1084">
        <v>3288</v>
      </c>
      <c r="U1084">
        <v>274</v>
      </c>
      <c r="V1084">
        <v>61</v>
      </c>
      <c r="W1084">
        <v>1</v>
      </c>
      <c r="X1084">
        <v>0</v>
      </c>
      <c r="Z1084">
        <v>26.33</v>
      </c>
      <c r="AA1084">
        <v>40.848337</v>
      </c>
      <c r="AB1084">
        <v>-73.91326100000001</v>
      </c>
      <c r="AD1084" t="s">
        <v>10839</v>
      </c>
      <c r="AG1084" t="s">
        <v>10858</v>
      </c>
      <c r="AH1084" t="s">
        <v>10861</v>
      </c>
      <c r="AI1084">
        <v>234</v>
      </c>
      <c r="AJ1084" t="s">
        <v>10214</v>
      </c>
      <c r="AL1084">
        <v>0.5</v>
      </c>
      <c r="AM1084" t="s">
        <v>10884</v>
      </c>
      <c r="AN1084" t="s">
        <v>10929</v>
      </c>
      <c r="AO1084" t="s">
        <v>11013</v>
      </c>
      <c r="AP1084" t="s">
        <v>11045</v>
      </c>
      <c r="AR1084" t="s">
        <v>11255</v>
      </c>
      <c r="AS1084" t="s">
        <v>9926</v>
      </c>
      <c r="AT1084" t="s">
        <v>11641</v>
      </c>
      <c r="AX1084" t="s">
        <v>10838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</row>
    <row r="1085" spans="1:59">
      <c r="A1085" s="1">
        <f>HYPERLINK("https://lsnyc.legalserver.org/matter/dynamic-profile/view/1904904","19-1904904")</f>
        <v>0</v>
      </c>
      <c r="B1085" t="s">
        <v>1019</v>
      </c>
      <c r="C1085" t="s">
        <v>5894</v>
      </c>
      <c r="D1085" t="s">
        <v>9925</v>
      </c>
      <c r="E1085" t="s">
        <v>10075</v>
      </c>
      <c r="F1085">
        <v>10039</v>
      </c>
      <c r="G1085" t="s">
        <v>10089</v>
      </c>
      <c r="H1085" t="s">
        <v>10124</v>
      </c>
      <c r="I1085" t="s">
        <v>10168</v>
      </c>
      <c r="J1085" t="s">
        <v>10209</v>
      </c>
      <c r="K1085" t="s">
        <v>10217</v>
      </c>
      <c r="M1085" t="s">
        <v>10503</v>
      </c>
      <c r="N1085" t="s">
        <v>10721</v>
      </c>
      <c r="P1085" t="s">
        <v>10754</v>
      </c>
      <c r="Q1085" t="s">
        <v>10775</v>
      </c>
      <c r="R1085" t="s">
        <v>10824</v>
      </c>
      <c r="T1085">
        <v>18504</v>
      </c>
      <c r="U1085">
        <v>1542</v>
      </c>
      <c r="V1085">
        <v>54</v>
      </c>
      <c r="W1085">
        <v>1</v>
      </c>
      <c r="X1085">
        <v>3</v>
      </c>
      <c r="Z1085">
        <v>71.86</v>
      </c>
      <c r="AA1085">
        <v>40.83207</v>
      </c>
      <c r="AB1085">
        <v>-73.937802</v>
      </c>
      <c r="AD1085" t="s">
        <v>10839</v>
      </c>
      <c r="AG1085" t="s">
        <v>10858</v>
      </c>
      <c r="AH1085" t="s">
        <v>10865</v>
      </c>
      <c r="AI1085">
        <v>236</v>
      </c>
      <c r="AJ1085" t="s">
        <v>10209</v>
      </c>
      <c r="AK1085" t="s">
        <v>10837</v>
      </c>
      <c r="AL1085">
        <v>2.55</v>
      </c>
      <c r="AM1085" t="s">
        <v>10887</v>
      </c>
      <c r="AN1085" t="s">
        <v>10943</v>
      </c>
      <c r="AO1085" t="s">
        <v>11016</v>
      </c>
      <c r="AP1085" t="s">
        <v>11076</v>
      </c>
      <c r="AQ1085" t="s">
        <v>11114</v>
      </c>
      <c r="AR1085" t="s">
        <v>11263</v>
      </c>
      <c r="AS1085" t="s">
        <v>9925</v>
      </c>
      <c r="AT1085" t="s">
        <v>11641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</row>
    <row r="1086" spans="1:59">
      <c r="A1086" s="1">
        <f>HYPERLINK("https://lsnyc.legalserver.org/matter/dynamic-profile/view/1904906","19-1904906")</f>
        <v>0</v>
      </c>
      <c r="B1086" t="s">
        <v>1020</v>
      </c>
      <c r="C1086" t="s">
        <v>5601</v>
      </c>
      <c r="D1086" t="s">
        <v>9926</v>
      </c>
      <c r="E1086" t="s">
        <v>10075</v>
      </c>
      <c r="F1086">
        <v>10453</v>
      </c>
      <c r="G1086" t="s">
        <v>10090</v>
      </c>
      <c r="H1086" t="s">
        <v>10124</v>
      </c>
      <c r="I1086" t="s">
        <v>10169</v>
      </c>
      <c r="J1086" t="s">
        <v>10210</v>
      </c>
      <c r="K1086" t="s">
        <v>10217</v>
      </c>
      <c r="M1086" t="s">
        <v>10463</v>
      </c>
      <c r="N1086" t="s">
        <v>10650</v>
      </c>
      <c r="P1086" t="s">
        <v>10749</v>
      </c>
      <c r="Q1086" t="s">
        <v>10765</v>
      </c>
      <c r="R1086" t="s">
        <v>10821</v>
      </c>
      <c r="T1086">
        <v>15080</v>
      </c>
      <c r="U1086">
        <v>1256.67</v>
      </c>
      <c r="V1086">
        <v>40</v>
      </c>
      <c r="W1086">
        <v>2</v>
      </c>
      <c r="X1086">
        <v>3</v>
      </c>
      <c r="Z1086">
        <v>51.26</v>
      </c>
      <c r="AA1086">
        <v>40.846849</v>
      </c>
      <c r="AB1086">
        <v>-73.90953500000001</v>
      </c>
      <c r="AD1086" t="s">
        <v>10839</v>
      </c>
      <c r="AG1086" t="s">
        <v>10858</v>
      </c>
      <c r="AH1086" t="s">
        <v>10862</v>
      </c>
      <c r="AI1086">
        <v>230</v>
      </c>
      <c r="AJ1086" t="s">
        <v>10210</v>
      </c>
      <c r="AL1086">
        <v>0</v>
      </c>
      <c r="AM1086" t="s">
        <v>10884</v>
      </c>
      <c r="AN1086" t="s">
        <v>10931</v>
      </c>
      <c r="AO1086" t="s">
        <v>11000</v>
      </c>
      <c r="AP1086" t="s">
        <v>11045</v>
      </c>
      <c r="AR1086" t="s">
        <v>11257</v>
      </c>
      <c r="AS1086" t="s">
        <v>9926</v>
      </c>
      <c r="BA1086" t="s">
        <v>11739</v>
      </c>
      <c r="BB1086">
        <v>0</v>
      </c>
      <c r="BC1086">
        <v>0</v>
      </c>
      <c r="BD1086">
        <v>0</v>
      </c>
      <c r="BE1086">
        <v>0</v>
      </c>
      <c r="BF1086">
        <v>4</v>
      </c>
      <c r="BG1086">
        <v>0</v>
      </c>
    </row>
    <row r="1087" spans="1:59">
      <c r="A1087" s="1">
        <f>HYPERLINK("https://lsnyc.legalserver.org/matter/dynamic-profile/view/1904907","19-1904907")</f>
        <v>0</v>
      </c>
      <c r="B1087" t="s">
        <v>1021</v>
      </c>
      <c r="C1087" t="s">
        <v>5895</v>
      </c>
      <c r="D1087" t="s">
        <v>9988</v>
      </c>
      <c r="E1087" t="s">
        <v>10075</v>
      </c>
      <c r="F1087">
        <v>11693</v>
      </c>
      <c r="G1087" t="s">
        <v>10092</v>
      </c>
      <c r="H1087" t="s">
        <v>10124</v>
      </c>
      <c r="I1087" t="s">
        <v>10168</v>
      </c>
      <c r="J1087" t="s">
        <v>10212</v>
      </c>
      <c r="K1087" t="s">
        <v>10218</v>
      </c>
      <c r="L1087" t="s">
        <v>10163</v>
      </c>
      <c r="M1087" t="s">
        <v>10329</v>
      </c>
      <c r="N1087" t="s">
        <v>10650</v>
      </c>
      <c r="P1087" t="s">
        <v>10749</v>
      </c>
      <c r="Q1087" t="s">
        <v>10765</v>
      </c>
      <c r="R1087" t="s">
        <v>10824</v>
      </c>
      <c r="T1087">
        <v>40821.98</v>
      </c>
      <c r="U1087">
        <v>3401.83</v>
      </c>
      <c r="V1087">
        <v>33</v>
      </c>
      <c r="W1087">
        <v>2</v>
      </c>
      <c r="X1087">
        <v>6</v>
      </c>
      <c r="Y1087" t="s">
        <v>10829</v>
      </c>
      <c r="Z1087">
        <v>93.98999999999999</v>
      </c>
      <c r="AA1087">
        <v>40.589786</v>
      </c>
      <c r="AB1087">
        <v>-73.81164800000001</v>
      </c>
      <c r="AD1087" t="s">
        <v>10839</v>
      </c>
      <c r="AG1087" t="s">
        <v>10858</v>
      </c>
      <c r="AH1087" t="s">
        <v>10862</v>
      </c>
      <c r="AI1087">
        <v>237</v>
      </c>
      <c r="AJ1087" t="s">
        <v>10212</v>
      </c>
      <c r="AK1087" t="s">
        <v>10837</v>
      </c>
      <c r="AL1087">
        <v>2</v>
      </c>
      <c r="AM1087" t="s">
        <v>10892</v>
      </c>
      <c r="AN1087" t="s">
        <v>10958</v>
      </c>
      <c r="AO1087" t="s">
        <v>11017</v>
      </c>
      <c r="AP1087" t="s">
        <v>11088</v>
      </c>
      <c r="AR1087" t="s">
        <v>11295</v>
      </c>
      <c r="AS1087" t="s">
        <v>11594</v>
      </c>
      <c r="AY1087" t="s">
        <v>10829</v>
      </c>
      <c r="AZ1087" t="s">
        <v>11681</v>
      </c>
      <c r="BA1087" t="s">
        <v>11741</v>
      </c>
      <c r="BB1087">
        <v>0</v>
      </c>
      <c r="BC1087">
        <v>0</v>
      </c>
      <c r="BD1087">
        <v>0</v>
      </c>
      <c r="BE1087">
        <v>0</v>
      </c>
      <c r="BF1087">
        <v>1</v>
      </c>
      <c r="BG1087">
        <v>0</v>
      </c>
    </row>
    <row r="1088" spans="1:59">
      <c r="A1088" s="1">
        <f>HYPERLINK("https://lsnyc.legalserver.org/matter/dynamic-profile/view/1904908","19-1904908")</f>
        <v>0</v>
      </c>
      <c r="B1088" t="s">
        <v>1022</v>
      </c>
      <c r="C1088" t="s">
        <v>5896</v>
      </c>
      <c r="D1088" t="s">
        <v>9925</v>
      </c>
      <c r="E1088" t="s">
        <v>10075</v>
      </c>
      <c r="F1088">
        <v>10027</v>
      </c>
      <c r="G1088" t="s">
        <v>10089</v>
      </c>
      <c r="H1088" t="s">
        <v>10124</v>
      </c>
      <c r="J1088" t="s">
        <v>10209</v>
      </c>
      <c r="K1088" t="s">
        <v>10217</v>
      </c>
      <c r="M1088" t="s">
        <v>10501</v>
      </c>
      <c r="N1088" t="s">
        <v>10702</v>
      </c>
      <c r="P1088" t="s">
        <v>10749</v>
      </c>
      <c r="Q1088" t="s">
        <v>10767</v>
      </c>
      <c r="R1088" t="s">
        <v>10821</v>
      </c>
      <c r="T1088">
        <v>14000</v>
      </c>
      <c r="U1088">
        <v>1166.67</v>
      </c>
      <c r="V1088">
        <v>57</v>
      </c>
      <c r="W1088">
        <v>4</v>
      </c>
      <c r="X1088">
        <v>0</v>
      </c>
      <c r="Z1088">
        <v>54.37</v>
      </c>
      <c r="AA1088">
        <v>40.814659</v>
      </c>
      <c r="AB1088">
        <v>-73.95834600000001</v>
      </c>
      <c r="AC1088" t="s">
        <v>10837</v>
      </c>
      <c r="AD1088" t="s">
        <v>10840</v>
      </c>
      <c r="AF1088" t="s">
        <v>10843</v>
      </c>
      <c r="AG1088" t="s">
        <v>10859</v>
      </c>
      <c r="AH1088" t="s">
        <v>10862</v>
      </c>
      <c r="AI1088">
        <v>236</v>
      </c>
      <c r="AJ1088" t="s">
        <v>10209</v>
      </c>
      <c r="AL1088">
        <v>2.6</v>
      </c>
      <c r="AM1088" t="s">
        <v>10887</v>
      </c>
      <c r="AN1088" t="s">
        <v>10936</v>
      </c>
      <c r="AO1088" t="s">
        <v>11016</v>
      </c>
      <c r="AP1088" t="s">
        <v>11073</v>
      </c>
      <c r="AQ1088" t="s">
        <v>11144</v>
      </c>
      <c r="AR1088" t="s">
        <v>11319</v>
      </c>
      <c r="AS1088" t="s">
        <v>9925</v>
      </c>
      <c r="AT1088" t="s">
        <v>11642</v>
      </c>
      <c r="AX1088" t="s">
        <v>10838</v>
      </c>
      <c r="BA1088" t="s">
        <v>11742</v>
      </c>
      <c r="BB1088">
        <v>0</v>
      </c>
      <c r="BC1088">
        <v>0</v>
      </c>
      <c r="BD1088">
        <v>0</v>
      </c>
      <c r="BE1088">
        <v>0</v>
      </c>
      <c r="BF1088">
        <v>7</v>
      </c>
      <c r="BG1088">
        <v>0</v>
      </c>
    </row>
    <row r="1089" spans="1:59">
      <c r="A1089" s="1">
        <f>HYPERLINK("https://lsnyc.legalserver.org/matter/dynamic-profile/view/1904909","19-1904909")</f>
        <v>0</v>
      </c>
      <c r="B1089" t="s">
        <v>1023</v>
      </c>
      <c r="C1089" t="s">
        <v>5897</v>
      </c>
      <c r="D1089" t="s">
        <v>9951</v>
      </c>
      <c r="E1089" t="s">
        <v>10075</v>
      </c>
      <c r="F1089">
        <v>11417</v>
      </c>
      <c r="G1089" t="s">
        <v>10092</v>
      </c>
      <c r="H1089" t="s">
        <v>10124</v>
      </c>
      <c r="I1089" t="s">
        <v>10168</v>
      </c>
      <c r="J1089" t="s">
        <v>10212</v>
      </c>
      <c r="K1089" t="s">
        <v>10218</v>
      </c>
      <c r="L1089" t="s">
        <v>10151</v>
      </c>
      <c r="M1089" t="s">
        <v>10318</v>
      </c>
      <c r="N1089" t="s">
        <v>10684</v>
      </c>
      <c r="P1089" t="s">
        <v>10751</v>
      </c>
      <c r="Q1089" t="s">
        <v>10786</v>
      </c>
      <c r="R1089" t="s">
        <v>10827</v>
      </c>
      <c r="T1089">
        <v>0</v>
      </c>
      <c r="U1089">
        <v>0</v>
      </c>
      <c r="V1089">
        <v>47</v>
      </c>
      <c r="W1089">
        <v>1</v>
      </c>
      <c r="X1089">
        <v>0</v>
      </c>
      <c r="Y1089" t="s">
        <v>10833</v>
      </c>
      <c r="Z1089">
        <v>0</v>
      </c>
      <c r="AA1089">
        <v>40.68239</v>
      </c>
      <c r="AB1089">
        <v>-73.83883</v>
      </c>
      <c r="AD1089" t="s">
        <v>10839</v>
      </c>
      <c r="AF1089" t="s">
        <v>10843</v>
      </c>
      <c r="AG1089" t="s">
        <v>10859</v>
      </c>
      <c r="AH1089" t="s">
        <v>10873</v>
      </c>
      <c r="AI1089">
        <v>237</v>
      </c>
      <c r="AJ1089" t="s">
        <v>10212</v>
      </c>
      <c r="AK1089" t="s">
        <v>10838</v>
      </c>
      <c r="AL1089">
        <v>3</v>
      </c>
      <c r="AM1089" t="s">
        <v>10892</v>
      </c>
      <c r="AN1089" t="s">
        <v>10945</v>
      </c>
      <c r="AO1089" t="s">
        <v>11024</v>
      </c>
      <c r="AP1089" t="s">
        <v>11088</v>
      </c>
      <c r="AR1089" t="s">
        <v>11267</v>
      </c>
      <c r="AS1089" t="s">
        <v>11594</v>
      </c>
      <c r="AY1089" t="s">
        <v>10833</v>
      </c>
      <c r="AZ1089" t="s">
        <v>11693</v>
      </c>
      <c r="BB1089">
        <v>0</v>
      </c>
      <c r="BC1089">
        <v>0</v>
      </c>
      <c r="BD1089">
        <v>0</v>
      </c>
      <c r="BE1089">
        <v>192</v>
      </c>
      <c r="BF1089">
        <v>0</v>
      </c>
      <c r="BG1089">
        <v>0</v>
      </c>
    </row>
    <row r="1090" spans="1:59">
      <c r="A1090" s="1">
        <f>HYPERLINK("https://lsnyc.legalserver.org/matter/dynamic-profile/view/1904910","19-1904910")</f>
        <v>0</v>
      </c>
      <c r="B1090" t="s">
        <v>1020</v>
      </c>
      <c r="C1090" t="s">
        <v>5601</v>
      </c>
      <c r="D1090" t="s">
        <v>9926</v>
      </c>
      <c r="E1090" t="s">
        <v>10075</v>
      </c>
      <c r="F1090">
        <v>10453</v>
      </c>
      <c r="G1090" t="s">
        <v>10090</v>
      </c>
      <c r="H1090" t="s">
        <v>10124</v>
      </c>
      <c r="I1090" t="s">
        <v>10169</v>
      </c>
      <c r="J1090" t="s">
        <v>10210</v>
      </c>
      <c r="K1090" t="s">
        <v>10217</v>
      </c>
      <c r="M1090" t="s">
        <v>10463</v>
      </c>
      <c r="N1090" t="s">
        <v>10650</v>
      </c>
      <c r="P1090" t="s">
        <v>10749</v>
      </c>
      <c r="Q1090" t="s">
        <v>10765</v>
      </c>
      <c r="R1090" t="s">
        <v>10821</v>
      </c>
      <c r="T1090">
        <v>15080</v>
      </c>
      <c r="U1090">
        <v>1256.67</v>
      </c>
      <c r="V1090">
        <v>40</v>
      </c>
      <c r="W1090">
        <v>2</v>
      </c>
      <c r="X1090">
        <v>3</v>
      </c>
      <c r="Z1090">
        <v>51.26</v>
      </c>
      <c r="AA1090">
        <v>40.846849</v>
      </c>
      <c r="AB1090">
        <v>-73.90953500000001</v>
      </c>
      <c r="AD1090" t="s">
        <v>10839</v>
      </c>
      <c r="AG1090" t="s">
        <v>10858</v>
      </c>
      <c r="AH1090" t="s">
        <v>10862</v>
      </c>
      <c r="AI1090">
        <v>230</v>
      </c>
      <c r="AJ1090" t="s">
        <v>10210</v>
      </c>
      <c r="AL1090">
        <v>0</v>
      </c>
      <c r="AM1090" t="s">
        <v>10884</v>
      </c>
      <c r="AN1090" t="s">
        <v>10931</v>
      </c>
      <c r="AO1090" t="s">
        <v>11000</v>
      </c>
      <c r="AP1090" t="s">
        <v>11045</v>
      </c>
      <c r="AR1090" t="s">
        <v>11257</v>
      </c>
      <c r="AS1090" t="s">
        <v>9926</v>
      </c>
      <c r="BA1090" t="s">
        <v>11739</v>
      </c>
      <c r="BB1090">
        <v>0</v>
      </c>
      <c r="BC1090">
        <v>0</v>
      </c>
      <c r="BD1090">
        <v>0</v>
      </c>
      <c r="BE1090">
        <v>0</v>
      </c>
      <c r="BF1090">
        <v>4</v>
      </c>
      <c r="BG1090">
        <v>0</v>
      </c>
    </row>
    <row r="1091" spans="1:59">
      <c r="A1091" s="1">
        <f>HYPERLINK("https://lsnyc.legalserver.org/matter/dynamic-profile/view/1904911","19-1904911")</f>
        <v>0</v>
      </c>
      <c r="B1091" t="s">
        <v>1024</v>
      </c>
      <c r="C1091" t="s">
        <v>5601</v>
      </c>
      <c r="D1091" t="s">
        <v>9926</v>
      </c>
      <c r="E1091" t="s">
        <v>10075</v>
      </c>
      <c r="F1091">
        <v>10453</v>
      </c>
      <c r="G1091" t="s">
        <v>10090</v>
      </c>
      <c r="H1091" t="s">
        <v>10124</v>
      </c>
      <c r="I1091" t="s">
        <v>10169</v>
      </c>
      <c r="J1091" t="s">
        <v>10210</v>
      </c>
      <c r="K1091" t="s">
        <v>10217</v>
      </c>
      <c r="M1091" t="s">
        <v>10463</v>
      </c>
      <c r="N1091" t="s">
        <v>10650</v>
      </c>
      <c r="P1091" t="s">
        <v>10749</v>
      </c>
      <c r="Q1091" t="s">
        <v>10765</v>
      </c>
      <c r="R1091" t="s">
        <v>10821</v>
      </c>
      <c r="T1091">
        <v>59800</v>
      </c>
      <c r="U1091">
        <v>4983.33</v>
      </c>
      <c r="V1091">
        <v>68</v>
      </c>
      <c r="W1091">
        <v>4</v>
      </c>
      <c r="X1091">
        <v>0</v>
      </c>
      <c r="Z1091">
        <v>232.23</v>
      </c>
      <c r="AA1091">
        <v>40.846849</v>
      </c>
      <c r="AB1091">
        <v>-73.90953500000001</v>
      </c>
      <c r="AD1091" t="s">
        <v>10839</v>
      </c>
      <c r="AG1091" t="s">
        <v>10858</v>
      </c>
      <c r="AH1091" t="s">
        <v>10862</v>
      </c>
      <c r="AI1091">
        <v>230</v>
      </c>
      <c r="AJ1091" t="s">
        <v>10210</v>
      </c>
      <c r="AL1091">
        <v>0</v>
      </c>
      <c r="AM1091" t="s">
        <v>10884</v>
      </c>
      <c r="AN1091" t="s">
        <v>10931</v>
      </c>
      <c r="AO1091" t="s">
        <v>11000</v>
      </c>
      <c r="AP1091" t="s">
        <v>11045</v>
      </c>
      <c r="AR1091" t="s">
        <v>11257</v>
      </c>
      <c r="AS1091" t="s">
        <v>9926</v>
      </c>
      <c r="BA1091" t="s">
        <v>11744</v>
      </c>
      <c r="BB1091">
        <v>0</v>
      </c>
      <c r="BC1091">
        <v>0</v>
      </c>
      <c r="BD1091">
        <v>0</v>
      </c>
      <c r="BE1091">
        <v>0</v>
      </c>
      <c r="BF1091">
        <v>6</v>
      </c>
      <c r="BG1091">
        <v>0</v>
      </c>
    </row>
    <row r="1092" spans="1:59">
      <c r="A1092" s="1">
        <f>HYPERLINK("https://lsnyc.legalserver.org/matter/dynamic-profile/view/1904912","19-1904912")</f>
        <v>0</v>
      </c>
      <c r="B1092" t="s">
        <v>1025</v>
      </c>
      <c r="C1092" t="s">
        <v>5898</v>
      </c>
      <c r="D1092" t="s">
        <v>9925</v>
      </c>
      <c r="E1092" t="s">
        <v>10075</v>
      </c>
      <c r="F1092">
        <v>10026</v>
      </c>
      <c r="G1092" t="s">
        <v>10089</v>
      </c>
      <c r="H1092" t="s">
        <v>10124</v>
      </c>
      <c r="I1092" t="s">
        <v>10169</v>
      </c>
      <c r="J1092" t="s">
        <v>10209</v>
      </c>
      <c r="K1092" t="s">
        <v>10217</v>
      </c>
      <c r="M1092" t="s">
        <v>10501</v>
      </c>
      <c r="N1092" t="s">
        <v>10702</v>
      </c>
      <c r="P1092" t="s">
        <v>10749</v>
      </c>
      <c r="Q1092" t="s">
        <v>10765</v>
      </c>
      <c r="R1092" t="s">
        <v>10821</v>
      </c>
      <c r="T1092">
        <v>0</v>
      </c>
      <c r="U1092">
        <v>0</v>
      </c>
      <c r="V1092">
        <v>51</v>
      </c>
      <c r="W1092">
        <v>2</v>
      </c>
      <c r="X1092">
        <v>1</v>
      </c>
      <c r="Z1092">
        <v>0</v>
      </c>
      <c r="AA1092">
        <v>40.805406</v>
      </c>
      <c r="AB1092">
        <v>-73.95132599999999</v>
      </c>
      <c r="AD1092" t="s">
        <v>10839</v>
      </c>
      <c r="AG1092" t="s">
        <v>10858</v>
      </c>
      <c r="AH1092" t="s">
        <v>10862</v>
      </c>
      <c r="AI1092">
        <v>236</v>
      </c>
      <c r="AJ1092" t="s">
        <v>10209</v>
      </c>
      <c r="AL1092">
        <v>8.800000000000001</v>
      </c>
      <c r="AM1092" t="s">
        <v>10887</v>
      </c>
      <c r="AN1092" t="s">
        <v>10936</v>
      </c>
      <c r="AO1092" t="s">
        <v>11016</v>
      </c>
      <c r="AP1092" t="s">
        <v>11076</v>
      </c>
      <c r="AR1092" t="s">
        <v>11267</v>
      </c>
      <c r="AS1092" t="s">
        <v>9925</v>
      </c>
      <c r="BA1092" t="s">
        <v>11738</v>
      </c>
      <c r="BB1092">
        <v>0</v>
      </c>
      <c r="BC1092">
        <v>0</v>
      </c>
      <c r="BD1092">
        <v>0</v>
      </c>
      <c r="BE1092">
        <v>0</v>
      </c>
      <c r="BF1092">
        <v>5</v>
      </c>
      <c r="BG1092">
        <v>0</v>
      </c>
    </row>
    <row r="1093" spans="1:59">
      <c r="A1093" s="1">
        <f>HYPERLINK("https://lsnyc.legalserver.org/matter/dynamic-profile/view/1904913","19-1904913")</f>
        <v>0</v>
      </c>
      <c r="B1093" t="s">
        <v>1026</v>
      </c>
      <c r="C1093" t="s">
        <v>5899</v>
      </c>
      <c r="D1093" t="s">
        <v>9925</v>
      </c>
      <c r="E1093" t="s">
        <v>10075</v>
      </c>
      <c r="F1093">
        <v>10035</v>
      </c>
      <c r="G1093" t="s">
        <v>10090</v>
      </c>
      <c r="H1093" t="s">
        <v>10133</v>
      </c>
      <c r="I1093" t="s">
        <v>10168</v>
      </c>
      <c r="J1093" t="s">
        <v>10210</v>
      </c>
      <c r="K1093" t="s">
        <v>10217</v>
      </c>
      <c r="M1093" t="s">
        <v>10445</v>
      </c>
      <c r="N1093" t="s">
        <v>10712</v>
      </c>
      <c r="P1093" t="s">
        <v>10753</v>
      </c>
      <c r="Q1093" t="s">
        <v>10763</v>
      </c>
      <c r="R1093" t="s">
        <v>10824</v>
      </c>
      <c r="T1093">
        <v>15600</v>
      </c>
      <c r="U1093">
        <v>1300</v>
      </c>
      <c r="V1093">
        <v>31</v>
      </c>
      <c r="W1093">
        <v>1</v>
      </c>
      <c r="X1093">
        <v>2</v>
      </c>
      <c r="Z1093">
        <v>73.14</v>
      </c>
      <c r="AA1093">
        <v>40.795733</v>
      </c>
      <c r="AB1093">
        <v>-73.932239</v>
      </c>
      <c r="AD1093" t="s">
        <v>10840</v>
      </c>
      <c r="AF1093" t="s">
        <v>10846</v>
      </c>
      <c r="AG1093" t="s">
        <v>10859</v>
      </c>
      <c r="AH1093" t="s">
        <v>10864</v>
      </c>
      <c r="AI1093">
        <v>230</v>
      </c>
      <c r="AJ1093" t="s">
        <v>10210</v>
      </c>
      <c r="AL1093">
        <v>0</v>
      </c>
      <c r="AM1093" t="s">
        <v>10887</v>
      </c>
      <c r="AN1093" t="s">
        <v>10926</v>
      </c>
      <c r="AO1093" t="s">
        <v>11013</v>
      </c>
      <c r="AP1093" t="s">
        <v>11066</v>
      </c>
      <c r="AR1093" t="s">
        <v>11257</v>
      </c>
      <c r="AS1093" t="s">
        <v>9925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</row>
    <row r="1094" spans="1:59">
      <c r="A1094" s="1">
        <f>HYPERLINK("https://lsnyc.legalserver.org/matter/dynamic-profile/view/1904914","19-1904914")</f>
        <v>0</v>
      </c>
      <c r="B1094" t="s">
        <v>1027</v>
      </c>
      <c r="C1094" t="s">
        <v>5900</v>
      </c>
      <c r="D1094" t="s">
        <v>9925</v>
      </c>
      <c r="E1094" t="s">
        <v>10075</v>
      </c>
      <c r="F1094">
        <v>10033</v>
      </c>
      <c r="G1094" t="s">
        <v>10089</v>
      </c>
      <c r="H1094" t="s">
        <v>10124</v>
      </c>
      <c r="I1094" t="s">
        <v>10168</v>
      </c>
      <c r="J1094" t="s">
        <v>10209</v>
      </c>
      <c r="K1094" t="s">
        <v>10217</v>
      </c>
      <c r="M1094" t="s">
        <v>10483</v>
      </c>
      <c r="N1094" t="s">
        <v>10650</v>
      </c>
      <c r="P1094" t="s">
        <v>10749</v>
      </c>
      <c r="Q1094" t="s">
        <v>10765</v>
      </c>
      <c r="R1094" t="s">
        <v>10821</v>
      </c>
      <c r="T1094">
        <v>15600</v>
      </c>
      <c r="U1094">
        <v>1300</v>
      </c>
      <c r="V1094">
        <v>32</v>
      </c>
      <c r="W1094">
        <v>1</v>
      </c>
      <c r="X1094">
        <v>0</v>
      </c>
      <c r="Z1094">
        <v>124.9</v>
      </c>
      <c r="AA1094">
        <v>40.850001</v>
      </c>
      <c r="AB1094">
        <v>-73.937383</v>
      </c>
      <c r="AD1094" t="s">
        <v>10839</v>
      </c>
      <c r="AG1094" t="s">
        <v>10858</v>
      </c>
      <c r="AH1094" t="s">
        <v>10862</v>
      </c>
      <c r="AI1094">
        <v>236</v>
      </c>
      <c r="AJ1094" t="s">
        <v>10209</v>
      </c>
      <c r="AL1094">
        <v>1.2</v>
      </c>
      <c r="AM1094" t="s">
        <v>10887</v>
      </c>
      <c r="AN1094" t="s">
        <v>10943</v>
      </c>
      <c r="AO1094" t="s">
        <v>11019</v>
      </c>
      <c r="AP1094" t="s">
        <v>11074</v>
      </c>
      <c r="AR1094" t="s">
        <v>11257</v>
      </c>
      <c r="AS1094" t="s">
        <v>9925</v>
      </c>
      <c r="AT1094" t="s">
        <v>11641</v>
      </c>
      <c r="AX1094" t="s">
        <v>10838</v>
      </c>
      <c r="BA1094" t="s">
        <v>11742</v>
      </c>
      <c r="BB1094">
        <v>0</v>
      </c>
      <c r="BC1094">
        <v>0</v>
      </c>
      <c r="BD1094">
        <v>0</v>
      </c>
      <c r="BE1094">
        <v>0</v>
      </c>
      <c r="BF1094">
        <v>7</v>
      </c>
      <c r="BG1094">
        <v>0</v>
      </c>
    </row>
    <row r="1095" spans="1:59">
      <c r="A1095" s="1">
        <f>HYPERLINK("https://lsnyc.legalserver.org/matter/dynamic-profile/view/1904915","19-1904915")</f>
        <v>0</v>
      </c>
      <c r="B1095" t="s">
        <v>1024</v>
      </c>
      <c r="C1095" t="s">
        <v>5601</v>
      </c>
      <c r="D1095" t="s">
        <v>9926</v>
      </c>
      <c r="E1095" t="s">
        <v>10075</v>
      </c>
      <c r="F1095">
        <v>10453</v>
      </c>
      <c r="G1095" t="s">
        <v>10090</v>
      </c>
      <c r="H1095" t="s">
        <v>10124</v>
      </c>
      <c r="I1095" t="s">
        <v>10169</v>
      </c>
      <c r="J1095" t="s">
        <v>10210</v>
      </c>
      <c r="K1095" t="s">
        <v>10217</v>
      </c>
      <c r="M1095" t="s">
        <v>10463</v>
      </c>
      <c r="N1095" t="s">
        <v>10650</v>
      </c>
      <c r="P1095" t="s">
        <v>10749</v>
      </c>
      <c r="Q1095" t="s">
        <v>10765</v>
      </c>
      <c r="R1095" t="s">
        <v>10821</v>
      </c>
      <c r="T1095">
        <v>59800</v>
      </c>
      <c r="U1095">
        <v>4983.33</v>
      </c>
      <c r="V1095">
        <v>68</v>
      </c>
      <c r="W1095">
        <v>4</v>
      </c>
      <c r="X1095">
        <v>0</v>
      </c>
      <c r="Z1095">
        <v>232.23</v>
      </c>
      <c r="AA1095">
        <v>40.846849</v>
      </c>
      <c r="AB1095">
        <v>-73.90953500000001</v>
      </c>
      <c r="AD1095" t="s">
        <v>10839</v>
      </c>
      <c r="AG1095" t="s">
        <v>10858</v>
      </c>
      <c r="AH1095" t="s">
        <v>10862</v>
      </c>
      <c r="AI1095">
        <v>230</v>
      </c>
      <c r="AJ1095" t="s">
        <v>10210</v>
      </c>
      <c r="AL1095">
        <v>0</v>
      </c>
      <c r="AM1095" t="s">
        <v>10884</v>
      </c>
      <c r="AN1095" t="s">
        <v>10931</v>
      </c>
      <c r="AO1095" t="s">
        <v>11000</v>
      </c>
      <c r="AP1095" t="s">
        <v>11045</v>
      </c>
      <c r="AR1095" t="s">
        <v>11257</v>
      </c>
      <c r="AS1095" t="s">
        <v>9926</v>
      </c>
      <c r="BA1095" t="s">
        <v>11739</v>
      </c>
      <c r="BB1095">
        <v>0</v>
      </c>
      <c r="BC1095">
        <v>0</v>
      </c>
      <c r="BD1095">
        <v>0</v>
      </c>
      <c r="BE1095">
        <v>0</v>
      </c>
      <c r="BF1095">
        <v>4</v>
      </c>
      <c r="BG1095">
        <v>0</v>
      </c>
    </row>
    <row r="1096" spans="1:59">
      <c r="A1096" s="1">
        <f>HYPERLINK("https://lsnyc.legalserver.org/matter/dynamic-profile/view/1904916","19-1904916")</f>
        <v>0</v>
      </c>
      <c r="B1096" t="s">
        <v>1028</v>
      </c>
      <c r="C1096" t="s">
        <v>5901</v>
      </c>
      <c r="D1096" t="s">
        <v>9938</v>
      </c>
      <c r="E1096" t="s">
        <v>10075</v>
      </c>
      <c r="F1096">
        <v>11436</v>
      </c>
      <c r="G1096" t="s">
        <v>10092</v>
      </c>
      <c r="H1096" t="s">
        <v>10124</v>
      </c>
      <c r="I1096" t="s">
        <v>10168</v>
      </c>
      <c r="J1096" t="s">
        <v>10212</v>
      </c>
      <c r="K1096" t="s">
        <v>10218</v>
      </c>
      <c r="L1096" t="s">
        <v>10115</v>
      </c>
      <c r="M1096" t="s">
        <v>10318</v>
      </c>
      <c r="N1096" t="s">
        <v>10684</v>
      </c>
      <c r="P1096" t="s">
        <v>10751</v>
      </c>
      <c r="Q1096" t="s">
        <v>10786</v>
      </c>
      <c r="R1096" t="s">
        <v>10827</v>
      </c>
      <c r="T1096">
        <v>0</v>
      </c>
      <c r="U1096">
        <v>0</v>
      </c>
      <c r="V1096">
        <v>58</v>
      </c>
      <c r="W1096">
        <v>1</v>
      </c>
      <c r="X1096">
        <v>0</v>
      </c>
      <c r="Y1096" t="s">
        <v>10833</v>
      </c>
      <c r="Z1096">
        <v>0</v>
      </c>
      <c r="AA1096">
        <v>40.66902</v>
      </c>
      <c r="AB1096">
        <v>-73.799057</v>
      </c>
      <c r="AD1096" t="s">
        <v>10840</v>
      </c>
      <c r="AF1096" t="s">
        <v>10843</v>
      </c>
      <c r="AG1096" t="s">
        <v>10859</v>
      </c>
      <c r="AH1096" t="s">
        <v>10873</v>
      </c>
      <c r="AI1096">
        <v>237</v>
      </c>
      <c r="AJ1096" t="s">
        <v>10212</v>
      </c>
      <c r="AK1096" t="s">
        <v>10838</v>
      </c>
      <c r="AL1096">
        <v>3.75</v>
      </c>
      <c r="AM1096" t="s">
        <v>10892</v>
      </c>
      <c r="AN1096" t="s">
        <v>10930</v>
      </c>
      <c r="AO1096" t="s">
        <v>11017</v>
      </c>
      <c r="AP1096" t="s">
        <v>11070</v>
      </c>
      <c r="AR1096" t="s">
        <v>11267</v>
      </c>
      <c r="AS1096" t="s">
        <v>11594</v>
      </c>
      <c r="AY1096" t="s">
        <v>10833</v>
      </c>
      <c r="AZ1096" t="s">
        <v>11693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</row>
    <row r="1097" spans="1:59">
      <c r="A1097" s="1">
        <f>HYPERLINK("https://lsnyc.legalserver.org/matter/dynamic-profile/view/1904917","19-1904917")</f>
        <v>0</v>
      </c>
      <c r="B1097" t="s">
        <v>1029</v>
      </c>
      <c r="C1097" t="s">
        <v>5902</v>
      </c>
      <c r="D1097" t="s">
        <v>9926</v>
      </c>
      <c r="E1097" t="s">
        <v>10075</v>
      </c>
      <c r="F1097">
        <v>10463</v>
      </c>
      <c r="G1097" t="s">
        <v>10090</v>
      </c>
      <c r="H1097" t="s">
        <v>10124</v>
      </c>
      <c r="J1097" t="s">
        <v>10210</v>
      </c>
      <c r="K1097" t="s">
        <v>10218</v>
      </c>
      <c r="L1097" t="s">
        <v>10123</v>
      </c>
      <c r="M1097" t="s">
        <v>10262</v>
      </c>
      <c r="N1097" t="s">
        <v>10666</v>
      </c>
      <c r="P1097" t="s">
        <v>10749</v>
      </c>
      <c r="Q1097" t="s">
        <v>10765</v>
      </c>
      <c r="R1097" t="s">
        <v>10820</v>
      </c>
      <c r="T1097">
        <v>10800</v>
      </c>
      <c r="U1097">
        <v>900</v>
      </c>
      <c r="V1097">
        <v>68</v>
      </c>
      <c r="W1097">
        <v>1</v>
      </c>
      <c r="X1097">
        <v>0</v>
      </c>
      <c r="Y1097" t="s">
        <v>10829</v>
      </c>
      <c r="Z1097">
        <v>86.47</v>
      </c>
      <c r="AA1097">
        <v>40.884208</v>
      </c>
      <c r="AB1097">
        <v>-73.892055</v>
      </c>
      <c r="AD1097" t="s">
        <v>10840</v>
      </c>
      <c r="AG1097" t="s">
        <v>10858</v>
      </c>
      <c r="AH1097" t="s">
        <v>10861</v>
      </c>
      <c r="AI1097">
        <v>230</v>
      </c>
      <c r="AJ1097" t="s">
        <v>10210</v>
      </c>
      <c r="AK1097" t="s">
        <v>10838</v>
      </c>
      <c r="AL1097">
        <v>3.5</v>
      </c>
      <c r="AM1097" t="s">
        <v>10887</v>
      </c>
      <c r="AN1097" t="s">
        <v>10919</v>
      </c>
      <c r="AO1097" t="s">
        <v>11002</v>
      </c>
      <c r="AP1097" t="s">
        <v>11057</v>
      </c>
      <c r="AR1097" t="s">
        <v>11296</v>
      </c>
      <c r="AS1097" t="s">
        <v>9926</v>
      </c>
      <c r="AT1097" t="s">
        <v>11642</v>
      </c>
      <c r="AX1097" t="s">
        <v>10838</v>
      </c>
      <c r="AY1097" t="s">
        <v>10829</v>
      </c>
      <c r="AZ1097" t="s">
        <v>11681</v>
      </c>
      <c r="BA1097" t="s">
        <v>11741</v>
      </c>
      <c r="BB1097">
        <v>0</v>
      </c>
      <c r="BC1097">
        <v>0</v>
      </c>
      <c r="BD1097">
        <v>0</v>
      </c>
      <c r="BE1097">
        <v>0</v>
      </c>
      <c r="BF1097">
        <v>1</v>
      </c>
      <c r="BG1097">
        <v>0</v>
      </c>
    </row>
    <row r="1098" spans="1:59">
      <c r="A1098" s="1">
        <f>HYPERLINK("https://lsnyc.legalserver.org/matter/dynamic-profile/view/1904918","19-1904918")</f>
        <v>0</v>
      </c>
      <c r="B1098" t="s">
        <v>1030</v>
      </c>
      <c r="C1098" t="s">
        <v>5903</v>
      </c>
      <c r="D1098" t="s">
        <v>9930</v>
      </c>
      <c r="E1098" t="s">
        <v>10075</v>
      </c>
      <c r="F1098">
        <v>11373</v>
      </c>
      <c r="G1098" t="s">
        <v>10092</v>
      </c>
      <c r="H1098" t="s">
        <v>10124</v>
      </c>
      <c r="I1098" t="s">
        <v>10168</v>
      </c>
      <c r="J1098" t="s">
        <v>10212</v>
      </c>
      <c r="K1098" t="s">
        <v>10217</v>
      </c>
      <c r="M1098" t="s">
        <v>10331</v>
      </c>
      <c r="N1098" t="s">
        <v>10675</v>
      </c>
      <c r="P1098" t="s">
        <v>10749</v>
      </c>
      <c r="Q1098" t="s">
        <v>10765</v>
      </c>
      <c r="R1098" t="s">
        <v>10820</v>
      </c>
      <c r="T1098">
        <v>10536</v>
      </c>
      <c r="U1098">
        <v>878</v>
      </c>
      <c r="V1098">
        <v>61</v>
      </c>
      <c r="W1098">
        <v>1</v>
      </c>
      <c r="X1098">
        <v>0</v>
      </c>
      <c r="Z1098">
        <v>84.36</v>
      </c>
      <c r="AA1098">
        <v>40.741701</v>
      </c>
      <c r="AB1098">
        <v>-73.87969699999999</v>
      </c>
      <c r="AC1098" t="s">
        <v>10837</v>
      </c>
      <c r="AD1098" t="s">
        <v>10840</v>
      </c>
      <c r="AG1098" t="s">
        <v>10858</v>
      </c>
      <c r="AH1098" t="s">
        <v>10861</v>
      </c>
      <c r="AI1098">
        <v>234</v>
      </c>
      <c r="AJ1098" t="s">
        <v>10214</v>
      </c>
      <c r="AL1098">
        <v>4.8</v>
      </c>
      <c r="AM1098" t="s">
        <v>10890</v>
      </c>
      <c r="AN1098" t="s">
        <v>10949</v>
      </c>
      <c r="AO1098" t="s">
        <v>11009</v>
      </c>
      <c r="AP1098" t="s">
        <v>11053</v>
      </c>
      <c r="AR1098" t="s">
        <v>11274</v>
      </c>
      <c r="AS1098" t="s">
        <v>11594</v>
      </c>
      <c r="AT1098" t="s">
        <v>11641</v>
      </c>
      <c r="AX1098" t="s">
        <v>10837</v>
      </c>
      <c r="BA1098" t="s">
        <v>11741</v>
      </c>
      <c r="BB1098">
        <v>0</v>
      </c>
      <c r="BC1098">
        <v>0</v>
      </c>
      <c r="BD1098">
        <v>0</v>
      </c>
      <c r="BE1098">
        <v>0</v>
      </c>
      <c r="BF1098">
        <v>1</v>
      </c>
      <c r="BG1098">
        <v>0</v>
      </c>
    </row>
    <row r="1099" spans="1:59">
      <c r="A1099" s="1">
        <f>HYPERLINK("https://lsnyc.legalserver.org/matter/dynamic-profile/view/1904919","19-1904919")</f>
        <v>0</v>
      </c>
      <c r="B1099" t="s">
        <v>1031</v>
      </c>
      <c r="C1099" t="s">
        <v>5904</v>
      </c>
      <c r="D1099" t="s">
        <v>9951</v>
      </c>
      <c r="E1099" t="s">
        <v>10075</v>
      </c>
      <c r="F1099">
        <v>11416</v>
      </c>
      <c r="G1099" t="s">
        <v>10092</v>
      </c>
      <c r="H1099" t="s">
        <v>10124</v>
      </c>
      <c r="I1099" t="s">
        <v>10169</v>
      </c>
      <c r="J1099" t="s">
        <v>10212</v>
      </c>
      <c r="K1099" t="s">
        <v>10217</v>
      </c>
      <c r="M1099" t="s">
        <v>10523</v>
      </c>
      <c r="N1099" t="s">
        <v>10673</v>
      </c>
      <c r="P1099" t="s">
        <v>10753</v>
      </c>
      <c r="Q1099" t="s">
        <v>10763</v>
      </c>
      <c r="R1099" t="s">
        <v>10821</v>
      </c>
      <c r="T1099">
        <v>0</v>
      </c>
      <c r="U1099">
        <v>0</v>
      </c>
      <c r="V1099">
        <v>32</v>
      </c>
      <c r="W1099">
        <v>1</v>
      </c>
      <c r="X1099">
        <v>0</v>
      </c>
      <c r="Z1099">
        <v>0</v>
      </c>
      <c r="AA1099">
        <v>40.682859</v>
      </c>
      <c r="AB1099">
        <v>-73.860603</v>
      </c>
      <c r="AD1099" t="s">
        <v>10839</v>
      </c>
      <c r="AF1099" t="s">
        <v>10842</v>
      </c>
      <c r="AG1099" t="s">
        <v>10859</v>
      </c>
      <c r="AH1099" t="s">
        <v>10861</v>
      </c>
      <c r="AI1099">
        <v>237</v>
      </c>
      <c r="AJ1099" t="s">
        <v>10212</v>
      </c>
      <c r="AL1099">
        <v>5.84</v>
      </c>
      <c r="AM1099" t="s">
        <v>10886</v>
      </c>
      <c r="AN1099" t="s">
        <v>10945</v>
      </c>
      <c r="AO1099" t="s">
        <v>11024</v>
      </c>
      <c r="AP1099" t="s">
        <v>11088</v>
      </c>
      <c r="AQ1099" t="s">
        <v>11109</v>
      </c>
      <c r="AR1099" t="s">
        <v>11267</v>
      </c>
      <c r="AS1099" t="s">
        <v>11594</v>
      </c>
      <c r="AT1099" t="s">
        <v>11641</v>
      </c>
      <c r="BA1099" t="s">
        <v>11739</v>
      </c>
      <c r="BB1099">
        <v>0</v>
      </c>
      <c r="BC1099">
        <v>0</v>
      </c>
      <c r="BD1099">
        <v>0</v>
      </c>
      <c r="BE1099">
        <v>0</v>
      </c>
      <c r="BF1099">
        <v>4</v>
      </c>
      <c r="BG1099">
        <v>0</v>
      </c>
    </row>
    <row r="1100" spans="1:59">
      <c r="A1100" s="1">
        <f>HYPERLINK("https://lsnyc.legalserver.org/matter/dynamic-profile/view/1904920","19-1904920")</f>
        <v>0</v>
      </c>
      <c r="B1100" t="s">
        <v>1032</v>
      </c>
      <c r="C1100" t="s">
        <v>5905</v>
      </c>
      <c r="D1100" t="s">
        <v>9928</v>
      </c>
      <c r="E1100" t="s">
        <v>10075</v>
      </c>
      <c r="F1100">
        <v>11233</v>
      </c>
      <c r="G1100" t="s">
        <v>10093</v>
      </c>
      <c r="H1100" t="s">
        <v>10124</v>
      </c>
      <c r="I1100" t="s">
        <v>10168</v>
      </c>
      <c r="J1100" t="s">
        <v>10213</v>
      </c>
      <c r="K1100" t="s">
        <v>10217</v>
      </c>
      <c r="M1100" t="s">
        <v>10345</v>
      </c>
      <c r="N1100" t="s">
        <v>10650</v>
      </c>
      <c r="P1100" t="s">
        <v>10749</v>
      </c>
      <c r="Q1100" t="s">
        <v>10765</v>
      </c>
      <c r="R1100" t="s">
        <v>10820</v>
      </c>
      <c r="T1100">
        <v>20400</v>
      </c>
      <c r="U1100">
        <v>1700</v>
      </c>
      <c r="V1100">
        <v>41</v>
      </c>
      <c r="W1100">
        <v>1</v>
      </c>
      <c r="X1100">
        <v>1</v>
      </c>
      <c r="Z1100">
        <v>120.64</v>
      </c>
      <c r="AA1100">
        <v>40.68284</v>
      </c>
      <c r="AB1100">
        <v>-73.91908599999999</v>
      </c>
      <c r="AD1100" t="s">
        <v>10839</v>
      </c>
      <c r="AG1100" t="s">
        <v>10858</v>
      </c>
      <c r="AH1100" t="s">
        <v>10871</v>
      </c>
      <c r="AI1100">
        <v>234</v>
      </c>
      <c r="AJ1100" t="s">
        <v>10214</v>
      </c>
      <c r="AL1100">
        <v>5.25</v>
      </c>
      <c r="AM1100" t="s">
        <v>10889</v>
      </c>
      <c r="AN1100" t="s">
        <v>10922</v>
      </c>
      <c r="AO1100" t="s">
        <v>11007</v>
      </c>
      <c r="AP1100" t="s">
        <v>11064</v>
      </c>
      <c r="AR1100" t="s">
        <v>11369</v>
      </c>
      <c r="AS1100" t="s">
        <v>11595</v>
      </c>
      <c r="AT1100" t="s">
        <v>11641</v>
      </c>
      <c r="AX1100" t="s">
        <v>10838</v>
      </c>
      <c r="BA1100" t="s">
        <v>11741</v>
      </c>
      <c r="BB1100">
        <v>0</v>
      </c>
      <c r="BC1100">
        <v>0</v>
      </c>
      <c r="BD1100">
        <v>0</v>
      </c>
      <c r="BE1100">
        <v>0</v>
      </c>
      <c r="BF1100">
        <v>1</v>
      </c>
      <c r="BG1100">
        <v>0</v>
      </c>
    </row>
    <row r="1101" spans="1:59">
      <c r="A1101" s="1">
        <f>HYPERLINK("https://lsnyc.legalserver.org/matter/dynamic-profile/view/1904921","19-1904921")</f>
        <v>0</v>
      </c>
      <c r="B1101" t="s">
        <v>1033</v>
      </c>
      <c r="C1101" t="s">
        <v>5906</v>
      </c>
      <c r="D1101" t="s">
        <v>9989</v>
      </c>
      <c r="E1101" t="s">
        <v>10080</v>
      </c>
      <c r="F1101">
        <v>44221</v>
      </c>
      <c r="G1101" t="s">
        <v>10093</v>
      </c>
      <c r="H1101" t="s">
        <v>10124</v>
      </c>
      <c r="I1101" t="s">
        <v>10168</v>
      </c>
      <c r="J1101" t="s">
        <v>10213</v>
      </c>
      <c r="K1101" t="s">
        <v>10218</v>
      </c>
      <c r="L1101" t="s">
        <v>10102</v>
      </c>
      <c r="M1101" t="s">
        <v>10436</v>
      </c>
      <c r="N1101" t="s">
        <v>10710</v>
      </c>
      <c r="P1101" t="s">
        <v>10750</v>
      </c>
      <c r="Q1101" t="s">
        <v>10760</v>
      </c>
      <c r="R1101" t="s">
        <v>10820</v>
      </c>
      <c r="T1101">
        <v>4576</v>
      </c>
      <c r="U1101">
        <v>381.33</v>
      </c>
      <c r="V1101">
        <v>55</v>
      </c>
      <c r="W1101">
        <v>1</v>
      </c>
      <c r="X1101">
        <v>0</v>
      </c>
      <c r="Y1101" t="s">
        <v>10829</v>
      </c>
      <c r="Z1101">
        <v>36.64</v>
      </c>
      <c r="AA1101">
        <v>41.137198</v>
      </c>
      <c r="AB1101">
        <v>-81.49469000000001</v>
      </c>
      <c r="AD1101" t="s">
        <v>10839</v>
      </c>
      <c r="AG1101" t="s">
        <v>10858</v>
      </c>
      <c r="AH1101" t="s">
        <v>10871</v>
      </c>
      <c r="AI1101">
        <v>234</v>
      </c>
      <c r="AJ1101" t="s">
        <v>10214</v>
      </c>
      <c r="AK1101" t="s">
        <v>10838</v>
      </c>
      <c r="AL1101">
        <v>1.5</v>
      </c>
      <c r="AR1101" t="s">
        <v>11257</v>
      </c>
      <c r="AS1101" t="s">
        <v>11611</v>
      </c>
      <c r="AT1101" t="s">
        <v>11641</v>
      </c>
      <c r="AX1101" t="s">
        <v>10838</v>
      </c>
      <c r="AY1101" t="s">
        <v>10829</v>
      </c>
      <c r="AZ1101" t="s">
        <v>11679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</row>
    <row r="1102" spans="1:59">
      <c r="A1102" s="1">
        <f>HYPERLINK("https://lsnyc.legalserver.org/matter/dynamic-profile/view/1904922","19-1904922")</f>
        <v>0</v>
      </c>
      <c r="B1102" t="s">
        <v>1034</v>
      </c>
      <c r="C1102" t="s">
        <v>5907</v>
      </c>
      <c r="D1102" t="s">
        <v>9926</v>
      </c>
      <c r="E1102" t="s">
        <v>10075</v>
      </c>
      <c r="F1102">
        <v>10456</v>
      </c>
      <c r="G1102" t="s">
        <v>10090</v>
      </c>
      <c r="H1102" t="s">
        <v>10124</v>
      </c>
      <c r="I1102" t="s">
        <v>10169</v>
      </c>
      <c r="J1102" t="s">
        <v>10210</v>
      </c>
      <c r="K1102" t="s">
        <v>10217</v>
      </c>
      <c r="M1102" t="s">
        <v>10296</v>
      </c>
      <c r="N1102" t="s">
        <v>10679</v>
      </c>
      <c r="P1102" t="s">
        <v>10753</v>
      </c>
      <c r="Q1102" t="s">
        <v>10763</v>
      </c>
      <c r="R1102" t="s">
        <v>10823</v>
      </c>
      <c r="T1102">
        <v>0</v>
      </c>
      <c r="U1102">
        <v>0</v>
      </c>
      <c r="V1102">
        <v>11</v>
      </c>
      <c r="W1102">
        <v>1</v>
      </c>
      <c r="X1102">
        <v>2</v>
      </c>
      <c r="Z1102">
        <v>0</v>
      </c>
      <c r="AA1102">
        <v>40.833359</v>
      </c>
      <c r="AB1102">
        <v>-73.898432</v>
      </c>
      <c r="AD1102" t="s">
        <v>10839</v>
      </c>
      <c r="AF1102" t="s">
        <v>10851</v>
      </c>
      <c r="AG1102" t="s">
        <v>10859</v>
      </c>
      <c r="AH1102" t="s">
        <v>10864</v>
      </c>
      <c r="AI1102">
        <v>230</v>
      </c>
      <c r="AJ1102" t="s">
        <v>10210</v>
      </c>
      <c r="AL1102">
        <v>1</v>
      </c>
      <c r="AM1102" t="s">
        <v>10884</v>
      </c>
      <c r="AN1102" t="s">
        <v>10918</v>
      </c>
      <c r="AO1102" t="s">
        <v>11000</v>
      </c>
      <c r="AP1102" t="s">
        <v>11055</v>
      </c>
      <c r="AQ1102" t="s">
        <v>11119</v>
      </c>
      <c r="AR1102" t="s">
        <v>11267</v>
      </c>
      <c r="AS1102" t="s">
        <v>9926</v>
      </c>
      <c r="AT1102" t="s">
        <v>11641</v>
      </c>
      <c r="AV1102" t="s">
        <v>11656</v>
      </c>
      <c r="AW1102" t="s">
        <v>11645</v>
      </c>
      <c r="AX1102" t="s">
        <v>10838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</row>
    <row r="1103" spans="1:59">
      <c r="A1103" s="1">
        <f>HYPERLINK("https://lsnyc.legalserver.org/matter/dynamic-profile/view/1904923","19-1904923")</f>
        <v>0</v>
      </c>
      <c r="B1103" t="s">
        <v>1035</v>
      </c>
      <c r="C1103" t="s">
        <v>5908</v>
      </c>
      <c r="D1103" t="s">
        <v>9945</v>
      </c>
      <c r="E1103" t="s">
        <v>10075</v>
      </c>
      <c r="F1103">
        <v>11422</v>
      </c>
      <c r="G1103" t="s">
        <v>10092</v>
      </c>
      <c r="H1103" t="s">
        <v>10124</v>
      </c>
      <c r="I1103" t="s">
        <v>10168</v>
      </c>
      <c r="J1103" t="s">
        <v>10212</v>
      </c>
      <c r="K1103" t="s">
        <v>10217</v>
      </c>
      <c r="M1103" t="s">
        <v>10365</v>
      </c>
      <c r="N1103" t="s">
        <v>10650</v>
      </c>
      <c r="P1103" t="s">
        <v>10749</v>
      </c>
      <c r="Q1103" t="s">
        <v>10765</v>
      </c>
      <c r="R1103" t="s">
        <v>10824</v>
      </c>
      <c r="T1103">
        <v>42000</v>
      </c>
      <c r="U1103">
        <v>3500</v>
      </c>
      <c r="V1103">
        <v>49</v>
      </c>
      <c r="W1103">
        <v>2</v>
      </c>
      <c r="X1103">
        <v>3</v>
      </c>
      <c r="Z1103">
        <v>139.21</v>
      </c>
      <c r="AA1103">
        <v>40.652767</v>
      </c>
      <c r="AB1103">
        <v>-73.741412</v>
      </c>
      <c r="AD1103" t="s">
        <v>10839</v>
      </c>
      <c r="AF1103" t="s">
        <v>10847</v>
      </c>
      <c r="AG1103" t="s">
        <v>10859</v>
      </c>
      <c r="AH1103" t="s">
        <v>10862</v>
      </c>
      <c r="AI1103">
        <v>237</v>
      </c>
      <c r="AJ1103" t="s">
        <v>10212</v>
      </c>
      <c r="AL1103">
        <v>1.97</v>
      </c>
      <c r="AM1103" t="s">
        <v>10892</v>
      </c>
      <c r="AN1103" t="s">
        <v>10930</v>
      </c>
      <c r="AO1103" t="s">
        <v>11017</v>
      </c>
      <c r="AP1103" t="s">
        <v>11082</v>
      </c>
      <c r="AR1103" t="s">
        <v>11257</v>
      </c>
      <c r="AS1103" t="s">
        <v>11594</v>
      </c>
      <c r="BA1103" t="s">
        <v>11741</v>
      </c>
      <c r="BB1103">
        <v>0</v>
      </c>
      <c r="BC1103">
        <v>0</v>
      </c>
      <c r="BD1103">
        <v>0</v>
      </c>
      <c r="BE1103">
        <v>0</v>
      </c>
      <c r="BF1103">
        <v>1</v>
      </c>
      <c r="BG1103">
        <v>0</v>
      </c>
    </row>
    <row r="1104" spans="1:59">
      <c r="A1104" s="1">
        <f>HYPERLINK("https://lsnyc.legalserver.org/matter/dynamic-profile/view/1904924","19-1904924")</f>
        <v>0</v>
      </c>
      <c r="B1104" t="s">
        <v>1036</v>
      </c>
      <c r="C1104" t="s">
        <v>5907</v>
      </c>
      <c r="D1104" t="s">
        <v>9926</v>
      </c>
      <c r="E1104" t="s">
        <v>10075</v>
      </c>
      <c r="F1104">
        <v>10456</v>
      </c>
      <c r="G1104" t="s">
        <v>10090</v>
      </c>
      <c r="H1104" t="s">
        <v>10124</v>
      </c>
      <c r="I1104" t="s">
        <v>10169</v>
      </c>
      <c r="J1104" t="s">
        <v>10210</v>
      </c>
      <c r="K1104" t="s">
        <v>10217</v>
      </c>
      <c r="M1104" t="s">
        <v>10296</v>
      </c>
      <c r="N1104" t="s">
        <v>10679</v>
      </c>
      <c r="P1104" t="s">
        <v>10753</v>
      </c>
      <c r="Q1104" t="s">
        <v>10763</v>
      </c>
      <c r="R1104" t="s">
        <v>10823</v>
      </c>
      <c r="T1104">
        <v>0</v>
      </c>
      <c r="U1104">
        <v>0</v>
      </c>
      <c r="V1104">
        <v>16</v>
      </c>
      <c r="W1104">
        <v>1</v>
      </c>
      <c r="X1104">
        <v>2</v>
      </c>
      <c r="Z1104">
        <v>0</v>
      </c>
      <c r="AA1104">
        <v>40.833359</v>
      </c>
      <c r="AB1104">
        <v>-73.898432</v>
      </c>
      <c r="AD1104" t="s">
        <v>10840</v>
      </c>
      <c r="AF1104" t="s">
        <v>10851</v>
      </c>
      <c r="AG1104" t="s">
        <v>10859</v>
      </c>
      <c r="AH1104" t="s">
        <v>10864</v>
      </c>
      <c r="AI1104">
        <v>230</v>
      </c>
      <c r="AJ1104" t="s">
        <v>10210</v>
      </c>
      <c r="AL1104">
        <v>1</v>
      </c>
      <c r="AM1104" t="s">
        <v>10884</v>
      </c>
      <c r="AN1104" t="s">
        <v>10918</v>
      </c>
      <c r="AO1104" t="s">
        <v>11000</v>
      </c>
      <c r="AP1104" t="s">
        <v>11055</v>
      </c>
      <c r="AQ1104" t="s">
        <v>11119</v>
      </c>
      <c r="AR1104" t="s">
        <v>11267</v>
      </c>
      <c r="AS1104" t="s">
        <v>9926</v>
      </c>
      <c r="AT1104" t="s">
        <v>11642</v>
      </c>
      <c r="AV1104" t="s">
        <v>11655</v>
      </c>
      <c r="AW1104" t="s">
        <v>11666</v>
      </c>
      <c r="AX1104" t="s">
        <v>10838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</row>
    <row r="1105" spans="1:59">
      <c r="A1105" s="1">
        <f>HYPERLINK("https://lsnyc.legalserver.org/matter/dynamic-profile/view/1904925","19-1904925")</f>
        <v>0</v>
      </c>
      <c r="B1105" t="s">
        <v>1037</v>
      </c>
      <c r="C1105" t="s">
        <v>5909</v>
      </c>
      <c r="D1105" t="s">
        <v>9925</v>
      </c>
      <c r="E1105" t="s">
        <v>10075</v>
      </c>
      <c r="F1105">
        <v>10027</v>
      </c>
      <c r="G1105" t="s">
        <v>10089</v>
      </c>
      <c r="H1105" t="s">
        <v>10124</v>
      </c>
      <c r="J1105" t="s">
        <v>10209</v>
      </c>
      <c r="K1105" t="s">
        <v>10217</v>
      </c>
      <c r="M1105" t="s">
        <v>10389</v>
      </c>
      <c r="N1105" t="s">
        <v>10702</v>
      </c>
      <c r="P1105" t="s">
        <v>10749</v>
      </c>
      <c r="Q1105" t="s">
        <v>10767</v>
      </c>
      <c r="R1105" t="s">
        <v>10821</v>
      </c>
      <c r="T1105">
        <v>23400</v>
      </c>
      <c r="U1105">
        <v>1950</v>
      </c>
      <c r="V1105">
        <v>39</v>
      </c>
      <c r="W1105">
        <v>1</v>
      </c>
      <c r="X1105">
        <v>0</v>
      </c>
      <c r="Z1105">
        <v>187.35</v>
      </c>
      <c r="AA1105">
        <v>40.816218</v>
      </c>
      <c r="AB1105">
        <v>-73.954672</v>
      </c>
      <c r="AD1105" t="s">
        <v>10840</v>
      </c>
      <c r="AG1105" t="s">
        <v>10858</v>
      </c>
      <c r="AH1105" t="s">
        <v>10862</v>
      </c>
      <c r="AI1105">
        <v>236</v>
      </c>
      <c r="AJ1105" t="s">
        <v>10209</v>
      </c>
      <c r="AL1105">
        <v>0.4</v>
      </c>
      <c r="AM1105" t="s">
        <v>10887</v>
      </c>
      <c r="AN1105" t="s">
        <v>10936</v>
      </c>
      <c r="AO1105" t="s">
        <v>11016</v>
      </c>
      <c r="AP1105" t="s">
        <v>11073</v>
      </c>
      <c r="AQ1105" t="s">
        <v>11144</v>
      </c>
      <c r="AR1105" t="s">
        <v>11257</v>
      </c>
      <c r="AS1105" t="s">
        <v>9925</v>
      </c>
      <c r="AT1105" t="s">
        <v>11642</v>
      </c>
      <c r="AX1105" t="s">
        <v>10838</v>
      </c>
      <c r="BA1105" t="s">
        <v>11738</v>
      </c>
      <c r="BB1105">
        <v>0</v>
      </c>
      <c r="BC1105">
        <v>0</v>
      </c>
      <c r="BD1105">
        <v>0</v>
      </c>
      <c r="BE1105">
        <v>0</v>
      </c>
      <c r="BF1105">
        <v>5</v>
      </c>
      <c r="BG1105">
        <v>0</v>
      </c>
    </row>
    <row r="1106" spans="1:59">
      <c r="A1106" s="1">
        <f>HYPERLINK("https://lsnyc.legalserver.org/matter/dynamic-profile/view/1904926","19-1904926")</f>
        <v>0</v>
      </c>
      <c r="B1106" t="s">
        <v>1038</v>
      </c>
      <c r="C1106" t="s">
        <v>5910</v>
      </c>
      <c r="D1106" t="s">
        <v>9955</v>
      </c>
      <c r="E1106" t="s">
        <v>10075</v>
      </c>
      <c r="F1106">
        <v>11692</v>
      </c>
      <c r="G1106" t="s">
        <v>10092</v>
      </c>
      <c r="H1106" t="s">
        <v>10124</v>
      </c>
      <c r="I1106" t="s">
        <v>10168</v>
      </c>
      <c r="J1106" t="s">
        <v>10212</v>
      </c>
      <c r="K1106" t="s">
        <v>10217</v>
      </c>
      <c r="M1106" t="s">
        <v>10416</v>
      </c>
      <c r="N1106" t="s">
        <v>10646</v>
      </c>
      <c r="P1106" t="s">
        <v>10749</v>
      </c>
      <c r="Q1106" t="s">
        <v>10769</v>
      </c>
      <c r="R1106" t="s">
        <v>10822</v>
      </c>
      <c r="T1106">
        <v>96000</v>
      </c>
      <c r="U1106">
        <v>8000</v>
      </c>
      <c r="V1106">
        <v>49</v>
      </c>
      <c r="W1106">
        <v>2</v>
      </c>
      <c r="X1106">
        <v>0</v>
      </c>
      <c r="Z1106">
        <v>567.71</v>
      </c>
      <c r="AA1106">
        <v>40.588073</v>
      </c>
      <c r="AB1106">
        <v>-73.801315</v>
      </c>
      <c r="AD1106" t="s">
        <v>10839</v>
      </c>
      <c r="AG1106" t="s">
        <v>10858</v>
      </c>
      <c r="AH1106" t="s">
        <v>10861</v>
      </c>
      <c r="AI1106">
        <v>234</v>
      </c>
      <c r="AJ1106" t="s">
        <v>10214</v>
      </c>
      <c r="AL1106">
        <v>4.25</v>
      </c>
      <c r="AM1106" t="s">
        <v>10892</v>
      </c>
      <c r="AN1106" t="s">
        <v>10958</v>
      </c>
      <c r="AO1106" t="s">
        <v>11024</v>
      </c>
      <c r="AP1106" t="s">
        <v>11088</v>
      </c>
      <c r="AR1106" t="s">
        <v>11276</v>
      </c>
      <c r="AS1106" t="s">
        <v>11594</v>
      </c>
      <c r="AT1106" t="s">
        <v>11641</v>
      </c>
      <c r="AX1106" t="s">
        <v>11678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</row>
    <row r="1107" spans="1:59">
      <c r="A1107" s="1">
        <f>HYPERLINK("https://lsnyc.legalserver.org/matter/dynamic-profile/view/1904927","19-1904927")</f>
        <v>0</v>
      </c>
      <c r="B1107" t="s">
        <v>1039</v>
      </c>
      <c r="C1107" t="s">
        <v>5911</v>
      </c>
      <c r="D1107" t="s">
        <v>9946</v>
      </c>
      <c r="E1107" t="s">
        <v>10075</v>
      </c>
      <c r="F1107">
        <v>11385</v>
      </c>
      <c r="G1107" t="s">
        <v>10092</v>
      </c>
      <c r="H1107" t="s">
        <v>10124</v>
      </c>
      <c r="I1107" t="s">
        <v>10183</v>
      </c>
      <c r="J1107" t="s">
        <v>10212</v>
      </c>
      <c r="K1107" t="s">
        <v>10217</v>
      </c>
      <c r="M1107" t="s">
        <v>10282</v>
      </c>
      <c r="N1107" t="s">
        <v>10673</v>
      </c>
      <c r="P1107" t="s">
        <v>10753</v>
      </c>
      <c r="Q1107" t="s">
        <v>10763</v>
      </c>
      <c r="R1107" t="s">
        <v>10820</v>
      </c>
      <c r="T1107">
        <v>12000</v>
      </c>
      <c r="U1107">
        <v>1000</v>
      </c>
      <c r="V1107">
        <v>31</v>
      </c>
      <c r="W1107">
        <v>1</v>
      </c>
      <c r="X1107">
        <v>0</v>
      </c>
      <c r="Z1107">
        <v>96.08</v>
      </c>
      <c r="AA1107">
        <v>40.709616</v>
      </c>
      <c r="AB1107">
        <v>-73.901213</v>
      </c>
      <c r="AD1107" t="s">
        <v>10839</v>
      </c>
      <c r="AF1107" t="s">
        <v>10842</v>
      </c>
      <c r="AG1107" t="s">
        <v>10859</v>
      </c>
      <c r="AH1107" t="s">
        <v>10864</v>
      </c>
      <c r="AI1107">
        <v>237</v>
      </c>
      <c r="AJ1107" t="s">
        <v>10212</v>
      </c>
      <c r="AL1107">
        <v>5.87</v>
      </c>
      <c r="AM1107" t="s">
        <v>10890</v>
      </c>
      <c r="AN1107" t="s">
        <v>10961</v>
      </c>
      <c r="AO1107" t="s">
        <v>11024</v>
      </c>
      <c r="AP1107" t="s">
        <v>11077</v>
      </c>
      <c r="AQ1107" t="s">
        <v>11171</v>
      </c>
      <c r="AR1107" t="s">
        <v>11276</v>
      </c>
      <c r="AS1107" t="s">
        <v>11594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</row>
    <row r="1108" spans="1:59">
      <c r="A1108" s="1">
        <f>HYPERLINK("https://lsnyc.legalserver.org/matter/dynamic-profile/view/1904928","19-1904928")</f>
        <v>0</v>
      </c>
      <c r="B1108" t="s">
        <v>1040</v>
      </c>
      <c r="C1108" t="s">
        <v>5912</v>
      </c>
      <c r="D1108" t="s">
        <v>9925</v>
      </c>
      <c r="E1108" t="s">
        <v>10075</v>
      </c>
      <c r="F1108">
        <v>10014</v>
      </c>
      <c r="G1108" t="s">
        <v>10089</v>
      </c>
      <c r="H1108" t="s">
        <v>10124</v>
      </c>
      <c r="I1108" t="s">
        <v>10168</v>
      </c>
      <c r="J1108" t="s">
        <v>10209</v>
      </c>
      <c r="K1108" t="s">
        <v>10217</v>
      </c>
      <c r="M1108" t="s">
        <v>10509</v>
      </c>
      <c r="N1108" t="s">
        <v>10702</v>
      </c>
      <c r="P1108" t="s">
        <v>10749</v>
      </c>
      <c r="Q1108" t="s">
        <v>10767</v>
      </c>
      <c r="R1108" t="s">
        <v>10820</v>
      </c>
      <c r="T1108">
        <v>19440</v>
      </c>
      <c r="U1108">
        <v>1620</v>
      </c>
      <c r="V1108">
        <v>79</v>
      </c>
      <c r="W1108">
        <v>1</v>
      </c>
      <c r="X1108">
        <v>0</v>
      </c>
      <c r="Z1108">
        <v>155.64</v>
      </c>
      <c r="AA1108">
        <v>40.728562</v>
      </c>
      <c r="AB1108">
        <v>-74.003517</v>
      </c>
      <c r="AD1108" t="s">
        <v>10840</v>
      </c>
      <c r="AG1108" t="s">
        <v>10858</v>
      </c>
      <c r="AH1108" t="s">
        <v>10862</v>
      </c>
      <c r="AI1108">
        <v>236</v>
      </c>
      <c r="AJ1108" t="s">
        <v>10209</v>
      </c>
      <c r="AL1108">
        <v>3</v>
      </c>
      <c r="AM1108" t="s">
        <v>10894</v>
      </c>
      <c r="AN1108" t="s">
        <v>10950</v>
      </c>
      <c r="AO1108" t="s">
        <v>11021</v>
      </c>
      <c r="AP1108" t="s">
        <v>11090</v>
      </c>
      <c r="AR1108" t="s">
        <v>11300</v>
      </c>
      <c r="AS1108" t="s">
        <v>9925</v>
      </c>
      <c r="BA1108" t="s">
        <v>11738</v>
      </c>
      <c r="BB1108">
        <v>0</v>
      </c>
      <c r="BC1108">
        <v>0</v>
      </c>
      <c r="BD1108">
        <v>0</v>
      </c>
      <c r="BE1108">
        <v>0</v>
      </c>
      <c r="BF1108">
        <v>5</v>
      </c>
      <c r="BG1108">
        <v>0</v>
      </c>
    </row>
    <row r="1109" spans="1:59">
      <c r="A1109" s="1">
        <f>HYPERLINK("https://lsnyc.legalserver.org/matter/dynamic-profile/view/1904929","19-1904929")</f>
        <v>0</v>
      </c>
      <c r="B1109" t="s">
        <v>1041</v>
      </c>
      <c r="C1109" t="s">
        <v>5913</v>
      </c>
      <c r="D1109" t="s">
        <v>9945</v>
      </c>
      <c r="E1109" t="s">
        <v>10075</v>
      </c>
      <c r="F1109">
        <v>11422</v>
      </c>
      <c r="G1109" t="s">
        <v>10092</v>
      </c>
      <c r="H1109" t="s">
        <v>10124</v>
      </c>
      <c r="I1109" t="s">
        <v>10168</v>
      </c>
      <c r="J1109" t="s">
        <v>10212</v>
      </c>
      <c r="K1109" t="s">
        <v>10217</v>
      </c>
      <c r="M1109" t="s">
        <v>10325</v>
      </c>
      <c r="N1109" t="s">
        <v>10671</v>
      </c>
      <c r="P1109" t="s">
        <v>10751</v>
      </c>
      <c r="Q1109" t="s">
        <v>10761</v>
      </c>
      <c r="R1109" t="s">
        <v>10824</v>
      </c>
      <c r="T1109">
        <v>15600</v>
      </c>
      <c r="U1109">
        <v>1300</v>
      </c>
      <c r="V1109">
        <v>67</v>
      </c>
      <c r="W1109">
        <v>1</v>
      </c>
      <c r="X1109">
        <v>0</v>
      </c>
      <c r="Z1109">
        <v>124.9</v>
      </c>
      <c r="AA1109">
        <v>40.655627</v>
      </c>
      <c r="AB1109">
        <v>-73.74539300000001</v>
      </c>
      <c r="AD1109" t="s">
        <v>10839</v>
      </c>
      <c r="AF1109" t="s">
        <v>10843</v>
      </c>
      <c r="AG1109" t="s">
        <v>10859</v>
      </c>
      <c r="AH1109" t="s">
        <v>10861</v>
      </c>
      <c r="AI1109">
        <v>234</v>
      </c>
      <c r="AJ1109" t="s">
        <v>10214</v>
      </c>
      <c r="AL1109">
        <v>5</v>
      </c>
      <c r="AM1109" t="s">
        <v>10892</v>
      </c>
      <c r="AN1109" t="s">
        <v>10930</v>
      </c>
      <c r="AO1109" t="s">
        <v>11017</v>
      </c>
      <c r="AP1109" t="s">
        <v>11082</v>
      </c>
      <c r="AR1109" t="s">
        <v>11257</v>
      </c>
      <c r="AS1109" t="s">
        <v>11594</v>
      </c>
      <c r="AT1109" t="s">
        <v>11641</v>
      </c>
      <c r="AX1109" t="s">
        <v>10838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</row>
    <row r="1110" spans="1:59">
      <c r="A1110" s="1">
        <f>HYPERLINK("https://lsnyc.legalserver.org/matter/dynamic-profile/view/1904930","19-1904930")</f>
        <v>0</v>
      </c>
      <c r="B1110" t="s">
        <v>1042</v>
      </c>
      <c r="C1110" t="s">
        <v>5914</v>
      </c>
      <c r="D1110" t="s">
        <v>9990</v>
      </c>
      <c r="E1110" t="s">
        <v>10075</v>
      </c>
      <c r="F1110">
        <v>11705</v>
      </c>
      <c r="G1110" t="s">
        <v>10093</v>
      </c>
      <c r="H1110" t="s">
        <v>10124</v>
      </c>
      <c r="I1110" t="s">
        <v>10168</v>
      </c>
      <c r="J1110" t="s">
        <v>10213</v>
      </c>
      <c r="K1110" t="s">
        <v>10218</v>
      </c>
      <c r="L1110" t="s">
        <v>10110</v>
      </c>
      <c r="M1110" t="s">
        <v>10330</v>
      </c>
      <c r="N1110" t="s">
        <v>10710</v>
      </c>
      <c r="P1110" t="s">
        <v>10750</v>
      </c>
      <c r="Q1110" t="s">
        <v>10760</v>
      </c>
      <c r="R1110" t="s">
        <v>10820</v>
      </c>
      <c r="T1110">
        <v>0</v>
      </c>
      <c r="U1110">
        <v>0</v>
      </c>
      <c r="V1110">
        <v>50</v>
      </c>
      <c r="W1110">
        <v>1</v>
      </c>
      <c r="X1110">
        <v>0</v>
      </c>
      <c r="Y1110" t="s">
        <v>10829</v>
      </c>
      <c r="Z1110">
        <v>0</v>
      </c>
      <c r="AA1110">
        <v>40.751586</v>
      </c>
      <c r="AB1110">
        <v>-73.044521</v>
      </c>
      <c r="AD1110" t="s">
        <v>10839</v>
      </c>
      <c r="AG1110" t="s">
        <v>10858</v>
      </c>
      <c r="AH1110" t="s">
        <v>10861</v>
      </c>
      <c r="AI1110">
        <v>234</v>
      </c>
      <c r="AJ1110" t="s">
        <v>10214</v>
      </c>
      <c r="AK1110" t="s">
        <v>10838</v>
      </c>
      <c r="AL1110">
        <v>5.5</v>
      </c>
      <c r="AM1110" t="s">
        <v>10899</v>
      </c>
      <c r="AN1110" t="s">
        <v>10976</v>
      </c>
      <c r="AO1110" t="s">
        <v>11030</v>
      </c>
      <c r="AR1110" t="s">
        <v>11279</v>
      </c>
      <c r="AS1110" t="s">
        <v>11602</v>
      </c>
      <c r="AT1110" t="s">
        <v>11641</v>
      </c>
      <c r="AX1110" t="s">
        <v>10838</v>
      </c>
      <c r="AY1110" t="s">
        <v>10829</v>
      </c>
      <c r="AZ1110" t="s">
        <v>11679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</row>
    <row r="1111" spans="1:59">
      <c r="A1111" s="1">
        <f>HYPERLINK("https://lsnyc.legalserver.org/matter/dynamic-profile/view/1904931","19-1904931")</f>
        <v>0</v>
      </c>
      <c r="B1111" t="s">
        <v>1043</v>
      </c>
      <c r="C1111" t="s">
        <v>5601</v>
      </c>
      <c r="D1111" t="s">
        <v>9926</v>
      </c>
      <c r="E1111" t="s">
        <v>10075</v>
      </c>
      <c r="F1111">
        <v>10453</v>
      </c>
      <c r="G1111" t="s">
        <v>10090</v>
      </c>
      <c r="H1111" t="s">
        <v>10124</v>
      </c>
      <c r="I1111" t="s">
        <v>10168</v>
      </c>
      <c r="J1111" t="s">
        <v>10210</v>
      </c>
      <c r="K1111" t="s">
        <v>10217</v>
      </c>
      <c r="M1111" t="s">
        <v>10463</v>
      </c>
      <c r="N1111" t="s">
        <v>10650</v>
      </c>
      <c r="P1111" t="s">
        <v>10749</v>
      </c>
      <c r="Q1111" t="s">
        <v>10765</v>
      </c>
      <c r="R1111" t="s">
        <v>10822</v>
      </c>
      <c r="T1111">
        <v>21000</v>
      </c>
      <c r="U1111">
        <v>1750</v>
      </c>
      <c r="V1111">
        <v>60</v>
      </c>
      <c r="W1111">
        <v>2</v>
      </c>
      <c r="X1111">
        <v>0</v>
      </c>
      <c r="Z1111">
        <v>124.19</v>
      </c>
      <c r="AA1111">
        <v>40.846849</v>
      </c>
      <c r="AB1111">
        <v>-73.90953500000001</v>
      </c>
      <c r="AD1111" t="s">
        <v>10839</v>
      </c>
      <c r="AF1111" t="s">
        <v>10843</v>
      </c>
      <c r="AG1111" t="s">
        <v>10859</v>
      </c>
      <c r="AH1111" t="s">
        <v>10862</v>
      </c>
      <c r="AI1111">
        <v>230</v>
      </c>
      <c r="AJ1111" t="s">
        <v>10210</v>
      </c>
      <c r="AL1111">
        <v>0</v>
      </c>
      <c r="AM1111" t="s">
        <v>10884</v>
      </c>
      <c r="AN1111" t="s">
        <v>10931</v>
      </c>
      <c r="AO1111" t="s">
        <v>11000</v>
      </c>
      <c r="AP1111" t="s">
        <v>11045</v>
      </c>
      <c r="AR1111" t="s">
        <v>10180</v>
      </c>
      <c r="AS1111" t="s">
        <v>9926</v>
      </c>
      <c r="BA1111" t="s">
        <v>11739</v>
      </c>
      <c r="BB1111">
        <v>0</v>
      </c>
      <c r="BC1111">
        <v>0</v>
      </c>
      <c r="BD1111">
        <v>0</v>
      </c>
      <c r="BE1111">
        <v>0</v>
      </c>
      <c r="BF1111">
        <v>4</v>
      </c>
      <c r="BG1111">
        <v>0</v>
      </c>
    </row>
    <row r="1112" spans="1:59">
      <c r="A1112" s="1">
        <f>HYPERLINK("https://lsnyc.legalserver.org/matter/dynamic-profile/view/1904932","19-1904932")</f>
        <v>0</v>
      </c>
      <c r="B1112" t="s">
        <v>1044</v>
      </c>
      <c r="C1112" t="s">
        <v>5915</v>
      </c>
      <c r="D1112" t="s">
        <v>9926</v>
      </c>
      <c r="E1112" t="s">
        <v>10075</v>
      </c>
      <c r="F1112">
        <v>10454</v>
      </c>
      <c r="G1112" t="s">
        <v>10090</v>
      </c>
      <c r="H1112" t="s">
        <v>10124</v>
      </c>
      <c r="I1112" t="s">
        <v>10168</v>
      </c>
      <c r="J1112" t="s">
        <v>10210</v>
      </c>
      <c r="K1112" t="s">
        <v>10218</v>
      </c>
      <c r="L1112" t="s">
        <v>10102</v>
      </c>
      <c r="M1112" t="s">
        <v>10262</v>
      </c>
      <c r="N1112" t="s">
        <v>10666</v>
      </c>
      <c r="P1112" t="s">
        <v>10749</v>
      </c>
      <c r="Q1112" t="s">
        <v>10765</v>
      </c>
      <c r="R1112" t="s">
        <v>10821</v>
      </c>
      <c r="T1112">
        <v>18980</v>
      </c>
      <c r="U1112">
        <v>1581.67</v>
      </c>
      <c r="V1112">
        <v>20</v>
      </c>
      <c r="W1112">
        <v>1</v>
      </c>
      <c r="X1112">
        <v>0</v>
      </c>
      <c r="Y1112" t="s">
        <v>10829</v>
      </c>
      <c r="Z1112">
        <v>151.96</v>
      </c>
      <c r="AA1112">
        <v>40.807673</v>
      </c>
      <c r="AB1112">
        <v>-73.921971</v>
      </c>
      <c r="AD1112" t="s">
        <v>10840</v>
      </c>
      <c r="AG1112" t="s">
        <v>10858</v>
      </c>
      <c r="AH1112" t="s">
        <v>10861</v>
      </c>
      <c r="AI1112">
        <v>230</v>
      </c>
      <c r="AJ1112" t="s">
        <v>10210</v>
      </c>
      <c r="AK1112" t="s">
        <v>10882</v>
      </c>
      <c r="AL1112">
        <v>0.5</v>
      </c>
      <c r="AM1112" t="s">
        <v>10884</v>
      </c>
      <c r="AN1112" t="s">
        <v>10924</v>
      </c>
      <c r="AO1112" t="s">
        <v>11013</v>
      </c>
      <c r="AP1112" t="s">
        <v>11066</v>
      </c>
      <c r="AR1112" t="s">
        <v>11257</v>
      </c>
      <c r="AS1112" t="s">
        <v>9926</v>
      </c>
      <c r="AT1112" t="s">
        <v>11642</v>
      </c>
      <c r="AX1112" t="s">
        <v>11678</v>
      </c>
      <c r="AY1112" t="s">
        <v>10829</v>
      </c>
      <c r="AZ1112" t="s">
        <v>11681</v>
      </c>
      <c r="BA1112" t="s">
        <v>11741</v>
      </c>
      <c r="BB1112">
        <v>0</v>
      </c>
      <c r="BC1112">
        <v>0</v>
      </c>
      <c r="BD1112">
        <v>0</v>
      </c>
      <c r="BE1112">
        <v>0</v>
      </c>
      <c r="BF1112">
        <v>1</v>
      </c>
      <c r="BG1112">
        <v>0</v>
      </c>
    </row>
    <row r="1113" spans="1:59">
      <c r="A1113" s="1">
        <f>HYPERLINK("https://lsnyc.legalserver.org/matter/dynamic-profile/view/1904933","19-1904933")</f>
        <v>0</v>
      </c>
      <c r="B1113" t="s">
        <v>429</v>
      </c>
      <c r="C1113" t="s">
        <v>5229</v>
      </c>
      <c r="D1113" t="s">
        <v>9926</v>
      </c>
      <c r="E1113" t="s">
        <v>10075</v>
      </c>
      <c r="F1113">
        <v>10452</v>
      </c>
      <c r="G1113" t="s">
        <v>10090</v>
      </c>
      <c r="H1113" t="s">
        <v>10124</v>
      </c>
      <c r="I1113" t="s">
        <v>10168</v>
      </c>
      <c r="J1113" t="s">
        <v>10210</v>
      </c>
      <c r="K1113" t="s">
        <v>10217</v>
      </c>
      <c r="M1113" t="s">
        <v>10250</v>
      </c>
      <c r="N1113" t="s">
        <v>10650</v>
      </c>
      <c r="P1113" t="s">
        <v>10749</v>
      </c>
      <c r="Q1113" t="s">
        <v>10765</v>
      </c>
      <c r="R1113" t="s">
        <v>10824</v>
      </c>
      <c r="T1113">
        <v>145600</v>
      </c>
      <c r="U1113">
        <v>12133.33</v>
      </c>
      <c r="V1113">
        <v>54</v>
      </c>
      <c r="W1113">
        <v>5</v>
      </c>
      <c r="X1113">
        <v>0</v>
      </c>
      <c r="Z1113">
        <v>482.6</v>
      </c>
      <c r="AA1113">
        <v>40.837158</v>
      </c>
      <c r="AB1113">
        <v>-73.923618</v>
      </c>
      <c r="AD1113" t="s">
        <v>10839</v>
      </c>
      <c r="AG1113" t="s">
        <v>10858</v>
      </c>
      <c r="AH1113" t="s">
        <v>10862</v>
      </c>
      <c r="AI1113">
        <v>230</v>
      </c>
      <c r="AJ1113" t="s">
        <v>10210</v>
      </c>
      <c r="AL1113">
        <v>1</v>
      </c>
      <c r="AM1113" t="s">
        <v>10884</v>
      </c>
      <c r="AN1113" t="s">
        <v>10929</v>
      </c>
      <c r="AO1113" t="s">
        <v>11013</v>
      </c>
      <c r="AP1113" t="s">
        <v>11055</v>
      </c>
      <c r="AR1113" t="s">
        <v>11257</v>
      </c>
      <c r="AS1113" t="s">
        <v>9926</v>
      </c>
      <c r="BA1113" t="s">
        <v>11739</v>
      </c>
      <c r="BB1113">
        <v>0</v>
      </c>
      <c r="BC1113">
        <v>0</v>
      </c>
      <c r="BD1113">
        <v>0</v>
      </c>
      <c r="BE1113">
        <v>0</v>
      </c>
      <c r="BF1113">
        <v>4</v>
      </c>
      <c r="BG1113">
        <v>0</v>
      </c>
    </row>
    <row r="1114" spans="1:59">
      <c r="A1114" s="1">
        <f>HYPERLINK("https://lsnyc.legalserver.org/matter/dynamic-profile/view/1904935","19-1904935")</f>
        <v>0</v>
      </c>
      <c r="B1114" t="s">
        <v>1045</v>
      </c>
      <c r="C1114" t="s">
        <v>5916</v>
      </c>
      <c r="D1114" t="s">
        <v>9925</v>
      </c>
      <c r="E1114" t="s">
        <v>10075</v>
      </c>
      <c r="F1114">
        <v>10025</v>
      </c>
      <c r="G1114" t="s">
        <v>10089</v>
      </c>
      <c r="H1114" t="s">
        <v>10124</v>
      </c>
      <c r="I1114" t="s">
        <v>10168</v>
      </c>
      <c r="J1114" t="s">
        <v>10209</v>
      </c>
      <c r="K1114" t="s">
        <v>10217</v>
      </c>
      <c r="M1114" t="s">
        <v>10270</v>
      </c>
      <c r="N1114" t="s">
        <v>10691</v>
      </c>
      <c r="P1114" t="s">
        <v>10754</v>
      </c>
      <c r="Q1114" t="s">
        <v>10775</v>
      </c>
      <c r="R1114" t="s">
        <v>10824</v>
      </c>
      <c r="T1114">
        <v>8700</v>
      </c>
      <c r="U1114">
        <v>725</v>
      </c>
      <c r="V1114">
        <v>37</v>
      </c>
      <c r="W1114">
        <v>1</v>
      </c>
      <c r="X1114">
        <v>0</v>
      </c>
      <c r="Z1114">
        <v>69.66</v>
      </c>
      <c r="AA1114">
        <v>40.79674</v>
      </c>
      <c r="AB1114">
        <v>-73.96387199999999</v>
      </c>
      <c r="AD1114" t="s">
        <v>10839</v>
      </c>
      <c r="AG1114" t="s">
        <v>10858</v>
      </c>
      <c r="AH1114" t="s">
        <v>10871</v>
      </c>
      <c r="AI1114">
        <v>234</v>
      </c>
      <c r="AJ1114" t="s">
        <v>10214</v>
      </c>
      <c r="AL1114">
        <v>1</v>
      </c>
      <c r="AM1114" t="s">
        <v>10887</v>
      </c>
      <c r="AN1114" t="s">
        <v>10953</v>
      </c>
      <c r="AO1114" t="s">
        <v>11016</v>
      </c>
      <c r="AP1114" t="s">
        <v>11073</v>
      </c>
      <c r="AR1114" t="s">
        <v>11319</v>
      </c>
      <c r="AS1114" t="s">
        <v>9925</v>
      </c>
      <c r="AT1114" t="s">
        <v>11641</v>
      </c>
      <c r="AX1114" t="s">
        <v>10838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</row>
    <row r="1115" spans="1:59">
      <c r="A1115" s="1">
        <f>HYPERLINK("https://lsnyc.legalserver.org/matter/dynamic-profile/view/1904936","19-1904936")</f>
        <v>0</v>
      </c>
      <c r="B1115" t="s">
        <v>1043</v>
      </c>
      <c r="C1115" t="s">
        <v>5601</v>
      </c>
      <c r="D1115" t="s">
        <v>9926</v>
      </c>
      <c r="E1115" t="s">
        <v>10075</v>
      </c>
      <c r="F1115">
        <v>10453</v>
      </c>
      <c r="G1115" t="s">
        <v>10090</v>
      </c>
      <c r="H1115" t="s">
        <v>10124</v>
      </c>
      <c r="I1115" t="s">
        <v>10168</v>
      </c>
      <c r="J1115" t="s">
        <v>10210</v>
      </c>
      <c r="K1115" t="s">
        <v>10217</v>
      </c>
      <c r="M1115" t="s">
        <v>10463</v>
      </c>
      <c r="N1115" t="s">
        <v>10650</v>
      </c>
      <c r="P1115" t="s">
        <v>10749</v>
      </c>
      <c r="Q1115" t="s">
        <v>10765</v>
      </c>
      <c r="R1115" t="s">
        <v>10822</v>
      </c>
      <c r="T1115">
        <v>21000</v>
      </c>
      <c r="U1115">
        <v>1750</v>
      </c>
      <c r="V1115">
        <v>60</v>
      </c>
      <c r="W1115">
        <v>2</v>
      </c>
      <c r="X1115">
        <v>0</v>
      </c>
      <c r="Z1115">
        <v>124.19</v>
      </c>
      <c r="AA1115">
        <v>40.846849</v>
      </c>
      <c r="AB1115">
        <v>-73.90953500000001</v>
      </c>
      <c r="AD1115" t="s">
        <v>10839</v>
      </c>
      <c r="AF1115" t="s">
        <v>10843</v>
      </c>
      <c r="AG1115" t="s">
        <v>10859</v>
      </c>
      <c r="AH1115" t="s">
        <v>10862</v>
      </c>
      <c r="AI1115">
        <v>230</v>
      </c>
      <c r="AJ1115" t="s">
        <v>10210</v>
      </c>
      <c r="AL1115">
        <v>0</v>
      </c>
      <c r="AM1115" t="s">
        <v>10884</v>
      </c>
      <c r="AN1115" t="s">
        <v>10931</v>
      </c>
      <c r="AO1115" t="s">
        <v>11000</v>
      </c>
      <c r="AP1115" t="s">
        <v>11045</v>
      </c>
      <c r="AR1115" t="s">
        <v>10180</v>
      </c>
      <c r="AS1115" t="s">
        <v>9926</v>
      </c>
      <c r="BA1115" t="s">
        <v>11739</v>
      </c>
      <c r="BB1115">
        <v>0</v>
      </c>
      <c r="BC1115">
        <v>0</v>
      </c>
      <c r="BD1115">
        <v>0</v>
      </c>
      <c r="BE1115">
        <v>0</v>
      </c>
      <c r="BF1115">
        <v>4</v>
      </c>
      <c r="BG1115">
        <v>0</v>
      </c>
    </row>
    <row r="1116" spans="1:59">
      <c r="A1116" s="1">
        <f>HYPERLINK("https://lsnyc.legalserver.org/matter/dynamic-profile/view/1904939","19-1904939")</f>
        <v>0</v>
      </c>
      <c r="B1116" t="s">
        <v>1046</v>
      </c>
      <c r="C1116" t="s">
        <v>5917</v>
      </c>
      <c r="D1116" t="s">
        <v>9926</v>
      </c>
      <c r="E1116" t="s">
        <v>10075</v>
      </c>
      <c r="F1116">
        <v>10456</v>
      </c>
      <c r="G1116" t="s">
        <v>10090</v>
      </c>
      <c r="H1116" t="s">
        <v>10124</v>
      </c>
      <c r="I1116" t="s">
        <v>10168</v>
      </c>
      <c r="J1116" t="s">
        <v>10210</v>
      </c>
      <c r="K1116" t="s">
        <v>10218</v>
      </c>
      <c r="L1116" t="s">
        <v>10159</v>
      </c>
      <c r="M1116" t="s">
        <v>10524</v>
      </c>
      <c r="N1116" t="s">
        <v>10690</v>
      </c>
      <c r="P1116" t="s">
        <v>10749</v>
      </c>
      <c r="Q1116" t="s">
        <v>10765</v>
      </c>
      <c r="R1116" t="s">
        <v>10824</v>
      </c>
      <c r="T1116">
        <v>9252</v>
      </c>
      <c r="U1116">
        <v>771</v>
      </c>
      <c r="V1116">
        <v>59</v>
      </c>
      <c r="W1116">
        <v>1</v>
      </c>
      <c r="X1116">
        <v>0</v>
      </c>
      <c r="Y1116" t="s">
        <v>10829</v>
      </c>
      <c r="Z1116">
        <v>74.08</v>
      </c>
      <c r="AA1116">
        <v>40.829494</v>
      </c>
      <c r="AB1116">
        <v>-73.902868</v>
      </c>
      <c r="AC1116" t="s">
        <v>10837</v>
      </c>
      <c r="AD1116" t="s">
        <v>10840</v>
      </c>
      <c r="AG1116" t="s">
        <v>10858</v>
      </c>
      <c r="AH1116" t="s">
        <v>10861</v>
      </c>
      <c r="AI1116">
        <v>234</v>
      </c>
      <c r="AJ1116" t="s">
        <v>10214</v>
      </c>
      <c r="AK1116" t="s">
        <v>10838</v>
      </c>
      <c r="AL1116">
        <v>1.7</v>
      </c>
      <c r="AM1116" t="s">
        <v>10884</v>
      </c>
      <c r="AN1116" t="s">
        <v>10918</v>
      </c>
      <c r="AO1116" t="s">
        <v>11001</v>
      </c>
      <c r="AP1116" t="s">
        <v>11055</v>
      </c>
      <c r="AR1116" t="s">
        <v>11274</v>
      </c>
      <c r="AS1116" t="s">
        <v>9926</v>
      </c>
      <c r="AT1116" t="s">
        <v>11642</v>
      </c>
      <c r="AX1116" t="s">
        <v>10838</v>
      </c>
      <c r="AY1116" t="s">
        <v>10829</v>
      </c>
      <c r="AZ1116" t="s">
        <v>11681</v>
      </c>
      <c r="BA1116" t="s">
        <v>11742</v>
      </c>
      <c r="BB1116">
        <v>0</v>
      </c>
      <c r="BC1116">
        <v>0</v>
      </c>
      <c r="BD1116">
        <v>0</v>
      </c>
      <c r="BE1116">
        <v>0</v>
      </c>
      <c r="BF1116">
        <v>7</v>
      </c>
      <c r="BG1116">
        <v>0</v>
      </c>
    </row>
    <row r="1117" spans="1:59">
      <c r="A1117" s="1">
        <f>HYPERLINK("https://lsnyc.legalserver.org/matter/dynamic-profile/view/1904940","19-1904940")</f>
        <v>0</v>
      </c>
      <c r="B1117" t="s">
        <v>1047</v>
      </c>
      <c r="C1117" t="s">
        <v>5918</v>
      </c>
      <c r="D1117" t="s">
        <v>9925</v>
      </c>
      <c r="E1117" t="s">
        <v>10075</v>
      </c>
      <c r="F1117">
        <v>10026</v>
      </c>
      <c r="G1117" t="s">
        <v>10089</v>
      </c>
      <c r="H1117" t="s">
        <v>10124</v>
      </c>
      <c r="I1117" t="s">
        <v>10168</v>
      </c>
      <c r="J1117" t="s">
        <v>10209</v>
      </c>
      <c r="K1117" t="s">
        <v>10217</v>
      </c>
      <c r="M1117" t="s">
        <v>10509</v>
      </c>
      <c r="N1117" t="s">
        <v>10702</v>
      </c>
      <c r="P1117" t="s">
        <v>10749</v>
      </c>
      <c r="Q1117" t="s">
        <v>10767</v>
      </c>
      <c r="R1117" t="s">
        <v>10824</v>
      </c>
      <c r="T1117">
        <v>18000</v>
      </c>
      <c r="U1117">
        <v>1500</v>
      </c>
      <c r="V1117">
        <v>29</v>
      </c>
      <c r="W1117">
        <v>3</v>
      </c>
      <c r="X1117">
        <v>0</v>
      </c>
      <c r="Z1117">
        <v>84.39</v>
      </c>
      <c r="AA1117">
        <v>40.799499</v>
      </c>
      <c r="AB1117">
        <v>-73.950838</v>
      </c>
      <c r="AD1117" t="s">
        <v>10840</v>
      </c>
      <c r="AG1117" t="s">
        <v>10858</v>
      </c>
      <c r="AH1117" t="s">
        <v>10862</v>
      </c>
      <c r="AI1117">
        <v>236</v>
      </c>
      <c r="AJ1117" t="s">
        <v>10209</v>
      </c>
      <c r="AL1117">
        <v>4</v>
      </c>
      <c r="AM1117" t="s">
        <v>10887</v>
      </c>
      <c r="AN1117" t="s">
        <v>10926</v>
      </c>
      <c r="AO1117" t="s">
        <v>11016</v>
      </c>
      <c r="AP1117" t="s">
        <v>11076</v>
      </c>
      <c r="AR1117" t="s">
        <v>11328</v>
      </c>
      <c r="AS1117" t="s">
        <v>9925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</row>
    <row r="1118" spans="1:59">
      <c r="A1118" s="1">
        <f>HYPERLINK("https://lsnyc.legalserver.org/matter/dynamic-profile/view/1904941","19-1904941")</f>
        <v>0</v>
      </c>
      <c r="B1118" t="s">
        <v>1048</v>
      </c>
      <c r="C1118" t="s">
        <v>5453</v>
      </c>
      <c r="D1118" t="s">
        <v>9928</v>
      </c>
      <c r="E1118" t="s">
        <v>10075</v>
      </c>
      <c r="F1118">
        <v>11221</v>
      </c>
      <c r="G1118" t="s">
        <v>10093</v>
      </c>
      <c r="H1118" t="s">
        <v>10124</v>
      </c>
      <c r="I1118" t="s">
        <v>10168</v>
      </c>
      <c r="J1118" t="s">
        <v>10213</v>
      </c>
      <c r="K1118" t="s">
        <v>10217</v>
      </c>
      <c r="M1118" t="s">
        <v>10368</v>
      </c>
      <c r="N1118" t="s">
        <v>10650</v>
      </c>
      <c r="P1118" t="s">
        <v>10752</v>
      </c>
      <c r="Q1118" t="s">
        <v>10762</v>
      </c>
      <c r="R1118" t="s">
        <v>10824</v>
      </c>
      <c r="T1118">
        <v>45000</v>
      </c>
      <c r="U1118">
        <v>3750</v>
      </c>
      <c r="V1118">
        <v>32</v>
      </c>
      <c r="W1118">
        <v>1</v>
      </c>
      <c r="X1118">
        <v>1</v>
      </c>
      <c r="Z1118">
        <v>266.11</v>
      </c>
      <c r="AA1118">
        <v>40.692299</v>
      </c>
      <c r="AB1118">
        <v>-73.938599</v>
      </c>
      <c r="AD1118" t="s">
        <v>10839</v>
      </c>
      <c r="AG1118" t="s">
        <v>10858</v>
      </c>
      <c r="AH1118" t="s">
        <v>10862</v>
      </c>
      <c r="AI1118">
        <v>239</v>
      </c>
      <c r="AJ1118" t="s">
        <v>10213</v>
      </c>
      <c r="AL1118">
        <v>6.5</v>
      </c>
      <c r="AM1118" t="s">
        <v>10889</v>
      </c>
      <c r="AN1118" t="s">
        <v>10914</v>
      </c>
      <c r="AO1118" t="s">
        <v>11011</v>
      </c>
      <c r="AP1118" t="s">
        <v>11052</v>
      </c>
      <c r="AR1118" t="s">
        <v>11257</v>
      </c>
      <c r="AS1118" t="s">
        <v>11595</v>
      </c>
      <c r="AT1118" t="s">
        <v>11641</v>
      </c>
      <c r="AX1118" t="s">
        <v>10838</v>
      </c>
      <c r="BA1118" t="s">
        <v>11744</v>
      </c>
      <c r="BB1118">
        <v>0</v>
      </c>
      <c r="BC1118">
        <v>0</v>
      </c>
      <c r="BD1118">
        <v>0</v>
      </c>
      <c r="BE1118">
        <v>0</v>
      </c>
      <c r="BF1118">
        <v>6</v>
      </c>
      <c r="BG1118">
        <v>0</v>
      </c>
    </row>
    <row r="1119" spans="1:59">
      <c r="A1119" s="1">
        <f>HYPERLINK("https://lsnyc.legalserver.org/matter/dynamic-profile/view/1904942","19-1904942")</f>
        <v>0</v>
      </c>
      <c r="B1119" t="s">
        <v>1049</v>
      </c>
      <c r="D1119" t="s">
        <v>9928</v>
      </c>
      <c r="E1119" t="s">
        <v>10075</v>
      </c>
      <c r="F1119">
        <v>11207</v>
      </c>
      <c r="G1119" t="s">
        <v>10093</v>
      </c>
      <c r="H1119" t="s">
        <v>10124</v>
      </c>
      <c r="I1119" t="s">
        <v>10169</v>
      </c>
      <c r="J1119" t="s">
        <v>10213</v>
      </c>
      <c r="K1119" t="s">
        <v>10217</v>
      </c>
      <c r="M1119" t="s">
        <v>10521</v>
      </c>
      <c r="N1119" t="s">
        <v>10688</v>
      </c>
      <c r="P1119" t="s">
        <v>10754</v>
      </c>
      <c r="Q1119" t="s">
        <v>10770</v>
      </c>
      <c r="R1119" t="s">
        <v>10821</v>
      </c>
      <c r="T1119">
        <v>17000</v>
      </c>
      <c r="U1119">
        <v>1416.67</v>
      </c>
      <c r="V1119">
        <v>37</v>
      </c>
      <c r="W1119">
        <v>1</v>
      </c>
      <c r="X1119">
        <v>2</v>
      </c>
      <c r="Z1119">
        <v>79.7</v>
      </c>
      <c r="AA1119">
        <v>0</v>
      </c>
      <c r="AB1119">
        <v>0</v>
      </c>
      <c r="AD1119" t="s">
        <v>10839</v>
      </c>
      <c r="AG1119" t="s">
        <v>10858</v>
      </c>
      <c r="AH1119" t="s">
        <v>10865</v>
      </c>
      <c r="AI1119">
        <v>239</v>
      </c>
      <c r="AJ1119" t="s">
        <v>10213</v>
      </c>
      <c r="AL1119">
        <v>1</v>
      </c>
      <c r="AR1119" t="s">
        <v>11257</v>
      </c>
      <c r="AS1119" t="s">
        <v>11595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</row>
    <row r="1120" spans="1:59">
      <c r="A1120" s="1">
        <f>HYPERLINK("https://lsnyc.legalserver.org/matter/dynamic-profile/view/1904943","19-1904943")</f>
        <v>0</v>
      </c>
      <c r="B1120" t="s">
        <v>1050</v>
      </c>
      <c r="C1120" t="s">
        <v>5919</v>
      </c>
      <c r="D1120" t="s">
        <v>9927</v>
      </c>
      <c r="E1120" t="s">
        <v>10075</v>
      </c>
      <c r="F1120">
        <v>11377</v>
      </c>
      <c r="G1120" t="s">
        <v>10092</v>
      </c>
      <c r="H1120" t="s">
        <v>10124</v>
      </c>
      <c r="I1120" t="s">
        <v>10168</v>
      </c>
      <c r="J1120" t="s">
        <v>10212</v>
      </c>
      <c r="K1120" t="s">
        <v>10217</v>
      </c>
      <c r="M1120" t="s">
        <v>10329</v>
      </c>
      <c r="N1120" t="s">
        <v>10711</v>
      </c>
      <c r="P1120" t="s">
        <v>10749</v>
      </c>
      <c r="Q1120" t="s">
        <v>10767</v>
      </c>
      <c r="R1120" t="s">
        <v>10824</v>
      </c>
      <c r="T1120">
        <v>26592</v>
      </c>
      <c r="U1120">
        <v>2216</v>
      </c>
      <c r="V1120">
        <v>38</v>
      </c>
      <c r="W1120">
        <v>1</v>
      </c>
      <c r="X1120">
        <v>2</v>
      </c>
      <c r="Z1120">
        <v>124.67</v>
      </c>
      <c r="AA1120">
        <v>40.756846</v>
      </c>
      <c r="AB1120">
        <v>-73.908225</v>
      </c>
      <c r="AD1120" t="s">
        <v>10839</v>
      </c>
      <c r="AG1120" t="s">
        <v>10858</v>
      </c>
      <c r="AH1120" t="s">
        <v>10862</v>
      </c>
      <c r="AI1120">
        <v>237</v>
      </c>
      <c r="AJ1120" t="s">
        <v>10212</v>
      </c>
      <c r="AL1120">
        <v>5.25</v>
      </c>
      <c r="AM1120" t="s">
        <v>10885</v>
      </c>
      <c r="AN1120" t="s">
        <v>10935</v>
      </c>
      <c r="AO1120" t="s">
        <v>11014</v>
      </c>
      <c r="AP1120" t="s">
        <v>11047</v>
      </c>
      <c r="AR1120" t="s">
        <v>11263</v>
      </c>
      <c r="AS1120" t="s">
        <v>11594</v>
      </c>
      <c r="BA1120" t="s">
        <v>11740</v>
      </c>
      <c r="BB1120">
        <v>0</v>
      </c>
      <c r="BC1120">
        <v>0</v>
      </c>
      <c r="BD1120">
        <v>0</v>
      </c>
      <c r="BE1120">
        <v>0</v>
      </c>
      <c r="BF1120">
        <v>2</v>
      </c>
      <c r="BG1120">
        <v>0</v>
      </c>
    </row>
    <row r="1121" spans="1:59">
      <c r="A1121" s="1">
        <f>HYPERLINK("https://lsnyc.legalserver.org/matter/dynamic-profile/view/1904944","19-1904944")</f>
        <v>0</v>
      </c>
      <c r="B1121" t="s">
        <v>1051</v>
      </c>
      <c r="C1121" t="s">
        <v>5601</v>
      </c>
      <c r="D1121" t="s">
        <v>9926</v>
      </c>
      <c r="E1121" t="s">
        <v>10075</v>
      </c>
      <c r="F1121">
        <v>10453</v>
      </c>
      <c r="G1121" t="s">
        <v>10090</v>
      </c>
      <c r="H1121" t="s">
        <v>10124</v>
      </c>
      <c r="I1121" t="s">
        <v>10169</v>
      </c>
      <c r="J1121" t="s">
        <v>10210</v>
      </c>
      <c r="K1121" t="s">
        <v>10217</v>
      </c>
      <c r="M1121" t="s">
        <v>10463</v>
      </c>
      <c r="N1121" t="s">
        <v>10650</v>
      </c>
      <c r="P1121" t="s">
        <v>10749</v>
      </c>
      <c r="Q1121" t="s">
        <v>10765</v>
      </c>
      <c r="R1121" t="s">
        <v>10821</v>
      </c>
      <c r="T1121">
        <v>20800</v>
      </c>
      <c r="U1121">
        <v>1733.33</v>
      </c>
      <c r="V1121">
        <v>48</v>
      </c>
      <c r="W1121">
        <v>3</v>
      </c>
      <c r="X1121">
        <v>2</v>
      </c>
      <c r="Z1121">
        <v>70.7</v>
      </c>
      <c r="AA1121">
        <v>40.846849</v>
      </c>
      <c r="AB1121">
        <v>-73.90953500000001</v>
      </c>
      <c r="AD1121" t="s">
        <v>10822</v>
      </c>
      <c r="AG1121" t="s">
        <v>10858</v>
      </c>
      <c r="AH1121" t="s">
        <v>10862</v>
      </c>
      <c r="AI1121">
        <v>230</v>
      </c>
      <c r="AJ1121" t="s">
        <v>10210</v>
      </c>
      <c r="AL1121">
        <v>0</v>
      </c>
      <c r="AM1121" t="s">
        <v>10884</v>
      </c>
      <c r="AN1121" t="s">
        <v>10931</v>
      </c>
      <c r="AO1121" t="s">
        <v>11000</v>
      </c>
      <c r="AP1121" t="s">
        <v>11045</v>
      </c>
      <c r="AR1121" t="s">
        <v>11257</v>
      </c>
      <c r="AS1121" t="s">
        <v>9926</v>
      </c>
      <c r="BA1121" t="s">
        <v>11739</v>
      </c>
      <c r="BB1121">
        <v>0</v>
      </c>
      <c r="BC1121">
        <v>0</v>
      </c>
      <c r="BD1121">
        <v>0</v>
      </c>
      <c r="BE1121">
        <v>0</v>
      </c>
      <c r="BF1121">
        <v>4</v>
      </c>
      <c r="BG1121">
        <v>0</v>
      </c>
    </row>
    <row r="1122" spans="1:59">
      <c r="A1122" s="1">
        <f>HYPERLINK("https://lsnyc.legalserver.org/matter/dynamic-profile/view/1904945","19-1904945")</f>
        <v>0</v>
      </c>
      <c r="B1122" t="s">
        <v>1052</v>
      </c>
      <c r="C1122" t="s">
        <v>5920</v>
      </c>
      <c r="D1122" t="s">
        <v>9929</v>
      </c>
      <c r="E1122" t="s">
        <v>10075</v>
      </c>
      <c r="F1122">
        <v>10305</v>
      </c>
      <c r="G1122" t="s">
        <v>10088</v>
      </c>
      <c r="H1122" t="s">
        <v>10124</v>
      </c>
      <c r="I1122" t="s">
        <v>10168</v>
      </c>
      <c r="J1122" t="s">
        <v>10208</v>
      </c>
      <c r="K1122" t="s">
        <v>10217</v>
      </c>
      <c r="M1122" t="s">
        <v>10237</v>
      </c>
      <c r="N1122" t="s">
        <v>10701</v>
      </c>
      <c r="P1122" t="s">
        <v>10754</v>
      </c>
      <c r="Q1122" t="s">
        <v>10777</v>
      </c>
      <c r="R1122" t="s">
        <v>10822</v>
      </c>
      <c r="T1122">
        <v>55000</v>
      </c>
      <c r="U1122">
        <v>4583.33</v>
      </c>
      <c r="V1122">
        <v>33</v>
      </c>
      <c r="W1122">
        <v>2</v>
      </c>
      <c r="X1122">
        <v>1</v>
      </c>
      <c r="Z1122">
        <v>257.85</v>
      </c>
      <c r="AA1122">
        <v>40.616375</v>
      </c>
      <c r="AB1122">
        <v>-74.065206</v>
      </c>
      <c r="AD1122" t="s">
        <v>10839</v>
      </c>
      <c r="AG1122" t="s">
        <v>10858</v>
      </c>
      <c r="AH1122" t="s">
        <v>10861</v>
      </c>
      <c r="AI1122">
        <v>285</v>
      </c>
      <c r="AJ1122" t="s">
        <v>10208</v>
      </c>
      <c r="AL1122">
        <v>0.6</v>
      </c>
      <c r="AM1122" t="s">
        <v>10883</v>
      </c>
      <c r="AN1122" t="s">
        <v>10915</v>
      </c>
      <c r="AO1122" t="s">
        <v>11006</v>
      </c>
      <c r="AP1122" t="s">
        <v>11051</v>
      </c>
      <c r="AR1122" t="s">
        <v>11257</v>
      </c>
      <c r="AS1122" t="s">
        <v>11593</v>
      </c>
      <c r="AT1122" t="s">
        <v>11641</v>
      </c>
      <c r="AX1122" t="s">
        <v>10838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</row>
    <row r="1123" spans="1:59">
      <c r="A1123" s="1">
        <f>HYPERLINK("https://lsnyc.legalserver.org/matter/dynamic-profile/view/1904946","19-1904946")</f>
        <v>0</v>
      </c>
      <c r="B1123" t="s">
        <v>535</v>
      </c>
      <c r="C1123" t="s">
        <v>5921</v>
      </c>
      <c r="D1123" t="s">
        <v>9938</v>
      </c>
      <c r="E1123" t="s">
        <v>10075</v>
      </c>
      <c r="F1123">
        <v>11434</v>
      </c>
      <c r="G1123" t="s">
        <v>10092</v>
      </c>
      <c r="H1123" t="s">
        <v>10124</v>
      </c>
      <c r="I1123" t="s">
        <v>10168</v>
      </c>
      <c r="J1123" t="s">
        <v>10212</v>
      </c>
      <c r="K1123" t="s">
        <v>10218</v>
      </c>
      <c r="L1123" t="s">
        <v>10106</v>
      </c>
      <c r="M1123" t="s">
        <v>10369</v>
      </c>
      <c r="N1123" t="s">
        <v>10693</v>
      </c>
      <c r="P1123" t="s">
        <v>10749</v>
      </c>
      <c r="Q1123" t="s">
        <v>10767</v>
      </c>
      <c r="R1123" t="s">
        <v>10824</v>
      </c>
      <c r="T1123">
        <v>0</v>
      </c>
      <c r="U1123">
        <v>0</v>
      </c>
      <c r="V1123">
        <v>51</v>
      </c>
      <c r="W1123">
        <v>1</v>
      </c>
      <c r="X1123">
        <v>1</v>
      </c>
      <c r="Y1123" t="s">
        <v>10829</v>
      </c>
      <c r="Z1123">
        <v>0</v>
      </c>
      <c r="AA1123">
        <v>40.676485</v>
      </c>
      <c r="AB1123">
        <v>-73.775977</v>
      </c>
      <c r="AD1123" t="s">
        <v>10839</v>
      </c>
      <c r="AG1123" t="s">
        <v>10858</v>
      </c>
      <c r="AH1123" t="s">
        <v>10862</v>
      </c>
      <c r="AI1123">
        <v>237</v>
      </c>
      <c r="AJ1123" t="s">
        <v>10212</v>
      </c>
      <c r="AK1123" t="s">
        <v>10838</v>
      </c>
      <c r="AL1123">
        <v>2.15</v>
      </c>
      <c r="AM1123" t="s">
        <v>10892</v>
      </c>
      <c r="AN1123" t="s">
        <v>10951</v>
      </c>
      <c r="AO1123" t="s">
        <v>11017</v>
      </c>
      <c r="AP1123" t="s">
        <v>11070</v>
      </c>
      <c r="AR1123" t="s">
        <v>11267</v>
      </c>
      <c r="AS1123" t="s">
        <v>11594</v>
      </c>
      <c r="AY1123" t="s">
        <v>10829</v>
      </c>
      <c r="AZ1123" t="s">
        <v>11681</v>
      </c>
      <c r="BA1123" t="s">
        <v>11741</v>
      </c>
      <c r="BB1123">
        <v>0</v>
      </c>
      <c r="BC1123">
        <v>0</v>
      </c>
      <c r="BD1123">
        <v>0</v>
      </c>
      <c r="BE1123">
        <v>0</v>
      </c>
      <c r="BF1123">
        <v>1</v>
      </c>
      <c r="BG1123">
        <v>0</v>
      </c>
    </row>
    <row r="1124" spans="1:59">
      <c r="A1124" s="1">
        <f>HYPERLINK("https://lsnyc.legalserver.org/matter/dynamic-profile/view/1904947","19-1904947")</f>
        <v>0</v>
      </c>
      <c r="B1124" t="s">
        <v>1048</v>
      </c>
      <c r="C1124" t="s">
        <v>5453</v>
      </c>
      <c r="D1124" t="s">
        <v>9928</v>
      </c>
      <c r="E1124" t="s">
        <v>10075</v>
      </c>
      <c r="F1124">
        <v>11221</v>
      </c>
      <c r="G1124" t="s">
        <v>10093</v>
      </c>
      <c r="H1124" t="s">
        <v>10124</v>
      </c>
      <c r="I1124" t="s">
        <v>10168</v>
      </c>
      <c r="J1124" t="s">
        <v>10213</v>
      </c>
      <c r="K1124" t="s">
        <v>10217</v>
      </c>
      <c r="M1124" t="s">
        <v>10368</v>
      </c>
      <c r="N1124" t="s">
        <v>10650</v>
      </c>
      <c r="P1124" t="s">
        <v>10749</v>
      </c>
      <c r="Q1124" t="s">
        <v>10769</v>
      </c>
      <c r="R1124" t="s">
        <v>10824</v>
      </c>
      <c r="T1124">
        <v>45000</v>
      </c>
      <c r="U1124">
        <v>3750</v>
      </c>
      <c r="V1124">
        <v>32</v>
      </c>
      <c r="W1124">
        <v>1</v>
      </c>
      <c r="X1124">
        <v>1</v>
      </c>
      <c r="Z1124">
        <v>266.11</v>
      </c>
      <c r="AA1124">
        <v>40.692299</v>
      </c>
      <c r="AB1124">
        <v>-73.938599</v>
      </c>
      <c r="AD1124" t="s">
        <v>10839</v>
      </c>
      <c r="AG1124" t="s">
        <v>10858</v>
      </c>
      <c r="AH1124" t="s">
        <v>10862</v>
      </c>
      <c r="AI1124">
        <v>239</v>
      </c>
      <c r="AJ1124" t="s">
        <v>10213</v>
      </c>
      <c r="AL1124">
        <v>0</v>
      </c>
      <c r="AM1124" t="s">
        <v>10889</v>
      </c>
      <c r="AN1124" t="s">
        <v>10914</v>
      </c>
      <c r="AO1124" t="s">
        <v>11011</v>
      </c>
      <c r="AP1124" t="s">
        <v>11052</v>
      </c>
      <c r="AR1124" t="s">
        <v>11257</v>
      </c>
      <c r="AS1124" t="s">
        <v>11595</v>
      </c>
      <c r="AT1124" t="s">
        <v>11641</v>
      </c>
      <c r="AX1124" t="s">
        <v>10838</v>
      </c>
      <c r="BA1124" t="s">
        <v>11740</v>
      </c>
      <c r="BB1124">
        <v>0</v>
      </c>
      <c r="BC1124">
        <v>0</v>
      </c>
      <c r="BD1124">
        <v>0</v>
      </c>
      <c r="BE1124">
        <v>0</v>
      </c>
      <c r="BF1124">
        <v>2</v>
      </c>
      <c r="BG1124">
        <v>0</v>
      </c>
    </row>
    <row r="1125" spans="1:59">
      <c r="A1125" s="1">
        <f>HYPERLINK("https://lsnyc.legalserver.org/matter/dynamic-profile/view/1904948","19-1904948")</f>
        <v>0</v>
      </c>
      <c r="B1125" t="s">
        <v>1053</v>
      </c>
      <c r="C1125" t="s">
        <v>5922</v>
      </c>
      <c r="D1125" t="s">
        <v>9982</v>
      </c>
      <c r="E1125" t="s">
        <v>10075</v>
      </c>
      <c r="F1125">
        <v>11375</v>
      </c>
      <c r="G1125" t="s">
        <v>10092</v>
      </c>
      <c r="H1125" t="s">
        <v>10124</v>
      </c>
      <c r="I1125" t="s">
        <v>10168</v>
      </c>
      <c r="J1125" t="s">
        <v>10212</v>
      </c>
      <c r="K1125" t="s">
        <v>10217</v>
      </c>
      <c r="M1125" t="s">
        <v>10422</v>
      </c>
      <c r="N1125" t="s">
        <v>10673</v>
      </c>
      <c r="P1125" t="s">
        <v>10753</v>
      </c>
      <c r="Q1125" t="s">
        <v>10763</v>
      </c>
      <c r="R1125" t="s">
        <v>10827</v>
      </c>
      <c r="T1125">
        <v>30000</v>
      </c>
      <c r="U1125">
        <v>2500</v>
      </c>
      <c r="V1125">
        <v>41</v>
      </c>
      <c r="W1125">
        <v>2</v>
      </c>
      <c r="X1125">
        <v>3</v>
      </c>
      <c r="Z1125">
        <v>99.44</v>
      </c>
      <c r="AA1125">
        <v>40.736005</v>
      </c>
      <c r="AB1125">
        <v>-73.849174</v>
      </c>
      <c r="AD1125" t="s">
        <v>10840</v>
      </c>
      <c r="AF1125" t="s">
        <v>10844</v>
      </c>
      <c r="AG1125" t="s">
        <v>10859</v>
      </c>
      <c r="AH1125" t="s">
        <v>10861</v>
      </c>
      <c r="AI1125">
        <v>234</v>
      </c>
      <c r="AJ1125" t="s">
        <v>10214</v>
      </c>
      <c r="AL1125">
        <v>9.6</v>
      </c>
      <c r="AM1125" t="s">
        <v>10890</v>
      </c>
      <c r="AN1125" t="s">
        <v>10962</v>
      </c>
      <c r="AO1125" t="s">
        <v>11009</v>
      </c>
      <c r="AP1125" t="s">
        <v>11083</v>
      </c>
      <c r="AQ1125" t="s">
        <v>11119</v>
      </c>
      <c r="AR1125" t="s">
        <v>11257</v>
      </c>
      <c r="AS1125" t="s">
        <v>11594</v>
      </c>
      <c r="AT1125" t="s">
        <v>11642</v>
      </c>
      <c r="AX1125" t="s">
        <v>10838</v>
      </c>
      <c r="BA1125" t="s">
        <v>11743</v>
      </c>
      <c r="BB1125">
        <v>0</v>
      </c>
      <c r="BC1125">
        <v>0</v>
      </c>
      <c r="BD1125">
        <v>0</v>
      </c>
      <c r="BE1125">
        <v>0</v>
      </c>
      <c r="BF1125">
        <v>40</v>
      </c>
      <c r="BG1125">
        <v>0</v>
      </c>
    </row>
    <row r="1126" spans="1:59">
      <c r="A1126" s="1">
        <f>HYPERLINK("https://lsnyc.legalserver.org/matter/dynamic-profile/view/1904949","19-1904949")</f>
        <v>0</v>
      </c>
      <c r="B1126" t="s">
        <v>1054</v>
      </c>
      <c r="C1126" t="s">
        <v>5923</v>
      </c>
      <c r="D1126" t="s">
        <v>9926</v>
      </c>
      <c r="E1126" t="s">
        <v>10075</v>
      </c>
      <c r="F1126">
        <v>10454</v>
      </c>
      <c r="G1126" t="s">
        <v>10090</v>
      </c>
      <c r="H1126" t="s">
        <v>10124</v>
      </c>
      <c r="I1126" t="s">
        <v>10169</v>
      </c>
      <c r="J1126" t="s">
        <v>10210</v>
      </c>
      <c r="K1126" t="s">
        <v>10218</v>
      </c>
      <c r="L1126" t="s">
        <v>10098</v>
      </c>
      <c r="M1126" t="s">
        <v>10424</v>
      </c>
      <c r="N1126" t="s">
        <v>10679</v>
      </c>
      <c r="P1126" t="s">
        <v>10753</v>
      </c>
      <c r="Q1126" t="s">
        <v>10763</v>
      </c>
      <c r="R1126" t="s">
        <v>10823</v>
      </c>
      <c r="T1126">
        <v>0</v>
      </c>
      <c r="U1126">
        <v>0</v>
      </c>
      <c r="V1126">
        <v>19</v>
      </c>
      <c r="W1126">
        <v>2</v>
      </c>
      <c r="X1126">
        <v>0</v>
      </c>
      <c r="Y1126" t="s">
        <v>10833</v>
      </c>
      <c r="Z1126">
        <v>0</v>
      </c>
      <c r="AA1126">
        <v>40.809812</v>
      </c>
      <c r="AB1126">
        <v>-73.91768</v>
      </c>
      <c r="AD1126" t="s">
        <v>10839</v>
      </c>
      <c r="AF1126" t="s">
        <v>10842</v>
      </c>
      <c r="AG1126" t="s">
        <v>10859</v>
      </c>
      <c r="AH1126" t="s">
        <v>10864</v>
      </c>
      <c r="AI1126">
        <v>230</v>
      </c>
      <c r="AJ1126" t="s">
        <v>10210</v>
      </c>
      <c r="AK1126" t="s">
        <v>10837</v>
      </c>
      <c r="AL1126">
        <v>4.35</v>
      </c>
      <c r="AM1126" t="s">
        <v>10884</v>
      </c>
      <c r="AN1126" t="s">
        <v>10924</v>
      </c>
      <c r="AO1126" t="s">
        <v>11013</v>
      </c>
      <c r="AP1126" t="s">
        <v>11066</v>
      </c>
      <c r="AQ1126" t="s">
        <v>11109</v>
      </c>
      <c r="AR1126" t="s">
        <v>11267</v>
      </c>
      <c r="AS1126" t="s">
        <v>9926</v>
      </c>
      <c r="AT1126" t="s">
        <v>11641</v>
      </c>
      <c r="AV1126" t="s">
        <v>11656</v>
      </c>
      <c r="AW1126" t="s">
        <v>11645</v>
      </c>
      <c r="AY1126" t="s">
        <v>10833</v>
      </c>
      <c r="AZ1126" t="s">
        <v>11711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</row>
    <row r="1127" spans="1:59">
      <c r="A1127" s="1">
        <f>HYPERLINK("https://lsnyc.legalserver.org/matter/dynamic-profile/view/1904950","19-1904950")</f>
        <v>0</v>
      </c>
      <c r="B1127" t="s">
        <v>1004</v>
      </c>
      <c r="C1127" t="s">
        <v>5829</v>
      </c>
      <c r="D1127" t="s">
        <v>9926</v>
      </c>
      <c r="E1127" t="s">
        <v>10075</v>
      </c>
      <c r="F1127">
        <v>10467</v>
      </c>
      <c r="G1127" t="s">
        <v>10090</v>
      </c>
      <c r="H1127" t="s">
        <v>10124</v>
      </c>
      <c r="I1127" t="s">
        <v>10168</v>
      </c>
      <c r="J1127" t="s">
        <v>10210</v>
      </c>
      <c r="K1127" t="s">
        <v>10217</v>
      </c>
      <c r="M1127" t="s">
        <v>10415</v>
      </c>
      <c r="N1127" t="s">
        <v>10671</v>
      </c>
      <c r="P1127" t="s">
        <v>10751</v>
      </c>
      <c r="Q1127" t="s">
        <v>10761</v>
      </c>
      <c r="R1127" t="s">
        <v>10824</v>
      </c>
      <c r="T1127">
        <v>9620</v>
      </c>
      <c r="U1127">
        <v>801.67</v>
      </c>
      <c r="V1127">
        <v>55</v>
      </c>
      <c r="W1127">
        <v>1</v>
      </c>
      <c r="X1127">
        <v>0</v>
      </c>
      <c r="Z1127">
        <v>77.02</v>
      </c>
      <c r="AA1127">
        <v>40.866793</v>
      </c>
      <c r="AB1127">
        <v>-73.868804</v>
      </c>
      <c r="AD1127" t="s">
        <v>10839</v>
      </c>
      <c r="AG1127" t="s">
        <v>10858</v>
      </c>
      <c r="AH1127" t="s">
        <v>10862</v>
      </c>
      <c r="AI1127">
        <v>230</v>
      </c>
      <c r="AJ1127" t="s">
        <v>10210</v>
      </c>
      <c r="AL1127">
        <v>0.5</v>
      </c>
      <c r="AR1127" t="s">
        <v>11257</v>
      </c>
      <c r="AS1127" t="s">
        <v>9926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</row>
    <row r="1128" spans="1:59">
      <c r="A1128" s="1">
        <f>HYPERLINK("https://lsnyc.legalserver.org/matter/dynamic-profile/view/1904952","19-1904952")</f>
        <v>0</v>
      </c>
      <c r="B1128" t="s">
        <v>1055</v>
      </c>
      <c r="C1128" t="s">
        <v>5924</v>
      </c>
      <c r="D1128" t="s">
        <v>9926</v>
      </c>
      <c r="E1128" t="s">
        <v>10075</v>
      </c>
      <c r="F1128">
        <v>10467</v>
      </c>
      <c r="G1128" t="s">
        <v>10090</v>
      </c>
      <c r="H1128" t="s">
        <v>10124</v>
      </c>
      <c r="I1128" t="s">
        <v>10169</v>
      </c>
      <c r="J1128" t="s">
        <v>10210</v>
      </c>
      <c r="K1128" t="s">
        <v>10217</v>
      </c>
      <c r="M1128" t="s">
        <v>10399</v>
      </c>
      <c r="N1128" t="s">
        <v>10651</v>
      </c>
      <c r="P1128" t="s">
        <v>10749</v>
      </c>
      <c r="Q1128" t="s">
        <v>10765</v>
      </c>
      <c r="R1128" t="s">
        <v>10823</v>
      </c>
      <c r="T1128">
        <v>5070</v>
      </c>
      <c r="U1128">
        <v>422.5</v>
      </c>
      <c r="V1128">
        <v>50</v>
      </c>
      <c r="W1128">
        <v>2</v>
      </c>
      <c r="X1128">
        <v>1</v>
      </c>
      <c r="Z1128">
        <v>23.77</v>
      </c>
      <c r="AA1128">
        <v>40.882945</v>
      </c>
      <c r="AB1128">
        <v>-73.88017600000001</v>
      </c>
      <c r="AD1128" t="s">
        <v>10839</v>
      </c>
      <c r="AF1128" t="s">
        <v>10843</v>
      </c>
      <c r="AG1128" t="s">
        <v>10859</v>
      </c>
      <c r="AH1128" t="s">
        <v>10861</v>
      </c>
      <c r="AI1128">
        <v>230</v>
      </c>
      <c r="AJ1128" t="s">
        <v>10210</v>
      </c>
      <c r="AL1128">
        <v>8.5</v>
      </c>
      <c r="AM1128" t="s">
        <v>10887</v>
      </c>
      <c r="AN1128" t="s">
        <v>10919</v>
      </c>
      <c r="AO1128" t="s">
        <v>11010</v>
      </c>
      <c r="AP1128" t="s">
        <v>11057</v>
      </c>
      <c r="AR1128" t="s">
        <v>11255</v>
      </c>
      <c r="AS1128" t="s">
        <v>9926</v>
      </c>
      <c r="AT1128" t="s">
        <v>11641</v>
      </c>
      <c r="AX1128" t="s">
        <v>10838</v>
      </c>
      <c r="BA1128" t="s">
        <v>11738</v>
      </c>
      <c r="BB1128">
        <v>0</v>
      </c>
      <c r="BC1128">
        <v>0</v>
      </c>
      <c r="BD1128">
        <v>0</v>
      </c>
      <c r="BE1128">
        <v>0</v>
      </c>
      <c r="BF1128">
        <v>5</v>
      </c>
      <c r="BG1128">
        <v>0</v>
      </c>
    </row>
    <row r="1129" spans="1:59">
      <c r="A1129" s="1">
        <f>HYPERLINK("https://lsnyc.legalserver.org/matter/dynamic-profile/view/1904953","19-1904953")</f>
        <v>0</v>
      </c>
      <c r="B1129" t="s">
        <v>1056</v>
      </c>
      <c r="C1129" t="s">
        <v>5922</v>
      </c>
      <c r="D1129" t="s">
        <v>9982</v>
      </c>
      <c r="E1129" t="s">
        <v>10075</v>
      </c>
      <c r="F1129">
        <v>11375</v>
      </c>
      <c r="G1129" t="s">
        <v>10092</v>
      </c>
      <c r="H1129" t="s">
        <v>10124</v>
      </c>
      <c r="I1129" t="s">
        <v>10168</v>
      </c>
      <c r="J1129" t="s">
        <v>10212</v>
      </c>
      <c r="K1129" t="s">
        <v>10217</v>
      </c>
      <c r="M1129" t="s">
        <v>10355</v>
      </c>
      <c r="N1129" t="s">
        <v>10671</v>
      </c>
      <c r="P1129" t="s">
        <v>10753</v>
      </c>
      <c r="Q1129" t="s">
        <v>10763</v>
      </c>
      <c r="R1129" t="s">
        <v>10827</v>
      </c>
      <c r="T1129">
        <v>30000</v>
      </c>
      <c r="U1129">
        <v>2500</v>
      </c>
      <c r="V1129">
        <v>11</v>
      </c>
      <c r="W1129">
        <v>2</v>
      </c>
      <c r="X1129">
        <v>3</v>
      </c>
      <c r="Z1129">
        <v>99.44</v>
      </c>
      <c r="AA1129">
        <v>40.736005</v>
      </c>
      <c r="AB1129">
        <v>-73.849174</v>
      </c>
      <c r="AD1129" t="s">
        <v>10839</v>
      </c>
      <c r="AF1129" t="s">
        <v>10844</v>
      </c>
      <c r="AG1129" t="s">
        <v>10859</v>
      </c>
      <c r="AH1129" t="s">
        <v>10861</v>
      </c>
      <c r="AI1129">
        <v>234</v>
      </c>
      <c r="AJ1129" t="s">
        <v>10214</v>
      </c>
      <c r="AL1129">
        <v>3.1</v>
      </c>
      <c r="AM1129" t="s">
        <v>10890</v>
      </c>
      <c r="AN1129" t="s">
        <v>10962</v>
      </c>
      <c r="AO1129" t="s">
        <v>11009</v>
      </c>
      <c r="AP1129" t="s">
        <v>11083</v>
      </c>
      <c r="AR1129" t="s">
        <v>11257</v>
      </c>
      <c r="AS1129" t="s">
        <v>11594</v>
      </c>
      <c r="AT1129" t="s">
        <v>11641</v>
      </c>
      <c r="AX1129" t="s">
        <v>10838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</row>
    <row r="1130" spans="1:59">
      <c r="A1130" s="1">
        <f>HYPERLINK("https://lsnyc.legalserver.org/matter/dynamic-profile/view/1904954","19-1904954")</f>
        <v>0</v>
      </c>
      <c r="B1130" t="s">
        <v>1057</v>
      </c>
      <c r="C1130" t="s">
        <v>5922</v>
      </c>
      <c r="D1130" t="s">
        <v>9982</v>
      </c>
      <c r="E1130" t="s">
        <v>10075</v>
      </c>
      <c r="F1130">
        <v>11375</v>
      </c>
      <c r="G1130" t="s">
        <v>10092</v>
      </c>
      <c r="H1130" t="s">
        <v>10124</v>
      </c>
      <c r="I1130" t="s">
        <v>10179</v>
      </c>
      <c r="J1130" t="s">
        <v>10212</v>
      </c>
      <c r="K1130" t="s">
        <v>10217</v>
      </c>
      <c r="M1130" t="s">
        <v>10355</v>
      </c>
      <c r="N1130" t="s">
        <v>10671</v>
      </c>
      <c r="P1130" t="s">
        <v>10753</v>
      </c>
      <c r="Q1130" t="s">
        <v>10763</v>
      </c>
      <c r="R1130" t="s">
        <v>10827</v>
      </c>
      <c r="T1130">
        <v>30000</v>
      </c>
      <c r="U1130">
        <v>2500</v>
      </c>
      <c r="V1130">
        <v>42</v>
      </c>
      <c r="W1130">
        <v>2</v>
      </c>
      <c r="X1130">
        <v>3</v>
      </c>
      <c r="Z1130">
        <v>99.44</v>
      </c>
      <c r="AA1130">
        <v>40.736005</v>
      </c>
      <c r="AB1130">
        <v>-73.849174</v>
      </c>
      <c r="AD1130" t="s">
        <v>10839</v>
      </c>
      <c r="AF1130" t="s">
        <v>10844</v>
      </c>
      <c r="AG1130" t="s">
        <v>10859</v>
      </c>
      <c r="AH1130" t="s">
        <v>10861</v>
      </c>
      <c r="AI1130">
        <v>234</v>
      </c>
      <c r="AJ1130" t="s">
        <v>10214</v>
      </c>
      <c r="AL1130">
        <v>3.6</v>
      </c>
      <c r="AM1130" t="s">
        <v>10890</v>
      </c>
      <c r="AN1130" t="s">
        <v>10962</v>
      </c>
      <c r="AO1130" t="s">
        <v>11009</v>
      </c>
      <c r="AP1130" t="s">
        <v>11083</v>
      </c>
      <c r="AR1130" t="s">
        <v>11257</v>
      </c>
      <c r="AS1130" t="s">
        <v>11594</v>
      </c>
      <c r="AT1130" t="s">
        <v>11641</v>
      </c>
      <c r="AX1130" t="s">
        <v>10838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</row>
    <row r="1131" spans="1:59">
      <c r="A1131" s="1">
        <f>HYPERLINK("https://lsnyc.legalserver.org/matter/dynamic-profile/view/1904955","19-1904955")</f>
        <v>0</v>
      </c>
      <c r="B1131" t="s">
        <v>1051</v>
      </c>
      <c r="C1131" t="s">
        <v>5601</v>
      </c>
      <c r="D1131" t="s">
        <v>9926</v>
      </c>
      <c r="E1131" t="s">
        <v>10075</v>
      </c>
      <c r="F1131">
        <v>10453</v>
      </c>
      <c r="G1131" t="s">
        <v>10090</v>
      </c>
      <c r="H1131" t="s">
        <v>10124</v>
      </c>
      <c r="I1131" t="s">
        <v>10169</v>
      </c>
      <c r="J1131" t="s">
        <v>10210</v>
      </c>
      <c r="K1131" t="s">
        <v>10217</v>
      </c>
      <c r="M1131" t="s">
        <v>10463</v>
      </c>
      <c r="N1131" t="s">
        <v>10650</v>
      </c>
      <c r="P1131" t="s">
        <v>10749</v>
      </c>
      <c r="Q1131" t="s">
        <v>10765</v>
      </c>
      <c r="R1131" t="s">
        <v>10821</v>
      </c>
      <c r="T1131">
        <v>20800</v>
      </c>
      <c r="U1131">
        <v>1733.33</v>
      </c>
      <c r="V1131">
        <v>48</v>
      </c>
      <c r="W1131">
        <v>3</v>
      </c>
      <c r="X1131">
        <v>2</v>
      </c>
      <c r="Z1131">
        <v>68.94</v>
      </c>
      <c r="AA1131">
        <v>40.846849</v>
      </c>
      <c r="AB1131">
        <v>-73.90953500000001</v>
      </c>
      <c r="AD1131" t="s">
        <v>10822</v>
      </c>
      <c r="AG1131" t="s">
        <v>10858</v>
      </c>
      <c r="AH1131" t="s">
        <v>10862</v>
      </c>
      <c r="AI1131">
        <v>230</v>
      </c>
      <c r="AJ1131" t="s">
        <v>10210</v>
      </c>
      <c r="AL1131">
        <v>0</v>
      </c>
      <c r="AM1131" t="s">
        <v>10884</v>
      </c>
      <c r="AN1131" t="s">
        <v>10931</v>
      </c>
      <c r="AO1131" t="s">
        <v>11000</v>
      </c>
      <c r="AP1131" t="s">
        <v>11045</v>
      </c>
      <c r="AR1131" t="s">
        <v>11257</v>
      </c>
      <c r="AS1131" t="s">
        <v>9926</v>
      </c>
      <c r="BA1131" t="s">
        <v>11739</v>
      </c>
      <c r="BB1131">
        <v>0</v>
      </c>
      <c r="BC1131">
        <v>0</v>
      </c>
      <c r="BD1131">
        <v>0</v>
      </c>
      <c r="BE1131">
        <v>0</v>
      </c>
      <c r="BF1131">
        <v>4</v>
      </c>
      <c r="BG1131">
        <v>0</v>
      </c>
    </row>
    <row r="1132" spans="1:59">
      <c r="A1132" s="1">
        <f>HYPERLINK("https://lsnyc.legalserver.org/matter/dynamic-profile/view/1904956","19-1904956")</f>
        <v>0</v>
      </c>
      <c r="B1132" t="s">
        <v>926</v>
      </c>
      <c r="C1132" t="s">
        <v>5810</v>
      </c>
      <c r="D1132" t="s">
        <v>9926</v>
      </c>
      <c r="E1132" t="s">
        <v>10075</v>
      </c>
      <c r="F1132">
        <v>10460</v>
      </c>
      <c r="G1132" t="s">
        <v>10090</v>
      </c>
      <c r="H1132" t="s">
        <v>10124</v>
      </c>
      <c r="I1132" t="s">
        <v>10168</v>
      </c>
      <c r="J1132" t="s">
        <v>10210</v>
      </c>
      <c r="K1132" t="s">
        <v>10217</v>
      </c>
      <c r="M1132" t="s">
        <v>10367</v>
      </c>
      <c r="N1132" t="s">
        <v>10671</v>
      </c>
      <c r="P1132" t="s">
        <v>10751</v>
      </c>
      <c r="Q1132" t="s">
        <v>10761</v>
      </c>
      <c r="R1132" t="s">
        <v>10824</v>
      </c>
      <c r="T1132">
        <v>23244</v>
      </c>
      <c r="U1132">
        <v>1937</v>
      </c>
      <c r="V1132">
        <v>36</v>
      </c>
      <c r="W1132">
        <v>1</v>
      </c>
      <c r="X1132">
        <v>0</v>
      </c>
      <c r="Z1132">
        <v>186.1</v>
      </c>
      <c r="AA1132">
        <v>40.833219</v>
      </c>
      <c r="AB1132">
        <v>-73.888802</v>
      </c>
      <c r="AD1132" t="s">
        <v>10839</v>
      </c>
      <c r="AG1132" t="s">
        <v>10858</v>
      </c>
      <c r="AH1132" t="s">
        <v>10862</v>
      </c>
      <c r="AI1132">
        <v>230</v>
      </c>
      <c r="AJ1132" t="s">
        <v>10210</v>
      </c>
      <c r="AL1132">
        <v>0.5</v>
      </c>
      <c r="AR1132" t="s">
        <v>11293</v>
      </c>
      <c r="AS1132" t="s">
        <v>9926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</row>
    <row r="1133" spans="1:59">
      <c r="A1133" s="1">
        <f>HYPERLINK("https://lsnyc.legalserver.org/matter/dynamic-profile/view/1904957","19-1904957")</f>
        <v>0</v>
      </c>
      <c r="B1133" t="s">
        <v>1058</v>
      </c>
      <c r="C1133" t="s">
        <v>5925</v>
      </c>
      <c r="D1133" t="s">
        <v>9938</v>
      </c>
      <c r="E1133" t="s">
        <v>10075</v>
      </c>
      <c r="F1133">
        <v>11433</v>
      </c>
      <c r="G1133" t="s">
        <v>10092</v>
      </c>
      <c r="H1133" t="s">
        <v>10124</v>
      </c>
      <c r="I1133" t="s">
        <v>10168</v>
      </c>
      <c r="J1133" t="s">
        <v>10212</v>
      </c>
      <c r="K1133" t="s">
        <v>10218</v>
      </c>
      <c r="L1133" t="s">
        <v>10127</v>
      </c>
      <c r="M1133" t="s">
        <v>10360</v>
      </c>
      <c r="N1133" t="s">
        <v>10693</v>
      </c>
      <c r="P1133" t="s">
        <v>10749</v>
      </c>
      <c r="Q1133" t="s">
        <v>10765</v>
      </c>
      <c r="R1133" t="s">
        <v>10825</v>
      </c>
      <c r="T1133">
        <v>2379</v>
      </c>
      <c r="U1133">
        <v>198.25</v>
      </c>
      <c r="V1133">
        <v>55</v>
      </c>
      <c r="W1133">
        <v>1</v>
      </c>
      <c r="X1133">
        <v>0</v>
      </c>
      <c r="Y1133" t="s">
        <v>10829</v>
      </c>
      <c r="Z1133">
        <v>19.05</v>
      </c>
      <c r="AA1133">
        <v>40.700453</v>
      </c>
      <c r="AB1133">
        <v>-73.78706200000001</v>
      </c>
      <c r="AD1133" t="s">
        <v>10839</v>
      </c>
      <c r="AF1133" t="s">
        <v>10843</v>
      </c>
      <c r="AG1133" t="s">
        <v>10859</v>
      </c>
      <c r="AH1133" t="s">
        <v>10862</v>
      </c>
      <c r="AI1133">
        <v>237</v>
      </c>
      <c r="AJ1133" t="s">
        <v>10212</v>
      </c>
      <c r="AK1133" t="s">
        <v>10838</v>
      </c>
      <c r="AL1133">
        <v>2.5</v>
      </c>
      <c r="AM1133" t="s">
        <v>10892</v>
      </c>
      <c r="AN1133" t="s">
        <v>10955</v>
      </c>
      <c r="AO1133" t="s">
        <v>11020</v>
      </c>
      <c r="AP1133" t="s">
        <v>11075</v>
      </c>
      <c r="AR1133" t="s">
        <v>11306</v>
      </c>
      <c r="AS1133" t="s">
        <v>11594</v>
      </c>
      <c r="AY1133" t="s">
        <v>10829</v>
      </c>
      <c r="AZ1133" t="s">
        <v>11681</v>
      </c>
      <c r="BA1133" t="s">
        <v>11741</v>
      </c>
      <c r="BB1133">
        <v>0</v>
      </c>
      <c r="BC1133">
        <v>0</v>
      </c>
      <c r="BD1133">
        <v>0</v>
      </c>
      <c r="BE1133">
        <v>0</v>
      </c>
      <c r="BF1133">
        <v>1</v>
      </c>
      <c r="BG1133">
        <v>0</v>
      </c>
    </row>
    <row r="1134" spans="1:59">
      <c r="A1134" s="1">
        <f>HYPERLINK("https://lsnyc.legalserver.org/matter/dynamic-profile/view/1904958","19-1904958")</f>
        <v>0</v>
      </c>
      <c r="B1134" t="s">
        <v>1059</v>
      </c>
      <c r="C1134" t="s">
        <v>5926</v>
      </c>
      <c r="D1134" t="s">
        <v>9925</v>
      </c>
      <c r="E1134" t="s">
        <v>10075</v>
      </c>
      <c r="F1134">
        <v>10031</v>
      </c>
      <c r="G1134" t="s">
        <v>10089</v>
      </c>
      <c r="H1134" t="s">
        <v>10124</v>
      </c>
      <c r="I1134" t="s">
        <v>10169</v>
      </c>
      <c r="J1134" t="s">
        <v>10209</v>
      </c>
      <c r="K1134" t="s">
        <v>10217</v>
      </c>
      <c r="M1134" t="s">
        <v>10270</v>
      </c>
      <c r="N1134" t="s">
        <v>10670</v>
      </c>
      <c r="P1134" t="s">
        <v>10754</v>
      </c>
      <c r="Q1134" t="s">
        <v>10770</v>
      </c>
      <c r="R1134" t="s">
        <v>10821</v>
      </c>
      <c r="T1134">
        <v>13200</v>
      </c>
      <c r="U1134">
        <v>1100</v>
      </c>
      <c r="V1134">
        <v>37</v>
      </c>
      <c r="W1134">
        <v>1</v>
      </c>
      <c r="X1134">
        <v>1</v>
      </c>
      <c r="Z1134">
        <v>78.06</v>
      </c>
      <c r="AA1134">
        <v>40.830122</v>
      </c>
      <c r="AB1134">
        <v>-73.94721</v>
      </c>
      <c r="AD1134" t="s">
        <v>10839</v>
      </c>
      <c r="AG1134" t="s">
        <v>10858</v>
      </c>
      <c r="AH1134" t="s">
        <v>10865</v>
      </c>
      <c r="AI1134">
        <v>236</v>
      </c>
      <c r="AJ1134" t="s">
        <v>10209</v>
      </c>
      <c r="AK1134" t="s">
        <v>10837</v>
      </c>
      <c r="AL1134">
        <v>6.5</v>
      </c>
      <c r="AM1134" t="s">
        <v>10887</v>
      </c>
      <c r="AN1134" t="s">
        <v>10943</v>
      </c>
      <c r="AO1134" t="s">
        <v>11016</v>
      </c>
      <c r="AP1134" t="s">
        <v>11073</v>
      </c>
      <c r="AQ1134" t="s">
        <v>11152</v>
      </c>
      <c r="AR1134" t="s">
        <v>11295</v>
      </c>
      <c r="AS1134" t="s">
        <v>9925</v>
      </c>
      <c r="AT1134" t="s">
        <v>11641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</row>
    <row r="1135" spans="1:59">
      <c r="A1135" s="1">
        <f>HYPERLINK("https://lsnyc.legalserver.org/matter/dynamic-profile/view/1904959","19-1904959")</f>
        <v>0</v>
      </c>
      <c r="B1135" t="s">
        <v>948</v>
      </c>
      <c r="C1135" t="s">
        <v>5829</v>
      </c>
      <c r="D1135" t="s">
        <v>9926</v>
      </c>
      <c r="E1135" t="s">
        <v>10075</v>
      </c>
      <c r="F1135">
        <v>10467</v>
      </c>
      <c r="G1135" t="s">
        <v>10090</v>
      </c>
      <c r="H1135" t="s">
        <v>10124</v>
      </c>
      <c r="I1135" t="s">
        <v>10168</v>
      </c>
      <c r="J1135" t="s">
        <v>10210</v>
      </c>
      <c r="K1135" t="s">
        <v>10217</v>
      </c>
      <c r="M1135" t="s">
        <v>10287</v>
      </c>
      <c r="N1135" t="s">
        <v>10671</v>
      </c>
      <c r="P1135" t="s">
        <v>10751</v>
      </c>
      <c r="Q1135" t="s">
        <v>10761</v>
      </c>
      <c r="R1135" t="s">
        <v>10824</v>
      </c>
      <c r="T1135">
        <v>28000</v>
      </c>
      <c r="U1135">
        <v>2333.33</v>
      </c>
      <c r="V1135">
        <v>25</v>
      </c>
      <c r="W1135">
        <v>1</v>
      </c>
      <c r="X1135">
        <v>1</v>
      </c>
      <c r="Z1135">
        <v>165.58</v>
      </c>
      <c r="AA1135">
        <v>40.866793</v>
      </c>
      <c r="AB1135">
        <v>-73.868804</v>
      </c>
      <c r="AD1135" t="s">
        <v>10839</v>
      </c>
      <c r="AG1135" t="s">
        <v>10858</v>
      </c>
      <c r="AH1135" t="s">
        <v>10862</v>
      </c>
      <c r="AI1135">
        <v>230</v>
      </c>
      <c r="AJ1135" t="s">
        <v>10210</v>
      </c>
      <c r="AL1135">
        <v>1.5</v>
      </c>
      <c r="AR1135" t="s">
        <v>11257</v>
      </c>
      <c r="AS1135" t="s">
        <v>9926</v>
      </c>
      <c r="BA1135" t="s">
        <v>11737</v>
      </c>
      <c r="BB1135">
        <v>0</v>
      </c>
      <c r="BC1135">
        <v>0</v>
      </c>
      <c r="BD1135">
        <v>0</v>
      </c>
      <c r="BE1135">
        <v>0</v>
      </c>
      <c r="BF1135">
        <v>3</v>
      </c>
      <c r="BG1135">
        <v>0</v>
      </c>
    </row>
    <row r="1136" spans="1:59">
      <c r="A1136" s="1">
        <f>HYPERLINK("https://lsnyc.legalserver.org/matter/dynamic-profile/view/1904961","19-1904961")</f>
        <v>0</v>
      </c>
      <c r="B1136" t="s">
        <v>1060</v>
      </c>
      <c r="C1136" t="s">
        <v>5927</v>
      </c>
      <c r="D1136" t="s">
        <v>9926</v>
      </c>
      <c r="E1136" t="s">
        <v>10075</v>
      </c>
      <c r="F1136">
        <v>10472</v>
      </c>
      <c r="G1136" t="s">
        <v>10090</v>
      </c>
      <c r="H1136" t="s">
        <v>10124</v>
      </c>
      <c r="I1136" t="s">
        <v>10168</v>
      </c>
      <c r="J1136" t="s">
        <v>10210</v>
      </c>
      <c r="K1136" t="s">
        <v>10217</v>
      </c>
      <c r="M1136" t="s">
        <v>10525</v>
      </c>
      <c r="N1136" t="s">
        <v>10666</v>
      </c>
      <c r="P1136" t="s">
        <v>10749</v>
      </c>
      <c r="Q1136" t="s">
        <v>10765</v>
      </c>
      <c r="R1136" t="s">
        <v>10822</v>
      </c>
      <c r="T1136">
        <v>9300</v>
      </c>
      <c r="U1136">
        <v>775</v>
      </c>
      <c r="V1136">
        <v>42</v>
      </c>
      <c r="W1136">
        <v>1</v>
      </c>
      <c r="X1136">
        <v>0</v>
      </c>
      <c r="Z1136">
        <v>74.45999999999999</v>
      </c>
      <c r="AA1136">
        <v>40.824473</v>
      </c>
      <c r="AB1136">
        <v>-73.876895</v>
      </c>
      <c r="AD1136" t="s">
        <v>10839</v>
      </c>
      <c r="AG1136" t="s">
        <v>10858</v>
      </c>
      <c r="AH1136" t="s">
        <v>10861</v>
      </c>
      <c r="AI1136">
        <v>230</v>
      </c>
      <c r="AJ1136" t="s">
        <v>10210</v>
      </c>
      <c r="AK1136" t="s">
        <v>10838</v>
      </c>
      <c r="AL1136">
        <v>10.5</v>
      </c>
      <c r="AM1136" t="s">
        <v>10884</v>
      </c>
      <c r="AN1136" t="s">
        <v>10968</v>
      </c>
      <c r="AO1136" t="s">
        <v>11001</v>
      </c>
      <c r="AP1136" t="s">
        <v>11046</v>
      </c>
      <c r="AR1136" t="s">
        <v>11263</v>
      </c>
      <c r="AS1136" t="s">
        <v>9926</v>
      </c>
      <c r="AT1136" t="s">
        <v>11641</v>
      </c>
      <c r="AX1136" t="s">
        <v>10838</v>
      </c>
      <c r="BA1136" t="s">
        <v>11738</v>
      </c>
      <c r="BB1136">
        <v>0</v>
      </c>
      <c r="BC1136">
        <v>0</v>
      </c>
      <c r="BD1136">
        <v>0</v>
      </c>
      <c r="BE1136">
        <v>0</v>
      </c>
      <c r="BF1136">
        <v>5</v>
      </c>
      <c r="BG1136">
        <v>0</v>
      </c>
    </row>
    <row r="1137" spans="1:59">
      <c r="A1137" s="1">
        <f>HYPERLINK("https://lsnyc.legalserver.org/matter/dynamic-profile/view/1904962","19-1904962")</f>
        <v>0</v>
      </c>
      <c r="B1137" t="s">
        <v>1061</v>
      </c>
      <c r="C1137" t="s">
        <v>5928</v>
      </c>
      <c r="D1137" t="s">
        <v>9930</v>
      </c>
      <c r="E1137" t="s">
        <v>10075</v>
      </c>
      <c r="F1137">
        <v>11373</v>
      </c>
      <c r="G1137" t="s">
        <v>10092</v>
      </c>
      <c r="H1137" t="s">
        <v>10124</v>
      </c>
      <c r="I1137" t="s">
        <v>10169</v>
      </c>
      <c r="J1137" t="s">
        <v>10212</v>
      </c>
      <c r="K1137" t="s">
        <v>10217</v>
      </c>
      <c r="M1137" t="s">
        <v>10311</v>
      </c>
      <c r="N1137" t="s">
        <v>10684</v>
      </c>
      <c r="P1137" t="s">
        <v>10751</v>
      </c>
      <c r="Q1137" t="s">
        <v>10786</v>
      </c>
      <c r="R1137" t="s">
        <v>10821</v>
      </c>
      <c r="T1137">
        <v>10052</v>
      </c>
      <c r="U1137">
        <v>837.67</v>
      </c>
      <c r="V1137">
        <v>63</v>
      </c>
      <c r="W1137">
        <v>1</v>
      </c>
      <c r="X1137">
        <v>0</v>
      </c>
      <c r="Z1137">
        <v>80.48</v>
      </c>
      <c r="AA1137">
        <v>40.746315</v>
      </c>
      <c r="AB1137">
        <v>-73.88610199999999</v>
      </c>
      <c r="AD1137" t="s">
        <v>10839</v>
      </c>
      <c r="AG1137" t="s">
        <v>10858</v>
      </c>
      <c r="AH1137" t="s">
        <v>10873</v>
      </c>
      <c r="AI1137">
        <v>237</v>
      </c>
      <c r="AJ1137" t="s">
        <v>10212</v>
      </c>
      <c r="AL1137">
        <v>3.75</v>
      </c>
      <c r="AM1137" t="s">
        <v>10885</v>
      </c>
      <c r="AN1137" t="s">
        <v>10949</v>
      </c>
      <c r="AO1137" t="s">
        <v>11014</v>
      </c>
      <c r="AP1137" t="s">
        <v>11053</v>
      </c>
      <c r="AR1137" t="s">
        <v>11287</v>
      </c>
      <c r="AS1137" t="s">
        <v>11594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</row>
    <row r="1138" spans="1:59">
      <c r="A1138" s="1">
        <f>HYPERLINK("https://lsnyc.legalserver.org/matter/dynamic-profile/view/1904963","19-1904963")</f>
        <v>0</v>
      </c>
      <c r="B1138" t="s">
        <v>1062</v>
      </c>
      <c r="C1138" t="s">
        <v>5929</v>
      </c>
      <c r="D1138" t="s">
        <v>9968</v>
      </c>
      <c r="E1138" t="s">
        <v>10075</v>
      </c>
      <c r="F1138">
        <v>11411</v>
      </c>
      <c r="G1138" t="s">
        <v>10092</v>
      </c>
      <c r="H1138" t="s">
        <v>10124</v>
      </c>
      <c r="I1138" t="s">
        <v>10168</v>
      </c>
      <c r="J1138" t="s">
        <v>10212</v>
      </c>
      <c r="K1138" t="s">
        <v>10217</v>
      </c>
      <c r="M1138" t="s">
        <v>10342</v>
      </c>
      <c r="N1138" t="s">
        <v>10650</v>
      </c>
      <c r="P1138" t="s">
        <v>10749</v>
      </c>
      <c r="Q1138" t="s">
        <v>10765</v>
      </c>
      <c r="R1138" t="s">
        <v>10821</v>
      </c>
      <c r="T1138">
        <v>7200</v>
      </c>
      <c r="U1138">
        <v>600</v>
      </c>
      <c r="V1138">
        <v>38</v>
      </c>
      <c r="W1138">
        <v>2</v>
      </c>
      <c r="X1138">
        <v>1</v>
      </c>
      <c r="Z1138">
        <v>33.76</v>
      </c>
      <c r="AA1138">
        <v>40.697255</v>
      </c>
      <c r="AB1138">
        <v>-73.74633900000001</v>
      </c>
      <c r="AD1138" t="s">
        <v>10839</v>
      </c>
      <c r="AG1138" t="s">
        <v>10858</v>
      </c>
      <c r="AH1138" t="s">
        <v>10862</v>
      </c>
      <c r="AI1138">
        <v>237</v>
      </c>
      <c r="AJ1138" t="s">
        <v>10212</v>
      </c>
      <c r="AL1138">
        <v>20.11</v>
      </c>
      <c r="AM1138" t="s">
        <v>10892</v>
      </c>
      <c r="AN1138" t="s">
        <v>10940</v>
      </c>
      <c r="AO1138" t="s">
        <v>11020</v>
      </c>
      <c r="AP1138" t="s">
        <v>11075</v>
      </c>
      <c r="AR1138" t="s">
        <v>11401</v>
      </c>
      <c r="AS1138" t="s">
        <v>11594</v>
      </c>
      <c r="BA1138" t="s">
        <v>11738</v>
      </c>
      <c r="BB1138">
        <v>0</v>
      </c>
      <c r="BC1138">
        <v>0</v>
      </c>
      <c r="BD1138">
        <v>0</v>
      </c>
      <c r="BE1138">
        <v>0</v>
      </c>
      <c r="BF1138">
        <v>5</v>
      </c>
      <c r="BG1138">
        <v>0</v>
      </c>
    </row>
    <row r="1139" spans="1:59">
      <c r="A1139" s="1">
        <f>HYPERLINK("https://lsnyc.legalserver.org/matter/dynamic-profile/view/1904964","19-1904964")</f>
        <v>0</v>
      </c>
      <c r="B1139" t="s">
        <v>1063</v>
      </c>
      <c r="C1139" t="s">
        <v>5930</v>
      </c>
      <c r="D1139" t="s">
        <v>9982</v>
      </c>
      <c r="E1139" t="s">
        <v>10075</v>
      </c>
      <c r="F1139">
        <v>11375</v>
      </c>
      <c r="G1139" t="s">
        <v>10089</v>
      </c>
      <c r="H1139" t="s">
        <v>10124</v>
      </c>
      <c r="I1139" t="s">
        <v>10168</v>
      </c>
      <c r="J1139" t="s">
        <v>10209</v>
      </c>
      <c r="K1139" t="s">
        <v>10217</v>
      </c>
      <c r="M1139" t="s">
        <v>10301</v>
      </c>
      <c r="N1139" t="s">
        <v>10665</v>
      </c>
      <c r="P1139" t="s">
        <v>10751</v>
      </c>
      <c r="Q1139" t="s">
        <v>10773</v>
      </c>
      <c r="R1139" t="s">
        <v>10820</v>
      </c>
      <c r="T1139">
        <v>0</v>
      </c>
      <c r="U1139">
        <v>0</v>
      </c>
      <c r="V1139">
        <v>60</v>
      </c>
      <c r="W1139">
        <v>1</v>
      </c>
      <c r="X1139">
        <v>0</v>
      </c>
      <c r="Z1139">
        <v>0</v>
      </c>
      <c r="AA1139">
        <v>40.735948</v>
      </c>
      <c r="AB1139">
        <v>-73.85435699999999</v>
      </c>
      <c r="AD1139" t="s">
        <v>10839</v>
      </c>
      <c r="AG1139" t="s">
        <v>10858</v>
      </c>
      <c r="AH1139" t="s">
        <v>10861</v>
      </c>
      <c r="AI1139">
        <v>234</v>
      </c>
      <c r="AJ1139" t="s">
        <v>10214</v>
      </c>
      <c r="AL1139">
        <v>4.25</v>
      </c>
      <c r="AM1139" t="s">
        <v>10890</v>
      </c>
      <c r="AN1139" t="s">
        <v>10962</v>
      </c>
      <c r="AO1139" t="s">
        <v>11009</v>
      </c>
      <c r="AP1139" t="s">
        <v>11083</v>
      </c>
      <c r="AQ1139" t="s">
        <v>11115</v>
      </c>
      <c r="AR1139" t="s">
        <v>11279</v>
      </c>
      <c r="AS1139" t="s">
        <v>11594</v>
      </c>
      <c r="AT1139" t="s">
        <v>11641</v>
      </c>
      <c r="AX1139" t="s">
        <v>10838</v>
      </c>
      <c r="BA1139" t="s">
        <v>11741</v>
      </c>
      <c r="BB1139">
        <v>0</v>
      </c>
      <c r="BC1139">
        <v>0</v>
      </c>
      <c r="BD1139">
        <v>0</v>
      </c>
      <c r="BE1139">
        <v>0</v>
      </c>
      <c r="BF1139">
        <v>1</v>
      </c>
      <c r="BG1139">
        <v>0</v>
      </c>
    </row>
    <row r="1140" spans="1:59">
      <c r="A1140" s="1">
        <f>HYPERLINK("https://lsnyc.legalserver.org/matter/dynamic-profile/view/1904965","19-1904965")</f>
        <v>0</v>
      </c>
      <c r="B1140" t="s">
        <v>1064</v>
      </c>
      <c r="C1140" t="s">
        <v>5601</v>
      </c>
      <c r="D1140" t="s">
        <v>9926</v>
      </c>
      <c r="E1140" t="s">
        <v>10075</v>
      </c>
      <c r="F1140">
        <v>10453</v>
      </c>
      <c r="G1140" t="s">
        <v>10090</v>
      </c>
      <c r="H1140" t="s">
        <v>10124</v>
      </c>
      <c r="I1140" t="s">
        <v>10168</v>
      </c>
      <c r="J1140" t="s">
        <v>10210</v>
      </c>
      <c r="K1140" t="s">
        <v>10217</v>
      </c>
      <c r="M1140" t="s">
        <v>10463</v>
      </c>
      <c r="N1140" t="s">
        <v>10650</v>
      </c>
      <c r="P1140" t="s">
        <v>10749</v>
      </c>
      <c r="Q1140" t="s">
        <v>10765</v>
      </c>
      <c r="R1140" t="s">
        <v>10821</v>
      </c>
      <c r="T1140">
        <v>16800</v>
      </c>
      <c r="U1140">
        <v>1400</v>
      </c>
      <c r="V1140">
        <v>28</v>
      </c>
      <c r="W1140">
        <v>2</v>
      </c>
      <c r="X1140">
        <v>0</v>
      </c>
      <c r="Z1140">
        <v>99.34999999999999</v>
      </c>
      <c r="AA1140">
        <v>40.846849</v>
      </c>
      <c r="AB1140">
        <v>-73.90953500000001</v>
      </c>
      <c r="AD1140" t="s">
        <v>10839</v>
      </c>
      <c r="AG1140" t="s">
        <v>10858</v>
      </c>
      <c r="AH1140" t="s">
        <v>10862</v>
      </c>
      <c r="AI1140">
        <v>230</v>
      </c>
      <c r="AJ1140" t="s">
        <v>10210</v>
      </c>
      <c r="AL1140">
        <v>0</v>
      </c>
      <c r="AM1140" t="s">
        <v>10884</v>
      </c>
      <c r="AN1140" t="s">
        <v>10931</v>
      </c>
      <c r="AO1140" t="s">
        <v>11000</v>
      </c>
      <c r="AP1140" t="s">
        <v>11045</v>
      </c>
      <c r="AR1140" t="s">
        <v>11280</v>
      </c>
      <c r="AS1140" t="s">
        <v>9926</v>
      </c>
      <c r="BA1140" t="s">
        <v>11739</v>
      </c>
      <c r="BB1140">
        <v>0</v>
      </c>
      <c r="BC1140">
        <v>0</v>
      </c>
      <c r="BD1140">
        <v>0</v>
      </c>
      <c r="BE1140">
        <v>0</v>
      </c>
      <c r="BF1140">
        <v>4</v>
      </c>
      <c r="BG1140">
        <v>0</v>
      </c>
    </row>
    <row r="1141" spans="1:59">
      <c r="A1141" s="1">
        <f>HYPERLINK("https://lsnyc.legalserver.org/matter/dynamic-profile/view/1904966","19-1904966")</f>
        <v>0</v>
      </c>
      <c r="B1141" t="s">
        <v>1064</v>
      </c>
      <c r="C1141" t="s">
        <v>5601</v>
      </c>
      <c r="D1141" t="s">
        <v>9926</v>
      </c>
      <c r="E1141" t="s">
        <v>10075</v>
      </c>
      <c r="F1141">
        <v>10453</v>
      </c>
      <c r="G1141" t="s">
        <v>10090</v>
      </c>
      <c r="H1141" t="s">
        <v>10124</v>
      </c>
      <c r="I1141" t="s">
        <v>10168</v>
      </c>
      <c r="J1141" t="s">
        <v>10210</v>
      </c>
      <c r="K1141" t="s">
        <v>10217</v>
      </c>
      <c r="M1141" t="s">
        <v>10463</v>
      </c>
      <c r="N1141" t="s">
        <v>10650</v>
      </c>
      <c r="P1141" t="s">
        <v>10749</v>
      </c>
      <c r="Q1141" t="s">
        <v>10765</v>
      </c>
      <c r="R1141" t="s">
        <v>10821</v>
      </c>
      <c r="T1141">
        <v>16800</v>
      </c>
      <c r="U1141">
        <v>1400</v>
      </c>
      <c r="V1141">
        <v>28</v>
      </c>
      <c r="W1141">
        <v>2</v>
      </c>
      <c r="X1141">
        <v>0</v>
      </c>
      <c r="Z1141">
        <v>99.34999999999999</v>
      </c>
      <c r="AA1141">
        <v>40.846849</v>
      </c>
      <c r="AB1141">
        <v>-73.90953500000001</v>
      </c>
      <c r="AD1141" t="s">
        <v>10839</v>
      </c>
      <c r="AG1141" t="s">
        <v>10858</v>
      </c>
      <c r="AH1141" t="s">
        <v>10862</v>
      </c>
      <c r="AI1141">
        <v>230</v>
      </c>
      <c r="AJ1141" t="s">
        <v>10210</v>
      </c>
      <c r="AL1141">
        <v>0</v>
      </c>
      <c r="AM1141" t="s">
        <v>10884</v>
      </c>
      <c r="AN1141" t="s">
        <v>10931</v>
      </c>
      <c r="AO1141" t="s">
        <v>11000</v>
      </c>
      <c r="AP1141" t="s">
        <v>11045</v>
      </c>
      <c r="AR1141" t="s">
        <v>11257</v>
      </c>
      <c r="AS1141" t="s">
        <v>9926</v>
      </c>
      <c r="BA1141" t="s">
        <v>11739</v>
      </c>
      <c r="BB1141">
        <v>0</v>
      </c>
      <c r="BC1141">
        <v>0</v>
      </c>
      <c r="BD1141">
        <v>0</v>
      </c>
      <c r="BE1141">
        <v>0</v>
      </c>
      <c r="BF1141">
        <v>4</v>
      </c>
      <c r="BG1141">
        <v>0</v>
      </c>
    </row>
    <row r="1142" spans="1:59">
      <c r="A1142" s="1">
        <f>HYPERLINK("https://lsnyc.legalserver.org/matter/dynamic-profile/view/1904967","19-1904967")</f>
        <v>0</v>
      </c>
      <c r="B1142" t="s">
        <v>1065</v>
      </c>
      <c r="C1142" t="s">
        <v>5931</v>
      </c>
      <c r="D1142" t="s">
        <v>9938</v>
      </c>
      <c r="E1142" t="s">
        <v>10075</v>
      </c>
      <c r="F1142">
        <v>11434</v>
      </c>
      <c r="G1142" t="s">
        <v>10092</v>
      </c>
      <c r="H1142" t="s">
        <v>10124</v>
      </c>
      <c r="I1142" t="s">
        <v>10168</v>
      </c>
      <c r="J1142" t="s">
        <v>10212</v>
      </c>
      <c r="K1142" t="s">
        <v>10217</v>
      </c>
      <c r="M1142" t="s">
        <v>10312</v>
      </c>
      <c r="N1142" t="s">
        <v>10693</v>
      </c>
      <c r="P1142" t="s">
        <v>10749</v>
      </c>
      <c r="Q1142" t="s">
        <v>10765</v>
      </c>
      <c r="R1142" t="s">
        <v>10824</v>
      </c>
      <c r="T1142">
        <v>24000</v>
      </c>
      <c r="U1142">
        <v>2000</v>
      </c>
      <c r="V1142">
        <v>66</v>
      </c>
      <c r="W1142">
        <v>1</v>
      </c>
      <c r="X1142">
        <v>0</v>
      </c>
      <c r="Z1142">
        <v>192.15</v>
      </c>
      <c r="AA1142">
        <v>40.675525</v>
      </c>
      <c r="AB1142">
        <v>-73.768967</v>
      </c>
      <c r="AD1142" t="s">
        <v>10839</v>
      </c>
      <c r="AG1142" t="s">
        <v>10858</v>
      </c>
      <c r="AH1142" t="s">
        <v>10862</v>
      </c>
      <c r="AI1142">
        <v>237</v>
      </c>
      <c r="AJ1142" t="s">
        <v>10212</v>
      </c>
      <c r="AL1142">
        <v>17.7</v>
      </c>
      <c r="AM1142" t="s">
        <v>10892</v>
      </c>
      <c r="AN1142" t="s">
        <v>10951</v>
      </c>
      <c r="AO1142" t="s">
        <v>11017</v>
      </c>
      <c r="AP1142" t="s">
        <v>11070</v>
      </c>
      <c r="AR1142" t="s">
        <v>11263</v>
      </c>
      <c r="AS1142" t="s">
        <v>11594</v>
      </c>
      <c r="BA1142" t="s">
        <v>11738</v>
      </c>
      <c r="BB1142">
        <v>0</v>
      </c>
      <c r="BC1142">
        <v>0</v>
      </c>
      <c r="BD1142">
        <v>0</v>
      </c>
      <c r="BE1142">
        <v>0</v>
      </c>
      <c r="BF1142">
        <v>5</v>
      </c>
      <c r="BG1142">
        <v>0</v>
      </c>
    </row>
    <row r="1143" spans="1:59">
      <c r="A1143" s="1">
        <f>HYPERLINK("https://lsnyc.legalserver.org/matter/dynamic-profile/view/1904968","19-1904968")</f>
        <v>0</v>
      </c>
      <c r="B1143" t="s">
        <v>1066</v>
      </c>
      <c r="C1143" t="s">
        <v>5932</v>
      </c>
      <c r="D1143" t="s">
        <v>9926</v>
      </c>
      <c r="E1143" t="s">
        <v>10075</v>
      </c>
      <c r="F1143">
        <v>10462</v>
      </c>
      <c r="G1143" t="s">
        <v>10090</v>
      </c>
      <c r="H1143" t="s">
        <v>10124</v>
      </c>
      <c r="I1143" t="s">
        <v>10169</v>
      </c>
      <c r="J1143" t="s">
        <v>10210</v>
      </c>
      <c r="K1143" t="s">
        <v>10217</v>
      </c>
      <c r="M1143" t="s">
        <v>10372</v>
      </c>
      <c r="N1143" t="s">
        <v>10704</v>
      </c>
      <c r="P1143" t="s">
        <v>10750</v>
      </c>
      <c r="Q1143" t="s">
        <v>10778</v>
      </c>
      <c r="R1143" t="s">
        <v>10821</v>
      </c>
      <c r="T1143">
        <v>15096</v>
      </c>
      <c r="U1143">
        <v>1258</v>
      </c>
      <c r="V1143">
        <v>48</v>
      </c>
      <c r="W1143">
        <v>3</v>
      </c>
      <c r="X1143">
        <v>1</v>
      </c>
      <c r="Z1143">
        <v>58.63</v>
      </c>
      <c r="AA1143">
        <v>40.856072</v>
      </c>
      <c r="AB1143">
        <v>-73.865228</v>
      </c>
      <c r="AD1143" t="s">
        <v>10839</v>
      </c>
      <c r="AG1143" t="s">
        <v>10858</v>
      </c>
      <c r="AH1143" t="s">
        <v>10861</v>
      </c>
      <c r="AI1143">
        <v>234</v>
      </c>
      <c r="AJ1143" t="s">
        <v>10214</v>
      </c>
      <c r="AL1143">
        <v>1.5</v>
      </c>
      <c r="AM1143" t="s">
        <v>10885</v>
      </c>
      <c r="AN1143" t="s">
        <v>10938</v>
      </c>
      <c r="AO1143" t="s">
        <v>11002</v>
      </c>
      <c r="AP1143" t="s">
        <v>11049</v>
      </c>
      <c r="AR1143" t="s">
        <v>11295</v>
      </c>
      <c r="AS1143" t="s">
        <v>9926</v>
      </c>
      <c r="AT1143" t="s">
        <v>11641</v>
      </c>
      <c r="AX1143" t="s">
        <v>10838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</row>
    <row r="1144" spans="1:59">
      <c r="A1144" s="1">
        <f>HYPERLINK("https://lsnyc.legalserver.org/matter/dynamic-profile/view/1904969","19-1904969")</f>
        <v>0</v>
      </c>
      <c r="B1144" t="s">
        <v>1067</v>
      </c>
      <c r="C1144" t="s">
        <v>5933</v>
      </c>
      <c r="D1144" t="s">
        <v>9926</v>
      </c>
      <c r="E1144" t="s">
        <v>10075</v>
      </c>
      <c r="F1144">
        <v>10469</v>
      </c>
      <c r="G1144" t="s">
        <v>10090</v>
      </c>
      <c r="H1144" t="s">
        <v>10124</v>
      </c>
      <c r="I1144" t="s">
        <v>10168</v>
      </c>
      <c r="J1144" t="s">
        <v>10210</v>
      </c>
      <c r="K1144" t="s">
        <v>10218</v>
      </c>
      <c r="L1144" t="s">
        <v>10147</v>
      </c>
      <c r="M1144" t="s">
        <v>10262</v>
      </c>
      <c r="N1144" t="s">
        <v>10666</v>
      </c>
      <c r="P1144" t="s">
        <v>10749</v>
      </c>
      <c r="Q1144" t="s">
        <v>10765</v>
      </c>
      <c r="R1144" t="s">
        <v>10824</v>
      </c>
      <c r="T1144">
        <v>14400</v>
      </c>
      <c r="U1144">
        <v>1200</v>
      </c>
      <c r="V1144">
        <v>77</v>
      </c>
      <c r="W1144">
        <v>2</v>
      </c>
      <c r="X1144">
        <v>0</v>
      </c>
      <c r="Y1144" t="s">
        <v>10829</v>
      </c>
      <c r="Z1144">
        <v>85.16</v>
      </c>
      <c r="AA1144">
        <v>40.874434</v>
      </c>
      <c r="AB1144">
        <v>-73.84835</v>
      </c>
      <c r="AD1144" t="s">
        <v>10840</v>
      </c>
      <c r="AF1144" t="s">
        <v>10843</v>
      </c>
      <c r="AG1144" t="s">
        <v>10859</v>
      </c>
      <c r="AH1144" t="s">
        <v>10861</v>
      </c>
      <c r="AI1144">
        <v>230</v>
      </c>
      <c r="AJ1144" t="s">
        <v>10210</v>
      </c>
      <c r="AK1144" t="s">
        <v>10882</v>
      </c>
      <c r="AL1144">
        <v>0.25</v>
      </c>
      <c r="AM1144" t="s">
        <v>10893</v>
      </c>
      <c r="AN1144" t="s">
        <v>10956</v>
      </c>
      <c r="AO1144" t="s">
        <v>11010</v>
      </c>
      <c r="AP1144" t="s">
        <v>11085</v>
      </c>
      <c r="AR1144" t="s">
        <v>11263</v>
      </c>
      <c r="AS1144" t="s">
        <v>9926</v>
      </c>
      <c r="AT1144" t="s">
        <v>11642</v>
      </c>
      <c r="AX1144" t="s">
        <v>10838</v>
      </c>
      <c r="AY1144" t="s">
        <v>10829</v>
      </c>
      <c r="AZ1144" t="s">
        <v>11681</v>
      </c>
      <c r="BA1144" t="s">
        <v>11741</v>
      </c>
      <c r="BB1144">
        <v>0</v>
      </c>
      <c r="BC1144">
        <v>0</v>
      </c>
      <c r="BD1144">
        <v>0</v>
      </c>
      <c r="BE1144">
        <v>0</v>
      </c>
      <c r="BF1144">
        <v>1</v>
      </c>
      <c r="BG1144">
        <v>0</v>
      </c>
    </row>
    <row r="1145" spans="1:59">
      <c r="A1145" s="1">
        <f>HYPERLINK("https://lsnyc.legalserver.org/matter/dynamic-profile/view/1904970","19-1904970")</f>
        <v>0</v>
      </c>
      <c r="B1145" t="s">
        <v>1068</v>
      </c>
      <c r="C1145" t="s">
        <v>5934</v>
      </c>
      <c r="D1145" t="s">
        <v>9925</v>
      </c>
      <c r="E1145" t="s">
        <v>10075</v>
      </c>
      <c r="F1145">
        <v>10029</v>
      </c>
      <c r="G1145" t="s">
        <v>10089</v>
      </c>
      <c r="H1145" t="s">
        <v>10124</v>
      </c>
      <c r="I1145" t="s">
        <v>10168</v>
      </c>
      <c r="J1145" t="s">
        <v>10209</v>
      </c>
      <c r="K1145" t="s">
        <v>10218</v>
      </c>
      <c r="L1145" t="s">
        <v>10123</v>
      </c>
      <c r="M1145" t="s">
        <v>10442</v>
      </c>
      <c r="N1145" t="s">
        <v>10691</v>
      </c>
      <c r="P1145" t="s">
        <v>10749</v>
      </c>
      <c r="Q1145" t="s">
        <v>10765</v>
      </c>
      <c r="R1145" t="s">
        <v>10824</v>
      </c>
      <c r="T1145">
        <v>15600</v>
      </c>
      <c r="U1145">
        <v>1300</v>
      </c>
      <c r="V1145">
        <v>63</v>
      </c>
      <c r="W1145">
        <v>1</v>
      </c>
      <c r="X1145">
        <v>0</v>
      </c>
      <c r="Y1145" t="s">
        <v>10829</v>
      </c>
      <c r="Z1145">
        <v>124.9</v>
      </c>
      <c r="AA1145">
        <v>40.795617</v>
      </c>
      <c r="AB1145">
        <v>-73.948875</v>
      </c>
      <c r="AD1145" t="s">
        <v>10839</v>
      </c>
      <c r="AG1145" t="s">
        <v>10858</v>
      </c>
      <c r="AH1145" t="s">
        <v>10861</v>
      </c>
      <c r="AI1145">
        <v>234</v>
      </c>
      <c r="AJ1145" t="s">
        <v>10214</v>
      </c>
      <c r="AK1145" t="s">
        <v>10882</v>
      </c>
      <c r="AL1145">
        <v>1</v>
      </c>
      <c r="AM1145" t="s">
        <v>10887</v>
      </c>
      <c r="AN1145" t="s">
        <v>10926</v>
      </c>
      <c r="AO1145" t="s">
        <v>11016</v>
      </c>
      <c r="AP1145" t="s">
        <v>11076</v>
      </c>
      <c r="AR1145" t="s">
        <v>11298</v>
      </c>
      <c r="AS1145" t="s">
        <v>9925</v>
      </c>
      <c r="AT1145" t="s">
        <v>11641</v>
      </c>
      <c r="AX1145" t="s">
        <v>10838</v>
      </c>
      <c r="AY1145" t="s">
        <v>10829</v>
      </c>
      <c r="AZ1145" t="s">
        <v>11681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</row>
    <row r="1146" spans="1:59">
      <c r="A1146" s="1">
        <f>HYPERLINK("https://lsnyc.legalserver.org/matter/dynamic-profile/view/1904971","19-1904971")</f>
        <v>0</v>
      </c>
      <c r="B1146" t="s">
        <v>1069</v>
      </c>
      <c r="C1146" t="s">
        <v>5935</v>
      </c>
      <c r="D1146" t="s">
        <v>9926</v>
      </c>
      <c r="E1146" t="s">
        <v>10075</v>
      </c>
      <c r="F1146">
        <v>10457</v>
      </c>
      <c r="G1146" t="s">
        <v>10090</v>
      </c>
      <c r="H1146" t="s">
        <v>10124</v>
      </c>
      <c r="I1146" t="s">
        <v>10169</v>
      </c>
      <c r="J1146" t="s">
        <v>10210</v>
      </c>
      <c r="K1146" t="s">
        <v>10217</v>
      </c>
      <c r="M1146" t="s">
        <v>10513</v>
      </c>
      <c r="N1146" t="s">
        <v>10650</v>
      </c>
      <c r="P1146" t="s">
        <v>10749</v>
      </c>
      <c r="Q1146" t="s">
        <v>10774</v>
      </c>
      <c r="R1146" t="s">
        <v>10821</v>
      </c>
      <c r="T1146">
        <v>9252</v>
      </c>
      <c r="U1146">
        <v>771</v>
      </c>
      <c r="V1146">
        <v>97</v>
      </c>
      <c r="W1146">
        <v>1</v>
      </c>
      <c r="X1146">
        <v>0</v>
      </c>
      <c r="Z1146">
        <v>74.08</v>
      </c>
      <c r="AA1146">
        <v>40.848058</v>
      </c>
      <c r="AB1146">
        <v>-73.89406700000001</v>
      </c>
      <c r="AD1146" t="s">
        <v>10839</v>
      </c>
      <c r="AG1146" t="s">
        <v>10858</v>
      </c>
      <c r="AH1146" t="s">
        <v>10861</v>
      </c>
      <c r="AI1146">
        <v>234</v>
      </c>
      <c r="AJ1146" t="s">
        <v>10214</v>
      </c>
      <c r="AL1146">
        <v>5.7</v>
      </c>
      <c r="AM1146" t="s">
        <v>10884</v>
      </c>
      <c r="AN1146" t="s">
        <v>10931</v>
      </c>
      <c r="AO1146" t="s">
        <v>11000</v>
      </c>
      <c r="AP1146" t="s">
        <v>11056</v>
      </c>
      <c r="AR1146" t="s">
        <v>11274</v>
      </c>
      <c r="AS1146" t="s">
        <v>9926</v>
      </c>
      <c r="AT1146" t="s">
        <v>11641</v>
      </c>
      <c r="AX1146" t="s">
        <v>10837</v>
      </c>
      <c r="BA1146" t="s">
        <v>11737</v>
      </c>
      <c r="BB1146">
        <v>0</v>
      </c>
      <c r="BC1146">
        <v>0</v>
      </c>
      <c r="BD1146">
        <v>0</v>
      </c>
      <c r="BE1146">
        <v>0</v>
      </c>
      <c r="BF1146">
        <v>3</v>
      </c>
      <c r="BG1146">
        <v>0</v>
      </c>
    </row>
    <row r="1147" spans="1:59">
      <c r="A1147" s="1">
        <f>HYPERLINK("https://lsnyc.legalserver.org/matter/dynamic-profile/view/1904972","19-1904972")</f>
        <v>0</v>
      </c>
      <c r="B1147" t="s">
        <v>1070</v>
      </c>
      <c r="D1147" t="s">
        <v>9926</v>
      </c>
      <c r="E1147" t="s">
        <v>10075</v>
      </c>
      <c r="F1147">
        <v>10466</v>
      </c>
      <c r="G1147" t="s">
        <v>10090</v>
      </c>
      <c r="H1147" t="s">
        <v>10124</v>
      </c>
      <c r="I1147" t="s">
        <v>10168</v>
      </c>
      <c r="J1147" t="s">
        <v>10210</v>
      </c>
      <c r="K1147" t="s">
        <v>10217</v>
      </c>
      <c r="M1147" t="s">
        <v>10514</v>
      </c>
      <c r="N1147" t="s">
        <v>10666</v>
      </c>
      <c r="P1147" t="s">
        <v>10749</v>
      </c>
      <c r="Q1147" t="s">
        <v>10765</v>
      </c>
      <c r="R1147" t="s">
        <v>10824</v>
      </c>
      <c r="T1147">
        <v>10260</v>
      </c>
      <c r="U1147">
        <v>855</v>
      </c>
      <c r="V1147">
        <v>57</v>
      </c>
      <c r="W1147">
        <v>3</v>
      </c>
      <c r="X1147">
        <v>0</v>
      </c>
      <c r="Z1147">
        <v>48.1</v>
      </c>
      <c r="AA1147">
        <v>0</v>
      </c>
      <c r="AB1147">
        <v>0</v>
      </c>
      <c r="AD1147" t="s">
        <v>10839</v>
      </c>
      <c r="AG1147" t="s">
        <v>10858</v>
      </c>
      <c r="AH1147" t="s">
        <v>10861</v>
      </c>
      <c r="AI1147">
        <v>230</v>
      </c>
      <c r="AJ1147" t="s">
        <v>10210</v>
      </c>
      <c r="AL1147">
        <v>33.75</v>
      </c>
      <c r="AR1147" t="s">
        <v>11263</v>
      </c>
      <c r="AS1147" t="s">
        <v>9926</v>
      </c>
      <c r="AT1147" t="s">
        <v>11641</v>
      </c>
      <c r="AX1147" t="s">
        <v>10838</v>
      </c>
      <c r="BA1147" t="s">
        <v>11738</v>
      </c>
      <c r="BB1147">
        <v>0</v>
      </c>
      <c r="BC1147">
        <v>0</v>
      </c>
      <c r="BD1147">
        <v>0</v>
      </c>
      <c r="BE1147">
        <v>0</v>
      </c>
      <c r="BF1147">
        <v>5</v>
      </c>
      <c r="BG1147">
        <v>0</v>
      </c>
    </row>
    <row r="1148" spans="1:59">
      <c r="A1148" s="1">
        <f>HYPERLINK("https://lsnyc.legalserver.org/matter/dynamic-profile/view/1904974","19-1904974")</f>
        <v>0</v>
      </c>
      <c r="B1148" t="s">
        <v>1058</v>
      </c>
      <c r="C1148" t="s">
        <v>5936</v>
      </c>
      <c r="D1148" t="s">
        <v>9925</v>
      </c>
      <c r="E1148" t="s">
        <v>10075</v>
      </c>
      <c r="F1148">
        <v>10034</v>
      </c>
      <c r="G1148" t="s">
        <v>10089</v>
      </c>
      <c r="H1148" t="s">
        <v>10124</v>
      </c>
      <c r="I1148" t="s">
        <v>10169</v>
      </c>
      <c r="J1148" t="s">
        <v>10209</v>
      </c>
      <c r="K1148" t="s">
        <v>10217</v>
      </c>
      <c r="M1148" t="s">
        <v>10483</v>
      </c>
      <c r="N1148" t="s">
        <v>10650</v>
      </c>
      <c r="P1148" t="s">
        <v>10749</v>
      </c>
      <c r="Q1148" t="s">
        <v>10765</v>
      </c>
      <c r="R1148" t="s">
        <v>10821</v>
      </c>
      <c r="T1148">
        <v>25740</v>
      </c>
      <c r="U1148">
        <v>2145</v>
      </c>
      <c r="V1148">
        <v>55</v>
      </c>
      <c r="W1148">
        <v>3</v>
      </c>
      <c r="X1148">
        <v>0</v>
      </c>
      <c r="Z1148">
        <v>120.68</v>
      </c>
      <c r="AA1148">
        <v>40.865809</v>
      </c>
      <c r="AB1148">
        <v>-73.920872</v>
      </c>
      <c r="AD1148" t="s">
        <v>10839</v>
      </c>
      <c r="AF1148" t="s">
        <v>10843</v>
      </c>
      <c r="AG1148" t="s">
        <v>10859</v>
      </c>
      <c r="AH1148" t="s">
        <v>10862</v>
      </c>
      <c r="AI1148">
        <v>236</v>
      </c>
      <c r="AJ1148" t="s">
        <v>10209</v>
      </c>
      <c r="AL1148">
        <v>6.4</v>
      </c>
      <c r="AM1148" t="s">
        <v>10887</v>
      </c>
      <c r="AN1148" t="s">
        <v>10937</v>
      </c>
      <c r="AO1148" t="s">
        <v>11019</v>
      </c>
      <c r="AP1148" t="s">
        <v>11074</v>
      </c>
      <c r="AR1148" t="s">
        <v>11257</v>
      </c>
      <c r="AS1148" t="s">
        <v>9925</v>
      </c>
      <c r="AT1148" t="s">
        <v>11641</v>
      </c>
      <c r="AX1148" t="s">
        <v>10838</v>
      </c>
      <c r="BA1148" t="s">
        <v>11742</v>
      </c>
      <c r="BB1148">
        <v>0</v>
      </c>
      <c r="BC1148">
        <v>0</v>
      </c>
      <c r="BD1148">
        <v>0</v>
      </c>
      <c r="BE1148">
        <v>0</v>
      </c>
      <c r="BF1148">
        <v>7</v>
      </c>
      <c r="BG1148">
        <v>0</v>
      </c>
    </row>
    <row r="1149" spans="1:59">
      <c r="A1149" s="1">
        <f>HYPERLINK("https://lsnyc.legalserver.org/matter/dynamic-profile/view/1904975","19-1904975")</f>
        <v>0</v>
      </c>
      <c r="B1149" t="s">
        <v>1071</v>
      </c>
      <c r="C1149" t="s">
        <v>5937</v>
      </c>
      <c r="D1149" t="s">
        <v>9938</v>
      </c>
      <c r="E1149" t="s">
        <v>10075</v>
      </c>
      <c r="F1149">
        <v>11432</v>
      </c>
      <c r="G1149" t="s">
        <v>10092</v>
      </c>
      <c r="H1149" t="s">
        <v>10124</v>
      </c>
      <c r="I1149" t="s">
        <v>10168</v>
      </c>
      <c r="J1149" t="s">
        <v>10212</v>
      </c>
      <c r="K1149" t="s">
        <v>10218</v>
      </c>
      <c r="L1149" t="s">
        <v>10155</v>
      </c>
      <c r="M1149" t="s">
        <v>10318</v>
      </c>
      <c r="N1149" t="s">
        <v>10684</v>
      </c>
      <c r="P1149" t="s">
        <v>10751</v>
      </c>
      <c r="Q1149" t="s">
        <v>10786</v>
      </c>
      <c r="R1149" t="s">
        <v>10827</v>
      </c>
      <c r="T1149">
        <v>0</v>
      </c>
      <c r="U1149">
        <v>0</v>
      </c>
      <c r="V1149">
        <v>62</v>
      </c>
      <c r="W1149">
        <v>2</v>
      </c>
      <c r="X1149">
        <v>0</v>
      </c>
      <c r="Y1149" t="s">
        <v>10833</v>
      </c>
      <c r="Z1149">
        <v>0</v>
      </c>
      <c r="AA1149">
        <v>40.710295</v>
      </c>
      <c r="AB1149">
        <v>-73.797194</v>
      </c>
      <c r="AD1149" t="s">
        <v>10840</v>
      </c>
      <c r="AG1149" t="s">
        <v>10858</v>
      </c>
      <c r="AH1149" t="s">
        <v>10873</v>
      </c>
      <c r="AI1149">
        <v>237</v>
      </c>
      <c r="AJ1149" t="s">
        <v>10212</v>
      </c>
      <c r="AK1149" t="s">
        <v>10838</v>
      </c>
      <c r="AL1149">
        <v>6</v>
      </c>
      <c r="AM1149" t="s">
        <v>10890</v>
      </c>
      <c r="AN1149" t="s">
        <v>10944</v>
      </c>
      <c r="AO1149" t="s">
        <v>11020</v>
      </c>
      <c r="AP1149" t="s">
        <v>11081</v>
      </c>
      <c r="AR1149" t="s">
        <v>11267</v>
      </c>
      <c r="AS1149" t="s">
        <v>11594</v>
      </c>
      <c r="AY1149" t="s">
        <v>10833</v>
      </c>
      <c r="AZ1149" t="s">
        <v>11693</v>
      </c>
      <c r="BB1149">
        <v>0</v>
      </c>
      <c r="BC1149">
        <v>0</v>
      </c>
      <c r="BD1149">
        <v>0</v>
      </c>
      <c r="BE1149">
        <v>270</v>
      </c>
      <c r="BF1149">
        <v>0</v>
      </c>
      <c r="BG1149">
        <v>0</v>
      </c>
    </row>
    <row r="1150" spans="1:59">
      <c r="A1150" s="1">
        <f>HYPERLINK("https://lsnyc.legalserver.org/matter/dynamic-profile/view/1904976","19-1904976")</f>
        <v>0</v>
      </c>
      <c r="B1150" t="s">
        <v>1072</v>
      </c>
      <c r="C1150" t="s">
        <v>5938</v>
      </c>
      <c r="D1150" t="s">
        <v>9959</v>
      </c>
      <c r="E1150" t="s">
        <v>10075</v>
      </c>
      <c r="F1150">
        <v>11356</v>
      </c>
      <c r="G1150" t="s">
        <v>10092</v>
      </c>
      <c r="H1150" t="s">
        <v>10124</v>
      </c>
      <c r="I1150" t="s">
        <v>10182</v>
      </c>
      <c r="J1150" t="s">
        <v>10212</v>
      </c>
      <c r="K1150" t="s">
        <v>10218</v>
      </c>
      <c r="L1150" t="s">
        <v>10158</v>
      </c>
      <c r="M1150" t="s">
        <v>10325</v>
      </c>
      <c r="N1150" t="s">
        <v>10671</v>
      </c>
      <c r="P1150" t="s">
        <v>10751</v>
      </c>
      <c r="Q1150" t="s">
        <v>10761</v>
      </c>
      <c r="R1150" t="s">
        <v>10827</v>
      </c>
      <c r="T1150">
        <v>22800</v>
      </c>
      <c r="U1150">
        <v>1900</v>
      </c>
      <c r="V1150">
        <v>45</v>
      </c>
      <c r="W1150">
        <v>3</v>
      </c>
      <c r="X1150">
        <v>1</v>
      </c>
      <c r="Y1150" t="s">
        <v>10829</v>
      </c>
      <c r="Z1150">
        <v>88.54000000000001</v>
      </c>
      <c r="AA1150">
        <v>40.793482</v>
      </c>
      <c r="AB1150">
        <v>-73.847413</v>
      </c>
      <c r="AD1150" t="s">
        <v>10840</v>
      </c>
      <c r="AF1150" t="s">
        <v>10843</v>
      </c>
      <c r="AG1150" t="s">
        <v>10859</v>
      </c>
      <c r="AH1150" t="s">
        <v>10861</v>
      </c>
      <c r="AI1150">
        <v>234</v>
      </c>
      <c r="AJ1150" t="s">
        <v>10214</v>
      </c>
      <c r="AK1150" t="s">
        <v>10838</v>
      </c>
      <c r="AL1150">
        <v>1.25</v>
      </c>
      <c r="AM1150" t="s">
        <v>10885</v>
      </c>
      <c r="AN1150" t="s">
        <v>10962</v>
      </c>
      <c r="AO1150" t="s">
        <v>11022</v>
      </c>
      <c r="AP1150" t="s">
        <v>11080</v>
      </c>
      <c r="AR1150" t="s">
        <v>11257</v>
      </c>
      <c r="AS1150" t="s">
        <v>11594</v>
      </c>
      <c r="AT1150" t="s">
        <v>11642</v>
      </c>
      <c r="AX1150" t="s">
        <v>10838</v>
      </c>
      <c r="AY1150" t="s">
        <v>10829</v>
      </c>
      <c r="AZ1150" t="s">
        <v>11682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</row>
    <row r="1151" spans="1:59">
      <c r="A1151" s="1">
        <f>HYPERLINK("https://lsnyc.legalserver.org/matter/dynamic-profile/view/1904977","19-1904977")</f>
        <v>0</v>
      </c>
      <c r="B1151" t="s">
        <v>1073</v>
      </c>
      <c r="C1151" t="s">
        <v>5601</v>
      </c>
      <c r="D1151" t="s">
        <v>9926</v>
      </c>
      <c r="E1151" t="s">
        <v>10075</v>
      </c>
      <c r="F1151">
        <v>10453</v>
      </c>
      <c r="G1151" t="s">
        <v>10090</v>
      </c>
      <c r="H1151" t="s">
        <v>10124</v>
      </c>
      <c r="I1151" t="s">
        <v>10169</v>
      </c>
      <c r="J1151" t="s">
        <v>10210</v>
      </c>
      <c r="K1151" t="s">
        <v>10217</v>
      </c>
      <c r="M1151" t="s">
        <v>10463</v>
      </c>
      <c r="N1151" t="s">
        <v>10650</v>
      </c>
      <c r="P1151" t="s">
        <v>10749</v>
      </c>
      <c r="Q1151" t="s">
        <v>10765</v>
      </c>
      <c r="R1151" t="s">
        <v>10821</v>
      </c>
      <c r="T1151">
        <v>31772</v>
      </c>
      <c r="U1151">
        <v>2647.67</v>
      </c>
      <c r="V1151">
        <v>52</v>
      </c>
      <c r="W1151">
        <v>1</v>
      </c>
      <c r="X1151">
        <v>1</v>
      </c>
      <c r="Z1151">
        <v>187.89</v>
      </c>
      <c r="AA1151">
        <v>40.846849</v>
      </c>
      <c r="AB1151">
        <v>-73.90953500000001</v>
      </c>
      <c r="AD1151" t="s">
        <v>10839</v>
      </c>
      <c r="AG1151" t="s">
        <v>10858</v>
      </c>
      <c r="AH1151" t="s">
        <v>10862</v>
      </c>
      <c r="AI1151">
        <v>230</v>
      </c>
      <c r="AJ1151" t="s">
        <v>10210</v>
      </c>
      <c r="AL1151">
        <v>0</v>
      </c>
      <c r="AM1151" t="s">
        <v>10884</v>
      </c>
      <c r="AN1151" t="s">
        <v>10931</v>
      </c>
      <c r="AO1151" t="s">
        <v>11000</v>
      </c>
      <c r="AP1151" t="s">
        <v>11045</v>
      </c>
      <c r="AR1151" t="s">
        <v>11257</v>
      </c>
      <c r="AS1151" t="s">
        <v>9926</v>
      </c>
      <c r="BA1151" t="s">
        <v>11739</v>
      </c>
      <c r="BB1151">
        <v>0</v>
      </c>
      <c r="BC1151">
        <v>0</v>
      </c>
      <c r="BD1151">
        <v>0</v>
      </c>
      <c r="BE1151">
        <v>0</v>
      </c>
      <c r="BF1151">
        <v>4</v>
      </c>
      <c r="BG1151">
        <v>0</v>
      </c>
    </row>
    <row r="1152" spans="1:59">
      <c r="A1152" s="1">
        <f>HYPERLINK("https://lsnyc.legalserver.org/matter/dynamic-profile/view/1904978","19-1904978")</f>
        <v>0</v>
      </c>
      <c r="B1152" t="s">
        <v>1074</v>
      </c>
      <c r="C1152" t="s">
        <v>5939</v>
      </c>
      <c r="D1152" t="s">
        <v>9925</v>
      </c>
      <c r="E1152" t="s">
        <v>10075</v>
      </c>
      <c r="F1152">
        <v>10001</v>
      </c>
      <c r="G1152" t="s">
        <v>10090</v>
      </c>
      <c r="H1152" t="s">
        <v>10124</v>
      </c>
      <c r="I1152" t="s">
        <v>10169</v>
      </c>
      <c r="J1152" t="s">
        <v>10210</v>
      </c>
      <c r="K1152" t="s">
        <v>10218</v>
      </c>
      <c r="L1152" t="s">
        <v>10160</v>
      </c>
      <c r="M1152" t="s">
        <v>10353</v>
      </c>
      <c r="N1152" t="s">
        <v>10671</v>
      </c>
      <c r="P1152" t="s">
        <v>10751</v>
      </c>
      <c r="Q1152" t="s">
        <v>10786</v>
      </c>
      <c r="R1152" t="s">
        <v>10824</v>
      </c>
      <c r="T1152">
        <v>2196</v>
      </c>
      <c r="U1152">
        <v>183</v>
      </c>
      <c r="V1152">
        <v>31</v>
      </c>
      <c r="W1152">
        <v>1</v>
      </c>
      <c r="X1152">
        <v>2</v>
      </c>
      <c r="Y1152" t="s">
        <v>10833</v>
      </c>
      <c r="Z1152">
        <v>10.3</v>
      </c>
      <c r="AA1152">
        <v>40.749833</v>
      </c>
      <c r="AB1152">
        <v>-74.002314</v>
      </c>
      <c r="AD1152" t="s">
        <v>10839</v>
      </c>
      <c r="AF1152" t="s">
        <v>10842</v>
      </c>
      <c r="AG1152" t="s">
        <v>10859</v>
      </c>
      <c r="AH1152" t="s">
        <v>10874</v>
      </c>
      <c r="AI1152">
        <v>230</v>
      </c>
      <c r="AJ1152" t="s">
        <v>10210</v>
      </c>
      <c r="AK1152" t="s">
        <v>10838</v>
      </c>
      <c r="AL1152">
        <v>0.55</v>
      </c>
      <c r="AM1152" t="s">
        <v>10894</v>
      </c>
      <c r="AN1152" t="s">
        <v>10966</v>
      </c>
      <c r="AO1152" t="s">
        <v>11019</v>
      </c>
      <c r="AP1152" t="s">
        <v>11090</v>
      </c>
      <c r="AQ1152" t="s">
        <v>11134</v>
      </c>
      <c r="AR1152" t="s">
        <v>11292</v>
      </c>
      <c r="AS1152" t="s">
        <v>9926</v>
      </c>
      <c r="AY1152" t="s">
        <v>10833</v>
      </c>
      <c r="AZ1152" t="s">
        <v>11688</v>
      </c>
      <c r="BA1152" t="s">
        <v>11741</v>
      </c>
      <c r="BB1152">
        <v>0</v>
      </c>
      <c r="BC1152">
        <v>0</v>
      </c>
      <c r="BD1152">
        <v>23</v>
      </c>
      <c r="BE1152">
        <v>251</v>
      </c>
      <c r="BF1152">
        <v>1</v>
      </c>
      <c r="BG1152">
        <v>0</v>
      </c>
    </row>
    <row r="1153" spans="1:59">
      <c r="A1153" s="1">
        <f>HYPERLINK("https://lsnyc.legalserver.org/matter/dynamic-profile/view/1904979","19-1904979")</f>
        <v>0</v>
      </c>
      <c r="B1153" t="s">
        <v>1075</v>
      </c>
      <c r="C1153" t="s">
        <v>5940</v>
      </c>
      <c r="D1153" t="s">
        <v>9926</v>
      </c>
      <c r="E1153" t="s">
        <v>10075</v>
      </c>
      <c r="F1153">
        <v>10463</v>
      </c>
      <c r="G1153" t="s">
        <v>10091</v>
      </c>
      <c r="H1153" t="s">
        <v>10124</v>
      </c>
      <c r="I1153" t="s">
        <v>10169</v>
      </c>
      <c r="J1153" t="s">
        <v>10214</v>
      </c>
      <c r="K1153" t="s">
        <v>10217</v>
      </c>
      <c r="M1153" t="s">
        <v>10286</v>
      </c>
      <c r="N1153" t="s">
        <v>10671</v>
      </c>
      <c r="P1153" t="s">
        <v>10752</v>
      </c>
      <c r="Q1153" t="s">
        <v>10762</v>
      </c>
      <c r="R1153" t="s">
        <v>10821</v>
      </c>
      <c r="T1153">
        <v>8400</v>
      </c>
      <c r="U1153">
        <v>700</v>
      </c>
      <c r="V1153">
        <v>66</v>
      </c>
      <c r="W1153">
        <v>1</v>
      </c>
      <c r="X1153">
        <v>0</v>
      </c>
      <c r="Z1153">
        <v>67.25</v>
      </c>
      <c r="AA1153">
        <v>40.873699</v>
      </c>
      <c r="AB1153">
        <v>-73.90476</v>
      </c>
      <c r="AD1153" t="s">
        <v>10840</v>
      </c>
      <c r="AG1153" t="s">
        <v>10858</v>
      </c>
      <c r="AH1153" t="s">
        <v>10861</v>
      </c>
      <c r="AI1153">
        <v>234</v>
      </c>
      <c r="AJ1153" t="s">
        <v>10214</v>
      </c>
      <c r="AL1153">
        <v>0.5</v>
      </c>
      <c r="AM1153" t="s">
        <v>10887</v>
      </c>
      <c r="AN1153" t="s">
        <v>10907</v>
      </c>
      <c r="AO1153" t="s">
        <v>11000</v>
      </c>
      <c r="AP1153" t="s">
        <v>11045</v>
      </c>
      <c r="AR1153" t="s">
        <v>11254</v>
      </c>
      <c r="AS1153" t="s">
        <v>9926</v>
      </c>
      <c r="AT1153" t="s">
        <v>11642</v>
      </c>
      <c r="AX1153" t="s">
        <v>10838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</row>
    <row r="1154" spans="1:59">
      <c r="A1154" s="1">
        <f>HYPERLINK("https://lsnyc.legalserver.org/matter/dynamic-profile/view/1904981","19-1904981")</f>
        <v>0</v>
      </c>
      <c r="B1154" t="s">
        <v>1073</v>
      </c>
      <c r="C1154" t="s">
        <v>5601</v>
      </c>
      <c r="D1154" t="s">
        <v>9926</v>
      </c>
      <c r="E1154" t="s">
        <v>10075</v>
      </c>
      <c r="F1154">
        <v>10453</v>
      </c>
      <c r="G1154" t="s">
        <v>10090</v>
      </c>
      <c r="H1154" t="s">
        <v>10124</v>
      </c>
      <c r="I1154" t="s">
        <v>10169</v>
      </c>
      <c r="J1154" t="s">
        <v>10210</v>
      </c>
      <c r="K1154" t="s">
        <v>10217</v>
      </c>
      <c r="M1154" t="s">
        <v>10463</v>
      </c>
      <c r="N1154" t="s">
        <v>10650</v>
      </c>
      <c r="P1154" t="s">
        <v>10749</v>
      </c>
      <c r="Q1154" t="s">
        <v>10765</v>
      </c>
      <c r="R1154" t="s">
        <v>10821</v>
      </c>
      <c r="T1154">
        <v>31772</v>
      </c>
      <c r="U1154">
        <v>2647.67</v>
      </c>
      <c r="V1154">
        <v>52</v>
      </c>
      <c r="W1154">
        <v>1</v>
      </c>
      <c r="X1154">
        <v>1</v>
      </c>
      <c r="Z1154">
        <v>187.89</v>
      </c>
      <c r="AA1154">
        <v>40.846849</v>
      </c>
      <c r="AB1154">
        <v>-73.90953500000001</v>
      </c>
      <c r="AD1154" t="s">
        <v>10839</v>
      </c>
      <c r="AG1154" t="s">
        <v>10858</v>
      </c>
      <c r="AH1154" t="s">
        <v>10862</v>
      </c>
      <c r="AI1154">
        <v>230</v>
      </c>
      <c r="AJ1154" t="s">
        <v>10210</v>
      </c>
      <c r="AL1154">
        <v>0</v>
      </c>
      <c r="AM1154" t="s">
        <v>10884</v>
      </c>
      <c r="AN1154" t="s">
        <v>10931</v>
      </c>
      <c r="AO1154" t="s">
        <v>11000</v>
      </c>
      <c r="AP1154" t="s">
        <v>11045</v>
      </c>
      <c r="AR1154" t="s">
        <v>11257</v>
      </c>
      <c r="AS1154" t="s">
        <v>9926</v>
      </c>
      <c r="BA1154" t="s">
        <v>11739</v>
      </c>
      <c r="BB1154">
        <v>0</v>
      </c>
      <c r="BC1154">
        <v>0</v>
      </c>
      <c r="BD1154">
        <v>0</v>
      </c>
      <c r="BE1154">
        <v>0</v>
      </c>
      <c r="BF1154">
        <v>4</v>
      </c>
      <c r="BG1154">
        <v>0</v>
      </c>
    </row>
    <row r="1155" spans="1:59">
      <c r="A1155" s="1">
        <f>HYPERLINK("https://lsnyc.legalserver.org/matter/dynamic-profile/view/1904982","19-1904982")</f>
        <v>0</v>
      </c>
      <c r="B1155" t="s">
        <v>1076</v>
      </c>
      <c r="C1155" t="s">
        <v>5941</v>
      </c>
      <c r="D1155" t="s">
        <v>9926</v>
      </c>
      <c r="E1155" t="s">
        <v>10075</v>
      </c>
      <c r="F1155">
        <v>10467</v>
      </c>
      <c r="G1155" t="s">
        <v>10090</v>
      </c>
      <c r="H1155" t="s">
        <v>10124</v>
      </c>
      <c r="I1155" t="s">
        <v>10168</v>
      </c>
      <c r="J1155" t="s">
        <v>10210</v>
      </c>
      <c r="K1155" t="s">
        <v>10217</v>
      </c>
      <c r="M1155" t="s">
        <v>10404</v>
      </c>
      <c r="N1155" t="s">
        <v>10666</v>
      </c>
      <c r="P1155" t="s">
        <v>10749</v>
      </c>
      <c r="Q1155" t="s">
        <v>10791</v>
      </c>
      <c r="R1155" t="s">
        <v>10824</v>
      </c>
      <c r="T1155">
        <v>40000</v>
      </c>
      <c r="U1155">
        <v>3333.33</v>
      </c>
      <c r="V1155">
        <v>49</v>
      </c>
      <c r="W1155">
        <v>3</v>
      </c>
      <c r="X1155">
        <v>0</v>
      </c>
      <c r="Z1155">
        <v>187.53</v>
      </c>
      <c r="AA1155">
        <v>40.882817</v>
      </c>
      <c r="AB1155">
        <v>-73.862466</v>
      </c>
      <c r="AD1155" t="s">
        <v>10839</v>
      </c>
      <c r="AG1155" t="s">
        <v>10858</v>
      </c>
      <c r="AH1155" t="s">
        <v>10862</v>
      </c>
      <c r="AI1155">
        <v>230</v>
      </c>
      <c r="AJ1155" t="s">
        <v>10210</v>
      </c>
      <c r="AL1155">
        <v>31.2</v>
      </c>
      <c r="AM1155" t="s">
        <v>10893</v>
      </c>
      <c r="AN1155" t="s">
        <v>10956</v>
      </c>
      <c r="AO1155" t="s">
        <v>11010</v>
      </c>
      <c r="AP1155" t="s">
        <v>11085</v>
      </c>
      <c r="AR1155" t="s">
        <v>11257</v>
      </c>
      <c r="AS1155" t="s">
        <v>9926</v>
      </c>
      <c r="AT1155" t="s">
        <v>11641</v>
      </c>
      <c r="BA1155" t="s">
        <v>11738</v>
      </c>
      <c r="BB1155">
        <v>0</v>
      </c>
      <c r="BC1155">
        <v>0</v>
      </c>
      <c r="BD1155">
        <v>0</v>
      </c>
      <c r="BE1155">
        <v>0</v>
      </c>
      <c r="BF1155">
        <v>5</v>
      </c>
      <c r="BG1155">
        <v>0</v>
      </c>
    </row>
    <row r="1156" spans="1:59">
      <c r="A1156" s="1">
        <f>HYPERLINK("https://lsnyc.legalserver.org/matter/dynamic-profile/view/1904984","19-1904984")</f>
        <v>0</v>
      </c>
      <c r="B1156" t="s">
        <v>1077</v>
      </c>
      <c r="D1156" t="s">
        <v>9928</v>
      </c>
      <c r="E1156" t="s">
        <v>10075</v>
      </c>
      <c r="F1156">
        <v>11207</v>
      </c>
      <c r="G1156" t="s">
        <v>10093</v>
      </c>
      <c r="H1156" t="s">
        <v>10135</v>
      </c>
      <c r="I1156" t="s">
        <v>10168</v>
      </c>
      <c r="J1156" t="s">
        <v>10213</v>
      </c>
      <c r="K1156" t="s">
        <v>10217</v>
      </c>
      <c r="M1156" t="s">
        <v>10426</v>
      </c>
      <c r="N1156" t="s">
        <v>10671</v>
      </c>
      <c r="P1156" t="s">
        <v>10749</v>
      </c>
      <c r="Q1156" t="s">
        <v>10774</v>
      </c>
      <c r="R1156" t="s">
        <v>10824</v>
      </c>
      <c r="T1156">
        <v>22478</v>
      </c>
      <c r="U1156">
        <v>1873.17</v>
      </c>
      <c r="V1156">
        <v>49</v>
      </c>
      <c r="W1156">
        <v>2</v>
      </c>
      <c r="X1156">
        <v>1</v>
      </c>
      <c r="Z1156">
        <v>105.38</v>
      </c>
      <c r="AA1156">
        <v>0</v>
      </c>
      <c r="AB1156">
        <v>0</v>
      </c>
      <c r="AD1156" t="s">
        <v>10839</v>
      </c>
      <c r="AF1156" t="s">
        <v>10843</v>
      </c>
      <c r="AG1156" t="s">
        <v>10859</v>
      </c>
      <c r="AH1156" t="s">
        <v>10862</v>
      </c>
      <c r="AI1156">
        <v>239</v>
      </c>
      <c r="AJ1156" t="s">
        <v>10213</v>
      </c>
      <c r="AL1156">
        <v>2.2</v>
      </c>
      <c r="AQ1156" t="s">
        <v>11136</v>
      </c>
      <c r="AR1156" t="s">
        <v>11402</v>
      </c>
      <c r="AS1156" t="s">
        <v>11595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</row>
    <row r="1157" spans="1:59">
      <c r="A1157" s="1">
        <f>HYPERLINK("https://lsnyc.legalserver.org/matter/dynamic-profile/view/1904985","19-1904985")</f>
        <v>0</v>
      </c>
      <c r="B1157" t="s">
        <v>1078</v>
      </c>
      <c r="C1157" t="s">
        <v>5942</v>
      </c>
      <c r="D1157" t="s">
        <v>9982</v>
      </c>
      <c r="E1157" t="s">
        <v>10075</v>
      </c>
      <c r="F1157">
        <v>11375</v>
      </c>
      <c r="G1157" t="s">
        <v>10092</v>
      </c>
      <c r="H1157" t="s">
        <v>10124</v>
      </c>
      <c r="I1157" t="s">
        <v>10168</v>
      </c>
      <c r="J1157" t="s">
        <v>10212</v>
      </c>
      <c r="K1157" t="s">
        <v>10217</v>
      </c>
      <c r="M1157" t="s">
        <v>10273</v>
      </c>
      <c r="N1157" t="s">
        <v>10672</v>
      </c>
      <c r="P1157" t="s">
        <v>10750</v>
      </c>
      <c r="Q1157" t="s">
        <v>10778</v>
      </c>
      <c r="R1157" t="s">
        <v>10820</v>
      </c>
      <c r="T1157">
        <v>20580</v>
      </c>
      <c r="U1157">
        <v>1715</v>
      </c>
      <c r="V1157">
        <v>72</v>
      </c>
      <c r="W1157">
        <v>1</v>
      </c>
      <c r="X1157">
        <v>0</v>
      </c>
      <c r="Z1157">
        <v>164.77</v>
      </c>
      <c r="AA1157">
        <v>40.727874</v>
      </c>
      <c r="AB1157">
        <v>-73.84755800000001</v>
      </c>
      <c r="AD1157" t="s">
        <v>10839</v>
      </c>
      <c r="AG1157" t="s">
        <v>10858</v>
      </c>
      <c r="AH1157" t="s">
        <v>10861</v>
      </c>
      <c r="AI1157">
        <v>234</v>
      </c>
      <c r="AJ1157" t="s">
        <v>10214</v>
      </c>
      <c r="AL1157">
        <v>22.4</v>
      </c>
      <c r="AM1157" t="s">
        <v>10890</v>
      </c>
      <c r="AN1157" t="s">
        <v>10952</v>
      </c>
      <c r="AO1157" t="s">
        <v>11024</v>
      </c>
      <c r="AP1157" t="s">
        <v>11083</v>
      </c>
      <c r="AR1157" t="s">
        <v>11290</v>
      </c>
      <c r="AS1157" t="s">
        <v>11594</v>
      </c>
      <c r="AT1157" t="s">
        <v>11641</v>
      </c>
      <c r="AX1157" t="s">
        <v>10838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</row>
    <row r="1158" spans="1:59">
      <c r="A1158" s="1">
        <f>HYPERLINK("https://lsnyc.legalserver.org/matter/dynamic-profile/view/1904986","19-1904986")</f>
        <v>0</v>
      </c>
      <c r="B1158" t="s">
        <v>169</v>
      </c>
      <c r="C1158" t="s">
        <v>5943</v>
      </c>
      <c r="D1158" t="s">
        <v>9928</v>
      </c>
      <c r="E1158" t="s">
        <v>10075</v>
      </c>
      <c r="F1158">
        <v>11233</v>
      </c>
      <c r="G1158" t="s">
        <v>10093</v>
      </c>
      <c r="H1158" t="s">
        <v>10124</v>
      </c>
      <c r="I1158" t="s">
        <v>10168</v>
      </c>
      <c r="J1158" t="s">
        <v>10213</v>
      </c>
      <c r="K1158" t="s">
        <v>10218</v>
      </c>
      <c r="L1158" t="s">
        <v>10166</v>
      </c>
      <c r="M1158" t="s">
        <v>10526</v>
      </c>
      <c r="N1158" t="s">
        <v>10657</v>
      </c>
      <c r="P1158" t="s">
        <v>10752</v>
      </c>
      <c r="Q1158" t="s">
        <v>10805</v>
      </c>
      <c r="R1158" t="s">
        <v>10824</v>
      </c>
      <c r="T1158">
        <v>27756</v>
      </c>
      <c r="U1158">
        <v>2313</v>
      </c>
      <c r="V1158">
        <v>60</v>
      </c>
      <c r="W1158">
        <v>5</v>
      </c>
      <c r="X1158">
        <v>0</v>
      </c>
      <c r="Y1158" t="s">
        <v>10829</v>
      </c>
      <c r="Z1158">
        <v>92</v>
      </c>
      <c r="AA1158">
        <v>40.679313</v>
      </c>
      <c r="AB1158">
        <v>-73.921294</v>
      </c>
      <c r="AD1158" t="s">
        <v>10839</v>
      </c>
      <c r="AG1158" t="s">
        <v>10858</v>
      </c>
      <c r="AH1158" t="s">
        <v>10861</v>
      </c>
      <c r="AI1158">
        <v>239</v>
      </c>
      <c r="AJ1158" t="s">
        <v>10213</v>
      </c>
      <c r="AK1158" t="s">
        <v>10838</v>
      </c>
      <c r="AL1158">
        <v>0.5</v>
      </c>
      <c r="AM1158" t="s">
        <v>10889</v>
      </c>
      <c r="AN1158" t="s">
        <v>10922</v>
      </c>
      <c r="AO1158" t="s">
        <v>11007</v>
      </c>
      <c r="AP1158" t="s">
        <v>11064</v>
      </c>
      <c r="AQ1158" t="s">
        <v>11155</v>
      </c>
      <c r="AR1158" t="s">
        <v>11253</v>
      </c>
      <c r="AS1158" t="s">
        <v>11595</v>
      </c>
      <c r="AY1158" t="s">
        <v>10829</v>
      </c>
      <c r="AZ1158" t="s">
        <v>11680</v>
      </c>
      <c r="BA1158" t="s">
        <v>11741</v>
      </c>
      <c r="BB1158">
        <v>0</v>
      </c>
      <c r="BC1158">
        <v>0</v>
      </c>
      <c r="BD1158">
        <v>0</v>
      </c>
      <c r="BE1158">
        <v>0</v>
      </c>
      <c r="BF1158">
        <v>1</v>
      </c>
      <c r="BG1158">
        <v>0</v>
      </c>
    </row>
    <row r="1159" spans="1:59">
      <c r="A1159" s="1">
        <f>HYPERLINK("https://lsnyc.legalserver.org/matter/dynamic-profile/view/1904987","19-1904987")</f>
        <v>0</v>
      </c>
      <c r="B1159" t="s">
        <v>1079</v>
      </c>
      <c r="C1159" t="s">
        <v>5944</v>
      </c>
      <c r="D1159" t="s">
        <v>9925</v>
      </c>
      <c r="E1159" t="s">
        <v>10075</v>
      </c>
      <c r="F1159">
        <v>10034</v>
      </c>
      <c r="G1159" t="s">
        <v>10089</v>
      </c>
      <c r="H1159" t="s">
        <v>10124</v>
      </c>
      <c r="I1159" t="s">
        <v>10169</v>
      </c>
      <c r="J1159" t="s">
        <v>10209</v>
      </c>
      <c r="K1159" t="s">
        <v>10218</v>
      </c>
      <c r="L1159" t="s">
        <v>10116</v>
      </c>
      <c r="M1159" t="s">
        <v>10483</v>
      </c>
      <c r="N1159" t="s">
        <v>10650</v>
      </c>
      <c r="P1159" t="s">
        <v>10749</v>
      </c>
      <c r="Q1159" t="s">
        <v>10765</v>
      </c>
      <c r="R1159" t="s">
        <v>10821</v>
      </c>
      <c r="T1159">
        <v>9672</v>
      </c>
      <c r="U1159">
        <v>806</v>
      </c>
      <c r="V1159">
        <v>40</v>
      </c>
      <c r="W1159">
        <v>2</v>
      </c>
      <c r="X1159">
        <v>1</v>
      </c>
      <c r="Y1159" t="s">
        <v>10829</v>
      </c>
      <c r="Z1159">
        <v>45.34</v>
      </c>
      <c r="AA1159">
        <v>40.867202</v>
      </c>
      <c r="AB1159">
        <v>-73.919693</v>
      </c>
      <c r="AD1159" t="s">
        <v>10839</v>
      </c>
      <c r="AG1159" t="s">
        <v>10858</v>
      </c>
      <c r="AH1159" t="s">
        <v>10862</v>
      </c>
      <c r="AI1159">
        <v>236</v>
      </c>
      <c r="AJ1159" t="s">
        <v>10209</v>
      </c>
      <c r="AK1159" t="s">
        <v>10838</v>
      </c>
      <c r="AL1159">
        <v>1</v>
      </c>
      <c r="AM1159" t="s">
        <v>10887</v>
      </c>
      <c r="AN1159" t="s">
        <v>10937</v>
      </c>
      <c r="AO1159" t="s">
        <v>11019</v>
      </c>
      <c r="AP1159" t="s">
        <v>11074</v>
      </c>
      <c r="AR1159" t="s">
        <v>11270</v>
      </c>
      <c r="AS1159" t="s">
        <v>9925</v>
      </c>
      <c r="AT1159" t="s">
        <v>11641</v>
      </c>
      <c r="AX1159" t="s">
        <v>10838</v>
      </c>
      <c r="AY1159" t="s">
        <v>10829</v>
      </c>
      <c r="AZ1159" t="s">
        <v>11681</v>
      </c>
      <c r="BA1159" t="s">
        <v>11741</v>
      </c>
      <c r="BB1159">
        <v>0</v>
      </c>
      <c r="BC1159">
        <v>0</v>
      </c>
      <c r="BD1159">
        <v>0</v>
      </c>
      <c r="BE1159">
        <v>0</v>
      </c>
      <c r="BF1159">
        <v>1</v>
      </c>
      <c r="BG1159">
        <v>0</v>
      </c>
    </row>
    <row r="1160" spans="1:59">
      <c r="A1160" s="1">
        <f>HYPERLINK("https://lsnyc.legalserver.org/matter/dynamic-profile/view/1904988","19-1904988")</f>
        <v>0</v>
      </c>
      <c r="B1160" t="s">
        <v>1080</v>
      </c>
      <c r="C1160" t="s">
        <v>5945</v>
      </c>
      <c r="D1160" t="s">
        <v>9926</v>
      </c>
      <c r="E1160" t="s">
        <v>10075</v>
      </c>
      <c r="F1160">
        <v>10473</v>
      </c>
      <c r="G1160" t="s">
        <v>10089</v>
      </c>
      <c r="H1160" t="s">
        <v>10124</v>
      </c>
      <c r="I1160" t="s">
        <v>10168</v>
      </c>
      <c r="J1160" t="s">
        <v>10209</v>
      </c>
      <c r="K1160" t="s">
        <v>10218</v>
      </c>
      <c r="L1160" t="s">
        <v>10108</v>
      </c>
      <c r="M1160" t="s">
        <v>10229</v>
      </c>
      <c r="N1160" t="s">
        <v>10645</v>
      </c>
      <c r="P1160" t="s">
        <v>10750</v>
      </c>
      <c r="Q1160" t="s">
        <v>10779</v>
      </c>
      <c r="R1160" t="s">
        <v>10821</v>
      </c>
      <c r="T1160">
        <v>0</v>
      </c>
      <c r="U1160">
        <v>0</v>
      </c>
      <c r="V1160">
        <v>43</v>
      </c>
      <c r="W1160">
        <v>1</v>
      </c>
      <c r="X1160">
        <v>0</v>
      </c>
      <c r="Y1160" t="s">
        <v>10829</v>
      </c>
      <c r="Z1160">
        <v>0</v>
      </c>
      <c r="AA1160">
        <v>40.821188</v>
      </c>
      <c r="AB1160">
        <v>-73.84586899999999</v>
      </c>
      <c r="AD1160" t="s">
        <v>10840</v>
      </c>
      <c r="AG1160" t="s">
        <v>10858</v>
      </c>
      <c r="AH1160" t="s">
        <v>10861</v>
      </c>
      <c r="AI1160">
        <v>234</v>
      </c>
      <c r="AJ1160" t="s">
        <v>10214</v>
      </c>
      <c r="AK1160" t="s">
        <v>10838</v>
      </c>
      <c r="AL1160">
        <v>1.85</v>
      </c>
      <c r="AM1160" t="s">
        <v>10884</v>
      </c>
      <c r="AN1160" t="s">
        <v>10908</v>
      </c>
      <c r="AO1160" t="s">
        <v>11002</v>
      </c>
      <c r="AP1160" t="s">
        <v>11046</v>
      </c>
      <c r="AR1160" t="s">
        <v>11267</v>
      </c>
      <c r="AS1160" t="s">
        <v>9926</v>
      </c>
      <c r="AT1160" t="s">
        <v>11642</v>
      </c>
      <c r="AX1160" t="s">
        <v>10838</v>
      </c>
      <c r="AY1160" t="s">
        <v>10829</v>
      </c>
      <c r="AZ1160" t="s">
        <v>11679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</row>
    <row r="1161" spans="1:59">
      <c r="A1161" s="1">
        <f>HYPERLINK("https://lsnyc.legalserver.org/matter/dynamic-profile/view/1904989","19-1904989")</f>
        <v>0</v>
      </c>
      <c r="B1161" t="s">
        <v>1081</v>
      </c>
      <c r="C1161" t="s">
        <v>5946</v>
      </c>
      <c r="D1161" t="s">
        <v>9991</v>
      </c>
      <c r="E1161" t="s">
        <v>10075</v>
      </c>
      <c r="F1161">
        <v>11001</v>
      </c>
      <c r="G1161" t="s">
        <v>10089</v>
      </c>
      <c r="H1161" t="s">
        <v>10124</v>
      </c>
      <c r="I1161" t="s">
        <v>10168</v>
      </c>
      <c r="J1161" t="s">
        <v>10209</v>
      </c>
      <c r="K1161" t="s">
        <v>10218</v>
      </c>
      <c r="L1161" t="s">
        <v>10146</v>
      </c>
      <c r="M1161" t="s">
        <v>10488</v>
      </c>
      <c r="N1161" t="s">
        <v>10673</v>
      </c>
      <c r="P1161" t="s">
        <v>10753</v>
      </c>
      <c r="Q1161" t="s">
        <v>10763</v>
      </c>
      <c r="R1161" t="s">
        <v>10828</v>
      </c>
      <c r="T1161">
        <v>0</v>
      </c>
      <c r="U1161">
        <v>0</v>
      </c>
      <c r="V1161">
        <v>32</v>
      </c>
      <c r="W1161">
        <v>1</v>
      </c>
      <c r="X1161">
        <v>1</v>
      </c>
      <c r="Y1161" t="s">
        <v>10833</v>
      </c>
      <c r="Z1161">
        <v>0</v>
      </c>
      <c r="AA1161">
        <v>40.735707</v>
      </c>
      <c r="AB1161">
        <v>-73.710348</v>
      </c>
      <c r="AD1161" t="s">
        <v>10839</v>
      </c>
      <c r="AF1161" t="s">
        <v>10848</v>
      </c>
      <c r="AG1161" t="s">
        <v>10859</v>
      </c>
      <c r="AH1161" t="s">
        <v>10864</v>
      </c>
      <c r="AI1161">
        <v>236</v>
      </c>
      <c r="AJ1161" t="s">
        <v>10209</v>
      </c>
      <c r="AK1161" t="s">
        <v>10837</v>
      </c>
      <c r="AL1161">
        <v>1</v>
      </c>
      <c r="AM1161" t="s">
        <v>10895</v>
      </c>
      <c r="AN1161" t="s">
        <v>10940</v>
      </c>
      <c r="AO1161" t="s">
        <v>11022</v>
      </c>
      <c r="AP1161" t="s">
        <v>11078</v>
      </c>
      <c r="AQ1161" t="s">
        <v>11104</v>
      </c>
      <c r="AR1161" t="s">
        <v>11403</v>
      </c>
      <c r="AS1161" t="s">
        <v>11594</v>
      </c>
      <c r="AY1161" t="s">
        <v>10833</v>
      </c>
      <c r="AZ1161" t="s">
        <v>11699</v>
      </c>
      <c r="BA1161" t="s">
        <v>11739</v>
      </c>
      <c r="BB1161">
        <v>455</v>
      </c>
      <c r="BC1161">
        <v>0</v>
      </c>
      <c r="BD1161">
        <v>0</v>
      </c>
      <c r="BE1161">
        <v>0</v>
      </c>
      <c r="BF1161">
        <v>4</v>
      </c>
      <c r="BG1161">
        <v>0</v>
      </c>
    </row>
    <row r="1162" spans="1:59">
      <c r="A1162" s="1">
        <f>HYPERLINK("https://lsnyc.legalserver.org/matter/dynamic-profile/view/1904990","19-1904990")</f>
        <v>0</v>
      </c>
      <c r="B1162" t="s">
        <v>594</v>
      </c>
      <c r="C1162" t="s">
        <v>5505</v>
      </c>
      <c r="D1162" t="s">
        <v>9941</v>
      </c>
      <c r="E1162" t="s">
        <v>10075</v>
      </c>
      <c r="F1162">
        <v>11429</v>
      </c>
      <c r="G1162" t="s">
        <v>10092</v>
      </c>
      <c r="H1162" t="s">
        <v>10124</v>
      </c>
      <c r="I1162" t="s">
        <v>10168</v>
      </c>
      <c r="J1162" t="s">
        <v>10212</v>
      </c>
      <c r="K1162" t="s">
        <v>10217</v>
      </c>
      <c r="M1162" t="s">
        <v>10318</v>
      </c>
      <c r="N1162" t="s">
        <v>10684</v>
      </c>
      <c r="P1162" t="s">
        <v>10751</v>
      </c>
      <c r="Q1162" t="s">
        <v>10786</v>
      </c>
      <c r="R1162" t="s">
        <v>10821</v>
      </c>
      <c r="T1162">
        <v>0</v>
      </c>
      <c r="U1162">
        <v>0</v>
      </c>
      <c r="V1162">
        <v>50</v>
      </c>
      <c r="W1162">
        <v>2</v>
      </c>
      <c r="X1162">
        <v>0</v>
      </c>
      <c r="Z1162">
        <v>0</v>
      </c>
      <c r="AA1162">
        <v>40.713991</v>
      </c>
      <c r="AB1162">
        <v>-73.74660900000001</v>
      </c>
      <c r="AD1162" t="s">
        <v>10839</v>
      </c>
      <c r="AG1162" t="s">
        <v>10858</v>
      </c>
      <c r="AH1162" t="s">
        <v>10873</v>
      </c>
      <c r="AI1162">
        <v>237</v>
      </c>
      <c r="AJ1162" t="s">
        <v>10212</v>
      </c>
      <c r="AL1162">
        <v>5.25</v>
      </c>
      <c r="AM1162" t="s">
        <v>10892</v>
      </c>
      <c r="AN1162" t="s">
        <v>10940</v>
      </c>
      <c r="AO1162" t="s">
        <v>11020</v>
      </c>
      <c r="AP1162" t="s">
        <v>11075</v>
      </c>
      <c r="AR1162" t="s">
        <v>10180</v>
      </c>
      <c r="AS1162" t="s">
        <v>11594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</row>
    <row r="1163" spans="1:59">
      <c r="A1163" s="1">
        <f>HYPERLINK("https://lsnyc.legalserver.org/matter/dynamic-profile/view/1904991","19-1904991")</f>
        <v>0</v>
      </c>
      <c r="B1163" t="s">
        <v>266</v>
      </c>
      <c r="C1163" t="s">
        <v>5197</v>
      </c>
      <c r="D1163" t="s">
        <v>9926</v>
      </c>
      <c r="E1163" t="s">
        <v>10075</v>
      </c>
      <c r="F1163">
        <v>10468</v>
      </c>
      <c r="G1163" t="s">
        <v>10090</v>
      </c>
      <c r="H1163" t="s">
        <v>10124</v>
      </c>
      <c r="I1163" t="s">
        <v>10169</v>
      </c>
      <c r="J1163" t="s">
        <v>10210</v>
      </c>
      <c r="K1163" t="s">
        <v>10218</v>
      </c>
      <c r="L1163" t="s">
        <v>10140</v>
      </c>
      <c r="M1163" t="s">
        <v>10353</v>
      </c>
      <c r="N1163" t="s">
        <v>10677</v>
      </c>
      <c r="P1163" t="s">
        <v>10751</v>
      </c>
      <c r="Q1163" t="s">
        <v>10761</v>
      </c>
      <c r="R1163" t="s">
        <v>10823</v>
      </c>
      <c r="T1163">
        <v>10296</v>
      </c>
      <c r="U1163">
        <v>858</v>
      </c>
      <c r="V1163">
        <v>63</v>
      </c>
      <c r="W1163">
        <v>2</v>
      </c>
      <c r="X1163">
        <v>0</v>
      </c>
      <c r="Y1163" t="s">
        <v>10833</v>
      </c>
      <c r="Z1163">
        <v>60.89</v>
      </c>
      <c r="AA1163">
        <v>40.874146</v>
      </c>
      <c r="AB1163">
        <v>-73.90199</v>
      </c>
      <c r="AD1163" t="s">
        <v>10839</v>
      </c>
      <c r="AG1163" t="s">
        <v>10858</v>
      </c>
      <c r="AH1163" t="s">
        <v>10862</v>
      </c>
      <c r="AI1163">
        <v>230</v>
      </c>
      <c r="AJ1163" t="s">
        <v>10210</v>
      </c>
      <c r="AK1163" t="s">
        <v>10882</v>
      </c>
      <c r="AL1163">
        <v>1.6</v>
      </c>
      <c r="AR1163" t="s">
        <v>11258</v>
      </c>
      <c r="AS1163" t="s">
        <v>9926</v>
      </c>
      <c r="AY1163" t="s">
        <v>10833</v>
      </c>
      <c r="AZ1163" t="s">
        <v>11688</v>
      </c>
      <c r="BB1163">
        <v>0</v>
      </c>
      <c r="BC1163">
        <v>0</v>
      </c>
      <c r="BD1163">
        <v>5384.4</v>
      </c>
      <c r="BE1163">
        <v>0</v>
      </c>
      <c r="BF1163">
        <v>0</v>
      </c>
      <c r="BG1163">
        <v>0</v>
      </c>
    </row>
    <row r="1164" spans="1:59">
      <c r="A1164" s="1">
        <f>HYPERLINK("https://lsnyc.legalserver.org/matter/dynamic-profile/view/1904992","19-1904992")</f>
        <v>0</v>
      </c>
      <c r="B1164" t="s">
        <v>1082</v>
      </c>
      <c r="C1164" t="s">
        <v>5947</v>
      </c>
      <c r="D1164" t="s">
        <v>9940</v>
      </c>
      <c r="E1164" t="s">
        <v>10075</v>
      </c>
      <c r="F1164">
        <v>11421</v>
      </c>
      <c r="G1164" t="s">
        <v>10092</v>
      </c>
      <c r="H1164" t="s">
        <v>10124</v>
      </c>
      <c r="I1164" t="s">
        <v>10168</v>
      </c>
      <c r="J1164" t="s">
        <v>10212</v>
      </c>
      <c r="K1164" t="s">
        <v>10218</v>
      </c>
      <c r="L1164" t="s">
        <v>10139</v>
      </c>
      <c r="M1164" t="s">
        <v>10340</v>
      </c>
      <c r="N1164" t="s">
        <v>10656</v>
      </c>
      <c r="P1164" t="s">
        <v>10751</v>
      </c>
      <c r="Q1164" t="s">
        <v>10768</v>
      </c>
      <c r="R1164" t="s">
        <v>10824</v>
      </c>
      <c r="T1164">
        <v>0</v>
      </c>
      <c r="U1164">
        <v>0</v>
      </c>
      <c r="V1164">
        <v>59</v>
      </c>
      <c r="W1164">
        <v>1</v>
      </c>
      <c r="X1164">
        <v>0</v>
      </c>
      <c r="Y1164" t="s">
        <v>10829</v>
      </c>
      <c r="Z1164">
        <v>0</v>
      </c>
      <c r="AA1164">
        <v>40.692374</v>
      </c>
      <c r="AB1164">
        <v>-73.861789</v>
      </c>
      <c r="AD1164" t="s">
        <v>10840</v>
      </c>
      <c r="AG1164" t="s">
        <v>10858</v>
      </c>
      <c r="AH1164" t="s">
        <v>10861</v>
      </c>
      <c r="AI1164">
        <v>237</v>
      </c>
      <c r="AJ1164" t="s">
        <v>10212</v>
      </c>
      <c r="AK1164" t="s">
        <v>10838</v>
      </c>
      <c r="AL1164">
        <v>1.9</v>
      </c>
      <c r="AM1164" t="s">
        <v>10886</v>
      </c>
      <c r="AN1164" t="s">
        <v>10945</v>
      </c>
      <c r="AO1164" t="s">
        <v>11024</v>
      </c>
      <c r="AP1164" t="s">
        <v>11077</v>
      </c>
      <c r="AR1164" t="s">
        <v>11267</v>
      </c>
      <c r="AS1164" t="s">
        <v>11594</v>
      </c>
      <c r="AY1164" t="s">
        <v>10829</v>
      </c>
      <c r="AZ1164" t="s">
        <v>11682</v>
      </c>
      <c r="BA1164" t="s">
        <v>11741</v>
      </c>
      <c r="BB1164">
        <v>0</v>
      </c>
      <c r="BC1164">
        <v>0</v>
      </c>
      <c r="BD1164">
        <v>0</v>
      </c>
      <c r="BE1164">
        <v>0</v>
      </c>
      <c r="BF1164">
        <v>1</v>
      </c>
      <c r="BG1164">
        <v>0</v>
      </c>
    </row>
    <row r="1165" spans="1:59">
      <c r="A1165" s="1">
        <f>HYPERLINK("https://lsnyc.legalserver.org/matter/dynamic-profile/view/1904993","19-1904993")</f>
        <v>0</v>
      </c>
      <c r="B1165" t="s">
        <v>1083</v>
      </c>
      <c r="C1165" t="s">
        <v>5601</v>
      </c>
      <c r="D1165" t="s">
        <v>9926</v>
      </c>
      <c r="E1165" t="s">
        <v>10075</v>
      </c>
      <c r="F1165">
        <v>10453</v>
      </c>
      <c r="G1165" t="s">
        <v>10090</v>
      </c>
      <c r="H1165" t="s">
        <v>10124</v>
      </c>
      <c r="I1165" t="s">
        <v>10168</v>
      </c>
      <c r="J1165" t="s">
        <v>10210</v>
      </c>
      <c r="K1165" t="s">
        <v>10217</v>
      </c>
      <c r="M1165" t="s">
        <v>10463</v>
      </c>
      <c r="N1165" t="s">
        <v>10650</v>
      </c>
      <c r="P1165" t="s">
        <v>10749</v>
      </c>
      <c r="Q1165" t="s">
        <v>10765</v>
      </c>
      <c r="R1165" t="s">
        <v>10825</v>
      </c>
      <c r="T1165">
        <v>60000</v>
      </c>
      <c r="U1165">
        <v>5000</v>
      </c>
      <c r="V1165">
        <v>54</v>
      </c>
      <c r="W1165">
        <v>1</v>
      </c>
      <c r="X1165">
        <v>0</v>
      </c>
      <c r="Z1165">
        <v>480.38</v>
      </c>
      <c r="AA1165">
        <v>40.846849</v>
      </c>
      <c r="AB1165">
        <v>-73.90953500000001</v>
      </c>
      <c r="AD1165" t="s">
        <v>10840</v>
      </c>
      <c r="AF1165" t="s">
        <v>10843</v>
      </c>
      <c r="AG1165" t="s">
        <v>10859</v>
      </c>
      <c r="AH1165" t="s">
        <v>10862</v>
      </c>
      <c r="AI1165">
        <v>230</v>
      </c>
      <c r="AJ1165" t="s">
        <v>10210</v>
      </c>
      <c r="AL1165">
        <v>0</v>
      </c>
      <c r="AM1165" t="s">
        <v>10884</v>
      </c>
      <c r="AN1165" t="s">
        <v>10931</v>
      </c>
      <c r="AO1165" t="s">
        <v>11000</v>
      </c>
      <c r="AP1165" t="s">
        <v>11045</v>
      </c>
      <c r="AR1165" t="s">
        <v>11257</v>
      </c>
      <c r="AS1165" t="s">
        <v>9926</v>
      </c>
      <c r="AT1165" t="s">
        <v>11642</v>
      </c>
      <c r="BA1165" t="s">
        <v>11739</v>
      </c>
      <c r="BB1165">
        <v>0</v>
      </c>
      <c r="BC1165">
        <v>0</v>
      </c>
      <c r="BD1165">
        <v>0</v>
      </c>
      <c r="BE1165">
        <v>0</v>
      </c>
      <c r="BF1165">
        <v>4</v>
      </c>
      <c r="BG1165">
        <v>0</v>
      </c>
    </row>
    <row r="1166" spans="1:59">
      <c r="A1166" s="1">
        <f>HYPERLINK("https://lsnyc.legalserver.org/matter/dynamic-profile/view/1904994","19-1904994")</f>
        <v>0</v>
      </c>
      <c r="B1166" t="s">
        <v>1084</v>
      </c>
      <c r="C1166" t="s">
        <v>5948</v>
      </c>
      <c r="D1166" t="s">
        <v>9926</v>
      </c>
      <c r="E1166" t="s">
        <v>10075</v>
      </c>
      <c r="F1166">
        <v>10460</v>
      </c>
      <c r="G1166" t="s">
        <v>10090</v>
      </c>
      <c r="H1166" t="s">
        <v>10124</v>
      </c>
      <c r="I1166" t="s">
        <v>10168</v>
      </c>
      <c r="J1166" t="s">
        <v>10210</v>
      </c>
      <c r="K1166" t="s">
        <v>10217</v>
      </c>
      <c r="M1166" t="s">
        <v>10261</v>
      </c>
      <c r="N1166" t="s">
        <v>10671</v>
      </c>
      <c r="P1166" t="s">
        <v>10749</v>
      </c>
      <c r="Q1166" t="s">
        <v>10767</v>
      </c>
      <c r="R1166" t="s">
        <v>10824</v>
      </c>
      <c r="T1166">
        <v>31200</v>
      </c>
      <c r="U1166">
        <v>2600</v>
      </c>
      <c r="V1166">
        <v>42</v>
      </c>
      <c r="W1166">
        <v>1</v>
      </c>
      <c r="X1166">
        <v>1</v>
      </c>
      <c r="Z1166">
        <v>184.51</v>
      </c>
      <c r="AA1166">
        <v>40.841842</v>
      </c>
      <c r="AB1166">
        <v>-73.87980899999999</v>
      </c>
      <c r="AD1166" t="s">
        <v>10839</v>
      </c>
      <c r="AG1166" t="s">
        <v>10858</v>
      </c>
      <c r="AH1166" t="s">
        <v>10861</v>
      </c>
      <c r="AI1166">
        <v>234</v>
      </c>
      <c r="AJ1166" t="s">
        <v>10214</v>
      </c>
      <c r="AL1166">
        <v>2.95</v>
      </c>
      <c r="AM1166" t="s">
        <v>10884</v>
      </c>
      <c r="AN1166" t="s">
        <v>10908</v>
      </c>
      <c r="AO1166" t="s">
        <v>11001</v>
      </c>
      <c r="AP1166" t="s">
        <v>11056</v>
      </c>
      <c r="AR1166" t="s">
        <v>11257</v>
      </c>
      <c r="AS1166" t="s">
        <v>9926</v>
      </c>
      <c r="AT1166" t="s">
        <v>11641</v>
      </c>
      <c r="AX1166" t="s">
        <v>10838</v>
      </c>
      <c r="BA1166" t="s">
        <v>11741</v>
      </c>
      <c r="BB1166">
        <v>0</v>
      </c>
      <c r="BC1166">
        <v>0</v>
      </c>
      <c r="BD1166">
        <v>0</v>
      </c>
      <c r="BE1166">
        <v>0</v>
      </c>
      <c r="BF1166">
        <v>1</v>
      </c>
      <c r="BG1166">
        <v>0</v>
      </c>
    </row>
    <row r="1167" spans="1:59">
      <c r="A1167" s="1">
        <f>HYPERLINK("https://lsnyc.legalserver.org/matter/dynamic-profile/view/1904995","19-1904995")</f>
        <v>0</v>
      </c>
      <c r="B1167" t="s">
        <v>1085</v>
      </c>
      <c r="C1167" t="s">
        <v>5949</v>
      </c>
      <c r="D1167" t="s">
        <v>9925</v>
      </c>
      <c r="E1167" t="s">
        <v>10075</v>
      </c>
      <c r="F1167">
        <v>10011</v>
      </c>
      <c r="G1167" t="s">
        <v>10089</v>
      </c>
      <c r="H1167" t="s">
        <v>10124</v>
      </c>
      <c r="I1167" t="s">
        <v>10168</v>
      </c>
      <c r="J1167" t="s">
        <v>10209</v>
      </c>
      <c r="K1167" t="s">
        <v>10217</v>
      </c>
      <c r="M1167" t="s">
        <v>10301</v>
      </c>
      <c r="N1167" t="s">
        <v>10665</v>
      </c>
      <c r="P1167" t="s">
        <v>10751</v>
      </c>
      <c r="Q1167" t="s">
        <v>10773</v>
      </c>
      <c r="R1167" t="s">
        <v>10820</v>
      </c>
      <c r="T1167">
        <v>41600</v>
      </c>
      <c r="U1167">
        <v>3466.67</v>
      </c>
      <c r="V1167">
        <v>34</v>
      </c>
      <c r="W1167">
        <v>1</v>
      </c>
      <c r="X1167">
        <v>0</v>
      </c>
      <c r="Z1167">
        <v>333.07</v>
      </c>
      <c r="AA1167">
        <v>40.745819</v>
      </c>
      <c r="AB1167">
        <v>-73.99728399999999</v>
      </c>
      <c r="AD1167" t="s">
        <v>10839</v>
      </c>
      <c r="AF1167" t="s">
        <v>10843</v>
      </c>
      <c r="AG1167" t="s">
        <v>10859</v>
      </c>
      <c r="AH1167" t="s">
        <v>10861</v>
      </c>
      <c r="AI1167">
        <v>234</v>
      </c>
      <c r="AJ1167" t="s">
        <v>10214</v>
      </c>
      <c r="AK1167" t="s">
        <v>10838</v>
      </c>
      <c r="AL1167">
        <v>4.3</v>
      </c>
      <c r="AM1167" t="s">
        <v>10891</v>
      </c>
      <c r="AN1167" t="s">
        <v>10966</v>
      </c>
      <c r="AO1167" t="s">
        <v>11021</v>
      </c>
      <c r="AP1167" t="s">
        <v>11090</v>
      </c>
      <c r="AQ1167" t="s">
        <v>11115</v>
      </c>
      <c r="AR1167" t="s">
        <v>11257</v>
      </c>
      <c r="AS1167" t="s">
        <v>9925</v>
      </c>
      <c r="AT1167" t="s">
        <v>11641</v>
      </c>
      <c r="AX1167" t="s">
        <v>10838</v>
      </c>
      <c r="AZ1167" t="s">
        <v>11702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</row>
    <row r="1168" spans="1:59">
      <c r="A1168" s="1">
        <f>HYPERLINK("https://lsnyc.legalserver.org/matter/dynamic-profile/view/1904996","19-1904996")</f>
        <v>0</v>
      </c>
      <c r="B1168" t="s">
        <v>1086</v>
      </c>
      <c r="C1168" t="s">
        <v>5950</v>
      </c>
      <c r="D1168" t="s">
        <v>9928</v>
      </c>
      <c r="E1168" t="s">
        <v>10075</v>
      </c>
      <c r="F1168">
        <v>11213</v>
      </c>
      <c r="G1168" t="s">
        <v>10093</v>
      </c>
      <c r="H1168" t="s">
        <v>10124</v>
      </c>
      <c r="I1168" t="s">
        <v>10168</v>
      </c>
      <c r="J1168" t="s">
        <v>10213</v>
      </c>
      <c r="K1168" t="s">
        <v>10218</v>
      </c>
      <c r="L1168" t="s">
        <v>10145</v>
      </c>
      <c r="M1168" t="s">
        <v>10526</v>
      </c>
      <c r="N1168" t="s">
        <v>10657</v>
      </c>
      <c r="P1168" t="s">
        <v>10754</v>
      </c>
      <c r="Q1168" t="s">
        <v>10775</v>
      </c>
      <c r="R1168" t="s">
        <v>10824</v>
      </c>
      <c r="T1168">
        <v>3492</v>
      </c>
      <c r="U1168">
        <v>291</v>
      </c>
      <c r="V1168">
        <v>51</v>
      </c>
      <c r="W1168">
        <v>1</v>
      </c>
      <c r="X1168">
        <v>1</v>
      </c>
      <c r="Y1168" t="s">
        <v>10829</v>
      </c>
      <c r="Z1168">
        <v>20.65</v>
      </c>
      <c r="AA1168">
        <v>40.677741</v>
      </c>
      <c r="AB1168">
        <v>-73.941631</v>
      </c>
      <c r="AD1168" t="s">
        <v>10839</v>
      </c>
      <c r="AG1168" t="s">
        <v>10858</v>
      </c>
      <c r="AH1168" t="s">
        <v>10862</v>
      </c>
      <c r="AI1168">
        <v>239</v>
      </c>
      <c r="AJ1168" t="s">
        <v>10213</v>
      </c>
      <c r="AK1168" t="s">
        <v>10838</v>
      </c>
      <c r="AL1168">
        <v>0.5</v>
      </c>
      <c r="AM1168" t="s">
        <v>10889</v>
      </c>
      <c r="AN1168" t="s">
        <v>10914</v>
      </c>
      <c r="AO1168" t="s">
        <v>11007</v>
      </c>
      <c r="AP1168" t="s">
        <v>11052</v>
      </c>
      <c r="AQ1168" t="s">
        <v>11143</v>
      </c>
      <c r="AR1168" t="s">
        <v>11255</v>
      </c>
      <c r="AS1168" t="s">
        <v>11595</v>
      </c>
      <c r="AT1168" t="s">
        <v>11641</v>
      </c>
      <c r="AY1168" t="s">
        <v>10829</v>
      </c>
      <c r="AZ1168" t="s">
        <v>11683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</row>
    <row r="1169" spans="1:59">
      <c r="A1169" s="1">
        <f>HYPERLINK("https://lsnyc.legalserver.org/matter/dynamic-profile/view/1904997","19-1904997")</f>
        <v>0</v>
      </c>
      <c r="B1169" t="s">
        <v>632</v>
      </c>
      <c r="C1169" t="s">
        <v>5951</v>
      </c>
      <c r="D1169" t="s">
        <v>9928</v>
      </c>
      <c r="E1169" t="s">
        <v>10075</v>
      </c>
      <c r="F1169">
        <v>11209</v>
      </c>
      <c r="G1169" t="s">
        <v>10091</v>
      </c>
      <c r="H1169" t="s">
        <v>10124</v>
      </c>
      <c r="I1169" t="s">
        <v>10168</v>
      </c>
      <c r="J1169" t="s">
        <v>10211</v>
      </c>
      <c r="K1169" t="s">
        <v>10217</v>
      </c>
      <c r="M1169" t="s">
        <v>10307</v>
      </c>
      <c r="N1169" t="s">
        <v>10671</v>
      </c>
      <c r="P1169" t="s">
        <v>10752</v>
      </c>
      <c r="Q1169" t="s">
        <v>10762</v>
      </c>
      <c r="R1169" t="s">
        <v>10822</v>
      </c>
      <c r="T1169">
        <v>3600</v>
      </c>
      <c r="U1169">
        <v>300</v>
      </c>
      <c r="V1169">
        <v>36</v>
      </c>
      <c r="W1169">
        <v>1</v>
      </c>
      <c r="X1169">
        <v>0</v>
      </c>
      <c r="Z1169">
        <v>28.82</v>
      </c>
      <c r="AA1169">
        <v>40.632095</v>
      </c>
      <c r="AB1169">
        <v>-74.02394099999999</v>
      </c>
      <c r="AD1169" t="s">
        <v>10840</v>
      </c>
      <c r="AG1169" t="s">
        <v>10858</v>
      </c>
      <c r="AH1169" t="s">
        <v>10861</v>
      </c>
      <c r="AI1169">
        <v>234</v>
      </c>
      <c r="AJ1169" t="s">
        <v>10214</v>
      </c>
      <c r="AL1169">
        <v>1</v>
      </c>
      <c r="AM1169" t="s">
        <v>10883</v>
      </c>
      <c r="AN1169" t="s">
        <v>10915</v>
      </c>
      <c r="AO1169" t="s">
        <v>11023</v>
      </c>
      <c r="AP1169" t="s">
        <v>11086</v>
      </c>
      <c r="AR1169" t="s">
        <v>11297</v>
      </c>
      <c r="AS1169" t="s">
        <v>11595</v>
      </c>
      <c r="AT1169" t="s">
        <v>11642</v>
      </c>
      <c r="AX1169" t="s">
        <v>11678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</row>
    <row r="1170" spans="1:59">
      <c r="A1170" s="1">
        <f>HYPERLINK("https://lsnyc.legalserver.org/matter/dynamic-profile/view/1904998","19-1904998")</f>
        <v>0</v>
      </c>
      <c r="B1170" t="s">
        <v>1087</v>
      </c>
      <c r="C1170" t="s">
        <v>5952</v>
      </c>
      <c r="D1170" t="s">
        <v>9928</v>
      </c>
      <c r="E1170" t="s">
        <v>10075</v>
      </c>
      <c r="F1170">
        <v>11230</v>
      </c>
      <c r="G1170" t="s">
        <v>10093</v>
      </c>
      <c r="H1170" t="s">
        <v>10112</v>
      </c>
      <c r="I1170" t="s">
        <v>10171</v>
      </c>
      <c r="J1170" t="s">
        <v>10213</v>
      </c>
      <c r="K1170" t="s">
        <v>10218</v>
      </c>
      <c r="L1170" t="s">
        <v>10159</v>
      </c>
      <c r="M1170" t="s">
        <v>10390</v>
      </c>
      <c r="N1170" t="s">
        <v>10644</v>
      </c>
      <c r="P1170" t="s">
        <v>10749</v>
      </c>
      <c r="Q1170" t="s">
        <v>10774</v>
      </c>
      <c r="R1170" t="s">
        <v>10820</v>
      </c>
      <c r="T1170">
        <v>10296</v>
      </c>
      <c r="U1170">
        <v>858</v>
      </c>
      <c r="V1170">
        <v>80</v>
      </c>
      <c r="W1170">
        <v>1</v>
      </c>
      <c r="X1170">
        <v>0</v>
      </c>
      <c r="Y1170" t="s">
        <v>10829</v>
      </c>
      <c r="Z1170">
        <v>82.43000000000001</v>
      </c>
      <c r="AA1170">
        <v>40.615353</v>
      </c>
      <c r="AB1170">
        <v>-73.954098</v>
      </c>
      <c r="AD1170" t="s">
        <v>10839</v>
      </c>
      <c r="AG1170" t="s">
        <v>10858</v>
      </c>
      <c r="AH1170" t="s">
        <v>10869</v>
      </c>
      <c r="AI1170">
        <v>239</v>
      </c>
      <c r="AJ1170" t="s">
        <v>10213</v>
      </c>
      <c r="AK1170" t="s">
        <v>10838</v>
      </c>
      <c r="AL1170">
        <v>2.7</v>
      </c>
      <c r="AM1170" t="s">
        <v>10888</v>
      </c>
      <c r="AN1170" t="s">
        <v>10957</v>
      </c>
      <c r="AO1170" t="s">
        <v>11015</v>
      </c>
      <c r="AP1170" t="s">
        <v>11092</v>
      </c>
      <c r="AQ1170" t="s">
        <v>11148</v>
      </c>
      <c r="AR1170" t="s">
        <v>11263</v>
      </c>
      <c r="AS1170" t="s">
        <v>11595</v>
      </c>
      <c r="AY1170" t="s">
        <v>10829</v>
      </c>
      <c r="AZ1170" t="s">
        <v>11681</v>
      </c>
      <c r="BA1170" t="s">
        <v>11742</v>
      </c>
      <c r="BB1170">
        <v>0</v>
      </c>
      <c r="BC1170">
        <v>0</v>
      </c>
      <c r="BD1170">
        <v>0</v>
      </c>
      <c r="BE1170">
        <v>0</v>
      </c>
      <c r="BF1170">
        <v>7</v>
      </c>
      <c r="BG1170">
        <v>0</v>
      </c>
    </row>
    <row r="1171" spans="1:59">
      <c r="A1171" s="1">
        <f>HYPERLINK("https://lsnyc.legalserver.org/matter/dynamic-profile/view/1904999","19-1904999")</f>
        <v>0</v>
      </c>
      <c r="B1171" t="s">
        <v>812</v>
      </c>
      <c r="C1171" t="s">
        <v>5953</v>
      </c>
      <c r="D1171" t="s">
        <v>9946</v>
      </c>
      <c r="E1171" t="s">
        <v>10075</v>
      </c>
      <c r="F1171">
        <v>11385</v>
      </c>
      <c r="G1171" t="s">
        <v>10092</v>
      </c>
      <c r="H1171" t="s">
        <v>10124</v>
      </c>
      <c r="I1171" t="s">
        <v>10168</v>
      </c>
      <c r="J1171" t="s">
        <v>10212</v>
      </c>
      <c r="K1171" t="s">
        <v>10217</v>
      </c>
      <c r="M1171" t="s">
        <v>10484</v>
      </c>
      <c r="N1171" t="s">
        <v>10693</v>
      </c>
      <c r="P1171" t="s">
        <v>10749</v>
      </c>
      <c r="Q1171" t="s">
        <v>10765</v>
      </c>
      <c r="R1171" t="s">
        <v>10825</v>
      </c>
      <c r="T1171">
        <v>10000</v>
      </c>
      <c r="U1171">
        <v>833.33</v>
      </c>
      <c r="V1171">
        <v>36</v>
      </c>
      <c r="W1171">
        <v>1</v>
      </c>
      <c r="X1171">
        <v>0</v>
      </c>
      <c r="Z1171">
        <v>80.06</v>
      </c>
      <c r="AA1171">
        <v>40.698182</v>
      </c>
      <c r="AB1171">
        <v>-73.90619</v>
      </c>
      <c r="AD1171" t="s">
        <v>10840</v>
      </c>
      <c r="AG1171" t="s">
        <v>10858</v>
      </c>
      <c r="AH1171" t="s">
        <v>10862</v>
      </c>
      <c r="AI1171">
        <v>237</v>
      </c>
      <c r="AJ1171" t="s">
        <v>10212</v>
      </c>
      <c r="AL1171">
        <v>29.8</v>
      </c>
      <c r="AM1171" t="s">
        <v>10886</v>
      </c>
      <c r="AN1171" t="s">
        <v>10945</v>
      </c>
      <c r="AO1171" t="s">
        <v>11003</v>
      </c>
      <c r="AP1171" t="s">
        <v>11071</v>
      </c>
      <c r="AR1171" t="s">
        <v>11276</v>
      </c>
      <c r="AS1171" t="s">
        <v>11594</v>
      </c>
      <c r="AX1171" t="s">
        <v>10838</v>
      </c>
      <c r="BA1171" t="s">
        <v>11738</v>
      </c>
      <c r="BB1171">
        <v>0</v>
      </c>
      <c r="BC1171">
        <v>0</v>
      </c>
      <c r="BD1171">
        <v>0</v>
      </c>
      <c r="BE1171">
        <v>0</v>
      </c>
      <c r="BF1171">
        <v>5</v>
      </c>
      <c r="BG1171">
        <v>0</v>
      </c>
    </row>
    <row r="1172" spans="1:59">
      <c r="A1172" s="1">
        <f>HYPERLINK("https://lsnyc.legalserver.org/matter/dynamic-profile/view/1905000","19-1905000")</f>
        <v>0</v>
      </c>
      <c r="B1172" t="s">
        <v>1083</v>
      </c>
      <c r="C1172" t="s">
        <v>5601</v>
      </c>
      <c r="D1172" t="s">
        <v>9926</v>
      </c>
      <c r="E1172" t="s">
        <v>10075</v>
      </c>
      <c r="F1172">
        <v>10453</v>
      </c>
      <c r="G1172" t="s">
        <v>10090</v>
      </c>
      <c r="H1172" t="s">
        <v>10124</v>
      </c>
      <c r="I1172" t="s">
        <v>10168</v>
      </c>
      <c r="J1172" t="s">
        <v>10210</v>
      </c>
      <c r="K1172" t="s">
        <v>10217</v>
      </c>
      <c r="M1172" t="s">
        <v>10463</v>
      </c>
      <c r="N1172" t="s">
        <v>10650</v>
      </c>
      <c r="P1172" t="s">
        <v>10749</v>
      </c>
      <c r="Q1172" t="s">
        <v>10765</v>
      </c>
      <c r="R1172" t="s">
        <v>10825</v>
      </c>
      <c r="T1172">
        <v>60000</v>
      </c>
      <c r="U1172">
        <v>5000</v>
      </c>
      <c r="V1172">
        <v>54</v>
      </c>
      <c r="W1172">
        <v>1</v>
      </c>
      <c r="X1172">
        <v>0</v>
      </c>
      <c r="Z1172">
        <v>480.38</v>
      </c>
      <c r="AA1172">
        <v>40.846849</v>
      </c>
      <c r="AB1172">
        <v>-73.90953500000001</v>
      </c>
      <c r="AD1172" t="s">
        <v>10840</v>
      </c>
      <c r="AF1172" t="s">
        <v>10843</v>
      </c>
      <c r="AG1172" t="s">
        <v>10859</v>
      </c>
      <c r="AH1172" t="s">
        <v>10862</v>
      </c>
      <c r="AI1172">
        <v>230</v>
      </c>
      <c r="AJ1172" t="s">
        <v>10210</v>
      </c>
      <c r="AL1172">
        <v>0</v>
      </c>
      <c r="AM1172" t="s">
        <v>10884</v>
      </c>
      <c r="AN1172" t="s">
        <v>10931</v>
      </c>
      <c r="AO1172" t="s">
        <v>11000</v>
      </c>
      <c r="AP1172" t="s">
        <v>11045</v>
      </c>
      <c r="AR1172" t="s">
        <v>11257</v>
      </c>
      <c r="AS1172" t="s">
        <v>9926</v>
      </c>
      <c r="BA1172" t="s">
        <v>11739</v>
      </c>
      <c r="BB1172">
        <v>0</v>
      </c>
      <c r="BC1172">
        <v>0</v>
      </c>
      <c r="BD1172">
        <v>0</v>
      </c>
      <c r="BE1172">
        <v>0</v>
      </c>
      <c r="BF1172">
        <v>4</v>
      </c>
      <c r="BG1172">
        <v>0</v>
      </c>
    </row>
    <row r="1173" spans="1:59">
      <c r="A1173" s="1">
        <f>HYPERLINK("https://lsnyc.legalserver.org/matter/dynamic-profile/view/1905001","19-1905001")</f>
        <v>0</v>
      </c>
      <c r="B1173" t="s">
        <v>1088</v>
      </c>
      <c r="C1173" t="s">
        <v>5954</v>
      </c>
      <c r="D1173" t="s">
        <v>9928</v>
      </c>
      <c r="E1173" t="s">
        <v>10075</v>
      </c>
      <c r="F1173">
        <v>11226</v>
      </c>
      <c r="G1173" t="s">
        <v>10091</v>
      </c>
      <c r="H1173" t="s">
        <v>10124</v>
      </c>
      <c r="I1173" t="s">
        <v>10168</v>
      </c>
      <c r="J1173" t="s">
        <v>10214</v>
      </c>
      <c r="K1173" t="s">
        <v>10217</v>
      </c>
      <c r="M1173" t="s">
        <v>10286</v>
      </c>
      <c r="N1173" t="s">
        <v>10646</v>
      </c>
      <c r="P1173" t="s">
        <v>10751</v>
      </c>
      <c r="Q1173" t="s">
        <v>10780</v>
      </c>
      <c r="R1173" t="s">
        <v>10824</v>
      </c>
      <c r="T1173">
        <v>58479.2</v>
      </c>
      <c r="U1173">
        <v>4873.27</v>
      </c>
      <c r="V1173">
        <v>14</v>
      </c>
      <c r="W1173">
        <v>2</v>
      </c>
      <c r="X1173">
        <v>1</v>
      </c>
      <c r="Z1173">
        <v>274.16</v>
      </c>
      <c r="AA1173">
        <v>40.654611</v>
      </c>
      <c r="AB1173">
        <v>-73.95027899999999</v>
      </c>
      <c r="AD1173" t="s">
        <v>10839</v>
      </c>
      <c r="AG1173" t="s">
        <v>10858</v>
      </c>
      <c r="AH1173" t="s">
        <v>10861</v>
      </c>
      <c r="AI1173">
        <v>234</v>
      </c>
      <c r="AJ1173" t="s">
        <v>10214</v>
      </c>
      <c r="AL1173">
        <v>0.5</v>
      </c>
      <c r="AM1173" t="s">
        <v>10888</v>
      </c>
      <c r="AN1173" t="s">
        <v>10912</v>
      </c>
      <c r="AO1173" t="s">
        <v>11005</v>
      </c>
      <c r="AP1173" t="s">
        <v>11050</v>
      </c>
      <c r="AR1173" t="s">
        <v>11335</v>
      </c>
      <c r="AS1173" t="s">
        <v>11595</v>
      </c>
      <c r="AT1173" t="s">
        <v>11641</v>
      </c>
      <c r="AX1173" t="s">
        <v>10838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</row>
    <row r="1174" spans="1:59">
      <c r="A1174" s="1">
        <f>HYPERLINK("https://lsnyc.legalserver.org/matter/dynamic-profile/view/1905002","19-1905002")</f>
        <v>0</v>
      </c>
      <c r="B1174" t="s">
        <v>1089</v>
      </c>
      <c r="C1174" t="s">
        <v>5955</v>
      </c>
      <c r="D1174" t="s">
        <v>9936</v>
      </c>
      <c r="E1174" t="s">
        <v>10075</v>
      </c>
      <c r="F1174">
        <v>11102</v>
      </c>
      <c r="G1174" t="s">
        <v>10092</v>
      </c>
      <c r="H1174" t="s">
        <v>10124</v>
      </c>
      <c r="I1174" t="s">
        <v>10168</v>
      </c>
      <c r="J1174" t="s">
        <v>10212</v>
      </c>
      <c r="K1174" t="s">
        <v>10217</v>
      </c>
      <c r="M1174" t="s">
        <v>10527</v>
      </c>
      <c r="N1174" t="s">
        <v>10671</v>
      </c>
      <c r="P1174" t="s">
        <v>10755</v>
      </c>
      <c r="Q1174" t="s">
        <v>10772</v>
      </c>
      <c r="R1174" t="s">
        <v>10827</v>
      </c>
      <c r="T1174">
        <v>21084</v>
      </c>
      <c r="U1174">
        <v>1757</v>
      </c>
      <c r="V1174">
        <v>5</v>
      </c>
      <c r="W1174">
        <v>1</v>
      </c>
      <c r="X1174">
        <v>1</v>
      </c>
      <c r="Z1174">
        <v>124.68</v>
      </c>
      <c r="AA1174">
        <v>40.774448</v>
      </c>
      <c r="AB1174">
        <v>-73.93140099999999</v>
      </c>
      <c r="AD1174" t="s">
        <v>10840</v>
      </c>
      <c r="AG1174" t="s">
        <v>10858</v>
      </c>
      <c r="AH1174" t="s">
        <v>10861</v>
      </c>
      <c r="AI1174">
        <v>234</v>
      </c>
      <c r="AJ1174" t="s">
        <v>10214</v>
      </c>
      <c r="AL1174">
        <v>2.1</v>
      </c>
      <c r="AM1174" t="s">
        <v>10891</v>
      </c>
      <c r="AN1174" t="s">
        <v>10961</v>
      </c>
      <c r="AO1174" t="s">
        <v>11003</v>
      </c>
      <c r="AP1174" t="s">
        <v>11084</v>
      </c>
      <c r="AR1174" t="s">
        <v>11385</v>
      </c>
      <c r="AS1174" t="s">
        <v>11594</v>
      </c>
      <c r="AT1174" t="s">
        <v>11642</v>
      </c>
      <c r="AX1174" t="s">
        <v>10838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</row>
    <row r="1175" spans="1:59">
      <c r="A1175" s="1">
        <f>HYPERLINK("https://lsnyc.legalserver.org/matter/dynamic-profile/view/1905003","19-1905003")</f>
        <v>0</v>
      </c>
      <c r="B1175" t="s">
        <v>1090</v>
      </c>
      <c r="C1175" t="s">
        <v>5956</v>
      </c>
      <c r="D1175" t="s">
        <v>9931</v>
      </c>
      <c r="E1175" t="s">
        <v>10075</v>
      </c>
      <c r="F1175">
        <v>11358</v>
      </c>
      <c r="G1175" t="s">
        <v>10092</v>
      </c>
      <c r="H1175" t="s">
        <v>10124</v>
      </c>
      <c r="J1175" t="s">
        <v>10212</v>
      </c>
      <c r="K1175" t="s">
        <v>10217</v>
      </c>
      <c r="M1175" t="s">
        <v>10350</v>
      </c>
      <c r="N1175" t="s">
        <v>10692</v>
      </c>
      <c r="P1175" t="s">
        <v>10754</v>
      </c>
      <c r="Q1175" t="s">
        <v>10775</v>
      </c>
      <c r="R1175" t="s">
        <v>10821</v>
      </c>
      <c r="T1175">
        <v>5760</v>
      </c>
      <c r="U1175">
        <v>480</v>
      </c>
      <c r="V1175">
        <v>33</v>
      </c>
      <c r="W1175">
        <v>1</v>
      </c>
      <c r="X1175">
        <v>1</v>
      </c>
      <c r="Z1175">
        <v>34.06</v>
      </c>
      <c r="AA1175">
        <v>40.756803</v>
      </c>
      <c r="AB1175">
        <v>-73.806877</v>
      </c>
      <c r="AD1175" t="s">
        <v>10839</v>
      </c>
      <c r="AG1175" t="s">
        <v>10858</v>
      </c>
      <c r="AH1175" t="s">
        <v>10865</v>
      </c>
      <c r="AI1175">
        <v>237</v>
      </c>
      <c r="AJ1175" t="s">
        <v>10212</v>
      </c>
      <c r="AL1175">
        <v>20.25</v>
      </c>
      <c r="AM1175" t="s">
        <v>10890</v>
      </c>
      <c r="AN1175" t="s">
        <v>10927</v>
      </c>
      <c r="AO1175" t="s">
        <v>11009</v>
      </c>
      <c r="AP1175" t="s">
        <v>11067</v>
      </c>
      <c r="AR1175" t="s">
        <v>11257</v>
      </c>
      <c r="AS1175" t="s">
        <v>11594</v>
      </c>
      <c r="BA1175" t="s">
        <v>11738</v>
      </c>
      <c r="BB1175">
        <v>0</v>
      </c>
      <c r="BC1175">
        <v>0</v>
      </c>
      <c r="BD1175">
        <v>0</v>
      </c>
      <c r="BE1175">
        <v>0</v>
      </c>
      <c r="BF1175">
        <v>5</v>
      </c>
      <c r="BG1175">
        <v>0</v>
      </c>
    </row>
    <row r="1176" spans="1:59">
      <c r="A1176" s="1">
        <f>HYPERLINK("https://lsnyc.legalserver.org/matter/dynamic-profile/view/1905004","19-1905004")</f>
        <v>0</v>
      </c>
      <c r="B1176" t="s">
        <v>1091</v>
      </c>
      <c r="C1176" t="s">
        <v>5957</v>
      </c>
      <c r="D1176" t="s">
        <v>9925</v>
      </c>
      <c r="E1176" t="s">
        <v>10075</v>
      </c>
      <c r="F1176">
        <v>10039</v>
      </c>
      <c r="G1176" t="s">
        <v>10089</v>
      </c>
      <c r="H1176" t="s">
        <v>10124</v>
      </c>
      <c r="I1176" t="s">
        <v>10168</v>
      </c>
      <c r="J1176" t="s">
        <v>10209</v>
      </c>
      <c r="K1176" t="s">
        <v>10217</v>
      </c>
      <c r="M1176" t="s">
        <v>10509</v>
      </c>
      <c r="N1176" t="s">
        <v>10702</v>
      </c>
      <c r="P1176" t="s">
        <v>10749</v>
      </c>
      <c r="Q1176" t="s">
        <v>10767</v>
      </c>
      <c r="R1176" t="s">
        <v>10824</v>
      </c>
      <c r="T1176">
        <v>19944</v>
      </c>
      <c r="U1176">
        <v>1662</v>
      </c>
      <c r="V1176">
        <v>19</v>
      </c>
      <c r="W1176">
        <v>2</v>
      </c>
      <c r="X1176">
        <v>2</v>
      </c>
      <c r="Z1176">
        <v>77.45</v>
      </c>
      <c r="AA1176">
        <v>40.830967</v>
      </c>
      <c r="AB1176">
        <v>-73.93859999999999</v>
      </c>
      <c r="AD1176" t="s">
        <v>10839</v>
      </c>
      <c r="AG1176" t="s">
        <v>10858</v>
      </c>
      <c r="AH1176" t="s">
        <v>10862</v>
      </c>
      <c r="AI1176">
        <v>236</v>
      </c>
      <c r="AJ1176" t="s">
        <v>10209</v>
      </c>
      <c r="AL1176">
        <v>4.5</v>
      </c>
      <c r="AM1176" t="s">
        <v>10887</v>
      </c>
      <c r="AN1176" t="s">
        <v>10943</v>
      </c>
      <c r="AO1176" t="s">
        <v>11016</v>
      </c>
      <c r="AP1176" t="s">
        <v>11076</v>
      </c>
      <c r="AR1176" t="s">
        <v>11404</v>
      </c>
      <c r="AS1176" t="s">
        <v>9925</v>
      </c>
      <c r="BA1176" t="s">
        <v>11742</v>
      </c>
      <c r="BB1176">
        <v>0</v>
      </c>
      <c r="BC1176">
        <v>0</v>
      </c>
      <c r="BD1176">
        <v>0</v>
      </c>
      <c r="BE1176">
        <v>0</v>
      </c>
      <c r="BF1176">
        <v>7</v>
      </c>
      <c r="BG1176">
        <v>0</v>
      </c>
    </row>
    <row r="1177" spans="1:59">
      <c r="A1177" s="1">
        <f>HYPERLINK("https://lsnyc.legalserver.org/matter/dynamic-profile/view/1905005","19-1905005")</f>
        <v>0</v>
      </c>
      <c r="B1177" t="s">
        <v>1092</v>
      </c>
      <c r="C1177" t="s">
        <v>5958</v>
      </c>
      <c r="D1177" t="s">
        <v>9938</v>
      </c>
      <c r="E1177" t="s">
        <v>10075</v>
      </c>
      <c r="F1177">
        <v>11435</v>
      </c>
      <c r="G1177" t="s">
        <v>10092</v>
      </c>
      <c r="H1177" t="s">
        <v>10124</v>
      </c>
      <c r="I1177" t="s">
        <v>10168</v>
      </c>
      <c r="J1177" t="s">
        <v>10212</v>
      </c>
      <c r="K1177" t="s">
        <v>10217</v>
      </c>
      <c r="M1177" t="s">
        <v>10502</v>
      </c>
      <c r="N1177" t="s">
        <v>10671</v>
      </c>
      <c r="P1177" t="s">
        <v>10755</v>
      </c>
      <c r="Q1177" t="s">
        <v>10772</v>
      </c>
      <c r="R1177" t="s">
        <v>10827</v>
      </c>
      <c r="T1177">
        <v>6456</v>
      </c>
      <c r="U1177">
        <v>538</v>
      </c>
      <c r="V1177">
        <v>8</v>
      </c>
      <c r="W1177">
        <v>1</v>
      </c>
      <c r="X1177">
        <v>1</v>
      </c>
      <c r="Z1177">
        <v>38.18</v>
      </c>
      <c r="AA1177">
        <v>40.710296</v>
      </c>
      <c r="AB1177">
        <v>-73.816389</v>
      </c>
      <c r="AD1177" t="s">
        <v>10840</v>
      </c>
      <c r="AG1177" t="s">
        <v>10858</v>
      </c>
      <c r="AH1177" t="s">
        <v>10877</v>
      </c>
      <c r="AI1177">
        <v>237</v>
      </c>
      <c r="AJ1177" t="s">
        <v>10212</v>
      </c>
      <c r="AL1177">
        <v>13.9</v>
      </c>
      <c r="AM1177" t="s">
        <v>10890</v>
      </c>
      <c r="AN1177" t="s">
        <v>10962</v>
      </c>
      <c r="AO1177" t="s">
        <v>11020</v>
      </c>
      <c r="AP1177" t="s">
        <v>11081</v>
      </c>
      <c r="AR1177" t="s">
        <v>11296</v>
      </c>
      <c r="AS1177" t="s">
        <v>11594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</row>
    <row r="1178" spans="1:59">
      <c r="A1178" s="1">
        <f>HYPERLINK("https://lsnyc.legalserver.org/matter/dynamic-profile/view/1905006","19-1905006")</f>
        <v>0</v>
      </c>
      <c r="B1178" t="s">
        <v>1093</v>
      </c>
      <c r="C1178" t="s">
        <v>5959</v>
      </c>
      <c r="D1178" t="s">
        <v>9938</v>
      </c>
      <c r="E1178" t="s">
        <v>10075</v>
      </c>
      <c r="F1178">
        <v>11435</v>
      </c>
      <c r="G1178" t="s">
        <v>10092</v>
      </c>
      <c r="H1178" t="s">
        <v>10124</v>
      </c>
      <c r="I1178" t="s">
        <v>10168</v>
      </c>
      <c r="J1178" t="s">
        <v>10212</v>
      </c>
      <c r="K1178" t="s">
        <v>10217</v>
      </c>
      <c r="M1178" t="s">
        <v>10365</v>
      </c>
      <c r="N1178" t="s">
        <v>10695</v>
      </c>
      <c r="P1178" t="s">
        <v>10749</v>
      </c>
      <c r="Q1178" t="s">
        <v>10765</v>
      </c>
      <c r="R1178" t="s">
        <v>10821</v>
      </c>
      <c r="T1178">
        <v>9144</v>
      </c>
      <c r="U1178">
        <v>762</v>
      </c>
      <c r="V1178">
        <v>37</v>
      </c>
      <c r="W1178">
        <v>1</v>
      </c>
      <c r="X1178">
        <v>3</v>
      </c>
      <c r="Z1178">
        <v>35.51</v>
      </c>
      <c r="AA1178">
        <v>40.686682</v>
      </c>
      <c r="AB1178">
        <v>-73.794472</v>
      </c>
      <c r="AD1178" t="s">
        <v>10839</v>
      </c>
      <c r="AG1178" t="s">
        <v>10858</v>
      </c>
      <c r="AH1178" t="s">
        <v>10862</v>
      </c>
      <c r="AI1178">
        <v>237</v>
      </c>
      <c r="AJ1178" t="s">
        <v>10212</v>
      </c>
      <c r="AL1178">
        <v>2.14</v>
      </c>
      <c r="AM1178" t="s">
        <v>10892</v>
      </c>
      <c r="AN1178" t="s">
        <v>10951</v>
      </c>
      <c r="AO1178" t="s">
        <v>11017</v>
      </c>
      <c r="AP1178" t="s">
        <v>11070</v>
      </c>
      <c r="AR1178" t="s">
        <v>11274</v>
      </c>
      <c r="AS1178" t="s">
        <v>11594</v>
      </c>
      <c r="AX1178" t="s">
        <v>10838</v>
      </c>
      <c r="BA1178" t="s">
        <v>11741</v>
      </c>
      <c r="BB1178">
        <v>0</v>
      </c>
      <c r="BC1178">
        <v>0</v>
      </c>
      <c r="BD1178">
        <v>0</v>
      </c>
      <c r="BE1178">
        <v>0</v>
      </c>
      <c r="BF1178">
        <v>1</v>
      </c>
      <c r="BG1178">
        <v>0</v>
      </c>
    </row>
    <row r="1179" spans="1:59">
      <c r="A1179" s="1">
        <f>HYPERLINK("https://lsnyc.legalserver.org/matter/dynamic-profile/view/1905007","19-1905007")</f>
        <v>0</v>
      </c>
      <c r="B1179" t="s">
        <v>1094</v>
      </c>
      <c r="C1179" t="s">
        <v>5960</v>
      </c>
      <c r="D1179" t="s">
        <v>9928</v>
      </c>
      <c r="E1179" t="s">
        <v>10075</v>
      </c>
      <c r="F1179">
        <v>11216</v>
      </c>
      <c r="G1179" t="s">
        <v>10093</v>
      </c>
      <c r="H1179" t="s">
        <v>10124</v>
      </c>
      <c r="I1179" t="s">
        <v>10168</v>
      </c>
      <c r="J1179" t="s">
        <v>10213</v>
      </c>
      <c r="K1179" t="s">
        <v>10218</v>
      </c>
      <c r="L1179" t="s">
        <v>10145</v>
      </c>
      <c r="M1179" t="s">
        <v>10526</v>
      </c>
      <c r="N1179" t="s">
        <v>10657</v>
      </c>
      <c r="P1179" t="s">
        <v>10756</v>
      </c>
      <c r="Q1179" t="s">
        <v>10812</v>
      </c>
      <c r="R1179" t="s">
        <v>10824</v>
      </c>
      <c r="T1179">
        <v>8820</v>
      </c>
      <c r="U1179">
        <v>735</v>
      </c>
      <c r="V1179">
        <v>57</v>
      </c>
      <c r="W1179">
        <v>1</v>
      </c>
      <c r="X1179">
        <v>0</v>
      </c>
      <c r="Y1179" t="s">
        <v>10829</v>
      </c>
      <c r="Z1179">
        <v>70.62</v>
      </c>
      <c r="AA1179">
        <v>40.686521</v>
      </c>
      <c r="AB1179">
        <v>-73.94685699999999</v>
      </c>
      <c r="AD1179" t="s">
        <v>10840</v>
      </c>
      <c r="AG1179" t="s">
        <v>10858</v>
      </c>
      <c r="AH1179" t="s">
        <v>10861</v>
      </c>
      <c r="AI1179">
        <v>239</v>
      </c>
      <c r="AJ1179" t="s">
        <v>10213</v>
      </c>
      <c r="AK1179" t="s">
        <v>10838</v>
      </c>
      <c r="AL1179">
        <v>0.5</v>
      </c>
      <c r="AM1179" t="s">
        <v>10889</v>
      </c>
      <c r="AN1179" t="s">
        <v>10914</v>
      </c>
      <c r="AO1179" t="s">
        <v>11007</v>
      </c>
      <c r="AP1179" t="s">
        <v>11052</v>
      </c>
      <c r="AR1179" t="s">
        <v>11268</v>
      </c>
      <c r="AS1179" t="s">
        <v>11595</v>
      </c>
      <c r="AT1179" t="s">
        <v>11642</v>
      </c>
      <c r="AY1179" t="s">
        <v>10829</v>
      </c>
      <c r="AZ1179" t="s">
        <v>11708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</row>
    <row r="1180" spans="1:59">
      <c r="A1180" s="1">
        <f>HYPERLINK("https://lsnyc.legalserver.org/matter/dynamic-profile/view/1905008","19-1905008")</f>
        <v>0</v>
      </c>
      <c r="B1180" t="s">
        <v>1095</v>
      </c>
      <c r="C1180" t="s">
        <v>5961</v>
      </c>
      <c r="D1180" t="s">
        <v>9926</v>
      </c>
      <c r="E1180" t="s">
        <v>10075</v>
      </c>
      <c r="F1180">
        <v>10467</v>
      </c>
      <c r="G1180" t="s">
        <v>10090</v>
      </c>
      <c r="H1180" t="s">
        <v>10124</v>
      </c>
      <c r="J1180" t="s">
        <v>10210</v>
      </c>
      <c r="K1180" t="s">
        <v>10217</v>
      </c>
      <c r="M1180" t="s">
        <v>10338</v>
      </c>
      <c r="N1180" t="s">
        <v>10671</v>
      </c>
      <c r="P1180" t="s">
        <v>10751</v>
      </c>
      <c r="Q1180" t="s">
        <v>10761</v>
      </c>
      <c r="R1180" t="s">
        <v>10824</v>
      </c>
      <c r="T1180">
        <v>0</v>
      </c>
      <c r="U1180">
        <v>0</v>
      </c>
      <c r="V1180">
        <v>30</v>
      </c>
      <c r="W1180">
        <v>1</v>
      </c>
      <c r="X1180">
        <v>0</v>
      </c>
      <c r="Z1180">
        <v>0</v>
      </c>
      <c r="AA1180">
        <v>40.861144</v>
      </c>
      <c r="AB1180">
        <v>-73.86988599999999</v>
      </c>
      <c r="AD1180" t="s">
        <v>10840</v>
      </c>
      <c r="AG1180" t="s">
        <v>10858</v>
      </c>
      <c r="AH1180" t="s">
        <v>10874</v>
      </c>
      <c r="AI1180">
        <v>230</v>
      </c>
      <c r="AJ1180" t="s">
        <v>10210</v>
      </c>
      <c r="AL1180">
        <v>0.8</v>
      </c>
      <c r="AM1180" t="s">
        <v>10885</v>
      </c>
      <c r="AN1180" t="s">
        <v>10907</v>
      </c>
      <c r="AO1180" t="s">
        <v>11002</v>
      </c>
      <c r="AP1180" t="s">
        <v>11056</v>
      </c>
      <c r="AR1180" t="s">
        <v>11267</v>
      </c>
      <c r="AS1180" t="s">
        <v>9926</v>
      </c>
      <c r="BA1180" t="s">
        <v>11740</v>
      </c>
      <c r="BB1180">
        <v>0</v>
      </c>
      <c r="BC1180">
        <v>0</v>
      </c>
      <c r="BD1180">
        <v>0</v>
      </c>
      <c r="BE1180">
        <v>0</v>
      </c>
      <c r="BF1180">
        <v>2</v>
      </c>
      <c r="BG1180">
        <v>0</v>
      </c>
    </row>
    <row r="1181" spans="1:59">
      <c r="A1181" s="1">
        <f>HYPERLINK("https://lsnyc.legalserver.org/matter/dynamic-profile/view/1905009","19-1905009")</f>
        <v>0</v>
      </c>
      <c r="B1181" t="s">
        <v>1095</v>
      </c>
      <c r="C1181" t="s">
        <v>5961</v>
      </c>
      <c r="D1181" t="s">
        <v>9926</v>
      </c>
      <c r="E1181" t="s">
        <v>10075</v>
      </c>
      <c r="F1181">
        <v>10467</v>
      </c>
      <c r="G1181" t="s">
        <v>10090</v>
      </c>
      <c r="H1181" t="s">
        <v>10124</v>
      </c>
      <c r="J1181" t="s">
        <v>10210</v>
      </c>
      <c r="K1181" t="s">
        <v>10217</v>
      </c>
      <c r="M1181" t="s">
        <v>10338</v>
      </c>
      <c r="N1181" t="s">
        <v>10671</v>
      </c>
      <c r="P1181" t="s">
        <v>10754</v>
      </c>
      <c r="Q1181" t="s">
        <v>10784</v>
      </c>
      <c r="R1181" t="s">
        <v>10824</v>
      </c>
      <c r="T1181">
        <v>0</v>
      </c>
      <c r="U1181">
        <v>0</v>
      </c>
      <c r="V1181">
        <v>30</v>
      </c>
      <c r="W1181">
        <v>1</v>
      </c>
      <c r="X1181">
        <v>0</v>
      </c>
      <c r="Z1181">
        <v>0</v>
      </c>
      <c r="AA1181">
        <v>40.861144</v>
      </c>
      <c r="AB1181">
        <v>-73.86988599999999</v>
      </c>
      <c r="AD1181" t="s">
        <v>10840</v>
      </c>
      <c r="AG1181" t="s">
        <v>10858</v>
      </c>
      <c r="AH1181" t="s">
        <v>10874</v>
      </c>
      <c r="AI1181">
        <v>230</v>
      </c>
      <c r="AJ1181" t="s">
        <v>10210</v>
      </c>
      <c r="AL1181">
        <v>5.6</v>
      </c>
      <c r="AR1181" t="s">
        <v>11267</v>
      </c>
      <c r="AS1181" t="s">
        <v>9926</v>
      </c>
      <c r="BA1181" t="s">
        <v>11738</v>
      </c>
      <c r="BB1181">
        <v>0</v>
      </c>
      <c r="BC1181">
        <v>0</v>
      </c>
      <c r="BD1181">
        <v>0</v>
      </c>
      <c r="BE1181">
        <v>0</v>
      </c>
      <c r="BF1181">
        <v>5</v>
      </c>
      <c r="BG1181">
        <v>0</v>
      </c>
    </row>
    <row r="1182" spans="1:59">
      <c r="A1182" s="1">
        <f>HYPERLINK("https://lsnyc.legalserver.org/matter/dynamic-profile/view/1905010","19-1905010")</f>
        <v>0</v>
      </c>
      <c r="B1182" t="s">
        <v>1095</v>
      </c>
      <c r="C1182" t="s">
        <v>5961</v>
      </c>
      <c r="D1182" t="s">
        <v>9926</v>
      </c>
      <c r="E1182" t="s">
        <v>10075</v>
      </c>
      <c r="F1182">
        <v>10467</v>
      </c>
      <c r="G1182" t="s">
        <v>10090</v>
      </c>
      <c r="H1182" t="s">
        <v>10124</v>
      </c>
      <c r="J1182" t="s">
        <v>10210</v>
      </c>
      <c r="K1182" t="s">
        <v>10217</v>
      </c>
      <c r="M1182" t="s">
        <v>10338</v>
      </c>
      <c r="N1182" t="s">
        <v>10671</v>
      </c>
      <c r="P1182" t="s">
        <v>10752</v>
      </c>
      <c r="Q1182" t="s">
        <v>10811</v>
      </c>
      <c r="R1182" t="s">
        <v>10824</v>
      </c>
      <c r="T1182">
        <v>0</v>
      </c>
      <c r="U1182">
        <v>0</v>
      </c>
      <c r="V1182">
        <v>30</v>
      </c>
      <c r="W1182">
        <v>1</v>
      </c>
      <c r="X1182">
        <v>0</v>
      </c>
      <c r="Z1182">
        <v>0</v>
      </c>
      <c r="AA1182">
        <v>40.861144</v>
      </c>
      <c r="AB1182">
        <v>-73.86988599999999</v>
      </c>
      <c r="AD1182" t="s">
        <v>10840</v>
      </c>
      <c r="AG1182" t="s">
        <v>10858</v>
      </c>
      <c r="AH1182" t="s">
        <v>10874</v>
      </c>
      <c r="AI1182">
        <v>230</v>
      </c>
      <c r="AJ1182" t="s">
        <v>10210</v>
      </c>
      <c r="AL1182">
        <v>1.1</v>
      </c>
      <c r="AR1182" t="s">
        <v>11267</v>
      </c>
      <c r="AS1182" t="s">
        <v>9926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</row>
    <row r="1183" spans="1:59">
      <c r="A1183" s="1">
        <f>HYPERLINK("https://lsnyc.legalserver.org/matter/dynamic-profile/view/1905011","19-1905011")</f>
        <v>0</v>
      </c>
      <c r="B1183" t="s">
        <v>1096</v>
      </c>
      <c r="C1183" t="s">
        <v>5962</v>
      </c>
      <c r="D1183" t="s">
        <v>9928</v>
      </c>
      <c r="E1183" t="s">
        <v>10075</v>
      </c>
      <c r="F1183">
        <v>11207</v>
      </c>
      <c r="G1183" t="s">
        <v>10093</v>
      </c>
      <c r="H1183" t="s">
        <v>10124</v>
      </c>
      <c r="I1183" t="s">
        <v>10168</v>
      </c>
      <c r="J1183" t="s">
        <v>10213</v>
      </c>
      <c r="K1183" t="s">
        <v>10218</v>
      </c>
      <c r="L1183" t="s">
        <v>10102</v>
      </c>
      <c r="M1183" t="s">
        <v>10317</v>
      </c>
      <c r="N1183" t="s">
        <v>10644</v>
      </c>
      <c r="P1183" t="s">
        <v>10751</v>
      </c>
      <c r="Q1183" t="s">
        <v>10761</v>
      </c>
      <c r="R1183" t="s">
        <v>10820</v>
      </c>
      <c r="T1183">
        <v>12000</v>
      </c>
      <c r="U1183">
        <v>1000</v>
      </c>
      <c r="V1183">
        <v>66</v>
      </c>
      <c r="W1183">
        <v>1</v>
      </c>
      <c r="X1183">
        <v>0</v>
      </c>
      <c r="Y1183" t="s">
        <v>10829</v>
      </c>
      <c r="Z1183">
        <v>96.08</v>
      </c>
      <c r="AA1183">
        <v>40.686165</v>
      </c>
      <c r="AB1183">
        <v>-73.911846</v>
      </c>
      <c r="AD1183" t="s">
        <v>10840</v>
      </c>
      <c r="AG1183" t="s">
        <v>10858</v>
      </c>
      <c r="AH1183" t="s">
        <v>10861</v>
      </c>
      <c r="AI1183">
        <v>234</v>
      </c>
      <c r="AJ1183" t="s">
        <v>10214</v>
      </c>
      <c r="AK1183" t="s">
        <v>10838</v>
      </c>
      <c r="AL1183">
        <v>3.25</v>
      </c>
      <c r="AM1183" t="s">
        <v>10889</v>
      </c>
      <c r="AN1183" t="s">
        <v>10920</v>
      </c>
      <c r="AO1183" t="s">
        <v>11011</v>
      </c>
      <c r="AP1183" t="s">
        <v>11058</v>
      </c>
      <c r="AR1183" t="s">
        <v>11253</v>
      </c>
      <c r="AS1183" t="s">
        <v>11595</v>
      </c>
      <c r="AT1183" t="s">
        <v>11642</v>
      </c>
      <c r="AX1183" t="s">
        <v>10837</v>
      </c>
      <c r="AY1183" t="s">
        <v>10829</v>
      </c>
      <c r="AZ1183" t="s">
        <v>11682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</row>
    <row r="1184" spans="1:59">
      <c r="A1184" s="1">
        <f>HYPERLINK("https://lsnyc.legalserver.org/matter/dynamic-profile/view/1905012","19-1905012")</f>
        <v>0</v>
      </c>
      <c r="B1184" t="s">
        <v>1097</v>
      </c>
      <c r="C1184" t="s">
        <v>5963</v>
      </c>
      <c r="D1184" t="s">
        <v>9925</v>
      </c>
      <c r="E1184" t="s">
        <v>10075</v>
      </c>
      <c r="F1184">
        <v>10027</v>
      </c>
      <c r="G1184" t="s">
        <v>10090</v>
      </c>
      <c r="H1184" t="s">
        <v>10124</v>
      </c>
      <c r="I1184" t="s">
        <v>10168</v>
      </c>
      <c r="J1184" t="s">
        <v>10210</v>
      </c>
      <c r="K1184" t="s">
        <v>10217</v>
      </c>
      <c r="M1184" t="s">
        <v>10407</v>
      </c>
      <c r="N1184" t="s">
        <v>10671</v>
      </c>
      <c r="P1184" t="s">
        <v>10754</v>
      </c>
      <c r="Q1184" t="s">
        <v>10775</v>
      </c>
      <c r="R1184" t="s">
        <v>10820</v>
      </c>
      <c r="T1184">
        <v>31200</v>
      </c>
      <c r="U1184">
        <v>2600</v>
      </c>
      <c r="V1184">
        <v>25</v>
      </c>
      <c r="W1184">
        <v>1</v>
      </c>
      <c r="X1184">
        <v>1</v>
      </c>
      <c r="Z1184">
        <v>184.51</v>
      </c>
      <c r="AA1184">
        <v>40.811386</v>
      </c>
      <c r="AB1184">
        <v>-73.957104</v>
      </c>
      <c r="AD1184" t="s">
        <v>10839</v>
      </c>
      <c r="AF1184" t="s">
        <v>10843</v>
      </c>
      <c r="AG1184" t="s">
        <v>10859</v>
      </c>
      <c r="AH1184" t="s">
        <v>10861</v>
      </c>
      <c r="AI1184">
        <v>234</v>
      </c>
      <c r="AJ1184" t="s">
        <v>10214</v>
      </c>
      <c r="AL1184">
        <v>0.8</v>
      </c>
      <c r="AM1184" t="s">
        <v>10887</v>
      </c>
      <c r="AN1184" t="s">
        <v>10953</v>
      </c>
      <c r="AO1184" t="s">
        <v>11016</v>
      </c>
      <c r="AP1184" t="s">
        <v>11073</v>
      </c>
      <c r="AR1184" t="s">
        <v>11257</v>
      </c>
      <c r="AS1184" t="s">
        <v>9925</v>
      </c>
      <c r="AT1184" t="s">
        <v>11641</v>
      </c>
      <c r="AX1184" t="s">
        <v>10838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</row>
    <row r="1185" spans="1:59">
      <c r="A1185" s="1">
        <f>HYPERLINK("https://lsnyc.legalserver.org/matter/dynamic-profile/view/1905013","19-1905013")</f>
        <v>0</v>
      </c>
      <c r="B1185" t="s">
        <v>1098</v>
      </c>
      <c r="C1185" t="s">
        <v>5964</v>
      </c>
      <c r="D1185" t="s">
        <v>9928</v>
      </c>
      <c r="E1185" t="s">
        <v>10075</v>
      </c>
      <c r="F1185">
        <v>11212</v>
      </c>
      <c r="G1185" t="s">
        <v>10093</v>
      </c>
      <c r="H1185" t="s">
        <v>10124</v>
      </c>
      <c r="I1185" t="s">
        <v>10168</v>
      </c>
      <c r="J1185" t="s">
        <v>10213</v>
      </c>
      <c r="K1185" t="s">
        <v>10217</v>
      </c>
      <c r="M1185" t="s">
        <v>10345</v>
      </c>
      <c r="N1185" t="s">
        <v>10650</v>
      </c>
      <c r="P1185" t="s">
        <v>10749</v>
      </c>
      <c r="Q1185" t="s">
        <v>10765</v>
      </c>
      <c r="R1185" t="s">
        <v>10824</v>
      </c>
      <c r="T1185">
        <v>4512</v>
      </c>
      <c r="U1185">
        <v>376</v>
      </c>
      <c r="V1185">
        <v>31</v>
      </c>
      <c r="W1185">
        <v>1</v>
      </c>
      <c r="X1185">
        <v>0</v>
      </c>
      <c r="Z1185">
        <v>36.12</v>
      </c>
      <c r="AA1185">
        <v>40.661448</v>
      </c>
      <c r="AB1185">
        <v>-73.913191</v>
      </c>
      <c r="AD1185" t="s">
        <v>10839</v>
      </c>
      <c r="AG1185" t="s">
        <v>10858</v>
      </c>
      <c r="AH1185" t="s">
        <v>10861</v>
      </c>
      <c r="AI1185">
        <v>234</v>
      </c>
      <c r="AJ1185" t="s">
        <v>10214</v>
      </c>
      <c r="AL1185">
        <v>8.25</v>
      </c>
      <c r="AM1185" t="s">
        <v>10888</v>
      </c>
      <c r="AN1185" t="s">
        <v>10946</v>
      </c>
      <c r="AO1185" t="s">
        <v>11012</v>
      </c>
      <c r="AP1185" t="s">
        <v>11060</v>
      </c>
      <c r="AQ1185" t="s">
        <v>11101</v>
      </c>
      <c r="AR1185" t="s">
        <v>11293</v>
      </c>
      <c r="AS1185" t="s">
        <v>11595</v>
      </c>
      <c r="AT1185" t="s">
        <v>11641</v>
      </c>
      <c r="AX1185" t="s">
        <v>10838</v>
      </c>
      <c r="BA1185" t="s">
        <v>11741</v>
      </c>
      <c r="BB1185">
        <v>0</v>
      </c>
      <c r="BC1185">
        <v>0</v>
      </c>
      <c r="BD1185">
        <v>0</v>
      </c>
      <c r="BE1185">
        <v>0</v>
      </c>
      <c r="BF1185">
        <v>1</v>
      </c>
      <c r="BG1185">
        <v>0</v>
      </c>
    </row>
    <row r="1186" spans="1:59">
      <c r="A1186" s="1">
        <f>HYPERLINK("https://lsnyc.legalserver.org/matter/dynamic-profile/view/1905014","19-1905014")</f>
        <v>0</v>
      </c>
      <c r="B1186" t="s">
        <v>1099</v>
      </c>
      <c r="C1186" t="s">
        <v>5965</v>
      </c>
      <c r="D1186" t="s">
        <v>9950</v>
      </c>
      <c r="E1186" t="s">
        <v>10075</v>
      </c>
      <c r="F1186">
        <v>11418</v>
      </c>
      <c r="G1186" t="s">
        <v>10092</v>
      </c>
      <c r="H1186" t="s">
        <v>10124</v>
      </c>
      <c r="I1186" t="s">
        <v>10168</v>
      </c>
      <c r="J1186" t="s">
        <v>10212</v>
      </c>
      <c r="K1186" t="s">
        <v>10217</v>
      </c>
      <c r="M1186" t="s">
        <v>10475</v>
      </c>
      <c r="N1186" t="s">
        <v>10650</v>
      </c>
      <c r="P1186" t="s">
        <v>10749</v>
      </c>
      <c r="Q1186" t="s">
        <v>10765</v>
      </c>
      <c r="R1186" t="s">
        <v>10827</v>
      </c>
      <c r="T1186">
        <v>24192</v>
      </c>
      <c r="U1186">
        <v>2016</v>
      </c>
      <c r="V1186">
        <v>50</v>
      </c>
      <c r="W1186">
        <v>2</v>
      </c>
      <c r="X1186">
        <v>0</v>
      </c>
      <c r="Z1186">
        <v>143.06</v>
      </c>
      <c r="AA1186">
        <v>40.70085</v>
      </c>
      <c r="AB1186">
        <v>-73.82502100000001</v>
      </c>
      <c r="AD1186" t="s">
        <v>10840</v>
      </c>
      <c r="AG1186" t="s">
        <v>10858</v>
      </c>
      <c r="AH1186" t="s">
        <v>10862</v>
      </c>
      <c r="AI1186">
        <v>237</v>
      </c>
      <c r="AJ1186" t="s">
        <v>10212</v>
      </c>
      <c r="AL1186">
        <v>5.05</v>
      </c>
      <c r="AM1186" t="s">
        <v>10892</v>
      </c>
      <c r="AN1186" t="s">
        <v>10944</v>
      </c>
      <c r="AO1186" t="s">
        <v>11020</v>
      </c>
      <c r="AP1186" t="s">
        <v>11083</v>
      </c>
      <c r="AR1186" t="s">
        <v>11262</v>
      </c>
      <c r="AS1186" t="s">
        <v>11594</v>
      </c>
      <c r="AX1186" t="s">
        <v>10838</v>
      </c>
      <c r="BA1186" t="s">
        <v>11738</v>
      </c>
      <c r="BB1186">
        <v>0</v>
      </c>
      <c r="BC1186">
        <v>0</v>
      </c>
      <c r="BD1186">
        <v>0</v>
      </c>
      <c r="BE1186">
        <v>0</v>
      </c>
      <c r="BF1186">
        <v>5</v>
      </c>
      <c r="BG1186">
        <v>0</v>
      </c>
    </row>
    <row r="1187" spans="1:59">
      <c r="A1187" s="1">
        <f>HYPERLINK("https://lsnyc.legalserver.org/matter/dynamic-profile/view/1905015","19-1905015")</f>
        <v>0</v>
      </c>
      <c r="B1187" t="s">
        <v>1100</v>
      </c>
      <c r="C1187" t="s">
        <v>5966</v>
      </c>
      <c r="D1187" t="s">
        <v>9925</v>
      </c>
      <c r="E1187" t="s">
        <v>10075</v>
      </c>
      <c r="F1187">
        <v>10027</v>
      </c>
      <c r="G1187" t="s">
        <v>10089</v>
      </c>
      <c r="H1187" t="s">
        <v>10124</v>
      </c>
      <c r="I1187" t="s">
        <v>10168</v>
      </c>
      <c r="J1187" t="s">
        <v>10209</v>
      </c>
      <c r="K1187" t="s">
        <v>10217</v>
      </c>
      <c r="M1187" t="s">
        <v>10501</v>
      </c>
      <c r="N1187" t="s">
        <v>10702</v>
      </c>
      <c r="P1187" t="s">
        <v>10749</v>
      </c>
      <c r="Q1187" t="s">
        <v>10767</v>
      </c>
      <c r="R1187" t="s">
        <v>10824</v>
      </c>
      <c r="T1187">
        <v>0</v>
      </c>
      <c r="U1187">
        <v>0</v>
      </c>
      <c r="V1187">
        <v>27</v>
      </c>
      <c r="W1187">
        <v>1</v>
      </c>
      <c r="X1187">
        <v>0</v>
      </c>
      <c r="Z1187">
        <v>0</v>
      </c>
      <c r="AA1187">
        <v>40.8174</v>
      </c>
      <c r="AB1187">
        <v>-73.95430500000001</v>
      </c>
      <c r="AD1187" t="s">
        <v>10839</v>
      </c>
      <c r="AG1187" t="s">
        <v>10858</v>
      </c>
      <c r="AH1187" t="s">
        <v>10862</v>
      </c>
      <c r="AI1187">
        <v>236</v>
      </c>
      <c r="AJ1187" t="s">
        <v>10209</v>
      </c>
      <c r="AL1187">
        <v>2.9</v>
      </c>
      <c r="AM1187" t="s">
        <v>10887</v>
      </c>
      <c r="AN1187" t="s">
        <v>10936</v>
      </c>
      <c r="AO1187" t="s">
        <v>11019</v>
      </c>
      <c r="AP1187" t="s">
        <v>11073</v>
      </c>
      <c r="AR1187" t="s">
        <v>11267</v>
      </c>
      <c r="AS1187" t="s">
        <v>9925</v>
      </c>
      <c r="BA1187" t="s">
        <v>11738</v>
      </c>
      <c r="BB1187">
        <v>0</v>
      </c>
      <c r="BC1187">
        <v>0</v>
      </c>
      <c r="BD1187">
        <v>0</v>
      </c>
      <c r="BE1187">
        <v>0</v>
      </c>
      <c r="BF1187">
        <v>5</v>
      </c>
      <c r="BG1187">
        <v>0</v>
      </c>
    </row>
    <row r="1188" spans="1:59">
      <c r="A1188" s="1">
        <f>HYPERLINK("https://lsnyc.legalserver.org/matter/dynamic-profile/view/1905016","19-1905016")</f>
        <v>0</v>
      </c>
      <c r="B1188" t="s">
        <v>1101</v>
      </c>
      <c r="C1188" t="s">
        <v>5967</v>
      </c>
      <c r="D1188" t="s">
        <v>9928</v>
      </c>
      <c r="E1188" t="s">
        <v>10075</v>
      </c>
      <c r="F1188">
        <v>11230</v>
      </c>
      <c r="G1188" t="s">
        <v>10093</v>
      </c>
      <c r="H1188" t="s">
        <v>10124</v>
      </c>
      <c r="I1188" t="s">
        <v>10168</v>
      </c>
      <c r="J1188" t="s">
        <v>10213</v>
      </c>
      <c r="K1188" t="s">
        <v>10218</v>
      </c>
      <c r="L1188" t="s">
        <v>10134</v>
      </c>
      <c r="M1188" t="s">
        <v>10317</v>
      </c>
      <c r="N1188" t="s">
        <v>10671</v>
      </c>
      <c r="P1188" t="s">
        <v>10757</v>
      </c>
      <c r="Q1188" t="s">
        <v>10789</v>
      </c>
      <c r="R1188" t="s">
        <v>10820</v>
      </c>
      <c r="T1188">
        <v>9600</v>
      </c>
      <c r="U1188">
        <v>800</v>
      </c>
      <c r="V1188">
        <v>31</v>
      </c>
      <c r="W1188">
        <v>2</v>
      </c>
      <c r="X1188">
        <v>3</v>
      </c>
      <c r="Y1188" t="s">
        <v>10829</v>
      </c>
      <c r="Z1188">
        <v>31.82</v>
      </c>
      <c r="AA1188">
        <v>40.629107</v>
      </c>
      <c r="AB1188">
        <v>-73.97808999999999</v>
      </c>
      <c r="AD1188" t="s">
        <v>10840</v>
      </c>
      <c r="AG1188" t="s">
        <v>10858</v>
      </c>
      <c r="AH1188" t="s">
        <v>10861</v>
      </c>
      <c r="AI1188">
        <v>234</v>
      </c>
      <c r="AJ1188" t="s">
        <v>10214</v>
      </c>
      <c r="AK1188" t="s">
        <v>10838</v>
      </c>
      <c r="AL1188">
        <v>1.45</v>
      </c>
      <c r="AM1188" t="s">
        <v>10894</v>
      </c>
      <c r="AN1188" t="s">
        <v>10947</v>
      </c>
      <c r="AO1188" t="s">
        <v>11015</v>
      </c>
      <c r="AP1188" t="s">
        <v>11079</v>
      </c>
      <c r="AR1188" t="s">
        <v>11275</v>
      </c>
      <c r="AS1188" t="s">
        <v>11595</v>
      </c>
      <c r="AT1188" t="s">
        <v>10822</v>
      </c>
      <c r="AX1188" t="s">
        <v>11678</v>
      </c>
      <c r="AY1188" t="s">
        <v>10829</v>
      </c>
      <c r="AZ1188" t="s">
        <v>11703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</row>
    <row r="1189" spans="1:59">
      <c r="A1189" s="1">
        <f>HYPERLINK("https://lsnyc.legalserver.org/matter/dynamic-profile/view/1905017","19-1905017")</f>
        <v>0</v>
      </c>
      <c r="B1189" t="s">
        <v>1102</v>
      </c>
      <c r="C1189" t="s">
        <v>5601</v>
      </c>
      <c r="D1189" t="s">
        <v>9926</v>
      </c>
      <c r="E1189" t="s">
        <v>10075</v>
      </c>
      <c r="F1189">
        <v>10453</v>
      </c>
      <c r="G1189" t="s">
        <v>10090</v>
      </c>
      <c r="H1189" t="s">
        <v>10124</v>
      </c>
      <c r="I1189" t="s">
        <v>10169</v>
      </c>
      <c r="J1189" t="s">
        <v>10210</v>
      </c>
      <c r="K1189" t="s">
        <v>10217</v>
      </c>
      <c r="M1189" t="s">
        <v>10463</v>
      </c>
      <c r="N1189" t="s">
        <v>10650</v>
      </c>
      <c r="P1189" t="s">
        <v>10749</v>
      </c>
      <c r="Q1189" t="s">
        <v>10765</v>
      </c>
      <c r="R1189" t="s">
        <v>10821</v>
      </c>
      <c r="T1189">
        <v>10200</v>
      </c>
      <c r="U1189">
        <v>850</v>
      </c>
      <c r="V1189">
        <v>72</v>
      </c>
      <c r="W1189">
        <v>1</v>
      </c>
      <c r="X1189">
        <v>0</v>
      </c>
      <c r="Z1189">
        <v>81.67</v>
      </c>
      <c r="AA1189">
        <v>40.846849</v>
      </c>
      <c r="AB1189">
        <v>-73.90953500000001</v>
      </c>
      <c r="AD1189" t="s">
        <v>10839</v>
      </c>
      <c r="AG1189" t="s">
        <v>10858</v>
      </c>
      <c r="AH1189" t="s">
        <v>10862</v>
      </c>
      <c r="AI1189">
        <v>230</v>
      </c>
      <c r="AJ1189" t="s">
        <v>10210</v>
      </c>
      <c r="AL1189">
        <v>0</v>
      </c>
      <c r="AM1189" t="s">
        <v>10884</v>
      </c>
      <c r="AN1189" t="s">
        <v>10931</v>
      </c>
      <c r="AO1189" t="s">
        <v>11000</v>
      </c>
      <c r="AP1189" t="s">
        <v>11045</v>
      </c>
      <c r="AR1189" t="s">
        <v>11270</v>
      </c>
      <c r="AS1189" t="s">
        <v>9926</v>
      </c>
      <c r="BA1189" t="s">
        <v>11739</v>
      </c>
      <c r="BB1189">
        <v>0</v>
      </c>
      <c r="BC1189">
        <v>0</v>
      </c>
      <c r="BD1189">
        <v>0</v>
      </c>
      <c r="BE1189">
        <v>0</v>
      </c>
      <c r="BF1189">
        <v>4</v>
      </c>
      <c r="BG1189">
        <v>0</v>
      </c>
    </row>
    <row r="1190" spans="1:59">
      <c r="A1190" s="1">
        <f>HYPERLINK("https://lsnyc.legalserver.org/matter/dynamic-profile/view/1905018","19-1905018")</f>
        <v>0</v>
      </c>
      <c r="B1190" t="s">
        <v>1102</v>
      </c>
      <c r="C1190" t="s">
        <v>5601</v>
      </c>
      <c r="D1190" t="s">
        <v>9926</v>
      </c>
      <c r="E1190" t="s">
        <v>10075</v>
      </c>
      <c r="F1190">
        <v>10453</v>
      </c>
      <c r="G1190" t="s">
        <v>10090</v>
      </c>
      <c r="H1190" t="s">
        <v>10124</v>
      </c>
      <c r="I1190" t="s">
        <v>10169</v>
      </c>
      <c r="J1190" t="s">
        <v>10210</v>
      </c>
      <c r="K1190" t="s">
        <v>10217</v>
      </c>
      <c r="M1190" t="s">
        <v>10463</v>
      </c>
      <c r="N1190" t="s">
        <v>10650</v>
      </c>
      <c r="P1190" t="s">
        <v>10749</v>
      </c>
      <c r="Q1190" t="s">
        <v>10765</v>
      </c>
      <c r="R1190" t="s">
        <v>10821</v>
      </c>
      <c r="T1190">
        <v>10200</v>
      </c>
      <c r="U1190">
        <v>850</v>
      </c>
      <c r="V1190">
        <v>72</v>
      </c>
      <c r="W1190">
        <v>1</v>
      </c>
      <c r="X1190">
        <v>0</v>
      </c>
      <c r="Z1190">
        <v>81.67</v>
      </c>
      <c r="AA1190">
        <v>40.846849</v>
      </c>
      <c r="AB1190">
        <v>-73.90953500000001</v>
      </c>
      <c r="AD1190" t="s">
        <v>10839</v>
      </c>
      <c r="AG1190" t="s">
        <v>10858</v>
      </c>
      <c r="AH1190" t="s">
        <v>10862</v>
      </c>
      <c r="AI1190">
        <v>230</v>
      </c>
      <c r="AJ1190" t="s">
        <v>10210</v>
      </c>
      <c r="AL1190">
        <v>0</v>
      </c>
      <c r="AM1190" t="s">
        <v>10884</v>
      </c>
      <c r="AN1190" t="s">
        <v>10931</v>
      </c>
      <c r="AO1190" t="s">
        <v>11000</v>
      </c>
      <c r="AP1190" t="s">
        <v>11045</v>
      </c>
      <c r="AR1190" t="s">
        <v>11270</v>
      </c>
      <c r="AS1190" t="s">
        <v>9926</v>
      </c>
      <c r="BA1190" t="s">
        <v>11739</v>
      </c>
      <c r="BB1190">
        <v>0</v>
      </c>
      <c r="BC1190">
        <v>0</v>
      </c>
      <c r="BD1190">
        <v>0</v>
      </c>
      <c r="BE1190">
        <v>0</v>
      </c>
      <c r="BF1190">
        <v>4</v>
      </c>
      <c r="BG1190">
        <v>0</v>
      </c>
    </row>
    <row r="1191" spans="1:59">
      <c r="A1191" s="1">
        <f>HYPERLINK("https://lsnyc.legalserver.org/matter/dynamic-profile/view/1905019","19-1905019")</f>
        <v>0</v>
      </c>
      <c r="B1191" t="s">
        <v>1103</v>
      </c>
      <c r="C1191" t="s">
        <v>5968</v>
      </c>
      <c r="D1191" t="s">
        <v>9992</v>
      </c>
      <c r="E1191" t="s">
        <v>10075</v>
      </c>
      <c r="F1191">
        <v>11101</v>
      </c>
      <c r="G1191" t="s">
        <v>10092</v>
      </c>
      <c r="H1191" t="s">
        <v>10124</v>
      </c>
      <c r="I1191" t="s">
        <v>10168</v>
      </c>
      <c r="J1191" t="s">
        <v>10212</v>
      </c>
      <c r="K1191" t="s">
        <v>10217</v>
      </c>
      <c r="M1191" t="s">
        <v>10502</v>
      </c>
      <c r="N1191" t="s">
        <v>10671</v>
      </c>
      <c r="P1191" t="s">
        <v>10755</v>
      </c>
      <c r="Q1191" t="s">
        <v>10772</v>
      </c>
      <c r="R1191" t="s">
        <v>10821</v>
      </c>
      <c r="T1191">
        <v>9240</v>
      </c>
      <c r="U1191">
        <v>770</v>
      </c>
      <c r="V1191">
        <v>8</v>
      </c>
      <c r="W1191">
        <v>1</v>
      </c>
      <c r="X1191">
        <v>1</v>
      </c>
      <c r="Z1191">
        <v>54.64</v>
      </c>
      <c r="AA1191">
        <v>40.744605</v>
      </c>
      <c r="AB1191">
        <v>-73.95371900000001</v>
      </c>
      <c r="AD1191" t="s">
        <v>10840</v>
      </c>
      <c r="AG1191" t="s">
        <v>10858</v>
      </c>
      <c r="AH1191" t="s">
        <v>10877</v>
      </c>
      <c r="AI1191">
        <v>237</v>
      </c>
      <c r="AJ1191" t="s">
        <v>10212</v>
      </c>
      <c r="AL1191">
        <v>2.5</v>
      </c>
      <c r="AM1191" t="s">
        <v>10891</v>
      </c>
      <c r="AN1191" t="s">
        <v>10961</v>
      </c>
      <c r="AO1191" t="s">
        <v>11003</v>
      </c>
      <c r="AP1191" t="s">
        <v>11047</v>
      </c>
      <c r="AR1191" t="s">
        <v>11263</v>
      </c>
      <c r="AS1191" t="s">
        <v>11594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</row>
    <row r="1192" spans="1:59">
      <c r="A1192" s="1">
        <f>HYPERLINK("https://lsnyc.legalserver.org/matter/dynamic-profile/view/1905020","19-1905020")</f>
        <v>0</v>
      </c>
      <c r="B1192" t="s">
        <v>1104</v>
      </c>
      <c r="C1192" t="s">
        <v>5969</v>
      </c>
      <c r="D1192" t="s">
        <v>9928</v>
      </c>
      <c r="E1192" t="s">
        <v>10075</v>
      </c>
      <c r="F1192">
        <v>11216</v>
      </c>
      <c r="G1192" t="s">
        <v>10093</v>
      </c>
      <c r="H1192" t="s">
        <v>10124</v>
      </c>
      <c r="I1192" t="s">
        <v>10168</v>
      </c>
      <c r="J1192" t="s">
        <v>10213</v>
      </c>
      <c r="K1192" t="s">
        <v>10218</v>
      </c>
      <c r="L1192" t="s">
        <v>10145</v>
      </c>
      <c r="M1192" t="s">
        <v>10526</v>
      </c>
      <c r="N1192" t="s">
        <v>10657</v>
      </c>
      <c r="P1192" t="s">
        <v>10749</v>
      </c>
      <c r="Q1192" t="s">
        <v>10767</v>
      </c>
      <c r="R1192" t="s">
        <v>10824</v>
      </c>
      <c r="T1192">
        <v>1718.4</v>
      </c>
      <c r="U1192">
        <v>143.2</v>
      </c>
      <c r="V1192">
        <v>57</v>
      </c>
      <c r="W1192">
        <v>1</v>
      </c>
      <c r="X1192">
        <v>1</v>
      </c>
      <c r="Y1192" t="s">
        <v>10829</v>
      </c>
      <c r="Z1192">
        <v>10.16</v>
      </c>
      <c r="AA1192">
        <v>40.688236</v>
      </c>
      <c r="AB1192">
        <v>-73.947069</v>
      </c>
      <c r="AD1192" t="s">
        <v>10839</v>
      </c>
      <c r="AG1192" t="s">
        <v>10858</v>
      </c>
      <c r="AH1192" t="s">
        <v>10862</v>
      </c>
      <c r="AI1192">
        <v>239</v>
      </c>
      <c r="AJ1192" t="s">
        <v>10213</v>
      </c>
      <c r="AK1192" t="s">
        <v>10838</v>
      </c>
      <c r="AL1192">
        <v>0.5</v>
      </c>
      <c r="AM1192" t="s">
        <v>10889</v>
      </c>
      <c r="AN1192" t="s">
        <v>10914</v>
      </c>
      <c r="AO1192" t="s">
        <v>11007</v>
      </c>
      <c r="AP1192" t="s">
        <v>11052</v>
      </c>
      <c r="AR1192" t="s">
        <v>11255</v>
      </c>
      <c r="AS1192" t="s">
        <v>11595</v>
      </c>
      <c r="AT1192" t="s">
        <v>11641</v>
      </c>
      <c r="AY1192" t="s">
        <v>10829</v>
      </c>
      <c r="AZ1192" t="s">
        <v>11681</v>
      </c>
      <c r="BA1192" t="s">
        <v>11742</v>
      </c>
      <c r="BB1192">
        <v>0</v>
      </c>
      <c r="BC1192">
        <v>0</v>
      </c>
      <c r="BD1192">
        <v>0</v>
      </c>
      <c r="BE1192">
        <v>0</v>
      </c>
      <c r="BF1192">
        <v>7</v>
      </c>
      <c r="BG1192">
        <v>0</v>
      </c>
    </row>
    <row r="1193" spans="1:59">
      <c r="A1193" s="1">
        <f>HYPERLINK("https://lsnyc.legalserver.org/matter/dynamic-profile/view/1905021","19-1905021")</f>
        <v>0</v>
      </c>
      <c r="B1193" t="s">
        <v>1105</v>
      </c>
      <c r="C1193" t="s">
        <v>5970</v>
      </c>
      <c r="D1193" t="s">
        <v>9929</v>
      </c>
      <c r="E1193" t="s">
        <v>10075</v>
      </c>
      <c r="F1193">
        <v>10304</v>
      </c>
      <c r="G1193" t="s">
        <v>10088</v>
      </c>
      <c r="H1193" t="s">
        <v>10109</v>
      </c>
      <c r="I1193" t="s">
        <v>10168</v>
      </c>
      <c r="J1193" t="s">
        <v>10208</v>
      </c>
      <c r="K1193" t="s">
        <v>10217</v>
      </c>
      <c r="M1193" t="s">
        <v>10259</v>
      </c>
      <c r="N1193" t="s">
        <v>10650</v>
      </c>
      <c r="P1193" t="s">
        <v>10749</v>
      </c>
      <c r="Q1193" t="s">
        <v>10765</v>
      </c>
      <c r="R1193" t="s">
        <v>10824</v>
      </c>
      <c r="T1193">
        <v>33279.96</v>
      </c>
      <c r="U1193">
        <v>2773.33</v>
      </c>
      <c r="V1193">
        <v>51</v>
      </c>
      <c r="W1193">
        <v>3</v>
      </c>
      <c r="X1193">
        <v>0</v>
      </c>
      <c r="Z1193">
        <v>156.02</v>
      </c>
      <c r="AA1193">
        <v>40.617329</v>
      </c>
      <c r="AB1193">
        <v>-74.08137000000001</v>
      </c>
      <c r="AD1193" t="s">
        <v>10839</v>
      </c>
      <c r="AF1193" t="s">
        <v>10843</v>
      </c>
      <c r="AG1193" t="s">
        <v>10859</v>
      </c>
      <c r="AH1193" t="s">
        <v>10861</v>
      </c>
      <c r="AI1193">
        <v>285</v>
      </c>
      <c r="AJ1193" t="s">
        <v>10208</v>
      </c>
      <c r="AL1193">
        <v>5.75</v>
      </c>
      <c r="AM1193" t="s">
        <v>10883</v>
      </c>
      <c r="AN1193" t="s">
        <v>10913</v>
      </c>
      <c r="AO1193" t="s">
        <v>11006</v>
      </c>
      <c r="AP1193" t="s">
        <v>11051</v>
      </c>
      <c r="AR1193" t="s">
        <v>11262</v>
      </c>
      <c r="AS1193" t="s">
        <v>11593</v>
      </c>
      <c r="BA1193" t="s">
        <v>11738</v>
      </c>
      <c r="BB1193">
        <v>0</v>
      </c>
      <c r="BC1193">
        <v>0</v>
      </c>
      <c r="BD1193">
        <v>0</v>
      </c>
      <c r="BE1193">
        <v>0</v>
      </c>
      <c r="BF1193">
        <v>5</v>
      </c>
      <c r="BG1193">
        <v>0</v>
      </c>
    </row>
    <row r="1194" spans="1:59">
      <c r="A1194" s="1">
        <f>HYPERLINK("https://lsnyc.legalserver.org/matter/dynamic-profile/view/1905022","19-1905022")</f>
        <v>0</v>
      </c>
      <c r="B1194" t="s">
        <v>1106</v>
      </c>
      <c r="C1194" t="s">
        <v>5971</v>
      </c>
      <c r="D1194" t="s">
        <v>9948</v>
      </c>
      <c r="E1194" t="s">
        <v>10075</v>
      </c>
      <c r="F1194">
        <v>11691</v>
      </c>
      <c r="G1194" t="s">
        <v>10092</v>
      </c>
      <c r="H1194" t="s">
        <v>10124</v>
      </c>
      <c r="I1194" t="s">
        <v>10169</v>
      </c>
      <c r="J1194" t="s">
        <v>10212</v>
      </c>
      <c r="K1194" t="s">
        <v>10217</v>
      </c>
      <c r="M1194" t="s">
        <v>10320</v>
      </c>
      <c r="N1194" t="s">
        <v>10673</v>
      </c>
      <c r="P1194" t="s">
        <v>10753</v>
      </c>
      <c r="Q1194" t="s">
        <v>10763</v>
      </c>
      <c r="R1194" t="s">
        <v>10821</v>
      </c>
      <c r="T1194">
        <v>24700</v>
      </c>
      <c r="U1194">
        <v>2058.33</v>
      </c>
      <c r="V1194">
        <v>38</v>
      </c>
      <c r="W1194">
        <v>3</v>
      </c>
      <c r="X1194">
        <v>2</v>
      </c>
      <c r="Z1194">
        <v>81.87</v>
      </c>
      <c r="AA1194">
        <v>40.598939</v>
      </c>
      <c r="AB1194">
        <v>-73.75738800000001</v>
      </c>
      <c r="AD1194" t="s">
        <v>10839</v>
      </c>
      <c r="AF1194" t="s">
        <v>10846</v>
      </c>
      <c r="AG1194" t="s">
        <v>10859</v>
      </c>
      <c r="AH1194" t="s">
        <v>10864</v>
      </c>
      <c r="AI1194">
        <v>237</v>
      </c>
      <c r="AJ1194" t="s">
        <v>10212</v>
      </c>
      <c r="AL1194">
        <v>35.65</v>
      </c>
      <c r="AM1194" t="s">
        <v>10892</v>
      </c>
      <c r="AN1194" t="s">
        <v>10930</v>
      </c>
      <c r="AO1194" t="s">
        <v>11017</v>
      </c>
      <c r="AP1194" t="s">
        <v>11082</v>
      </c>
      <c r="AQ1194" t="s">
        <v>11181</v>
      </c>
      <c r="AR1194" t="s">
        <v>11257</v>
      </c>
      <c r="AS1194" t="s">
        <v>11594</v>
      </c>
      <c r="AT1194" t="s">
        <v>11641</v>
      </c>
      <c r="AX1194" t="s">
        <v>10838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</row>
    <row r="1195" spans="1:59">
      <c r="A1195" s="1">
        <f>HYPERLINK("https://lsnyc.legalserver.org/matter/dynamic-profile/view/1905023","19-1905023")</f>
        <v>0</v>
      </c>
      <c r="B1195" t="s">
        <v>1107</v>
      </c>
      <c r="C1195" t="s">
        <v>5972</v>
      </c>
      <c r="D1195" t="s">
        <v>9933</v>
      </c>
      <c r="E1195" t="s">
        <v>10075</v>
      </c>
      <c r="F1195">
        <v>11420</v>
      </c>
      <c r="G1195" t="s">
        <v>10092</v>
      </c>
      <c r="H1195" t="s">
        <v>10124</v>
      </c>
      <c r="I1195" t="s">
        <v>10169</v>
      </c>
      <c r="J1195" t="s">
        <v>10212</v>
      </c>
      <c r="K1195" t="s">
        <v>10218</v>
      </c>
      <c r="L1195" t="s">
        <v>10136</v>
      </c>
      <c r="M1195" t="s">
        <v>10273</v>
      </c>
      <c r="N1195" t="s">
        <v>10672</v>
      </c>
      <c r="P1195" t="s">
        <v>10750</v>
      </c>
      <c r="Q1195" t="s">
        <v>10778</v>
      </c>
      <c r="R1195" t="s">
        <v>10821</v>
      </c>
      <c r="T1195">
        <v>12000</v>
      </c>
      <c r="U1195">
        <v>1000</v>
      </c>
      <c r="V1195">
        <v>56</v>
      </c>
      <c r="W1195">
        <v>1</v>
      </c>
      <c r="X1195">
        <v>0</v>
      </c>
      <c r="Y1195" t="s">
        <v>10829</v>
      </c>
      <c r="Z1195">
        <v>96.08</v>
      </c>
      <c r="AA1195">
        <v>40.681823</v>
      </c>
      <c r="AB1195">
        <v>-73.817543</v>
      </c>
      <c r="AD1195" t="s">
        <v>10839</v>
      </c>
      <c r="AG1195" t="s">
        <v>10858</v>
      </c>
      <c r="AH1195" t="s">
        <v>10870</v>
      </c>
      <c r="AI1195">
        <v>237</v>
      </c>
      <c r="AJ1195" t="s">
        <v>10212</v>
      </c>
      <c r="AK1195" t="s">
        <v>10838</v>
      </c>
      <c r="AL1195">
        <v>0.6</v>
      </c>
      <c r="AM1195" t="s">
        <v>10892</v>
      </c>
      <c r="AN1195" t="s">
        <v>10930</v>
      </c>
      <c r="AO1195" t="s">
        <v>11017</v>
      </c>
      <c r="AP1195" t="s">
        <v>11070</v>
      </c>
      <c r="AR1195" t="s">
        <v>11257</v>
      </c>
      <c r="AS1195" t="s">
        <v>11594</v>
      </c>
      <c r="AY1195" t="s">
        <v>10829</v>
      </c>
      <c r="AZ1195" t="s">
        <v>11695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</row>
    <row r="1196" spans="1:59">
      <c r="A1196" s="1">
        <f>HYPERLINK("https://lsnyc.legalserver.org/matter/dynamic-profile/view/1905024","19-1905024")</f>
        <v>0</v>
      </c>
      <c r="B1196" t="s">
        <v>1108</v>
      </c>
      <c r="C1196" t="s">
        <v>5973</v>
      </c>
      <c r="D1196" t="s">
        <v>9926</v>
      </c>
      <c r="E1196" t="s">
        <v>10075</v>
      </c>
      <c r="F1196">
        <v>10457</v>
      </c>
      <c r="G1196" t="s">
        <v>10090</v>
      </c>
      <c r="H1196" t="s">
        <v>10124</v>
      </c>
      <c r="I1196" t="s">
        <v>10168</v>
      </c>
      <c r="J1196" t="s">
        <v>10215</v>
      </c>
      <c r="K1196" t="s">
        <v>10217</v>
      </c>
      <c r="M1196" t="s">
        <v>10250</v>
      </c>
      <c r="N1196" t="s">
        <v>10650</v>
      </c>
      <c r="P1196" t="s">
        <v>10751</v>
      </c>
      <c r="Q1196" t="s">
        <v>10761</v>
      </c>
      <c r="R1196" t="s">
        <v>10824</v>
      </c>
      <c r="T1196">
        <v>27401.04</v>
      </c>
      <c r="U1196">
        <v>2283.42</v>
      </c>
      <c r="V1196">
        <v>51</v>
      </c>
      <c r="W1196">
        <v>2</v>
      </c>
      <c r="X1196">
        <v>0</v>
      </c>
      <c r="Z1196">
        <v>162.04</v>
      </c>
      <c r="AA1196">
        <v>40.84999</v>
      </c>
      <c r="AB1196">
        <v>-73.88547199999999</v>
      </c>
      <c r="AD1196" t="s">
        <v>10839</v>
      </c>
      <c r="AG1196" t="s">
        <v>10858</v>
      </c>
      <c r="AH1196" t="s">
        <v>10862</v>
      </c>
      <c r="AI1196">
        <v>231</v>
      </c>
      <c r="AJ1196" t="s">
        <v>10215</v>
      </c>
      <c r="AL1196">
        <v>5</v>
      </c>
      <c r="AM1196" t="s">
        <v>10884</v>
      </c>
      <c r="AN1196" t="s">
        <v>10907</v>
      </c>
      <c r="AO1196" t="s">
        <v>11000</v>
      </c>
      <c r="AP1196" t="s">
        <v>11056</v>
      </c>
      <c r="AR1196" t="s">
        <v>11282</v>
      </c>
      <c r="AS1196" t="s">
        <v>9926</v>
      </c>
      <c r="BA1196" t="s">
        <v>11737</v>
      </c>
      <c r="BB1196">
        <v>0</v>
      </c>
      <c r="BC1196">
        <v>0</v>
      </c>
      <c r="BD1196">
        <v>0</v>
      </c>
      <c r="BE1196">
        <v>0</v>
      </c>
      <c r="BF1196">
        <v>3</v>
      </c>
      <c r="BG1196">
        <v>0</v>
      </c>
    </row>
    <row r="1197" spans="1:59">
      <c r="A1197" s="1">
        <f>HYPERLINK("https://lsnyc.legalserver.org/matter/dynamic-profile/view/1905025","19-1905025")</f>
        <v>0</v>
      </c>
      <c r="B1197" t="s">
        <v>1109</v>
      </c>
      <c r="C1197" t="s">
        <v>5974</v>
      </c>
      <c r="D1197" t="s">
        <v>9929</v>
      </c>
      <c r="E1197" t="s">
        <v>10075</v>
      </c>
      <c r="F1197">
        <v>10314</v>
      </c>
      <c r="G1197" t="s">
        <v>10088</v>
      </c>
      <c r="H1197" t="s">
        <v>10134</v>
      </c>
      <c r="I1197" t="s">
        <v>10168</v>
      </c>
      <c r="J1197" t="s">
        <v>10208</v>
      </c>
      <c r="K1197" t="s">
        <v>10218</v>
      </c>
      <c r="L1197" t="s">
        <v>10136</v>
      </c>
      <c r="M1197" t="s">
        <v>10449</v>
      </c>
      <c r="N1197" t="s">
        <v>10654</v>
      </c>
      <c r="P1197" t="s">
        <v>10749</v>
      </c>
      <c r="Q1197" t="s">
        <v>10767</v>
      </c>
      <c r="R1197" t="s">
        <v>10824</v>
      </c>
      <c r="T1197">
        <v>46800</v>
      </c>
      <c r="U1197">
        <v>3900</v>
      </c>
      <c r="V1197">
        <v>43</v>
      </c>
      <c r="W1197">
        <v>3</v>
      </c>
      <c r="X1197">
        <v>1</v>
      </c>
      <c r="Y1197" t="s">
        <v>10830</v>
      </c>
      <c r="Z1197">
        <v>181.75</v>
      </c>
      <c r="AA1197">
        <v>40.608473</v>
      </c>
      <c r="AB1197">
        <v>-74.11858599999999</v>
      </c>
      <c r="AD1197" t="s">
        <v>10839</v>
      </c>
      <c r="AG1197" t="s">
        <v>10858</v>
      </c>
      <c r="AH1197" t="s">
        <v>10862</v>
      </c>
      <c r="AI1197">
        <v>285</v>
      </c>
      <c r="AJ1197" t="s">
        <v>10208</v>
      </c>
      <c r="AK1197" t="s">
        <v>10838</v>
      </c>
      <c r="AL1197">
        <v>2.8</v>
      </c>
      <c r="AM1197" t="s">
        <v>10883</v>
      </c>
      <c r="AN1197" t="s">
        <v>10928</v>
      </c>
      <c r="AO1197" t="s">
        <v>10999</v>
      </c>
      <c r="AP1197" t="s">
        <v>11051</v>
      </c>
      <c r="AR1197" t="s">
        <v>11257</v>
      </c>
      <c r="AS1197" t="s">
        <v>11593</v>
      </c>
      <c r="AY1197" t="s">
        <v>10830</v>
      </c>
      <c r="AZ1197" t="s">
        <v>11685</v>
      </c>
      <c r="BA1197" t="s">
        <v>11737</v>
      </c>
      <c r="BB1197">
        <v>0</v>
      </c>
      <c r="BC1197">
        <v>0</v>
      </c>
      <c r="BD1197">
        <v>0</v>
      </c>
      <c r="BE1197">
        <v>0</v>
      </c>
      <c r="BF1197">
        <v>3</v>
      </c>
      <c r="BG1197">
        <v>0</v>
      </c>
    </row>
    <row r="1198" spans="1:59">
      <c r="A1198" s="1">
        <f>HYPERLINK("https://lsnyc.legalserver.org/matter/dynamic-profile/view/1905026","19-1905026")</f>
        <v>0</v>
      </c>
      <c r="B1198" t="s">
        <v>1110</v>
      </c>
      <c r="C1198" t="s">
        <v>5975</v>
      </c>
      <c r="D1198" t="s">
        <v>9939</v>
      </c>
      <c r="E1198" t="s">
        <v>10075</v>
      </c>
      <c r="F1198">
        <v>11419</v>
      </c>
      <c r="G1198" t="s">
        <v>10092</v>
      </c>
      <c r="H1198" t="s">
        <v>10124</v>
      </c>
      <c r="I1198" t="s">
        <v>10168</v>
      </c>
      <c r="J1198" t="s">
        <v>10212</v>
      </c>
      <c r="K1198" t="s">
        <v>10218</v>
      </c>
      <c r="L1198" t="s">
        <v>10124</v>
      </c>
      <c r="M1198" t="s">
        <v>10374</v>
      </c>
      <c r="N1198" t="s">
        <v>10674</v>
      </c>
      <c r="O1198" t="s">
        <v>10699</v>
      </c>
      <c r="P1198" t="s">
        <v>10754</v>
      </c>
      <c r="Q1198" t="s">
        <v>10775</v>
      </c>
      <c r="R1198" t="s">
        <v>10828</v>
      </c>
      <c r="T1198">
        <v>32000</v>
      </c>
      <c r="U1198">
        <v>2666.67</v>
      </c>
      <c r="V1198">
        <v>30</v>
      </c>
      <c r="W1198">
        <v>1</v>
      </c>
      <c r="X1198">
        <v>2</v>
      </c>
      <c r="Y1198" t="s">
        <v>10829</v>
      </c>
      <c r="Z1198">
        <v>150.02</v>
      </c>
      <c r="AA1198">
        <v>40.689959</v>
      </c>
      <c r="AB1198">
        <v>-73.835159</v>
      </c>
      <c r="AD1198" t="s">
        <v>10839</v>
      </c>
      <c r="AG1198" t="s">
        <v>10858</v>
      </c>
      <c r="AH1198" t="s">
        <v>10865</v>
      </c>
      <c r="AI1198">
        <v>237</v>
      </c>
      <c r="AJ1198" t="s">
        <v>10212</v>
      </c>
      <c r="AK1198" t="s">
        <v>10837</v>
      </c>
      <c r="AL1198">
        <v>1</v>
      </c>
      <c r="AM1198" t="s">
        <v>10892</v>
      </c>
      <c r="AN1198" t="s">
        <v>10945</v>
      </c>
      <c r="AO1198" t="s">
        <v>11017</v>
      </c>
      <c r="AP1198" t="s">
        <v>11070</v>
      </c>
      <c r="AR1198" t="s">
        <v>11257</v>
      </c>
      <c r="AS1198" t="s">
        <v>11594</v>
      </c>
      <c r="AT1198" t="s">
        <v>11641</v>
      </c>
      <c r="AX1198" t="s">
        <v>10838</v>
      </c>
      <c r="AY1198" t="s">
        <v>10829</v>
      </c>
      <c r="AZ1198" t="s">
        <v>11683</v>
      </c>
      <c r="BA1198" t="s">
        <v>11741</v>
      </c>
      <c r="BB1198">
        <v>0</v>
      </c>
      <c r="BC1198">
        <v>0</v>
      </c>
      <c r="BD1198">
        <v>0</v>
      </c>
      <c r="BE1198">
        <v>0</v>
      </c>
      <c r="BF1198">
        <v>1</v>
      </c>
      <c r="BG1198">
        <v>0</v>
      </c>
    </row>
    <row r="1199" spans="1:59">
      <c r="A1199" s="1">
        <f>HYPERLINK("https://lsnyc.legalserver.org/matter/dynamic-profile/view/1905027","19-1905027")</f>
        <v>0</v>
      </c>
      <c r="B1199" t="s">
        <v>1111</v>
      </c>
      <c r="C1199" t="s">
        <v>5976</v>
      </c>
      <c r="D1199" t="s">
        <v>9938</v>
      </c>
      <c r="E1199" t="s">
        <v>10075</v>
      </c>
      <c r="F1199">
        <v>11433</v>
      </c>
      <c r="G1199" t="s">
        <v>10092</v>
      </c>
      <c r="H1199" t="s">
        <v>10124</v>
      </c>
      <c r="I1199" t="s">
        <v>10169</v>
      </c>
      <c r="J1199" t="s">
        <v>10212</v>
      </c>
      <c r="K1199" t="s">
        <v>10217</v>
      </c>
      <c r="M1199" t="s">
        <v>10422</v>
      </c>
      <c r="N1199" t="s">
        <v>10679</v>
      </c>
      <c r="P1199" t="s">
        <v>10754</v>
      </c>
      <c r="Q1199" t="s">
        <v>10777</v>
      </c>
      <c r="R1199" t="s">
        <v>10823</v>
      </c>
      <c r="T1199">
        <v>20800</v>
      </c>
      <c r="U1199">
        <v>1733.33</v>
      </c>
      <c r="V1199">
        <v>16</v>
      </c>
      <c r="W1199">
        <v>1</v>
      </c>
      <c r="X1199">
        <v>2</v>
      </c>
      <c r="Z1199">
        <v>97.52</v>
      </c>
      <c r="AA1199">
        <v>40.702467</v>
      </c>
      <c r="AB1199">
        <v>-73.788161</v>
      </c>
      <c r="AD1199" t="s">
        <v>10840</v>
      </c>
      <c r="AF1199" t="s">
        <v>10842</v>
      </c>
      <c r="AG1199" t="s">
        <v>10859</v>
      </c>
      <c r="AH1199" t="s">
        <v>10864</v>
      </c>
      <c r="AI1199">
        <v>237</v>
      </c>
      <c r="AJ1199" t="s">
        <v>10212</v>
      </c>
      <c r="AL1199">
        <v>5.25</v>
      </c>
      <c r="AM1199" t="s">
        <v>10892</v>
      </c>
      <c r="AN1199" t="s">
        <v>10955</v>
      </c>
      <c r="AO1199" t="s">
        <v>11020</v>
      </c>
      <c r="AP1199" t="s">
        <v>11075</v>
      </c>
      <c r="AQ1199" t="s">
        <v>11128</v>
      </c>
      <c r="AR1199" t="s">
        <v>11257</v>
      </c>
      <c r="AS1199" t="s">
        <v>11594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</row>
    <row r="1200" spans="1:59">
      <c r="A1200" s="1">
        <f>HYPERLINK("https://lsnyc.legalserver.org/matter/dynamic-profile/view/1905028","19-1905028")</f>
        <v>0</v>
      </c>
      <c r="B1200" t="s">
        <v>1112</v>
      </c>
      <c r="C1200" t="s">
        <v>5271</v>
      </c>
      <c r="D1200" t="s">
        <v>9925</v>
      </c>
      <c r="E1200" t="s">
        <v>10075</v>
      </c>
      <c r="F1200">
        <v>10024</v>
      </c>
      <c r="G1200" t="s">
        <v>10089</v>
      </c>
      <c r="H1200" t="s">
        <v>10128</v>
      </c>
      <c r="I1200" t="s">
        <v>10168</v>
      </c>
      <c r="J1200" t="s">
        <v>10209</v>
      </c>
      <c r="K1200" t="s">
        <v>10217</v>
      </c>
      <c r="M1200" t="s">
        <v>10396</v>
      </c>
      <c r="N1200" t="s">
        <v>10650</v>
      </c>
      <c r="P1200" t="s">
        <v>10749</v>
      </c>
      <c r="Q1200" t="s">
        <v>10765</v>
      </c>
      <c r="R1200" t="s">
        <v>10820</v>
      </c>
      <c r="T1200">
        <v>70000</v>
      </c>
      <c r="U1200">
        <v>5833.33</v>
      </c>
      <c r="V1200">
        <v>24</v>
      </c>
      <c r="W1200">
        <v>1</v>
      </c>
      <c r="X1200">
        <v>0</v>
      </c>
      <c r="Z1200">
        <v>560.45</v>
      </c>
      <c r="AA1200">
        <v>40.784487</v>
      </c>
      <c r="AB1200">
        <v>-73.973958</v>
      </c>
      <c r="AD1200" t="s">
        <v>10839</v>
      </c>
      <c r="AG1200" t="s">
        <v>10858</v>
      </c>
      <c r="AH1200" t="s">
        <v>10862</v>
      </c>
      <c r="AI1200">
        <v>236</v>
      </c>
      <c r="AJ1200" t="s">
        <v>10209</v>
      </c>
      <c r="AL1200">
        <v>0.1</v>
      </c>
      <c r="AM1200" t="s">
        <v>10894</v>
      </c>
      <c r="AN1200" t="s">
        <v>10953</v>
      </c>
      <c r="AO1200" t="s">
        <v>11013</v>
      </c>
      <c r="AP1200" t="s">
        <v>11089</v>
      </c>
      <c r="AR1200" t="s">
        <v>11257</v>
      </c>
      <c r="AS1200" t="s">
        <v>9925</v>
      </c>
      <c r="AT1200" t="s">
        <v>11641</v>
      </c>
      <c r="AX1200" t="s">
        <v>10838</v>
      </c>
      <c r="BA1200" t="s">
        <v>11742</v>
      </c>
      <c r="BB1200">
        <v>0</v>
      </c>
      <c r="BC1200">
        <v>0</v>
      </c>
      <c r="BD1200">
        <v>0</v>
      </c>
      <c r="BE1200">
        <v>0</v>
      </c>
      <c r="BF1200">
        <v>7</v>
      </c>
      <c r="BG1200">
        <v>0</v>
      </c>
    </row>
    <row r="1201" spans="1:59">
      <c r="A1201" s="1">
        <f>HYPERLINK("https://lsnyc.legalserver.org/matter/dynamic-profile/view/1905030","19-1905030")</f>
        <v>0</v>
      </c>
      <c r="B1201" t="s">
        <v>1113</v>
      </c>
      <c r="C1201" t="s">
        <v>5977</v>
      </c>
      <c r="D1201" t="s">
        <v>9928</v>
      </c>
      <c r="E1201" t="s">
        <v>10075</v>
      </c>
      <c r="F1201">
        <v>11225</v>
      </c>
      <c r="G1201" t="s">
        <v>10093</v>
      </c>
      <c r="H1201" t="s">
        <v>10128</v>
      </c>
      <c r="I1201" t="s">
        <v>10168</v>
      </c>
      <c r="J1201" t="s">
        <v>10213</v>
      </c>
      <c r="K1201" t="s">
        <v>10217</v>
      </c>
      <c r="M1201" t="s">
        <v>10528</v>
      </c>
      <c r="N1201" t="s">
        <v>10667</v>
      </c>
      <c r="O1201" t="s">
        <v>10667</v>
      </c>
      <c r="P1201" t="s">
        <v>10749</v>
      </c>
      <c r="Q1201" t="s">
        <v>10765</v>
      </c>
      <c r="R1201" t="s">
        <v>10825</v>
      </c>
      <c r="T1201">
        <v>0</v>
      </c>
      <c r="U1201">
        <v>0</v>
      </c>
      <c r="V1201">
        <v>68</v>
      </c>
      <c r="W1201">
        <v>3</v>
      </c>
      <c r="X1201">
        <v>0</v>
      </c>
      <c r="Z1201">
        <v>0</v>
      </c>
      <c r="AA1201">
        <v>40.660224</v>
      </c>
      <c r="AB1201">
        <v>-73.952583</v>
      </c>
      <c r="AD1201" t="s">
        <v>10839</v>
      </c>
      <c r="AG1201" t="s">
        <v>10858</v>
      </c>
      <c r="AH1201" t="s">
        <v>10862</v>
      </c>
      <c r="AI1201">
        <v>239</v>
      </c>
      <c r="AJ1201" t="s">
        <v>10213</v>
      </c>
      <c r="AL1201">
        <v>11.7</v>
      </c>
      <c r="AM1201" t="s">
        <v>10888</v>
      </c>
      <c r="AN1201" t="s">
        <v>10912</v>
      </c>
      <c r="AO1201" t="s">
        <v>11005</v>
      </c>
      <c r="AP1201" t="s">
        <v>11050</v>
      </c>
      <c r="AR1201" t="s">
        <v>11279</v>
      </c>
      <c r="AS1201" t="s">
        <v>11595</v>
      </c>
      <c r="BA1201" t="s">
        <v>11738</v>
      </c>
      <c r="BB1201">
        <v>0</v>
      </c>
      <c r="BC1201">
        <v>0</v>
      </c>
      <c r="BD1201">
        <v>0</v>
      </c>
      <c r="BE1201">
        <v>0</v>
      </c>
      <c r="BF1201">
        <v>5</v>
      </c>
      <c r="BG1201">
        <v>0</v>
      </c>
    </row>
    <row r="1202" spans="1:59">
      <c r="A1202" s="1">
        <f>HYPERLINK("https://lsnyc.legalserver.org/matter/dynamic-profile/view/1905031","19-1905031")</f>
        <v>0</v>
      </c>
      <c r="B1202" t="s">
        <v>1114</v>
      </c>
      <c r="C1202" t="s">
        <v>5978</v>
      </c>
      <c r="D1202" t="s">
        <v>9992</v>
      </c>
      <c r="E1202" t="s">
        <v>10075</v>
      </c>
      <c r="F1202">
        <v>11101</v>
      </c>
      <c r="G1202" t="s">
        <v>10092</v>
      </c>
      <c r="H1202" t="s">
        <v>10128</v>
      </c>
      <c r="I1202" t="s">
        <v>10168</v>
      </c>
      <c r="J1202" t="s">
        <v>10212</v>
      </c>
      <c r="K1202" t="s">
        <v>10217</v>
      </c>
      <c r="M1202" t="s">
        <v>10502</v>
      </c>
      <c r="N1202" t="s">
        <v>10671</v>
      </c>
      <c r="P1202" t="s">
        <v>10755</v>
      </c>
      <c r="Q1202" t="s">
        <v>10772</v>
      </c>
      <c r="R1202" t="s">
        <v>10821</v>
      </c>
      <c r="T1202">
        <v>26460</v>
      </c>
      <c r="U1202">
        <v>2205</v>
      </c>
      <c r="V1202">
        <v>7</v>
      </c>
      <c r="W1202">
        <v>2</v>
      </c>
      <c r="X1202">
        <v>1</v>
      </c>
      <c r="Z1202">
        <v>124.05</v>
      </c>
      <c r="AA1202">
        <v>40.75745</v>
      </c>
      <c r="AB1202">
        <v>-73.945728</v>
      </c>
      <c r="AD1202" t="s">
        <v>10840</v>
      </c>
      <c r="AG1202" t="s">
        <v>10858</v>
      </c>
      <c r="AH1202" t="s">
        <v>10877</v>
      </c>
      <c r="AI1202">
        <v>237</v>
      </c>
      <c r="AJ1202" t="s">
        <v>10212</v>
      </c>
      <c r="AL1202">
        <v>4.6</v>
      </c>
      <c r="AM1202" t="s">
        <v>10891</v>
      </c>
      <c r="AN1202" t="s">
        <v>10961</v>
      </c>
      <c r="AO1202" t="s">
        <v>11003</v>
      </c>
      <c r="AP1202" t="s">
        <v>11047</v>
      </c>
      <c r="AR1202" t="s">
        <v>11268</v>
      </c>
      <c r="AS1202" t="s">
        <v>11594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</row>
    <row r="1203" spans="1:59">
      <c r="A1203" s="1">
        <f>HYPERLINK("https://lsnyc.legalserver.org/matter/dynamic-profile/view/1905032","19-1905032")</f>
        <v>0</v>
      </c>
      <c r="B1203" t="s">
        <v>1115</v>
      </c>
      <c r="C1203" t="s">
        <v>5979</v>
      </c>
      <c r="D1203" t="s">
        <v>9926</v>
      </c>
      <c r="E1203" t="s">
        <v>10075</v>
      </c>
      <c r="F1203">
        <v>10454</v>
      </c>
      <c r="G1203" t="s">
        <v>10090</v>
      </c>
      <c r="H1203" t="s">
        <v>10128</v>
      </c>
      <c r="I1203" t="s">
        <v>10169</v>
      </c>
      <c r="J1203" t="s">
        <v>10210</v>
      </c>
      <c r="K1203" t="s">
        <v>10217</v>
      </c>
      <c r="M1203" t="s">
        <v>10296</v>
      </c>
      <c r="N1203" t="s">
        <v>10673</v>
      </c>
      <c r="P1203" t="s">
        <v>10753</v>
      </c>
      <c r="Q1203" t="s">
        <v>10763</v>
      </c>
      <c r="R1203" t="s">
        <v>10823</v>
      </c>
      <c r="T1203">
        <v>33800</v>
      </c>
      <c r="U1203">
        <v>2816.67</v>
      </c>
      <c r="V1203">
        <v>38</v>
      </c>
      <c r="W1203">
        <v>2</v>
      </c>
      <c r="X1203">
        <v>1</v>
      </c>
      <c r="Z1203">
        <v>158.46</v>
      </c>
      <c r="AA1203">
        <v>40.807673</v>
      </c>
      <c r="AB1203">
        <v>-73.910483</v>
      </c>
      <c r="AD1203" t="s">
        <v>10839</v>
      </c>
      <c r="AF1203" t="s">
        <v>10842</v>
      </c>
      <c r="AG1203" t="s">
        <v>10859</v>
      </c>
      <c r="AH1203" t="s">
        <v>10864</v>
      </c>
      <c r="AI1203">
        <v>230</v>
      </c>
      <c r="AJ1203" t="s">
        <v>10210</v>
      </c>
      <c r="AL1203">
        <v>7.5</v>
      </c>
      <c r="AM1203" t="s">
        <v>10884</v>
      </c>
      <c r="AN1203" t="s">
        <v>10924</v>
      </c>
      <c r="AO1203" t="s">
        <v>11013</v>
      </c>
      <c r="AP1203" t="s">
        <v>11066</v>
      </c>
      <c r="AQ1203" t="s">
        <v>11109</v>
      </c>
      <c r="AR1203" t="s">
        <v>11257</v>
      </c>
      <c r="AS1203" t="s">
        <v>9926</v>
      </c>
      <c r="AT1203" t="s">
        <v>11641</v>
      </c>
      <c r="AV1203" t="s">
        <v>11656</v>
      </c>
      <c r="AW1203" t="s">
        <v>11645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</row>
    <row r="1204" spans="1:59">
      <c r="A1204" s="1">
        <f>HYPERLINK("https://lsnyc.legalserver.org/matter/dynamic-profile/view/1905033","19-1905033")</f>
        <v>0</v>
      </c>
      <c r="B1204" t="s">
        <v>1116</v>
      </c>
      <c r="C1204" t="s">
        <v>5601</v>
      </c>
      <c r="D1204" t="s">
        <v>9926</v>
      </c>
      <c r="E1204" t="s">
        <v>10075</v>
      </c>
      <c r="F1204">
        <v>10453</v>
      </c>
      <c r="G1204" t="s">
        <v>10090</v>
      </c>
      <c r="H1204" t="s">
        <v>10128</v>
      </c>
      <c r="I1204" t="s">
        <v>10169</v>
      </c>
      <c r="J1204" t="s">
        <v>10210</v>
      </c>
      <c r="K1204" t="s">
        <v>10217</v>
      </c>
      <c r="M1204" t="s">
        <v>10463</v>
      </c>
      <c r="N1204" t="s">
        <v>10650</v>
      </c>
      <c r="P1204" t="s">
        <v>10749</v>
      </c>
      <c r="Q1204" t="s">
        <v>10765</v>
      </c>
      <c r="R1204" t="s">
        <v>10821</v>
      </c>
      <c r="T1204">
        <v>42000</v>
      </c>
      <c r="U1204">
        <v>3500</v>
      </c>
      <c r="V1204">
        <v>36</v>
      </c>
      <c r="W1204">
        <v>1</v>
      </c>
      <c r="X1204">
        <v>3</v>
      </c>
      <c r="Z1204">
        <v>163.11</v>
      </c>
      <c r="AA1204">
        <v>40.846436</v>
      </c>
      <c r="AB1204">
        <v>-73.90944</v>
      </c>
      <c r="AD1204" t="s">
        <v>10839</v>
      </c>
      <c r="AG1204" t="s">
        <v>10858</v>
      </c>
      <c r="AH1204" t="s">
        <v>10862</v>
      </c>
      <c r="AI1204">
        <v>230</v>
      </c>
      <c r="AJ1204" t="s">
        <v>10210</v>
      </c>
      <c r="AL1204">
        <v>0</v>
      </c>
      <c r="AM1204" t="s">
        <v>10884</v>
      </c>
      <c r="AN1204" t="s">
        <v>10931</v>
      </c>
      <c r="AO1204" t="s">
        <v>11000</v>
      </c>
      <c r="AP1204" t="s">
        <v>11045</v>
      </c>
      <c r="AR1204" t="s">
        <v>11257</v>
      </c>
      <c r="AS1204" t="s">
        <v>9926</v>
      </c>
      <c r="BA1204" t="s">
        <v>11739</v>
      </c>
      <c r="BB1204">
        <v>0</v>
      </c>
      <c r="BC1204">
        <v>0</v>
      </c>
      <c r="BD1204">
        <v>0</v>
      </c>
      <c r="BE1204">
        <v>0</v>
      </c>
      <c r="BF1204">
        <v>4</v>
      </c>
      <c r="BG1204">
        <v>0</v>
      </c>
    </row>
    <row r="1205" spans="1:59">
      <c r="A1205" s="1">
        <f>HYPERLINK("https://lsnyc.legalserver.org/matter/dynamic-profile/view/1905034","19-1905034")</f>
        <v>0</v>
      </c>
      <c r="B1205" t="s">
        <v>1117</v>
      </c>
      <c r="C1205" t="s">
        <v>5601</v>
      </c>
      <c r="D1205" t="s">
        <v>9926</v>
      </c>
      <c r="E1205" t="s">
        <v>10075</v>
      </c>
      <c r="F1205">
        <v>10453</v>
      </c>
      <c r="G1205" t="s">
        <v>10090</v>
      </c>
      <c r="H1205" t="s">
        <v>10128</v>
      </c>
      <c r="I1205" t="s">
        <v>10169</v>
      </c>
      <c r="J1205" t="s">
        <v>10210</v>
      </c>
      <c r="K1205" t="s">
        <v>10217</v>
      </c>
      <c r="M1205" t="s">
        <v>10463</v>
      </c>
      <c r="N1205" t="s">
        <v>10650</v>
      </c>
      <c r="P1205" t="s">
        <v>10749</v>
      </c>
      <c r="Q1205" t="s">
        <v>10765</v>
      </c>
      <c r="R1205" t="s">
        <v>10821</v>
      </c>
      <c r="T1205">
        <v>8880</v>
      </c>
      <c r="U1205">
        <v>740</v>
      </c>
      <c r="V1205">
        <v>41</v>
      </c>
      <c r="W1205">
        <v>1</v>
      </c>
      <c r="X1205">
        <v>2</v>
      </c>
      <c r="Z1205">
        <v>41.63</v>
      </c>
      <c r="AA1205">
        <v>40.846436</v>
      </c>
      <c r="AB1205">
        <v>-73.90944</v>
      </c>
      <c r="AD1205" t="s">
        <v>10839</v>
      </c>
      <c r="AG1205" t="s">
        <v>10858</v>
      </c>
      <c r="AH1205" t="s">
        <v>10862</v>
      </c>
      <c r="AI1205">
        <v>230</v>
      </c>
      <c r="AJ1205" t="s">
        <v>10210</v>
      </c>
      <c r="AL1205">
        <v>0</v>
      </c>
      <c r="AM1205" t="s">
        <v>10884</v>
      </c>
      <c r="AN1205" t="s">
        <v>10931</v>
      </c>
      <c r="AO1205" t="s">
        <v>11000</v>
      </c>
      <c r="AP1205" t="s">
        <v>11045</v>
      </c>
      <c r="AR1205" t="s">
        <v>11263</v>
      </c>
      <c r="AS1205" t="s">
        <v>9926</v>
      </c>
      <c r="AT1205" t="s">
        <v>11641</v>
      </c>
      <c r="BA1205" t="s">
        <v>11739</v>
      </c>
      <c r="BB1205">
        <v>0</v>
      </c>
      <c r="BC1205">
        <v>0</v>
      </c>
      <c r="BD1205">
        <v>0</v>
      </c>
      <c r="BE1205">
        <v>0</v>
      </c>
      <c r="BF1205">
        <v>4</v>
      </c>
      <c r="BG1205">
        <v>0</v>
      </c>
    </row>
    <row r="1206" spans="1:59">
      <c r="A1206" s="1">
        <f>HYPERLINK("https://lsnyc.legalserver.org/matter/dynamic-profile/view/1905035","19-1905035")</f>
        <v>0</v>
      </c>
      <c r="B1206" t="s">
        <v>1118</v>
      </c>
      <c r="C1206" t="s">
        <v>5980</v>
      </c>
      <c r="D1206" t="s">
        <v>9928</v>
      </c>
      <c r="E1206" t="s">
        <v>10075</v>
      </c>
      <c r="F1206">
        <v>11226</v>
      </c>
      <c r="G1206" t="s">
        <v>10093</v>
      </c>
      <c r="H1206" t="s">
        <v>10128</v>
      </c>
      <c r="I1206" t="s">
        <v>10168</v>
      </c>
      <c r="J1206" t="s">
        <v>10213</v>
      </c>
      <c r="K1206" t="s">
        <v>10217</v>
      </c>
      <c r="M1206" t="s">
        <v>10528</v>
      </c>
      <c r="N1206" t="s">
        <v>10667</v>
      </c>
      <c r="P1206" t="s">
        <v>10749</v>
      </c>
      <c r="Q1206" t="s">
        <v>10765</v>
      </c>
      <c r="R1206" t="s">
        <v>10824</v>
      </c>
      <c r="T1206">
        <v>240</v>
      </c>
      <c r="U1206">
        <v>20</v>
      </c>
      <c r="V1206">
        <v>56</v>
      </c>
      <c r="W1206">
        <v>2</v>
      </c>
      <c r="X1206">
        <v>0</v>
      </c>
      <c r="Z1206">
        <v>1.42</v>
      </c>
      <c r="AA1206">
        <v>40.652996</v>
      </c>
      <c r="AB1206">
        <v>-73.952904</v>
      </c>
      <c r="AD1206" t="s">
        <v>10840</v>
      </c>
      <c r="AF1206" t="s">
        <v>10843</v>
      </c>
      <c r="AG1206" t="s">
        <v>10859</v>
      </c>
      <c r="AH1206" t="s">
        <v>10862</v>
      </c>
      <c r="AI1206">
        <v>239</v>
      </c>
      <c r="AJ1206" t="s">
        <v>10213</v>
      </c>
      <c r="AL1206">
        <v>0.3</v>
      </c>
      <c r="AM1206" t="s">
        <v>10888</v>
      </c>
      <c r="AN1206" t="s">
        <v>10912</v>
      </c>
      <c r="AO1206" t="s">
        <v>11005</v>
      </c>
      <c r="AP1206" t="s">
        <v>11050</v>
      </c>
      <c r="AQ1206" t="s">
        <v>11123</v>
      </c>
      <c r="AR1206" t="s">
        <v>11257</v>
      </c>
      <c r="AS1206" t="s">
        <v>11595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</row>
    <row r="1207" spans="1:59">
      <c r="A1207" s="1">
        <f>HYPERLINK("https://lsnyc.legalserver.org/matter/dynamic-profile/view/1905036","19-1905036")</f>
        <v>0</v>
      </c>
      <c r="B1207" t="s">
        <v>1119</v>
      </c>
      <c r="C1207" t="s">
        <v>5981</v>
      </c>
      <c r="D1207" t="s">
        <v>9928</v>
      </c>
      <c r="E1207" t="s">
        <v>10075</v>
      </c>
      <c r="F1207">
        <v>11208</v>
      </c>
      <c r="G1207" t="s">
        <v>10089</v>
      </c>
      <c r="H1207" t="s">
        <v>10128</v>
      </c>
      <c r="I1207" t="s">
        <v>10168</v>
      </c>
      <c r="J1207" t="s">
        <v>10209</v>
      </c>
      <c r="K1207" t="s">
        <v>10217</v>
      </c>
      <c r="M1207" t="s">
        <v>10529</v>
      </c>
      <c r="N1207" t="s">
        <v>10671</v>
      </c>
      <c r="P1207" t="s">
        <v>10751</v>
      </c>
      <c r="Q1207" t="s">
        <v>10768</v>
      </c>
      <c r="R1207" t="s">
        <v>10822</v>
      </c>
      <c r="T1207">
        <v>22003.68</v>
      </c>
      <c r="U1207">
        <v>1833.64</v>
      </c>
      <c r="V1207">
        <v>47</v>
      </c>
      <c r="W1207">
        <v>1</v>
      </c>
      <c r="X1207">
        <v>0</v>
      </c>
      <c r="Z1207">
        <v>176.17</v>
      </c>
      <c r="AA1207">
        <v>40.670339</v>
      </c>
      <c r="AB1207">
        <v>-73.865407</v>
      </c>
      <c r="AC1207" t="s">
        <v>10837</v>
      </c>
      <c r="AD1207" t="s">
        <v>10840</v>
      </c>
      <c r="AG1207" t="s">
        <v>10858</v>
      </c>
      <c r="AH1207" t="s">
        <v>10861</v>
      </c>
      <c r="AI1207">
        <v>234</v>
      </c>
      <c r="AJ1207" t="s">
        <v>10214</v>
      </c>
      <c r="AL1207">
        <v>1.2</v>
      </c>
      <c r="AM1207" t="s">
        <v>10889</v>
      </c>
      <c r="AN1207" t="s">
        <v>10946</v>
      </c>
      <c r="AO1207" t="s">
        <v>11012</v>
      </c>
      <c r="AP1207" t="s">
        <v>11060</v>
      </c>
      <c r="AR1207" t="s">
        <v>11303</v>
      </c>
      <c r="AS1207" t="s">
        <v>11595</v>
      </c>
      <c r="AT1207" t="s">
        <v>11642</v>
      </c>
      <c r="AX1207" t="s">
        <v>10838</v>
      </c>
      <c r="BA1207" t="s">
        <v>11742</v>
      </c>
      <c r="BB1207">
        <v>0</v>
      </c>
      <c r="BC1207">
        <v>0</v>
      </c>
      <c r="BD1207">
        <v>0</v>
      </c>
      <c r="BE1207">
        <v>0</v>
      </c>
      <c r="BF1207">
        <v>7</v>
      </c>
      <c r="BG1207">
        <v>0</v>
      </c>
    </row>
    <row r="1208" spans="1:59">
      <c r="A1208" s="1">
        <f>HYPERLINK("https://lsnyc.legalserver.org/matter/dynamic-profile/view/1905037","19-1905037")</f>
        <v>0</v>
      </c>
      <c r="B1208" t="s">
        <v>1120</v>
      </c>
      <c r="C1208" t="s">
        <v>5982</v>
      </c>
      <c r="D1208" t="s">
        <v>9926</v>
      </c>
      <c r="E1208" t="s">
        <v>10075</v>
      </c>
      <c r="F1208">
        <v>10457</v>
      </c>
      <c r="G1208" t="s">
        <v>10090</v>
      </c>
      <c r="H1208" t="s">
        <v>10128</v>
      </c>
      <c r="I1208" t="s">
        <v>10168</v>
      </c>
      <c r="J1208" t="s">
        <v>10210</v>
      </c>
      <c r="K1208" t="s">
        <v>10217</v>
      </c>
      <c r="M1208" t="s">
        <v>10244</v>
      </c>
      <c r="N1208" t="s">
        <v>10650</v>
      </c>
      <c r="P1208" t="s">
        <v>10749</v>
      </c>
      <c r="Q1208" t="s">
        <v>10765</v>
      </c>
      <c r="R1208" t="s">
        <v>10821</v>
      </c>
      <c r="T1208">
        <v>33800</v>
      </c>
      <c r="U1208">
        <v>2816.67</v>
      </c>
      <c r="V1208">
        <v>47</v>
      </c>
      <c r="W1208">
        <v>1</v>
      </c>
      <c r="X1208">
        <v>3</v>
      </c>
      <c r="Z1208">
        <v>131.26</v>
      </c>
      <c r="AA1208">
        <v>40.844548</v>
      </c>
      <c r="AB1208">
        <v>-73.91083399999999</v>
      </c>
      <c r="AD1208" t="s">
        <v>10839</v>
      </c>
      <c r="AG1208" t="s">
        <v>10858</v>
      </c>
      <c r="AH1208" t="s">
        <v>10861</v>
      </c>
      <c r="AI1208">
        <v>234</v>
      </c>
      <c r="AJ1208" t="s">
        <v>10214</v>
      </c>
      <c r="AL1208">
        <v>4.3</v>
      </c>
      <c r="AM1208" t="s">
        <v>10884</v>
      </c>
      <c r="AN1208" t="s">
        <v>10929</v>
      </c>
      <c r="AO1208" t="s">
        <v>11000</v>
      </c>
      <c r="AP1208" t="s">
        <v>11056</v>
      </c>
      <c r="AR1208" t="s">
        <v>11257</v>
      </c>
      <c r="AS1208" t="s">
        <v>9926</v>
      </c>
      <c r="AT1208" t="s">
        <v>11641</v>
      </c>
      <c r="AX1208" t="s">
        <v>10838</v>
      </c>
      <c r="BA1208" t="s">
        <v>11740</v>
      </c>
      <c r="BB1208">
        <v>0</v>
      </c>
      <c r="BC1208">
        <v>0</v>
      </c>
      <c r="BD1208">
        <v>0</v>
      </c>
      <c r="BE1208">
        <v>0</v>
      </c>
      <c r="BF1208">
        <v>2</v>
      </c>
      <c r="BG1208">
        <v>0</v>
      </c>
    </row>
    <row r="1209" spans="1:59">
      <c r="A1209" s="1">
        <f>HYPERLINK("https://lsnyc.legalserver.org/matter/dynamic-profile/view/1905038","19-1905038")</f>
        <v>0</v>
      </c>
      <c r="B1209" t="s">
        <v>1121</v>
      </c>
      <c r="C1209" t="s">
        <v>5983</v>
      </c>
      <c r="D1209" t="s">
        <v>9925</v>
      </c>
      <c r="E1209" t="s">
        <v>10075</v>
      </c>
      <c r="F1209">
        <v>10011</v>
      </c>
      <c r="G1209" t="s">
        <v>10089</v>
      </c>
      <c r="H1209" t="s">
        <v>10112</v>
      </c>
      <c r="I1209" t="s">
        <v>10168</v>
      </c>
      <c r="J1209" t="s">
        <v>10209</v>
      </c>
      <c r="K1209" t="s">
        <v>10218</v>
      </c>
      <c r="L1209" t="s">
        <v>10109</v>
      </c>
      <c r="M1209" t="s">
        <v>10447</v>
      </c>
      <c r="N1209" t="s">
        <v>10707</v>
      </c>
      <c r="P1209" t="s">
        <v>10756</v>
      </c>
      <c r="Q1209" t="s">
        <v>10794</v>
      </c>
      <c r="R1209" t="s">
        <v>10820</v>
      </c>
      <c r="T1209">
        <v>17280</v>
      </c>
      <c r="U1209">
        <v>1440</v>
      </c>
      <c r="V1209">
        <v>58</v>
      </c>
      <c r="W1209">
        <v>1</v>
      </c>
      <c r="X1209">
        <v>0</v>
      </c>
      <c r="Y1209" t="s">
        <v>10829</v>
      </c>
      <c r="Z1209">
        <v>138.35</v>
      </c>
      <c r="AA1209">
        <v>40.733422</v>
      </c>
      <c r="AB1209">
        <v>-73.998735</v>
      </c>
      <c r="AD1209" t="s">
        <v>10840</v>
      </c>
      <c r="AG1209" t="s">
        <v>10858</v>
      </c>
      <c r="AH1209" t="s">
        <v>10868</v>
      </c>
      <c r="AI1209">
        <v>236</v>
      </c>
      <c r="AJ1209" t="s">
        <v>10209</v>
      </c>
      <c r="AK1209" t="s">
        <v>10838</v>
      </c>
      <c r="AL1209">
        <v>0.5</v>
      </c>
      <c r="AM1209" t="s">
        <v>10894</v>
      </c>
      <c r="AN1209" t="s">
        <v>10950</v>
      </c>
      <c r="AO1209" t="s">
        <v>11021</v>
      </c>
      <c r="AP1209" t="s">
        <v>11090</v>
      </c>
      <c r="AQ1209" t="s">
        <v>11127</v>
      </c>
      <c r="AR1209" t="s">
        <v>11296</v>
      </c>
      <c r="AS1209" t="s">
        <v>9925</v>
      </c>
      <c r="AT1209" t="s">
        <v>11642</v>
      </c>
      <c r="AY1209" t="s">
        <v>10829</v>
      </c>
      <c r="AZ1209" t="s">
        <v>11708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</row>
    <row r="1210" spans="1:59">
      <c r="A1210" s="1">
        <f>HYPERLINK("https://lsnyc.legalserver.org/matter/dynamic-profile/view/1905039","19-1905039")</f>
        <v>0</v>
      </c>
      <c r="B1210" t="s">
        <v>1122</v>
      </c>
      <c r="C1210" t="s">
        <v>5984</v>
      </c>
      <c r="D1210" t="s">
        <v>9929</v>
      </c>
      <c r="E1210" t="s">
        <v>10075</v>
      </c>
      <c r="F1210">
        <v>10303</v>
      </c>
      <c r="G1210" t="s">
        <v>10088</v>
      </c>
      <c r="H1210" t="s">
        <v>10128</v>
      </c>
      <c r="I1210" t="s">
        <v>10168</v>
      </c>
      <c r="J1210" t="s">
        <v>10208</v>
      </c>
      <c r="K1210" t="s">
        <v>10218</v>
      </c>
      <c r="L1210" t="s">
        <v>10110</v>
      </c>
      <c r="M1210" t="s">
        <v>10240</v>
      </c>
      <c r="N1210" t="s">
        <v>10655</v>
      </c>
      <c r="P1210" t="s">
        <v>10749</v>
      </c>
      <c r="Q1210" t="s">
        <v>10765</v>
      </c>
      <c r="R1210" t="s">
        <v>10824</v>
      </c>
      <c r="T1210">
        <v>51999.96</v>
      </c>
      <c r="U1210">
        <v>4333.33</v>
      </c>
      <c r="V1210">
        <v>40</v>
      </c>
      <c r="W1210">
        <v>1</v>
      </c>
      <c r="X1210">
        <v>2</v>
      </c>
      <c r="Y1210" t="s">
        <v>10829</v>
      </c>
      <c r="Z1210">
        <v>243.79</v>
      </c>
      <c r="AA1210">
        <v>40.639119</v>
      </c>
      <c r="AB1210">
        <v>-74.17099899999999</v>
      </c>
      <c r="AD1210" t="s">
        <v>10839</v>
      </c>
      <c r="AG1210" t="s">
        <v>10858</v>
      </c>
      <c r="AH1210" t="s">
        <v>10862</v>
      </c>
      <c r="AI1210">
        <v>285</v>
      </c>
      <c r="AJ1210" t="s">
        <v>10208</v>
      </c>
      <c r="AK1210" t="s">
        <v>10838</v>
      </c>
      <c r="AL1210">
        <v>0.5</v>
      </c>
      <c r="AM1210" t="s">
        <v>10883</v>
      </c>
      <c r="AN1210" t="s">
        <v>10928</v>
      </c>
      <c r="AO1210" t="s">
        <v>11006</v>
      </c>
      <c r="AP1210" t="s">
        <v>11051</v>
      </c>
      <c r="AR1210" t="s">
        <v>11257</v>
      </c>
      <c r="AS1210" t="s">
        <v>11593</v>
      </c>
      <c r="AY1210" t="s">
        <v>10829</v>
      </c>
      <c r="AZ1210" t="s">
        <v>11681</v>
      </c>
      <c r="BA1210" t="s">
        <v>11741</v>
      </c>
      <c r="BB1210">
        <v>0</v>
      </c>
      <c r="BC1210">
        <v>0</v>
      </c>
      <c r="BD1210">
        <v>0</v>
      </c>
      <c r="BE1210">
        <v>0</v>
      </c>
      <c r="BF1210">
        <v>1</v>
      </c>
      <c r="BG1210">
        <v>0</v>
      </c>
    </row>
    <row r="1211" spans="1:59">
      <c r="A1211" s="1">
        <f>HYPERLINK("https://lsnyc.legalserver.org/matter/dynamic-profile/view/1905040","19-1905040")</f>
        <v>0</v>
      </c>
      <c r="B1211" t="s">
        <v>1117</v>
      </c>
      <c r="C1211" t="s">
        <v>5601</v>
      </c>
      <c r="D1211" t="s">
        <v>9926</v>
      </c>
      <c r="E1211" t="s">
        <v>10075</v>
      </c>
      <c r="F1211">
        <v>10453</v>
      </c>
      <c r="G1211" t="s">
        <v>10090</v>
      </c>
      <c r="H1211" t="s">
        <v>10128</v>
      </c>
      <c r="I1211" t="s">
        <v>10169</v>
      </c>
      <c r="J1211" t="s">
        <v>10210</v>
      </c>
      <c r="K1211" t="s">
        <v>10217</v>
      </c>
      <c r="M1211" t="s">
        <v>10463</v>
      </c>
      <c r="N1211" t="s">
        <v>10650</v>
      </c>
      <c r="P1211" t="s">
        <v>10749</v>
      </c>
      <c r="Q1211" t="s">
        <v>10765</v>
      </c>
      <c r="R1211" t="s">
        <v>10821</v>
      </c>
      <c r="T1211">
        <v>8880</v>
      </c>
      <c r="U1211">
        <v>740</v>
      </c>
      <c r="V1211">
        <v>41</v>
      </c>
      <c r="W1211">
        <v>1</v>
      </c>
      <c r="X1211">
        <v>2</v>
      </c>
      <c r="Z1211">
        <v>41.63</v>
      </c>
      <c r="AA1211">
        <v>40.846436</v>
      </c>
      <c r="AB1211">
        <v>-73.90944</v>
      </c>
      <c r="AD1211" t="s">
        <v>10839</v>
      </c>
      <c r="AG1211" t="s">
        <v>10858</v>
      </c>
      <c r="AH1211" t="s">
        <v>10862</v>
      </c>
      <c r="AI1211">
        <v>230</v>
      </c>
      <c r="AJ1211" t="s">
        <v>10210</v>
      </c>
      <c r="AL1211">
        <v>0</v>
      </c>
      <c r="AM1211" t="s">
        <v>10884</v>
      </c>
      <c r="AN1211" t="s">
        <v>10931</v>
      </c>
      <c r="AO1211" t="s">
        <v>11000</v>
      </c>
      <c r="AP1211" t="s">
        <v>11045</v>
      </c>
      <c r="AR1211" t="s">
        <v>11263</v>
      </c>
      <c r="AS1211" t="s">
        <v>9926</v>
      </c>
      <c r="AT1211" t="s">
        <v>11641</v>
      </c>
      <c r="BA1211" t="s">
        <v>11739</v>
      </c>
      <c r="BB1211">
        <v>0</v>
      </c>
      <c r="BC1211">
        <v>0</v>
      </c>
      <c r="BD1211">
        <v>0</v>
      </c>
      <c r="BE1211">
        <v>0</v>
      </c>
      <c r="BF1211">
        <v>4</v>
      </c>
      <c r="BG1211">
        <v>0</v>
      </c>
    </row>
    <row r="1212" spans="1:59">
      <c r="A1212" s="1">
        <f>HYPERLINK("https://lsnyc.legalserver.org/matter/dynamic-profile/view/1905041","19-1905041")</f>
        <v>0</v>
      </c>
      <c r="B1212" t="s">
        <v>1116</v>
      </c>
      <c r="C1212" t="s">
        <v>5601</v>
      </c>
      <c r="D1212" t="s">
        <v>9926</v>
      </c>
      <c r="E1212" t="s">
        <v>10075</v>
      </c>
      <c r="F1212">
        <v>10453</v>
      </c>
      <c r="G1212" t="s">
        <v>10090</v>
      </c>
      <c r="H1212" t="s">
        <v>10128</v>
      </c>
      <c r="I1212" t="s">
        <v>10169</v>
      </c>
      <c r="J1212" t="s">
        <v>10210</v>
      </c>
      <c r="K1212" t="s">
        <v>10217</v>
      </c>
      <c r="M1212" t="s">
        <v>10463</v>
      </c>
      <c r="N1212" t="s">
        <v>10650</v>
      </c>
      <c r="P1212" t="s">
        <v>10749</v>
      </c>
      <c r="Q1212" t="s">
        <v>10765</v>
      </c>
      <c r="R1212" t="s">
        <v>10821</v>
      </c>
      <c r="T1212">
        <v>42000</v>
      </c>
      <c r="U1212">
        <v>3500</v>
      </c>
      <c r="V1212">
        <v>36</v>
      </c>
      <c r="W1212">
        <v>1</v>
      </c>
      <c r="X1212">
        <v>3</v>
      </c>
      <c r="Z1212">
        <v>163.11</v>
      </c>
      <c r="AA1212">
        <v>40.846436</v>
      </c>
      <c r="AB1212">
        <v>-73.90944</v>
      </c>
      <c r="AD1212" t="s">
        <v>10839</v>
      </c>
      <c r="AG1212" t="s">
        <v>10858</v>
      </c>
      <c r="AH1212" t="s">
        <v>10862</v>
      </c>
      <c r="AI1212">
        <v>230</v>
      </c>
      <c r="AJ1212" t="s">
        <v>10210</v>
      </c>
      <c r="AL1212">
        <v>0</v>
      </c>
      <c r="AM1212" t="s">
        <v>10884</v>
      </c>
      <c r="AN1212" t="s">
        <v>10931</v>
      </c>
      <c r="AO1212" t="s">
        <v>11000</v>
      </c>
      <c r="AP1212" t="s">
        <v>11045</v>
      </c>
      <c r="AR1212" t="s">
        <v>11257</v>
      </c>
      <c r="AS1212" t="s">
        <v>9926</v>
      </c>
      <c r="BA1212" t="s">
        <v>11739</v>
      </c>
      <c r="BB1212">
        <v>0</v>
      </c>
      <c r="BC1212">
        <v>0</v>
      </c>
      <c r="BD1212">
        <v>0</v>
      </c>
      <c r="BE1212">
        <v>0</v>
      </c>
      <c r="BF1212">
        <v>4</v>
      </c>
      <c r="BG1212">
        <v>0</v>
      </c>
    </row>
    <row r="1213" spans="1:59">
      <c r="A1213" s="1">
        <f>HYPERLINK("https://lsnyc.legalserver.org/matter/dynamic-profile/view/1905042","19-1905042")</f>
        <v>0</v>
      </c>
      <c r="B1213" t="s">
        <v>1123</v>
      </c>
      <c r="C1213" t="s">
        <v>5985</v>
      </c>
      <c r="D1213" t="s">
        <v>9929</v>
      </c>
      <c r="E1213" t="s">
        <v>10075</v>
      </c>
      <c r="F1213">
        <v>10302</v>
      </c>
      <c r="G1213" t="s">
        <v>10088</v>
      </c>
      <c r="H1213" t="s">
        <v>10105</v>
      </c>
      <c r="I1213" t="s">
        <v>10169</v>
      </c>
      <c r="J1213" t="s">
        <v>10208</v>
      </c>
      <c r="K1213" t="s">
        <v>10217</v>
      </c>
      <c r="M1213" t="s">
        <v>10376</v>
      </c>
      <c r="N1213" t="s">
        <v>10649</v>
      </c>
      <c r="P1213" t="s">
        <v>10753</v>
      </c>
      <c r="Q1213" t="s">
        <v>10763</v>
      </c>
      <c r="R1213" t="s">
        <v>10821</v>
      </c>
      <c r="T1213">
        <v>20800</v>
      </c>
      <c r="U1213">
        <v>1733.33</v>
      </c>
      <c r="V1213">
        <v>29</v>
      </c>
      <c r="W1213">
        <v>2</v>
      </c>
      <c r="X1213">
        <v>0</v>
      </c>
      <c r="Z1213">
        <v>123</v>
      </c>
      <c r="AA1213">
        <v>40.637394</v>
      </c>
      <c r="AB1213">
        <v>-74.14007700000001</v>
      </c>
      <c r="AD1213" t="s">
        <v>10839</v>
      </c>
      <c r="AF1213" t="s">
        <v>10844</v>
      </c>
      <c r="AG1213" t="s">
        <v>10859</v>
      </c>
      <c r="AH1213" t="s">
        <v>10861</v>
      </c>
      <c r="AI1213">
        <v>285</v>
      </c>
      <c r="AJ1213" t="s">
        <v>10208</v>
      </c>
      <c r="AL1213">
        <v>1.75</v>
      </c>
      <c r="AM1213" t="s">
        <v>10883</v>
      </c>
      <c r="AN1213" t="s">
        <v>10913</v>
      </c>
      <c r="AO1213" t="s">
        <v>11006</v>
      </c>
      <c r="AP1213" t="s">
        <v>11051</v>
      </c>
      <c r="AR1213" t="s">
        <v>11257</v>
      </c>
      <c r="AS1213" t="s">
        <v>11593</v>
      </c>
      <c r="AT1213" t="s">
        <v>11641</v>
      </c>
      <c r="AX1213" t="s">
        <v>10837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</row>
    <row r="1214" spans="1:59">
      <c r="A1214" s="1">
        <f>HYPERLINK("https://lsnyc.legalserver.org/matter/dynamic-profile/view/1905043","19-1905043")</f>
        <v>0</v>
      </c>
      <c r="B1214" t="s">
        <v>1124</v>
      </c>
      <c r="C1214" t="s">
        <v>5986</v>
      </c>
      <c r="D1214" t="s">
        <v>9928</v>
      </c>
      <c r="E1214" t="s">
        <v>10075</v>
      </c>
      <c r="F1214">
        <v>11209</v>
      </c>
      <c r="G1214" t="s">
        <v>10093</v>
      </c>
      <c r="H1214" t="s">
        <v>10128</v>
      </c>
      <c r="I1214" t="s">
        <v>10168</v>
      </c>
      <c r="J1214" t="s">
        <v>10213</v>
      </c>
      <c r="K1214" t="s">
        <v>10217</v>
      </c>
      <c r="M1214" t="s">
        <v>10327</v>
      </c>
      <c r="N1214" t="s">
        <v>10646</v>
      </c>
      <c r="P1214" t="s">
        <v>10752</v>
      </c>
      <c r="Q1214" t="s">
        <v>10783</v>
      </c>
      <c r="R1214" t="s">
        <v>10824</v>
      </c>
      <c r="T1214">
        <v>37200</v>
      </c>
      <c r="U1214">
        <v>3100</v>
      </c>
      <c r="V1214">
        <v>54</v>
      </c>
      <c r="W1214">
        <v>1</v>
      </c>
      <c r="X1214">
        <v>0</v>
      </c>
      <c r="Z1214">
        <v>297.84</v>
      </c>
      <c r="AA1214">
        <v>40.608188</v>
      </c>
      <c r="AB1214">
        <v>-74.023887</v>
      </c>
      <c r="AC1214" t="s">
        <v>10837</v>
      </c>
      <c r="AD1214" t="s">
        <v>10840</v>
      </c>
      <c r="AG1214" t="s">
        <v>10858</v>
      </c>
      <c r="AH1214" t="s">
        <v>10861</v>
      </c>
      <c r="AI1214">
        <v>234</v>
      </c>
      <c r="AJ1214" t="s">
        <v>10214</v>
      </c>
      <c r="AL1214">
        <v>2.5</v>
      </c>
      <c r="AM1214" t="s">
        <v>10883</v>
      </c>
      <c r="AN1214" t="s">
        <v>10960</v>
      </c>
      <c r="AO1214" t="s">
        <v>11023</v>
      </c>
      <c r="AP1214" t="s">
        <v>11086</v>
      </c>
      <c r="AR1214" t="s">
        <v>11303</v>
      </c>
      <c r="AS1214" t="s">
        <v>11595</v>
      </c>
      <c r="AT1214" t="s">
        <v>11642</v>
      </c>
      <c r="AX1214" t="s">
        <v>10838</v>
      </c>
      <c r="BA1214" t="s">
        <v>11741</v>
      </c>
      <c r="BB1214">
        <v>0</v>
      </c>
      <c r="BC1214">
        <v>0</v>
      </c>
      <c r="BD1214">
        <v>0</v>
      </c>
      <c r="BE1214">
        <v>0</v>
      </c>
      <c r="BF1214">
        <v>1</v>
      </c>
      <c r="BG1214">
        <v>0</v>
      </c>
    </row>
    <row r="1215" spans="1:59">
      <c r="A1215" s="1">
        <f>HYPERLINK("https://lsnyc.legalserver.org/matter/dynamic-profile/view/1905044","19-1905044")</f>
        <v>0</v>
      </c>
      <c r="B1215" t="s">
        <v>1125</v>
      </c>
      <c r="C1215" t="s">
        <v>5987</v>
      </c>
      <c r="D1215" t="s">
        <v>9926</v>
      </c>
      <c r="E1215" t="s">
        <v>10075</v>
      </c>
      <c r="F1215">
        <v>10460</v>
      </c>
      <c r="G1215" t="s">
        <v>10090</v>
      </c>
      <c r="H1215" t="s">
        <v>10128</v>
      </c>
      <c r="I1215" t="s">
        <v>10169</v>
      </c>
      <c r="J1215" t="s">
        <v>10210</v>
      </c>
      <c r="K1215" t="s">
        <v>10218</v>
      </c>
      <c r="L1215" t="s">
        <v>10130</v>
      </c>
      <c r="M1215" t="s">
        <v>10438</v>
      </c>
      <c r="N1215" t="s">
        <v>10677</v>
      </c>
      <c r="O1215" t="s">
        <v>10677</v>
      </c>
      <c r="P1215" t="s">
        <v>10753</v>
      </c>
      <c r="Q1215" t="s">
        <v>10809</v>
      </c>
      <c r="R1215" t="s">
        <v>10823</v>
      </c>
      <c r="T1215">
        <v>9252</v>
      </c>
      <c r="U1215">
        <v>771</v>
      </c>
      <c r="V1215">
        <v>79</v>
      </c>
      <c r="W1215">
        <v>1</v>
      </c>
      <c r="X1215">
        <v>0</v>
      </c>
      <c r="Y1215" t="s">
        <v>10829</v>
      </c>
      <c r="Z1215">
        <v>74.08</v>
      </c>
      <c r="AA1215">
        <v>40.834598</v>
      </c>
      <c r="AB1215">
        <v>-73.889777</v>
      </c>
      <c r="AD1215" t="s">
        <v>10839</v>
      </c>
      <c r="AG1215" t="s">
        <v>10858</v>
      </c>
      <c r="AH1215" t="s">
        <v>10869</v>
      </c>
      <c r="AI1215">
        <v>230</v>
      </c>
      <c r="AJ1215" t="s">
        <v>10210</v>
      </c>
      <c r="AK1215" t="s">
        <v>10882</v>
      </c>
      <c r="AL1215">
        <v>2</v>
      </c>
      <c r="AM1215" t="s">
        <v>10884</v>
      </c>
      <c r="AN1215" t="s">
        <v>10918</v>
      </c>
      <c r="AO1215" t="s">
        <v>11001</v>
      </c>
      <c r="AP1215" t="s">
        <v>11062</v>
      </c>
      <c r="AQ1215" t="s">
        <v>11182</v>
      </c>
      <c r="AR1215" t="s">
        <v>11263</v>
      </c>
      <c r="AS1215" t="s">
        <v>9926</v>
      </c>
      <c r="AT1215" t="s">
        <v>11641</v>
      </c>
      <c r="AX1215" t="s">
        <v>10838</v>
      </c>
      <c r="AY1215" t="s">
        <v>10829</v>
      </c>
      <c r="AZ1215" t="s">
        <v>11705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</row>
    <row r="1216" spans="1:59">
      <c r="A1216" s="1">
        <f>HYPERLINK("https://lsnyc.legalserver.org/matter/dynamic-profile/view/1905045","19-1905045")</f>
        <v>0</v>
      </c>
      <c r="B1216" t="s">
        <v>1126</v>
      </c>
      <c r="C1216" t="s">
        <v>5988</v>
      </c>
      <c r="D1216" t="s">
        <v>9925</v>
      </c>
      <c r="E1216" t="s">
        <v>10075</v>
      </c>
      <c r="F1216">
        <v>10029</v>
      </c>
      <c r="G1216" t="s">
        <v>10089</v>
      </c>
      <c r="H1216" t="s">
        <v>10128</v>
      </c>
      <c r="I1216" t="s">
        <v>10169</v>
      </c>
      <c r="J1216" t="s">
        <v>10209</v>
      </c>
      <c r="K1216" t="s">
        <v>10217</v>
      </c>
      <c r="M1216" t="s">
        <v>10503</v>
      </c>
      <c r="N1216" t="s">
        <v>10721</v>
      </c>
      <c r="P1216" t="s">
        <v>10754</v>
      </c>
      <c r="Q1216" t="s">
        <v>10770</v>
      </c>
      <c r="R1216" t="s">
        <v>10821</v>
      </c>
      <c r="T1216">
        <v>6836</v>
      </c>
      <c r="U1216">
        <v>569.67</v>
      </c>
      <c r="V1216">
        <v>29</v>
      </c>
      <c r="W1216">
        <v>1</v>
      </c>
      <c r="X1216">
        <v>1</v>
      </c>
      <c r="Z1216">
        <v>40.43</v>
      </c>
      <c r="AA1216">
        <v>40.794487</v>
      </c>
      <c r="AB1216">
        <v>-73.949236</v>
      </c>
      <c r="AD1216" t="s">
        <v>10839</v>
      </c>
      <c r="AG1216" t="s">
        <v>10858</v>
      </c>
      <c r="AH1216" t="s">
        <v>10861</v>
      </c>
      <c r="AI1216">
        <v>236</v>
      </c>
      <c r="AJ1216" t="s">
        <v>10209</v>
      </c>
      <c r="AK1216" t="s">
        <v>10837</v>
      </c>
      <c r="AL1216">
        <v>25.5</v>
      </c>
      <c r="AM1216" t="s">
        <v>10887</v>
      </c>
      <c r="AN1216" t="s">
        <v>10926</v>
      </c>
      <c r="AO1216" t="s">
        <v>11016</v>
      </c>
      <c r="AP1216" t="s">
        <v>11076</v>
      </c>
      <c r="AQ1216" t="s">
        <v>11152</v>
      </c>
      <c r="AR1216" t="s">
        <v>11257</v>
      </c>
      <c r="AS1216" t="s">
        <v>9925</v>
      </c>
      <c r="AT1216" t="s">
        <v>11641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</row>
    <row r="1217" spans="1:59">
      <c r="A1217" s="1">
        <f>HYPERLINK("https://lsnyc.legalserver.org/matter/dynamic-profile/view/1905046","19-1905046")</f>
        <v>0</v>
      </c>
      <c r="B1217" t="s">
        <v>1127</v>
      </c>
      <c r="C1217" t="s">
        <v>5601</v>
      </c>
      <c r="D1217" t="s">
        <v>9926</v>
      </c>
      <c r="E1217" t="s">
        <v>10075</v>
      </c>
      <c r="F1217">
        <v>10453</v>
      </c>
      <c r="G1217" t="s">
        <v>10090</v>
      </c>
      <c r="H1217" t="s">
        <v>10128</v>
      </c>
      <c r="I1217" t="s">
        <v>10169</v>
      </c>
      <c r="J1217" t="s">
        <v>10210</v>
      </c>
      <c r="K1217" t="s">
        <v>10217</v>
      </c>
      <c r="M1217" t="s">
        <v>10463</v>
      </c>
      <c r="N1217" t="s">
        <v>10650</v>
      </c>
      <c r="P1217" t="s">
        <v>10749</v>
      </c>
      <c r="Q1217" t="s">
        <v>10765</v>
      </c>
      <c r="R1217" t="s">
        <v>10823</v>
      </c>
      <c r="T1217">
        <v>2000</v>
      </c>
      <c r="U1217">
        <v>166.67</v>
      </c>
      <c r="V1217">
        <v>65</v>
      </c>
      <c r="W1217">
        <v>2</v>
      </c>
      <c r="X1217">
        <v>0</v>
      </c>
      <c r="Z1217">
        <v>11.83</v>
      </c>
      <c r="AA1217">
        <v>40.846436</v>
      </c>
      <c r="AB1217">
        <v>-73.90944</v>
      </c>
      <c r="AD1217" t="s">
        <v>10839</v>
      </c>
      <c r="AG1217" t="s">
        <v>10858</v>
      </c>
      <c r="AH1217" t="s">
        <v>10862</v>
      </c>
      <c r="AI1217">
        <v>230</v>
      </c>
      <c r="AJ1217" t="s">
        <v>10210</v>
      </c>
      <c r="AL1217">
        <v>0</v>
      </c>
      <c r="AM1217" t="s">
        <v>10884</v>
      </c>
      <c r="AN1217" t="s">
        <v>10931</v>
      </c>
      <c r="AO1217" t="s">
        <v>11000</v>
      </c>
      <c r="AP1217" t="s">
        <v>11045</v>
      </c>
      <c r="AR1217" t="s">
        <v>11257</v>
      </c>
      <c r="AS1217" t="s">
        <v>9926</v>
      </c>
      <c r="AT1217" t="s">
        <v>11641</v>
      </c>
      <c r="BA1217" t="s">
        <v>11739</v>
      </c>
      <c r="BB1217">
        <v>0</v>
      </c>
      <c r="BC1217">
        <v>0</v>
      </c>
      <c r="BD1217">
        <v>0</v>
      </c>
      <c r="BE1217">
        <v>0</v>
      </c>
      <c r="BF1217">
        <v>4</v>
      </c>
      <c r="BG1217">
        <v>0</v>
      </c>
    </row>
    <row r="1218" spans="1:59">
      <c r="A1218" s="1">
        <f>HYPERLINK("https://lsnyc.legalserver.org/matter/dynamic-profile/view/1905047","19-1905047")</f>
        <v>0</v>
      </c>
      <c r="B1218" t="s">
        <v>1128</v>
      </c>
      <c r="C1218" t="s">
        <v>5989</v>
      </c>
      <c r="D1218" t="s">
        <v>9926</v>
      </c>
      <c r="E1218" t="s">
        <v>10075</v>
      </c>
      <c r="F1218">
        <v>10453</v>
      </c>
      <c r="G1218" t="s">
        <v>10090</v>
      </c>
      <c r="H1218" t="s">
        <v>10128</v>
      </c>
      <c r="I1218" t="s">
        <v>10168</v>
      </c>
      <c r="J1218" t="s">
        <v>10210</v>
      </c>
      <c r="K1218" t="s">
        <v>10217</v>
      </c>
      <c r="M1218" t="s">
        <v>10477</v>
      </c>
      <c r="N1218" t="s">
        <v>10650</v>
      </c>
      <c r="P1218" t="s">
        <v>10749</v>
      </c>
      <c r="Q1218" t="s">
        <v>10765</v>
      </c>
      <c r="R1218" t="s">
        <v>10822</v>
      </c>
      <c r="T1218">
        <v>9360</v>
      </c>
      <c r="U1218">
        <v>780</v>
      </c>
      <c r="V1218">
        <v>73</v>
      </c>
      <c r="W1218">
        <v>1</v>
      </c>
      <c r="X1218">
        <v>0</v>
      </c>
      <c r="Z1218">
        <v>74.94</v>
      </c>
      <c r="AA1218">
        <v>40.857809</v>
      </c>
      <c r="AB1218">
        <v>-73.90892100000001</v>
      </c>
      <c r="AD1218" t="s">
        <v>10839</v>
      </c>
      <c r="AG1218" t="s">
        <v>10858</v>
      </c>
      <c r="AH1218" t="s">
        <v>10861</v>
      </c>
      <c r="AI1218">
        <v>234</v>
      </c>
      <c r="AJ1218" t="s">
        <v>10214</v>
      </c>
      <c r="AL1218">
        <v>9</v>
      </c>
      <c r="AM1218" t="s">
        <v>10884</v>
      </c>
      <c r="AN1218" t="s">
        <v>10931</v>
      </c>
      <c r="AO1218" t="s">
        <v>11000</v>
      </c>
      <c r="AP1218" t="s">
        <v>11045</v>
      </c>
      <c r="AR1218" t="s">
        <v>11298</v>
      </c>
      <c r="AS1218" t="s">
        <v>9926</v>
      </c>
      <c r="AT1218" t="s">
        <v>11641</v>
      </c>
      <c r="AX1218" t="s">
        <v>10838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</row>
    <row r="1219" spans="1:59">
      <c r="A1219" s="1">
        <f>HYPERLINK("https://lsnyc.legalserver.org/matter/dynamic-profile/view/1905048","19-1905048")</f>
        <v>0</v>
      </c>
      <c r="B1219" t="s">
        <v>1127</v>
      </c>
      <c r="C1219" t="s">
        <v>5601</v>
      </c>
      <c r="D1219" t="s">
        <v>9926</v>
      </c>
      <c r="E1219" t="s">
        <v>10075</v>
      </c>
      <c r="F1219">
        <v>10453</v>
      </c>
      <c r="G1219" t="s">
        <v>10090</v>
      </c>
      <c r="H1219" t="s">
        <v>10128</v>
      </c>
      <c r="I1219" t="s">
        <v>10169</v>
      </c>
      <c r="J1219" t="s">
        <v>10210</v>
      </c>
      <c r="K1219" t="s">
        <v>10217</v>
      </c>
      <c r="M1219" t="s">
        <v>10463</v>
      </c>
      <c r="N1219" t="s">
        <v>10650</v>
      </c>
      <c r="P1219" t="s">
        <v>10749</v>
      </c>
      <c r="Q1219" t="s">
        <v>10765</v>
      </c>
      <c r="R1219" t="s">
        <v>10823</v>
      </c>
      <c r="T1219">
        <v>20000</v>
      </c>
      <c r="U1219">
        <v>1666.67</v>
      </c>
      <c r="V1219">
        <v>65</v>
      </c>
      <c r="W1219">
        <v>2</v>
      </c>
      <c r="X1219">
        <v>0</v>
      </c>
      <c r="Z1219">
        <v>118.27</v>
      </c>
      <c r="AA1219">
        <v>40.846436</v>
      </c>
      <c r="AB1219">
        <v>-73.90944</v>
      </c>
      <c r="AD1219" t="s">
        <v>10839</v>
      </c>
      <c r="AG1219" t="s">
        <v>10858</v>
      </c>
      <c r="AH1219" t="s">
        <v>10862</v>
      </c>
      <c r="AI1219">
        <v>230</v>
      </c>
      <c r="AJ1219" t="s">
        <v>10210</v>
      </c>
      <c r="AL1219">
        <v>0</v>
      </c>
      <c r="AM1219" t="s">
        <v>10884</v>
      </c>
      <c r="AN1219" t="s">
        <v>10931</v>
      </c>
      <c r="AO1219" t="s">
        <v>11000</v>
      </c>
      <c r="AP1219" t="s">
        <v>11045</v>
      </c>
      <c r="AR1219" t="s">
        <v>11257</v>
      </c>
      <c r="AS1219" t="s">
        <v>9926</v>
      </c>
      <c r="AT1219" t="s">
        <v>11641</v>
      </c>
      <c r="BA1219" t="s">
        <v>11739</v>
      </c>
      <c r="BB1219">
        <v>0</v>
      </c>
      <c r="BC1219">
        <v>0</v>
      </c>
      <c r="BD1219">
        <v>0</v>
      </c>
      <c r="BE1219">
        <v>0</v>
      </c>
      <c r="BF1219">
        <v>4</v>
      </c>
      <c r="BG1219">
        <v>0</v>
      </c>
    </row>
    <row r="1220" spans="1:59">
      <c r="A1220" s="1">
        <f>HYPERLINK("https://lsnyc.legalserver.org/matter/dynamic-profile/view/1905049","19-1905049")</f>
        <v>0</v>
      </c>
      <c r="B1220" t="s">
        <v>1129</v>
      </c>
      <c r="C1220" t="s">
        <v>5601</v>
      </c>
      <c r="D1220" t="s">
        <v>9926</v>
      </c>
      <c r="E1220" t="s">
        <v>10075</v>
      </c>
      <c r="F1220">
        <v>10453</v>
      </c>
      <c r="G1220" t="s">
        <v>10090</v>
      </c>
      <c r="H1220" t="s">
        <v>10128</v>
      </c>
      <c r="I1220" t="s">
        <v>10169</v>
      </c>
      <c r="J1220" t="s">
        <v>10210</v>
      </c>
      <c r="K1220" t="s">
        <v>10217</v>
      </c>
      <c r="M1220" t="s">
        <v>10463</v>
      </c>
      <c r="N1220" t="s">
        <v>10650</v>
      </c>
      <c r="P1220" t="s">
        <v>10749</v>
      </c>
      <c r="Q1220" t="s">
        <v>10765</v>
      </c>
      <c r="R1220" t="s">
        <v>10821</v>
      </c>
      <c r="T1220">
        <v>11040</v>
      </c>
      <c r="U1220">
        <v>920</v>
      </c>
      <c r="V1220">
        <v>48</v>
      </c>
      <c r="W1220">
        <v>4</v>
      </c>
      <c r="X1220">
        <v>2</v>
      </c>
      <c r="Z1220">
        <v>31.92</v>
      </c>
      <c r="AA1220">
        <v>40.846436</v>
      </c>
      <c r="AB1220">
        <v>-73.90944</v>
      </c>
      <c r="AD1220" t="s">
        <v>10839</v>
      </c>
      <c r="AF1220" t="s">
        <v>10843</v>
      </c>
      <c r="AG1220" t="s">
        <v>10859</v>
      </c>
      <c r="AH1220" t="s">
        <v>10862</v>
      </c>
      <c r="AI1220">
        <v>230</v>
      </c>
      <c r="AJ1220" t="s">
        <v>10210</v>
      </c>
      <c r="AL1220">
        <v>0</v>
      </c>
      <c r="AM1220" t="s">
        <v>10884</v>
      </c>
      <c r="AN1220" t="s">
        <v>10931</v>
      </c>
      <c r="AO1220" t="s">
        <v>11000</v>
      </c>
      <c r="AP1220" t="s">
        <v>11045</v>
      </c>
      <c r="AR1220" t="s">
        <v>11295</v>
      </c>
      <c r="AS1220" t="s">
        <v>9926</v>
      </c>
      <c r="BA1220" t="s">
        <v>11739</v>
      </c>
      <c r="BB1220">
        <v>0</v>
      </c>
      <c r="BC1220">
        <v>0</v>
      </c>
      <c r="BD1220">
        <v>0</v>
      </c>
      <c r="BE1220">
        <v>0</v>
      </c>
      <c r="BF1220">
        <v>4</v>
      </c>
      <c r="BG1220">
        <v>0</v>
      </c>
    </row>
    <row r="1221" spans="1:59">
      <c r="A1221" s="1">
        <f>HYPERLINK("https://lsnyc.legalserver.org/matter/dynamic-profile/view/1905050","19-1905050")</f>
        <v>0</v>
      </c>
      <c r="B1221" t="s">
        <v>1130</v>
      </c>
      <c r="C1221" t="s">
        <v>5990</v>
      </c>
      <c r="D1221" t="s">
        <v>9928</v>
      </c>
      <c r="E1221" t="s">
        <v>10075</v>
      </c>
      <c r="F1221">
        <v>11212</v>
      </c>
      <c r="G1221" t="s">
        <v>10093</v>
      </c>
      <c r="H1221" t="s">
        <v>10128</v>
      </c>
      <c r="I1221" t="s">
        <v>10168</v>
      </c>
      <c r="J1221" t="s">
        <v>10213</v>
      </c>
      <c r="K1221" t="s">
        <v>10218</v>
      </c>
      <c r="L1221" t="s">
        <v>10136</v>
      </c>
      <c r="M1221" t="s">
        <v>10414</v>
      </c>
      <c r="N1221" t="s">
        <v>10671</v>
      </c>
      <c r="P1221" t="s">
        <v>10749</v>
      </c>
      <c r="Q1221" t="s">
        <v>10765</v>
      </c>
      <c r="R1221" t="s">
        <v>10824</v>
      </c>
      <c r="T1221">
        <v>7152</v>
      </c>
      <c r="U1221">
        <v>596</v>
      </c>
      <c r="V1221">
        <v>57</v>
      </c>
      <c r="W1221">
        <v>1</v>
      </c>
      <c r="X1221">
        <v>0</v>
      </c>
      <c r="Y1221" t="s">
        <v>10831</v>
      </c>
      <c r="Z1221">
        <v>57.26</v>
      </c>
      <c r="AA1221">
        <v>40.664246</v>
      </c>
      <c r="AB1221">
        <v>-73.92890300000001</v>
      </c>
      <c r="AC1221" t="s">
        <v>10837</v>
      </c>
      <c r="AD1221" t="s">
        <v>10840</v>
      </c>
      <c r="AG1221" t="s">
        <v>10858</v>
      </c>
      <c r="AH1221" t="s">
        <v>10861</v>
      </c>
      <c r="AI1221">
        <v>234</v>
      </c>
      <c r="AJ1221" t="s">
        <v>10214</v>
      </c>
      <c r="AK1221" t="s">
        <v>10882</v>
      </c>
      <c r="AL1221">
        <v>11.2</v>
      </c>
      <c r="AM1221" t="s">
        <v>10888</v>
      </c>
      <c r="AN1221" t="s">
        <v>10922</v>
      </c>
      <c r="AO1221" t="s">
        <v>11005</v>
      </c>
      <c r="AP1221" t="s">
        <v>11064</v>
      </c>
      <c r="AQ1221" t="s">
        <v>11101</v>
      </c>
      <c r="AR1221" t="s">
        <v>11405</v>
      </c>
      <c r="AS1221" t="s">
        <v>11595</v>
      </c>
      <c r="AT1221" t="s">
        <v>11642</v>
      </c>
      <c r="AX1221" t="s">
        <v>10838</v>
      </c>
      <c r="AY1221" t="s">
        <v>10831</v>
      </c>
      <c r="AZ1221" t="s">
        <v>11687</v>
      </c>
      <c r="BA1221" t="s">
        <v>11738</v>
      </c>
      <c r="BB1221">
        <v>0</v>
      </c>
      <c r="BC1221">
        <v>0</v>
      </c>
      <c r="BD1221">
        <v>0</v>
      </c>
      <c r="BE1221">
        <v>0</v>
      </c>
      <c r="BF1221">
        <v>5</v>
      </c>
      <c r="BG1221">
        <v>0</v>
      </c>
    </row>
    <row r="1222" spans="1:59">
      <c r="A1222" s="1">
        <f>HYPERLINK("https://lsnyc.legalserver.org/matter/dynamic-profile/view/1905051","19-1905051")</f>
        <v>0</v>
      </c>
      <c r="B1222" t="s">
        <v>1131</v>
      </c>
      <c r="C1222" t="s">
        <v>5991</v>
      </c>
      <c r="D1222" t="s">
        <v>9926</v>
      </c>
      <c r="E1222" t="s">
        <v>10075</v>
      </c>
      <c r="F1222">
        <v>10451</v>
      </c>
      <c r="G1222" t="s">
        <v>10090</v>
      </c>
      <c r="H1222" t="s">
        <v>10128</v>
      </c>
      <c r="I1222" t="s">
        <v>10169</v>
      </c>
      <c r="J1222" t="s">
        <v>10210</v>
      </c>
      <c r="K1222" t="s">
        <v>10218</v>
      </c>
      <c r="L1222" t="s">
        <v>10155</v>
      </c>
      <c r="M1222" t="s">
        <v>10336</v>
      </c>
      <c r="N1222" t="s">
        <v>10690</v>
      </c>
      <c r="P1222" t="s">
        <v>10754</v>
      </c>
      <c r="Q1222" t="s">
        <v>10775</v>
      </c>
      <c r="R1222" t="s">
        <v>10821</v>
      </c>
      <c r="T1222">
        <v>11520</v>
      </c>
      <c r="U1222">
        <v>960</v>
      </c>
      <c r="V1222">
        <v>54</v>
      </c>
      <c r="W1222">
        <v>1</v>
      </c>
      <c r="X1222">
        <v>2</v>
      </c>
      <c r="Y1222" t="s">
        <v>10829</v>
      </c>
      <c r="Z1222">
        <v>54.01</v>
      </c>
      <c r="AA1222">
        <v>40.819759</v>
      </c>
      <c r="AB1222">
        <v>-73.91850700000001</v>
      </c>
      <c r="AC1222" t="s">
        <v>10837</v>
      </c>
      <c r="AD1222" t="s">
        <v>10840</v>
      </c>
      <c r="AG1222" t="s">
        <v>10858</v>
      </c>
      <c r="AH1222" t="s">
        <v>10861</v>
      </c>
      <c r="AI1222">
        <v>234</v>
      </c>
      <c r="AJ1222" t="s">
        <v>10214</v>
      </c>
      <c r="AK1222" t="s">
        <v>10882</v>
      </c>
      <c r="AL1222">
        <v>1.5</v>
      </c>
      <c r="AM1222" t="s">
        <v>10884</v>
      </c>
      <c r="AN1222" t="s">
        <v>10924</v>
      </c>
      <c r="AO1222" t="s">
        <v>11001</v>
      </c>
      <c r="AP1222" t="s">
        <v>11062</v>
      </c>
      <c r="AR1222" t="s">
        <v>11298</v>
      </c>
      <c r="AS1222" t="s">
        <v>9926</v>
      </c>
      <c r="AT1222" t="s">
        <v>11642</v>
      </c>
      <c r="AX1222" t="s">
        <v>10838</v>
      </c>
      <c r="AY1222" t="s">
        <v>10829</v>
      </c>
      <c r="AZ1222" t="s">
        <v>11717</v>
      </c>
      <c r="BA1222" t="s">
        <v>11742</v>
      </c>
      <c r="BB1222">
        <v>0</v>
      </c>
      <c r="BC1222">
        <v>0</v>
      </c>
      <c r="BD1222">
        <v>0</v>
      </c>
      <c r="BE1222">
        <v>0</v>
      </c>
      <c r="BF1222">
        <v>7</v>
      </c>
      <c r="BG1222">
        <v>0</v>
      </c>
    </row>
    <row r="1223" spans="1:59">
      <c r="A1223" s="1">
        <f>HYPERLINK("https://lsnyc.legalserver.org/matter/dynamic-profile/view/1905052","19-1905052")</f>
        <v>0</v>
      </c>
      <c r="B1223" t="s">
        <v>1132</v>
      </c>
      <c r="C1223" t="s">
        <v>5992</v>
      </c>
      <c r="D1223" t="s">
        <v>9948</v>
      </c>
      <c r="E1223" t="s">
        <v>10075</v>
      </c>
      <c r="F1223">
        <v>11691</v>
      </c>
      <c r="G1223" t="s">
        <v>10092</v>
      </c>
      <c r="H1223" t="s">
        <v>10128</v>
      </c>
      <c r="I1223" t="s">
        <v>10168</v>
      </c>
      <c r="J1223" t="s">
        <v>10212</v>
      </c>
      <c r="K1223" t="s">
        <v>10218</v>
      </c>
      <c r="L1223" t="s">
        <v>10142</v>
      </c>
      <c r="M1223" t="s">
        <v>10340</v>
      </c>
      <c r="N1223" t="s">
        <v>10694</v>
      </c>
      <c r="P1223" t="s">
        <v>10751</v>
      </c>
      <c r="Q1223" t="s">
        <v>10780</v>
      </c>
      <c r="R1223" t="s">
        <v>10824</v>
      </c>
      <c r="T1223">
        <v>30000</v>
      </c>
      <c r="U1223">
        <v>2500</v>
      </c>
      <c r="V1223">
        <v>8</v>
      </c>
      <c r="W1223">
        <v>1</v>
      </c>
      <c r="X1223">
        <v>3</v>
      </c>
      <c r="Y1223" t="s">
        <v>10829</v>
      </c>
      <c r="Z1223">
        <v>116.5</v>
      </c>
      <c r="AA1223">
        <v>40.595336</v>
      </c>
      <c r="AB1223">
        <v>-73.76180600000001</v>
      </c>
      <c r="AD1223" t="s">
        <v>10840</v>
      </c>
      <c r="AG1223" t="s">
        <v>10858</v>
      </c>
      <c r="AH1223" t="s">
        <v>10861</v>
      </c>
      <c r="AI1223">
        <v>234</v>
      </c>
      <c r="AJ1223" t="s">
        <v>10214</v>
      </c>
      <c r="AK1223" t="s">
        <v>10838</v>
      </c>
      <c r="AL1223">
        <v>4.3</v>
      </c>
      <c r="AM1223" t="s">
        <v>10892</v>
      </c>
      <c r="AN1223" t="s">
        <v>10958</v>
      </c>
      <c r="AO1223" t="s">
        <v>11017</v>
      </c>
      <c r="AP1223" t="s">
        <v>11082</v>
      </c>
      <c r="AR1223" t="s">
        <v>11257</v>
      </c>
      <c r="AS1223" t="s">
        <v>11594</v>
      </c>
      <c r="AT1223" t="s">
        <v>11642</v>
      </c>
      <c r="AX1223" t="s">
        <v>10838</v>
      </c>
      <c r="AY1223" t="s">
        <v>10829</v>
      </c>
      <c r="AZ1223" t="s">
        <v>11682</v>
      </c>
      <c r="BA1223" t="s">
        <v>11741</v>
      </c>
      <c r="BB1223">
        <v>0</v>
      </c>
      <c r="BC1223">
        <v>0</v>
      </c>
      <c r="BD1223">
        <v>0</v>
      </c>
      <c r="BE1223">
        <v>0</v>
      </c>
      <c r="BF1223">
        <v>1</v>
      </c>
      <c r="BG1223">
        <v>0</v>
      </c>
    </row>
    <row r="1224" spans="1:59">
      <c r="A1224" s="1">
        <f>HYPERLINK("https://lsnyc.legalserver.org/matter/dynamic-profile/view/1905053","19-1905053")</f>
        <v>0</v>
      </c>
      <c r="B1224" t="s">
        <v>1133</v>
      </c>
      <c r="C1224" t="s">
        <v>5601</v>
      </c>
      <c r="D1224" t="s">
        <v>9926</v>
      </c>
      <c r="E1224" t="s">
        <v>10075</v>
      </c>
      <c r="F1224">
        <v>10453</v>
      </c>
      <c r="G1224" t="s">
        <v>10090</v>
      </c>
      <c r="H1224" t="s">
        <v>10128</v>
      </c>
      <c r="I1224" t="s">
        <v>10169</v>
      </c>
      <c r="J1224" t="s">
        <v>10210</v>
      </c>
      <c r="K1224" t="s">
        <v>10217</v>
      </c>
      <c r="M1224" t="s">
        <v>10463</v>
      </c>
      <c r="N1224" t="s">
        <v>10650</v>
      </c>
      <c r="P1224" t="s">
        <v>10749</v>
      </c>
      <c r="Q1224" t="s">
        <v>10765</v>
      </c>
      <c r="R1224" t="s">
        <v>10823</v>
      </c>
      <c r="T1224">
        <v>23400</v>
      </c>
      <c r="U1224">
        <v>1950</v>
      </c>
      <c r="V1224">
        <v>48</v>
      </c>
      <c r="W1224">
        <v>1</v>
      </c>
      <c r="X1224">
        <v>0</v>
      </c>
      <c r="Z1224">
        <v>187.35</v>
      </c>
      <c r="AA1224">
        <v>40.846436</v>
      </c>
      <c r="AB1224">
        <v>-73.90944</v>
      </c>
      <c r="AD1224" t="s">
        <v>10839</v>
      </c>
      <c r="AF1224" t="s">
        <v>10843</v>
      </c>
      <c r="AG1224" t="s">
        <v>10859</v>
      </c>
      <c r="AH1224" t="s">
        <v>10862</v>
      </c>
      <c r="AI1224">
        <v>230</v>
      </c>
      <c r="AJ1224" t="s">
        <v>10210</v>
      </c>
      <c r="AL1224">
        <v>0</v>
      </c>
      <c r="AM1224" t="s">
        <v>10884</v>
      </c>
      <c r="AN1224" t="s">
        <v>10931</v>
      </c>
      <c r="AO1224" t="s">
        <v>11000</v>
      </c>
      <c r="AP1224" t="s">
        <v>11045</v>
      </c>
      <c r="AR1224" t="s">
        <v>11257</v>
      </c>
      <c r="AS1224" t="s">
        <v>9926</v>
      </c>
      <c r="AT1224" t="s">
        <v>11641</v>
      </c>
      <c r="BA1224" t="s">
        <v>11739</v>
      </c>
      <c r="BB1224">
        <v>0</v>
      </c>
      <c r="BC1224">
        <v>0</v>
      </c>
      <c r="BD1224">
        <v>0</v>
      </c>
      <c r="BE1224">
        <v>0</v>
      </c>
      <c r="BF1224">
        <v>4</v>
      </c>
      <c r="BG1224">
        <v>0</v>
      </c>
    </row>
    <row r="1225" spans="1:59">
      <c r="A1225" s="1">
        <f>HYPERLINK("https://lsnyc.legalserver.org/matter/dynamic-profile/view/1905054","19-1905054")</f>
        <v>0</v>
      </c>
      <c r="B1225" t="s">
        <v>1133</v>
      </c>
      <c r="C1225" t="s">
        <v>5601</v>
      </c>
      <c r="D1225" t="s">
        <v>9926</v>
      </c>
      <c r="E1225" t="s">
        <v>10075</v>
      </c>
      <c r="F1225">
        <v>10453</v>
      </c>
      <c r="G1225" t="s">
        <v>10090</v>
      </c>
      <c r="H1225" t="s">
        <v>10128</v>
      </c>
      <c r="I1225" t="s">
        <v>10169</v>
      </c>
      <c r="J1225" t="s">
        <v>10210</v>
      </c>
      <c r="K1225" t="s">
        <v>10217</v>
      </c>
      <c r="M1225" t="s">
        <v>10463</v>
      </c>
      <c r="N1225" t="s">
        <v>10650</v>
      </c>
      <c r="P1225" t="s">
        <v>10749</v>
      </c>
      <c r="Q1225" t="s">
        <v>10765</v>
      </c>
      <c r="R1225" t="s">
        <v>10823</v>
      </c>
      <c r="T1225">
        <v>23400</v>
      </c>
      <c r="U1225">
        <v>1950</v>
      </c>
      <c r="V1225">
        <v>48</v>
      </c>
      <c r="W1225">
        <v>1</v>
      </c>
      <c r="X1225">
        <v>0</v>
      </c>
      <c r="Z1225">
        <v>187.35</v>
      </c>
      <c r="AA1225">
        <v>40.846436</v>
      </c>
      <c r="AB1225">
        <v>-73.90944</v>
      </c>
      <c r="AD1225" t="s">
        <v>10839</v>
      </c>
      <c r="AF1225" t="s">
        <v>10843</v>
      </c>
      <c r="AG1225" t="s">
        <v>10859</v>
      </c>
      <c r="AH1225" t="s">
        <v>10862</v>
      </c>
      <c r="AI1225">
        <v>230</v>
      </c>
      <c r="AJ1225" t="s">
        <v>10210</v>
      </c>
      <c r="AL1225">
        <v>0</v>
      </c>
      <c r="AM1225" t="s">
        <v>10884</v>
      </c>
      <c r="AN1225" t="s">
        <v>10931</v>
      </c>
      <c r="AO1225" t="s">
        <v>11000</v>
      </c>
      <c r="AP1225" t="s">
        <v>11045</v>
      </c>
      <c r="AR1225" t="s">
        <v>11257</v>
      </c>
      <c r="AS1225" t="s">
        <v>9926</v>
      </c>
      <c r="AT1225" t="s">
        <v>11641</v>
      </c>
      <c r="BA1225" t="s">
        <v>11739</v>
      </c>
      <c r="BB1225">
        <v>0</v>
      </c>
      <c r="BC1225">
        <v>0</v>
      </c>
      <c r="BD1225">
        <v>0</v>
      </c>
      <c r="BE1225">
        <v>0</v>
      </c>
      <c r="BF1225">
        <v>4</v>
      </c>
      <c r="BG1225">
        <v>0</v>
      </c>
    </row>
    <row r="1226" spans="1:59">
      <c r="A1226" s="1">
        <f>HYPERLINK("https://lsnyc.legalserver.org/matter/dynamic-profile/view/1905055","19-1905055")</f>
        <v>0</v>
      </c>
      <c r="B1226" t="s">
        <v>1134</v>
      </c>
      <c r="C1226" t="s">
        <v>5993</v>
      </c>
      <c r="D1226" t="s">
        <v>9928</v>
      </c>
      <c r="E1226" t="s">
        <v>10075</v>
      </c>
      <c r="F1226">
        <v>11224</v>
      </c>
      <c r="G1226" t="s">
        <v>10093</v>
      </c>
      <c r="H1226" t="s">
        <v>10112</v>
      </c>
      <c r="I1226" t="s">
        <v>10171</v>
      </c>
      <c r="J1226" t="s">
        <v>10213</v>
      </c>
      <c r="K1226" t="s">
        <v>10218</v>
      </c>
      <c r="L1226" t="s">
        <v>10120</v>
      </c>
      <c r="M1226" t="s">
        <v>10390</v>
      </c>
      <c r="N1226" t="s">
        <v>10644</v>
      </c>
      <c r="P1226" t="s">
        <v>10753</v>
      </c>
      <c r="Q1226" t="s">
        <v>10763</v>
      </c>
      <c r="R1226" t="s">
        <v>10820</v>
      </c>
      <c r="T1226">
        <v>0</v>
      </c>
      <c r="U1226">
        <v>0</v>
      </c>
      <c r="V1226">
        <v>74</v>
      </c>
      <c r="W1226">
        <v>1</v>
      </c>
      <c r="X1226">
        <v>0</v>
      </c>
      <c r="Y1226" t="s">
        <v>10829</v>
      </c>
      <c r="Z1226">
        <v>0</v>
      </c>
      <c r="AA1226">
        <v>40.5787</v>
      </c>
      <c r="AB1226">
        <v>-73.97886099999999</v>
      </c>
      <c r="AD1226" t="s">
        <v>10839</v>
      </c>
      <c r="AG1226" t="s">
        <v>10858</v>
      </c>
      <c r="AH1226" t="s">
        <v>10869</v>
      </c>
      <c r="AI1226">
        <v>239</v>
      </c>
      <c r="AJ1226" t="s">
        <v>10213</v>
      </c>
      <c r="AK1226" t="s">
        <v>10838</v>
      </c>
      <c r="AL1226">
        <v>3</v>
      </c>
      <c r="AM1226" t="s">
        <v>10889</v>
      </c>
      <c r="AN1226" t="s">
        <v>10960</v>
      </c>
      <c r="AO1226" t="s">
        <v>11006</v>
      </c>
      <c r="AP1226" t="s">
        <v>11092</v>
      </c>
      <c r="AQ1226" t="s">
        <v>11097</v>
      </c>
      <c r="AR1226" t="s">
        <v>11267</v>
      </c>
      <c r="AS1226" t="s">
        <v>11595</v>
      </c>
      <c r="AY1226" t="s">
        <v>10829</v>
      </c>
      <c r="AZ1226" t="s">
        <v>11709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</row>
    <row r="1227" spans="1:59">
      <c r="A1227" s="1">
        <f>HYPERLINK("https://lsnyc.legalserver.org/matter/dynamic-profile/view/1905056","19-1905056")</f>
        <v>0</v>
      </c>
      <c r="B1227" t="s">
        <v>1135</v>
      </c>
      <c r="C1227" t="s">
        <v>5453</v>
      </c>
      <c r="D1227" t="s">
        <v>9928</v>
      </c>
      <c r="E1227" t="s">
        <v>10075</v>
      </c>
      <c r="F1227">
        <v>11221</v>
      </c>
      <c r="G1227" t="s">
        <v>10093</v>
      </c>
      <c r="H1227" t="s">
        <v>10128</v>
      </c>
      <c r="I1227" t="s">
        <v>10168</v>
      </c>
      <c r="J1227" t="s">
        <v>10213</v>
      </c>
      <c r="K1227" t="s">
        <v>10217</v>
      </c>
      <c r="M1227" t="s">
        <v>10456</v>
      </c>
      <c r="N1227" t="s">
        <v>10650</v>
      </c>
      <c r="P1227" t="s">
        <v>10752</v>
      </c>
      <c r="Q1227" t="s">
        <v>10762</v>
      </c>
      <c r="R1227" t="s">
        <v>10822</v>
      </c>
      <c r="T1227">
        <v>34644</v>
      </c>
      <c r="U1227">
        <v>2887</v>
      </c>
      <c r="V1227">
        <v>55</v>
      </c>
      <c r="W1227">
        <v>2</v>
      </c>
      <c r="X1227">
        <v>0</v>
      </c>
      <c r="Z1227">
        <v>204.87</v>
      </c>
      <c r="AA1227">
        <v>40.692299</v>
      </c>
      <c r="AB1227">
        <v>-73.938599</v>
      </c>
      <c r="AD1227" t="s">
        <v>10839</v>
      </c>
      <c r="AG1227" t="s">
        <v>10858</v>
      </c>
      <c r="AH1227" t="s">
        <v>10862</v>
      </c>
      <c r="AI1227">
        <v>239</v>
      </c>
      <c r="AJ1227" t="s">
        <v>10213</v>
      </c>
      <c r="AL1227">
        <v>0.6</v>
      </c>
      <c r="AM1227" t="s">
        <v>10889</v>
      </c>
      <c r="AN1227" t="s">
        <v>10914</v>
      </c>
      <c r="AO1227" t="s">
        <v>11011</v>
      </c>
      <c r="AP1227" t="s">
        <v>11052</v>
      </c>
      <c r="AR1227" t="s">
        <v>11296</v>
      </c>
      <c r="AS1227" t="s">
        <v>11595</v>
      </c>
      <c r="AT1227" t="s">
        <v>11641</v>
      </c>
      <c r="AX1227" t="s">
        <v>10838</v>
      </c>
      <c r="BA1227" t="s">
        <v>11744</v>
      </c>
      <c r="BB1227">
        <v>0</v>
      </c>
      <c r="BC1227">
        <v>0</v>
      </c>
      <c r="BD1227">
        <v>0</v>
      </c>
      <c r="BE1227">
        <v>0</v>
      </c>
      <c r="BF1227">
        <v>6</v>
      </c>
      <c r="BG1227">
        <v>0</v>
      </c>
    </row>
    <row r="1228" spans="1:59">
      <c r="A1228" s="1">
        <f>HYPERLINK("https://lsnyc.legalserver.org/matter/dynamic-profile/view/1905057","19-1905057")</f>
        <v>0</v>
      </c>
      <c r="B1228" t="s">
        <v>1129</v>
      </c>
      <c r="C1228" t="s">
        <v>5601</v>
      </c>
      <c r="D1228" t="s">
        <v>9926</v>
      </c>
      <c r="E1228" t="s">
        <v>10075</v>
      </c>
      <c r="F1228">
        <v>10453</v>
      </c>
      <c r="G1228" t="s">
        <v>10090</v>
      </c>
      <c r="H1228" t="s">
        <v>10128</v>
      </c>
      <c r="I1228" t="s">
        <v>10169</v>
      </c>
      <c r="J1228" t="s">
        <v>10210</v>
      </c>
      <c r="K1228" t="s">
        <v>10217</v>
      </c>
      <c r="M1228" t="s">
        <v>10463</v>
      </c>
      <c r="N1228" t="s">
        <v>10650</v>
      </c>
      <c r="P1228" t="s">
        <v>10749</v>
      </c>
      <c r="Q1228" t="s">
        <v>10765</v>
      </c>
      <c r="R1228" t="s">
        <v>10821</v>
      </c>
      <c r="T1228">
        <v>11040</v>
      </c>
      <c r="U1228">
        <v>920</v>
      </c>
      <c r="V1228">
        <v>48</v>
      </c>
      <c r="W1228">
        <v>4</v>
      </c>
      <c r="X1228">
        <v>2</v>
      </c>
      <c r="Z1228">
        <v>31.92</v>
      </c>
      <c r="AA1228">
        <v>40.846436</v>
      </c>
      <c r="AB1228">
        <v>-73.90944</v>
      </c>
      <c r="AD1228" t="s">
        <v>10839</v>
      </c>
      <c r="AF1228" t="s">
        <v>10843</v>
      </c>
      <c r="AG1228" t="s">
        <v>10859</v>
      </c>
      <c r="AH1228" t="s">
        <v>10862</v>
      </c>
      <c r="AI1228">
        <v>230</v>
      </c>
      <c r="AJ1228" t="s">
        <v>10210</v>
      </c>
      <c r="AL1228">
        <v>0</v>
      </c>
      <c r="AM1228" t="s">
        <v>10884</v>
      </c>
      <c r="AN1228" t="s">
        <v>10931</v>
      </c>
      <c r="AO1228" t="s">
        <v>11000</v>
      </c>
      <c r="AP1228" t="s">
        <v>11045</v>
      </c>
      <c r="AR1228" t="s">
        <v>11295</v>
      </c>
      <c r="AS1228" t="s">
        <v>9926</v>
      </c>
      <c r="BA1228" t="s">
        <v>11739</v>
      </c>
      <c r="BB1228">
        <v>0</v>
      </c>
      <c r="BC1228">
        <v>0</v>
      </c>
      <c r="BD1228">
        <v>0</v>
      </c>
      <c r="BE1228">
        <v>0</v>
      </c>
      <c r="BF1228">
        <v>4</v>
      </c>
      <c r="BG1228">
        <v>0</v>
      </c>
    </row>
    <row r="1229" spans="1:59">
      <c r="A1229" s="1">
        <f>HYPERLINK("https://lsnyc.legalserver.org/matter/dynamic-profile/view/1905058","19-1905058")</f>
        <v>0</v>
      </c>
      <c r="B1229" t="s">
        <v>1136</v>
      </c>
      <c r="C1229" t="s">
        <v>5601</v>
      </c>
      <c r="D1229" t="s">
        <v>9926</v>
      </c>
      <c r="E1229" t="s">
        <v>10075</v>
      </c>
      <c r="F1229">
        <v>10453</v>
      </c>
      <c r="G1229" t="s">
        <v>10090</v>
      </c>
      <c r="H1229" t="s">
        <v>10128</v>
      </c>
      <c r="I1229" t="s">
        <v>10169</v>
      </c>
      <c r="J1229" t="s">
        <v>10210</v>
      </c>
      <c r="K1229" t="s">
        <v>10217</v>
      </c>
      <c r="M1229" t="s">
        <v>10463</v>
      </c>
      <c r="N1229" t="s">
        <v>10650</v>
      </c>
      <c r="P1229" t="s">
        <v>10749</v>
      </c>
      <c r="Q1229" t="s">
        <v>10765</v>
      </c>
      <c r="R1229" t="s">
        <v>10821</v>
      </c>
      <c r="T1229">
        <v>8796</v>
      </c>
      <c r="U1229">
        <v>733</v>
      </c>
      <c r="V1229">
        <v>62</v>
      </c>
      <c r="W1229">
        <v>1</v>
      </c>
      <c r="X1229">
        <v>0</v>
      </c>
      <c r="Z1229">
        <v>70.42</v>
      </c>
      <c r="AA1229">
        <v>40.846436</v>
      </c>
      <c r="AB1229">
        <v>-73.90944</v>
      </c>
      <c r="AD1229" t="s">
        <v>10839</v>
      </c>
      <c r="AG1229" t="s">
        <v>10858</v>
      </c>
      <c r="AH1229" t="s">
        <v>10862</v>
      </c>
      <c r="AI1229">
        <v>230</v>
      </c>
      <c r="AJ1229" t="s">
        <v>10210</v>
      </c>
      <c r="AL1229">
        <v>0</v>
      </c>
      <c r="AM1229" t="s">
        <v>10884</v>
      </c>
      <c r="AN1229" t="s">
        <v>10931</v>
      </c>
      <c r="AO1229" t="s">
        <v>11000</v>
      </c>
      <c r="AP1229" t="s">
        <v>11045</v>
      </c>
      <c r="AR1229" t="s">
        <v>11300</v>
      </c>
      <c r="AS1229" t="s">
        <v>9926</v>
      </c>
      <c r="AT1229" t="s">
        <v>11641</v>
      </c>
      <c r="BA1229" t="s">
        <v>11739</v>
      </c>
      <c r="BB1229">
        <v>0</v>
      </c>
      <c r="BC1229">
        <v>0</v>
      </c>
      <c r="BD1229">
        <v>0</v>
      </c>
      <c r="BE1229">
        <v>0</v>
      </c>
      <c r="BF1229">
        <v>4</v>
      </c>
      <c r="BG1229">
        <v>0</v>
      </c>
    </row>
    <row r="1230" spans="1:59">
      <c r="A1230" s="1">
        <f>HYPERLINK("https://lsnyc.legalserver.org/matter/dynamic-profile/view/1905059","19-1905059")</f>
        <v>0</v>
      </c>
      <c r="B1230" t="s">
        <v>1137</v>
      </c>
      <c r="C1230" t="s">
        <v>5994</v>
      </c>
      <c r="D1230" t="s">
        <v>9928</v>
      </c>
      <c r="E1230" t="s">
        <v>10075</v>
      </c>
      <c r="F1230">
        <v>11249</v>
      </c>
      <c r="G1230" t="s">
        <v>10091</v>
      </c>
      <c r="H1230" t="s">
        <v>10128</v>
      </c>
      <c r="I1230" t="s">
        <v>10168</v>
      </c>
      <c r="J1230" t="s">
        <v>10211</v>
      </c>
      <c r="K1230" t="s">
        <v>10217</v>
      </c>
      <c r="M1230" t="s">
        <v>10286</v>
      </c>
      <c r="N1230" t="s">
        <v>10671</v>
      </c>
      <c r="P1230" t="s">
        <v>10752</v>
      </c>
      <c r="Q1230" t="s">
        <v>10762</v>
      </c>
      <c r="R1230" t="s">
        <v>10821</v>
      </c>
      <c r="T1230">
        <v>6942</v>
      </c>
      <c r="U1230">
        <v>578.5</v>
      </c>
      <c r="V1230">
        <v>34</v>
      </c>
      <c r="W1230">
        <v>1</v>
      </c>
      <c r="X1230">
        <v>0</v>
      </c>
      <c r="Z1230">
        <v>55.58</v>
      </c>
      <c r="AA1230">
        <v>40.706177</v>
      </c>
      <c r="AB1230">
        <v>-73.966159</v>
      </c>
      <c r="AD1230" t="s">
        <v>10840</v>
      </c>
      <c r="AG1230" t="s">
        <v>10858</v>
      </c>
      <c r="AH1230" t="s">
        <v>10861</v>
      </c>
      <c r="AI1230">
        <v>234</v>
      </c>
      <c r="AJ1230" t="s">
        <v>10214</v>
      </c>
      <c r="AL1230">
        <v>1</v>
      </c>
      <c r="AM1230" t="s">
        <v>10886</v>
      </c>
      <c r="AN1230" t="s">
        <v>10939</v>
      </c>
      <c r="AO1230" t="s">
        <v>11011</v>
      </c>
      <c r="AP1230" t="s">
        <v>11054</v>
      </c>
      <c r="AR1230" t="s">
        <v>11274</v>
      </c>
      <c r="AS1230" t="s">
        <v>11595</v>
      </c>
      <c r="AT1230" t="s">
        <v>11642</v>
      </c>
      <c r="AX1230" t="s">
        <v>10838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</row>
    <row r="1231" spans="1:59">
      <c r="A1231" s="1">
        <f>HYPERLINK("https://lsnyc.legalserver.org/matter/dynamic-profile/view/1905060","19-1905060")</f>
        <v>0</v>
      </c>
      <c r="B1231" t="s">
        <v>1138</v>
      </c>
      <c r="C1231" t="s">
        <v>5995</v>
      </c>
      <c r="D1231" t="s">
        <v>9947</v>
      </c>
      <c r="E1231" t="s">
        <v>10075</v>
      </c>
      <c r="F1231">
        <v>11374</v>
      </c>
      <c r="G1231" t="s">
        <v>10092</v>
      </c>
      <c r="H1231" t="s">
        <v>10124</v>
      </c>
      <c r="I1231" t="s">
        <v>10169</v>
      </c>
      <c r="J1231" t="s">
        <v>10212</v>
      </c>
      <c r="K1231" t="s">
        <v>10217</v>
      </c>
      <c r="M1231" t="s">
        <v>10486</v>
      </c>
      <c r="N1231" t="s">
        <v>10714</v>
      </c>
      <c r="O1231" t="s">
        <v>10648</v>
      </c>
      <c r="P1231" t="s">
        <v>10753</v>
      </c>
      <c r="Q1231" t="s">
        <v>10763</v>
      </c>
      <c r="R1231" t="s">
        <v>10823</v>
      </c>
      <c r="T1231">
        <v>5200</v>
      </c>
      <c r="U1231">
        <v>433.33</v>
      </c>
      <c r="V1231">
        <v>47</v>
      </c>
      <c r="W1231">
        <v>1</v>
      </c>
      <c r="X1231">
        <v>1</v>
      </c>
      <c r="Z1231">
        <v>30.75</v>
      </c>
      <c r="AA1231">
        <v>40.726082</v>
      </c>
      <c r="AB1231">
        <v>-73.866788</v>
      </c>
      <c r="AD1231" t="s">
        <v>10839</v>
      </c>
      <c r="AF1231" t="s">
        <v>10842</v>
      </c>
      <c r="AG1231" t="s">
        <v>10859</v>
      </c>
      <c r="AH1231" t="s">
        <v>10864</v>
      </c>
      <c r="AI1231">
        <v>237</v>
      </c>
      <c r="AJ1231" t="s">
        <v>10212</v>
      </c>
      <c r="AL1231">
        <v>0</v>
      </c>
      <c r="AQ1231" t="s">
        <v>11109</v>
      </c>
      <c r="AR1231" t="s">
        <v>11257</v>
      </c>
      <c r="AS1231" t="s">
        <v>11594</v>
      </c>
      <c r="AT1231" t="s">
        <v>11641</v>
      </c>
      <c r="AX1231" t="s">
        <v>10838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</row>
    <row r="1232" spans="1:59">
      <c r="A1232" s="1">
        <f>HYPERLINK("https://lsnyc.legalserver.org/matter/dynamic-profile/view/1905061","19-1905061")</f>
        <v>0</v>
      </c>
      <c r="B1232" t="s">
        <v>1139</v>
      </c>
      <c r="C1232" t="s">
        <v>5601</v>
      </c>
      <c r="D1232" t="s">
        <v>9926</v>
      </c>
      <c r="E1232" t="s">
        <v>10075</v>
      </c>
      <c r="F1232">
        <v>10453</v>
      </c>
      <c r="G1232" t="s">
        <v>10090</v>
      </c>
      <c r="H1232" t="s">
        <v>10128</v>
      </c>
      <c r="I1232" t="s">
        <v>10169</v>
      </c>
      <c r="J1232" t="s">
        <v>10210</v>
      </c>
      <c r="K1232" t="s">
        <v>10217</v>
      </c>
      <c r="M1232" t="s">
        <v>10463</v>
      </c>
      <c r="N1232" t="s">
        <v>10650</v>
      </c>
      <c r="P1232" t="s">
        <v>10749</v>
      </c>
      <c r="Q1232" t="s">
        <v>10765</v>
      </c>
      <c r="R1232" t="s">
        <v>10821</v>
      </c>
      <c r="T1232">
        <v>8640</v>
      </c>
      <c r="U1232">
        <v>720</v>
      </c>
      <c r="V1232">
        <v>53</v>
      </c>
      <c r="W1232">
        <v>2</v>
      </c>
      <c r="X1232">
        <v>2</v>
      </c>
      <c r="Z1232">
        <v>33.55</v>
      </c>
      <c r="AA1232">
        <v>40.846436</v>
      </c>
      <c r="AB1232">
        <v>-73.90944</v>
      </c>
      <c r="AD1232" t="s">
        <v>10840</v>
      </c>
      <c r="AG1232" t="s">
        <v>10858</v>
      </c>
      <c r="AH1232" t="s">
        <v>10862</v>
      </c>
      <c r="AI1232">
        <v>230</v>
      </c>
      <c r="AJ1232" t="s">
        <v>10210</v>
      </c>
      <c r="AL1232">
        <v>0</v>
      </c>
      <c r="AM1232" t="s">
        <v>10884</v>
      </c>
      <c r="AN1232" t="s">
        <v>10931</v>
      </c>
      <c r="AO1232" t="s">
        <v>11000</v>
      </c>
      <c r="AP1232" t="s">
        <v>11045</v>
      </c>
      <c r="AR1232" t="s">
        <v>11263</v>
      </c>
      <c r="AS1232" t="s">
        <v>9926</v>
      </c>
      <c r="BA1232" t="s">
        <v>11739</v>
      </c>
      <c r="BB1232">
        <v>0</v>
      </c>
      <c r="BC1232">
        <v>0</v>
      </c>
      <c r="BD1232">
        <v>0</v>
      </c>
      <c r="BE1232">
        <v>0</v>
      </c>
      <c r="BF1232">
        <v>4</v>
      </c>
      <c r="BG1232">
        <v>0</v>
      </c>
    </row>
    <row r="1233" spans="1:59">
      <c r="A1233" s="1">
        <f>HYPERLINK("https://lsnyc.legalserver.org/matter/dynamic-profile/view/1905062","19-1905062")</f>
        <v>0</v>
      </c>
      <c r="B1233" t="s">
        <v>1136</v>
      </c>
      <c r="C1233" t="s">
        <v>5601</v>
      </c>
      <c r="D1233" t="s">
        <v>9926</v>
      </c>
      <c r="E1233" t="s">
        <v>10075</v>
      </c>
      <c r="F1233">
        <v>10453</v>
      </c>
      <c r="G1233" t="s">
        <v>10090</v>
      </c>
      <c r="H1233" t="s">
        <v>10128</v>
      </c>
      <c r="I1233" t="s">
        <v>10169</v>
      </c>
      <c r="J1233" t="s">
        <v>10210</v>
      </c>
      <c r="K1233" t="s">
        <v>10217</v>
      </c>
      <c r="M1233" t="s">
        <v>10463</v>
      </c>
      <c r="N1233" t="s">
        <v>10650</v>
      </c>
      <c r="P1233" t="s">
        <v>10749</v>
      </c>
      <c r="Q1233" t="s">
        <v>10765</v>
      </c>
      <c r="R1233" t="s">
        <v>10821</v>
      </c>
      <c r="T1233">
        <v>8796</v>
      </c>
      <c r="U1233">
        <v>733</v>
      </c>
      <c r="V1233">
        <v>62</v>
      </c>
      <c r="W1233">
        <v>1</v>
      </c>
      <c r="X1233">
        <v>0</v>
      </c>
      <c r="Z1233">
        <v>70.42</v>
      </c>
      <c r="AA1233">
        <v>40.846436</v>
      </c>
      <c r="AB1233">
        <v>-73.90944</v>
      </c>
      <c r="AD1233" t="s">
        <v>10839</v>
      </c>
      <c r="AG1233" t="s">
        <v>10858</v>
      </c>
      <c r="AH1233" t="s">
        <v>10862</v>
      </c>
      <c r="AI1233">
        <v>230</v>
      </c>
      <c r="AJ1233" t="s">
        <v>10210</v>
      </c>
      <c r="AL1233">
        <v>0</v>
      </c>
      <c r="AM1233" t="s">
        <v>10884</v>
      </c>
      <c r="AN1233" t="s">
        <v>10931</v>
      </c>
      <c r="AO1233" t="s">
        <v>11000</v>
      </c>
      <c r="AP1233" t="s">
        <v>11045</v>
      </c>
      <c r="AR1233" t="s">
        <v>11263</v>
      </c>
      <c r="AS1233" t="s">
        <v>9926</v>
      </c>
      <c r="AT1233" t="s">
        <v>11641</v>
      </c>
      <c r="BA1233" t="s">
        <v>11739</v>
      </c>
      <c r="BB1233">
        <v>0</v>
      </c>
      <c r="BC1233">
        <v>0</v>
      </c>
      <c r="BD1233">
        <v>0</v>
      </c>
      <c r="BE1233">
        <v>0</v>
      </c>
      <c r="BF1233">
        <v>4</v>
      </c>
      <c r="BG1233">
        <v>0</v>
      </c>
    </row>
    <row r="1234" spans="1:59">
      <c r="A1234" s="1">
        <f>HYPERLINK("https://lsnyc.legalserver.org/matter/dynamic-profile/view/1905063","19-1905063")</f>
        <v>0</v>
      </c>
      <c r="B1234" t="s">
        <v>1140</v>
      </c>
      <c r="C1234" t="s">
        <v>5996</v>
      </c>
      <c r="D1234" t="s">
        <v>9926</v>
      </c>
      <c r="E1234" t="s">
        <v>10075</v>
      </c>
      <c r="F1234">
        <v>10459</v>
      </c>
      <c r="G1234" t="s">
        <v>10090</v>
      </c>
      <c r="H1234" t="s">
        <v>10128</v>
      </c>
      <c r="I1234" t="s">
        <v>10169</v>
      </c>
      <c r="J1234" t="s">
        <v>10210</v>
      </c>
      <c r="K1234" t="s">
        <v>10217</v>
      </c>
      <c r="M1234" t="s">
        <v>10438</v>
      </c>
      <c r="N1234" t="s">
        <v>10677</v>
      </c>
      <c r="P1234" t="s">
        <v>10753</v>
      </c>
      <c r="Q1234" t="s">
        <v>10809</v>
      </c>
      <c r="R1234" t="s">
        <v>10821</v>
      </c>
      <c r="T1234">
        <v>16392</v>
      </c>
      <c r="U1234">
        <v>1366</v>
      </c>
      <c r="V1234">
        <v>72</v>
      </c>
      <c r="W1234">
        <v>1</v>
      </c>
      <c r="X1234">
        <v>0</v>
      </c>
      <c r="Z1234">
        <v>131.24</v>
      </c>
      <c r="AA1234">
        <v>40.821592</v>
      </c>
      <c r="AB1234">
        <v>-73.893023</v>
      </c>
      <c r="AD1234" t="s">
        <v>10840</v>
      </c>
      <c r="AG1234" t="s">
        <v>10858</v>
      </c>
      <c r="AH1234" t="s">
        <v>10869</v>
      </c>
      <c r="AI1234">
        <v>230</v>
      </c>
      <c r="AJ1234" t="s">
        <v>10210</v>
      </c>
      <c r="AL1234">
        <v>3.35</v>
      </c>
      <c r="AM1234" t="s">
        <v>10884</v>
      </c>
      <c r="AN1234" t="s">
        <v>10968</v>
      </c>
      <c r="AO1234" t="s">
        <v>11001</v>
      </c>
      <c r="AP1234" t="s">
        <v>11062</v>
      </c>
      <c r="AR1234" t="s">
        <v>11379</v>
      </c>
      <c r="AS1234" t="s">
        <v>9926</v>
      </c>
      <c r="AT1234" t="s">
        <v>11642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</row>
    <row r="1235" spans="1:59">
      <c r="A1235" s="1">
        <f>HYPERLINK("https://lsnyc.legalserver.org/matter/dynamic-profile/view/1905064","19-1905064")</f>
        <v>0</v>
      </c>
      <c r="B1235" t="s">
        <v>1141</v>
      </c>
      <c r="C1235" t="s">
        <v>5501</v>
      </c>
      <c r="D1235" t="s">
        <v>9928</v>
      </c>
      <c r="E1235" t="s">
        <v>10075</v>
      </c>
      <c r="F1235">
        <v>11221</v>
      </c>
      <c r="G1235" t="s">
        <v>10093</v>
      </c>
      <c r="H1235" t="s">
        <v>10128</v>
      </c>
      <c r="I1235" t="s">
        <v>10168</v>
      </c>
      <c r="J1235" t="s">
        <v>10213</v>
      </c>
      <c r="K1235" t="s">
        <v>10217</v>
      </c>
      <c r="M1235" t="s">
        <v>10263</v>
      </c>
      <c r="N1235" t="s">
        <v>10650</v>
      </c>
      <c r="P1235" t="s">
        <v>10749</v>
      </c>
      <c r="Q1235" t="s">
        <v>10765</v>
      </c>
      <c r="R1235" t="s">
        <v>10824</v>
      </c>
      <c r="T1235">
        <v>0</v>
      </c>
      <c r="U1235">
        <v>0</v>
      </c>
      <c r="V1235">
        <v>56</v>
      </c>
      <c r="W1235">
        <v>1</v>
      </c>
      <c r="X1235">
        <v>0</v>
      </c>
      <c r="Z1235">
        <v>0</v>
      </c>
      <c r="AA1235">
        <v>40.687087</v>
      </c>
      <c r="AB1235">
        <v>-73.93310200000001</v>
      </c>
      <c r="AC1235" t="s">
        <v>10837</v>
      </c>
      <c r="AD1235" t="s">
        <v>10840</v>
      </c>
      <c r="AG1235" t="s">
        <v>10858</v>
      </c>
      <c r="AH1235" t="s">
        <v>10862</v>
      </c>
      <c r="AI1235">
        <v>239</v>
      </c>
      <c r="AJ1235" t="s">
        <v>10213</v>
      </c>
      <c r="AL1235">
        <v>0.7</v>
      </c>
      <c r="AM1235" t="s">
        <v>10889</v>
      </c>
      <c r="AN1235" t="s">
        <v>10914</v>
      </c>
      <c r="AO1235" t="s">
        <v>11007</v>
      </c>
      <c r="AP1235" t="s">
        <v>11052</v>
      </c>
      <c r="AQ1235" t="s">
        <v>11120</v>
      </c>
      <c r="AR1235" t="s">
        <v>11266</v>
      </c>
      <c r="AS1235" t="s">
        <v>11595</v>
      </c>
      <c r="BA1235" t="s">
        <v>11737</v>
      </c>
      <c r="BB1235">
        <v>0</v>
      </c>
      <c r="BC1235">
        <v>0</v>
      </c>
      <c r="BD1235">
        <v>0</v>
      </c>
      <c r="BE1235">
        <v>0</v>
      </c>
      <c r="BF1235">
        <v>3</v>
      </c>
      <c r="BG1235">
        <v>0</v>
      </c>
    </row>
    <row r="1236" spans="1:59">
      <c r="A1236" s="1">
        <f>HYPERLINK("https://lsnyc.legalserver.org/matter/dynamic-profile/view/1905065","19-1905065")</f>
        <v>0</v>
      </c>
      <c r="B1236" t="s">
        <v>1142</v>
      </c>
      <c r="C1236" t="s">
        <v>5997</v>
      </c>
      <c r="D1236" t="s">
        <v>9925</v>
      </c>
      <c r="E1236" t="s">
        <v>10075</v>
      </c>
      <c r="F1236">
        <v>10029</v>
      </c>
      <c r="G1236" t="s">
        <v>10089</v>
      </c>
      <c r="H1236" t="s">
        <v>10128</v>
      </c>
      <c r="I1236" t="s">
        <v>10168</v>
      </c>
      <c r="J1236" t="s">
        <v>10209</v>
      </c>
      <c r="K1236" t="s">
        <v>10217</v>
      </c>
      <c r="M1236" t="s">
        <v>10270</v>
      </c>
      <c r="N1236" t="s">
        <v>10671</v>
      </c>
      <c r="P1236" t="s">
        <v>10754</v>
      </c>
      <c r="Q1236" t="s">
        <v>10766</v>
      </c>
      <c r="R1236" t="s">
        <v>10824</v>
      </c>
      <c r="T1236">
        <v>24000</v>
      </c>
      <c r="U1236">
        <v>2000</v>
      </c>
      <c r="V1236">
        <v>38</v>
      </c>
      <c r="W1236">
        <v>4</v>
      </c>
      <c r="X1236">
        <v>1</v>
      </c>
      <c r="Z1236">
        <v>79.55</v>
      </c>
      <c r="AA1236">
        <v>40.788206</v>
      </c>
      <c r="AB1236">
        <v>-73.94789900000001</v>
      </c>
      <c r="AD1236" t="s">
        <v>10839</v>
      </c>
      <c r="AF1236" t="s">
        <v>10843</v>
      </c>
      <c r="AG1236" t="s">
        <v>10859</v>
      </c>
      <c r="AH1236" t="s">
        <v>10861</v>
      </c>
      <c r="AI1236">
        <v>234</v>
      </c>
      <c r="AJ1236" t="s">
        <v>10214</v>
      </c>
      <c r="AL1236">
        <v>0.85</v>
      </c>
      <c r="AM1236" t="s">
        <v>10887</v>
      </c>
      <c r="AN1236" t="s">
        <v>10926</v>
      </c>
      <c r="AO1236" t="s">
        <v>11016</v>
      </c>
      <c r="AP1236" t="s">
        <v>11066</v>
      </c>
      <c r="AQ1236" t="s">
        <v>11175</v>
      </c>
      <c r="AR1236" t="s">
        <v>11262</v>
      </c>
      <c r="AS1236" t="s">
        <v>9925</v>
      </c>
      <c r="AT1236" t="s">
        <v>11641</v>
      </c>
      <c r="AX1236" t="s">
        <v>10838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</row>
    <row r="1237" spans="1:59">
      <c r="A1237" s="1">
        <f>HYPERLINK("https://lsnyc.legalserver.org/matter/dynamic-profile/view/1905066","19-1905066")</f>
        <v>0</v>
      </c>
      <c r="B1237" t="s">
        <v>1139</v>
      </c>
      <c r="C1237" t="s">
        <v>5601</v>
      </c>
      <c r="D1237" t="s">
        <v>9926</v>
      </c>
      <c r="E1237" t="s">
        <v>10075</v>
      </c>
      <c r="F1237">
        <v>10453</v>
      </c>
      <c r="G1237" t="s">
        <v>10090</v>
      </c>
      <c r="H1237" t="s">
        <v>10128</v>
      </c>
      <c r="I1237" t="s">
        <v>10169</v>
      </c>
      <c r="J1237" t="s">
        <v>10210</v>
      </c>
      <c r="K1237" t="s">
        <v>10217</v>
      </c>
      <c r="M1237" t="s">
        <v>10463</v>
      </c>
      <c r="N1237" t="s">
        <v>10650</v>
      </c>
      <c r="P1237" t="s">
        <v>10749</v>
      </c>
      <c r="Q1237" t="s">
        <v>10765</v>
      </c>
      <c r="R1237" t="s">
        <v>10821</v>
      </c>
      <c r="T1237">
        <v>8640</v>
      </c>
      <c r="U1237">
        <v>720</v>
      </c>
      <c r="V1237">
        <v>53</v>
      </c>
      <c r="W1237">
        <v>2</v>
      </c>
      <c r="X1237">
        <v>2</v>
      </c>
      <c r="Z1237">
        <v>33.55</v>
      </c>
      <c r="AA1237">
        <v>40.846436</v>
      </c>
      <c r="AB1237">
        <v>-73.90944</v>
      </c>
      <c r="AD1237" t="s">
        <v>10840</v>
      </c>
      <c r="AG1237" t="s">
        <v>10858</v>
      </c>
      <c r="AH1237" t="s">
        <v>10862</v>
      </c>
      <c r="AI1237">
        <v>230</v>
      </c>
      <c r="AJ1237" t="s">
        <v>10210</v>
      </c>
      <c r="AL1237">
        <v>0</v>
      </c>
      <c r="AM1237" t="s">
        <v>10884</v>
      </c>
      <c r="AN1237" t="s">
        <v>10931</v>
      </c>
      <c r="AO1237" t="s">
        <v>11000</v>
      </c>
      <c r="AP1237" t="s">
        <v>11045</v>
      </c>
      <c r="AR1237" t="s">
        <v>11263</v>
      </c>
      <c r="AS1237" t="s">
        <v>9926</v>
      </c>
      <c r="BA1237" t="s">
        <v>11739</v>
      </c>
      <c r="BB1237">
        <v>0</v>
      </c>
      <c r="BC1237">
        <v>0</v>
      </c>
      <c r="BD1237">
        <v>0</v>
      </c>
      <c r="BE1237">
        <v>0</v>
      </c>
      <c r="BF1237">
        <v>4</v>
      </c>
      <c r="BG1237">
        <v>0</v>
      </c>
    </row>
    <row r="1238" spans="1:59">
      <c r="A1238" s="1">
        <f>HYPERLINK("https://lsnyc.legalserver.org/matter/dynamic-profile/view/1905067","19-1905067")</f>
        <v>0</v>
      </c>
      <c r="B1238" t="s">
        <v>1143</v>
      </c>
      <c r="C1238" t="s">
        <v>5998</v>
      </c>
      <c r="D1238" t="s">
        <v>9928</v>
      </c>
      <c r="E1238" t="s">
        <v>10075</v>
      </c>
      <c r="F1238">
        <v>11225</v>
      </c>
      <c r="G1238" t="s">
        <v>10093</v>
      </c>
      <c r="H1238" t="s">
        <v>10128</v>
      </c>
      <c r="I1238" t="s">
        <v>10168</v>
      </c>
      <c r="J1238" t="s">
        <v>10213</v>
      </c>
      <c r="K1238" t="s">
        <v>10218</v>
      </c>
      <c r="L1238" t="s">
        <v>10096</v>
      </c>
      <c r="M1238" t="s">
        <v>10265</v>
      </c>
      <c r="N1238" t="s">
        <v>10671</v>
      </c>
      <c r="P1238" t="s">
        <v>10751</v>
      </c>
      <c r="Q1238" t="s">
        <v>10761</v>
      </c>
      <c r="R1238" t="s">
        <v>10822</v>
      </c>
      <c r="T1238">
        <v>19690</v>
      </c>
      <c r="U1238">
        <v>1640.83</v>
      </c>
      <c r="V1238">
        <v>31</v>
      </c>
      <c r="W1238">
        <v>1</v>
      </c>
      <c r="X1238">
        <v>1</v>
      </c>
      <c r="Y1238" t="s">
        <v>10832</v>
      </c>
      <c r="Z1238">
        <v>116.44</v>
      </c>
      <c r="AA1238">
        <v>40.657364</v>
      </c>
      <c r="AB1238">
        <v>-73.954627</v>
      </c>
      <c r="AD1238" t="s">
        <v>10839</v>
      </c>
      <c r="AG1238" t="s">
        <v>10858</v>
      </c>
      <c r="AH1238" t="s">
        <v>10862</v>
      </c>
      <c r="AI1238">
        <v>239</v>
      </c>
      <c r="AJ1238" t="s">
        <v>10213</v>
      </c>
      <c r="AK1238" t="s">
        <v>10838</v>
      </c>
      <c r="AL1238">
        <v>4.5</v>
      </c>
      <c r="AM1238" t="s">
        <v>10888</v>
      </c>
      <c r="AN1238" t="s">
        <v>10912</v>
      </c>
      <c r="AO1238" t="s">
        <v>11005</v>
      </c>
      <c r="AP1238" t="s">
        <v>11050</v>
      </c>
      <c r="AR1238" t="s">
        <v>11281</v>
      </c>
      <c r="AS1238" t="s">
        <v>11595</v>
      </c>
      <c r="AY1238" t="s">
        <v>10832</v>
      </c>
      <c r="AZ1238" t="s">
        <v>11688</v>
      </c>
      <c r="BA1238" t="s">
        <v>11737</v>
      </c>
      <c r="BB1238">
        <v>0</v>
      </c>
      <c r="BC1238">
        <v>0</v>
      </c>
      <c r="BD1238">
        <v>0</v>
      </c>
      <c r="BE1238">
        <v>0</v>
      </c>
      <c r="BF1238">
        <v>3</v>
      </c>
      <c r="BG1238">
        <v>0</v>
      </c>
    </row>
    <row r="1239" spans="1:59">
      <c r="A1239" s="1">
        <f>HYPERLINK("https://lsnyc.legalserver.org/matter/dynamic-profile/view/1905068","19-1905068")</f>
        <v>0</v>
      </c>
      <c r="B1239" t="s">
        <v>1135</v>
      </c>
      <c r="C1239" t="s">
        <v>5453</v>
      </c>
      <c r="D1239" t="s">
        <v>9928</v>
      </c>
      <c r="E1239" t="s">
        <v>10075</v>
      </c>
      <c r="F1239">
        <v>11221</v>
      </c>
      <c r="G1239" t="s">
        <v>10093</v>
      </c>
      <c r="H1239" t="s">
        <v>10128</v>
      </c>
      <c r="I1239" t="s">
        <v>10168</v>
      </c>
      <c r="J1239" t="s">
        <v>10213</v>
      </c>
      <c r="K1239" t="s">
        <v>10217</v>
      </c>
      <c r="M1239" t="s">
        <v>10392</v>
      </c>
      <c r="N1239" t="s">
        <v>10650</v>
      </c>
      <c r="P1239" t="s">
        <v>10749</v>
      </c>
      <c r="Q1239" t="s">
        <v>10769</v>
      </c>
      <c r="R1239" t="s">
        <v>10822</v>
      </c>
      <c r="T1239">
        <v>34644</v>
      </c>
      <c r="U1239">
        <v>2887</v>
      </c>
      <c r="V1239">
        <v>55</v>
      </c>
      <c r="W1239">
        <v>2</v>
      </c>
      <c r="X1239">
        <v>0</v>
      </c>
      <c r="Z1239">
        <v>204.87</v>
      </c>
      <c r="AA1239">
        <v>40.692299</v>
      </c>
      <c r="AB1239">
        <v>-73.938599</v>
      </c>
      <c r="AC1239" t="s">
        <v>10838</v>
      </c>
      <c r="AD1239" t="s">
        <v>10839</v>
      </c>
      <c r="AG1239" t="s">
        <v>10858</v>
      </c>
      <c r="AH1239" t="s">
        <v>10862</v>
      </c>
      <c r="AI1239">
        <v>239</v>
      </c>
      <c r="AJ1239" t="s">
        <v>10213</v>
      </c>
      <c r="AL1239">
        <v>0</v>
      </c>
      <c r="AR1239" t="s">
        <v>11296</v>
      </c>
      <c r="AS1239" t="s">
        <v>11595</v>
      </c>
      <c r="BA1239" t="s">
        <v>11740</v>
      </c>
      <c r="BB1239">
        <v>0</v>
      </c>
      <c r="BC1239">
        <v>0</v>
      </c>
      <c r="BD1239">
        <v>0</v>
      </c>
      <c r="BE1239">
        <v>0</v>
      </c>
      <c r="BF1239">
        <v>2</v>
      </c>
      <c r="BG1239">
        <v>0</v>
      </c>
    </row>
    <row r="1240" spans="1:59">
      <c r="A1240" s="1">
        <f>HYPERLINK("https://lsnyc.legalserver.org/matter/dynamic-profile/view/1905069","19-1905069")</f>
        <v>0</v>
      </c>
      <c r="B1240" t="s">
        <v>1144</v>
      </c>
      <c r="C1240" t="s">
        <v>5999</v>
      </c>
      <c r="D1240" t="s">
        <v>9925</v>
      </c>
      <c r="E1240" t="s">
        <v>10075</v>
      </c>
      <c r="F1240">
        <v>10025</v>
      </c>
      <c r="G1240" t="s">
        <v>10089</v>
      </c>
      <c r="H1240" t="s">
        <v>10128</v>
      </c>
      <c r="I1240" t="s">
        <v>10168</v>
      </c>
      <c r="J1240" t="s">
        <v>10209</v>
      </c>
      <c r="K1240" t="s">
        <v>10217</v>
      </c>
      <c r="M1240" t="s">
        <v>10379</v>
      </c>
      <c r="N1240" t="s">
        <v>10702</v>
      </c>
      <c r="P1240" t="s">
        <v>10749</v>
      </c>
      <c r="Q1240" t="s">
        <v>10767</v>
      </c>
      <c r="R1240" t="s">
        <v>10824</v>
      </c>
      <c r="T1240">
        <v>24000</v>
      </c>
      <c r="U1240">
        <v>2000</v>
      </c>
      <c r="V1240">
        <v>35</v>
      </c>
      <c r="W1240">
        <v>1</v>
      </c>
      <c r="X1240">
        <v>1</v>
      </c>
      <c r="Z1240">
        <v>141.93</v>
      </c>
      <c r="AA1240">
        <v>40.789996</v>
      </c>
      <c r="AB1240">
        <v>-73.96908500000001</v>
      </c>
      <c r="AD1240" t="s">
        <v>10839</v>
      </c>
      <c r="AG1240" t="s">
        <v>10858</v>
      </c>
      <c r="AH1240" t="s">
        <v>10861</v>
      </c>
      <c r="AI1240">
        <v>236</v>
      </c>
      <c r="AJ1240" t="s">
        <v>10209</v>
      </c>
      <c r="AL1240">
        <v>2.5</v>
      </c>
      <c r="AM1240" t="s">
        <v>10894</v>
      </c>
      <c r="AN1240" t="s">
        <v>10953</v>
      </c>
      <c r="AO1240" t="s">
        <v>11016</v>
      </c>
      <c r="AP1240" t="s">
        <v>11089</v>
      </c>
      <c r="AR1240" t="s">
        <v>11257</v>
      </c>
      <c r="AS1240" t="s">
        <v>9925</v>
      </c>
      <c r="BA1240" t="s">
        <v>11738</v>
      </c>
      <c r="BB1240">
        <v>0</v>
      </c>
      <c r="BC1240">
        <v>0</v>
      </c>
      <c r="BD1240">
        <v>0</v>
      </c>
      <c r="BE1240">
        <v>0</v>
      </c>
      <c r="BF1240">
        <v>5</v>
      </c>
      <c r="BG1240">
        <v>0</v>
      </c>
    </row>
    <row r="1241" spans="1:59">
      <c r="A1241" s="1">
        <f>HYPERLINK("https://lsnyc.legalserver.org/matter/dynamic-profile/view/1905070","19-1905070")</f>
        <v>0</v>
      </c>
      <c r="B1241" t="s">
        <v>1145</v>
      </c>
      <c r="C1241" t="s">
        <v>6000</v>
      </c>
      <c r="D1241" t="s">
        <v>9954</v>
      </c>
      <c r="E1241" t="s">
        <v>10075</v>
      </c>
      <c r="F1241">
        <v>11372</v>
      </c>
      <c r="G1241" t="s">
        <v>10092</v>
      </c>
      <c r="H1241" t="s">
        <v>10128</v>
      </c>
      <c r="I1241" t="s">
        <v>10168</v>
      </c>
      <c r="J1241" t="s">
        <v>10212</v>
      </c>
      <c r="K1241" t="s">
        <v>10217</v>
      </c>
      <c r="M1241" t="s">
        <v>10387</v>
      </c>
      <c r="N1241" t="s">
        <v>10650</v>
      </c>
      <c r="P1241" t="s">
        <v>10749</v>
      </c>
      <c r="Q1241" t="s">
        <v>10765</v>
      </c>
      <c r="R1241" t="s">
        <v>10823</v>
      </c>
      <c r="T1241">
        <v>38480</v>
      </c>
      <c r="U1241">
        <v>3206.67</v>
      </c>
      <c r="V1241">
        <v>29</v>
      </c>
      <c r="W1241">
        <v>2</v>
      </c>
      <c r="X1241">
        <v>2</v>
      </c>
      <c r="Z1241">
        <v>149.44</v>
      </c>
      <c r="AA1241">
        <v>40.748141</v>
      </c>
      <c r="AB1241">
        <v>-73.885246</v>
      </c>
      <c r="AD1241" t="s">
        <v>10840</v>
      </c>
      <c r="AG1241" t="s">
        <v>10858</v>
      </c>
      <c r="AH1241" t="s">
        <v>10862</v>
      </c>
      <c r="AI1241">
        <v>237</v>
      </c>
      <c r="AJ1241" t="s">
        <v>10212</v>
      </c>
      <c r="AL1241">
        <v>13.56</v>
      </c>
      <c r="AM1241" t="s">
        <v>10885</v>
      </c>
      <c r="AN1241" t="s">
        <v>10949</v>
      </c>
      <c r="AO1241" t="s">
        <v>11014</v>
      </c>
      <c r="AP1241" t="s">
        <v>11053</v>
      </c>
      <c r="AR1241" t="s">
        <v>11257</v>
      </c>
      <c r="AS1241" t="s">
        <v>11594</v>
      </c>
      <c r="AX1241" t="s">
        <v>10838</v>
      </c>
      <c r="BA1241" t="s">
        <v>11738</v>
      </c>
      <c r="BB1241">
        <v>0</v>
      </c>
      <c r="BC1241">
        <v>0</v>
      </c>
      <c r="BD1241">
        <v>0</v>
      </c>
      <c r="BE1241">
        <v>0</v>
      </c>
      <c r="BF1241">
        <v>5</v>
      </c>
      <c r="BG1241">
        <v>0</v>
      </c>
    </row>
    <row r="1242" spans="1:59">
      <c r="A1242" s="1">
        <f>HYPERLINK("https://lsnyc.legalserver.org/matter/dynamic-profile/view/1905071","19-1905071")</f>
        <v>0</v>
      </c>
      <c r="B1242" t="s">
        <v>1146</v>
      </c>
      <c r="C1242" t="s">
        <v>6001</v>
      </c>
      <c r="D1242" t="s">
        <v>9925</v>
      </c>
      <c r="E1242" t="s">
        <v>10075</v>
      </c>
      <c r="F1242">
        <v>10031</v>
      </c>
      <c r="G1242" t="s">
        <v>10089</v>
      </c>
      <c r="H1242" t="s">
        <v>10128</v>
      </c>
      <c r="I1242" t="s">
        <v>10169</v>
      </c>
      <c r="J1242" t="s">
        <v>10209</v>
      </c>
      <c r="K1242" t="s">
        <v>10218</v>
      </c>
      <c r="L1242" t="s">
        <v>10130</v>
      </c>
      <c r="M1242" t="s">
        <v>10432</v>
      </c>
      <c r="N1242" t="s">
        <v>10702</v>
      </c>
      <c r="P1242" t="s">
        <v>10749</v>
      </c>
      <c r="Q1242" t="s">
        <v>10765</v>
      </c>
      <c r="R1242" t="s">
        <v>10823</v>
      </c>
      <c r="T1242">
        <v>18200</v>
      </c>
      <c r="U1242">
        <v>1516.67</v>
      </c>
      <c r="V1242">
        <v>61</v>
      </c>
      <c r="W1242">
        <v>2</v>
      </c>
      <c r="X1242">
        <v>0</v>
      </c>
      <c r="Y1242" t="s">
        <v>10829</v>
      </c>
      <c r="Z1242">
        <v>107.63</v>
      </c>
      <c r="AA1242">
        <v>40.826524</v>
      </c>
      <c r="AB1242">
        <v>-73.94982400000001</v>
      </c>
      <c r="AD1242" t="s">
        <v>10839</v>
      </c>
      <c r="AF1242" t="s">
        <v>10842</v>
      </c>
      <c r="AG1242" t="s">
        <v>10859</v>
      </c>
      <c r="AH1242" t="s">
        <v>10862</v>
      </c>
      <c r="AI1242">
        <v>236</v>
      </c>
      <c r="AJ1242" t="s">
        <v>10209</v>
      </c>
      <c r="AK1242" t="s">
        <v>10882</v>
      </c>
      <c r="AL1242">
        <v>1</v>
      </c>
      <c r="AM1242" t="s">
        <v>10887</v>
      </c>
      <c r="AN1242" t="s">
        <v>10943</v>
      </c>
      <c r="AO1242" t="s">
        <v>11019</v>
      </c>
      <c r="AP1242" t="s">
        <v>11073</v>
      </c>
      <c r="AR1242" t="s">
        <v>11276</v>
      </c>
      <c r="AS1242" t="s">
        <v>9925</v>
      </c>
      <c r="AY1242" t="s">
        <v>10829</v>
      </c>
      <c r="AZ1242" t="s">
        <v>11681</v>
      </c>
      <c r="BA1242" t="s">
        <v>11741</v>
      </c>
      <c r="BB1242">
        <v>0</v>
      </c>
      <c r="BC1242">
        <v>0</v>
      </c>
      <c r="BD1242">
        <v>0</v>
      </c>
      <c r="BE1242">
        <v>0</v>
      </c>
      <c r="BF1242">
        <v>1</v>
      </c>
      <c r="BG1242">
        <v>0</v>
      </c>
    </row>
    <row r="1243" spans="1:59">
      <c r="A1243" s="1">
        <f>HYPERLINK("https://lsnyc.legalserver.org/matter/dynamic-profile/view/1905072","19-1905072")</f>
        <v>0</v>
      </c>
      <c r="B1243" t="s">
        <v>1147</v>
      </c>
      <c r="C1243" t="s">
        <v>6002</v>
      </c>
      <c r="D1243" t="s">
        <v>9928</v>
      </c>
      <c r="E1243" t="s">
        <v>10075</v>
      </c>
      <c r="F1243">
        <v>11226</v>
      </c>
      <c r="G1243" t="s">
        <v>10093</v>
      </c>
      <c r="H1243" t="s">
        <v>10128</v>
      </c>
      <c r="I1243" t="s">
        <v>10168</v>
      </c>
      <c r="J1243" t="s">
        <v>10213</v>
      </c>
      <c r="K1243" t="s">
        <v>10217</v>
      </c>
      <c r="M1243" t="s">
        <v>10304</v>
      </c>
      <c r="N1243" t="s">
        <v>10650</v>
      </c>
      <c r="P1243" t="s">
        <v>10749</v>
      </c>
      <c r="Q1243" t="s">
        <v>10765</v>
      </c>
      <c r="R1243" t="s">
        <v>10821</v>
      </c>
      <c r="T1243">
        <v>39000</v>
      </c>
      <c r="U1243">
        <v>3250</v>
      </c>
      <c r="V1243">
        <v>40</v>
      </c>
      <c r="W1243">
        <v>1</v>
      </c>
      <c r="X1243">
        <v>0</v>
      </c>
      <c r="Z1243">
        <v>312.25</v>
      </c>
      <c r="AA1243">
        <v>40.638352</v>
      </c>
      <c r="AB1243">
        <v>-73.95605</v>
      </c>
      <c r="AD1243" t="s">
        <v>10839</v>
      </c>
      <c r="AG1243" t="s">
        <v>10858</v>
      </c>
      <c r="AH1243" t="s">
        <v>10861</v>
      </c>
      <c r="AI1243">
        <v>234</v>
      </c>
      <c r="AJ1243" t="s">
        <v>10214</v>
      </c>
      <c r="AL1243">
        <v>0.5</v>
      </c>
      <c r="AM1243" t="s">
        <v>10888</v>
      </c>
      <c r="AN1243" t="s">
        <v>10932</v>
      </c>
      <c r="AO1243" t="s">
        <v>11008</v>
      </c>
      <c r="AP1243" t="s">
        <v>11050</v>
      </c>
      <c r="AR1243" t="s">
        <v>11257</v>
      </c>
      <c r="AS1243" t="s">
        <v>11595</v>
      </c>
      <c r="AT1243" t="s">
        <v>11641</v>
      </c>
      <c r="AX1243" t="s">
        <v>10838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</row>
    <row r="1244" spans="1:59">
      <c r="A1244" s="1">
        <f>HYPERLINK("https://lsnyc.legalserver.org/matter/dynamic-profile/view/1905073","19-1905073")</f>
        <v>0</v>
      </c>
      <c r="B1244" t="s">
        <v>1148</v>
      </c>
      <c r="C1244" t="s">
        <v>5601</v>
      </c>
      <c r="D1244" t="s">
        <v>9926</v>
      </c>
      <c r="E1244" t="s">
        <v>10075</v>
      </c>
      <c r="F1244">
        <v>10453</v>
      </c>
      <c r="G1244" t="s">
        <v>10090</v>
      </c>
      <c r="H1244" t="s">
        <v>10128</v>
      </c>
      <c r="I1244" t="s">
        <v>10169</v>
      </c>
      <c r="J1244" t="s">
        <v>10210</v>
      </c>
      <c r="K1244" t="s">
        <v>10217</v>
      </c>
      <c r="M1244" t="s">
        <v>10463</v>
      </c>
      <c r="N1244" t="s">
        <v>10650</v>
      </c>
      <c r="P1244" t="s">
        <v>10749</v>
      </c>
      <c r="Q1244" t="s">
        <v>10765</v>
      </c>
      <c r="R1244" t="s">
        <v>10821</v>
      </c>
      <c r="T1244">
        <v>12000</v>
      </c>
      <c r="U1244">
        <v>1000</v>
      </c>
      <c r="V1244">
        <v>34</v>
      </c>
      <c r="W1244">
        <v>1</v>
      </c>
      <c r="X1244">
        <v>0</v>
      </c>
      <c r="Z1244">
        <v>96.08</v>
      </c>
      <c r="AA1244">
        <v>40.846436</v>
      </c>
      <c r="AB1244">
        <v>-73.90944</v>
      </c>
      <c r="AD1244" t="s">
        <v>10840</v>
      </c>
      <c r="AG1244" t="s">
        <v>10858</v>
      </c>
      <c r="AH1244" t="s">
        <v>10862</v>
      </c>
      <c r="AI1244">
        <v>230</v>
      </c>
      <c r="AJ1244" t="s">
        <v>10210</v>
      </c>
      <c r="AL1244">
        <v>0</v>
      </c>
      <c r="AM1244" t="s">
        <v>10884</v>
      </c>
      <c r="AN1244" t="s">
        <v>10931</v>
      </c>
      <c r="AO1244" t="s">
        <v>11000</v>
      </c>
      <c r="AP1244" t="s">
        <v>11045</v>
      </c>
      <c r="AR1244" t="s">
        <v>11257</v>
      </c>
      <c r="AS1244" t="s">
        <v>9926</v>
      </c>
      <c r="BA1244" t="s">
        <v>11739</v>
      </c>
      <c r="BB1244">
        <v>0</v>
      </c>
      <c r="BC1244">
        <v>0</v>
      </c>
      <c r="BD1244">
        <v>0</v>
      </c>
      <c r="BE1244">
        <v>0</v>
      </c>
      <c r="BF1244">
        <v>4</v>
      </c>
      <c r="BG1244">
        <v>0</v>
      </c>
    </row>
    <row r="1245" spans="1:59">
      <c r="A1245" s="1">
        <f>HYPERLINK("https://lsnyc.legalserver.org/matter/dynamic-profile/view/1905074","19-1905074")</f>
        <v>0</v>
      </c>
      <c r="B1245" t="s">
        <v>1149</v>
      </c>
      <c r="C1245" t="s">
        <v>6003</v>
      </c>
      <c r="D1245" t="s">
        <v>9926</v>
      </c>
      <c r="E1245" t="s">
        <v>10075</v>
      </c>
      <c r="F1245">
        <v>10458</v>
      </c>
      <c r="G1245" t="s">
        <v>10091</v>
      </c>
      <c r="H1245" t="s">
        <v>10128</v>
      </c>
      <c r="I1245" t="s">
        <v>10168</v>
      </c>
      <c r="J1245" t="s">
        <v>10211</v>
      </c>
      <c r="K1245" t="s">
        <v>10217</v>
      </c>
      <c r="M1245" t="s">
        <v>10231</v>
      </c>
      <c r="N1245" t="s">
        <v>10647</v>
      </c>
      <c r="P1245" t="s">
        <v>10752</v>
      </c>
      <c r="Q1245" t="s">
        <v>10762</v>
      </c>
      <c r="R1245" t="s">
        <v>10821</v>
      </c>
      <c r="T1245">
        <v>35968</v>
      </c>
      <c r="U1245">
        <v>2997.33</v>
      </c>
      <c r="V1245">
        <v>41</v>
      </c>
      <c r="W1245">
        <v>1</v>
      </c>
      <c r="X1245">
        <v>2</v>
      </c>
      <c r="Z1245">
        <v>168.63</v>
      </c>
      <c r="AA1245">
        <v>40.875776</v>
      </c>
      <c r="AB1245">
        <v>-73.885492</v>
      </c>
      <c r="AD1245" t="s">
        <v>10839</v>
      </c>
      <c r="AG1245" t="s">
        <v>10858</v>
      </c>
      <c r="AH1245" t="s">
        <v>10871</v>
      </c>
      <c r="AI1245">
        <v>234</v>
      </c>
      <c r="AJ1245" t="s">
        <v>10214</v>
      </c>
      <c r="AL1245">
        <v>1.22</v>
      </c>
      <c r="AM1245" t="s">
        <v>10887</v>
      </c>
      <c r="AN1245" t="s">
        <v>10907</v>
      </c>
      <c r="AO1245" t="s">
        <v>11010</v>
      </c>
      <c r="AP1245" t="s">
        <v>11057</v>
      </c>
      <c r="AR1245" t="s">
        <v>11335</v>
      </c>
      <c r="AS1245" t="s">
        <v>9926</v>
      </c>
      <c r="AT1245" t="s">
        <v>11641</v>
      </c>
      <c r="AX1245" t="s">
        <v>10838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</row>
    <row r="1246" spans="1:59">
      <c r="A1246" s="1">
        <f>HYPERLINK("https://lsnyc.legalserver.org/matter/dynamic-profile/view/1905075","19-1905075")</f>
        <v>0</v>
      </c>
      <c r="B1246" t="s">
        <v>1150</v>
      </c>
      <c r="C1246" t="s">
        <v>5320</v>
      </c>
      <c r="D1246" t="s">
        <v>9926</v>
      </c>
      <c r="E1246" t="s">
        <v>10075</v>
      </c>
      <c r="F1246">
        <v>10467</v>
      </c>
      <c r="G1246" t="s">
        <v>10090</v>
      </c>
      <c r="H1246" t="s">
        <v>10128</v>
      </c>
      <c r="I1246" t="s">
        <v>10168</v>
      </c>
      <c r="J1246" t="s">
        <v>10210</v>
      </c>
      <c r="K1246" t="s">
        <v>10217</v>
      </c>
      <c r="M1246" t="s">
        <v>10395</v>
      </c>
      <c r="N1246" t="s">
        <v>10671</v>
      </c>
      <c r="P1246" t="s">
        <v>10755</v>
      </c>
      <c r="Q1246" t="s">
        <v>10772</v>
      </c>
      <c r="R1246" t="s">
        <v>10824</v>
      </c>
      <c r="T1246">
        <v>19200</v>
      </c>
      <c r="U1246">
        <v>1600</v>
      </c>
      <c r="V1246">
        <v>5</v>
      </c>
      <c r="W1246">
        <v>1</v>
      </c>
      <c r="X1246">
        <v>1</v>
      </c>
      <c r="Z1246">
        <v>113.54</v>
      </c>
      <c r="AA1246">
        <v>40.881255</v>
      </c>
      <c r="AB1246">
        <v>-73.864755</v>
      </c>
      <c r="AD1246" t="s">
        <v>10839</v>
      </c>
      <c r="AG1246" t="s">
        <v>10858</v>
      </c>
      <c r="AH1246" t="s">
        <v>10861</v>
      </c>
      <c r="AI1246">
        <v>234</v>
      </c>
      <c r="AJ1246" t="s">
        <v>10214</v>
      </c>
      <c r="AL1246">
        <v>11.62</v>
      </c>
      <c r="AM1246" t="s">
        <v>10893</v>
      </c>
      <c r="AN1246" t="s">
        <v>10956</v>
      </c>
      <c r="AO1246" t="s">
        <v>11010</v>
      </c>
      <c r="AP1246" t="s">
        <v>11085</v>
      </c>
      <c r="AR1246" t="s">
        <v>11263</v>
      </c>
      <c r="AS1246" t="s">
        <v>9926</v>
      </c>
      <c r="AT1246" t="s">
        <v>11641</v>
      </c>
      <c r="AX1246" t="s">
        <v>10838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</row>
    <row r="1247" spans="1:59">
      <c r="A1247" s="1">
        <f>HYPERLINK("https://lsnyc.legalserver.org/matter/dynamic-profile/view/1905076","19-1905076")</f>
        <v>0</v>
      </c>
      <c r="B1247" t="s">
        <v>1151</v>
      </c>
      <c r="C1247" t="s">
        <v>5453</v>
      </c>
      <c r="D1247" t="s">
        <v>9928</v>
      </c>
      <c r="E1247" t="s">
        <v>10075</v>
      </c>
      <c r="F1247">
        <v>11221</v>
      </c>
      <c r="G1247" t="s">
        <v>10093</v>
      </c>
      <c r="H1247" t="s">
        <v>10128</v>
      </c>
      <c r="I1247" t="s">
        <v>10168</v>
      </c>
      <c r="J1247" t="s">
        <v>10213</v>
      </c>
      <c r="K1247" t="s">
        <v>10217</v>
      </c>
      <c r="M1247" t="s">
        <v>10456</v>
      </c>
      <c r="N1247" t="s">
        <v>10650</v>
      </c>
      <c r="P1247" t="s">
        <v>10752</v>
      </c>
      <c r="Q1247" t="s">
        <v>10762</v>
      </c>
      <c r="R1247" t="s">
        <v>10822</v>
      </c>
      <c r="T1247">
        <v>110000</v>
      </c>
      <c r="U1247">
        <v>9166.67</v>
      </c>
      <c r="V1247">
        <v>55</v>
      </c>
      <c r="W1247">
        <v>2</v>
      </c>
      <c r="X1247">
        <v>2</v>
      </c>
      <c r="Z1247">
        <v>427.18</v>
      </c>
      <c r="AA1247">
        <v>40.692299</v>
      </c>
      <c r="AB1247">
        <v>-73.938599</v>
      </c>
      <c r="AD1247" t="s">
        <v>10839</v>
      </c>
      <c r="AG1247" t="s">
        <v>10858</v>
      </c>
      <c r="AH1247" t="s">
        <v>10862</v>
      </c>
      <c r="AI1247">
        <v>239</v>
      </c>
      <c r="AJ1247" t="s">
        <v>10213</v>
      </c>
      <c r="AL1247">
        <v>0.8</v>
      </c>
      <c r="AM1247" t="s">
        <v>10889</v>
      </c>
      <c r="AN1247" t="s">
        <v>10914</v>
      </c>
      <c r="AO1247" t="s">
        <v>11011</v>
      </c>
      <c r="AP1247" t="s">
        <v>11052</v>
      </c>
      <c r="AR1247" t="s">
        <v>11406</v>
      </c>
      <c r="AS1247" t="s">
        <v>11595</v>
      </c>
      <c r="AT1247" t="s">
        <v>11641</v>
      </c>
      <c r="BA1247" t="s">
        <v>11744</v>
      </c>
      <c r="BB1247">
        <v>0</v>
      </c>
      <c r="BC1247">
        <v>0</v>
      </c>
      <c r="BD1247">
        <v>0</v>
      </c>
      <c r="BE1247">
        <v>0</v>
      </c>
      <c r="BF1247">
        <v>6</v>
      </c>
      <c r="BG1247">
        <v>0</v>
      </c>
    </row>
    <row r="1248" spans="1:59">
      <c r="A1248" s="1">
        <f>HYPERLINK("https://lsnyc.legalserver.org/matter/dynamic-profile/view/1905077","19-1905077")</f>
        <v>0</v>
      </c>
      <c r="B1248" t="s">
        <v>1148</v>
      </c>
      <c r="C1248" t="s">
        <v>5601</v>
      </c>
      <c r="D1248" t="s">
        <v>9926</v>
      </c>
      <c r="E1248" t="s">
        <v>10075</v>
      </c>
      <c r="F1248">
        <v>10453</v>
      </c>
      <c r="G1248" t="s">
        <v>10090</v>
      </c>
      <c r="H1248" t="s">
        <v>10128</v>
      </c>
      <c r="I1248" t="s">
        <v>10169</v>
      </c>
      <c r="J1248" t="s">
        <v>10210</v>
      </c>
      <c r="K1248" t="s">
        <v>10217</v>
      </c>
      <c r="M1248" t="s">
        <v>10463</v>
      </c>
      <c r="N1248" t="s">
        <v>10650</v>
      </c>
      <c r="P1248" t="s">
        <v>10749</v>
      </c>
      <c r="Q1248" t="s">
        <v>10765</v>
      </c>
      <c r="R1248" t="s">
        <v>10821</v>
      </c>
      <c r="T1248">
        <v>12000</v>
      </c>
      <c r="U1248">
        <v>1000</v>
      </c>
      <c r="V1248">
        <v>34</v>
      </c>
      <c r="W1248">
        <v>1</v>
      </c>
      <c r="X1248">
        <v>0</v>
      </c>
      <c r="Z1248">
        <v>96.08</v>
      </c>
      <c r="AA1248">
        <v>40.846436</v>
      </c>
      <c r="AB1248">
        <v>-73.90944</v>
      </c>
      <c r="AD1248" t="s">
        <v>10840</v>
      </c>
      <c r="AG1248" t="s">
        <v>10858</v>
      </c>
      <c r="AH1248" t="s">
        <v>10862</v>
      </c>
      <c r="AI1248">
        <v>230</v>
      </c>
      <c r="AJ1248" t="s">
        <v>10210</v>
      </c>
      <c r="AL1248">
        <v>0</v>
      </c>
      <c r="AM1248" t="s">
        <v>10884</v>
      </c>
      <c r="AN1248" t="s">
        <v>10931</v>
      </c>
      <c r="AO1248" t="s">
        <v>11000</v>
      </c>
      <c r="AP1248" t="s">
        <v>11045</v>
      </c>
      <c r="AR1248" t="s">
        <v>11257</v>
      </c>
      <c r="AS1248" t="s">
        <v>9926</v>
      </c>
      <c r="BA1248" t="s">
        <v>11739</v>
      </c>
      <c r="BB1248">
        <v>0</v>
      </c>
      <c r="BC1248">
        <v>0</v>
      </c>
      <c r="BD1248">
        <v>0</v>
      </c>
      <c r="BE1248">
        <v>0</v>
      </c>
      <c r="BF1248">
        <v>4</v>
      </c>
      <c r="BG1248">
        <v>0</v>
      </c>
    </row>
    <row r="1249" spans="1:59">
      <c r="A1249" s="1">
        <f>HYPERLINK("https://lsnyc.legalserver.org/matter/dynamic-profile/view/1905078","19-1905078")</f>
        <v>0</v>
      </c>
      <c r="B1249" t="s">
        <v>1152</v>
      </c>
      <c r="C1249" t="s">
        <v>6004</v>
      </c>
      <c r="D1249" t="s">
        <v>9928</v>
      </c>
      <c r="E1249" t="s">
        <v>10075</v>
      </c>
      <c r="F1249">
        <v>11221</v>
      </c>
      <c r="G1249" t="s">
        <v>10093</v>
      </c>
      <c r="H1249" t="s">
        <v>10128</v>
      </c>
      <c r="I1249" t="s">
        <v>10168</v>
      </c>
      <c r="J1249" t="s">
        <v>10213</v>
      </c>
      <c r="K1249" t="s">
        <v>10217</v>
      </c>
      <c r="M1249" t="s">
        <v>10264</v>
      </c>
      <c r="N1249" t="s">
        <v>10667</v>
      </c>
      <c r="P1249" t="s">
        <v>10749</v>
      </c>
      <c r="Q1249" t="s">
        <v>10767</v>
      </c>
      <c r="R1249" t="s">
        <v>10824</v>
      </c>
      <c r="T1249">
        <v>10368</v>
      </c>
      <c r="U1249">
        <v>864</v>
      </c>
      <c r="V1249">
        <v>27</v>
      </c>
      <c r="W1249">
        <v>2</v>
      </c>
      <c r="X1249">
        <v>3</v>
      </c>
      <c r="Z1249">
        <v>34.37</v>
      </c>
      <c r="AA1249">
        <v>40.693689</v>
      </c>
      <c r="AB1249">
        <v>-73.93518</v>
      </c>
      <c r="AD1249" t="s">
        <v>10839</v>
      </c>
      <c r="AG1249" t="s">
        <v>10858</v>
      </c>
      <c r="AH1249" t="s">
        <v>10862</v>
      </c>
      <c r="AI1249">
        <v>239</v>
      </c>
      <c r="AJ1249" t="s">
        <v>10213</v>
      </c>
      <c r="AL1249">
        <v>0</v>
      </c>
      <c r="AM1249" t="s">
        <v>10889</v>
      </c>
      <c r="AN1249" t="s">
        <v>10920</v>
      </c>
      <c r="AO1249" t="s">
        <v>11011</v>
      </c>
      <c r="AP1249" t="s">
        <v>11052</v>
      </c>
      <c r="AQ1249" t="s">
        <v>11144</v>
      </c>
      <c r="AR1249" t="s">
        <v>11262</v>
      </c>
      <c r="AS1249" t="s">
        <v>11595</v>
      </c>
      <c r="AT1249" t="s">
        <v>11641</v>
      </c>
      <c r="BA1249" t="s">
        <v>11738</v>
      </c>
      <c r="BB1249">
        <v>0</v>
      </c>
      <c r="BC1249">
        <v>0</v>
      </c>
      <c r="BD1249">
        <v>0</v>
      </c>
      <c r="BE1249">
        <v>0</v>
      </c>
      <c r="BF1249">
        <v>5</v>
      </c>
      <c r="BG1249">
        <v>0</v>
      </c>
    </row>
    <row r="1250" spans="1:59">
      <c r="A1250" s="1">
        <f>HYPERLINK("https://lsnyc.legalserver.org/matter/dynamic-profile/view/1905079","19-1905079")</f>
        <v>0</v>
      </c>
      <c r="B1250" t="s">
        <v>1153</v>
      </c>
      <c r="C1250" t="s">
        <v>6005</v>
      </c>
      <c r="D1250" t="s">
        <v>9948</v>
      </c>
      <c r="E1250" t="s">
        <v>10075</v>
      </c>
      <c r="F1250">
        <v>11691</v>
      </c>
      <c r="G1250" t="s">
        <v>10092</v>
      </c>
      <c r="H1250" t="s">
        <v>10128</v>
      </c>
      <c r="I1250" t="s">
        <v>10168</v>
      </c>
      <c r="J1250" t="s">
        <v>10212</v>
      </c>
      <c r="K1250" t="s">
        <v>10217</v>
      </c>
      <c r="M1250" t="s">
        <v>10530</v>
      </c>
      <c r="N1250" t="s">
        <v>10678</v>
      </c>
      <c r="P1250" t="s">
        <v>10749</v>
      </c>
      <c r="Q1250" t="s">
        <v>10769</v>
      </c>
      <c r="R1250" t="s">
        <v>10824</v>
      </c>
      <c r="T1250">
        <v>6500</v>
      </c>
      <c r="U1250">
        <v>541.67</v>
      </c>
      <c r="V1250">
        <v>68</v>
      </c>
      <c r="W1250">
        <v>3</v>
      </c>
      <c r="X1250">
        <v>0</v>
      </c>
      <c r="Z1250">
        <v>30.47</v>
      </c>
      <c r="AA1250">
        <v>40.607261</v>
      </c>
      <c r="AB1250">
        <v>-73.756663</v>
      </c>
      <c r="AD1250" t="s">
        <v>10839</v>
      </c>
      <c r="AG1250" t="s">
        <v>10858</v>
      </c>
      <c r="AH1250" t="s">
        <v>10860</v>
      </c>
      <c r="AI1250">
        <v>237</v>
      </c>
      <c r="AJ1250" t="s">
        <v>10212</v>
      </c>
      <c r="AL1250">
        <v>5.5</v>
      </c>
      <c r="AM1250" t="s">
        <v>10892</v>
      </c>
      <c r="AN1250" t="s">
        <v>10930</v>
      </c>
      <c r="AO1250" t="s">
        <v>11017</v>
      </c>
      <c r="AP1250" t="s">
        <v>11082</v>
      </c>
      <c r="AR1250" t="s">
        <v>11256</v>
      </c>
      <c r="AS1250" t="s">
        <v>11594</v>
      </c>
      <c r="AX1250" t="s">
        <v>10838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</row>
    <row r="1251" spans="1:59">
      <c r="A1251" s="1">
        <f>HYPERLINK("https://lsnyc.legalserver.org/matter/dynamic-profile/view/1905080","19-1905080")</f>
        <v>0</v>
      </c>
      <c r="B1251" t="s">
        <v>1154</v>
      </c>
      <c r="C1251" t="s">
        <v>6006</v>
      </c>
      <c r="D1251" t="s">
        <v>9925</v>
      </c>
      <c r="E1251" t="s">
        <v>10075</v>
      </c>
      <c r="F1251">
        <v>10026</v>
      </c>
      <c r="G1251" t="s">
        <v>10089</v>
      </c>
      <c r="H1251" t="s">
        <v>10128</v>
      </c>
      <c r="I1251" t="s">
        <v>10168</v>
      </c>
      <c r="J1251" t="s">
        <v>10209</v>
      </c>
      <c r="K1251" t="s">
        <v>10217</v>
      </c>
      <c r="M1251" t="s">
        <v>10499</v>
      </c>
      <c r="N1251" t="s">
        <v>10702</v>
      </c>
      <c r="P1251" t="s">
        <v>10749</v>
      </c>
      <c r="Q1251" t="s">
        <v>10765</v>
      </c>
      <c r="R1251" t="s">
        <v>10824</v>
      </c>
      <c r="T1251">
        <v>10260</v>
      </c>
      <c r="U1251">
        <v>855</v>
      </c>
      <c r="V1251">
        <v>27</v>
      </c>
      <c r="W1251">
        <v>1</v>
      </c>
      <c r="X1251">
        <v>0</v>
      </c>
      <c r="Z1251">
        <v>82.15000000000001</v>
      </c>
      <c r="AA1251">
        <v>40.80219</v>
      </c>
      <c r="AB1251">
        <v>-73.949206</v>
      </c>
      <c r="AD1251" t="s">
        <v>10839</v>
      </c>
      <c r="AG1251" t="s">
        <v>10858</v>
      </c>
      <c r="AH1251" t="s">
        <v>10861</v>
      </c>
      <c r="AI1251">
        <v>236</v>
      </c>
      <c r="AJ1251" t="s">
        <v>10209</v>
      </c>
      <c r="AL1251">
        <v>2.6</v>
      </c>
      <c r="AM1251" t="s">
        <v>10887</v>
      </c>
      <c r="AN1251" t="s">
        <v>10936</v>
      </c>
      <c r="AO1251" t="s">
        <v>11016</v>
      </c>
      <c r="AP1251" t="s">
        <v>11076</v>
      </c>
      <c r="AR1251" t="s">
        <v>11274</v>
      </c>
      <c r="AS1251" t="s">
        <v>9925</v>
      </c>
      <c r="BA1251" t="s">
        <v>11738</v>
      </c>
      <c r="BB1251">
        <v>0</v>
      </c>
      <c r="BC1251">
        <v>0</v>
      </c>
      <c r="BD1251">
        <v>0</v>
      </c>
      <c r="BE1251">
        <v>0</v>
      </c>
      <c r="BF1251">
        <v>5</v>
      </c>
      <c r="BG1251">
        <v>0</v>
      </c>
    </row>
    <row r="1252" spans="1:59">
      <c r="A1252" s="1">
        <f>HYPERLINK("https://lsnyc.legalserver.org/matter/dynamic-profile/view/1905081","19-1905081")</f>
        <v>0</v>
      </c>
      <c r="B1252" t="s">
        <v>1151</v>
      </c>
      <c r="C1252" t="s">
        <v>5453</v>
      </c>
      <c r="D1252" t="s">
        <v>9928</v>
      </c>
      <c r="E1252" t="s">
        <v>10075</v>
      </c>
      <c r="F1252">
        <v>11221</v>
      </c>
      <c r="G1252" t="s">
        <v>10093</v>
      </c>
      <c r="H1252" t="s">
        <v>10128</v>
      </c>
      <c r="I1252" t="s">
        <v>10168</v>
      </c>
      <c r="J1252" t="s">
        <v>10213</v>
      </c>
      <c r="K1252" t="s">
        <v>10217</v>
      </c>
      <c r="M1252" t="s">
        <v>10392</v>
      </c>
      <c r="N1252" t="s">
        <v>10650</v>
      </c>
      <c r="P1252" t="s">
        <v>10749</v>
      </c>
      <c r="Q1252" t="s">
        <v>10769</v>
      </c>
      <c r="R1252" t="s">
        <v>10824</v>
      </c>
      <c r="T1252">
        <v>110000</v>
      </c>
      <c r="U1252">
        <v>9166.67</v>
      </c>
      <c r="V1252">
        <v>55</v>
      </c>
      <c r="W1252">
        <v>2</v>
      </c>
      <c r="X1252">
        <v>2</v>
      </c>
      <c r="Z1252">
        <v>427.18</v>
      </c>
      <c r="AA1252">
        <v>40.692299</v>
      </c>
      <c r="AB1252">
        <v>-73.938599</v>
      </c>
      <c r="AD1252" t="s">
        <v>10839</v>
      </c>
      <c r="AG1252" t="s">
        <v>10858</v>
      </c>
      <c r="AH1252" t="s">
        <v>10862</v>
      </c>
      <c r="AI1252">
        <v>239</v>
      </c>
      <c r="AJ1252" t="s">
        <v>10213</v>
      </c>
      <c r="AK1252" t="s">
        <v>10838</v>
      </c>
      <c r="AL1252">
        <v>0</v>
      </c>
      <c r="AR1252" t="s">
        <v>11406</v>
      </c>
      <c r="AS1252" t="s">
        <v>11595</v>
      </c>
      <c r="BA1252" t="s">
        <v>11740</v>
      </c>
      <c r="BB1252">
        <v>0</v>
      </c>
      <c r="BC1252">
        <v>0</v>
      </c>
      <c r="BD1252">
        <v>0</v>
      </c>
      <c r="BE1252">
        <v>0</v>
      </c>
      <c r="BF1252">
        <v>2</v>
      </c>
      <c r="BG1252">
        <v>0</v>
      </c>
    </row>
    <row r="1253" spans="1:59">
      <c r="A1253" s="1">
        <f>HYPERLINK("https://lsnyc.legalserver.org/matter/dynamic-profile/view/1905082","19-1905082")</f>
        <v>0</v>
      </c>
      <c r="B1253" t="s">
        <v>1155</v>
      </c>
      <c r="C1253" t="s">
        <v>6007</v>
      </c>
      <c r="D1253" t="s">
        <v>9926</v>
      </c>
      <c r="E1253" t="s">
        <v>10075</v>
      </c>
      <c r="F1253">
        <v>10453</v>
      </c>
      <c r="G1253" t="s">
        <v>10090</v>
      </c>
      <c r="H1253" t="s">
        <v>10128</v>
      </c>
      <c r="I1253" t="s">
        <v>10168</v>
      </c>
      <c r="J1253" t="s">
        <v>10210</v>
      </c>
      <c r="K1253" t="s">
        <v>10217</v>
      </c>
      <c r="M1253" t="s">
        <v>10463</v>
      </c>
      <c r="N1253" t="s">
        <v>10650</v>
      </c>
      <c r="P1253" t="s">
        <v>10749</v>
      </c>
      <c r="Q1253" t="s">
        <v>10765</v>
      </c>
      <c r="R1253" t="s">
        <v>10827</v>
      </c>
      <c r="T1253">
        <v>30000</v>
      </c>
      <c r="U1253">
        <v>2500</v>
      </c>
      <c r="V1253">
        <v>63</v>
      </c>
      <c r="W1253">
        <v>1</v>
      </c>
      <c r="X1253">
        <v>0</v>
      </c>
      <c r="Z1253">
        <v>240.19</v>
      </c>
      <c r="AA1253">
        <v>40.846849</v>
      </c>
      <c r="AB1253">
        <v>-73.90953500000001</v>
      </c>
      <c r="AD1253" t="s">
        <v>10839</v>
      </c>
      <c r="AG1253" t="s">
        <v>10858</v>
      </c>
      <c r="AH1253" t="s">
        <v>10862</v>
      </c>
      <c r="AI1253">
        <v>230</v>
      </c>
      <c r="AJ1253" t="s">
        <v>10210</v>
      </c>
      <c r="AL1253">
        <v>0</v>
      </c>
      <c r="AM1253" t="s">
        <v>10884</v>
      </c>
      <c r="AN1253" t="s">
        <v>10931</v>
      </c>
      <c r="AO1253" t="s">
        <v>11000</v>
      </c>
      <c r="AP1253" t="s">
        <v>11045</v>
      </c>
      <c r="AR1253" t="s">
        <v>11257</v>
      </c>
      <c r="AS1253" t="s">
        <v>9926</v>
      </c>
      <c r="BA1253" t="s">
        <v>11739</v>
      </c>
      <c r="BB1253">
        <v>0</v>
      </c>
      <c r="BC1253">
        <v>0</v>
      </c>
      <c r="BD1253">
        <v>0</v>
      </c>
      <c r="BE1253">
        <v>0</v>
      </c>
      <c r="BF1253">
        <v>4</v>
      </c>
      <c r="BG1253">
        <v>0</v>
      </c>
    </row>
    <row r="1254" spans="1:59">
      <c r="A1254" s="1">
        <f>HYPERLINK("https://lsnyc.legalserver.org/matter/dynamic-profile/view/1905083","19-1905083")</f>
        <v>0</v>
      </c>
      <c r="B1254" t="s">
        <v>1156</v>
      </c>
      <c r="C1254" t="s">
        <v>6008</v>
      </c>
      <c r="D1254" t="s">
        <v>9928</v>
      </c>
      <c r="E1254" t="s">
        <v>10075</v>
      </c>
      <c r="F1254">
        <v>11225</v>
      </c>
      <c r="G1254" t="s">
        <v>10093</v>
      </c>
      <c r="H1254" t="s">
        <v>10128</v>
      </c>
      <c r="I1254" t="s">
        <v>10168</v>
      </c>
      <c r="J1254" t="s">
        <v>10213</v>
      </c>
      <c r="K1254" t="s">
        <v>10217</v>
      </c>
      <c r="M1254" t="s">
        <v>10531</v>
      </c>
      <c r="N1254" t="s">
        <v>10667</v>
      </c>
      <c r="P1254" t="s">
        <v>10749</v>
      </c>
      <c r="Q1254" t="s">
        <v>10765</v>
      </c>
      <c r="R1254" t="s">
        <v>10824</v>
      </c>
      <c r="T1254">
        <v>11604</v>
      </c>
      <c r="U1254">
        <v>967</v>
      </c>
      <c r="V1254">
        <v>59</v>
      </c>
      <c r="W1254">
        <v>2</v>
      </c>
      <c r="X1254">
        <v>0</v>
      </c>
      <c r="Z1254">
        <v>68.62</v>
      </c>
      <c r="AA1254">
        <v>40.656405</v>
      </c>
      <c r="AB1254">
        <v>-73.960447</v>
      </c>
      <c r="AD1254" t="s">
        <v>10839</v>
      </c>
      <c r="AG1254" t="s">
        <v>10858</v>
      </c>
      <c r="AH1254" t="s">
        <v>10862</v>
      </c>
      <c r="AI1254">
        <v>239</v>
      </c>
      <c r="AJ1254" t="s">
        <v>10213</v>
      </c>
      <c r="AL1254">
        <v>16.9</v>
      </c>
      <c r="AM1254" t="s">
        <v>10888</v>
      </c>
      <c r="AN1254" t="s">
        <v>10912</v>
      </c>
      <c r="AO1254" t="s">
        <v>11008</v>
      </c>
      <c r="AP1254" t="s">
        <v>11050</v>
      </c>
      <c r="AQ1254" t="s">
        <v>11101</v>
      </c>
      <c r="AR1254" t="s">
        <v>11407</v>
      </c>
      <c r="AS1254" t="s">
        <v>11595</v>
      </c>
      <c r="BA1254" t="s">
        <v>11738</v>
      </c>
      <c r="BB1254">
        <v>0</v>
      </c>
      <c r="BC1254">
        <v>0</v>
      </c>
      <c r="BD1254">
        <v>0</v>
      </c>
      <c r="BE1254">
        <v>0</v>
      </c>
      <c r="BF1254">
        <v>5</v>
      </c>
      <c r="BG1254">
        <v>0</v>
      </c>
    </row>
    <row r="1255" spans="1:59">
      <c r="A1255" s="1">
        <f>HYPERLINK("https://lsnyc.legalserver.org/matter/dynamic-profile/view/1905084","19-1905084")</f>
        <v>0</v>
      </c>
      <c r="B1255" t="s">
        <v>1157</v>
      </c>
      <c r="C1255" t="s">
        <v>6009</v>
      </c>
      <c r="D1255" t="s">
        <v>9928</v>
      </c>
      <c r="E1255" t="s">
        <v>10075</v>
      </c>
      <c r="F1255">
        <v>11212</v>
      </c>
      <c r="G1255" t="s">
        <v>10093</v>
      </c>
      <c r="H1255" t="s">
        <v>10128</v>
      </c>
      <c r="I1255" t="s">
        <v>10168</v>
      </c>
      <c r="J1255" t="s">
        <v>10213</v>
      </c>
      <c r="K1255" t="s">
        <v>10217</v>
      </c>
      <c r="M1255" t="s">
        <v>10290</v>
      </c>
      <c r="N1255" t="s">
        <v>10694</v>
      </c>
      <c r="P1255" t="s">
        <v>10751</v>
      </c>
      <c r="Q1255" t="s">
        <v>10773</v>
      </c>
      <c r="R1255" t="s">
        <v>10824</v>
      </c>
      <c r="T1255">
        <v>0</v>
      </c>
      <c r="U1255">
        <v>0</v>
      </c>
      <c r="V1255">
        <v>38</v>
      </c>
      <c r="W1255">
        <v>2</v>
      </c>
      <c r="X1255">
        <v>5</v>
      </c>
      <c r="Z1255">
        <v>0</v>
      </c>
      <c r="AA1255">
        <v>40.659051</v>
      </c>
      <c r="AB1255">
        <v>-73.919495</v>
      </c>
      <c r="AD1255" t="s">
        <v>10840</v>
      </c>
      <c r="AG1255" t="s">
        <v>10858</v>
      </c>
      <c r="AH1255" t="s">
        <v>10861</v>
      </c>
      <c r="AI1255">
        <v>234</v>
      </c>
      <c r="AJ1255" t="s">
        <v>10214</v>
      </c>
      <c r="AL1255">
        <v>3.35</v>
      </c>
      <c r="AM1255" t="s">
        <v>10888</v>
      </c>
      <c r="AN1255" t="s">
        <v>10925</v>
      </c>
      <c r="AO1255" t="s">
        <v>11005</v>
      </c>
      <c r="AP1255" t="s">
        <v>11064</v>
      </c>
      <c r="AR1255" t="s">
        <v>11279</v>
      </c>
      <c r="AS1255" t="s">
        <v>11595</v>
      </c>
      <c r="AT1255" t="s">
        <v>11642</v>
      </c>
      <c r="AX1255" t="s">
        <v>10838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</row>
    <row r="1256" spans="1:59">
      <c r="A1256" s="1">
        <f>HYPERLINK("https://lsnyc.legalserver.org/matter/dynamic-profile/view/1905085","19-1905085")</f>
        <v>0</v>
      </c>
      <c r="B1256" t="s">
        <v>1155</v>
      </c>
      <c r="C1256" t="s">
        <v>6007</v>
      </c>
      <c r="D1256" t="s">
        <v>9926</v>
      </c>
      <c r="E1256" t="s">
        <v>10075</v>
      </c>
      <c r="F1256">
        <v>10453</v>
      </c>
      <c r="G1256" t="s">
        <v>10090</v>
      </c>
      <c r="H1256" t="s">
        <v>10128</v>
      </c>
      <c r="I1256" t="s">
        <v>10168</v>
      </c>
      <c r="J1256" t="s">
        <v>10210</v>
      </c>
      <c r="K1256" t="s">
        <v>10217</v>
      </c>
      <c r="M1256" t="s">
        <v>10463</v>
      </c>
      <c r="N1256" t="s">
        <v>10650</v>
      </c>
      <c r="P1256" t="s">
        <v>10749</v>
      </c>
      <c r="Q1256" t="s">
        <v>10765</v>
      </c>
      <c r="R1256" t="s">
        <v>10827</v>
      </c>
      <c r="T1256">
        <v>30000</v>
      </c>
      <c r="U1256">
        <v>2500</v>
      </c>
      <c r="V1256">
        <v>63</v>
      </c>
      <c r="W1256">
        <v>1</v>
      </c>
      <c r="X1256">
        <v>0</v>
      </c>
      <c r="Z1256">
        <v>240.19</v>
      </c>
      <c r="AA1256">
        <v>40.846849</v>
      </c>
      <c r="AB1256">
        <v>-73.90953500000001</v>
      </c>
      <c r="AD1256" t="s">
        <v>10839</v>
      </c>
      <c r="AG1256" t="s">
        <v>10858</v>
      </c>
      <c r="AH1256" t="s">
        <v>10862</v>
      </c>
      <c r="AI1256">
        <v>230</v>
      </c>
      <c r="AJ1256" t="s">
        <v>10210</v>
      </c>
      <c r="AL1256">
        <v>0</v>
      </c>
      <c r="AM1256" t="s">
        <v>10884</v>
      </c>
      <c r="AN1256" t="s">
        <v>10931</v>
      </c>
      <c r="AO1256" t="s">
        <v>11000</v>
      </c>
      <c r="AP1256" t="s">
        <v>11045</v>
      </c>
      <c r="AR1256" t="s">
        <v>11257</v>
      </c>
      <c r="AS1256" t="s">
        <v>9926</v>
      </c>
      <c r="BA1256" t="s">
        <v>11739</v>
      </c>
      <c r="BB1256">
        <v>0</v>
      </c>
      <c r="BC1256">
        <v>0</v>
      </c>
      <c r="BD1256">
        <v>0</v>
      </c>
      <c r="BE1256">
        <v>0</v>
      </c>
      <c r="BF1256">
        <v>4</v>
      </c>
      <c r="BG1256">
        <v>0</v>
      </c>
    </row>
    <row r="1257" spans="1:59">
      <c r="A1257" s="1">
        <f>HYPERLINK("https://lsnyc.legalserver.org/matter/dynamic-profile/view/1905086","19-1905086")</f>
        <v>0</v>
      </c>
      <c r="B1257" t="s">
        <v>1158</v>
      </c>
      <c r="C1257" t="s">
        <v>6010</v>
      </c>
      <c r="D1257" t="s">
        <v>9993</v>
      </c>
      <c r="E1257" t="s">
        <v>10075</v>
      </c>
      <c r="F1257">
        <v>11954</v>
      </c>
      <c r="G1257" t="s">
        <v>10093</v>
      </c>
      <c r="H1257" t="s">
        <v>10128</v>
      </c>
      <c r="I1257" t="s">
        <v>10168</v>
      </c>
      <c r="J1257" t="s">
        <v>10213</v>
      </c>
      <c r="K1257" t="s">
        <v>10218</v>
      </c>
      <c r="L1257" t="s">
        <v>10110</v>
      </c>
      <c r="M1257" t="s">
        <v>10436</v>
      </c>
      <c r="N1257" t="s">
        <v>10710</v>
      </c>
      <c r="P1257" t="s">
        <v>10750</v>
      </c>
      <c r="Q1257" t="s">
        <v>10760</v>
      </c>
      <c r="R1257" t="s">
        <v>10825</v>
      </c>
      <c r="T1257">
        <v>80292</v>
      </c>
      <c r="U1257">
        <v>6691</v>
      </c>
      <c r="V1257">
        <v>68</v>
      </c>
      <c r="W1257">
        <v>1</v>
      </c>
      <c r="X1257">
        <v>0</v>
      </c>
      <c r="Y1257" t="s">
        <v>10829</v>
      </c>
      <c r="Z1257">
        <v>642.85</v>
      </c>
      <c r="AA1257">
        <v>41.041891</v>
      </c>
      <c r="AB1257">
        <v>-71.91057000000001</v>
      </c>
      <c r="AD1257" t="s">
        <v>10822</v>
      </c>
      <c r="AG1257" t="s">
        <v>10858</v>
      </c>
      <c r="AH1257" t="s">
        <v>10861</v>
      </c>
      <c r="AI1257">
        <v>234</v>
      </c>
      <c r="AJ1257" t="s">
        <v>10214</v>
      </c>
      <c r="AK1257" t="s">
        <v>10838</v>
      </c>
      <c r="AL1257">
        <v>1.25</v>
      </c>
      <c r="AM1257" t="s">
        <v>10897</v>
      </c>
      <c r="AN1257" t="s">
        <v>10977</v>
      </c>
      <c r="AO1257" t="s">
        <v>11031</v>
      </c>
      <c r="AR1257" t="s">
        <v>11345</v>
      </c>
      <c r="AS1257" t="s">
        <v>11602</v>
      </c>
      <c r="AT1257" t="s">
        <v>11641</v>
      </c>
      <c r="AX1257" t="s">
        <v>11678</v>
      </c>
      <c r="AY1257" t="s">
        <v>10829</v>
      </c>
      <c r="AZ1257" t="s">
        <v>11679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</row>
    <row r="1258" spans="1:59">
      <c r="A1258" s="1">
        <f>HYPERLINK("https://lsnyc.legalserver.org/matter/dynamic-profile/view/1905087","19-1905087")</f>
        <v>0</v>
      </c>
      <c r="B1258" t="s">
        <v>1159</v>
      </c>
      <c r="C1258" t="s">
        <v>6011</v>
      </c>
      <c r="D1258" t="s">
        <v>9936</v>
      </c>
      <c r="E1258" t="s">
        <v>10075</v>
      </c>
      <c r="F1258">
        <v>11106</v>
      </c>
      <c r="G1258" t="s">
        <v>10092</v>
      </c>
      <c r="H1258" t="s">
        <v>10112</v>
      </c>
      <c r="I1258" t="s">
        <v>10168</v>
      </c>
      <c r="J1258" t="s">
        <v>10212</v>
      </c>
      <c r="K1258" t="s">
        <v>10217</v>
      </c>
      <c r="M1258" t="s">
        <v>10331</v>
      </c>
      <c r="N1258" t="s">
        <v>10706</v>
      </c>
      <c r="P1258" t="s">
        <v>10751</v>
      </c>
      <c r="Q1258" t="s">
        <v>10773</v>
      </c>
      <c r="R1258" t="s">
        <v>10820</v>
      </c>
      <c r="T1258">
        <v>0</v>
      </c>
      <c r="U1258">
        <v>0</v>
      </c>
      <c r="V1258">
        <v>51</v>
      </c>
      <c r="W1258">
        <v>1</v>
      </c>
      <c r="X1258">
        <v>0</v>
      </c>
      <c r="Z1258">
        <v>0</v>
      </c>
      <c r="AA1258">
        <v>40.754209</v>
      </c>
      <c r="AB1258">
        <v>-73.925217</v>
      </c>
      <c r="AD1258" t="s">
        <v>10840</v>
      </c>
      <c r="AG1258" t="s">
        <v>10858</v>
      </c>
      <c r="AH1258" t="s">
        <v>10866</v>
      </c>
      <c r="AI1258">
        <v>236</v>
      </c>
      <c r="AJ1258" t="s">
        <v>10209</v>
      </c>
      <c r="AL1258">
        <v>3.2</v>
      </c>
      <c r="AM1258" t="s">
        <v>10891</v>
      </c>
      <c r="AN1258" t="s">
        <v>10935</v>
      </c>
      <c r="AO1258" t="s">
        <v>11003</v>
      </c>
      <c r="AP1258" t="s">
        <v>11047</v>
      </c>
      <c r="AR1258" t="s">
        <v>11267</v>
      </c>
      <c r="AS1258" t="s">
        <v>11594</v>
      </c>
      <c r="AT1258" t="s">
        <v>11641</v>
      </c>
      <c r="BA1258" t="s">
        <v>11741</v>
      </c>
      <c r="BB1258">
        <v>0</v>
      </c>
      <c r="BC1258">
        <v>0</v>
      </c>
      <c r="BD1258">
        <v>0</v>
      </c>
      <c r="BE1258">
        <v>0</v>
      </c>
      <c r="BF1258">
        <v>1</v>
      </c>
      <c r="BG1258">
        <v>0</v>
      </c>
    </row>
    <row r="1259" spans="1:59">
      <c r="A1259" s="1">
        <f>HYPERLINK("https://lsnyc.legalserver.org/matter/dynamic-profile/view/1905088","19-1905088")</f>
        <v>0</v>
      </c>
      <c r="B1259" t="s">
        <v>1160</v>
      </c>
      <c r="C1259" t="s">
        <v>6012</v>
      </c>
      <c r="D1259" t="s">
        <v>9926</v>
      </c>
      <c r="E1259" t="s">
        <v>10075</v>
      </c>
      <c r="F1259">
        <v>10452</v>
      </c>
      <c r="G1259" t="s">
        <v>10090</v>
      </c>
      <c r="H1259" t="s">
        <v>10128</v>
      </c>
      <c r="I1259" t="s">
        <v>10169</v>
      </c>
      <c r="J1259" t="s">
        <v>10210</v>
      </c>
      <c r="K1259" t="s">
        <v>10217</v>
      </c>
      <c r="M1259" t="s">
        <v>10450</v>
      </c>
      <c r="N1259" t="s">
        <v>10650</v>
      </c>
      <c r="P1259" t="s">
        <v>10749</v>
      </c>
      <c r="Q1259" t="s">
        <v>10765</v>
      </c>
      <c r="R1259" t="s">
        <v>10821</v>
      </c>
      <c r="T1259">
        <v>3480</v>
      </c>
      <c r="U1259">
        <v>290</v>
      </c>
      <c r="V1259">
        <v>42</v>
      </c>
      <c r="W1259">
        <v>2</v>
      </c>
      <c r="X1259">
        <v>0</v>
      </c>
      <c r="Z1259">
        <v>20.58</v>
      </c>
      <c r="AA1259">
        <v>40.832207</v>
      </c>
      <c r="AB1259">
        <v>-73.926751</v>
      </c>
      <c r="AD1259" t="s">
        <v>10839</v>
      </c>
      <c r="AF1259" t="s">
        <v>10843</v>
      </c>
      <c r="AG1259" t="s">
        <v>10859</v>
      </c>
      <c r="AH1259" t="s">
        <v>10861</v>
      </c>
      <c r="AI1259">
        <v>234</v>
      </c>
      <c r="AJ1259" t="s">
        <v>10214</v>
      </c>
      <c r="AL1259">
        <v>1.7</v>
      </c>
      <c r="AM1259" t="s">
        <v>10884</v>
      </c>
      <c r="AN1259" t="s">
        <v>10929</v>
      </c>
      <c r="AO1259" t="s">
        <v>11013</v>
      </c>
      <c r="AP1259" t="s">
        <v>11066</v>
      </c>
      <c r="AR1259" t="s">
        <v>11255</v>
      </c>
      <c r="AS1259" t="s">
        <v>9926</v>
      </c>
      <c r="AT1259" t="s">
        <v>11641</v>
      </c>
      <c r="AX1259" t="s">
        <v>10838</v>
      </c>
      <c r="BA1259" t="s">
        <v>11741</v>
      </c>
      <c r="BB1259">
        <v>0</v>
      </c>
      <c r="BC1259">
        <v>0</v>
      </c>
      <c r="BD1259">
        <v>0</v>
      </c>
      <c r="BE1259">
        <v>0</v>
      </c>
      <c r="BF1259">
        <v>1</v>
      </c>
      <c r="BG1259">
        <v>0</v>
      </c>
    </row>
    <row r="1260" spans="1:59">
      <c r="A1260" s="1">
        <f>HYPERLINK("https://lsnyc.legalserver.org/matter/dynamic-profile/view/1905089","19-1905089")</f>
        <v>0</v>
      </c>
      <c r="B1260" t="s">
        <v>1161</v>
      </c>
      <c r="C1260" t="s">
        <v>6013</v>
      </c>
      <c r="D1260" t="s">
        <v>9936</v>
      </c>
      <c r="E1260" t="s">
        <v>10075</v>
      </c>
      <c r="F1260">
        <v>11106</v>
      </c>
      <c r="G1260" t="s">
        <v>10092</v>
      </c>
      <c r="H1260" t="s">
        <v>10128</v>
      </c>
      <c r="J1260" t="s">
        <v>10212</v>
      </c>
      <c r="K1260" t="s">
        <v>10217</v>
      </c>
      <c r="M1260" t="s">
        <v>10398</v>
      </c>
      <c r="N1260" t="s">
        <v>10694</v>
      </c>
      <c r="P1260" t="s">
        <v>10751</v>
      </c>
      <c r="Q1260" t="s">
        <v>10780</v>
      </c>
      <c r="R1260" t="s">
        <v>10823</v>
      </c>
      <c r="T1260">
        <v>15080</v>
      </c>
      <c r="U1260">
        <v>1256.67</v>
      </c>
      <c r="V1260">
        <v>45</v>
      </c>
      <c r="W1260">
        <v>1</v>
      </c>
      <c r="X1260">
        <v>0</v>
      </c>
      <c r="Z1260">
        <v>120.74</v>
      </c>
      <c r="AA1260">
        <v>40.760322</v>
      </c>
      <c r="AB1260">
        <v>-73.939145</v>
      </c>
      <c r="AD1260" t="s">
        <v>10839</v>
      </c>
      <c r="AG1260" t="s">
        <v>10858</v>
      </c>
      <c r="AH1260" t="s">
        <v>10866</v>
      </c>
      <c r="AI1260">
        <v>237</v>
      </c>
      <c r="AJ1260" t="s">
        <v>10212</v>
      </c>
      <c r="AL1260">
        <v>17</v>
      </c>
      <c r="AM1260" t="s">
        <v>10891</v>
      </c>
      <c r="AN1260" t="s">
        <v>10961</v>
      </c>
      <c r="AO1260" t="s">
        <v>11003</v>
      </c>
      <c r="AP1260" t="s">
        <v>11047</v>
      </c>
      <c r="AR1260" t="s">
        <v>11262</v>
      </c>
      <c r="AS1260" t="s">
        <v>11594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</row>
    <row r="1261" spans="1:59">
      <c r="A1261" s="1">
        <f>HYPERLINK("https://lsnyc.legalserver.org/matter/dynamic-profile/view/1905090","19-1905090")</f>
        <v>0</v>
      </c>
      <c r="B1261" t="s">
        <v>1162</v>
      </c>
      <c r="C1261" t="s">
        <v>6014</v>
      </c>
      <c r="D1261" t="s">
        <v>9938</v>
      </c>
      <c r="E1261" t="s">
        <v>10075</v>
      </c>
      <c r="F1261">
        <v>11434</v>
      </c>
      <c r="G1261" t="s">
        <v>10092</v>
      </c>
      <c r="H1261" t="s">
        <v>10128</v>
      </c>
      <c r="I1261" t="s">
        <v>10168</v>
      </c>
      <c r="J1261" t="s">
        <v>10212</v>
      </c>
      <c r="K1261" t="s">
        <v>10217</v>
      </c>
      <c r="M1261" t="s">
        <v>10491</v>
      </c>
      <c r="N1261" t="s">
        <v>10693</v>
      </c>
      <c r="P1261" t="s">
        <v>10749</v>
      </c>
      <c r="Q1261" t="s">
        <v>10765</v>
      </c>
      <c r="R1261" t="s">
        <v>10824</v>
      </c>
      <c r="T1261">
        <v>33000</v>
      </c>
      <c r="U1261">
        <v>2750</v>
      </c>
      <c r="V1261">
        <v>41</v>
      </c>
      <c r="W1261">
        <v>2</v>
      </c>
      <c r="X1261">
        <v>2</v>
      </c>
      <c r="Z1261">
        <v>128.16</v>
      </c>
      <c r="AA1261">
        <v>40.685201</v>
      </c>
      <c r="AB1261">
        <v>-73.775953</v>
      </c>
      <c r="AD1261" t="s">
        <v>10839</v>
      </c>
      <c r="AG1261" t="s">
        <v>10858</v>
      </c>
      <c r="AH1261" t="s">
        <v>10862</v>
      </c>
      <c r="AI1261">
        <v>237</v>
      </c>
      <c r="AJ1261" t="s">
        <v>10212</v>
      </c>
      <c r="AL1261">
        <v>13.1</v>
      </c>
      <c r="AM1261" t="s">
        <v>10892</v>
      </c>
      <c r="AN1261" t="s">
        <v>10951</v>
      </c>
      <c r="AO1261" t="s">
        <v>11017</v>
      </c>
      <c r="AP1261" t="s">
        <v>11075</v>
      </c>
      <c r="AR1261" t="s">
        <v>11257</v>
      </c>
      <c r="AS1261" t="s">
        <v>11594</v>
      </c>
      <c r="BA1261" t="s">
        <v>11738</v>
      </c>
      <c r="BB1261">
        <v>0</v>
      </c>
      <c r="BC1261">
        <v>0</v>
      </c>
      <c r="BD1261">
        <v>0</v>
      </c>
      <c r="BE1261">
        <v>0</v>
      </c>
      <c r="BF1261">
        <v>5</v>
      </c>
      <c r="BG1261">
        <v>0</v>
      </c>
    </row>
    <row r="1262" spans="1:59">
      <c r="A1262" s="1">
        <f>HYPERLINK("https://lsnyc.legalserver.org/matter/dynamic-profile/view/1905091","19-1905091")</f>
        <v>0</v>
      </c>
      <c r="B1262" t="s">
        <v>958</v>
      </c>
      <c r="C1262" t="s">
        <v>5601</v>
      </c>
      <c r="D1262" t="s">
        <v>9926</v>
      </c>
      <c r="E1262" t="s">
        <v>10075</v>
      </c>
      <c r="F1262">
        <v>10453</v>
      </c>
      <c r="G1262" t="s">
        <v>10090</v>
      </c>
      <c r="H1262" t="s">
        <v>10128</v>
      </c>
      <c r="I1262" t="s">
        <v>10169</v>
      </c>
      <c r="J1262" t="s">
        <v>10210</v>
      </c>
      <c r="K1262" t="s">
        <v>10217</v>
      </c>
      <c r="M1262" t="s">
        <v>10463</v>
      </c>
      <c r="N1262" t="s">
        <v>10650</v>
      </c>
      <c r="P1262" t="s">
        <v>10749</v>
      </c>
      <c r="Q1262" t="s">
        <v>10765</v>
      </c>
      <c r="R1262" t="s">
        <v>10823</v>
      </c>
      <c r="T1262">
        <v>25600</v>
      </c>
      <c r="U1262">
        <v>2133.33</v>
      </c>
      <c r="V1262">
        <v>44</v>
      </c>
      <c r="W1262">
        <v>4</v>
      </c>
      <c r="X1262">
        <v>0</v>
      </c>
      <c r="Z1262">
        <v>99.42</v>
      </c>
      <c r="AA1262">
        <v>40.846436</v>
      </c>
      <c r="AB1262">
        <v>-73.90944</v>
      </c>
      <c r="AD1262" t="s">
        <v>10839</v>
      </c>
      <c r="AG1262" t="s">
        <v>10858</v>
      </c>
      <c r="AH1262" t="s">
        <v>10862</v>
      </c>
      <c r="AI1262">
        <v>230</v>
      </c>
      <c r="AJ1262" t="s">
        <v>10210</v>
      </c>
      <c r="AL1262">
        <v>0</v>
      </c>
      <c r="AM1262" t="s">
        <v>10884</v>
      </c>
      <c r="AN1262" t="s">
        <v>10931</v>
      </c>
      <c r="AO1262" t="s">
        <v>11000</v>
      </c>
      <c r="AP1262" t="s">
        <v>11045</v>
      </c>
      <c r="AR1262" t="s">
        <v>11257</v>
      </c>
      <c r="AS1262" t="s">
        <v>9926</v>
      </c>
      <c r="BA1262" t="s">
        <v>11739</v>
      </c>
      <c r="BB1262">
        <v>0</v>
      </c>
      <c r="BC1262">
        <v>0</v>
      </c>
      <c r="BD1262">
        <v>0</v>
      </c>
      <c r="BE1262">
        <v>0</v>
      </c>
      <c r="BF1262">
        <v>4</v>
      </c>
      <c r="BG1262">
        <v>0</v>
      </c>
    </row>
    <row r="1263" spans="1:59">
      <c r="A1263" s="1">
        <f>HYPERLINK("https://lsnyc.legalserver.org/matter/dynamic-profile/view/1905092","19-1905092")</f>
        <v>0</v>
      </c>
      <c r="B1263" t="s">
        <v>1163</v>
      </c>
      <c r="C1263" t="s">
        <v>6015</v>
      </c>
      <c r="D1263" t="s">
        <v>9928</v>
      </c>
      <c r="E1263" t="s">
        <v>10075</v>
      </c>
      <c r="F1263">
        <v>11215</v>
      </c>
      <c r="G1263" t="s">
        <v>10093</v>
      </c>
      <c r="H1263" t="s">
        <v>10128</v>
      </c>
      <c r="I1263" t="s">
        <v>10168</v>
      </c>
      <c r="J1263" t="s">
        <v>10213</v>
      </c>
      <c r="K1263" t="s">
        <v>10217</v>
      </c>
      <c r="M1263" t="s">
        <v>10315</v>
      </c>
      <c r="N1263" t="s">
        <v>10686</v>
      </c>
      <c r="P1263" t="s">
        <v>10750</v>
      </c>
      <c r="Q1263" t="s">
        <v>10778</v>
      </c>
      <c r="R1263" t="s">
        <v>10827</v>
      </c>
      <c r="T1263">
        <v>20400</v>
      </c>
      <c r="U1263">
        <v>1700</v>
      </c>
      <c r="V1263">
        <v>27</v>
      </c>
      <c r="W1263">
        <v>1</v>
      </c>
      <c r="X1263">
        <v>0</v>
      </c>
      <c r="Z1263">
        <v>163.33</v>
      </c>
      <c r="AA1263">
        <v>40.665483</v>
      </c>
      <c r="AB1263">
        <v>-73.987984</v>
      </c>
      <c r="AD1263" t="s">
        <v>10840</v>
      </c>
      <c r="AG1263" t="s">
        <v>10858</v>
      </c>
      <c r="AH1263" t="s">
        <v>10871</v>
      </c>
      <c r="AI1263">
        <v>234</v>
      </c>
      <c r="AJ1263" t="s">
        <v>10214</v>
      </c>
      <c r="AL1263">
        <v>8.15</v>
      </c>
      <c r="AM1263" t="s">
        <v>10886</v>
      </c>
      <c r="AN1263" t="s">
        <v>10917</v>
      </c>
      <c r="AO1263" t="s">
        <v>11008</v>
      </c>
      <c r="AP1263" t="s">
        <v>11059</v>
      </c>
      <c r="AR1263" t="s">
        <v>11276</v>
      </c>
      <c r="AS1263" t="s">
        <v>11595</v>
      </c>
      <c r="AT1263" t="s">
        <v>11642</v>
      </c>
      <c r="AX1263" t="s">
        <v>10838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</row>
    <row r="1264" spans="1:59">
      <c r="A1264" s="1">
        <f>HYPERLINK("https://lsnyc.legalserver.org/matter/dynamic-profile/view/1905093","19-1905093")</f>
        <v>0</v>
      </c>
      <c r="B1264" t="s">
        <v>958</v>
      </c>
      <c r="C1264" t="s">
        <v>5601</v>
      </c>
      <c r="D1264" t="s">
        <v>9926</v>
      </c>
      <c r="E1264" t="s">
        <v>10075</v>
      </c>
      <c r="F1264">
        <v>10453</v>
      </c>
      <c r="G1264" t="s">
        <v>10090</v>
      </c>
      <c r="H1264" t="s">
        <v>10128</v>
      </c>
      <c r="I1264" t="s">
        <v>10169</v>
      </c>
      <c r="J1264" t="s">
        <v>10210</v>
      </c>
      <c r="K1264" t="s">
        <v>10217</v>
      </c>
      <c r="M1264" t="s">
        <v>10463</v>
      </c>
      <c r="N1264" t="s">
        <v>10650</v>
      </c>
      <c r="P1264" t="s">
        <v>10749</v>
      </c>
      <c r="Q1264" t="s">
        <v>10765</v>
      </c>
      <c r="R1264" t="s">
        <v>10823</v>
      </c>
      <c r="T1264">
        <v>25600</v>
      </c>
      <c r="U1264">
        <v>2133.33</v>
      </c>
      <c r="V1264">
        <v>45</v>
      </c>
      <c r="W1264">
        <v>4</v>
      </c>
      <c r="X1264">
        <v>0</v>
      </c>
      <c r="Z1264">
        <v>99.42</v>
      </c>
      <c r="AA1264">
        <v>40.846436</v>
      </c>
      <c r="AB1264">
        <v>-73.90944</v>
      </c>
      <c r="AD1264" t="s">
        <v>10839</v>
      </c>
      <c r="AG1264" t="s">
        <v>10858</v>
      </c>
      <c r="AH1264" t="s">
        <v>10862</v>
      </c>
      <c r="AI1264">
        <v>230</v>
      </c>
      <c r="AJ1264" t="s">
        <v>10210</v>
      </c>
      <c r="AL1264">
        <v>0</v>
      </c>
      <c r="AM1264" t="s">
        <v>10884</v>
      </c>
      <c r="AN1264" t="s">
        <v>10931</v>
      </c>
      <c r="AO1264" t="s">
        <v>11000</v>
      </c>
      <c r="AP1264" t="s">
        <v>11045</v>
      </c>
      <c r="AR1264" t="s">
        <v>11257</v>
      </c>
      <c r="AS1264" t="s">
        <v>9926</v>
      </c>
      <c r="BA1264" t="s">
        <v>11739</v>
      </c>
      <c r="BB1264">
        <v>0</v>
      </c>
      <c r="BC1264">
        <v>0</v>
      </c>
      <c r="BD1264">
        <v>0</v>
      </c>
      <c r="BE1264">
        <v>0</v>
      </c>
      <c r="BF1264">
        <v>4</v>
      </c>
      <c r="BG1264">
        <v>0</v>
      </c>
    </row>
    <row r="1265" spans="1:59">
      <c r="A1265" s="1">
        <f>HYPERLINK("https://lsnyc.legalserver.org/matter/dynamic-profile/view/1905094","19-1905094")</f>
        <v>0</v>
      </c>
      <c r="B1265" t="s">
        <v>1138</v>
      </c>
      <c r="C1265" t="s">
        <v>5995</v>
      </c>
      <c r="D1265" t="s">
        <v>9947</v>
      </c>
      <c r="E1265" t="s">
        <v>10075</v>
      </c>
      <c r="F1265">
        <v>11374</v>
      </c>
      <c r="G1265" t="s">
        <v>10092</v>
      </c>
      <c r="H1265" t="s">
        <v>10124</v>
      </c>
      <c r="I1265" t="s">
        <v>10169</v>
      </c>
      <c r="J1265" t="s">
        <v>10212</v>
      </c>
      <c r="K1265" t="s">
        <v>10217</v>
      </c>
      <c r="M1265" t="s">
        <v>10486</v>
      </c>
      <c r="N1265" t="s">
        <v>10673</v>
      </c>
      <c r="O1265" t="s">
        <v>10648</v>
      </c>
      <c r="P1265" t="s">
        <v>10753</v>
      </c>
      <c r="Q1265" t="s">
        <v>10763</v>
      </c>
      <c r="R1265" t="s">
        <v>10823</v>
      </c>
      <c r="T1265">
        <v>5200</v>
      </c>
      <c r="U1265">
        <v>433.33</v>
      </c>
      <c r="V1265">
        <v>47</v>
      </c>
      <c r="W1265">
        <v>1</v>
      </c>
      <c r="X1265">
        <v>1</v>
      </c>
      <c r="Z1265">
        <v>30.75</v>
      </c>
      <c r="AA1265">
        <v>40.726082</v>
      </c>
      <c r="AB1265">
        <v>-73.866788</v>
      </c>
      <c r="AD1265" t="s">
        <v>10839</v>
      </c>
      <c r="AF1265" t="s">
        <v>10842</v>
      </c>
      <c r="AG1265" t="s">
        <v>10859</v>
      </c>
      <c r="AH1265" t="s">
        <v>10864</v>
      </c>
      <c r="AI1265">
        <v>237</v>
      </c>
      <c r="AJ1265" t="s">
        <v>10212</v>
      </c>
      <c r="AL1265">
        <v>0</v>
      </c>
      <c r="AQ1265" t="s">
        <v>11142</v>
      </c>
      <c r="AR1265" t="s">
        <v>11257</v>
      </c>
      <c r="AS1265" t="s">
        <v>11594</v>
      </c>
      <c r="AT1265" t="s">
        <v>11641</v>
      </c>
      <c r="AX1265" t="s">
        <v>10838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</row>
    <row r="1266" spans="1:59">
      <c r="A1266" s="1">
        <f>HYPERLINK("https://lsnyc.legalserver.org/matter/dynamic-profile/view/1905095","19-1905095")</f>
        <v>0</v>
      </c>
      <c r="B1266" t="s">
        <v>1164</v>
      </c>
      <c r="C1266" t="s">
        <v>5605</v>
      </c>
      <c r="D1266" t="s">
        <v>9928</v>
      </c>
      <c r="E1266" t="s">
        <v>10075</v>
      </c>
      <c r="F1266">
        <v>11221</v>
      </c>
      <c r="G1266" t="s">
        <v>10093</v>
      </c>
      <c r="H1266" t="s">
        <v>10128</v>
      </c>
      <c r="I1266" t="s">
        <v>10168</v>
      </c>
      <c r="J1266" t="s">
        <v>10213</v>
      </c>
      <c r="K1266" t="s">
        <v>10217</v>
      </c>
      <c r="M1266" t="s">
        <v>10317</v>
      </c>
      <c r="N1266" t="s">
        <v>10698</v>
      </c>
      <c r="P1266" t="s">
        <v>10757</v>
      </c>
      <c r="Q1266" t="s">
        <v>10789</v>
      </c>
      <c r="R1266" t="s">
        <v>10824</v>
      </c>
      <c r="T1266">
        <v>13200</v>
      </c>
      <c r="U1266">
        <v>1100</v>
      </c>
      <c r="V1266">
        <v>55</v>
      </c>
      <c r="W1266">
        <v>1</v>
      </c>
      <c r="X1266">
        <v>0</v>
      </c>
      <c r="Z1266">
        <v>105.68</v>
      </c>
      <c r="AA1266">
        <v>40.692569</v>
      </c>
      <c r="AB1266">
        <v>-73.939413</v>
      </c>
      <c r="AD1266" t="s">
        <v>10840</v>
      </c>
      <c r="AG1266" t="s">
        <v>10858</v>
      </c>
      <c r="AH1266" t="s">
        <v>10868</v>
      </c>
      <c r="AI1266">
        <v>239</v>
      </c>
      <c r="AJ1266" t="s">
        <v>10213</v>
      </c>
      <c r="AL1266">
        <v>3.5</v>
      </c>
      <c r="AM1266" t="s">
        <v>10889</v>
      </c>
      <c r="AN1266" t="s">
        <v>10914</v>
      </c>
      <c r="AO1266" t="s">
        <v>11011</v>
      </c>
      <c r="AP1266" t="s">
        <v>11052</v>
      </c>
      <c r="AR1266" t="s">
        <v>11319</v>
      </c>
      <c r="AS1266" t="s">
        <v>11595</v>
      </c>
      <c r="AX1266" t="s">
        <v>10837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</row>
    <row r="1267" spans="1:59">
      <c r="A1267" s="1">
        <f>HYPERLINK("https://lsnyc.legalserver.org/matter/dynamic-profile/view/1905096","19-1905096")</f>
        <v>0</v>
      </c>
      <c r="B1267" t="s">
        <v>1165</v>
      </c>
      <c r="C1267" t="s">
        <v>6007</v>
      </c>
      <c r="D1267" t="s">
        <v>9926</v>
      </c>
      <c r="E1267" t="s">
        <v>10075</v>
      </c>
      <c r="F1267">
        <v>10453</v>
      </c>
      <c r="G1267" t="s">
        <v>10090</v>
      </c>
      <c r="H1267" t="s">
        <v>10128</v>
      </c>
      <c r="I1267" t="s">
        <v>10169</v>
      </c>
      <c r="J1267" t="s">
        <v>10210</v>
      </c>
      <c r="K1267" t="s">
        <v>10217</v>
      </c>
      <c r="M1267" t="s">
        <v>10463</v>
      </c>
      <c r="N1267" t="s">
        <v>10650</v>
      </c>
      <c r="P1267" t="s">
        <v>10749</v>
      </c>
      <c r="Q1267" t="s">
        <v>10765</v>
      </c>
      <c r="R1267" t="s">
        <v>10821</v>
      </c>
      <c r="T1267">
        <v>30000</v>
      </c>
      <c r="U1267">
        <v>2500</v>
      </c>
      <c r="V1267">
        <v>36</v>
      </c>
      <c r="W1267">
        <v>1</v>
      </c>
      <c r="X1267">
        <v>2</v>
      </c>
      <c r="Z1267">
        <v>140.65</v>
      </c>
      <c r="AA1267">
        <v>40.846849</v>
      </c>
      <c r="AB1267">
        <v>-73.90953500000001</v>
      </c>
      <c r="AD1267" t="s">
        <v>10839</v>
      </c>
      <c r="AG1267" t="s">
        <v>10858</v>
      </c>
      <c r="AH1267" t="s">
        <v>10862</v>
      </c>
      <c r="AI1267">
        <v>230</v>
      </c>
      <c r="AJ1267" t="s">
        <v>10210</v>
      </c>
      <c r="AL1267">
        <v>0</v>
      </c>
      <c r="AM1267" t="s">
        <v>10884</v>
      </c>
      <c r="AN1267" t="s">
        <v>10931</v>
      </c>
      <c r="AO1267" t="s">
        <v>11000</v>
      </c>
      <c r="AP1267" t="s">
        <v>11045</v>
      </c>
      <c r="AR1267" t="s">
        <v>11257</v>
      </c>
      <c r="AS1267" t="s">
        <v>9926</v>
      </c>
      <c r="BA1267" t="s">
        <v>11739</v>
      </c>
      <c r="BB1267">
        <v>0</v>
      </c>
      <c r="BC1267">
        <v>0</v>
      </c>
      <c r="BD1267">
        <v>0</v>
      </c>
      <c r="BE1267">
        <v>0</v>
      </c>
      <c r="BF1267">
        <v>4</v>
      </c>
      <c r="BG1267">
        <v>0</v>
      </c>
    </row>
    <row r="1268" spans="1:59">
      <c r="A1268" s="1">
        <f>HYPERLINK("https://lsnyc.legalserver.org/matter/dynamic-profile/view/1905097","19-1905097")</f>
        <v>0</v>
      </c>
      <c r="B1268" t="s">
        <v>810</v>
      </c>
      <c r="C1268" t="s">
        <v>6016</v>
      </c>
      <c r="D1268" t="s">
        <v>9926</v>
      </c>
      <c r="E1268" t="s">
        <v>10075</v>
      </c>
      <c r="F1268">
        <v>10453</v>
      </c>
      <c r="G1268" t="s">
        <v>10092</v>
      </c>
      <c r="H1268" t="s">
        <v>10124</v>
      </c>
      <c r="I1268" t="s">
        <v>10169</v>
      </c>
      <c r="J1268" t="s">
        <v>10212</v>
      </c>
      <c r="K1268" t="s">
        <v>10217</v>
      </c>
      <c r="M1268" t="s">
        <v>10486</v>
      </c>
      <c r="N1268" t="s">
        <v>10648</v>
      </c>
      <c r="P1268" t="s">
        <v>10753</v>
      </c>
      <c r="Q1268" t="s">
        <v>10763</v>
      </c>
      <c r="R1268" t="s">
        <v>10823</v>
      </c>
      <c r="T1268">
        <v>5200</v>
      </c>
      <c r="U1268">
        <v>433.33</v>
      </c>
      <c r="V1268">
        <v>27</v>
      </c>
      <c r="W1268">
        <v>1</v>
      </c>
      <c r="X1268">
        <v>1</v>
      </c>
      <c r="Z1268">
        <v>30.75</v>
      </c>
      <c r="AA1268">
        <v>40.852654</v>
      </c>
      <c r="AB1268">
        <v>-73.90570700000001</v>
      </c>
      <c r="AD1268" t="s">
        <v>10839</v>
      </c>
      <c r="AF1268" t="s">
        <v>10842</v>
      </c>
      <c r="AG1268" t="s">
        <v>10859</v>
      </c>
      <c r="AH1268" t="s">
        <v>10864</v>
      </c>
      <c r="AI1268">
        <v>237</v>
      </c>
      <c r="AJ1268" t="s">
        <v>10212</v>
      </c>
      <c r="AL1268">
        <v>7.55</v>
      </c>
      <c r="AM1268" t="s">
        <v>10884</v>
      </c>
      <c r="AN1268" t="s">
        <v>10931</v>
      </c>
      <c r="AO1268" t="s">
        <v>11000</v>
      </c>
      <c r="AP1268" t="s">
        <v>11045</v>
      </c>
      <c r="AQ1268" t="s">
        <v>11096</v>
      </c>
      <c r="AR1268" t="s">
        <v>11257</v>
      </c>
      <c r="AS1268" t="s">
        <v>9926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</row>
    <row r="1269" spans="1:59">
      <c r="A1269" s="1">
        <f>HYPERLINK("https://lsnyc.legalserver.org/matter/dynamic-profile/view/1905098","19-1905098")</f>
        <v>0</v>
      </c>
      <c r="C1269" t="s">
        <v>6017</v>
      </c>
      <c r="D1269" t="s">
        <v>9938</v>
      </c>
      <c r="E1269" t="s">
        <v>10075</v>
      </c>
      <c r="F1269">
        <v>11433</v>
      </c>
      <c r="G1269" t="s">
        <v>10092</v>
      </c>
      <c r="H1269" t="s">
        <v>10128</v>
      </c>
      <c r="I1269" t="s">
        <v>10168</v>
      </c>
      <c r="J1269" t="s">
        <v>10212</v>
      </c>
      <c r="K1269" t="s">
        <v>10218</v>
      </c>
      <c r="L1269" t="s">
        <v>10158</v>
      </c>
      <c r="M1269" t="s">
        <v>10530</v>
      </c>
      <c r="N1269" t="s">
        <v>10678</v>
      </c>
      <c r="P1269" t="s">
        <v>10749</v>
      </c>
      <c r="Q1269" t="s">
        <v>10769</v>
      </c>
      <c r="R1269" t="s">
        <v>10824</v>
      </c>
      <c r="T1269">
        <v>0</v>
      </c>
      <c r="U1269">
        <v>0</v>
      </c>
      <c r="V1269">
        <v>0</v>
      </c>
      <c r="W1269">
        <v>2</v>
      </c>
      <c r="X1269">
        <v>0</v>
      </c>
      <c r="Y1269" t="s">
        <v>10834</v>
      </c>
      <c r="Z1269">
        <v>0</v>
      </c>
      <c r="AA1269">
        <v>40.702953</v>
      </c>
      <c r="AB1269">
        <v>-73.782521</v>
      </c>
      <c r="AD1269" t="s">
        <v>10839</v>
      </c>
      <c r="AG1269" t="s">
        <v>10858</v>
      </c>
      <c r="AH1269" t="s">
        <v>10860</v>
      </c>
      <c r="AI1269">
        <v>237</v>
      </c>
      <c r="AJ1269" t="s">
        <v>10212</v>
      </c>
      <c r="AK1269" t="s">
        <v>10838</v>
      </c>
      <c r="AL1269">
        <v>3.25</v>
      </c>
      <c r="AM1269" t="s">
        <v>10892</v>
      </c>
      <c r="AN1269" t="s">
        <v>10955</v>
      </c>
      <c r="AO1269" t="s">
        <v>11020</v>
      </c>
      <c r="AP1269" t="s">
        <v>11075</v>
      </c>
      <c r="AR1269" t="s">
        <v>11267</v>
      </c>
      <c r="AS1269" t="s">
        <v>11594</v>
      </c>
      <c r="AY1269" t="s">
        <v>10834</v>
      </c>
      <c r="AZ1269" t="s">
        <v>11684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</row>
    <row r="1270" spans="1:59">
      <c r="A1270" s="1">
        <f>HYPERLINK("https://lsnyc.legalserver.org/matter/dynamic-profile/view/1905099","19-1905099")</f>
        <v>0</v>
      </c>
      <c r="B1270" t="s">
        <v>1165</v>
      </c>
      <c r="C1270" t="s">
        <v>6007</v>
      </c>
      <c r="D1270" t="s">
        <v>9926</v>
      </c>
      <c r="E1270" t="s">
        <v>10075</v>
      </c>
      <c r="F1270">
        <v>10453</v>
      </c>
      <c r="G1270" t="s">
        <v>10090</v>
      </c>
      <c r="H1270" t="s">
        <v>10128</v>
      </c>
      <c r="I1270" t="s">
        <v>10169</v>
      </c>
      <c r="J1270" t="s">
        <v>10210</v>
      </c>
      <c r="K1270" t="s">
        <v>10217</v>
      </c>
      <c r="M1270" t="s">
        <v>10463</v>
      </c>
      <c r="N1270" t="s">
        <v>10650</v>
      </c>
      <c r="P1270" t="s">
        <v>10749</v>
      </c>
      <c r="Q1270" t="s">
        <v>10765</v>
      </c>
      <c r="R1270" t="s">
        <v>10821</v>
      </c>
      <c r="T1270">
        <v>30000</v>
      </c>
      <c r="U1270">
        <v>2500</v>
      </c>
      <c r="V1270">
        <v>36</v>
      </c>
      <c r="W1270">
        <v>1</v>
      </c>
      <c r="X1270">
        <v>2</v>
      </c>
      <c r="Z1270">
        <v>140.65</v>
      </c>
      <c r="AA1270">
        <v>40.846849</v>
      </c>
      <c r="AB1270">
        <v>-73.90953500000001</v>
      </c>
      <c r="AD1270" t="s">
        <v>10839</v>
      </c>
      <c r="AG1270" t="s">
        <v>10858</v>
      </c>
      <c r="AH1270" t="s">
        <v>10862</v>
      </c>
      <c r="AI1270">
        <v>230</v>
      </c>
      <c r="AJ1270" t="s">
        <v>10210</v>
      </c>
      <c r="AL1270">
        <v>0</v>
      </c>
      <c r="AM1270" t="s">
        <v>10884</v>
      </c>
      <c r="AN1270" t="s">
        <v>10931</v>
      </c>
      <c r="AO1270" t="s">
        <v>11000</v>
      </c>
      <c r="AP1270" t="s">
        <v>11045</v>
      </c>
      <c r="AR1270" t="s">
        <v>11257</v>
      </c>
      <c r="AS1270" t="s">
        <v>9926</v>
      </c>
      <c r="BA1270" t="s">
        <v>11739</v>
      </c>
      <c r="BB1270">
        <v>0</v>
      </c>
      <c r="BC1270">
        <v>0</v>
      </c>
      <c r="BD1270">
        <v>0</v>
      </c>
      <c r="BE1270">
        <v>0</v>
      </c>
      <c r="BF1270">
        <v>4</v>
      </c>
      <c r="BG1270">
        <v>0</v>
      </c>
    </row>
    <row r="1271" spans="1:59">
      <c r="A1271" s="1">
        <f>HYPERLINK("https://lsnyc.legalserver.org/matter/dynamic-profile/view/1905100","19-1905100")</f>
        <v>0</v>
      </c>
      <c r="B1271" t="s">
        <v>1166</v>
      </c>
      <c r="C1271" t="s">
        <v>6018</v>
      </c>
      <c r="D1271" t="s">
        <v>9925</v>
      </c>
      <c r="E1271" t="s">
        <v>10075</v>
      </c>
      <c r="F1271">
        <v>10039</v>
      </c>
      <c r="G1271" t="s">
        <v>10089</v>
      </c>
      <c r="H1271" t="s">
        <v>10128</v>
      </c>
      <c r="I1271" t="s">
        <v>10168</v>
      </c>
      <c r="J1271" t="s">
        <v>10209</v>
      </c>
      <c r="K1271" t="s">
        <v>10217</v>
      </c>
      <c r="M1271" t="s">
        <v>10488</v>
      </c>
      <c r="N1271" t="s">
        <v>10679</v>
      </c>
      <c r="P1271" t="s">
        <v>10753</v>
      </c>
      <c r="Q1271" t="s">
        <v>10763</v>
      </c>
      <c r="R1271" t="s">
        <v>10824</v>
      </c>
      <c r="T1271">
        <v>0</v>
      </c>
      <c r="U1271">
        <v>0</v>
      </c>
      <c r="V1271">
        <v>13</v>
      </c>
      <c r="W1271">
        <v>1</v>
      </c>
      <c r="X1271">
        <v>2</v>
      </c>
      <c r="Z1271">
        <v>0</v>
      </c>
      <c r="AA1271">
        <v>40.82377</v>
      </c>
      <c r="AB1271">
        <v>-73.94151599999999</v>
      </c>
      <c r="AD1271" t="s">
        <v>10839</v>
      </c>
      <c r="AF1271" t="s">
        <v>10843</v>
      </c>
      <c r="AG1271" t="s">
        <v>10859</v>
      </c>
      <c r="AH1271" t="s">
        <v>10864</v>
      </c>
      <c r="AI1271">
        <v>236</v>
      </c>
      <c r="AJ1271" t="s">
        <v>10209</v>
      </c>
      <c r="AL1271">
        <v>4</v>
      </c>
      <c r="AM1271" t="s">
        <v>10887</v>
      </c>
      <c r="AN1271" t="s">
        <v>10943</v>
      </c>
      <c r="AO1271" t="s">
        <v>11016</v>
      </c>
      <c r="AP1271" t="s">
        <v>11076</v>
      </c>
      <c r="AQ1271" t="s">
        <v>11183</v>
      </c>
      <c r="AR1271" t="s">
        <v>11267</v>
      </c>
      <c r="AS1271" t="s">
        <v>9925</v>
      </c>
      <c r="BA1271" t="s">
        <v>11739</v>
      </c>
      <c r="BB1271">
        <v>0</v>
      </c>
      <c r="BC1271">
        <v>0</v>
      </c>
      <c r="BD1271">
        <v>0</v>
      </c>
      <c r="BE1271">
        <v>0</v>
      </c>
      <c r="BF1271">
        <v>4</v>
      </c>
      <c r="BG1271">
        <v>0</v>
      </c>
    </row>
    <row r="1272" spans="1:59">
      <c r="A1272" s="1">
        <f>HYPERLINK("https://lsnyc.legalserver.org/matter/dynamic-profile/view/1905101","19-1905101")</f>
        <v>0</v>
      </c>
      <c r="B1272" t="s">
        <v>1166</v>
      </c>
      <c r="C1272" t="s">
        <v>6018</v>
      </c>
      <c r="D1272" t="s">
        <v>9925</v>
      </c>
      <c r="E1272" t="s">
        <v>10075</v>
      </c>
      <c r="F1272">
        <v>10039</v>
      </c>
      <c r="G1272" t="s">
        <v>10089</v>
      </c>
      <c r="H1272" t="s">
        <v>10128</v>
      </c>
      <c r="I1272" t="s">
        <v>10168</v>
      </c>
      <c r="J1272" t="s">
        <v>10209</v>
      </c>
      <c r="K1272" t="s">
        <v>10218</v>
      </c>
      <c r="L1272" t="s">
        <v>10145</v>
      </c>
      <c r="M1272" t="s">
        <v>10488</v>
      </c>
      <c r="N1272" t="s">
        <v>10679</v>
      </c>
      <c r="P1272" t="s">
        <v>10753</v>
      </c>
      <c r="Q1272" t="s">
        <v>10763</v>
      </c>
      <c r="R1272" t="s">
        <v>10824</v>
      </c>
      <c r="T1272">
        <v>0</v>
      </c>
      <c r="U1272">
        <v>0</v>
      </c>
      <c r="V1272">
        <v>13</v>
      </c>
      <c r="W1272">
        <v>1</v>
      </c>
      <c r="X1272">
        <v>2</v>
      </c>
      <c r="Y1272" t="s">
        <v>10833</v>
      </c>
      <c r="Z1272">
        <v>0</v>
      </c>
      <c r="AA1272">
        <v>40.82377</v>
      </c>
      <c r="AB1272">
        <v>-73.94151599999999</v>
      </c>
      <c r="AD1272" t="s">
        <v>10839</v>
      </c>
      <c r="AF1272" t="s">
        <v>10843</v>
      </c>
      <c r="AG1272" t="s">
        <v>10859</v>
      </c>
      <c r="AH1272" t="s">
        <v>10864</v>
      </c>
      <c r="AI1272">
        <v>236</v>
      </c>
      <c r="AJ1272" t="s">
        <v>10209</v>
      </c>
      <c r="AK1272" t="s">
        <v>10838</v>
      </c>
      <c r="AL1272">
        <v>1.75</v>
      </c>
      <c r="AM1272" t="s">
        <v>10887</v>
      </c>
      <c r="AN1272" t="s">
        <v>10943</v>
      </c>
      <c r="AO1272" t="s">
        <v>11016</v>
      </c>
      <c r="AP1272" t="s">
        <v>11076</v>
      </c>
      <c r="AQ1272" t="s">
        <v>11104</v>
      </c>
      <c r="AR1272" t="s">
        <v>11267</v>
      </c>
      <c r="AS1272" t="s">
        <v>9925</v>
      </c>
      <c r="AY1272" t="s">
        <v>10833</v>
      </c>
      <c r="AZ1272" t="s">
        <v>11699</v>
      </c>
      <c r="BA1272" t="s">
        <v>11739</v>
      </c>
      <c r="BB1272">
        <v>1170</v>
      </c>
      <c r="BC1272">
        <v>0</v>
      </c>
      <c r="BD1272">
        <v>0</v>
      </c>
      <c r="BE1272">
        <v>0</v>
      </c>
      <c r="BF1272">
        <v>4</v>
      </c>
      <c r="BG1272">
        <v>0</v>
      </c>
    </row>
    <row r="1273" spans="1:59">
      <c r="A1273" s="1">
        <f>HYPERLINK("https://lsnyc.legalserver.org/matter/dynamic-profile/view/1905102","19-1905102")</f>
        <v>0</v>
      </c>
      <c r="B1273" t="s">
        <v>1167</v>
      </c>
      <c r="C1273" t="s">
        <v>6018</v>
      </c>
      <c r="D1273" t="s">
        <v>9925</v>
      </c>
      <c r="E1273" t="s">
        <v>10075</v>
      </c>
      <c r="F1273">
        <v>10039</v>
      </c>
      <c r="G1273" t="s">
        <v>10089</v>
      </c>
      <c r="H1273" t="s">
        <v>10128</v>
      </c>
      <c r="I1273" t="s">
        <v>10168</v>
      </c>
      <c r="J1273" t="s">
        <v>10209</v>
      </c>
      <c r="K1273" t="s">
        <v>10217</v>
      </c>
      <c r="M1273" t="s">
        <v>10488</v>
      </c>
      <c r="N1273" t="s">
        <v>10679</v>
      </c>
      <c r="P1273" t="s">
        <v>10753</v>
      </c>
      <c r="Q1273" t="s">
        <v>10763</v>
      </c>
      <c r="R1273" t="s">
        <v>10824</v>
      </c>
      <c r="T1273">
        <v>0</v>
      </c>
      <c r="U1273">
        <v>0</v>
      </c>
      <c r="V1273">
        <v>15</v>
      </c>
      <c r="W1273">
        <v>1</v>
      </c>
      <c r="X1273">
        <v>2</v>
      </c>
      <c r="Z1273">
        <v>0</v>
      </c>
      <c r="AA1273">
        <v>40.82377</v>
      </c>
      <c r="AB1273">
        <v>-73.94151599999999</v>
      </c>
      <c r="AD1273" t="s">
        <v>10840</v>
      </c>
      <c r="AF1273" t="s">
        <v>10843</v>
      </c>
      <c r="AG1273" t="s">
        <v>10859</v>
      </c>
      <c r="AH1273" t="s">
        <v>10864</v>
      </c>
      <c r="AI1273">
        <v>236</v>
      </c>
      <c r="AJ1273" t="s">
        <v>10209</v>
      </c>
      <c r="AL1273">
        <v>4.5</v>
      </c>
      <c r="AM1273" t="s">
        <v>10887</v>
      </c>
      <c r="AN1273" t="s">
        <v>10943</v>
      </c>
      <c r="AO1273" t="s">
        <v>11016</v>
      </c>
      <c r="AP1273" t="s">
        <v>11076</v>
      </c>
      <c r="AQ1273" t="s">
        <v>11183</v>
      </c>
      <c r="AR1273" t="s">
        <v>11267</v>
      </c>
      <c r="AS1273" t="s">
        <v>9925</v>
      </c>
      <c r="BA1273" t="s">
        <v>11739</v>
      </c>
      <c r="BB1273">
        <v>0</v>
      </c>
      <c r="BC1273">
        <v>0</v>
      </c>
      <c r="BD1273">
        <v>0</v>
      </c>
      <c r="BE1273">
        <v>0</v>
      </c>
      <c r="BF1273">
        <v>4</v>
      </c>
      <c r="BG1273">
        <v>0</v>
      </c>
    </row>
    <row r="1274" spans="1:59">
      <c r="A1274" s="1">
        <f>HYPERLINK("https://lsnyc.legalserver.org/matter/dynamic-profile/view/1905103","19-1905103")</f>
        <v>0</v>
      </c>
      <c r="B1274" t="s">
        <v>1167</v>
      </c>
      <c r="C1274" t="s">
        <v>6018</v>
      </c>
      <c r="D1274" t="s">
        <v>9925</v>
      </c>
      <c r="E1274" t="s">
        <v>10075</v>
      </c>
      <c r="F1274">
        <v>10039</v>
      </c>
      <c r="G1274" t="s">
        <v>10089</v>
      </c>
      <c r="H1274" t="s">
        <v>10128</v>
      </c>
      <c r="I1274" t="s">
        <v>10168</v>
      </c>
      <c r="J1274" t="s">
        <v>10209</v>
      </c>
      <c r="K1274" t="s">
        <v>10218</v>
      </c>
      <c r="L1274" t="s">
        <v>10145</v>
      </c>
      <c r="M1274" t="s">
        <v>10488</v>
      </c>
      <c r="N1274" t="s">
        <v>10679</v>
      </c>
      <c r="P1274" t="s">
        <v>10753</v>
      </c>
      <c r="Q1274" t="s">
        <v>10763</v>
      </c>
      <c r="R1274" t="s">
        <v>10824</v>
      </c>
      <c r="T1274">
        <v>0</v>
      </c>
      <c r="U1274">
        <v>0</v>
      </c>
      <c r="V1274">
        <v>15</v>
      </c>
      <c r="W1274">
        <v>1</v>
      </c>
      <c r="X1274">
        <v>2</v>
      </c>
      <c r="Y1274" t="s">
        <v>10833</v>
      </c>
      <c r="Z1274">
        <v>0</v>
      </c>
      <c r="AA1274">
        <v>40.82377</v>
      </c>
      <c r="AB1274">
        <v>-73.94151599999999</v>
      </c>
      <c r="AD1274" t="s">
        <v>10840</v>
      </c>
      <c r="AF1274" t="s">
        <v>10843</v>
      </c>
      <c r="AG1274" t="s">
        <v>10859</v>
      </c>
      <c r="AH1274" t="s">
        <v>10864</v>
      </c>
      <c r="AI1274">
        <v>236</v>
      </c>
      <c r="AJ1274" t="s">
        <v>10209</v>
      </c>
      <c r="AK1274" t="s">
        <v>10838</v>
      </c>
      <c r="AL1274">
        <v>1.5</v>
      </c>
      <c r="AM1274" t="s">
        <v>10887</v>
      </c>
      <c r="AN1274" t="s">
        <v>10943</v>
      </c>
      <c r="AO1274" t="s">
        <v>11016</v>
      </c>
      <c r="AP1274" t="s">
        <v>11076</v>
      </c>
      <c r="AQ1274" t="s">
        <v>11104</v>
      </c>
      <c r="AR1274" t="s">
        <v>11267</v>
      </c>
      <c r="AS1274" t="s">
        <v>9925</v>
      </c>
      <c r="AY1274" t="s">
        <v>10833</v>
      </c>
      <c r="AZ1274" t="s">
        <v>11699</v>
      </c>
      <c r="BA1274" t="s">
        <v>11739</v>
      </c>
      <c r="BB1274">
        <v>1170</v>
      </c>
      <c r="BC1274">
        <v>0</v>
      </c>
      <c r="BD1274">
        <v>0</v>
      </c>
      <c r="BE1274">
        <v>0</v>
      </c>
      <c r="BF1274">
        <v>4</v>
      </c>
      <c r="BG1274">
        <v>0</v>
      </c>
    </row>
    <row r="1275" spans="1:59">
      <c r="A1275" s="1">
        <f>HYPERLINK("https://lsnyc.legalserver.org/matter/dynamic-profile/view/1905104","19-1905104")</f>
        <v>0</v>
      </c>
      <c r="B1275" t="s">
        <v>1168</v>
      </c>
      <c r="C1275" t="s">
        <v>6019</v>
      </c>
      <c r="D1275" t="s">
        <v>9926</v>
      </c>
      <c r="E1275" t="s">
        <v>10075</v>
      </c>
      <c r="F1275">
        <v>10462</v>
      </c>
      <c r="G1275" t="s">
        <v>10090</v>
      </c>
      <c r="H1275" t="s">
        <v>10128</v>
      </c>
      <c r="I1275" t="s">
        <v>10168</v>
      </c>
      <c r="J1275" t="s">
        <v>10210</v>
      </c>
      <c r="K1275" t="s">
        <v>10218</v>
      </c>
      <c r="L1275" t="s">
        <v>10220</v>
      </c>
      <c r="M1275" t="s">
        <v>10336</v>
      </c>
      <c r="N1275" t="s">
        <v>10675</v>
      </c>
      <c r="P1275" t="s">
        <v>10754</v>
      </c>
      <c r="Q1275" t="s">
        <v>10770</v>
      </c>
      <c r="R1275" t="s">
        <v>10823</v>
      </c>
      <c r="T1275">
        <v>32000</v>
      </c>
      <c r="U1275">
        <v>2666.67</v>
      </c>
      <c r="V1275">
        <v>49</v>
      </c>
      <c r="W1275">
        <v>1</v>
      </c>
      <c r="X1275">
        <v>1</v>
      </c>
      <c r="Y1275" t="s">
        <v>10829</v>
      </c>
      <c r="Z1275">
        <v>189.24</v>
      </c>
      <c r="AA1275">
        <v>40.850813</v>
      </c>
      <c r="AB1275">
        <v>-73.86712900000001</v>
      </c>
      <c r="AC1275" t="s">
        <v>10837</v>
      </c>
      <c r="AD1275" t="s">
        <v>10840</v>
      </c>
      <c r="AG1275" t="s">
        <v>10858</v>
      </c>
      <c r="AH1275" t="s">
        <v>10861</v>
      </c>
      <c r="AI1275">
        <v>234</v>
      </c>
      <c r="AJ1275" t="s">
        <v>10214</v>
      </c>
      <c r="AK1275" t="s">
        <v>10882</v>
      </c>
      <c r="AL1275">
        <v>1.45</v>
      </c>
      <c r="AM1275" t="s">
        <v>10885</v>
      </c>
      <c r="AN1275" t="s">
        <v>10938</v>
      </c>
      <c r="AO1275" t="s">
        <v>11000</v>
      </c>
      <c r="AP1275" t="s">
        <v>11056</v>
      </c>
      <c r="AR1275" t="s">
        <v>11257</v>
      </c>
      <c r="AS1275" t="s">
        <v>9926</v>
      </c>
      <c r="AT1275" t="s">
        <v>11642</v>
      </c>
      <c r="AX1275" t="s">
        <v>10838</v>
      </c>
      <c r="AY1275" t="s">
        <v>10829</v>
      </c>
      <c r="AZ1275" t="s">
        <v>11683</v>
      </c>
      <c r="BA1275" t="s">
        <v>11741</v>
      </c>
      <c r="BB1275">
        <v>0</v>
      </c>
      <c r="BC1275">
        <v>0</v>
      </c>
      <c r="BD1275">
        <v>0</v>
      </c>
      <c r="BE1275">
        <v>0</v>
      </c>
      <c r="BF1275">
        <v>1</v>
      </c>
      <c r="BG1275">
        <v>0</v>
      </c>
    </row>
    <row r="1276" spans="1:59">
      <c r="A1276" s="1">
        <f>HYPERLINK("https://lsnyc.legalserver.org/matter/dynamic-profile/view/1905106","19-1905106")</f>
        <v>0</v>
      </c>
      <c r="B1276" t="s">
        <v>1169</v>
      </c>
      <c r="C1276" t="s">
        <v>6020</v>
      </c>
      <c r="D1276" t="s">
        <v>9926</v>
      </c>
      <c r="E1276" t="s">
        <v>10075</v>
      </c>
      <c r="F1276">
        <v>10456</v>
      </c>
      <c r="G1276" t="s">
        <v>10093</v>
      </c>
      <c r="H1276" t="s">
        <v>10128</v>
      </c>
      <c r="I1276" t="s">
        <v>10168</v>
      </c>
      <c r="J1276" t="s">
        <v>10213</v>
      </c>
      <c r="K1276" t="s">
        <v>10217</v>
      </c>
      <c r="M1276" t="s">
        <v>10462</v>
      </c>
      <c r="N1276" t="s">
        <v>10710</v>
      </c>
      <c r="P1276" t="s">
        <v>10750</v>
      </c>
      <c r="Q1276" t="s">
        <v>10760</v>
      </c>
      <c r="R1276" t="s">
        <v>10824</v>
      </c>
      <c r="T1276">
        <v>170000</v>
      </c>
      <c r="U1276">
        <v>14166.67</v>
      </c>
      <c r="V1276">
        <v>57</v>
      </c>
      <c r="W1276">
        <v>1</v>
      </c>
      <c r="X1276">
        <v>0</v>
      </c>
      <c r="Z1276">
        <v>1361.09</v>
      </c>
      <c r="AA1276">
        <v>40.83653</v>
      </c>
      <c r="AB1276">
        <v>-73.908041</v>
      </c>
      <c r="AD1276" t="s">
        <v>10840</v>
      </c>
      <c r="AG1276" t="s">
        <v>10858</v>
      </c>
      <c r="AH1276" t="s">
        <v>10861</v>
      </c>
      <c r="AI1276">
        <v>234</v>
      </c>
      <c r="AJ1276" t="s">
        <v>10214</v>
      </c>
      <c r="AL1276">
        <v>4.5</v>
      </c>
      <c r="AM1276" t="s">
        <v>10884</v>
      </c>
      <c r="AN1276" t="s">
        <v>10929</v>
      </c>
      <c r="AO1276" t="s">
        <v>11000</v>
      </c>
      <c r="AP1276" t="s">
        <v>11055</v>
      </c>
      <c r="AR1276" t="s">
        <v>11288</v>
      </c>
      <c r="AS1276" t="s">
        <v>9926</v>
      </c>
      <c r="AT1276" t="s">
        <v>11642</v>
      </c>
      <c r="AX1276" t="s">
        <v>10838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</row>
    <row r="1277" spans="1:59">
      <c r="A1277" s="1">
        <f>HYPERLINK("https://lsnyc.legalserver.org/matter/dynamic-profile/view/1905107","19-1905107")</f>
        <v>0</v>
      </c>
      <c r="B1277" t="s">
        <v>1170</v>
      </c>
      <c r="C1277" t="s">
        <v>6021</v>
      </c>
      <c r="D1277" t="s">
        <v>9963</v>
      </c>
      <c r="E1277" t="s">
        <v>10075</v>
      </c>
      <c r="F1277">
        <v>11385</v>
      </c>
      <c r="G1277" t="s">
        <v>10092</v>
      </c>
      <c r="H1277" t="s">
        <v>10128</v>
      </c>
      <c r="I1277" t="s">
        <v>10168</v>
      </c>
      <c r="J1277" t="s">
        <v>10212</v>
      </c>
      <c r="K1277" t="s">
        <v>10217</v>
      </c>
      <c r="M1277" t="s">
        <v>10410</v>
      </c>
      <c r="N1277" t="s">
        <v>10693</v>
      </c>
      <c r="P1277" t="s">
        <v>10749</v>
      </c>
      <c r="Q1277" t="s">
        <v>10765</v>
      </c>
      <c r="R1277" t="s">
        <v>10822</v>
      </c>
      <c r="T1277">
        <v>0</v>
      </c>
      <c r="U1277">
        <v>0</v>
      </c>
      <c r="V1277">
        <v>50</v>
      </c>
      <c r="W1277">
        <v>1</v>
      </c>
      <c r="X1277">
        <v>0</v>
      </c>
      <c r="Z1277">
        <v>0</v>
      </c>
      <c r="AA1277">
        <v>40.702893</v>
      </c>
      <c r="AB1277">
        <v>-73.890265</v>
      </c>
      <c r="AD1277" t="s">
        <v>10840</v>
      </c>
      <c r="AG1277" t="s">
        <v>10858</v>
      </c>
      <c r="AH1277" t="s">
        <v>10862</v>
      </c>
      <c r="AI1277">
        <v>237</v>
      </c>
      <c r="AJ1277" t="s">
        <v>10212</v>
      </c>
      <c r="AL1277">
        <v>35.1</v>
      </c>
      <c r="AM1277" t="s">
        <v>10890</v>
      </c>
      <c r="AN1277" t="s">
        <v>10945</v>
      </c>
      <c r="AO1277" t="s">
        <v>11024</v>
      </c>
      <c r="AP1277" t="s">
        <v>11077</v>
      </c>
      <c r="AR1277" t="s">
        <v>11267</v>
      </c>
      <c r="AS1277" t="s">
        <v>11594</v>
      </c>
      <c r="BA1277" t="s">
        <v>11738</v>
      </c>
      <c r="BB1277">
        <v>0</v>
      </c>
      <c r="BC1277">
        <v>0</v>
      </c>
      <c r="BD1277">
        <v>0</v>
      </c>
      <c r="BE1277">
        <v>0</v>
      </c>
      <c r="BF1277">
        <v>5</v>
      </c>
      <c r="BG1277">
        <v>0</v>
      </c>
    </row>
    <row r="1278" spans="1:59">
      <c r="A1278" s="1">
        <f>HYPERLINK("https://lsnyc.legalserver.org/matter/dynamic-profile/view/1905108","19-1905108")</f>
        <v>0</v>
      </c>
      <c r="B1278" t="s">
        <v>1171</v>
      </c>
      <c r="C1278" t="s">
        <v>6022</v>
      </c>
      <c r="D1278" t="s">
        <v>9931</v>
      </c>
      <c r="E1278" t="s">
        <v>10075</v>
      </c>
      <c r="F1278">
        <v>11355</v>
      </c>
      <c r="G1278" t="s">
        <v>10092</v>
      </c>
      <c r="H1278" t="s">
        <v>10128</v>
      </c>
      <c r="I1278" t="s">
        <v>10189</v>
      </c>
      <c r="J1278" t="s">
        <v>10212</v>
      </c>
      <c r="K1278" t="s">
        <v>10217</v>
      </c>
      <c r="M1278" t="s">
        <v>10282</v>
      </c>
      <c r="N1278" t="s">
        <v>10674</v>
      </c>
      <c r="P1278" t="s">
        <v>10753</v>
      </c>
      <c r="Q1278" t="s">
        <v>10763</v>
      </c>
      <c r="R1278" t="s">
        <v>10827</v>
      </c>
      <c r="T1278">
        <v>14400</v>
      </c>
      <c r="U1278">
        <v>1200</v>
      </c>
      <c r="V1278">
        <v>36</v>
      </c>
      <c r="W1278">
        <v>1</v>
      </c>
      <c r="X1278">
        <v>0</v>
      </c>
      <c r="Z1278">
        <v>115.29</v>
      </c>
      <c r="AA1278">
        <v>40.760671</v>
      </c>
      <c r="AB1278">
        <v>-73.816676</v>
      </c>
      <c r="AD1278" t="s">
        <v>10839</v>
      </c>
      <c r="AF1278" t="s">
        <v>10842</v>
      </c>
      <c r="AG1278" t="s">
        <v>10859</v>
      </c>
      <c r="AH1278" t="s">
        <v>10864</v>
      </c>
      <c r="AI1278">
        <v>237</v>
      </c>
      <c r="AJ1278" t="s">
        <v>10212</v>
      </c>
      <c r="AL1278">
        <v>2.3</v>
      </c>
      <c r="AM1278" t="s">
        <v>10890</v>
      </c>
      <c r="AN1278" t="s">
        <v>10927</v>
      </c>
      <c r="AO1278" t="s">
        <v>11009</v>
      </c>
      <c r="AP1278" t="s">
        <v>11067</v>
      </c>
      <c r="AQ1278" t="s">
        <v>11096</v>
      </c>
      <c r="AR1278" t="s">
        <v>10180</v>
      </c>
      <c r="AS1278" t="s">
        <v>11594</v>
      </c>
      <c r="AX1278" t="s">
        <v>10838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</row>
    <row r="1279" spans="1:59">
      <c r="A1279" s="1">
        <f>HYPERLINK("https://lsnyc.legalserver.org/matter/dynamic-profile/view/1905109","19-1905109")</f>
        <v>0</v>
      </c>
      <c r="B1279" t="s">
        <v>1172</v>
      </c>
      <c r="C1279" t="s">
        <v>5059</v>
      </c>
      <c r="D1279" t="s">
        <v>9928</v>
      </c>
      <c r="E1279" t="s">
        <v>10075</v>
      </c>
      <c r="F1279">
        <v>11220</v>
      </c>
      <c r="G1279" t="s">
        <v>10093</v>
      </c>
      <c r="H1279" t="s">
        <v>10128</v>
      </c>
      <c r="I1279" t="s">
        <v>10168</v>
      </c>
      <c r="J1279" t="s">
        <v>10213</v>
      </c>
      <c r="K1279" t="s">
        <v>10217</v>
      </c>
      <c r="M1279" t="s">
        <v>10263</v>
      </c>
      <c r="N1279" t="s">
        <v>10650</v>
      </c>
      <c r="P1279" t="s">
        <v>10749</v>
      </c>
      <c r="Q1279" t="s">
        <v>10765</v>
      </c>
      <c r="R1279" t="s">
        <v>10821</v>
      </c>
      <c r="T1279">
        <v>40000</v>
      </c>
      <c r="U1279">
        <v>3333.33</v>
      </c>
      <c r="V1279">
        <v>57</v>
      </c>
      <c r="W1279">
        <v>4</v>
      </c>
      <c r="X1279">
        <v>0</v>
      </c>
      <c r="Z1279">
        <v>155.34</v>
      </c>
      <c r="AA1279">
        <v>40.645461</v>
      </c>
      <c r="AB1279">
        <v>-74.002331</v>
      </c>
      <c r="AD1279" t="s">
        <v>10839</v>
      </c>
      <c r="AF1279" t="s">
        <v>10843</v>
      </c>
      <c r="AG1279" t="s">
        <v>10859</v>
      </c>
      <c r="AH1279" t="s">
        <v>10862</v>
      </c>
      <c r="AI1279">
        <v>239</v>
      </c>
      <c r="AJ1279" t="s">
        <v>10213</v>
      </c>
      <c r="AL1279">
        <v>0.2</v>
      </c>
      <c r="AM1279" t="s">
        <v>10886</v>
      </c>
      <c r="AN1279" t="s">
        <v>10921</v>
      </c>
      <c r="AO1279" t="s">
        <v>11015</v>
      </c>
      <c r="AP1279" t="s">
        <v>11069</v>
      </c>
      <c r="AQ1279" t="s">
        <v>11120</v>
      </c>
      <c r="AR1279" t="s">
        <v>11276</v>
      </c>
      <c r="AS1279" t="s">
        <v>11595</v>
      </c>
      <c r="BA1279" t="s">
        <v>11738</v>
      </c>
      <c r="BB1279">
        <v>0</v>
      </c>
      <c r="BC1279">
        <v>0</v>
      </c>
      <c r="BD1279">
        <v>0</v>
      </c>
      <c r="BE1279">
        <v>0</v>
      </c>
      <c r="BF1279">
        <v>5</v>
      </c>
      <c r="BG1279">
        <v>0</v>
      </c>
    </row>
    <row r="1280" spans="1:59">
      <c r="A1280" s="1">
        <f>HYPERLINK("https://lsnyc.legalserver.org/matter/dynamic-profile/view/1905110","19-1905110")</f>
        <v>0</v>
      </c>
      <c r="B1280" t="s">
        <v>1173</v>
      </c>
      <c r="C1280" t="s">
        <v>6023</v>
      </c>
      <c r="D1280" t="s">
        <v>9929</v>
      </c>
      <c r="E1280" t="s">
        <v>10075</v>
      </c>
      <c r="F1280">
        <v>10301</v>
      </c>
      <c r="G1280" t="s">
        <v>10088</v>
      </c>
      <c r="H1280" t="s">
        <v>10124</v>
      </c>
      <c r="I1280" t="s">
        <v>10168</v>
      </c>
      <c r="J1280" t="s">
        <v>10208</v>
      </c>
      <c r="K1280" t="s">
        <v>10217</v>
      </c>
      <c r="M1280" t="s">
        <v>10237</v>
      </c>
      <c r="N1280" t="s">
        <v>10701</v>
      </c>
      <c r="P1280" t="s">
        <v>10754</v>
      </c>
      <c r="Q1280" t="s">
        <v>10766</v>
      </c>
      <c r="R1280" t="s">
        <v>10822</v>
      </c>
      <c r="T1280">
        <v>8148</v>
      </c>
      <c r="U1280">
        <v>679</v>
      </c>
      <c r="V1280">
        <v>34</v>
      </c>
      <c r="W1280">
        <v>1</v>
      </c>
      <c r="X1280">
        <v>2</v>
      </c>
      <c r="Z1280">
        <v>38.2</v>
      </c>
      <c r="AA1280">
        <v>40.639558</v>
      </c>
      <c r="AB1280">
        <v>-74.087182</v>
      </c>
      <c r="AD1280" t="s">
        <v>10839</v>
      </c>
      <c r="AG1280" t="s">
        <v>10858</v>
      </c>
      <c r="AH1280" t="s">
        <v>10861</v>
      </c>
      <c r="AI1280">
        <v>285</v>
      </c>
      <c r="AJ1280" t="s">
        <v>10208</v>
      </c>
      <c r="AL1280">
        <v>1.1</v>
      </c>
      <c r="AM1280" t="s">
        <v>10883</v>
      </c>
      <c r="AN1280" t="s">
        <v>10913</v>
      </c>
      <c r="AO1280" t="s">
        <v>11006</v>
      </c>
      <c r="AP1280" t="s">
        <v>11051</v>
      </c>
      <c r="AQ1280" t="s">
        <v>11112</v>
      </c>
      <c r="AR1280" t="s">
        <v>11263</v>
      </c>
      <c r="AS1280" t="s">
        <v>11593</v>
      </c>
      <c r="AT1280" t="s">
        <v>11641</v>
      </c>
      <c r="AX1280" t="s">
        <v>10838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</row>
    <row r="1281" spans="1:59">
      <c r="A1281" s="1">
        <f>HYPERLINK("https://lsnyc.legalserver.org/matter/dynamic-profile/view/1905111","19-1905111")</f>
        <v>0</v>
      </c>
      <c r="B1281" t="s">
        <v>1174</v>
      </c>
      <c r="C1281" t="s">
        <v>6024</v>
      </c>
      <c r="D1281" t="s">
        <v>9994</v>
      </c>
      <c r="E1281" t="s">
        <v>10075</v>
      </c>
      <c r="F1281">
        <v>11552</v>
      </c>
      <c r="G1281" t="s">
        <v>10093</v>
      </c>
      <c r="H1281" t="s">
        <v>10128</v>
      </c>
      <c r="I1281" t="s">
        <v>10168</v>
      </c>
      <c r="J1281" t="s">
        <v>10213</v>
      </c>
      <c r="K1281" t="s">
        <v>10217</v>
      </c>
      <c r="M1281" t="s">
        <v>10436</v>
      </c>
      <c r="N1281" t="s">
        <v>10710</v>
      </c>
      <c r="P1281" t="s">
        <v>10750</v>
      </c>
      <c r="Q1281" t="s">
        <v>10760</v>
      </c>
      <c r="R1281" t="s">
        <v>10824</v>
      </c>
      <c r="T1281">
        <v>0</v>
      </c>
      <c r="U1281">
        <v>0</v>
      </c>
      <c r="V1281">
        <v>80</v>
      </c>
      <c r="W1281">
        <v>1</v>
      </c>
      <c r="X1281">
        <v>0</v>
      </c>
      <c r="Z1281">
        <v>0</v>
      </c>
      <c r="AA1281">
        <v>40.677553</v>
      </c>
      <c r="AB1281">
        <v>-73.65677100000001</v>
      </c>
      <c r="AD1281" t="s">
        <v>10839</v>
      </c>
      <c r="AF1281" t="s">
        <v>10843</v>
      </c>
      <c r="AG1281" t="s">
        <v>10859</v>
      </c>
      <c r="AH1281" t="s">
        <v>10861</v>
      </c>
      <c r="AI1281">
        <v>234</v>
      </c>
      <c r="AJ1281" t="s">
        <v>10214</v>
      </c>
      <c r="AL1281">
        <v>0.8</v>
      </c>
      <c r="AM1281" t="s">
        <v>10900</v>
      </c>
      <c r="AN1281" t="s">
        <v>10978</v>
      </c>
      <c r="AO1281" t="s">
        <v>11032</v>
      </c>
      <c r="AQ1281" t="s">
        <v>11141</v>
      </c>
      <c r="AR1281" t="s">
        <v>11267</v>
      </c>
      <c r="AS1281" t="s">
        <v>9925</v>
      </c>
      <c r="AT1281" t="s">
        <v>11641</v>
      </c>
      <c r="AX1281" t="s">
        <v>10838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</row>
    <row r="1282" spans="1:59">
      <c r="A1282" s="1">
        <f>HYPERLINK("https://lsnyc.legalserver.org/matter/dynamic-profile/view/1905112","19-1905112")</f>
        <v>0</v>
      </c>
      <c r="B1282" t="s">
        <v>598</v>
      </c>
      <c r="C1282" t="s">
        <v>5508</v>
      </c>
      <c r="D1282" t="s">
        <v>9926</v>
      </c>
      <c r="E1282" t="s">
        <v>10075</v>
      </c>
      <c r="F1282">
        <v>10455</v>
      </c>
      <c r="G1282" t="s">
        <v>10090</v>
      </c>
      <c r="H1282" t="s">
        <v>10128</v>
      </c>
      <c r="I1282" t="s">
        <v>10168</v>
      </c>
      <c r="J1282" t="s">
        <v>10210</v>
      </c>
      <c r="K1282" t="s">
        <v>10217</v>
      </c>
      <c r="M1282" t="s">
        <v>10463</v>
      </c>
      <c r="N1282" t="s">
        <v>10650</v>
      </c>
      <c r="P1282" t="s">
        <v>10749</v>
      </c>
      <c r="Q1282" t="s">
        <v>10765</v>
      </c>
      <c r="R1282" t="s">
        <v>10821</v>
      </c>
      <c r="T1282">
        <v>2496</v>
      </c>
      <c r="U1282">
        <v>208</v>
      </c>
      <c r="V1282">
        <v>39</v>
      </c>
      <c r="W1282">
        <v>1</v>
      </c>
      <c r="X1282">
        <v>2</v>
      </c>
      <c r="Z1282">
        <v>11.7</v>
      </c>
      <c r="AA1282">
        <v>40.814695</v>
      </c>
      <c r="AB1282">
        <v>-73.910837</v>
      </c>
      <c r="AD1282" t="s">
        <v>10839</v>
      </c>
      <c r="AF1282" t="s">
        <v>10843</v>
      </c>
      <c r="AG1282" t="s">
        <v>10859</v>
      </c>
      <c r="AH1282" t="s">
        <v>10871</v>
      </c>
      <c r="AI1282">
        <v>230</v>
      </c>
      <c r="AJ1282" t="s">
        <v>10210</v>
      </c>
      <c r="AL1282">
        <v>2.5</v>
      </c>
      <c r="AM1282" t="s">
        <v>10884</v>
      </c>
      <c r="AN1282" t="s">
        <v>10924</v>
      </c>
      <c r="AO1282" t="s">
        <v>11013</v>
      </c>
      <c r="AP1282" t="s">
        <v>11062</v>
      </c>
      <c r="AR1282" t="s">
        <v>11311</v>
      </c>
      <c r="AS1282" t="s">
        <v>9926</v>
      </c>
      <c r="BA1282" t="s">
        <v>11739</v>
      </c>
      <c r="BB1282">
        <v>0</v>
      </c>
      <c r="BC1282">
        <v>0</v>
      </c>
      <c r="BD1282">
        <v>0</v>
      </c>
      <c r="BE1282">
        <v>0</v>
      </c>
      <c r="BF1282">
        <v>4</v>
      </c>
      <c r="BG1282">
        <v>0</v>
      </c>
    </row>
    <row r="1283" spans="1:59">
      <c r="A1283" s="1">
        <f>HYPERLINK("https://lsnyc.legalserver.org/matter/dynamic-profile/view/1905113","19-1905113")</f>
        <v>0</v>
      </c>
      <c r="B1283" t="s">
        <v>1175</v>
      </c>
      <c r="C1283" t="s">
        <v>6025</v>
      </c>
      <c r="D1283" t="s">
        <v>9925</v>
      </c>
      <c r="E1283" t="s">
        <v>10075</v>
      </c>
      <c r="F1283">
        <v>10002</v>
      </c>
      <c r="G1283" t="s">
        <v>10089</v>
      </c>
      <c r="H1283" t="s">
        <v>10128</v>
      </c>
      <c r="I1283" t="s">
        <v>10190</v>
      </c>
      <c r="J1283" t="s">
        <v>10209</v>
      </c>
      <c r="K1283" t="s">
        <v>10217</v>
      </c>
      <c r="M1283" t="s">
        <v>10300</v>
      </c>
      <c r="N1283" t="s">
        <v>10670</v>
      </c>
      <c r="P1283" t="s">
        <v>10754</v>
      </c>
      <c r="Q1283" t="s">
        <v>10775</v>
      </c>
      <c r="R1283" t="s">
        <v>10824</v>
      </c>
      <c r="T1283">
        <v>9240</v>
      </c>
      <c r="U1283">
        <v>770</v>
      </c>
      <c r="V1283">
        <v>57</v>
      </c>
      <c r="W1283">
        <v>1</v>
      </c>
      <c r="X1283">
        <v>0</v>
      </c>
      <c r="Z1283">
        <v>73.98</v>
      </c>
      <c r="AA1283">
        <v>40.712819</v>
      </c>
      <c r="AB1283">
        <v>-73.98271200000001</v>
      </c>
      <c r="AD1283" t="s">
        <v>10839</v>
      </c>
      <c r="AG1283" t="s">
        <v>10858</v>
      </c>
      <c r="AH1283" t="s">
        <v>10865</v>
      </c>
      <c r="AI1283">
        <v>236</v>
      </c>
      <c r="AJ1283" t="s">
        <v>10209</v>
      </c>
      <c r="AK1283" t="s">
        <v>10837</v>
      </c>
      <c r="AL1283">
        <v>10.3</v>
      </c>
      <c r="AM1283" t="s">
        <v>10886</v>
      </c>
      <c r="AN1283" t="s">
        <v>10963</v>
      </c>
      <c r="AO1283" t="s">
        <v>11004</v>
      </c>
      <c r="AP1283" t="s">
        <v>11048</v>
      </c>
      <c r="AQ1283" t="s">
        <v>11114</v>
      </c>
      <c r="AR1283" t="s">
        <v>11296</v>
      </c>
      <c r="AS1283" t="s">
        <v>9925</v>
      </c>
      <c r="AT1283" t="s">
        <v>11641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</row>
    <row r="1284" spans="1:59">
      <c r="A1284" s="1">
        <f>HYPERLINK("https://lsnyc.legalserver.org/matter/dynamic-profile/view/1905114","19-1905114")</f>
        <v>0</v>
      </c>
      <c r="B1284" t="s">
        <v>1173</v>
      </c>
      <c r="C1284" t="s">
        <v>6023</v>
      </c>
      <c r="D1284" t="s">
        <v>9929</v>
      </c>
      <c r="E1284" t="s">
        <v>10075</v>
      </c>
      <c r="F1284">
        <v>10301</v>
      </c>
      <c r="G1284" t="s">
        <v>10088</v>
      </c>
      <c r="H1284" t="s">
        <v>10124</v>
      </c>
      <c r="I1284" t="s">
        <v>10168</v>
      </c>
      <c r="J1284" t="s">
        <v>10208</v>
      </c>
      <c r="K1284" t="s">
        <v>10217</v>
      </c>
      <c r="M1284" t="s">
        <v>10237</v>
      </c>
      <c r="N1284" t="s">
        <v>10700</v>
      </c>
      <c r="P1284" t="s">
        <v>10754</v>
      </c>
      <c r="Q1284" t="s">
        <v>10777</v>
      </c>
      <c r="R1284" t="s">
        <v>10822</v>
      </c>
      <c r="T1284">
        <v>8148</v>
      </c>
      <c r="U1284">
        <v>679</v>
      </c>
      <c r="V1284">
        <v>34</v>
      </c>
      <c r="W1284">
        <v>1</v>
      </c>
      <c r="X1284">
        <v>2</v>
      </c>
      <c r="Z1284">
        <v>38.2</v>
      </c>
      <c r="AA1284">
        <v>40.639558</v>
      </c>
      <c r="AB1284">
        <v>-74.087182</v>
      </c>
      <c r="AD1284" t="s">
        <v>10839</v>
      </c>
      <c r="AG1284" t="s">
        <v>10858</v>
      </c>
      <c r="AH1284" t="s">
        <v>10861</v>
      </c>
      <c r="AI1284">
        <v>285</v>
      </c>
      <c r="AJ1284" t="s">
        <v>10208</v>
      </c>
      <c r="AL1284">
        <v>1.2</v>
      </c>
      <c r="AM1284" t="s">
        <v>10883</v>
      </c>
      <c r="AN1284" t="s">
        <v>10913</v>
      </c>
      <c r="AO1284" t="s">
        <v>11006</v>
      </c>
      <c r="AP1284" t="s">
        <v>11051</v>
      </c>
      <c r="AQ1284" t="s">
        <v>11128</v>
      </c>
      <c r="AR1284" t="s">
        <v>11263</v>
      </c>
      <c r="AS1284" t="s">
        <v>11593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</row>
    <row r="1285" spans="1:59">
      <c r="A1285" s="1">
        <f>HYPERLINK("https://lsnyc.legalserver.org/matter/dynamic-profile/view/1905115","19-1905115")</f>
        <v>0</v>
      </c>
      <c r="B1285" t="s">
        <v>626</v>
      </c>
      <c r="C1285" t="s">
        <v>5059</v>
      </c>
      <c r="D1285" t="s">
        <v>9928</v>
      </c>
      <c r="E1285" t="s">
        <v>10075</v>
      </c>
      <c r="F1285">
        <v>11220</v>
      </c>
      <c r="G1285" t="s">
        <v>10093</v>
      </c>
      <c r="H1285" t="s">
        <v>10128</v>
      </c>
      <c r="I1285" t="s">
        <v>10168</v>
      </c>
      <c r="J1285" t="s">
        <v>10213</v>
      </c>
      <c r="K1285" t="s">
        <v>10217</v>
      </c>
      <c r="M1285" t="s">
        <v>10263</v>
      </c>
      <c r="N1285" t="s">
        <v>10650</v>
      </c>
      <c r="P1285" t="s">
        <v>10749</v>
      </c>
      <c r="Q1285" t="s">
        <v>10765</v>
      </c>
      <c r="R1285" t="s">
        <v>10820</v>
      </c>
      <c r="T1285">
        <v>18780</v>
      </c>
      <c r="U1285">
        <v>1565</v>
      </c>
      <c r="V1285">
        <v>61</v>
      </c>
      <c r="W1285">
        <v>3</v>
      </c>
      <c r="X1285">
        <v>0</v>
      </c>
      <c r="Z1285">
        <v>88.05</v>
      </c>
      <c r="AA1285">
        <v>40.645461</v>
      </c>
      <c r="AB1285">
        <v>-74.002331</v>
      </c>
      <c r="AD1285" t="s">
        <v>10839</v>
      </c>
      <c r="AG1285" t="s">
        <v>10858</v>
      </c>
      <c r="AH1285" t="s">
        <v>10862</v>
      </c>
      <c r="AI1285">
        <v>239</v>
      </c>
      <c r="AJ1285" t="s">
        <v>10213</v>
      </c>
      <c r="AL1285">
        <v>26.45</v>
      </c>
      <c r="AM1285" t="s">
        <v>10886</v>
      </c>
      <c r="AN1285" t="s">
        <v>10921</v>
      </c>
      <c r="AO1285" t="s">
        <v>11015</v>
      </c>
      <c r="AP1285" t="s">
        <v>11069</v>
      </c>
      <c r="AQ1285" t="s">
        <v>11120</v>
      </c>
      <c r="AR1285" t="s">
        <v>11296</v>
      </c>
      <c r="AS1285" t="s">
        <v>11595</v>
      </c>
      <c r="BA1285" t="s">
        <v>11738</v>
      </c>
      <c r="BB1285">
        <v>0</v>
      </c>
      <c r="BC1285">
        <v>0</v>
      </c>
      <c r="BD1285">
        <v>0</v>
      </c>
      <c r="BE1285">
        <v>0</v>
      </c>
      <c r="BF1285">
        <v>5</v>
      </c>
      <c r="BG1285">
        <v>0</v>
      </c>
    </row>
    <row r="1286" spans="1:59">
      <c r="A1286" s="1">
        <f>HYPERLINK("https://lsnyc.legalserver.org/matter/dynamic-profile/view/1905117","19-1905117")</f>
        <v>0</v>
      </c>
      <c r="B1286" t="s">
        <v>1052</v>
      </c>
      <c r="C1286" t="s">
        <v>5920</v>
      </c>
      <c r="D1286" t="s">
        <v>9929</v>
      </c>
      <c r="E1286" t="s">
        <v>10075</v>
      </c>
      <c r="F1286">
        <v>10305</v>
      </c>
      <c r="G1286" t="s">
        <v>10088</v>
      </c>
      <c r="H1286" t="s">
        <v>10124</v>
      </c>
      <c r="I1286" t="s">
        <v>10168</v>
      </c>
      <c r="J1286" t="s">
        <v>10208</v>
      </c>
      <c r="K1286" t="s">
        <v>10217</v>
      </c>
      <c r="M1286" t="s">
        <v>10237</v>
      </c>
      <c r="N1286" t="s">
        <v>10700</v>
      </c>
      <c r="P1286" t="s">
        <v>10754</v>
      </c>
      <c r="Q1286" t="s">
        <v>10766</v>
      </c>
      <c r="R1286" t="s">
        <v>10822</v>
      </c>
      <c r="T1286">
        <v>55000</v>
      </c>
      <c r="U1286">
        <v>4583.33</v>
      </c>
      <c r="V1286">
        <v>33</v>
      </c>
      <c r="W1286">
        <v>2</v>
      </c>
      <c r="X1286">
        <v>1</v>
      </c>
      <c r="Z1286">
        <v>257.85</v>
      </c>
      <c r="AA1286">
        <v>40.616375</v>
      </c>
      <c r="AB1286">
        <v>-74.065206</v>
      </c>
      <c r="AD1286" t="s">
        <v>10839</v>
      </c>
      <c r="AG1286" t="s">
        <v>10858</v>
      </c>
      <c r="AH1286" t="s">
        <v>10861</v>
      </c>
      <c r="AI1286">
        <v>285</v>
      </c>
      <c r="AJ1286" t="s">
        <v>10208</v>
      </c>
      <c r="AL1286">
        <v>0.5</v>
      </c>
      <c r="AM1286" t="s">
        <v>10883</v>
      </c>
      <c r="AN1286" t="s">
        <v>10915</v>
      </c>
      <c r="AO1286" t="s">
        <v>11006</v>
      </c>
      <c r="AP1286" t="s">
        <v>11051</v>
      </c>
      <c r="AQ1286" t="s">
        <v>11112</v>
      </c>
      <c r="AR1286" t="s">
        <v>11257</v>
      </c>
      <c r="AS1286" t="s">
        <v>11593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</row>
    <row r="1287" spans="1:59">
      <c r="A1287" s="1">
        <f>HYPERLINK("https://lsnyc.legalserver.org/matter/dynamic-profile/view/1905118","19-1905118")</f>
        <v>0</v>
      </c>
      <c r="B1287" t="s">
        <v>1176</v>
      </c>
      <c r="C1287" t="s">
        <v>6026</v>
      </c>
      <c r="D1287" t="s">
        <v>9928</v>
      </c>
      <c r="E1287" t="s">
        <v>10075</v>
      </c>
      <c r="F1287">
        <v>11233</v>
      </c>
      <c r="G1287" t="s">
        <v>10093</v>
      </c>
      <c r="H1287" t="s">
        <v>10128</v>
      </c>
      <c r="I1287" t="s">
        <v>10168</v>
      </c>
      <c r="J1287" t="s">
        <v>10213</v>
      </c>
      <c r="K1287" t="s">
        <v>10217</v>
      </c>
      <c r="M1287" t="s">
        <v>10505</v>
      </c>
      <c r="N1287" t="s">
        <v>10650</v>
      </c>
      <c r="P1287" t="s">
        <v>10749</v>
      </c>
      <c r="Q1287" t="s">
        <v>10765</v>
      </c>
      <c r="R1287" t="s">
        <v>10824</v>
      </c>
      <c r="T1287">
        <v>8580</v>
      </c>
      <c r="U1287">
        <v>715</v>
      </c>
      <c r="V1287">
        <v>63</v>
      </c>
      <c r="W1287">
        <v>1</v>
      </c>
      <c r="X1287">
        <v>0</v>
      </c>
      <c r="Z1287">
        <v>68.69</v>
      </c>
      <c r="AA1287">
        <v>40.667222</v>
      </c>
      <c r="AB1287">
        <v>-73.92395</v>
      </c>
      <c r="AD1287" t="s">
        <v>10840</v>
      </c>
      <c r="AG1287" t="s">
        <v>10858</v>
      </c>
      <c r="AH1287" t="s">
        <v>10862</v>
      </c>
      <c r="AI1287">
        <v>239</v>
      </c>
      <c r="AJ1287" t="s">
        <v>10213</v>
      </c>
      <c r="AL1287">
        <v>1.5</v>
      </c>
      <c r="AM1287" t="s">
        <v>10888</v>
      </c>
      <c r="AN1287" t="s">
        <v>10922</v>
      </c>
      <c r="AO1287" t="s">
        <v>11005</v>
      </c>
      <c r="AP1287" t="s">
        <v>11064</v>
      </c>
      <c r="AR1287" t="s">
        <v>11408</v>
      </c>
      <c r="AS1287" t="s">
        <v>11595</v>
      </c>
      <c r="AT1287" t="s">
        <v>11642</v>
      </c>
      <c r="AX1287" t="s">
        <v>10838</v>
      </c>
      <c r="BA1287" t="s">
        <v>11738</v>
      </c>
      <c r="BB1287">
        <v>0</v>
      </c>
      <c r="BC1287">
        <v>0</v>
      </c>
      <c r="BD1287">
        <v>0</v>
      </c>
      <c r="BE1287">
        <v>0</v>
      </c>
      <c r="BF1287">
        <v>5</v>
      </c>
      <c r="BG1287">
        <v>0</v>
      </c>
    </row>
    <row r="1288" spans="1:59">
      <c r="A1288" s="1">
        <f>HYPERLINK("https://lsnyc.legalserver.org/matter/dynamic-profile/view/1905119","19-1905119")</f>
        <v>0</v>
      </c>
      <c r="B1288" t="s">
        <v>1177</v>
      </c>
      <c r="C1288" t="s">
        <v>6027</v>
      </c>
      <c r="D1288" t="s">
        <v>9995</v>
      </c>
      <c r="E1288" t="s">
        <v>10075</v>
      </c>
      <c r="F1288">
        <v>10940</v>
      </c>
      <c r="G1288" t="s">
        <v>10089</v>
      </c>
      <c r="H1288" t="s">
        <v>10128</v>
      </c>
      <c r="I1288" t="s">
        <v>10169</v>
      </c>
      <c r="J1288" t="s">
        <v>10209</v>
      </c>
      <c r="K1288" t="s">
        <v>10217</v>
      </c>
      <c r="M1288" t="s">
        <v>10381</v>
      </c>
      <c r="N1288" t="s">
        <v>10724</v>
      </c>
      <c r="P1288" t="s">
        <v>10751</v>
      </c>
      <c r="Q1288" t="s">
        <v>10780</v>
      </c>
      <c r="R1288" t="s">
        <v>10821</v>
      </c>
      <c r="T1288">
        <v>7260</v>
      </c>
      <c r="U1288">
        <v>605</v>
      </c>
      <c r="V1288">
        <v>43</v>
      </c>
      <c r="W1288">
        <v>2</v>
      </c>
      <c r="X1288">
        <v>3</v>
      </c>
      <c r="Z1288">
        <v>24.06</v>
      </c>
      <c r="AA1288">
        <v>41.433948</v>
      </c>
      <c r="AB1288">
        <v>-74.413747</v>
      </c>
      <c r="AD1288" t="s">
        <v>10839</v>
      </c>
      <c r="AG1288" t="s">
        <v>10858</v>
      </c>
      <c r="AH1288" t="s">
        <v>10866</v>
      </c>
      <c r="AI1288">
        <v>236</v>
      </c>
      <c r="AJ1288" t="s">
        <v>10209</v>
      </c>
      <c r="AL1288">
        <v>0.25</v>
      </c>
      <c r="AM1288" t="s">
        <v>10901</v>
      </c>
      <c r="AN1288" t="s">
        <v>10979</v>
      </c>
      <c r="AO1288" t="s">
        <v>11033</v>
      </c>
      <c r="AR1288" t="s">
        <v>11310</v>
      </c>
      <c r="AS1288" t="s">
        <v>9925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</row>
    <row r="1289" spans="1:59">
      <c r="A1289" s="1">
        <f>HYPERLINK("https://lsnyc.legalserver.org/matter/dynamic-profile/view/1905120","19-1905120")</f>
        <v>0</v>
      </c>
      <c r="B1289" t="s">
        <v>1178</v>
      </c>
      <c r="C1289" t="s">
        <v>5508</v>
      </c>
      <c r="D1289" t="s">
        <v>9926</v>
      </c>
      <c r="E1289" t="s">
        <v>10075</v>
      </c>
      <c r="F1289">
        <v>10455</v>
      </c>
      <c r="G1289" t="s">
        <v>10090</v>
      </c>
      <c r="H1289" t="s">
        <v>10128</v>
      </c>
      <c r="I1289" t="s">
        <v>10168</v>
      </c>
      <c r="J1289" t="s">
        <v>10210</v>
      </c>
      <c r="K1289" t="s">
        <v>10217</v>
      </c>
      <c r="M1289" t="s">
        <v>10463</v>
      </c>
      <c r="N1289" t="s">
        <v>10650</v>
      </c>
      <c r="P1289" t="s">
        <v>10749</v>
      </c>
      <c r="Q1289" t="s">
        <v>10765</v>
      </c>
      <c r="R1289" t="s">
        <v>10821</v>
      </c>
      <c r="T1289">
        <v>10452</v>
      </c>
      <c r="U1289">
        <v>871</v>
      </c>
      <c r="V1289">
        <v>41</v>
      </c>
      <c r="W1289">
        <v>1</v>
      </c>
      <c r="X1289">
        <v>0</v>
      </c>
      <c r="Z1289">
        <v>83.68000000000001</v>
      </c>
      <c r="AA1289">
        <v>40.814695</v>
      </c>
      <c r="AB1289">
        <v>-73.910837</v>
      </c>
      <c r="AD1289" t="s">
        <v>10840</v>
      </c>
      <c r="AG1289" t="s">
        <v>10858</v>
      </c>
      <c r="AH1289" t="s">
        <v>10862</v>
      </c>
      <c r="AI1289">
        <v>230</v>
      </c>
      <c r="AJ1289" t="s">
        <v>10210</v>
      </c>
      <c r="AL1289">
        <v>0</v>
      </c>
      <c r="AM1289" t="s">
        <v>10884</v>
      </c>
      <c r="AN1289" t="s">
        <v>10924</v>
      </c>
      <c r="AO1289" t="s">
        <v>11013</v>
      </c>
      <c r="AP1289" t="s">
        <v>11062</v>
      </c>
      <c r="AR1289" t="s">
        <v>11263</v>
      </c>
      <c r="AS1289" t="s">
        <v>9926</v>
      </c>
      <c r="BA1289" t="s">
        <v>11739</v>
      </c>
      <c r="BB1289">
        <v>0</v>
      </c>
      <c r="BC1289">
        <v>0</v>
      </c>
      <c r="BD1289">
        <v>0</v>
      </c>
      <c r="BE1289">
        <v>0</v>
      </c>
      <c r="BF1289">
        <v>4</v>
      </c>
      <c r="BG1289">
        <v>0</v>
      </c>
    </row>
    <row r="1290" spans="1:59">
      <c r="A1290" s="1">
        <f>HYPERLINK("https://lsnyc.legalserver.org/matter/dynamic-profile/view/1905121","19-1905121")</f>
        <v>0</v>
      </c>
      <c r="B1290" t="s">
        <v>982</v>
      </c>
      <c r="C1290" t="s">
        <v>5859</v>
      </c>
      <c r="D1290" t="s">
        <v>9929</v>
      </c>
      <c r="E1290" t="s">
        <v>10075</v>
      </c>
      <c r="F1290">
        <v>10301</v>
      </c>
      <c r="G1290" t="s">
        <v>10088</v>
      </c>
      <c r="H1290" t="s">
        <v>10124</v>
      </c>
      <c r="I1290" t="s">
        <v>10168</v>
      </c>
      <c r="J1290" t="s">
        <v>10208</v>
      </c>
      <c r="K1290" t="s">
        <v>10217</v>
      </c>
      <c r="M1290" t="s">
        <v>10237</v>
      </c>
      <c r="N1290" t="s">
        <v>10652</v>
      </c>
      <c r="P1290" t="s">
        <v>10754</v>
      </c>
      <c r="Q1290" t="s">
        <v>10777</v>
      </c>
      <c r="R1290" t="s">
        <v>10822</v>
      </c>
      <c r="T1290">
        <v>4800</v>
      </c>
      <c r="U1290">
        <v>400</v>
      </c>
      <c r="V1290">
        <v>22</v>
      </c>
      <c r="W1290">
        <v>1</v>
      </c>
      <c r="X1290">
        <v>1</v>
      </c>
      <c r="Z1290">
        <v>28.39</v>
      </c>
      <c r="AA1290">
        <v>40.641463</v>
      </c>
      <c r="AB1290">
        <v>-74.087553</v>
      </c>
      <c r="AD1290" t="s">
        <v>10839</v>
      </c>
      <c r="AG1290" t="s">
        <v>10858</v>
      </c>
      <c r="AH1290" t="s">
        <v>10861</v>
      </c>
      <c r="AI1290">
        <v>285</v>
      </c>
      <c r="AJ1290" t="s">
        <v>10208</v>
      </c>
      <c r="AL1290">
        <v>0.3</v>
      </c>
      <c r="AM1290" t="s">
        <v>10883</v>
      </c>
      <c r="AN1290" t="s">
        <v>10913</v>
      </c>
      <c r="AO1290" t="s">
        <v>11006</v>
      </c>
      <c r="AP1290" t="s">
        <v>11051</v>
      </c>
      <c r="AQ1290" t="s">
        <v>11128</v>
      </c>
      <c r="AR1290" t="s">
        <v>11257</v>
      </c>
      <c r="AS1290" t="s">
        <v>11593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</row>
    <row r="1291" spans="1:59">
      <c r="A1291" s="1">
        <f>HYPERLINK("https://lsnyc.legalserver.org/matter/dynamic-profile/view/1905122","19-1905122")</f>
        <v>0</v>
      </c>
      <c r="B1291" t="s">
        <v>982</v>
      </c>
      <c r="C1291" t="s">
        <v>5859</v>
      </c>
      <c r="D1291" t="s">
        <v>9929</v>
      </c>
      <c r="E1291" t="s">
        <v>10075</v>
      </c>
      <c r="F1291">
        <v>10301</v>
      </c>
      <c r="G1291" t="s">
        <v>10088</v>
      </c>
      <c r="H1291" t="s">
        <v>10124</v>
      </c>
      <c r="I1291" t="s">
        <v>10168</v>
      </c>
      <c r="J1291" t="s">
        <v>10208</v>
      </c>
      <c r="K1291" t="s">
        <v>10217</v>
      </c>
      <c r="M1291" t="s">
        <v>10237</v>
      </c>
      <c r="N1291" t="s">
        <v>10701</v>
      </c>
      <c r="P1291" t="s">
        <v>10754</v>
      </c>
      <c r="Q1291" t="s">
        <v>10775</v>
      </c>
      <c r="R1291" t="s">
        <v>10822</v>
      </c>
      <c r="T1291">
        <v>4800</v>
      </c>
      <c r="U1291">
        <v>400</v>
      </c>
      <c r="V1291">
        <v>22</v>
      </c>
      <c r="W1291">
        <v>1</v>
      </c>
      <c r="X1291">
        <v>1</v>
      </c>
      <c r="Z1291">
        <v>28.39</v>
      </c>
      <c r="AA1291">
        <v>40.641463</v>
      </c>
      <c r="AB1291">
        <v>-74.087553</v>
      </c>
      <c r="AD1291" t="s">
        <v>10839</v>
      </c>
      <c r="AG1291" t="s">
        <v>10858</v>
      </c>
      <c r="AH1291" t="s">
        <v>10861</v>
      </c>
      <c r="AI1291">
        <v>285</v>
      </c>
      <c r="AJ1291" t="s">
        <v>10208</v>
      </c>
      <c r="AL1291">
        <v>0.4</v>
      </c>
      <c r="AM1291" t="s">
        <v>10883</v>
      </c>
      <c r="AN1291" t="s">
        <v>10913</v>
      </c>
      <c r="AO1291" t="s">
        <v>11006</v>
      </c>
      <c r="AP1291" t="s">
        <v>11051</v>
      </c>
      <c r="AQ1291" t="s">
        <v>11114</v>
      </c>
      <c r="AR1291" t="s">
        <v>11257</v>
      </c>
      <c r="AS1291" t="s">
        <v>11593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</row>
    <row r="1292" spans="1:59">
      <c r="A1292" s="1">
        <f>HYPERLINK("https://lsnyc.legalserver.org/matter/dynamic-profile/view/1905123","19-1905123")</f>
        <v>0</v>
      </c>
      <c r="B1292" t="s">
        <v>1179</v>
      </c>
      <c r="C1292" t="s">
        <v>5508</v>
      </c>
      <c r="D1292" t="s">
        <v>9926</v>
      </c>
      <c r="E1292" t="s">
        <v>10075</v>
      </c>
      <c r="F1292">
        <v>10455</v>
      </c>
      <c r="G1292" t="s">
        <v>10090</v>
      </c>
      <c r="H1292" t="s">
        <v>10128</v>
      </c>
      <c r="I1292" t="s">
        <v>10168</v>
      </c>
      <c r="J1292" t="s">
        <v>10210</v>
      </c>
      <c r="K1292" t="s">
        <v>10217</v>
      </c>
      <c r="M1292" t="s">
        <v>10463</v>
      </c>
      <c r="N1292" t="s">
        <v>10650</v>
      </c>
      <c r="P1292" t="s">
        <v>10749</v>
      </c>
      <c r="Q1292" t="s">
        <v>10765</v>
      </c>
      <c r="R1292" t="s">
        <v>10824</v>
      </c>
      <c r="T1292">
        <v>4870.8</v>
      </c>
      <c r="U1292">
        <v>405.9</v>
      </c>
      <c r="V1292">
        <v>34</v>
      </c>
      <c r="W1292">
        <v>1</v>
      </c>
      <c r="X1292">
        <v>3</v>
      </c>
      <c r="Z1292">
        <v>18.92</v>
      </c>
      <c r="AA1292">
        <v>40.814695</v>
      </c>
      <c r="AB1292">
        <v>-73.910837</v>
      </c>
      <c r="AD1292" t="s">
        <v>10839</v>
      </c>
      <c r="AG1292" t="s">
        <v>10858</v>
      </c>
      <c r="AH1292" t="s">
        <v>10862</v>
      </c>
      <c r="AI1292">
        <v>230</v>
      </c>
      <c r="AJ1292" t="s">
        <v>10210</v>
      </c>
      <c r="AL1292">
        <v>0</v>
      </c>
      <c r="AM1292" t="s">
        <v>10884</v>
      </c>
      <c r="AN1292" t="s">
        <v>10924</v>
      </c>
      <c r="AO1292" t="s">
        <v>11013</v>
      </c>
      <c r="AP1292" t="s">
        <v>11062</v>
      </c>
      <c r="AR1292" t="s">
        <v>11273</v>
      </c>
      <c r="AS1292" t="s">
        <v>9926</v>
      </c>
      <c r="BA1292" t="s">
        <v>11739</v>
      </c>
      <c r="BB1292">
        <v>0</v>
      </c>
      <c r="BC1292">
        <v>0</v>
      </c>
      <c r="BD1292">
        <v>0</v>
      </c>
      <c r="BE1292">
        <v>0</v>
      </c>
      <c r="BF1292">
        <v>4</v>
      </c>
      <c r="BG1292">
        <v>0</v>
      </c>
    </row>
    <row r="1293" spans="1:59">
      <c r="A1293" s="1">
        <f>HYPERLINK("https://lsnyc.legalserver.org/matter/dynamic-profile/view/1905124","19-1905124")</f>
        <v>0</v>
      </c>
      <c r="B1293" t="s">
        <v>985</v>
      </c>
      <c r="C1293" t="s">
        <v>5862</v>
      </c>
      <c r="D1293" t="s">
        <v>9929</v>
      </c>
      <c r="E1293" t="s">
        <v>10075</v>
      </c>
      <c r="F1293">
        <v>10303</v>
      </c>
      <c r="G1293" t="s">
        <v>10088</v>
      </c>
      <c r="H1293" t="s">
        <v>10124</v>
      </c>
      <c r="I1293" t="s">
        <v>10169</v>
      </c>
      <c r="J1293" t="s">
        <v>10208</v>
      </c>
      <c r="K1293" t="s">
        <v>10217</v>
      </c>
      <c r="M1293" t="s">
        <v>10237</v>
      </c>
      <c r="N1293" t="s">
        <v>10701</v>
      </c>
      <c r="P1293" t="s">
        <v>10754</v>
      </c>
      <c r="Q1293" t="s">
        <v>10775</v>
      </c>
      <c r="R1293" t="s">
        <v>10821</v>
      </c>
      <c r="T1293">
        <v>20000</v>
      </c>
      <c r="U1293">
        <v>1666.67</v>
      </c>
      <c r="V1293">
        <v>40</v>
      </c>
      <c r="W1293">
        <v>1</v>
      </c>
      <c r="X1293">
        <v>2</v>
      </c>
      <c r="Z1293">
        <v>93.76000000000001</v>
      </c>
      <c r="AA1293">
        <v>40.640033</v>
      </c>
      <c r="AB1293">
        <v>-74.17065700000001</v>
      </c>
      <c r="AD1293" t="s">
        <v>10839</v>
      </c>
      <c r="AG1293" t="s">
        <v>10858</v>
      </c>
      <c r="AH1293" t="s">
        <v>10861</v>
      </c>
      <c r="AI1293">
        <v>285</v>
      </c>
      <c r="AJ1293" t="s">
        <v>10208</v>
      </c>
      <c r="AL1293">
        <v>1.7</v>
      </c>
      <c r="AM1293" t="s">
        <v>10883</v>
      </c>
      <c r="AN1293" t="s">
        <v>10928</v>
      </c>
      <c r="AO1293" t="s">
        <v>11006</v>
      </c>
      <c r="AP1293" t="s">
        <v>11051</v>
      </c>
      <c r="AR1293" t="s">
        <v>11257</v>
      </c>
      <c r="AS1293" t="s">
        <v>11593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</row>
    <row r="1294" spans="1:59">
      <c r="A1294" s="1">
        <f>HYPERLINK("https://lsnyc.legalserver.org/matter/dynamic-profile/view/1905125","19-1905125")</f>
        <v>0</v>
      </c>
      <c r="B1294" t="s">
        <v>985</v>
      </c>
      <c r="C1294" t="s">
        <v>5862</v>
      </c>
      <c r="D1294" t="s">
        <v>9929</v>
      </c>
      <c r="E1294" t="s">
        <v>10075</v>
      </c>
      <c r="F1294">
        <v>10303</v>
      </c>
      <c r="G1294" t="s">
        <v>10088</v>
      </c>
      <c r="H1294" t="s">
        <v>10124</v>
      </c>
      <c r="I1294" t="s">
        <v>10169</v>
      </c>
      <c r="J1294" t="s">
        <v>10208</v>
      </c>
      <c r="K1294" t="s">
        <v>10217</v>
      </c>
      <c r="M1294" t="s">
        <v>10237</v>
      </c>
      <c r="N1294" t="s">
        <v>10701</v>
      </c>
      <c r="P1294" t="s">
        <v>10754</v>
      </c>
      <c r="Q1294" t="s">
        <v>10777</v>
      </c>
      <c r="R1294" t="s">
        <v>10821</v>
      </c>
      <c r="T1294">
        <v>20000</v>
      </c>
      <c r="U1294">
        <v>1666.67</v>
      </c>
      <c r="V1294">
        <v>40</v>
      </c>
      <c r="W1294">
        <v>1</v>
      </c>
      <c r="X1294">
        <v>2</v>
      </c>
      <c r="Z1294">
        <v>93.76000000000001</v>
      </c>
      <c r="AA1294">
        <v>40.640033</v>
      </c>
      <c r="AB1294">
        <v>-74.17065700000001</v>
      </c>
      <c r="AD1294" t="s">
        <v>10839</v>
      </c>
      <c r="AG1294" t="s">
        <v>10858</v>
      </c>
      <c r="AH1294" t="s">
        <v>10861</v>
      </c>
      <c r="AI1294">
        <v>285</v>
      </c>
      <c r="AJ1294" t="s">
        <v>10208</v>
      </c>
      <c r="AL1294">
        <v>0</v>
      </c>
      <c r="AM1294" t="s">
        <v>10883</v>
      </c>
      <c r="AN1294" t="s">
        <v>10928</v>
      </c>
      <c r="AO1294" t="s">
        <v>11006</v>
      </c>
      <c r="AP1294" t="s">
        <v>11051</v>
      </c>
      <c r="AQ1294" t="s">
        <v>11128</v>
      </c>
      <c r="AR1294" t="s">
        <v>11257</v>
      </c>
      <c r="AS1294" t="s">
        <v>11593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</row>
    <row r="1295" spans="1:59">
      <c r="A1295" s="1">
        <f>HYPERLINK("https://lsnyc.legalserver.org/matter/dynamic-profile/view/1905126","19-1905126")</f>
        <v>0</v>
      </c>
      <c r="B1295" t="s">
        <v>1180</v>
      </c>
      <c r="C1295" t="s">
        <v>6028</v>
      </c>
      <c r="D1295" t="s">
        <v>9928</v>
      </c>
      <c r="E1295" t="s">
        <v>10075</v>
      </c>
      <c r="F1295">
        <v>11233</v>
      </c>
      <c r="G1295" t="s">
        <v>10093</v>
      </c>
      <c r="H1295" t="s">
        <v>10128</v>
      </c>
      <c r="I1295" t="s">
        <v>10168</v>
      </c>
      <c r="J1295" t="s">
        <v>10213</v>
      </c>
      <c r="K1295" t="s">
        <v>10218</v>
      </c>
      <c r="L1295" t="s">
        <v>10137</v>
      </c>
      <c r="M1295" t="s">
        <v>10317</v>
      </c>
      <c r="N1295" t="s">
        <v>10671</v>
      </c>
      <c r="P1295" t="s">
        <v>10751</v>
      </c>
      <c r="Q1295" t="s">
        <v>10761</v>
      </c>
      <c r="R1295" t="s">
        <v>10824</v>
      </c>
      <c r="T1295">
        <v>0</v>
      </c>
      <c r="U1295">
        <v>0</v>
      </c>
      <c r="V1295">
        <v>33</v>
      </c>
      <c r="W1295">
        <v>1</v>
      </c>
      <c r="X1295">
        <v>2</v>
      </c>
      <c r="Y1295" t="s">
        <v>10829</v>
      </c>
      <c r="Z1295">
        <v>0</v>
      </c>
      <c r="AA1295">
        <v>40.680592</v>
      </c>
      <c r="AB1295">
        <v>-73.912558</v>
      </c>
      <c r="AD1295" t="s">
        <v>10839</v>
      </c>
      <c r="AG1295" t="s">
        <v>10858</v>
      </c>
      <c r="AH1295" t="s">
        <v>10861</v>
      </c>
      <c r="AI1295">
        <v>234</v>
      </c>
      <c r="AJ1295" t="s">
        <v>10214</v>
      </c>
      <c r="AK1295" t="s">
        <v>10882</v>
      </c>
      <c r="AL1295">
        <v>5.2</v>
      </c>
      <c r="AM1295" t="s">
        <v>10889</v>
      </c>
      <c r="AN1295" t="s">
        <v>10922</v>
      </c>
      <c r="AO1295" t="s">
        <v>11007</v>
      </c>
      <c r="AP1295" t="s">
        <v>11064</v>
      </c>
      <c r="AR1295" t="s">
        <v>11279</v>
      </c>
      <c r="AS1295" t="s">
        <v>11595</v>
      </c>
      <c r="AT1295" t="s">
        <v>11641</v>
      </c>
      <c r="AX1295" t="s">
        <v>10838</v>
      </c>
      <c r="AY1295" t="s">
        <v>10829</v>
      </c>
      <c r="AZ1295" t="s">
        <v>11682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</row>
    <row r="1296" spans="1:59">
      <c r="A1296" s="1">
        <f>HYPERLINK("https://lsnyc.legalserver.org/matter/dynamic-profile/view/1905127","19-1905127")</f>
        <v>0</v>
      </c>
      <c r="B1296" t="s">
        <v>1181</v>
      </c>
      <c r="C1296" t="s">
        <v>6029</v>
      </c>
      <c r="D1296" t="s">
        <v>9925</v>
      </c>
      <c r="E1296" t="s">
        <v>10075</v>
      </c>
      <c r="F1296">
        <v>10037</v>
      </c>
      <c r="G1296" t="s">
        <v>10089</v>
      </c>
      <c r="H1296" t="s">
        <v>10094</v>
      </c>
      <c r="I1296" t="s">
        <v>10168</v>
      </c>
      <c r="J1296" t="s">
        <v>10209</v>
      </c>
      <c r="K1296" t="s">
        <v>10218</v>
      </c>
      <c r="L1296" t="s">
        <v>10158</v>
      </c>
      <c r="M1296" t="s">
        <v>10300</v>
      </c>
      <c r="N1296" t="s">
        <v>10716</v>
      </c>
      <c r="P1296" t="s">
        <v>10754</v>
      </c>
      <c r="Q1296" t="s">
        <v>10775</v>
      </c>
      <c r="R1296" t="s">
        <v>10824</v>
      </c>
      <c r="T1296">
        <v>14400</v>
      </c>
      <c r="U1296">
        <v>1200</v>
      </c>
      <c r="V1296">
        <v>54</v>
      </c>
      <c r="W1296">
        <v>2</v>
      </c>
      <c r="X1296">
        <v>0</v>
      </c>
      <c r="Y1296" t="s">
        <v>10829</v>
      </c>
      <c r="Z1296">
        <v>85.16</v>
      </c>
      <c r="AA1296">
        <v>40.81053</v>
      </c>
      <c r="AB1296">
        <v>-73.937583</v>
      </c>
      <c r="AC1296" t="s">
        <v>10837</v>
      </c>
      <c r="AD1296" t="s">
        <v>10839</v>
      </c>
      <c r="AG1296" t="s">
        <v>10858</v>
      </c>
      <c r="AH1296" t="s">
        <v>10861</v>
      </c>
      <c r="AI1296">
        <v>236</v>
      </c>
      <c r="AJ1296" t="s">
        <v>10209</v>
      </c>
      <c r="AK1296" t="s">
        <v>10837</v>
      </c>
      <c r="AL1296">
        <v>1.7</v>
      </c>
      <c r="AM1296" t="s">
        <v>10887</v>
      </c>
      <c r="AN1296" t="s">
        <v>10936</v>
      </c>
      <c r="AO1296" t="s">
        <v>11016</v>
      </c>
      <c r="AP1296" t="s">
        <v>11076</v>
      </c>
      <c r="AQ1296" t="s">
        <v>11114</v>
      </c>
      <c r="AR1296" t="s">
        <v>11302</v>
      </c>
      <c r="AS1296" t="s">
        <v>9925</v>
      </c>
      <c r="AT1296" t="s">
        <v>11641</v>
      </c>
      <c r="AY1296" t="s">
        <v>10829</v>
      </c>
      <c r="AZ1296" t="s">
        <v>11683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</row>
    <row r="1297" spans="1:59">
      <c r="A1297" s="1">
        <f>HYPERLINK("https://lsnyc.legalserver.org/matter/dynamic-profile/view/1905128","19-1905128")</f>
        <v>0</v>
      </c>
      <c r="B1297" t="s">
        <v>1182</v>
      </c>
      <c r="C1297" t="s">
        <v>6030</v>
      </c>
      <c r="D1297" t="s">
        <v>9929</v>
      </c>
      <c r="E1297" t="s">
        <v>10075</v>
      </c>
      <c r="F1297">
        <v>10304</v>
      </c>
      <c r="G1297" t="s">
        <v>10088</v>
      </c>
      <c r="H1297" t="s">
        <v>10128</v>
      </c>
      <c r="I1297" t="s">
        <v>10168</v>
      </c>
      <c r="J1297" t="s">
        <v>10208</v>
      </c>
      <c r="K1297" t="s">
        <v>10218</v>
      </c>
      <c r="L1297" t="s">
        <v>10103</v>
      </c>
      <c r="M1297" t="s">
        <v>10240</v>
      </c>
      <c r="N1297" t="s">
        <v>10711</v>
      </c>
      <c r="P1297" t="s">
        <v>10749</v>
      </c>
      <c r="Q1297" t="s">
        <v>10765</v>
      </c>
      <c r="R1297" t="s">
        <v>10821</v>
      </c>
      <c r="T1297">
        <v>13200</v>
      </c>
      <c r="U1297">
        <v>1100</v>
      </c>
      <c r="V1297">
        <v>37</v>
      </c>
      <c r="W1297">
        <v>1</v>
      </c>
      <c r="X1297">
        <v>0</v>
      </c>
      <c r="Y1297" t="s">
        <v>10829</v>
      </c>
      <c r="Z1297">
        <v>105.68</v>
      </c>
      <c r="AA1297">
        <v>40.624965</v>
      </c>
      <c r="AB1297">
        <v>-74.07446299999999</v>
      </c>
      <c r="AD1297" t="s">
        <v>10840</v>
      </c>
      <c r="AG1297" t="s">
        <v>10858</v>
      </c>
      <c r="AH1297" t="s">
        <v>10862</v>
      </c>
      <c r="AI1297">
        <v>285</v>
      </c>
      <c r="AJ1297" t="s">
        <v>10208</v>
      </c>
      <c r="AK1297" t="s">
        <v>10838</v>
      </c>
      <c r="AL1297">
        <v>1.5</v>
      </c>
      <c r="AM1297" t="s">
        <v>10883</v>
      </c>
      <c r="AN1297" t="s">
        <v>10913</v>
      </c>
      <c r="AO1297" t="s">
        <v>11006</v>
      </c>
      <c r="AP1297" t="s">
        <v>11051</v>
      </c>
      <c r="AQ1297" t="s">
        <v>11116</v>
      </c>
      <c r="AR1297" t="s">
        <v>11296</v>
      </c>
      <c r="AS1297" t="s">
        <v>11593</v>
      </c>
      <c r="AY1297" t="s">
        <v>10829</v>
      </c>
      <c r="AZ1297" t="s">
        <v>11681</v>
      </c>
      <c r="BA1297" t="s">
        <v>11741</v>
      </c>
      <c r="BB1297">
        <v>0</v>
      </c>
      <c r="BC1297">
        <v>0</v>
      </c>
      <c r="BD1297">
        <v>0</v>
      </c>
      <c r="BE1297">
        <v>0</v>
      </c>
      <c r="BF1297">
        <v>1</v>
      </c>
      <c r="BG1297">
        <v>0</v>
      </c>
    </row>
    <row r="1298" spans="1:59">
      <c r="A1298" s="1">
        <f>HYPERLINK("https://lsnyc.legalserver.org/matter/dynamic-profile/view/1905129","19-1905129")</f>
        <v>0</v>
      </c>
      <c r="B1298" t="s">
        <v>1183</v>
      </c>
      <c r="C1298" t="s">
        <v>6031</v>
      </c>
      <c r="D1298" t="s">
        <v>9928</v>
      </c>
      <c r="E1298" t="s">
        <v>10075</v>
      </c>
      <c r="F1298">
        <v>11218</v>
      </c>
      <c r="G1298" t="s">
        <v>10093</v>
      </c>
      <c r="H1298" t="s">
        <v>10128</v>
      </c>
      <c r="I1298" t="s">
        <v>10168</v>
      </c>
      <c r="J1298" t="s">
        <v>10213</v>
      </c>
      <c r="K1298" t="s">
        <v>10217</v>
      </c>
      <c r="M1298" t="s">
        <v>10384</v>
      </c>
      <c r="N1298" t="s">
        <v>10650</v>
      </c>
      <c r="P1298" t="s">
        <v>10749</v>
      </c>
      <c r="Q1298" t="s">
        <v>10765</v>
      </c>
      <c r="R1298" t="s">
        <v>10820</v>
      </c>
      <c r="T1298">
        <v>11616</v>
      </c>
      <c r="U1298">
        <v>968</v>
      </c>
      <c r="V1298">
        <v>59</v>
      </c>
      <c r="W1298">
        <v>1</v>
      </c>
      <c r="X1298">
        <v>0</v>
      </c>
      <c r="Z1298">
        <v>93</v>
      </c>
      <c r="AA1298">
        <v>40.636784</v>
      </c>
      <c r="AB1298">
        <v>-73.975909</v>
      </c>
      <c r="AD1298" t="s">
        <v>10839</v>
      </c>
      <c r="AG1298" t="s">
        <v>10858</v>
      </c>
      <c r="AH1298" t="s">
        <v>10861</v>
      </c>
      <c r="AI1298">
        <v>234</v>
      </c>
      <c r="AJ1298" t="s">
        <v>10214</v>
      </c>
      <c r="AL1298">
        <v>61.7</v>
      </c>
      <c r="AM1298" t="s">
        <v>10894</v>
      </c>
      <c r="AN1298" t="s">
        <v>10941</v>
      </c>
      <c r="AO1298" t="s">
        <v>11015</v>
      </c>
      <c r="AP1298" t="s">
        <v>11059</v>
      </c>
      <c r="AR1298" t="s">
        <v>11319</v>
      </c>
      <c r="AS1298" t="s">
        <v>11595</v>
      </c>
      <c r="AT1298" t="s">
        <v>11641</v>
      </c>
      <c r="AX1298" t="s">
        <v>10838</v>
      </c>
      <c r="BA1298" t="s">
        <v>11738</v>
      </c>
      <c r="BB1298">
        <v>0</v>
      </c>
      <c r="BC1298">
        <v>0</v>
      </c>
      <c r="BD1298">
        <v>0</v>
      </c>
      <c r="BE1298">
        <v>0</v>
      </c>
      <c r="BF1298">
        <v>5</v>
      </c>
      <c r="BG1298">
        <v>0</v>
      </c>
    </row>
    <row r="1299" spans="1:59">
      <c r="A1299" s="1">
        <f>HYPERLINK("https://lsnyc.legalserver.org/matter/dynamic-profile/view/1905130","19-1905130")</f>
        <v>0</v>
      </c>
      <c r="B1299" t="s">
        <v>928</v>
      </c>
      <c r="C1299" t="s">
        <v>6032</v>
      </c>
      <c r="D1299" t="s">
        <v>9925</v>
      </c>
      <c r="E1299" t="s">
        <v>10075</v>
      </c>
      <c r="F1299">
        <v>10031</v>
      </c>
      <c r="G1299" t="s">
        <v>10089</v>
      </c>
      <c r="H1299" t="s">
        <v>10128</v>
      </c>
      <c r="I1299" t="s">
        <v>10168</v>
      </c>
      <c r="J1299" t="s">
        <v>10209</v>
      </c>
      <c r="K1299" t="s">
        <v>10217</v>
      </c>
      <c r="M1299" t="s">
        <v>10379</v>
      </c>
      <c r="N1299" t="s">
        <v>10702</v>
      </c>
      <c r="P1299" t="s">
        <v>10749</v>
      </c>
      <c r="Q1299" t="s">
        <v>10765</v>
      </c>
      <c r="R1299" t="s">
        <v>10824</v>
      </c>
      <c r="T1299">
        <v>10000</v>
      </c>
      <c r="U1299">
        <v>833.33</v>
      </c>
      <c r="V1299">
        <v>63</v>
      </c>
      <c r="W1299">
        <v>1</v>
      </c>
      <c r="X1299">
        <v>0</v>
      </c>
      <c r="Z1299">
        <v>80.06</v>
      </c>
      <c r="AA1299">
        <v>40.828991</v>
      </c>
      <c r="AB1299">
        <v>-73.941502</v>
      </c>
      <c r="AD1299" t="s">
        <v>10840</v>
      </c>
      <c r="AF1299" t="s">
        <v>10843</v>
      </c>
      <c r="AG1299" t="s">
        <v>10859</v>
      </c>
      <c r="AH1299" t="s">
        <v>10862</v>
      </c>
      <c r="AI1299">
        <v>236</v>
      </c>
      <c r="AJ1299" t="s">
        <v>10209</v>
      </c>
      <c r="AL1299">
        <v>3.5</v>
      </c>
      <c r="AM1299" t="s">
        <v>10887</v>
      </c>
      <c r="AN1299" t="s">
        <v>10943</v>
      </c>
      <c r="AO1299" t="s">
        <v>11016</v>
      </c>
      <c r="AP1299" t="s">
        <v>11076</v>
      </c>
      <c r="AR1299" t="s">
        <v>11276</v>
      </c>
      <c r="AS1299" t="s">
        <v>9925</v>
      </c>
      <c r="BA1299" t="s">
        <v>11738</v>
      </c>
      <c r="BB1299">
        <v>0</v>
      </c>
      <c r="BC1299">
        <v>0</v>
      </c>
      <c r="BD1299">
        <v>0</v>
      </c>
      <c r="BE1299">
        <v>0</v>
      </c>
      <c r="BF1299">
        <v>5</v>
      </c>
      <c r="BG1299">
        <v>0</v>
      </c>
    </row>
    <row r="1300" spans="1:59">
      <c r="A1300" s="1">
        <f>HYPERLINK("https://lsnyc.legalserver.org/matter/dynamic-profile/view/1905131","19-1905131")</f>
        <v>0</v>
      </c>
      <c r="B1300" t="s">
        <v>1184</v>
      </c>
      <c r="C1300" t="s">
        <v>5601</v>
      </c>
      <c r="D1300" t="s">
        <v>9926</v>
      </c>
      <c r="E1300" t="s">
        <v>10075</v>
      </c>
      <c r="F1300">
        <v>10453</v>
      </c>
      <c r="G1300" t="s">
        <v>10090</v>
      </c>
      <c r="H1300" t="s">
        <v>10128</v>
      </c>
      <c r="I1300" t="s">
        <v>10168</v>
      </c>
      <c r="J1300" t="s">
        <v>10210</v>
      </c>
      <c r="K1300" t="s">
        <v>10217</v>
      </c>
      <c r="M1300" t="s">
        <v>10463</v>
      </c>
      <c r="N1300" t="s">
        <v>10650</v>
      </c>
      <c r="P1300" t="s">
        <v>10749</v>
      </c>
      <c r="Q1300" t="s">
        <v>10765</v>
      </c>
      <c r="R1300" t="s">
        <v>10824</v>
      </c>
      <c r="T1300">
        <v>63000</v>
      </c>
      <c r="U1300">
        <v>5250</v>
      </c>
      <c r="V1300">
        <v>55</v>
      </c>
      <c r="W1300">
        <v>2</v>
      </c>
      <c r="X1300">
        <v>0</v>
      </c>
      <c r="Z1300">
        <v>372.56</v>
      </c>
      <c r="AA1300">
        <v>40.846436</v>
      </c>
      <c r="AB1300">
        <v>-73.90944</v>
      </c>
      <c r="AD1300" t="s">
        <v>10839</v>
      </c>
      <c r="AG1300" t="s">
        <v>10858</v>
      </c>
      <c r="AH1300" t="s">
        <v>10862</v>
      </c>
      <c r="AI1300">
        <v>230</v>
      </c>
      <c r="AJ1300" t="s">
        <v>10210</v>
      </c>
      <c r="AL1300">
        <v>0</v>
      </c>
      <c r="AM1300" t="s">
        <v>10884</v>
      </c>
      <c r="AN1300" t="s">
        <v>10931</v>
      </c>
      <c r="AO1300" t="s">
        <v>11000</v>
      </c>
      <c r="AP1300" t="s">
        <v>11045</v>
      </c>
      <c r="AR1300" t="s">
        <v>11257</v>
      </c>
      <c r="AS1300" t="s">
        <v>9926</v>
      </c>
      <c r="AT1300" t="s">
        <v>11641</v>
      </c>
      <c r="BA1300" t="s">
        <v>11739</v>
      </c>
      <c r="BB1300">
        <v>0</v>
      </c>
      <c r="BC1300">
        <v>0</v>
      </c>
      <c r="BD1300">
        <v>0</v>
      </c>
      <c r="BE1300">
        <v>0</v>
      </c>
      <c r="BF1300">
        <v>4</v>
      </c>
      <c r="BG1300">
        <v>0</v>
      </c>
    </row>
    <row r="1301" spans="1:59">
      <c r="A1301" s="1">
        <f>HYPERLINK("https://lsnyc.legalserver.org/matter/dynamic-profile/view/1905132","19-1905132")</f>
        <v>0</v>
      </c>
      <c r="B1301" t="s">
        <v>1185</v>
      </c>
      <c r="C1301" t="s">
        <v>6033</v>
      </c>
      <c r="D1301" t="s">
        <v>9938</v>
      </c>
      <c r="E1301" t="s">
        <v>10075</v>
      </c>
      <c r="F1301">
        <v>11435</v>
      </c>
      <c r="G1301" t="s">
        <v>10092</v>
      </c>
      <c r="H1301" t="s">
        <v>10128</v>
      </c>
      <c r="I1301" t="s">
        <v>10169</v>
      </c>
      <c r="J1301" t="s">
        <v>10212</v>
      </c>
      <c r="K1301" t="s">
        <v>10217</v>
      </c>
      <c r="M1301" t="s">
        <v>10422</v>
      </c>
      <c r="N1301" t="s">
        <v>10673</v>
      </c>
      <c r="P1301" t="s">
        <v>10753</v>
      </c>
      <c r="Q1301" t="s">
        <v>10763</v>
      </c>
      <c r="R1301" t="s">
        <v>10823</v>
      </c>
      <c r="T1301">
        <v>4800</v>
      </c>
      <c r="U1301">
        <v>400</v>
      </c>
      <c r="V1301">
        <v>29</v>
      </c>
      <c r="W1301">
        <v>1</v>
      </c>
      <c r="X1301">
        <v>2</v>
      </c>
      <c r="Z1301">
        <v>22.5</v>
      </c>
      <c r="AA1301">
        <v>40.694564</v>
      </c>
      <c r="AB1301">
        <v>-73.808848</v>
      </c>
      <c r="AD1301" t="s">
        <v>10839</v>
      </c>
      <c r="AF1301" t="s">
        <v>10842</v>
      </c>
      <c r="AG1301" t="s">
        <v>10859</v>
      </c>
      <c r="AH1301" t="s">
        <v>10864</v>
      </c>
      <c r="AI1301">
        <v>237</v>
      </c>
      <c r="AJ1301" t="s">
        <v>10212</v>
      </c>
      <c r="AL1301">
        <v>2.3</v>
      </c>
      <c r="AM1301" t="s">
        <v>10892</v>
      </c>
      <c r="AN1301" t="s">
        <v>10951</v>
      </c>
      <c r="AO1301" t="s">
        <v>11017</v>
      </c>
      <c r="AP1301" t="s">
        <v>11070</v>
      </c>
      <c r="AQ1301" t="s">
        <v>11119</v>
      </c>
      <c r="AR1301" t="s">
        <v>11257</v>
      </c>
      <c r="AS1301" t="s">
        <v>11594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</row>
    <row r="1302" spans="1:59">
      <c r="A1302" s="1">
        <f>HYPERLINK("https://lsnyc.legalserver.org/matter/dynamic-profile/view/1905133","19-1905133")</f>
        <v>0</v>
      </c>
      <c r="B1302" t="s">
        <v>1186</v>
      </c>
      <c r="C1302" t="s">
        <v>6034</v>
      </c>
      <c r="D1302" t="s">
        <v>9963</v>
      </c>
      <c r="E1302" t="s">
        <v>10075</v>
      </c>
      <c r="F1302">
        <v>11385</v>
      </c>
      <c r="G1302" t="s">
        <v>10092</v>
      </c>
      <c r="H1302" t="s">
        <v>10128</v>
      </c>
      <c r="I1302" t="s">
        <v>10169</v>
      </c>
      <c r="J1302" t="s">
        <v>10212</v>
      </c>
      <c r="K1302" t="s">
        <v>10217</v>
      </c>
      <c r="M1302" t="s">
        <v>10360</v>
      </c>
      <c r="N1302" t="s">
        <v>10693</v>
      </c>
      <c r="P1302" t="s">
        <v>10749</v>
      </c>
      <c r="Q1302" t="s">
        <v>10765</v>
      </c>
      <c r="R1302" t="s">
        <v>10823</v>
      </c>
      <c r="T1302">
        <v>45344</v>
      </c>
      <c r="U1302">
        <v>3778.67</v>
      </c>
      <c r="V1302">
        <v>49</v>
      </c>
      <c r="W1302">
        <v>2</v>
      </c>
      <c r="X1302">
        <v>3</v>
      </c>
      <c r="Z1302">
        <v>150.29</v>
      </c>
      <c r="AA1302">
        <v>40.70164</v>
      </c>
      <c r="AB1302">
        <v>-73.890142</v>
      </c>
      <c r="AD1302" t="s">
        <v>10840</v>
      </c>
      <c r="AG1302" t="s">
        <v>10858</v>
      </c>
      <c r="AH1302" t="s">
        <v>10862</v>
      </c>
      <c r="AI1302">
        <v>237</v>
      </c>
      <c r="AJ1302" t="s">
        <v>10212</v>
      </c>
      <c r="AL1302">
        <v>8.9</v>
      </c>
      <c r="AM1302" t="s">
        <v>10890</v>
      </c>
      <c r="AN1302" t="s">
        <v>10945</v>
      </c>
      <c r="AO1302" t="s">
        <v>11024</v>
      </c>
      <c r="AP1302" t="s">
        <v>11077</v>
      </c>
      <c r="AR1302" t="s">
        <v>11317</v>
      </c>
      <c r="AS1302" t="s">
        <v>11594</v>
      </c>
      <c r="BA1302" t="s">
        <v>11738</v>
      </c>
      <c r="BB1302">
        <v>0</v>
      </c>
      <c r="BC1302">
        <v>0</v>
      </c>
      <c r="BD1302">
        <v>0</v>
      </c>
      <c r="BE1302">
        <v>0</v>
      </c>
      <c r="BF1302">
        <v>5</v>
      </c>
      <c r="BG1302">
        <v>0</v>
      </c>
    </row>
    <row r="1303" spans="1:59">
      <c r="A1303" s="1">
        <f>HYPERLINK("https://lsnyc.legalserver.org/matter/dynamic-profile/view/1905134","19-1905134")</f>
        <v>0</v>
      </c>
      <c r="B1303" t="s">
        <v>1187</v>
      </c>
      <c r="C1303" t="s">
        <v>5508</v>
      </c>
      <c r="D1303" t="s">
        <v>9926</v>
      </c>
      <c r="E1303" t="s">
        <v>10075</v>
      </c>
      <c r="F1303">
        <v>10455</v>
      </c>
      <c r="G1303" t="s">
        <v>10090</v>
      </c>
      <c r="H1303" t="s">
        <v>10128</v>
      </c>
      <c r="I1303" t="s">
        <v>10168</v>
      </c>
      <c r="J1303" t="s">
        <v>10210</v>
      </c>
      <c r="K1303" t="s">
        <v>10217</v>
      </c>
      <c r="M1303" t="s">
        <v>10463</v>
      </c>
      <c r="N1303" t="s">
        <v>10650</v>
      </c>
      <c r="P1303" t="s">
        <v>10749</v>
      </c>
      <c r="Q1303" t="s">
        <v>10765</v>
      </c>
      <c r="R1303" t="s">
        <v>10824</v>
      </c>
      <c r="T1303">
        <v>36400</v>
      </c>
      <c r="U1303">
        <v>3033.33</v>
      </c>
      <c r="V1303">
        <v>35</v>
      </c>
      <c r="W1303">
        <v>1</v>
      </c>
      <c r="X1303">
        <v>4</v>
      </c>
      <c r="Z1303">
        <v>120.65</v>
      </c>
      <c r="AA1303">
        <v>40.814695</v>
      </c>
      <c r="AB1303">
        <v>-73.910837</v>
      </c>
      <c r="AD1303" t="s">
        <v>10839</v>
      </c>
      <c r="AG1303" t="s">
        <v>10858</v>
      </c>
      <c r="AH1303" t="s">
        <v>10862</v>
      </c>
      <c r="AI1303">
        <v>230</v>
      </c>
      <c r="AJ1303" t="s">
        <v>10210</v>
      </c>
      <c r="AL1303">
        <v>0</v>
      </c>
      <c r="AM1303" t="s">
        <v>10884</v>
      </c>
      <c r="AN1303" t="s">
        <v>10924</v>
      </c>
      <c r="AO1303" t="s">
        <v>11013</v>
      </c>
      <c r="AP1303" t="s">
        <v>11062</v>
      </c>
      <c r="AR1303" t="s">
        <v>11257</v>
      </c>
      <c r="AS1303" t="s">
        <v>9926</v>
      </c>
      <c r="BA1303" t="s">
        <v>11739</v>
      </c>
      <c r="BB1303">
        <v>0</v>
      </c>
      <c r="BC1303">
        <v>0</v>
      </c>
      <c r="BD1303">
        <v>0</v>
      </c>
      <c r="BE1303">
        <v>0</v>
      </c>
      <c r="BF1303">
        <v>4</v>
      </c>
      <c r="BG1303">
        <v>0</v>
      </c>
    </row>
    <row r="1304" spans="1:59">
      <c r="A1304" s="1">
        <f>HYPERLINK("https://lsnyc.legalserver.org/matter/dynamic-profile/view/1905136","19-1905136")</f>
        <v>0</v>
      </c>
      <c r="B1304" t="s">
        <v>1188</v>
      </c>
      <c r="C1304" t="s">
        <v>6035</v>
      </c>
      <c r="D1304" t="s">
        <v>9930</v>
      </c>
      <c r="E1304" t="s">
        <v>10075</v>
      </c>
      <c r="F1304">
        <v>11373</v>
      </c>
      <c r="G1304" t="s">
        <v>10092</v>
      </c>
      <c r="H1304" t="s">
        <v>10128</v>
      </c>
      <c r="I1304" t="s">
        <v>10168</v>
      </c>
      <c r="J1304" t="s">
        <v>10212</v>
      </c>
      <c r="K1304" t="s">
        <v>10217</v>
      </c>
      <c r="M1304" t="s">
        <v>10331</v>
      </c>
      <c r="N1304" t="s">
        <v>10675</v>
      </c>
      <c r="P1304" t="s">
        <v>10749</v>
      </c>
      <c r="Q1304" t="s">
        <v>10765</v>
      </c>
      <c r="R1304" t="s">
        <v>10824</v>
      </c>
      <c r="T1304">
        <v>28000</v>
      </c>
      <c r="U1304">
        <v>2333.33</v>
      </c>
      <c r="V1304">
        <v>57</v>
      </c>
      <c r="W1304">
        <v>1</v>
      </c>
      <c r="X1304">
        <v>0</v>
      </c>
      <c r="Z1304">
        <v>224.18</v>
      </c>
      <c r="AA1304">
        <v>40.741763</v>
      </c>
      <c r="AB1304">
        <v>-73.883461</v>
      </c>
      <c r="AC1304" t="s">
        <v>10837</v>
      </c>
      <c r="AD1304" t="s">
        <v>10840</v>
      </c>
      <c r="AG1304" t="s">
        <v>10858</v>
      </c>
      <c r="AH1304" t="s">
        <v>10861</v>
      </c>
      <c r="AI1304">
        <v>234</v>
      </c>
      <c r="AJ1304" t="s">
        <v>10214</v>
      </c>
      <c r="AL1304">
        <v>1.1</v>
      </c>
      <c r="AM1304" t="s">
        <v>10890</v>
      </c>
      <c r="AN1304" t="s">
        <v>10949</v>
      </c>
      <c r="AO1304" t="s">
        <v>11009</v>
      </c>
      <c r="AP1304" t="s">
        <v>11053</v>
      </c>
      <c r="AR1304" t="s">
        <v>11257</v>
      </c>
      <c r="AS1304" t="s">
        <v>11594</v>
      </c>
      <c r="AT1304" t="s">
        <v>11642</v>
      </c>
      <c r="AX1304" t="s">
        <v>10838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</row>
    <row r="1305" spans="1:59">
      <c r="A1305" s="1">
        <f>HYPERLINK("https://lsnyc.legalserver.org/matter/dynamic-profile/view/1905137","19-1905137")</f>
        <v>0</v>
      </c>
      <c r="B1305" t="s">
        <v>1189</v>
      </c>
      <c r="C1305" t="s">
        <v>6036</v>
      </c>
      <c r="D1305" t="s">
        <v>9928</v>
      </c>
      <c r="E1305" t="s">
        <v>10075</v>
      </c>
      <c r="F1305">
        <v>11207</v>
      </c>
      <c r="G1305" t="s">
        <v>10093</v>
      </c>
      <c r="H1305" t="s">
        <v>10128</v>
      </c>
      <c r="I1305" t="s">
        <v>10168</v>
      </c>
      <c r="J1305" t="s">
        <v>10213</v>
      </c>
      <c r="K1305" t="s">
        <v>10218</v>
      </c>
      <c r="L1305" t="s">
        <v>10140</v>
      </c>
      <c r="M1305" t="s">
        <v>10315</v>
      </c>
      <c r="N1305" t="s">
        <v>10686</v>
      </c>
      <c r="P1305" t="s">
        <v>10750</v>
      </c>
      <c r="Q1305" t="s">
        <v>10778</v>
      </c>
      <c r="R1305" t="s">
        <v>10824</v>
      </c>
      <c r="T1305">
        <v>23475.96</v>
      </c>
      <c r="U1305">
        <v>1956.33</v>
      </c>
      <c r="V1305">
        <v>80</v>
      </c>
      <c r="W1305">
        <v>1</v>
      </c>
      <c r="X1305">
        <v>0</v>
      </c>
      <c r="Y1305" t="s">
        <v>10829</v>
      </c>
      <c r="Z1305">
        <v>187.96</v>
      </c>
      <c r="AA1305">
        <v>40.671001</v>
      </c>
      <c r="AB1305">
        <v>-73.895978</v>
      </c>
      <c r="AD1305" t="s">
        <v>10839</v>
      </c>
      <c r="AG1305" t="s">
        <v>10858</v>
      </c>
      <c r="AH1305" t="s">
        <v>10861</v>
      </c>
      <c r="AI1305">
        <v>234</v>
      </c>
      <c r="AJ1305" t="s">
        <v>10214</v>
      </c>
      <c r="AK1305" t="s">
        <v>10838</v>
      </c>
      <c r="AL1305">
        <v>2.1</v>
      </c>
      <c r="AM1305" t="s">
        <v>10889</v>
      </c>
      <c r="AN1305" t="s">
        <v>10922</v>
      </c>
      <c r="AO1305" t="s">
        <v>11012</v>
      </c>
      <c r="AP1305" t="s">
        <v>11060</v>
      </c>
      <c r="AR1305" t="s">
        <v>11345</v>
      </c>
      <c r="AS1305" t="s">
        <v>11595</v>
      </c>
      <c r="AT1305" t="s">
        <v>11641</v>
      </c>
      <c r="AX1305" t="s">
        <v>10838</v>
      </c>
      <c r="AY1305" t="s">
        <v>10829</v>
      </c>
      <c r="AZ1305" t="s">
        <v>11679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</row>
    <row r="1306" spans="1:59">
      <c r="A1306" s="1">
        <f>HYPERLINK("https://lsnyc.legalserver.org/matter/dynamic-profile/view/1905138","19-1905138")</f>
        <v>0</v>
      </c>
      <c r="B1306" t="s">
        <v>1184</v>
      </c>
      <c r="C1306" t="s">
        <v>5601</v>
      </c>
      <c r="D1306" t="s">
        <v>9926</v>
      </c>
      <c r="E1306" t="s">
        <v>10075</v>
      </c>
      <c r="F1306">
        <v>10453</v>
      </c>
      <c r="G1306" t="s">
        <v>10090</v>
      </c>
      <c r="H1306" t="s">
        <v>10128</v>
      </c>
      <c r="I1306" t="s">
        <v>10168</v>
      </c>
      <c r="J1306" t="s">
        <v>10210</v>
      </c>
      <c r="K1306" t="s">
        <v>10217</v>
      </c>
      <c r="M1306" t="s">
        <v>10463</v>
      </c>
      <c r="N1306" t="s">
        <v>10650</v>
      </c>
      <c r="P1306" t="s">
        <v>10749</v>
      </c>
      <c r="Q1306" t="s">
        <v>10765</v>
      </c>
      <c r="R1306" t="s">
        <v>10824</v>
      </c>
      <c r="T1306">
        <v>63000</v>
      </c>
      <c r="U1306">
        <v>5250</v>
      </c>
      <c r="V1306">
        <v>55</v>
      </c>
      <c r="W1306">
        <v>2</v>
      </c>
      <c r="X1306">
        <v>0</v>
      </c>
      <c r="Z1306">
        <v>372.56</v>
      </c>
      <c r="AA1306">
        <v>40.846436</v>
      </c>
      <c r="AB1306">
        <v>-73.90944</v>
      </c>
      <c r="AD1306" t="s">
        <v>10839</v>
      </c>
      <c r="AG1306" t="s">
        <v>10858</v>
      </c>
      <c r="AH1306" t="s">
        <v>10862</v>
      </c>
      <c r="AI1306">
        <v>230</v>
      </c>
      <c r="AJ1306" t="s">
        <v>10210</v>
      </c>
      <c r="AL1306">
        <v>0</v>
      </c>
      <c r="AM1306" t="s">
        <v>10884</v>
      </c>
      <c r="AN1306" t="s">
        <v>10931</v>
      </c>
      <c r="AO1306" t="s">
        <v>11000</v>
      </c>
      <c r="AP1306" t="s">
        <v>11045</v>
      </c>
      <c r="AR1306" t="s">
        <v>11257</v>
      </c>
      <c r="AS1306" t="s">
        <v>9926</v>
      </c>
      <c r="AT1306" t="s">
        <v>11641</v>
      </c>
      <c r="BA1306" t="s">
        <v>11739</v>
      </c>
      <c r="BB1306">
        <v>0</v>
      </c>
      <c r="BC1306">
        <v>0</v>
      </c>
      <c r="BD1306">
        <v>0</v>
      </c>
      <c r="BE1306">
        <v>0</v>
      </c>
      <c r="BF1306">
        <v>4</v>
      </c>
      <c r="BG1306">
        <v>0</v>
      </c>
    </row>
    <row r="1307" spans="1:59">
      <c r="A1307" s="1">
        <f>HYPERLINK("https://lsnyc.legalserver.org/matter/dynamic-profile/view/1905139","19-1905139")</f>
        <v>0</v>
      </c>
      <c r="B1307" t="s">
        <v>1190</v>
      </c>
      <c r="C1307" t="s">
        <v>6037</v>
      </c>
      <c r="D1307" t="s">
        <v>9926</v>
      </c>
      <c r="E1307" t="s">
        <v>10075</v>
      </c>
      <c r="F1307">
        <v>10453</v>
      </c>
      <c r="G1307" t="s">
        <v>10090</v>
      </c>
      <c r="H1307" t="s">
        <v>10128</v>
      </c>
      <c r="I1307" t="s">
        <v>10169</v>
      </c>
      <c r="J1307" t="s">
        <v>10210</v>
      </c>
      <c r="K1307" t="s">
        <v>10217</v>
      </c>
      <c r="M1307" t="s">
        <v>10296</v>
      </c>
      <c r="N1307" t="s">
        <v>10673</v>
      </c>
      <c r="P1307" t="s">
        <v>10753</v>
      </c>
      <c r="Q1307" t="s">
        <v>10763</v>
      </c>
      <c r="R1307" t="s">
        <v>10821</v>
      </c>
      <c r="T1307">
        <v>0</v>
      </c>
      <c r="U1307">
        <v>0</v>
      </c>
      <c r="V1307">
        <v>59</v>
      </c>
      <c r="W1307">
        <v>2</v>
      </c>
      <c r="X1307">
        <v>0</v>
      </c>
      <c r="Z1307">
        <v>0</v>
      </c>
      <c r="AA1307">
        <v>40.850745</v>
      </c>
      <c r="AB1307">
        <v>-73.911801</v>
      </c>
      <c r="AD1307" t="s">
        <v>10839</v>
      </c>
      <c r="AF1307" t="s">
        <v>10842</v>
      </c>
      <c r="AG1307" t="s">
        <v>10859</v>
      </c>
      <c r="AH1307" t="s">
        <v>10864</v>
      </c>
      <c r="AI1307">
        <v>230</v>
      </c>
      <c r="AJ1307" t="s">
        <v>10210</v>
      </c>
      <c r="AL1307">
        <v>8</v>
      </c>
      <c r="AM1307" t="s">
        <v>10884</v>
      </c>
      <c r="AN1307" t="s">
        <v>10929</v>
      </c>
      <c r="AO1307" t="s">
        <v>11013</v>
      </c>
      <c r="AP1307" t="s">
        <v>11045</v>
      </c>
      <c r="AQ1307" t="s">
        <v>11119</v>
      </c>
      <c r="AR1307" t="s">
        <v>11267</v>
      </c>
      <c r="AS1307" t="s">
        <v>9926</v>
      </c>
      <c r="AT1307" t="s">
        <v>11641</v>
      </c>
      <c r="AV1307" t="s">
        <v>11656</v>
      </c>
      <c r="AW1307" t="s">
        <v>11645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</row>
    <row r="1308" spans="1:59">
      <c r="A1308" s="1">
        <f>HYPERLINK("https://lsnyc.legalserver.org/matter/dynamic-profile/view/1905140","19-1905140")</f>
        <v>0</v>
      </c>
      <c r="B1308" t="s">
        <v>1191</v>
      </c>
      <c r="C1308" t="s">
        <v>6037</v>
      </c>
      <c r="D1308" t="s">
        <v>9926</v>
      </c>
      <c r="E1308" t="s">
        <v>10075</v>
      </c>
      <c r="F1308">
        <v>10453</v>
      </c>
      <c r="G1308" t="s">
        <v>10090</v>
      </c>
      <c r="H1308" t="s">
        <v>10128</v>
      </c>
      <c r="I1308" t="s">
        <v>10191</v>
      </c>
      <c r="J1308" t="s">
        <v>10210</v>
      </c>
      <c r="K1308" t="s">
        <v>10217</v>
      </c>
      <c r="M1308" t="s">
        <v>10296</v>
      </c>
      <c r="N1308" t="s">
        <v>10673</v>
      </c>
      <c r="P1308" t="s">
        <v>10753</v>
      </c>
      <c r="Q1308" t="s">
        <v>10763</v>
      </c>
      <c r="R1308" t="s">
        <v>10825</v>
      </c>
      <c r="T1308">
        <v>0</v>
      </c>
      <c r="U1308">
        <v>0</v>
      </c>
      <c r="V1308">
        <v>21</v>
      </c>
      <c r="W1308">
        <v>2</v>
      </c>
      <c r="X1308">
        <v>0</v>
      </c>
      <c r="Z1308">
        <v>0</v>
      </c>
      <c r="AA1308">
        <v>40.850745</v>
      </c>
      <c r="AB1308">
        <v>-73.911801</v>
      </c>
      <c r="AD1308" t="s">
        <v>10840</v>
      </c>
      <c r="AF1308" t="s">
        <v>10842</v>
      </c>
      <c r="AG1308" t="s">
        <v>10859</v>
      </c>
      <c r="AH1308" t="s">
        <v>10864</v>
      </c>
      <c r="AI1308">
        <v>230</v>
      </c>
      <c r="AJ1308" t="s">
        <v>10210</v>
      </c>
      <c r="AL1308">
        <v>0.5</v>
      </c>
      <c r="AM1308" t="s">
        <v>10884</v>
      </c>
      <c r="AN1308" t="s">
        <v>10929</v>
      </c>
      <c r="AO1308" t="s">
        <v>11013</v>
      </c>
      <c r="AP1308" t="s">
        <v>11045</v>
      </c>
      <c r="AQ1308" t="s">
        <v>11119</v>
      </c>
      <c r="AR1308" t="s">
        <v>11267</v>
      </c>
      <c r="AS1308" t="s">
        <v>9926</v>
      </c>
      <c r="AT1308" t="s">
        <v>11642</v>
      </c>
      <c r="AV1308" t="s">
        <v>11655</v>
      </c>
      <c r="AW1308" t="s">
        <v>11666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</row>
    <row r="1309" spans="1:59">
      <c r="A1309" s="1">
        <f>HYPERLINK("https://lsnyc.legalserver.org/matter/dynamic-profile/view/1905141","19-1905141")</f>
        <v>0</v>
      </c>
      <c r="B1309" t="s">
        <v>1192</v>
      </c>
      <c r="C1309" t="s">
        <v>6038</v>
      </c>
      <c r="D1309" t="s">
        <v>9926</v>
      </c>
      <c r="E1309" t="s">
        <v>10075</v>
      </c>
      <c r="F1309">
        <v>10453</v>
      </c>
      <c r="G1309" t="s">
        <v>10093</v>
      </c>
      <c r="H1309" t="s">
        <v>10128</v>
      </c>
      <c r="I1309" t="s">
        <v>10169</v>
      </c>
      <c r="J1309" t="s">
        <v>10213</v>
      </c>
      <c r="K1309" t="s">
        <v>10218</v>
      </c>
      <c r="L1309" t="s">
        <v>10128</v>
      </c>
      <c r="M1309" t="s">
        <v>10358</v>
      </c>
      <c r="N1309" t="s">
        <v>10688</v>
      </c>
      <c r="P1309" t="s">
        <v>10752</v>
      </c>
      <c r="Q1309" t="s">
        <v>10783</v>
      </c>
      <c r="R1309" t="s">
        <v>10821</v>
      </c>
      <c r="T1309">
        <v>4224</v>
      </c>
      <c r="U1309">
        <v>352</v>
      </c>
      <c r="V1309">
        <v>52</v>
      </c>
      <c r="W1309">
        <v>3</v>
      </c>
      <c r="X1309">
        <v>0</v>
      </c>
      <c r="Y1309" t="s">
        <v>10830</v>
      </c>
      <c r="Z1309">
        <v>19.8</v>
      </c>
      <c r="AA1309">
        <v>40.854143</v>
      </c>
      <c r="AB1309">
        <v>-73.905995</v>
      </c>
      <c r="AD1309" t="s">
        <v>10839</v>
      </c>
      <c r="AG1309" t="s">
        <v>10858</v>
      </c>
      <c r="AH1309" t="s">
        <v>10863</v>
      </c>
      <c r="AI1309">
        <v>239</v>
      </c>
      <c r="AJ1309" t="s">
        <v>10213</v>
      </c>
      <c r="AK1309" t="s">
        <v>10882</v>
      </c>
      <c r="AL1309">
        <v>3.25</v>
      </c>
      <c r="AM1309" t="s">
        <v>10884</v>
      </c>
      <c r="AN1309" t="s">
        <v>10931</v>
      </c>
      <c r="AO1309" t="s">
        <v>11000</v>
      </c>
      <c r="AP1309" t="s">
        <v>11045</v>
      </c>
      <c r="AQ1309" t="s">
        <v>11184</v>
      </c>
      <c r="AR1309" t="s">
        <v>11273</v>
      </c>
      <c r="AS1309" t="s">
        <v>9926</v>
      </c>
      <c r="AY1309" t="s">
        <v>10830</v>
      </c>
      <c r="AZ1309" t="s">
        <v>11718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</row>
    <row r="1310" spans="1:59">
      <c r="A1310" s="1">
        <f>HYPERLINK("https://lsnyc.legalserver.org/matter/dynamic-profile/view/1905142","19-1905142")</f>
        <v>0</v>
      </c>
      <c r="B1310" t="s">
        <v>1193</v>
      </c>
      <c r="C1310" t="s">
        <v>5401</v>
      </c>
      <c r="D1310" t="s">
        <v>9928</v>
      </c>
      <c r="E1310" t="s">
        <v>10075</v>
      </c>
      <c r="F1310">
        <v>11233</v>
      </c>
      <c r="G1310" t="s">
        <v>10093</v>
      </c>
      <c r="H1310" t="s">
        <v>10128</v>
      </c>
      <c r="I1310" t="s">
        <v>10168</v>
      </c>
      <c r="J1310" t="s">
        <v>10213</v>
      </c>
      <c r="K1310" t="s">
        <v>10218</v>
      </c>
      <c r="L1310" t="s">
        <v>10143</v>
      </c>
      <c r="M1310" t="s">
        <v>10414</v>
      </c>
      <c r="N1310" t="s">
        <v>10675</v>
      </c>
      <c r="P1310" t="s">
        <v>10751</v>
      </c>
      <c r="Q1310" t="s">
        <v>10776</v>
      </c>
      <c r="R1310" t="s">
        <v>10822</v>
      </c>
      <c r="T1310">
        <v>14316</v>
      </c>
      <c r="U1310">
        <v>1193</v>
      </c>
      <c r="V1310">
        <v>67</v>
      </c>
      <c r="W1310">
        <v>1</v>
      </c>
      <c r="X1310">
        <v>0</v>
      </c>
      <c r="Y1310" t="s">
        <v>10829</v>
      </c>
      <c r="Z1310">
        <v>114.62</v>
      </c>
      <c r="AA1310">
        <v>40.675515</v>
      </c>
      <c r="AB1310">
        <v>-73.911641</v>
      </c>
      <c r="AC1310" t="s">
        <v>10837</v>
      </c>
      <c r="AD1310" t="s">
        <v>10840</v>
      </c>
      <c r="AG1310" t="s">
        <v>10858</v>
      </c>
      <c r="AH1310" t="s">
        <v>10878</v>
      </c>
      <c r="AI1310">
        <v>239</v>
      </c>
      <c r="AJ1310" t="s">
        <v>10213</v>
      </c>
      <c r="AK1310" t="s">
        <v>10882</v>
      </c>
      <c r="AL1310">
        <v>2.6</v>
      </c>
      <c r="AM1310" t="s">
        <v>10889</v>
      </c>
      <c r="AN1310" t="s">
        <v>10922</v>
      </c>
      <c r="AO1310" t="s">
        <v>11007</v>
      </c>
      <c r="AP1310" t="s">
        <v>11064</v>
      </c>
      <c r="AQ1310" t="s">
        <v>11156</v>
      </c>
      <c r="AR1310" t="s">
        <v>10180</v>
      </c>
      <c r="AS1310" t="s">
        <v>11595</v>
      </c>
      <c r="AT1310" t="s">
        <v>11642</v>
      </c>
      <c r="AY1310" t="s">
        <v>10829</v>
      </c>
      <c r="AZ1310" t="s">
        <v>11682</v>
      </c>
      <c r="BA1310" t="s">
        <v>11741</v>
      </c>
      <c r="BB1310">
        <v>0</v>
      </c>
      <c r="BC1310">
        <v>0</v>
      </c>
      <c r="BD1310">
        <v>0</v>
      </c>
      <c r="BE1310">
        <v>0</v>
      </c>
      <c r="BF1310">
        <v>1</v>
      </c>
      <c r="BG1310">
        <v>0</v>
      </c>
    </row>
    <row r="1311" spans="1:59">
      <c r="A1311" s="1">
        <f>HYPERLINK("https://lsnyc.legalserver.org/matter/dynamic-profile/view/1905143","19-1905143")</f>
        <v>0</v>
      </c>
      <c r="B1311" t="s">
        <v>1194</v>
      </c>
      <c r="C1311" t="s">
        <v>6039</v>
      </c>
      <c r="D1311" t="s">
        <v>9928</v>
      </c>
      <c r="E1311" t="s">
        <v>10075</v>
      </c>
      <c r="F1311">
        <v>11220</v>
      </c>
      <c r="G1311" t="s">
        <v>10093</v>
      </c>
      <c r="H1311" t="s">
        <v>10128</v>
      </c>
      <c r="I1311" t="s">
        <v>10169</v>
      </c>
      <c r="J1311" t="s">
        <v>10213</v>
      </c>
      <c r="K1311" t="s">
        <v>10218</v>
      </c>
      <c r="L1311" t="s">
        <v>10096</v>
      </c>
      <c r="M1311" t="s">
        <v>10245</v>
      </c>
      <c r="N1311" t="s">
        <v>10657</v>
      </c>
      <c r="P1311" t="s">
        <v>10749</v>
      </c>
      <c r="Q1311" t="s">
        <v>10774</v>
      </c>
      <c r="R1311" t="s">
        <v>10823</v>
      </c>
      <c r="T1311">
        <v>10116</v>
      </c>
      <c r="U1311">
        <v>843</v>
      </c>
      <c r="V1311">
        <v>68</v>
      </c>
      <c r="W1311">
        <v>2</v>
      </c>
      <c r="X1311">
        <v>0</v>
      </c>
      <c r="Y1311" t="s">
        <v>10829</v>
      </c>
      <c r="Z1311">
        <v>59.82</v>
      </c>
      <c r="AA1311">
        <v>40.64175</v>
      </c>
      <c r="AB1311">
        <v>-74.009827</v>
      </c>
      <c r="AD1311" t="s">
        <v>10839</v>
      </c>
      <c r="AG1311" t="s">
        <v>10858</v>
      </c>
      <c r="AH1311" t="s">
        <v>10860</v>
      </c>
      <c r="AI1311">
        <v>239</v>
      </c>
      <c r="AJ1311" t="s">
        <v>10213</v>
      </c>
      <c r="AK1311" t="s">
        <v>10838</v>
      </c>
      <c r="AL1311">
        <v>1.1</v>
      </c>
      <c r="AM1311" t="s">
        <v>10886</v>
      </c>
      <c r="AN1311" t="s">
        <v>10974</v>
      </c>
      <c r="AO1311" t="s">
        <v>11005</v>
      </c>
      <c r="AP1311" t="s">
        <v>11069</v>
      </c>
      <c r="AR1311" t="s">
        <v>11298</v>
      </c>
      <c r="AS1311" t="s">
        <v>11595</v>
      </c>
      <c r="AT1311" t="s">
        <v>11641</v>
      </c>
      <c r="AX1311" t="s">
        <v>10838</v>
      </c>
      <c r="AY1311" t="s">
        <v>10829</v>
      </c>
      <c r="AZ1311" t="s">
        <v>11681</v>
      </c>
      <c r="BA1311" t="s">
        <v>11741</v>
      </c>
      <c r="BB1311">
        <v>0</v>
      </c>
      <c r="BC1311">
        <v>0</v>
      </c>
      <c r="BD1311">
        <v>0</v>
      </c>
      <c r="BE1311">
        <v>0</v>
      </c>
      <c r="BF1311">
        <v>1</v>
      </c>
      <c r="BG1311">
        <v>0</v>
      </c>
    </row>
    <row r="1312" spans="1:59">
      <c r="A1312" s="1">
        <f>HYPERLINK("https://lsnyc.legalserver.org/matter/dynamic-profile/view/1905144","19-1905144")</f>
        <v>0</v>
      </c>
      <c r="B1312" t="s">
        <v>1195</v>
      </c>
      <c r="C1312" t="s">
        <v>6040</v>
      </c>
      <c r="D1312" t="s">
        <v>9926</v>
      </c>
      <c r="E1312" t="s">
        <v>10075</v>
      </c>
      <c r="F1312">
        <v>10475</v>
      </c>
      <c r="G1312" t="s">
        <v>10090</v>
      </c>
      <c r="H1312" t="s">
        <v>10128</v>
      </c>
      <c r="I1312" t="s">
        <v>10168</v>
      </c>
      <c r="J1312" t="s">
        <v>10210</v>
      </c>
      <c r="K1312" t="s">
        <v>10218</v>
      </c>
      <c r="L1312" t="s">
        <v>10101</v>
      </c>
      <c r="M1312" t="s">
        <v>10372</v>
      </c>
      <c r="N1312" t="s">
        <v>10677</v>
      </c>
      <c r="P1312" t="s">
        <v>10756</v>
      </c>
      <c r="Q1312" t="s">
        <v>10792</v>
      </c>
      <c r="R1312" t="s">
        <v>10824</v>
      </c>
      <c r="T1312">
        <v>16800</v>
      </c>
      <c r="U1312">
        <v>1400</v>
      </c>
      <c r="V1312">
        <v>68</v>
      </c>
      <c r="W1312">
        <v>1</v>
      </c>
      <c r="X1312">
        <v>0</v>
      </c>
      <c r="Y1312" t="s">
        <v>10830</v>
      </c>
      <c r="Z1312">
        <v>134.51</v>
      </c>
      <c r="AA1312">
        <v>40.87116</v>
      </c>
      <c r="AB1312">
        <v>-73.82658499999999</v>
      </c>
      <c r="AD1312" t="s">
        <v>10839</v>
      </c>
      <c r="AG1312" t="s">
        <v>10858</v>
      </c>
      <c r="AH1312" t="s">
        <v>10869</v>
      </c>
      <c r="AI1312">
        <v>230</v>
      </c>
      <c r="AJ1312" t="s">
        <v>10210</v>
      </c>
      <c r="AK1312" t="s">
        <v>10838</v>
      </c>
      <c r="AL1312">
        <v>6.65</v>
      </c>
      <c r="AM1312" t="s">
        <v>10893</v>
      </c>
      <c r="AN1312" t="s">
        <v>10911</v>
      </c>
      <c r="AO1312" t="s">
        <v>11010</v>
      </c>
      <c r="AP1312" t="s">
        <v>11085</v>
      </c>
      <c r="AR1312" t="s">
        <v>11345</v>
      </c>
      <c r="AS1312" t="s">
        <v>9926</v>
      </c>
      <c r="AY1312" t="s">
        <v>10830</v>
      </c>
      <c r="AZ1312" t="s">
        <v>11698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</row>
    <row r="1313" spans="1:59">
      <c r="A1313" s="1">
        <f>HYPERLINK("https://lsnyc.legalserver.org/matter/dynamic-profile/view/1905145","19-1905145")</f>
        <v>0</v>
      </c>
      <c r="B1313" t="s">
        <v>1196</v>
      </c>
      <c r="C1313" t="s">
        <v>6041</v>
      </c>
      <c r="D1313" t="s">
        <v>9928</v>
      </c>
      <c r="E1313" t="s">
        <v>10075</v>
      </c>
      <c r="F1313">
        <v>11207</v>
      </c>
      <c r="G1313" t="s">
        <v>10093</v>
      </c>
      <c r="H1313" t="s">
        <v>10128</v>
      </c>
      <c r="I1313" t="s">
        <v>10168</v>
      </c>
      <c r="J1313" t="s">
        <v>10213</v>
      </c>
      <c r="K1313" t="s">
        <v>10218</v>
      </c>
      <c r="L1313" t="s">
        <v>10121</v>
      </c>
      <c r="M1313" t="s">
        <v>10317</v>
      </c>
      <c r="N1313" t="s">
        <v>10671</v>
      </c>
      <c r="P1313" t="s">
        <v>10757</v>
      </c>
      <c r="Q1313" t="s">
        <v>10789</v>
      </c>
      <c r="R1313" t="s">
        <v>10824</v>
      </c>
      <c r="T1313">
        <v>19776</v>
      </c>
      <c r="U1313">
        <v>1648</v>
      </c>
      <c r="V1313">
        <v>72</v>
      </c>
      <c r="W1313">
        <v>2</v>
      </c>
      <c r="X1313">
        <v>0</v>
      </c>
      <c r="Y1313" t="s">
        <v>10829</v>
      </c>
      <c r="Z1313">
        <v>116.95</v>
      </c>
      <c r="AA1313">
        <v>40.685281</v>
      </c>
      <c r="AB1313">
        <v>-73.91243799999999</v>
      </c>
      <c r="AD1313" t="s">
        <v>10840</v>
      </c>
      <c r="AG1313" t="s">
        <v>10858</v>
      </c>
      <c r="AH1313" t="s">
        <v>10861</v>
      </c>
      <c r="AI1313">
        <v>234</v>
      </c>
      <c r="AJ1313" t="s">
        <v>10214</v>
      </c>
      <c r="AK1313" t="s">
        <v>10838</v>
      </c>
      <c r="AL1313">
        <v>4.05</v>
      </c>
      <c r="AM1313" t="s">
        <v>10889</v>
      </c>
      <c r="AN1313" t="s">
        <v>10922</v>
      </c>
      <c r="AO1313" t="s">
        <v>11011</v>
      </c>
      <c r="AP1313" t="s">
        <v>11058</v>
      </c>
      <c r="AR1313" t="s">
        <v>11364</v>
      </c>
      <c r="AS1313" t="s">
        <v>11595</v>
      </c>
      <c r="AT1313" t="s">
        <v>11642</v>
      </c>
      <c r="AX1313" t="s">
        <v>11678</v>
      </c>
      <c r="AY1313" t="s">
        <v>10829</v>
      </c>
      <c r="AZ1313" t="s">
        <v>11703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</row>
    <row r="1314" spans="1:59">
      <c r="A1314" s="1">
        <f>HYPERLINK("https://lsnyc.legalserver.org/matter/dynamic-profile/view/1905146","19-1905146")</f>
        <v>0</v>
      </c>
      <c r="B1314" t="s">
        <v>1197</v>
      </c>
      <c r="C1314" t="s">
        <v>5601</v>
      </c>
      <c r="D1314" t="s">
        <v>9926</v>
      </c>
      <c r="E1314" t="s">
        <v>10075</v>
      </c>
      <c r="F1314">
        <v>10453</v>
      </c>
      <c r="G1314" t="s">
        <v>10090</v>
      </c>
      <c r="H1314" t="s">
        <v>10128</v>
      </c>
      <c r="I1314" t="s">
        <v>10169</v>
      </c>
      <c r="J1314" t="s">
        <v>10210</v>
      </c>
      <c r="K1314" t="s">
        <v>10217</v>
      </c>
      <c r="M1314" t="s">
        <v>10463</v>
      </c>
      <c r="N1314" t="s">
        <v>10650</v>
      </c>
      <c r="P1314" t="s">
        <v>10749</v>
      </c>
      <c r="Q1314" t="s">
        <v>10765</v>
      </c>
      <c r="R1314" t="s">
        <v>10821</v>
      </c>
      <c r="T1314">
        <v>20000</v>
      </c>
      <c r="U1314">
        <v>1666.67</v>
      </c>
      <c r="V1314">
        <v>30</v>
      </c>
      <c r="W1314">
        <v>3</v>
      </c>
      <c r="X1314">
        <v>0</v>
      </c>
      <c r="Z1314">
        <v>93.76000000000001</v>
      </c>
      <c r="AA1314">
        <v>40.846436</v>
      </c>
      <c r="AB1314">
        <v>-73.90944</v>
      </c>
      <c r="AD1314" t="s">
        <v>10839</v>
      </c>
      <c r="AF1314" t="s">
        <v>10843</v>
      </c>
      <c r="AG1314" t="s">
        <v>10859</v>
      </c>
      <c r="AH1314" t="s">
        <v>10862</v>
      </c>
      <c r="AI1314">
        <v>230</v>
      </c>
      <c r="AJ1314" t="s">
        <v>10210</v>
      </c>
      <c r="AL1314">
        <v>0</v>
      </c>
      <c r="AM1314" t="s">
        <v>10884</v>
      </c>
      <c r="AN1314" t="s">
        <v>10931</v>
      </c>
      <c r="AO1314" t="s">
        <v>11000</v>
      </c>
      <c r="AP1314" t="s">
        <v>11045</v>
      </c>
      <c r="AR1314" t="s">
        <v>11257</v>
      </c>
      <c r="AS1314" t="s">
        <v>9926</v>
      </c>
      <c r="AT1314" t="s">
        <v>11641</v>
      </c>
      <c r="BA1314" t="s">
        <v>11739</v>
      </c>
      <c r="BB1314">
        <v>0</v>
      </c>
      <c r="BC1314">
        <v>0</v>
      </c>
      <c r="BD1314">
        <v>0</v>
      </c>
      <c r="BE1314">
        <v>0</v>
      </c>
      <c r="BF1314">
        <v>4</v>
      </c>
      <c r="BG1314">
        <v>0</v>
      </c>
    </row>
    <row r="1315" spans="1:59">
      <c r="A1315" s="1">
        <f>HYPERLINK("https://lsnyc.legalserver.org/matter/dynamic-profile/view/1905147","19-1905147")</f>
        <v>0</v>
      </c>
      <c r="B1315" t="s">
        <v>604</v>
      </c>
      <c r="C1315" t="s">
        <v>5508</v>
      </c>
      <c r="D1315" t="s">
        <v>9926</v>
      </c>
      <c r="E1315" t="s">
        <v>10075</v>
      </c>
      <c r="F1315">
        <v>10455</v>
      </c>
      <c r="G1315" t="s">
        <v>10090</v>
      </c>
      <c r="H1315" t="s">
        <v>10128</v>
      </c>
      <c r="I1315" t="s">
        <v>10169</v>
      </c>
      <c r="J1315" t="s">
        <v>10210</v>
      </c>
      <c r="K1315" t="s">
        <v>10217</v>
      </c>
      <c r="M1315" t="s">
        <v>10463</v>
      </c>
      <c r="N1315" t="s">
        <v>10650</v>
      </c>
      <c r="P1315" t="s">
        <v>10749</v>
      </c>
      <c r="Q1315" t="s">
        <v>10765</v>
      </c>
      <c r="R1315" t="s">
        <v>10821</v>
      </c>
      <c r="T1315">
        <v>0</v>
      </c>
      <c r="U1315">
        <v>0</v>
      </c>
      <c r="V1315">
        <v>49</v>
      </c>
      <c r="W1315">
        <v>2</v>
      </c>
      <c r="X1315">
        <v>0</v>
      </c>
      <c r="Z1315">
        <v>0</v>
      </c>
      <c r="AA1315">
        <v>40.814695</v>
      </c>
      <c r="AB1315">
        <v>-73.910837</v>
      </c>
      <c r="AD1315" t="s">
        <v>10840</v>
      </c>
      <c r="AF1315" t="s">
        <v>10844</v>
      </c>
      <c r="AG1315" t="s">
        <v>10859</v>
      </c>
      <c r="AH1315" t="s">
        <v>10862</v>
      </c>
      <c r="AI1315">
        <v>230</v>
      </c>
      <c r="AJ1315" t="s">
        <v>10210</v>
      </c>
      <c r="AL1315">
        <v>0</v>
      </c>
      <c r="AM1315" t="s">
        <v>10884</v>
      </c>
      <c r="AN1315" t="s">
        <v>10924</v>
      </c>
      <c r="AO1315" t="s">
        <v>11013</v>
      </c>
      <c r="AP1315" t="s">
        <v>11062</v>
      </c>
      <c r="AR1315" t="s">
        <v>11267</v>
      </c>
      <c r="AS1315" t="s">
        <v>9926</v>
      </c>
      <c r="BA1315" t="s">
        <v>11739</v>
      </c>
      <c r="BB1315">
        <v>0</v>
      </c>
      <c r="BC1315">
        <v>0</v>
      </c>
      <c r="BD1315">
        <v>0</v>
      </c>
      <c r="BE1315">
        <v>0</v>
      </c>
      <c r="BF1315">
        <v>4</v>
      </c>
      <c r="BG1315">
        <v>0</v>
      </c>
    </row>
    <row r="1316" spans="1:59">
      <c r="A1316" s="1">
        <f>HYPERLINK("https://lsnyc.legalserver.org/matter/dynamic-profile/view/1905148","19-1905148")</f>
        <v>0</v>
      </c>
      <c r="B1316" t="s">
        <v>1197</v>
      </c>
      <c r="C1316" t="s">
        <v>5601</v>
      </c>
      <c r="D1316" t="s">
        <v>9926</v>
      </c>
      <c r="E1316" t="s">
        <v>10075</v>
      </c>
      <c r="F1316">
        <v>10453</v>
      </c>
      <c r="G1316" t="s">
        <v>10090</v>
      </c>
      <c r="H1316" t="s">
        <v>10128</v>
      </c>
      <c r="I1316" t="s">
        <v>10169</v>
      </c>
      <c r="J1316" t="s">
        <v>10210</v>
      </c>
      <c r="K1316" t="s">
        <v>10217</v>
      </c>
      <c r="M1316" t="s">
        <v>10463</v>
      </c>
      <c r="N1316" t="s">
        <v>10650</v>
      </c>
      <c r="P1316" t="s">
        <v>10749</v>
      </c>
      <c r="Q1316" t="s">
        <v>10765</v>
      </c>
      <c r="R1316" t="s">
        <v>10821</v>
      </c>
      <c r="T1316">
        <v>20000</v>
      </c>
      <c r="U1316">
        <v>1666.67</v>
      </c>
      <c r="V1316">
        <v>30</v>
      </c>
      <c r="W1316">
        <v>3</v>
      </c>
      <c r="X1316">
        <v>0</v>
      </c>
      <c r="Z1316">
        <v>93.76000000000001</v>
      </c>
      <c r="AA1316">
        <v>40.846436</v>
      </c>
      <c r="AB1316">
        <v>-73.90944</v>
      </c>
      <c r="AD1316" t="s">
        <v>10839</v>
      </c>
      <c r="AF1316" t="s">
        <v>10843</v>
      </c>
      <c r="AG1316" t="s">
        <v>10859</v>
      </c>
      <c r="AH1316" t="s">
        <v>10862</v>
      </c>
      <c r="AI1316">
        <v>230</v>
      </c>
      <c r="AJ1316" t="s">
        <v>10210</v>
      </c>
      <c r="AL1316">
        <v>0</v>
      </c>
      <c r="AM1316" t="s">
        <v>10884</v>
      </c>
      <c r="AN1316" t="s">
        <v>10931</v>
      </c>
      <c r="AO1316" t="s">
        <v>11000</v>
      </c>
      <c r="AP1316" t="s">
        <v>11045</v>
      </c>
      <c r="AR1316" t="s">
        <v>11257</v>
      </c>
      <c r="AS1316" t="s">
        <v>9926</v>
      </c>
      <c r="AT1316" t="s">
        <v>11641</v>
      </c>
      <c r="BA1316" t="s">
        <v>11739</v>
      </c>
      <c r="BB1316">
        <v>0</v>
      </c>
      <c r="BC1316">
        <v>0</v>
      </c>
      <c r="BD1316">
        <v>0</v>
      </c>
      <c r="BE1316">
        <v>0</v>
      </c>
      <c r="BF1316">
        <v>4</v>
      </c>
      <c r="BG1316">
        <v>0</v>
      </c>
    </row>
    <row r="1317" spans="1:59">
      <c r="A1317" s="1">
        <f>HYPERLINK("https://lsnyc.legalserver.org/matter/dynamic-profile/view/1905149","19-1905149")</f>
        <v>0</v>
      </c>
      <c r="B1317" t="s">
        <v>1198</v>
      </c>
      <c r="C1317" t="s">
        <v>6042</v>
      </c>
      <c r="D1317" t="s">
        <v>9946</v>
      </c>
      <c r="E1317" t="s">
        <v>10075</v>
      </c>
      <c r="F1317">
        <v>11385</v>
      </c>
      <c r="G1317" t="s">
        <v>10092</v>
      </c>
      <c r="H1317" t="s">
        <v>10128</v>
      </c>
      <c r="I1317" t="s">
        <v>10168</v>
      </c>
      <c r="J1317" t="s">
        <v>10212</v>
      </c>
      <c r="K1317" t="s">
        <v>10217</v>
      </c>
      <c r="M1317" t="s">
        <v>10329</v>
      </c>
      <c r="N1317" t="s">
        <v>10650</v>
      </c>
      <c r="P1317" t="s">
        <v>10749</v>
      </c>
      <c r="Q1317" t="s">
        <v>10765</v>
      </c>
      <c r="R1317" t="s">
        <v>10821</v>
      </c>
      <c r="T1317">
        <v>69918</v>
      </c>
      <c r="U1317">
        <v>5826.5</v>
      </c>
      <c r="V1317">
        <v>39</v>
      </c>
      <c r="W1317">
        <v>1</v>
      </c>
      <c r="X1317">
        <v>2</v>
      </c>
      <c r="Z1317">
        <v>327.79</v>
      </c>
      <c r="AA1317">
        <v>40.699568</v>
      </c>
      <c r="AB1317">
        <v>-73.90480700000001</v>
      </c>
      <c r="AD1317" t="s">
        <v>10839</v>
      </c>
      <c r="AG1317" t="s">
        <v>10858</v>
      </c>
      <c r="AH1317" t="s">
        <v>10862</v>
      </c>
      <c r="AI1317">
        <v>237</v>
      </c>
      <c r="AJ1317" t="s">
        <v>10212</v>
      </c>
      <c r="AL1317">
        <v>9.41</v>
      </c>
      <c r="AM1317" t="s">
        <v>10886</v>
      </c>
      <c r="AN1317" t="s">
        <v>10945</v>
      </c>
      <c r="AO1317" t="s">
        <v>11003</v>
      </c>
      <c r="AP1317" t="s">
        <v>11071</v>
      </c>
      <c r="AR1317" t="s">
        <v>11257</v>
      </c>
      <c r="AS1317" t="s">
        <v>11594</v>
      </c>
      <c r="BA1317" t="s">
        <v>11738</v>
      </c>
      <c r="BB1317">
        <v>0</v>
      </c>
      <c r="BC1317">
        <v>0</v>
      </c>
      <c r="BD1317">
        <v>0</v>
      </c>
      <c r="BE1317">
        <v>0</v>
      </c>
      <c r="BF1317">
        <v>5</v>
      </c>
      <c r="BG1317">
        <v>0</v>
      </c>
    </row>
    <row r="1318" spans="1:59">
      <c r="A1318" s="1">
        <f>HYPERLINK("https://lsnyc.legalserver.org/matter/dynamic-profile/view/1905150","19-1905150")</f>
        <v>0</v>
      </c>
      <c r="B1318" t="s">
        <v>1199</v>
      </c>
      <c r="C1318" t="s">
        <v>6043</v>
      </c>
      <c r="D1318" t="s">
        <v>9926</v>
      </c>
      <c r="E1318" t="s">
        <v>10075</v>
      </c>
      <c r="F1318">
        <v>10460</v>
      </c>
      <c r="G1318" t="s">
        <v>10089</v>
      </c>
      <c r="H1318" t="s">
        <v>10128</v>
      </c>
      <c r="I1318" t="s">
        <v>10168</v>
      </c>
      <c r="J1318" t="s">
        <v>10209</v>
      </c>
      <c r="K1318" t="s">
        <v>10217</v>
      </c>
      <c r="M1318" t="s">
        <v>10301</v>
      </c>
      <c r="N1318" t="s">
        <v>10665</v>
      </c>
      <c r="P1318" t="s">
        <v>10751</v>
      </c>
      <c r="Q1318" t="s">
        <v>10773</v>
      </c>
      <c r="R1318" t="s">
        <v>10824</v>
      </c>
      <c r="T1318">
        <v>38000</v>
      </c>
      <c r="U1318">
        <v>3166.67</v>
      </c>
      <c r="V1318">
        <v>41</v>
      </c>
      <c r="W1318">
        <v>2</v>
      </c>
      <c r="X1318">
        <v>0</v>
      </c>
      <c r="Z1318">
        <v>224.72</v>
      </c>
      <c r="AA1318">
        <v>40.837362</v>
      </c>
      <c r="AB1318">
        <v>-73.866992</v>
      </c>
      <c r="AD1318" t="s">
        <v>10839</v>
      </c>
      <c r="AG1318" t="s">
        <v>10858</v>
      </c>
      <c r="AH1318" t="s">
        <v>10861</v>
      </c>
      <c r="AI1318">
        <v>234</v>
      </c>
      <c r="AJ1318" t="s">
        <v>10214</v>
      </c>
      <c r="AL1318">
        <v>8.85</v>
      </c>
      <c r="AM1318" t="s">
        <v>10884</v>
      </c>
      <c r="AN1318" t="s">
        <v>10908</v>
      </c>
      <c r="AO1318" t="s">
        <v>11001</v>
      </c>
      <c r="AP1318" t="s">
        <v>11046</v>
      </c>
      <c r="AQ1318" t="s">
        <v>11115</v>
      </c>
      <c r="AR1318" t="s">
        <v>11257</v>
      </c>
      <c r="AS1318" t="s">
        <v>9926</v>
      </c>
      <c r="AT1318" t="s">
        <v>11641</v>
      </c>
      <c r="AX1318" t="s">
        <v>10838</v>
      </c>
      <c r="BA1318" t="s">
        <v>11741</v>
      </c>
      <c r="BB1318">
        <v>0</v>
      </c>
      <c r="BC1318">
        <v>0</v>
      </c>
      <c r="BD1318">
        <v>0</v>
      </c>
      <c r="BE1318">
        <v>0</v>
      </c>
      <c r="BF1318">
        <v>1</v>
      </c>
      <c r="BG1318">
        <v>0</v>
      </c>
    </row>
    <row r="1319" spans="1:59">
      <c r="A1319" s="1">
        <f>HYPERLINK("https://lsnyc.legalserver.org/matter/dynamic-profile/view/1905151","19-1905151")</f>
        <v>0</v>
      </c>
      <c r="B1319" t="s">
        <v>1200</v>
      </c>
      <c r="C1319" t="s">
        <v>6044</v>
      </c>
      <c r="D1319" t="s">
        <v>9925</v>
      </c>
      <c r="E1319" t="s">
        <v>10075</v>
      </c>
      <c r="F1319">
        <v>10002</v>
      </c>
      <c r="G1319" t="s">
        <v>10089</v>
      </c>
      <c r="H1319" t="s">
        <v>10094</v>
      </c>
      <c r="I1319" t="s">
        <v>10168</v>
      </c>
      <c r="J1319" t="s">
        <v>10209</v>
      </c>
      <c r="K1319" t="s">
        <v>10218</v>
      </c>
      <c r="L1319" t="s">
        <v>10123</v>
      </c>
      <c r="M1319" t="s">
        <v>10300</v>
      </c>
      <c r="N1319" t="s">
        <v>10691</v>
      </c>
      <c r="P1319" t="s">
        <v>10756</v>
      </c>
      <c r="Q1319" t="s">
        <v>10802</v>
      </c>
      <c r="R1319" t="s">
        <v>10824</v>
      </c>
      <c r="T1319">
        <v>0</v>
      </c>
      <c r="U1319">
        <v>0</v>
      </c>
      <c r="V1319">
        <v>57</v>
      </c>
      <c r="W1319">
        <v>1</v>
      </c>
      <c r="X1319">
        <v>0</v>
      </c>
      <c r="Y1319" t="s">
        <v>10830</v>
      </c>
      <c r="Z1319">
        <v>0</v>
      </c>
      <c r="AA1319">
        <v>40.712828</v>
      </c>
      <c r="AB1319">
        <v>-73.984775</v>
      </c>
      <c r="AD1319" t="s">
        <v>10839</v>
      </c>
      <c r="AG1319" t="s">
        <v>10858</v>
      </c>
      <c r="AH1319" t="s">
        <v>10861</v>
      </c>
      <c r="AI1319">
        <v>236</v>
      </c>
      <c r="AJ1319" t="s">
        <v>10209</v>
      </c>
      <c r="AK1319" t="s">
        <v>10838</v>
      </c>
      <c r="AL1319">
        <v>0.8</v>
      </c>
      <c r="AM1319" t="s">
        <v>10886</v>
      </c>
      <c r="AN1319" t="s">
        <v>10963</v>
      </c>
      <c r="AO1319" t="s">
        <v>11004</v>
      </c>
      <c r="AP1319" t="s">
        <v>11093</v>
      </c>
      <c r="AQ1319" t="s">
        <v>11185</v>
      </c>
      <c r="AR1319" t="s">
        <v>11267</v>
      </c>
      <c r="AS1319" t="s">
        <v>9925</v>
      </c>
      <c r="AT1319" t="s">
        <v>11641</v>
      </c>
      <c r="AY1319" t="s">
        <v>10830</v>
      </c>
      <c r="AZ1319" t="s">
        <v>11708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</row>
    <row r="1320" spans="1:59">
      <c r="A1320" s="1">
        <f>HYPERLINK("https://lsnyc.legalserver.org/matter/dynamic-profile/view/1905152","19-1905152")</f>
        <v>0</v>
      </c>
      <c r="B1320" t="s">
        <v>1201</v>
      </c>
      <c r="C1320" t="s">
        <v>6045</v>
      </c>
      <c r="D1320" t="s">
        <v>9936</v>
      </c>
      <c r="E1320" t="s">
        <v>10075</v>
      </c>
      <c r="F1320">
        <v>11106</v>
      </c>
      <c r="G1320" t="s">
        <v>10091</v>
      </c>
      <c r="H1320" t="s">
        <v>10130</v>
      </c>
      <c r="I1320" t="s">
        <v>10169</v>
      </c>
      <c r="J1320" t="s">
        <v>10211</v>
      </c>
      <c r="K1320" t="s">
        <v>10217</v>
      </c>
      <c r="M1320" t="s">
        <v>10307</v>
      </c>
      <c r="N1320" t="s">
        <v>10671</v>
      </c>
      <c r="P1320" t="s">
        <v>10752</v>
      </c>
      <c r="Q1320" t="s">
        <v>10762</v>
      </c>
      <c r="R1320" t="s">
        <v>10821</v>
      </c>
      <c r="T1320">
        <v>14000</v>
      </c>
      <c r="U1320">
        <v>1166.67</v>
      </c>
      <c r="V1320">
        <v>52</v>
      </c>
      <c r="W1320">
        <v>1</v>
      </c>
      <c r="X1320">
        <v>0</v>
      </c>
      <c r="Z1320">
        <v>112.09</v>
      </c>
      <c r="AA1320">
        <v>40.765865</v>
      </c>
      <c r="AB1320">
        <v>-73.931507</v>
      </c>
      <c r="AD1320" t="s">
        <v>10840</v>
      </c>
      <c r="AG1320" t="s">
        <v>10858</v>
      </c>
      <c r="AH1320" t="s">
        <v>10861</v>
      </c>
      <c r="AI1320">
        <v>234</v>
      </c>
      <c r="AJ1320" t="s">
        <v>10214</v>
      </c>
      <c r="AL1320">
        <v>0.7</v>
      </c>
      <c r="AM1320" t="s">
        <v>10891</v>
      </c>
      <c r="AN1320" t="s">
        <v>10954</v>
      </c>
      <c r="AO1320" t="s">
        <v>11003</v>
      </c>
      <c r="AP1320" t="s">
        <v>11084</v>
      </c>
      <c r="AR1320" t="s">
        <v>11257</v>
      </c>
      <c r="AS1320" t="s">
        <v>11594</v>
      </c>
      <c r="AT1320" t="s">
        <v>11642</v>
      </c>
      <c r="AX1320" t="s">
        <v>10838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</row>
    <row r="1321" spans="1:59">
      <c r="A1321" s="1">
        <f>HYPERLINK("https://lsnyc.legalserver.org/matter/dynamic-profile/view/1905153","19-1905153")</f>
        <v>0</v>
      </c>
      <c r="B1321" t="s">
        <v>594</v>
      </c>
      <c r="C1321" t="s">
        <v>5505</v>
      </c>
      <c r="D1321" t="s">
        <v>9941</v>
      </c>
      <c r="E1321" t="s">
        <v>10075</v>
      </c>
      <c r="F1321">
        <v>11429</v>
      </c>
      <c r="G1321" t="s">
        <v>10092</v>
      </c>
      <c r="H1321" t="s">
        <v>10128</v>
      </c>
      <c r="I1321" t="s">
        <v>10168</v>
      </c>
      <c r="J1321" t="s">
        <v>10212</v>
      </c>
      <c r="K1321" t="s">
        <v>10217</v>
      </c>
      <c r="M1321" t="s">
        <v>10242</v>
      </c>
      <c r="N1321" t="s">
        <v>10656</v>
      </c>
      <c r="P1321" t="s">
        <v>10751</v>
      </c>
      <c r="Q1321" t="s">
        <v>10780</v>
      </c>
      <c r="R1321" t="s">
        <v>10821</v>
      </c>
      <c r="T1321">
        <v>600</v>
      </c>
      <c r="U1321">
        <v>50</v>
      </c>
      <c r="V1321">
        <v>50</v>
      </c>
      <c r="W1321">
        <v>1</v>
      </c>
      <c r="X1321">
        <v>1</v>
      </c>
      <c r="Z1321">
        <v>3.55</v>
      </c>
      <c r="AA1321">
        <v>40.713991</v>
      </c>
      <c r="AB1321">
        <v>-73.74660900000001</v>
      </c>
      <c r="AD1321" t="s">
        <v>10839</v>
      </c>
      <c r="AG1321" t="s">
        <v>10858</v>
      </c>
      <c r="AH1321" t="s">
        <v>10866</v>
      </c>
      <c r="AI1321">
        <v>237</v>
      </c>
      <c r="AJ1321" t="s">
        <v>10212</v>
      </c>
      <c r="AL1321">
        <v>0.75</v>
      </c>
      <c r="AM1321" t="s">
        <v>10892</v>
      </c>
      <c r="AN1321" t="s">
        <v>10940</v>
      </c>
      <c r="AO1321" t="s">
        <v>11020</v>
      </c>
      <c r="AP1321" t="s">
        <v>11075</v>
      </c>
      <c r="AQ1321" t="s">
        <v>11118</v>
      </c>
      <c r="AR1321" t="s">
        <v>11263</v>
      </c>
      <c r="AS1321" t="s">
        <v>11594</v>
      </c>
      <c r="AT1321" t="s">
        <v>11641</v>
      </c>
      <c r="AX1321" t="s">
        <v>10838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</row>
    <row r="1322" spans="1:59">
      <c r="A1322" s="1">
        <f>HYPERLINK("https://lsnyc.legalserver.org/matter/dynamic-profile/view/1905154","19-1905154")</f>
        <v>0</v>
      </c>
      <c r="B1322" t="s">
        <v>1202</v>
      </c>
      <c r="C1322" t="s">
        <v>6046</v>
      </c>
      <c r="D1322" t="s">
        <v>9928</v>
      </c>
      <c r="E1322" t="s">
        <v>10075</v>
      </c>
      <c r="F1322">
        <v>11216</v>
      </c>
      <c r="G1322" t="s">
        <v>10093</v>
      </c>
      <c r="H1322" t="s">
        <v>10128</v>
      </c>
      <c r="I1322" t="s">
        <v>10168</v>
      </c>
      <c r="J1322" t="s">
        <v>10213</v>
      </c>
      <c r="K1322" t="s">
        <v>10217</v>
      </c>
      <c r="M1322" t="s">
        <v>10352</v>
      </c>
      <c r="N1322" t="s">
        <v>10725</v>
      </c>
      <c r="P1322" t="s">
        <v>10751</v>
      </c>
      <c r="Q1322" t="s">
        <v>10761</v>
      </c>
      <c r="R1322" t="s">
        <v>10824</v>
      </c>
      <c r="T1322">
        <v>23065.12</v>
      </c>
      <c r="U1322">
        <v>1922.09</v>
      </c>
      <c r="V1322">
        <v>32</v>
      </c>
      <c r="W1322">
        <v>1</v>
      </c>
      <c r="X1322">
        <v>1</v>
      </c>
      <c r="Z1322">
        <v>136.4</v>
      </c>
      <c r="AA1322">
        <v>40.673857</v>
      </c>
      <c r="AB1322">
        <v>-73.950609</v>
      </c>
      <c r="AD1322" t="s">
        <v>10839</v>
      </c>
      <c r="AG1322" t="s">
        <v>10858</v>
      </c>
      <c r="AH1322" t="s">
        <v>10862</v>
      </c>
      <c r="AI1322">
        <v>239</v>
      </c>
      <c r="AJ1322" t="s">
        <v>10213</v>
      </c>
      <c r="AL1322">
        <v>0.9</v>
      </c>
      <c r="AM1322" t="s">
        <v>10888</v>
      </c>
      <c r="AN1322" t="s">
        <v>10912</v>
      </c>
      <c r="AO1322" t="s">
        <v>11007</v>
      </c>
      <c r="AP1322" t="s">
        <v>11052</v>
      </c>
      <c r="AR1322" t="s">
        <v>11257</v>
      </c>
      <c r="AS1322" t="s">
        <v>11595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</row>
    <row r="1323" spans="1:59">
      <c r="A1323" s="1">
        <f>HYPERLINK("https://lsnyc.legalserver.org/matter/dynamic-profile/view/1905155","19-1905155")</f>
        <v>0</v>
      </c>
      <c r="B1323" t="s">
        <v>1203</v>
      </c>
      <c r="C1323" t="s">
        <v>6047</v>
      </c>
      <c r="D1323" t="s">
        <v>9928</v>
      </c>
      <c r="E1323" t="s">
        <v>10075</v>
      </c>
      <c r="F1323">
        <v>11213</v>
      </c>
      <c r="G1323" t="s">
        <v>10093</v>
      </c>
      <c r="H1323" t="s">
        <v>10128</v>
      </c>
      <c r="I1323" t="s">
        <v>10168</v>
      </c>
      <c r="J1323" t="s">
        <v>10213</v>
      </c>
      <c r="K1323" t="s">
        <v>10217</v>
      </c>
      <c r="M1323" t="s">
        <v>10390</v>
      </c>
      <c r="N1323" t="s">
        <v>10644</v>
      </c>
      <c r="P1323" t="s">
        <v>10749</v>
      </c>
      <c r="Q1323" t="s">
        <v>10791</v>
      </c>
      <c r="R1323" t="s">
        <v>10824</v>
      </c>
      <c r="T1323">
        <v>10572</v>
      </c>
      <c r="U1323">
        <v>881</v>
      </c>
      <c r="V1323">
        <v>63</v>
      </c>
      <c r="W1323">
        <v>1</v>
      </c>
      <c r="X1323">
        <v>0</v>
      </c>
      <c r="Z1323">
        <v>84.64</v>
      </c>
      <c r="AA1323">
        <v>40.66857</v>
      </c>
      <c r="AB1323">
        <v>-73.93573600000001</v>
      </c>
      <c r="AD1323" t="s">
        <v>10839</v>
      </c>
      <c r="AG1323" t="s">
        <v>10858</v>
      </c>
      <c r="AH1323" t="s">
        <v>10869</v>
      </c>
      <c r="AI1323">
        <v>239</v>
      </c>
      <c r="AJ1323" t="s">
        <v>10213</v>
      </c>
      <c r="AL1323">
        <v>1.5</v>
      </c>
      <c r="AM1323" t="s">
        <v>10888</v>
      </c>
      <c r="AN1323" t="s">
        <v>10912</v>
      </c>
      <c r="AO1323" t="s">
        <v>11005</v>
      </c>
      <c r="AP1323" t="s">
        <v>11061</v>
      </c>
      <c r="AQ1323" t="s">
        <v>11186</v>
      </c>
      <c r="AR1323" t="s">
        <v>11268</v>
      </c>
      <c r="AS1323" t="s">
        <v>11595</v>
      </c>
      <c r="BA1323" t="s">
        <v>11742</v>
      </c>
      <c r="BB1323">
        <v>0</v>
      </c>
      <c r="BC1323">
        <v>0</v>
      </c>
      <c r="BD1323">
        <v>0</v>
      </c>
      <c r="BE1323">
        <v>0</v>
      </c>
      <c r="BF1323">
        <v>7</v>
      </c>
      <c r="BG1323">
        <v>0</v>
      </c>
    </row>
    <row r="1324" spans="1:59">
      <c r="A1324" s="1">
        <f>HYPERLINK("https://lsnyc.legalserver.org/matter/dynamic-profile/view/1905156","19-1905156")</f>
        <v>0</v>
      </c>
      <c r="B1324" t="s">
        <v>1204</v>
      </c>
      <c r="C1324" t="s">
        <v>6048</v>
      </c>
      <c r="D1324" t="s">
        <v>9937</v>
      </c>
      <c r="E1324" t="s">
        <v>10075</v>
      </c>
      <c r="F1324">
        <v>11412</v>
      </c>
      <c r="G1324" t="s">
        <v>10092</v>
      </c>
      <c r="H1324" t="s">
        <v>10128</v>
      </c>
      <c r="I1324" t="s">
        <v>10168</v>
      </c>
      <c r="J1324" t="s">
        <v>10212</v>
      </c>
      <c r="K1324" t="s">
        <v>10217</v>
      </c>
      <c r="M1324" t="s">
        <v>10416</v>
      </c>
      <c r="N1324" t="s">
        <v>10678</v>
      </c>
      <c r="P1324" t="s">
        <v>10749</v>
      </c>
      <c r="Q1324" t="s">
        <v>10769</v>
      </c>
      <c r="R1324" t="s">
        <v>10824</v>
      </c>
      <c r="T1324">
        <v>170000</v>
      </c>
      <c r="U1324">
        <v>14166.67</v>
      </c>
      <c r="V1324">
        <v>51</v>
      </c>
      <c r="W1324">
        <v>4</v>
      </c>
      <c r="X1324">
        <v>1</v>
      </c>
      <c r="Z1324">
        <v>563.47</v>
      </c>
      <c r="AA1324">
        <v>40.700283</v>
      </c>
      <c r="AB1324">
        <v>-73.750518</v>
      </c>
      <c r="AD1324" t="s">
        <v>10840</v>
      </c>
      <c r="AF1324" t="s">
        <v>10843</v>
      </c>
      <c r="AG1324" t="s">
        <v>10859</v>
      </c>
      <c r="AH1324" t="s">
        <v>10861</v>
      </c>
      <c r="AI1324">
        <v>234</v>
      </c>
      <c r="AJ1324" t="s">
        <v>10214</v>
      </c>
      <c r="AL1324">
        <v>4.45</v>
      </c>
      <c r="AM1324" t="s">
        <v>10892</v>
      </c>
      <c r="AN1324" t="s">
        <v>10940</v>
      </c>
      <c r="AO1324" t="s">
        <v>11020</v>
      </c>
      <c r="AP1324" t="s">
        <v>11075</v>
      </c>
      <c r="AR1324" t="s">
        <v>11343</v>
      </c>
      <c r="AS1324" t="s">
        <v>11594</v>
      </c>
      <c r="AT1324" t="s">
        <v>11642</v>
      </c>
      <c r="AX1324" t="s">
        <v>10838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</row>
    <row r="1325" spans="1:59">
      <c r="A1325" s="1">
        <f>HYPERLINK("https://lsnyc.legalserver.org/matter/dynamic-profile/view/1905157","19-1905157")</f>
        <v>0</v>
      </c>
      <c r="B1325" t="s">
        <v>1205</v>
      </c>
      <c r="C1325" t="s">
        <v>6049</v>
      </c>
      <c r="D1325" t="s">
        <v>9925</v>
      </c>
      <c r="E1325" t="s">
        <v>10075</v>
      </c>
      <c r="F1325">
        <v>10031</v>
      </c>
      <c r="G1325" t="s">
        <v>10089</v>
      </c>
      <c r="H1325" t="s">
        <v>10128</v>
      </c>
      <c r="I1325" t="s">
        <v>10168</v>
      </c>
      <c r="J1325" t="s">
        <v>10209</v>
      </c>
      <c r="K1325" t="s">
        <v>10217</v>
      </c>
      <c r="M1325" t="s">
        <v>10432</v>
      </c>
      <c r="N1325" t="s">
        <v>10702</v>
      </c>
      <c r="P1325" t="s">
        <v>10749</v>
      </c>
      <c r="Q1325" t="s">
        <v>10765</v>
      </c>
      <c r="R1325" t="s">
        <v>10824</v>
      </c>
      <c r="T1325">
        <v>12480</v>
      </c>
      <c r="U1325">
        <v>1040</v>
      </c>
      <c r="V1325">
        <v>56</v>
      </c>
      <c r="W1325">
        <v>1</v>
      </c>
      <c r="X1325">
        <v>0</v>
      </c>
      <c r="Z1325">
        <v>99.92</v>
      </c>
      <c r="AA1325">
        <v>40.824835</v>
      </c>
      <c r="AB1325">
        <v>-73.943307</v>
      </c>
      <c r="AD1325" t="s">
        <v>10839</v>
      </c>
      <c r="AG1325" t="s">
        <v>10858</v>
      </c>
      <c r="AH1325" t="s">
        <v>10862</v>
      </c>
      <c r="AI1325">
        <v>236</v>
      </c>
      <c r="AJ1325" t="s">
        <v>10209</v>
      </c>
      <c r="AL1325">
        <v>14.9</v>
      </c>
      <c r="AM1325" t="s">
        <v>10887</v>
      </c>
      <c r="AN1325" t="s">
        <v>10943</v>
      </c>
      <c r="AO1325" t="s">
        <v>11016</v>
      </c>
      <c r="AP1325" t="s">
        <v>11076</v>
      </c>
      <c r="AR1325" t="s">
        <v>11257</v>
      </c>
      <c r="AS1325" t="s">
        <v>9925</v>
      </c>
      <c r="BA1325" t="s">
        <v>11738</v>
      </c>
      <c r="BB1325">
        <v>0</v>
      </c>
      <c r="BC1325">
        <v>0</v>
      </c>
      <c r="BD1325">
        <v>0</v>
      </c>
      <c r="BE1325">
        <v>0</v>
      </c>
      <c r="BF1325">
        <v>5</v>
      </c>
      <c r="BG1325">
        <v>0</v>
      </c>
    </row>
    <row r="1326" spans="1:59">
      <c r="A1326" s="1">
        <f>HYPERLINK("https://lsnyc.legalserver.org/matter/dynamic-profile/view/1905158","19-1905158")</f>
        <v>0</v>
      </c>
      <c r="B1326" t="s">
        <v>1206</v>
      </c>
      <c r="C1326" t="s">
        <v>6050</v>
      </c>
      <c r="D1326" t="s">
        <v>9925</v>
      </c>
      <c r="E1326" t="s">
        <v>10075</v>
      </c>
      <c r="F1326">
        <v>10039</v>
      </c>
      <c r="G1326" t="s">
        <v>10089</v>
      </c>
      <c r="H1326" t="s">
        <v>10128</v>
      </c>
      <c r="I1326" t="s">
        <v>10168</v>
      </c>
      <c r="J1326" t="s">
        <v>10209</v>
      </c>
      <c r="K1326" t="s">
        <v>10217</v>
      </c>
      <c r="M1326" t="s">
        <v>10300</v>
      </c>
      <c r="N1326" t="s">
        <v>10670</v>
      </c>
      <c r="P1326" t="s">
        <v>10754</v>
      </c>
      <c r="Q1326" t="s">
        <v>10775</v>
      </c>
      <c r="R1326" t="s">
        <v>10824</v>
      </c>
      <c r="T1326">
        <v>11736</v>
      </c>
      <c r="U1326">
        <v>978</v>
      </c>
      <c r="V1326">
        <v>29</v>
      </c>
      <c r="W1326">
        <v>1</v>
      </c>
      <c r="X1326">
        <v>0</v>
      </c>
      <c r="Z1326">
        <v>93.95999999999999</v>
      </c>
      <c r="AA1326">
        <v>40.827535</v>
      </c>
      <c r="AB1326">
        <v>-73.93777300000001</v>
      </c>
      <c r="AD1326" t="s">
        <v>10839</v>
      </c>
      <c r="AG1326" t="s">
        <v>10858</v>
      </c>
      <c r="AH1326" t="s">
        <v>10861</v>
      </c>
      <c r="AI1326">
        <v>234</v>
      </c>
      <c r="AJ1326" t="s">
        <v>10214</v>
      </c>
      <c r="AK1326" t="s">
        <v>10837</v>
      </c>
      <c r="AL1326">
        <v>14.55</v>
      </c>
      <c r="AM1326" t="s">
        <v>10887</v>
      </c>
      <c r="AN1326" t="s">
        <v>10943</v>
      </c>
      <c r="AO1326" t="s">
        <v>11016</v>
      </c>
      <c r="AP1326" t="s">
        <v>11076</v>
      </c>
      <c r="AQ1326" t="s">
        <v>11187</v>
      </c>
      <c r="AR1326" t="s">
        <v>11274</v>
      </c>
      <c r="AS1326" t="s">
        <v>9925</v>
      </c>
      <c r="AT1326" t="s">
        <v>11641</v>
      </c>
      <c r="AX1326" t="s">
        <v>10838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</row>
    <row r="1327" spans="1:59">
      <c r="A1327" s="1">
        <f>HYPERLINK("https://lsnyc.legalserver.org/matter/dynamic-profile/view/1905159","19-1905159")</f>
        <v>0</v>
      </c>
      <c r="B1327" t="s">
        <v>1207</v>
      </c>
      <c r="C1327" t="s">
        <v>6051</v>
      </c>
      <c r="D1327" t="s">
        <v>9929</v>
      </c>
      <c r="E1327" t="s">
        <v>10075</v>
      </c>
      <c r="F1327">
        <v>10303</v>
      </c>
      <c r="G1327" t="s">
        <v>10088</v>
      </c>
      <c r="H1327" t="s">
        <v>10104</v>
      </c>
      <c r="J1327" t="s">
        <v>10208</v>
      </c>
      <c r="K1327" t="s">
        <v>10217</v>
      </c>
      <c r="M1327" t="s">
        <v>10254</v>
      </c>
      <c r="N1327" t="s">
        <v>10711</v>
      </c>
      <c r="P1327" t="s">
        <v>10749</v>
      </c>
      <c r="Q1327" t="s">
        <v>10791</v>
      </c>
      <c r="R1327" t="s">
        <v>10827</v>
      </c>
      <c r="T1327">
        <v>52800</v>
      </c>
      <c r="U1327">
        <v>4400</v>
      </c>
      <c r="V1327">
        <v>37</v>
      </c>
      <c r="W1327">
        <v>1</v>
      </c>
      <c r="X1327">
        <v>2</v>
      </c>
      <c r="Z1327">
        <v>247.54</v>
      </c>
      <c r="AA1327">
        <v>40.625277</v>
      </c>
      <c r="AB1327">
        <v>-74.162553</v>
      </c>
      <c r="AD1327" t="s">
        <v>10839</v>
      </c>
      <c r="AG1327" t="s">
        <v>10858</v>
      </c>
      <c r="AH1327" t="s">
        <v>10862</v>
      </c>
      <c r="AI1327">
        <v>285</v>
      </c>
      <c r="AJ1327" t="s">
        <v>10208</v>
      </c>
      <c r="AL1327">
        <v>7.35</v>
      </c>
      <c r="AM1327" t="s">
        <v>10883</v>
      </c>
      <c r="AN1327" t="s">
        <v>10928</v>
      </c>
      <c r="AO1327" t="s">
        <v>11006</v>
      </c>
      <c r="AP1327" t="s">
        <v>11051</v>
      </c>
      <c r="AR1327" t="s">
        <v>11409</v>
      </c>
      <c r="AS1327" t="s">
        <v>11593</v>
      </c>
      <c r="BA1327" t="s">
        <v>11741</v>
      </c>
      <c r="BB1327">
        <v>0</v>
      </c>
      <c r="BC1327">
        <v>0</v>
      </c>
      <c r="BD1327">
        <v>0</v>
      </c>
      <c r="BE1327">
        <v>0</v>
      </c>
      <c r="BF1327">
        <v>1</v>
      </c>
      <c r="BG1327">
        <v>0</v>
      </c>
    </row>
    <row r="1328" spans="1:59">
      <c r="A1328" s="1">
        <f>HYPERLINK("https://lsnyc.legalserver.org/matter/dynamic-profile/view/1905161","19-1905161")</f>
        <v>0</v>
      </c>
      <c r="B1328" t="s">
        <v>1208</v>
      </c>
      <c r="C1328" t="s">
        <v>6052</v>
      </c>
      <c r="D1328" t="s">
        <v>9928</v>
      </c>
      <c r="E1328" t="s">
        <v>10075</v>
      </c>
      <c r="F1328">
        <v>11221</v>
      </c>
      <c r="G1328" t="s">
        <v>10093</v>
      </c>
      <c r="H1328" t="s">
        <v>10128</v>
      </c>
      <c r="J1328" t="s">
        <v>10213</v>
      </c>
      <c r="K1328" t="s">
        <v>10217</v>
      </c>
      <c r="M1328" t="s">
        <v>10532</v>
      </c>
      <c r="N1328" t="s">
        <v>10726</v>
      </c>
      <c r="P1328" t="s">
        <v>10751</v>
      </c>
      <c r="Q1328" t="s">
        <v>10780</v>
      </c>
      <c r="R1328" t="s">
        <v>10825</v>
      </c>
      <c r="T1328">
        <v>4959</v>
      </c>
      <c r="U1328">
        <v>413.25</v>
      </c>
      <c r="V1328">
        <v>34</v>
      </c>
      <c r="W1328">
        <v>1</v>
      </c>
      <c r="X1328">
        <v>0</v>
      </c>
      <c r="Z1328">
        <v>39.7</v>
      </c>
      <c r="AA1328">
        <v>40.687461</v>
      </c>
      <c r="AB1328">
        <v>-73.92515</v>
      </c>
      <c r="AD1328" t="s">
        <v>10840</v>
      </c>
      <c r="AG1328" t="s">
        <v>10858</v>
      </c>
      <c r="AH1328" t="s">
        <v>10866</v>
      </c>
      <c r="AI1328">
        <v>239</v>
      </c>
      <c r="AJ1328" t="s">
        <v>10213</v>
      </c>
      <c r="AL1328">
        <v>2.7</v>
      </c>
      <c r="AM1328" t="s">
        <v>10889</v>
      </c>
      <c r="AN1328" t="s">
        <v>10914</v>
      </c>
      <c r="AO1328" t="s">
        <v>11007</v>
      </c>
      <c r="AP1328" t="s">
        <v>11064</v>
      </c>
      <c r="AR1328" t="s">
        <v>11255</v>
      </c>
      <c r="AS1328" t="s">
        <v>11595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</row>
    <row r="1329" spans="1:59">
      <c r="A1329" s="1">
        <f>HYPERLINK("https://lsnyc.legalserver.org/matter/dynamic-profile/view/1905162","19-1905162")</f>
        <v>0</v>
      </c>
      <c r="B1329" t="s">
        <v>1209</v>
      </c>
      <c r="C1329" t="s">
        <v>6053</v>
      </c>
      <c r="D1329" t="s">
        <v>9996</v>
      </c>
      <c r="E1329" t="s">
        <v>10075</v>
      </c>
      <c r="F1329">
        <v>11554</v>
      </c>
      <c r="G1329" t="s">
        <v>10091</v>
      </c>
      <c r="H1329" t="s">
        <v>10128</v>
      </c>
      <c r="I1329" t="s">
        <v>10174</v>
      </c>
      <c r="J1329" t="s">
        <v>10214</v>
      </c>
      <c r="K1329" t="s">
        <v>10217</v>
      </c>
      <c r="M1329" t="s">
        <v>10522</v>
      </c>
      <c r="N1329" t="s">
        <v>10673</v>
      </c>
      <c r="P1329" t="s">
        <v>10753</v>
      </c>
      <c r="Q1329" t="s">
        <v>10763</v>
      </c>
      <c r="R1329" t="s">
        <v>10825</v>
      </c>
      <c r="T1329">
        <v>35256</v>
      </c>
      <c r="U1329">
        <v>2938</v>
      </c>
      <c r="V1329">
        <v>62</v>
      </c>
      <c r="W1329">
        <v>3</v>
      </c>
      <c r="X1329">
        <v>2</v>
      </c>
      <c r="Z1329">
        <v>116.86</v>
      </c>
      <c r="AA1329">
        <v>40.70562</v>
      </c>
      <c r="AB1329">
        <v>-73.545024</v>
      </c>
      <c r="AD1329" t="s">
        <v>10840</v>
      </c>
      <c r="AF1329" t="s">
        <v>10842</v>
      </c>
      <c r="AG1329" t="s">
        <v>10859</v>
      </c>
      <c r="AH1329" t="s">
        <v>10864</v>
      </c>
      <c r="AI1329">
        <v>234</v>
      </c>
      <c r="AJ1329" t="s">
        <v>10214</v>
      </c>
      <c r="AL1329">
        <v>7.75</v>
      </c>
      <c r="AM1329" t="s">
        <v>10900</v>
      </c>
      <c r="AN1329" t="s">
        <v>10980</v>
      </c>
      <c r="AO1329" t="s">
        <v>11032</v>
      </c>
      <c r="AQ1329" t="s">
        <v>11096</v>
      </c>
      <c r="AR1329" t="s">
        <v>11257</v>
      </c>
      <c r="AS1329" t="s">
        <v>11612</v>
      </c>
      <c r="BA1329" t="s">
        <v>11739</v>
      </c>
      <c r="BB1329">
        <v>0</v>
      </c>
      <c r="BC1329">
        <v>0</v>
      </c>
      <c r="BD1329">
        <v>0</v>
      </c>
      <c r="BE1329">
        <v>0</v>
      </c>
      <c r="BF1329">
        <v>4</v>
      </c>
      <c r="BG1329">
        <v>0</v>
      </c>
    </row>
    <row r="1330" spans="1:59">
      <c r="A1330" s="1">
        <f>HYPERLINK("https://lsnyc.legalserver.org/matter/dynamic-profile/view/1905163","19-1905163")</f>
        <v>0</v>
      </c>
      <c r="B1330" t="s">
        <v>1210</v>
      </c>
      <c r="C1330" t="s">
        <v>6054</v>
      </c>
      <c r="D1330" t="s">
        <v>9928</v>
      </c>
      <c r="E1330" t="s">
        <v>10075</v>
      </c>
      <c r="F1330">
        <v>11220</v>
      </c>
      <c r="G1330" t="s">
        <v>10093</v>
      </c>
      <c r="H1330" t="s">
        <v>10113</v>
      </c>
      <c r="I1330" t="s">
        <v>10169</v>
      </c>
      <c r="J1330" t="s">
        <v>10213</v>
      </c>
      <c r="K1330" t="s">
        <v>10218</v>
      </c>
      <c r="L1330" t="s">
        <v>10116</v>
      </c>
      <c r="M1330" t="s">
        <v>10533</v>
      </c>
      <c r="N1330" t="s">
        <v>10657</v>
      </c>
      <c r="P1330" t="s">
        <v>10751</v>
      </c>
      <c r="Q1330" t="s">
        <v>10780</v>
      </c>
      <c r="R1330" t="s">
        <v>10821</v>
      </c>
      <c r="T1330">
        <v>25471.92</v>
      </c>
      <c r="U1330">
        <v>2122.66</v>
      </c>
      <c r="V1330">
        <v>38</v>
      </c>
      <c r="W1330">
        <v>2</v>
      </c>
      <c r="X1330">
        <v>2</v>
      </c>
      <c r="Y1330" t="s">
        <v>10829</v>
      </c>
      <c r="Z1330">
        <v>98.92</v>
      </c>
      <c r="AA1330">
        <v>40.640231</v>
      </c>
      <c r="AB1330">
        <v>-74.018759</v>
      </c>
      <c r="AD1330" t="s">
        <v>10839</v>
      </c>
      <c r="AF1330" t="s">
        <v>10843</v>
      </c>
      <c r="AG1330" t="s">
        <v>10859</v>
      </c>
      <c r="AH1330" t="s">
        <v>10860</v>
      </c>
      <c r="AI1330">
        <v>239</v>
      </c>
      <c r="AJ1330" t="s">
        <v>10213</v>
      </c>
      <c r="AK1330" t="s">
        <v>10882</v>
      </c>
      <c r="AL1330">
        <v>0.8</v>
      </c>
      <c r="AM1330" t="s">
        <v>10886</v>
      </c>
      <c r="AN1330" t="s">
        <v>10921</v>
      </c>
      <c r="AO1330" t="s">
        <v>11005</v>
      </c>
      <c r="AP1330" t="s">
        <v>11069</v>
      </c>
      <c r="AQ1330" t="s">
        <v>11118</v>
      </c>
      <c r="AR1330" t="s">
        <v>11282</v>
      </c>
      <c r="AS1330" t="s">
        <v>11595</v>
      </c>
      <c r="AT1330" t="s">
        <v>11641</v>
      </c>
      <c r="AX1330" t="s">
        <v>10838</v>
      </c>
      <c r="AY1330" t="s">
        <v>10829</v>
      </c>
      <c r="AZ1330" t="s">
        <v>11682</v>
      </c>
      <c r="BA1330" t="s">
        <v>11741</v>
      </c>
      <c r="BB1330">
        <v>0</v>
      </c>
      <c r="BC1330">
        <v>0</v>
      </c>
      <c r="BD1330">
        <v>0</v>
      </c>
      <c r="BE1330">
        <v>0</v>
      </c>
      <c r="BF1330">
        <v>1</v>
      </c>
      <c r="BG1330">
        <v>0</v>
      </c>
    </row>
    <row r="1331" spans="1:59">
      <c r="A1331" s="1">
        <f>HYPERLINK("https://lsnyc.legalserver.org/matter/dynamic-profile/view/1905164","19-1905164")</f>
        <v>0</v>
      </c>
      <c r="B1331" t="s">
        <v>1211</v>
      </c>
      <c r="C1331" t="s">
        <v>6055</v>
      </c>
      <c r="D1331" t="s">
        <v>9954</v>
      </c>
      <c r="E1331" t="s">
        <v>10075</v>
      </c>
      <c r="F1331">
        <v>11372</v>
      </c>
      <c r="G1331" t="s">
        <v>10092</v>
      </c>
      <c r="H1331" t="s">
        <v>10128</v>
      </c>
      <c r="I1331" t="s">
        <v>10169</v>
      </c>
      <c r="J1331" t="s">
        <v>10212</v>
      </c>
      <c r="K1331" t="s">
        <v>10218</v>
      </c>
      <c r="L1331" t="s">
        <v>10160</v>
      </c>
      <c r="M1331" t="s">
        <v>10269</v>
      </c>
      <c r="N1331" t="s">
        <v>10669</v>
      </c>
      <c r="P1331" t="s">
        <v>10754</v>
      </c>
      <c r="Q1331" t="s">
        <v>10777</v>
      </c>
      <c r="R1331" t="s">
        <v>10823</v>
      </c>
      <c r="T1331">
        <v>11752</v>
      </c>
      <c r="U1331">
        <v>979.33</v>
      </c>
      <c r="V1331">
        <v>46</v>
      </c>
      <c r="W1331">
        <v>1</v>
      </c>
      <c r="X1331">
        <v>2</v>
      </c>
      <c r="Y1331" t="s">
        <v>10829</v>
      </c>
      <c r="Z1331">
        <v>55.1</v>
      </c>
      <c r="AA1331">
        <v>40.751449</v>
      </c>
      <c r="AB1331">
        <v>-73.87672999999999</v>
      </c>
      <c r="AD1331" t="s">
        <v>10839</v>
      </c>
      <c r="AF1331" t="s">
        <v>10842</v>
      </c>
      <c r="AG1331" t="s">
        <v>10859</v>
      </c>
      <c r="AH1331" t="s">
        <v>10865</v>
      </c>
      <c r="AI1331">
        <v>237</v>
      </c>
      <c r="AJ1331" t="s">
        <v>10212</v>
      </c>
      <c r="AK1331" t="s">
        <v>10837</v>
      </c>
      <c r="AL1331">
        <v>2.3</v>
      </c>
      <c r="AM1331" t="s">
        <v>10885</v>
      </c>
      <c r="AN1331" t="s">
        <v>10909</v>
      </c>
      <c r="AO1331" t="s">
        <v>11014</v>
      </c>
      <c r="AP1331" t="s">
        <v>11053</v>
      </c>
      <c r="AQ1331" t="s">
        <v>11128</v>
      </c>
      <c r="AR1331" t="s">
        <v>11257</v>
      </c>
      <c r="AS1331" t="s">
        <v>11594</v>
      </c>
      <c r="AT1331" t="s">
        <v>11641</v>
      </c>
      <c r="AX1331" t="s">
        <v>10838</v>
      </c>
      <c r="AY1331" t="s">
        <v>10829</v>
      </c>
      <c r="AZ1331" t="s">
        <v>11683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</row>
    <row r="1332" spans="1:59">
      <c r="A1332" s="1">
        <f>HYPERLINK("https://lsnyc.legalserver.org/matter/dynamic-profile/view/1905165","19-1905165")</f>
        <v>0</v>
      </c>
      <c r="B1332" t="s">
        <v>1212</v>
      </c>
      <c r="C1332" t="s">
        <v>6056</v>
      </c>
      <c r="D1332" t="s">
        <v>9925</v>
      </c>
      <c r="E1332" t="s">
        <v>10075</v>
      </c>
      <c r="F1332">
        <v>10027</v>
      </c>
      <c r="G1332" t="s">
        <v>10089</v>
      </c>
      <c r="H1332" t="s">
        <v>10128</v>
      </c>
      <c r="I1332" t="s">
        <v>10168</v>
      </c>
      <c r="J1332" t="s">
        <v>10209</v>
      </c>
      <c r="K1332" t="s">
        <v>10217</v>
      </c>
      <c r="M1332" t="s">
        <v>10394</v>
      </c>
      <c r="N1332" t="s">
        <v>10691</v>
      </c>
      <c r="O1332" t="s">
        <v>10691</v>
      </c>
      <c r="P1332" t="s">
        <v>10751</v>
      </c>
      <c r="Q1332" t="s">
        <v>10776</v>
      </c>
      <c r="R1332" t="s">
        <v>10821</v>
      </c>
      <c r="T1332">
        <v>9600</v>
      </c>
      <c r="U1332">
        <v>800</v>
      </c>
      <c r="V1332">
        <v>45</v>
      </c>
      <c r="W1332">
        <v>1</v>
      </c>
      <c r="X1332">
        <v>0</v>
      </c>
      <c r="Z1332">
        <v>76.86</v>
      </c>
      <c r="AA1332">
        <v>40.807213</v>
      </c>
      <c r="AB1332">
        <v>-73.952662</v>
      </c>
      <c r="AD1332" t="s">
        <v>10839</v>
      </c>
      <c r="AG1332" t="s">
        <v>10858</v>
      </c>
      <c r="AH1332" t="s">
        <v>10874</v>
      </c>
      <c r="AI1332">
        <v>236</v>
      </c>
      <c r="AJ1332" t="s">
        <v>10209</v>
      </c>
      <c r="AL1332">
        <v>7.8</v>
      </c>
      <c r="AM1332" t="s">
        <v>10887</v>
      </c>
      <c r="AN1332" t="s">
        <v>10936</v>
      </c>
      <c r="AO1332" t="s">
        <v>11016</v>
      </c>
      <c r="AP1332" t="s">
        <v>11076</v>
      </c>
      <c r="AR1332" t="s">
        <v>11263</v>
      </c>
      <c r="AS1332" t="s">
        <v>9925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</row>
    <row r="1333" spans="1:59">
      <c r="A1333" s="1">
        <f>HYPERLINK("https://lsnyc.legalserver.org/matter/dynamic-profile/view/1905166","19-1905166")</f>
        <v>0</v>
      </c>
      <c r="B1333" t="s">
        <v>1213</v>
      </c>
      <c r="C1333" t="s">
        <v>6057</v>
      </c>
      <c r="D1333" t="s">
        <v>9928</v>
      </c>
      <c r="E1333" t="s">
        <v>10075</v>
      </c>
      <c r="F1333">
        <v>11204</v>
      </c>
      <c r="G1333" t="s">
        <v>10093</v>
      </c>
      <c r="H1333" t="s">
        <v>10136</v>
      </c>
      <c r="I1333" t="s">
        <v>10192</v>
      </c>
      <c r="J1333" t="s">
        <v>10213</v>
      </c>
      <c r="K1333" t="s">
        <v>10218</v>
      </c>
      <c r="L1333" t="s">
        <v>10221</v>
      </c>
      <c r="M1333" t="s">
        <v>10238</v>
      </c>
      <c r="N1333" t="s">
        <v>10657</v>
      </c>
      <c r="P1333" t="s">
        <v>10756</v>
      </c>
      <c r="Q1333" t="s">
        <v>10787</v>
      </c>
      <c r="R1333" t="s">
        <v>10827</v>
      </c>
      <c r="T1333">
        <v>14400</v>
      </c>
      <c r="U1333">
        <v>1200</v>
      </c>
      <c r="V1333">
        <v>51</v>
      </c>
      <c r="W1333">
        <v>1</v>
      </c>
      <c r="X1333">
        <v>3</v>
      </c>
      <c r="Y1333" t="s">
        <v>10829</v>
      </c>
      <c r="Z1333">
        <v>55.92</v>
      </c>
      <c r="AA1333">
        <v>40.620728</v>
      </c>
      <c r="AB1333">
        <v>-73.984613</v>
      </c>
      <c r="AD1333" t="s">
        <v>10839</v>
      </c>
      <c r="AG1333" t="s">
        <v>10858</v>
      </c>
      <c r="AH1333" t="s">
        <v>10860</v>
      </c>
      <c r="AI1333">
        <v>239</v>
      </c>
      <c r="AJ1333" t="s">
        <v>10213</v>
      </c>
      <c r="AK1333" t="s">
        <v>10882</v>
      </c>
      <c r="AL1333">
        <v>1.25</v>
      </c>
      <c r="AM1333" t="s">
        <v>10894</v>
      </c>
      <c r="AN1333" t="s">
        <v>10947</v>
      </c>
      <c r="AO1333" t="s">
        <v>11023</v>
      </c>
      <c r="AP1333" t="s">
        <v>11079</v>
      </c>
      <c r="AQ1333" t="s">
        <v>11146</v>
      </c>
      <c r="AR1333" t="s">
        <v>11257</v>
      </c>
      <c r="AS1333" t="s">
        <v>11595</v>
      </c>
      <c r="AT1333" t="s">
        <v>11641</v>
      </c>
      <c r="AX1333" t="s">
        <v>10838</v>
      </c>
      <c r="AY1333" t="s">
        <v>10829</v>
      </c>
      <c r="AZ1333" t="s">
        <v>11719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</row>
    <row r="1334" spans="1:59">
      <c r="A1334" s="1">
        <f>HYPERLINK("https://lsnyc.legalserver.org/matter/dynamic-profile/view/1905167","19-1905167")</f>
        <v>0</v>
      </c>
      <c r="B1334" t="s">
        <v>1214</v>
      </c>
      <c r="C1334" t="s">
        <v>6058</v>
      </c>
      <c r="D1334" t="s">
        <v>9929</v>
      </c>
      <c r="E1334" t="s">
        <v>10075</v>
      </c>
      <c r="F1334">
        <v>10304</v>
      </c>
      <c r="G1334" t="s">
        <v>10093</v>
      </c>
      <c r="H1334" t="s">
        <v>10137</v>
      </c>
      <c r="I1334" t="s">
        <v>10168</v>
      </c>
      <c r="J1334" t="s">
        <v>10213</v>
      </c>
      <c r="K1334" t="s">
        <v>10218</v>
      </c>
      <c r="L1334" t="s">
        <v>10162</v>
      </c>
      <c r="M1334" t="s">
        <v>10238</v>
      </c>
      <c r="N1334" t="s">
        <v>10657</v>
      </c>
      <c r="P1334" t="s">
        <v>10752</v>
      </c>
      <c r="Q1334" t="s">
        <v>10805</v>
      </c>
      <c r="R1334" t="s">
        <v>10820</v>
      </c>
      <c r="T1334">
        <v>0</v>
      </c>
      <c r="U1334">
        <v>0</v>
      </c>
      <c r="V1334">
        <v>43</v>
      </c>
      <c r="W1334">
        <v>2</v>
      </c>
      <c r="X1334">
        <v>0</v>
      </c>
      <c r="Y1334" t="s">
        <v>10829</v>
      </c>
      <c r="Z1334">
        <v>0</v>
      </c>
      <c r="AA1334">
        <v>40.626032</v>
      </c>
      <c r="AB1334">
        <v>-74.07706899999999</v>
      </c>
      <c r="AD1334" t="s">
        <v>10839</v>
      </c>
      <c r="AG1334" t="s">
        <v>10858</v>
      </c>
      <c r="AH1334" t="s">
        <v>10860</v>
      </c>
      <c r="AI1334">
        <v>239</v>
      </c>
      <c r="AJ1334" t="s">
        <v>10213</v>
      </c>
      <c r="AK1334" t="s">
        <v>10882</v>
      </c>
      <c r="AL1334">
        <v>0.2</v>
      </c>
      <c r="AM1334" t="s">
        <v>10883</v>
      </c>
      <c r="AN1334" t="s">
        <v>10913</v>
      </c>
      <c r="AO1334" t="s">
        <v>11006</v>
      </c>
      <c r="AP1334" t="s">
        <v>11051</v>
      </c>
      <c r="AR1334" t="s">
        <v>11267</v>
      </c>
      <c r="AS1334" t="s">
        <v>11593</v>
      </c>
      <c r="AT1334" t="s">
        <v>11641</v>
      </c>
      <c r="AX1334" t="s">
        <v>10838</v>
      </c>
      <c r="AY1334" t="s">
        <v>10829</v>
      </c>
      <c r="AZ1334" t="s">
        <v>11680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</row>
    <row r="1335" spans="1:59">
      <c r="A1335" s="1">
        <f>HYPERLINK("https://lsnyc.legalserver.org/matter/dynamic-profile/view/1905168","19-1905168")</f>
        <v>0</v>
      </c>
      <c r="B1335" t="s">
        <v>1113</v>
      </c>
      <c r="C1335" t="s">
        <v>5977</v>
      </c>
      <c r="D1335" t="s">
        <v>9928</v>
      </c>
      <c r="E1335" t="s">
        <v>10075</v>
      </c>
      <c r="F1335">
        <v>11225</v>
      </c>
      <c r="G1335" t="s">
        <v>10093</v>
      </c>
      <c r="H1335" t="s">
        <v>10130</v>
      </c>
      <c r="I1335" t="s">
        <v>10168</v>
      </c>
      <c r="J1335" t="s">
        <v>10213</v>
      </c>
      <c r="K1335" t="s">
        <v>10217</v>
      </c>
      <c r="M1335" t="s">
        <v>10315</v>
      </c>
      <c r="N1335" t="s">
        <v>10686</v>
      </c>
      <c r="P1335" t="s">
        <v>10750</v>
      </c>
      <c r="Q1335" t="s">
        <v>10778</v>
      </c>
      <c r="R1335" t="s">
        <v>10825</v>
      </c>
      <c r="T1335">
        <v>2196</v>
      </c>
      <c r="U1335">
        <v>183</v>
      </c>
      <c r="V1335">
        <v>68</v>
      </c>
      <c r="W1335">
        <v>3</v>
      </c>
      <c r="X1335">
        <v>0</v>
      </c>
      <c r="Z1335">
        <v>10.3</v>
      </c>
      <c r="AA1335">
        <v>40.660224</v>
      </c>
      <c r="AB1335">
        <v>-73.952583</v>
      </c>
      <c r="AD1335" t="s">
        <v>10839</v>
      </c>
      <c r="AG1335" t="s">
        <v>10858</v>
      </c>
      <c r="AH1335" t="s">
        <v>10870</v>
      </c>
      <c r="AI1335">
        <v>239</v>
      </c>
      <c r="AJ1335" t="s">
        <v>10213</v>
      </c>
      <c r="AL1335">
        <v>0.5</v>
      </c>
      <c r="AM1335" t="s">
        <v>10888</v>
      </c>
      <c r="AN1335" t="s">
        <v>10912</v>
      </c>
      <c r="AO1335" t="s">
        <v>11005</v>
      </c>
      <c r="AP1335" t="s">
        <v>11050</v>
      </c>
      <c r="AR1335" t="s">
        <v>11255</v>
      </c>
      <c r="AS1335" t="s">
        <v>11595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</row>
    <row r="1336" spans="1:59">
      <c r="A1336" s="1">
        <f>HYPERLINK("https://lsnyc.legalserver.org/matter/dynamic-profile/view/1905169","19-1905169")</f>
        <v>0</v>
      </c>
      <c r="B1336" t="s">
        <v>1215</v>
      </c>
      <c r="C1336" t="s">
        <v>6059</v>
      </c>
      <c r="D1336" t="s">
        <v>9926</v>
      </c>
      <c r="E1336" t="s">
        <v>10075</v>
      </c>
      <c r="F1336">
        <v>10458</v>
      </c>
      <c r="G1336" t="s">
        <v>10090</v>
      </c>
      <c r="H1336" t="s">
        <v>10130</v>
      </c>
      <c r="I1336" t="s">
        <v>10168</v>
      </c>
      <c r="J1336" t="s">
        <v>10210</v>
      </c>
      <c r="K1336" t="s">
        <v>10217</v>
      </c>
      <c r="M1336" t="s">
        <v>10419</v>
      </c>
      <c r="N1336" t="s">
        <v>10666</v>
      </c>
      <c r="P1336" t="s">
        <v>10749</v>
      </c>
      <c r="Q1336" t="s">
        <v>10765</v>
      </c>
      <c r="R1336" t="s">
        <v>10827</v>
      </c>
      <c r="T1336">
        <v>15600</v>
      </c>
      <c r="U1336">
        <v>1300</v>
      </c>
      <c r="V1336">
        <v>58</v>
      </c>
      <c r="W1336">
        <v>2</v>
      </c>
      <c r="X1336">
        <v>6</v>
      </c>
      <c r="Z1336">
        <v>35.92</v>
      </c>
      <c r="AA1336">
        <v>40.858245</v>
      </c>
      <c r="AB1336">
        <v>-73.89540100000001</v>
      </c>
      <c r="AD1336" t="s">
        <v>10840</v>
      </c>
      <c r="AG1336" t="s">
        <v>10858</v>
      </c>
      <c r="AH1336" t="s">
        <v>10861</v>
      </c>
      <c r="AI1336">
        <v>230</v>
      </c>
      <c r="AJ1336" t="s">
        <v>10210</v>
      </c>
      <c r="AL1336">
        <v>5.1</v>
      </c>
      <c r="AM1336" t="s">
        <v>10884</v>
      </c>
      <c r="AN1336" t="s">
        <v>10931</v>
      </c>
      <c r="AO1336" t="s">
        <v>11000</v>
      </c>
      <c r="AP1336" t="s">
        <v>11056</v>
      </c>
      <c r="AR1336" t="s">
        <v>11257</v>
      </c>
      <c r="AS1336" t="s">
        <v>9926</v>
      </c>
      <c r="AT1336" t="s">
        <v>11642</v>
      </c>
      <c r="AX1336" t="s">
        <v>10838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</row>
    <row r="1337" spans="1:59">
      <c r="A1337" s="1">
        <f>HYPERLINK("https://lsnyc.legalserver.org/matter/dynamic-profile/view/1905171","19-1905171")</f>
        <v>0</v>
      </c>
      <c r="B1337" t="s">
        <v>1216</v>
      </c>
      <c r="C1337" t="s">
        <v>5601</v>
      </c>
      <c r="D1337" t="s">
        <v>9926</v>
      </c>
      <c r="E1337" t="s">
        <v>10075</v>
      </c>
      <c r="F1337">
        <v>10453</v>
      </c>
      <c r="G1337" t="s">
        <v>10090</v>
      </c>
      <c r="H1337" t="s">
        <v>10130</v>
      </c>
      <c r="I1337" t="s">
        <v>10169</v>
      </c>
      <c r="J1337" t="s">
        <v>10210</v>
      </c>
      <c r="K1337" t="s">
        <v>10217</v>
      </c>
      <c r="M1337" t="s">
        <v>10463</v>
      </c>
      <c r="N1337" t="s">
        <v>10650</v>
      </c>
      <c r="P1337" t="s">
        <v>10749</v>
      </c>
      <c r="Q1337" t="s">
        <v>10765</v>
      </c>
      <c r="R1337" t="s">
        <v>10821</v>
      </c>
      <c r="T1337">
        <v>12000</v>
      </c>
      <c r="U1337">
        <v>1000</v>
      </c>
      <c r="V1337">
        <v>51</v>
      </c>
      <c r="W1337">
        <v>4</v>
      </c>
      <c r="X1337">
        <v>1</v>
      </c>
      <c r="Z1337">
        <v>39.77</v>
      </c>
      <c r="AA1337">
        <v>40.846849</v>
      </c>
      <c r="AB1337">
        <v>-73.90953500000001</v>
      </c>
      <c r="AD1337" t="s">
        <v>10839</v>
      </c>
      <c r="AG1337" t="s">
        <v>10858</v>
      </c>
      <c r="AH1337" t="s">
        <v>10862</v>
      </c>
      <c r="AI1337">
        <v>230</v>
      </c>
      <c r="AJ1337" t="s">
        <v>10210</v>
      </c>
      <c r="AL1337">
        <v>0</v>
      </c>
      <c r="AM1337" t="s">
        <v>10884</v>
      </c>
      <c r="AN1337" t="s">
        <v>10931</v>
      </c>
      <c r="AO1337" t="s">
        <v>11000</v>
      </c>
      <c r="AP1337" t="s">
        <v>11045</v>
      </c>
      <c r="AR1337" t="s">
        <v>11257</v>
      </c>
      <c r="AS1337" t="s">
        <v>9926</v>
      </c>
      <c r="BA1337" t="s">
        <v>11739</v>
      </c>
      <c r="BB1337">
        <v>0</v>
      </c>
      <c r="BC1337">
        <v>0</v>
      </c>
      <c r="BD1337">
        <v>0</v>
      </c>
      <c r="BE1337">
        <v>0</v>
      </c>
      <c r="BF1337">
        <v>4</v>
      </c>
      <c r="BG1337">
        <v>0</v>
      </c>
    </row>
    <row r="1338" spans="1:59">
      <c r="A1338" s="1">
        <f>HYPERLINK("https://lsnyc.legalserver.org/matter/dynamic-profile/view/1905172","19-1905172")</f>
        <v>0</v>
      </c>
      <c r="B1338" t="s">
        <v>1217</v>
      </c>
      <c r="C1338" t="s">
        <v>6060</v>
      </c>
      <c r="D1338" t="s">
        <v>9925</v>
      </c>
      <c r="E1338" t="s">
        <v>10075</v>
      </c>
      <c r="F1338">
        <v>10027</v>
      </c>
      <c r="G1338" t="s">
        <v>10089</v>
      </c>
      <c r="H1338" t="s">
        <v>10130</v>
      </c>
      <c r="I1338" t="s">
        <v>10168</v>
      </c>
      <c r="J1338" t="s">
        <v>10209</v>
      </c>
      <c r="K1338" t="s">
        <v>10217</v>
      </c>
      <c r="M1338" t="s">
        <v>10391</v>
      </c>
      <c r="N1338" t="s">
        <v>10702</v>
      </c>
      <c r="P1338" t="s">
        <v>10749</v>
      </c>
      <c r="Q1338" t="s">
        <v>10765</v>
      </c>
      <c r="R1338" t="s">
        <v>10824</v>
      </c>
      <c r="T1338">
        <v>9600</v>
      </c>
      <c r="U1338">
        <v>800</v>
      </c>
      <c r="V1338">
        <v>74</v>
      </c>
      <c r="W1338">
        <v>1</v>
      </c>
      <c r="X1338">
        <v>0</v>
      </c>
      <c r="Z1338">
        <v>76.86</v>
      </c>
      <c r="AA1338">
        <v>40.809813</v>
      </c>
      <c r="AB1338">
        <v>-73.95368499999999</v>
      </c>
      <c r="AD1338" t="s">
        <v>10839</v>
      </c>
      <c r="AG1338" t="s">
        <v>10858</v>
      </c>
      <c r="AH1338" t="s">
        <v>10861</v>
      </c>
      <c r="AI1338">
        <v>236</v>
      </c>
      <c r="AJ1338" t="s">
        <v>10209</v>
      </c>
      <c r="AL1338">
        <v>6</v>
      </c>
      <c r="AM1338" t="s">
        <v>10887</v>
      </c>
      <c r="AN1338" t="s">
        <v>10936</v>
      </c>
      <c r="AO1338" t="s">
        <v>11016</v>
      </c>
      <c r="AP1338" t="s">
        <v>11076</v>
      </c>
      <c r="AR1338" t="s">
        <v>11268</v>
      </c>
      <c r="AS1338" t="s">
        <v>9925</v>
      </c>
      <c r="BA1338" t="s">
        <v>11738</v>
      </c>
      <c r="BB1338">
        <v>0</v>
      </c>
      <c r="BC1338">
        <v>0</v>
      </c>
      <c r="BD1338">
        <v>0</v>
      </c>
      <c r="BE1338">
        <v>0</v>
      </c>
      <c r="BF1338">
        <v>5</v>
      </c>
      <c r="BG1338">
        <v>0</v>
      </c>
    </row>
    <row r="1339" spans="1:59">
      <c r="A1339" s="1">
        <f>HYPERLINK("https://lsnyc.legalserver.org/matter/dynamic-profile/view/1905173","19-1905173")</f>
        <v>0</v>
      </c>
      <c r="B1339" t="s">
        <v>1218</v>
      </c>
      <c r="C1339" t="s">
        <v>6061</v>
      </c>
      <c r="D1339" t="s">
        <v>9928</v>
      </c>
      <c r="E1339" t="s">
        <v>10075</v>
      </c>
      <c r="F1339">
        <v>11216</v>
      </c>
      <c r="G1339" t="s">
        <v>10093</v>
      </c>
      <c r="H1339" t="s">
        <v>10130</v>
      </c>
      <c r="I1339" t="s">
        <v>10168</v>
      </c>
      <c r="J1339" t="s">
        <v>10213</v>
      </c>
      <c r="K1339" t="s">
        <v>10218</v>
      </c>
      <c r="L1339" t="s">
        <v>10095</v>
      </c>
      <c r="M1339" t="s">
        <v>10361</v>
      </c>
      <c r="N1339" t="s">
        <v>10667</v>
      </c>
      <c r="P1339" t="s">
        <v>10749</v>
      </c>
      <c r="Q1339" t="s">
        <v>10765</v>
      </c>
      <c r="R1339" t="s">
        <v>10824</v>
      </c>
      <c r="T1339">
        <v>2400</v>
      </c>
      <c r="U1339">
        <v>200</v>
      </c>
      <c r="V1339">
        <v>51</v>
      </c>
      <c r="W1339">
        <v>1</v>
      </c>
      <c r="X1339">
        <v>0</v>
      </c>
      <c r="Y1339" t="s">
        <v>10832</v>
      </c>
      <c r="Z1339">
        <v>19.22</v>
      </c>
      <c r="AA1339">
        <v>40.672002</v>
      </c>
      <c r="AB1339">
        <v>-73.952376</v>
      </c>
      <c r="AD1339" t="s">
        <v>10840</v>
      </c>
      <c r="AG1339" t="s">
        <v>10858</v>
      </c>
      <c r="AH1339" t="s">
        <v>10862</v>
      </c>
      <c r="AI1339">
        <v>239</v>
      </c>
      <c r="AJ1339" t="s">
        <v>10213</v>
      </c>
      <c r="AK1339" t="s">
        <v>10838</v>
      </c>
      <c r="AL1339">
        <v>3</v>
      </c>
      <c r="AM1339" t="s">
        <v>10888</v>
      </c>
      <c r="AN1339" t="s">
        <v>10912</v>
      </c>
      <c r="AO1339" t="s">
        <v>11005</v>
      </c>
      <c r="AP1339" t="s">
        <v>11061</v>
      </c>
      <c r="AQ1339" t="s">
        <v>11101</v>
      </c>
      <c r="AR1339" t="s">
        <v>11255</v>
      </c>
      <c r="AS1339" t="s">
        <v>11595</v>
      </c>
      <c r="AY1339" t="s">
        <v>10832</v>
      </c>
      <c r="AZ1339" t="s">
        <v>11687</v>
      </c>
      <c r="BA1339" t="s">
        <v>11738</v>
      </c>
      <c r="BB1339">
        <v>0</v>
      </c>
      <c r="BC1339">
        <v>0</v>
      </c>
      <c r="BD1339">
        <v>0</v>
      </c>
      <c r="BE1339">
        <v>0</v>
      </c>
      <c r="BF1339">
        <v>5</v>
      </c>
      <c r="BG1339">
        <v>0</v>
      </c>
    </row>
    <row r="1340" spans="1:59">
      <c r="A1340" s="1">
        <f>HYPERLINK("https://lsnyc.legalserver.org/matter/dynamic-profile/view/1905174","19-1905174")</f>
        <v>0</v>
      </c>
      <c r="B1340" t="s">
        <v>1216</v>
      </c>
      <c r="C1340" t="s">
        <v>5601</v>
      </c>
      <c r="D1340" t="s">
        <v>9926</v>
      </c>
      <c r="E1340" t="s">
        <v>10075</v>
      </c>
      <c r="F1340">
        <v>10453</v>
      </c>
      <c r="G1340" t="s">
        <v>10090</v>
      </c>
      <c r="H1340" t="s">
        <v>10130</v>
      </c>
      <c r="I1340" t="s">
        <v>10169</v>
      </c>
      <c r="J1340" t="s">
        <v>10210</v>
      </c>
      <c r="K1340" t="s">
        <v>10217</v>
      </c>
      <c r="M1340" t="s">
        <v>10463</v>
      </c>
      <c r="N1340" t="s">
        <v>10650</v>
      </c>
      <c r="P1340" t="s">
        <v>10749</v>
      </c>
      <c r="Q1340" t="s">
        <v>10765</v>
      </c>
      <c r="R1340" t="s">
        <v>10821</v>
      </c>
      <c r="T1340">
        <v>12000</v>
      </c>
      <c r="U1340">
        <v>1000</v>
      </c>
      <c r="V1340">
        <v>51</v>
      </c>
      <c r="W1340">
        <v>4</v>
      </c>
      <c r="X1340">
        <v>1</v>
      </c>
      <c r="Z1340">
        <v>39.77</v>
      </c>
      <c r="AA1340">
        <v>40.846849</v>
      </c>
      <c r="AB1340">
        <v>-73.90953500000001</v>
      </c>
      <c r="AD1340" t="s">
        <v>10839</v>
      </c>
      <c r="AG1340" t="s">
        <v>10858</v>
      </c>
      <c r="AH1340" t="s">
        <v>10862</v>
      </c>
      <c r="AI1340">
        <v>230</v>
      </c>
      <c r="AJ1340" t="s">
        <v>10210</v>
      </c>
      <c r="AL1340">
        <v>0</v>
      </c>
      <c r="AM1340" t="s">
        <v>10884</v>
      </c>
      <c r="AN1340" t="s">
        <v>10931</v>
      </c>
      <c r="AO1340" t="s">
        <v>11000</v>
      </c>
      <c r="AP1340" t="s">
        <v>11045</v>
      </c>
      <c r="AR1340" t="s">
        <v>11257</v>
      </c>
      <c r="AS1340" t="s">
        <v>9926</v>
      </c>
      <c r="BA1340" t="s">
        <v>11739</v>
      </c>
      <c r="BB1340">
        <v>0</v>
      </c>
      <c r="BC1340">
        <v>0</v>
      </c>
      <c r="BD1340">
        <v>0</v>
      </c>
      <c r="BE1340">
        <v>0</v>
      </c>
      <c r="BF1340">
        <v>4</v>
      </c>
      <c r="BG1340">
        <v>0</v>
      </c>
    </row>
    <row r="1341" spans="1:59">
      <c r="A1341" s="1">
        <f>HYPERLINK("https://lsnyc.legalserver.org/matter/dynamic-profile/view/1905175","19-1905175")</f>
        <v>0</v>
      </c>
      <c r="B1341" t="s">
        <v>1219</v>
      </c>
      <c r="C1341" t="s">
        <v>6062</v>
      </c>
      <c r="D1341" t="s">
        <v>9926</v>
      </c>
      <c r="E1341" t="s">
        <v>10075</v>
      </c>
      <c r="F1341">
        <v>10468</v>
      </c>
      <c r="G1341" t="s">
        <v>10090</v>
      </c>
      <c r="H1341" t="s">
        <v>10130</v>
      </c>
      <c r="I1341" t="s">
        <v>10169</v>
      </c>
      <c r="J1341" t="s">
        <v>10210</v>
      </c>
      <c r="K1341" t="s">
        <v>10218</v>
      </c>
      <c r="L1341" t="s">
        <v>10104</v>
      </c>
      <c r="M1341" t="s">
        <v>10415</v>
      </c>
      <c r="N1341" t="s">
        <v>10651</v>
      </c>
      <c r="P1341" t="s">
        <v>10749</v>
      </c>
      <c r="Q1341" t="s">
        <v>10765</v>
      </c>
      <c r="R1341" t="s">
        <v>10823</v>
      </c>
      <c r="T1341">
        <v>20800</v>
      </c>
      <c r="U1341">
        <v>1733.33</v>
      </c>
      <c r="V1341">
        <v>45</v>
      </c>
      <c r="W1341">
        <v>1</v>
      </c>
      <c r="X1341">
        <v>1</v>
      </c>
      <c r="Y1341" t="s">
        <v>10831</v>
      </c>
      <c r="Z1341">
        <v>123</v>
      </c>
      <c r="AA1341">
        <v>40.863908</v>
      </c>
      <c r="AB1341">
        <v>-73.90107</v>
      </c>
      <c r="AD1341" t="s">
        <v>10839</v>
      </c>
      <c r="AF1341" t="s">
        <v>10842</v>
      </c>
      <c r="AG1341" t="s">
        <v>10859</v>
      </c>
      <c r="AH1341" t="s">
        <v>10862</v>
      </c>
      <c r="AI1341">
        <v>230</v>
      </c>
      <c r="AJ1341" t="s">
        <v>10210</v>
      </c>
      <c r="AK1341" t="s">
        <v>10837</v>
      </c>
      <c r="AL1341">
        <v>15.25</v>
      </c>
      <c r="AM1341" t="s">
        <v>10887</v>
      </c>
      <c r="AN1341" t="s">
        <v>10907</v>
      </c>
      <c r="AO1341" t="s">
        <v>11000</v>
      </c>
      <c r="AP1341" t="s">
        <v>11045</v>
      </c>
      <c r="AR1341" t="s">
        <v>11257</v>
      </c>
      <c r="AS1341" t="s">
        <v>9926</v>
      </c>
      <c r="AT1341" t="s">
        <v>11641</v>
      </c>
      <c r="AV1341" t="s">
        <v>11656</v>
      </c>
      <c r="AW1341" t="s">
        <v>11645</v>
      </c>
      <c r="AX1341" t="s">
        <v>10838</v>
      </c>
      <c r="AY1341" t="s">
        <v>10831</v>
      </c>
      <c r="AZ1341" t="s">
        <v>11687</v>
      </c>
      <c r="BA1341" t="s">
        <v>11738</v>
      </c>
      <c r="BB1341">
        <v>9975</v>
      </c>
      <c r="BC1341">
        <v>0</v>
      </c>
      <c r="BD1341">
        <v>0</v>
      </c>
      <c r="BE1341">
        <v>0</v>
      </c>
      <c r="BF1341">
        <v>5</v>
      </c>
      <c r="BG1341">
        <v>0</v>
      </c>
    </row>
    <row r="1342" spans="1:59">
      <c r="A1342" s="1">
        <f>HYPERLINK("https://lsnyc.legalserver.org/matter/dynamic-profile/view/1905176","19-1905176")</f>
        <v>0</v>
      </c>
      <c r="B1342" t="s">
        <v>1220</v>
      </c>
      <c r="C1342" t="s">
        <v>6063</v>
      </c>
      <c r="D1342" t="s">
        <v>9962</v>
      </c>
      <c r="E1342" t="s">
        <v>10075</v>
      </c>
      <c r="F1342">
        <v>11423</v>
      </c>
      <c r="G1342" t="s">
        <v>10091</v>
      </c>
      <c r="H1342" t="s">
        <v>10130</v>
      </c>
      <c r="I1342" t="s">
        <v>10168</v>
      </c>
      <c r="J1342" t="s">
        <v>10214</v>
      </c>
      <c r="K1342" t="s">
        <v>10217</v>
      </c>
      <c r="M1342" t="s">
        <v>10286</v>
      </c>
      <c r="N1342" t="s">
        <v>10671</v>
      </c>
      <c r="P1342" t="s">
        <v>10757</v>
      </c>
      <c r="Q1342" t="s">
        <v>10789</v>
      </c>
      <c r="R1342" t="s">
        <v>10825</v>
      </c>
      <c r="T1342">
        <v>0</v>
      </c>
      <c r="U1342">
        <v>0</v>
      </c>
      <c r="V1342">
        <v>69</v>
      </c>
      <c r="W1342">
        <v>2</v>
      </c>
      <c r="X1342">
        <v>0</v>
      </c>
      <c r="Z1342">
        <v>0</v>
      </c>
      <c r="AA1342">
        <v>40.720246</v>
      </c>
      <c r="AB1342">
        <v>-73.765911</v>
      </c>
      <c r="AD1342" t="s">
        <v>10839</v>
      </c>
      <c r="AF1342" t="s">
        <v>10843</v>
      </c>
      <c r="AG1342" t="s">
        <v>10859</v>
      </c>
      <c r="AH1342" t="s">
        <v>10861</v>
      </c>
      <c r="AI1342">
        <v>234</v>
      </c>
      <c r="AJ1342" t="s">
        <v>10214</v>
      </c>
      <c r="AL1342">
        <v>1</v>
      </c>
      <c r="AM1342" t="s">
        <v>10892</v>
      </c>
      <c r="AN1342" t="s">
        <v>10944</v>
      </c>
      <c r="AO1342" t="s">
        <v>11020</v>
      </c>
      <c r="AP1342" t="s">
        <v>11078</v>
      </c>
      <c r="AR1342" t="s">
        <v>11267</v>
      </c>
      <c r="AS1342" t="s">
        <v>11594</v>
      </c>
      <c r="AT1342" t="s">
        <v>11641</v>
      </c>
      <c r="AX1342" t="s">
        <v>11678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</row>
    <row r="1343" spans="1:59">
      <c r="A1343" s="1">
        <f>HYPERLINK("https://lsnyc.legalserver.org/matter/dynamic-profile/view/1905177","19-1905177")</f>
        <v>0</v>
      </c>
      <c r="B1343" t="s">
        <v>1221</v>
      </c>
      <c r="C1343" t="s">
        <v>5601</v>
      </c>
      <c r="D1343" t="s">
        <v>9926</v>
      </c>
      <c r="E1343" t="s">
        <v>10075</v>
      </c>
      <c r="F1343">
        <v>10453</v>
      </c>
      <c r="G1343" t="s">
        <v>10090</v>
      </c>
      <c r="H1343" t="s">
        <v>10130</v>
      </c>
      <c r="I1343" t="s">
        <v>10169</v>
      </c>
      <c r="J1343" t="s">
        <v>10210</v>
      </c>
      <c r="K1343" t="s">
        <v>10217</v>
      </c>
      <c r="M1343" t="s">
        <v>10463</v>
      </c>
      <c r="N1343" t="s">
        <v>10650</v>
      </c>
      <c r="P1343" t="s">
        <v>10749</v>
      </c>
      <c r="Q1343" t="s">
        <v>10765</v>
      </c>
      <c r="R1343" t="s">
        <v>10821</v>
      </c>
      <c r="T1343">
        <v>10536</v>
      </c>
      <c r="U1343">
        <v>878</v>
      </c>
      <c r="V1343">
        <v>64</v>
      </c>
      <c r="W1343">
        <v>1</v>
      </c>
      <c r="X1343">
        <v>0</v>
      </c>
      <c r="Z1343">
        <v>84.36</v>
      </c>
      <c r="AA1343">
        <v>40.846849</v>
      </c>
      <c r="AB1343">
        <v>-73.90953500000001</v>
      </c>
      <c r="AD1343" t="s">
        <v>10839</v>
      </c>
      <c r="AF1343" t="s">
        <v>10843</v>
      </c>
      <c r="AG1343" t="s">
        <v>10859</v>
      </c>
      <c r="AH1343" t="s">
        <v>10862</v>
      </c>
      <c r="AI1343">
        <v>230</v>
      </c>
      <c r="AJ1343" t="s">
        <v>10210</v>
      </c>
      <c r="AL1343">
        <v>0</v>
      </c>
      <c r="AM1343" t="s">
        <v>10884</v>
      </c>
      <c r="AN1343" t="s">
        <v>10931</v>
      </c>
      <c r="AO1343" t="s">
        <v>11000</v>
      </c>
      <c r="AP1343" t="s">
        <v>11045</v>
      </c>
      <c r="AR1343" t="s">
        <v>11263</v>
      </c>
      <c r="AS1343" t="s">
        <v>9926</v>
      </c>
      <c r="BA1343" t="s">
        <v>11739</v>
      </c>
      <c r="BB1343">
        <v>0</v>
      </c>
      <c r="BC1343">
        <v>0</v>
      </c>
      <c r="BD1343">
        <v>0</v>
      </c>
      <c r="BE1343">
        <v>0</v>
      </c>
      <c r="BF1343">
        <v>4</v>
      </c>
      <c r="BG1343">
        <v>0</v>
      </c>
    </row>
    <row r="1344" spans="1:59">
      <c r="A1344" s="1">
        <f>HYPERLINK("https://lsnyc.legalserver.org/matter/dynamic-profile/view/1905178","19-1905178")</f>
        <v>0</v>
      </c>
      <c r="B1344" t="s">
        <v>1222</v>
      </c>
      <c r="C1344" t="s">
        <v>6064</v>
      </c>
      <c r="D1344" t="s">
        <v>9926</v>
      </c>
      <c r="E1344" t="s">
        <v>10075</v>
      </c>
      <c r="F1344">
        <v>10458</v>
      </c>
      <c r="G1344" t="s">
        <v>10091</v>
      </c>
      <c r="H1344" t="s">
        <v>10130</v>
      </c>
      <c r="I1344" t="s">
        <v>10168</v>
      </c>
      <c r="J1344" t="s">
        <v>10214</v>
      </c>
      <c r="K1344" t="s">
        <v>10217</v>
      </c>
      <c r="M1344" t="s">
        <v>10286</v>
      </c>
      <c r="N1344" t="s">
        <v>10671</v>
      </c>
      <c r="P1344" t="s">
        <v>10752</v>
      </c>
      <c r="Q1344" t="s">
        <v>10762</v>
      </c>
      <c r="R1344" t="s">
        <v>10821</v>
      </c>
      <c r="T1344">
        <v>12288</v>
      </c>
      <c r="U1344">
        <v>1024</v>
      </c>
      <c r="V1344">
        <v>33</v>
      </c>
      <c r="W1344">
        <v>1</v>
      </c>
      <c r="X1344">
        <v>0</v>
      </c>
      <c r="Z1344">
        <v>98.38</v>
      </c>
      <c r="AA1344">
        <v>40.855701</v>
      </c>
      <c r="AB1344">
        <v>-73.88137</v>
      </c>
      <c r="AD1344" t="s">
        <v>10840</v>
      </c>
      <c r="AG1344" t="s">
        <v>10858</v>
      </c>
      <c r="AH1344" t="s">
        <v>10861</v>
      </c>
      <c r="AI1344">
        <v>234</v>
      </c>
      <c r="AJ1344" t="s">
        <v>10214</v>
      </c>
      <c r="AL1344">
        <v>0.5</v>
      </c>
      <c r="AM1344" t="s">
        <v>10884</v>
      </c>
      <c r="AN1344" t="s">
        <v>10907</v>
      </c>
      <c r="AO1344" t="s">
        <v>11000</v>
      </c>
      <c r="AP1344" t="s">
        <v>11056</v>
      </c>
      <c r="AQ1344" t="s">
        <v>11110</v>
      </c>
      <c r="AR1344" t="s">
        <v>11410</v>
      </c>
      <c r="AS1344" t="s">
        <v>9926</v>
      </c>
      <c r="AT1344" t="s">
        <v>11642</v>
      </c>
      <c r="AX1344" t="s">
        <v>10838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</row>
    <row r="1345" spans="1:59">
      <c r="A1345" s="1">
        <f>HYPERLINK("https://lsnyc.legalserver.org/matter/dynamic-profile/view/1905179","19-1905179")</f>
        <v>0</v>
      </c>
      <c r="B1345" t="s">
        <v>1223</v>
      </c>
      <c r="C1345" t="s">
        <v>6065</v>
      </c>
      <c r="D1345" t="s">
        <v>9939</v>
      </c>
      <c r="E1345" t="s">
        <v>10075</v>
      </c>
      <c r="F1345">
        <v>11419</v>
      </c>
      <c r="G1345" t="s">
        <v>10092</v>
      </c>
      <c r="H1345" t="s">
        <v>10130</v>
      </c>
      <c r="I1345" t="s">
        <v>10169</v>
      </c>
      <c r="J1345" t="s">
        <v>10212</v>
      </c>
      <c r="K1345" t="s">
        <v>10217</v>
      </c>
      <c r="M1345" t="s">
        <v>10325</v>
      </c>
      <c r="N1345" t="s">
        <v>10671</v>
      </c>
      <c r="P1345" t="s">
        <v>10751</v>
      </c>
      <c r="Q1345" t="s">
        <v>10761</v>
      </c>
      <c r="R1345" t="s">
        <v>10821</v>
      </c>
      <c r="T1345">
        <v>26200</v>
      </c>
      <c r="U1345">
        <v>2183.33</v>
      </c>
      <c r="V1345">
        <v>63</v>
      </c>
      <c r="W1345">
        <v>1</v>
      </c>
      <c r="X1345">
        <v>3</v>
      </c>
      <c r="Z1345">
        <v>101.75</v>
      </c>
      <c r="AA1345">
        <v>40.683688</v>
      </c>
      <c r="AB1345">
        <v>-73.824707</v>
      </c>
      <c r="AD1345" t="s">
        <v>10839</v>
      </c>
      <c r="AG1345" t="s">
        <v>10858</v>
      </c>
      <c r="AH1345" t="s">
        <v>10861</v>
      </c>
      <c r="AI1345">
        <v>234</v>
      </c>
      <c r="AJ1345" t="s">
        <v>10214</v>
      </c>
      <c r="AL1345">
        <v>5.45</v>
      </c>
      <c r="AM1345" t="s">
        <v>10892</v>
      </c>
      <c r="AN1345" t="s">
        <v>10930</v>
      </c>
      <c r="AO1345" t="s">
        <v>11017</v>
      </c>
      <c r="AP1345" t="s">
        <v>11070</v>
      </c>
      <c r="AR1345" t="s">
        <v>11411</v>
      </c>
      <c r="AS1345" t="s">
        <v>11594</v>
      </c>
      <c r="AT1345" t="s">
        <v>11641</v>
      </c>
      <c r="AX1345" t="s">
        <v>10838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</row>
    <row r="1346" spans="1:59">
      <c r="A1346" s="1">
        <f>HYPERLINK("https://lsnyc.legalserver.org/matter/dynamic-profile/view/1905181","19-1905181")</f>
        <v>0</v>
      </c>
      <c r="B1346" t="s">
        <v>1224</v>
      </c>
      <c r="C1346" t="s">
        <v>6066</v>
      </c>
      <c r="D1346" t="s">
        <v>9926</v>
      </c>
      <c r="E1346" t="s">
        <v>10075</v>
      </c>
      <c r="F1346">
        <v>10463</v>
      </c>
      <c r="G1346" t="s">
        <v>10090</v>
      </c>
      <c r="H1346" t="s">
        <v>10130</v>
      </c>
      <c r="I1346" t="s">
        <v>10168</v>
      </c>
      <c r="J1346" t="s">
        <v>10210</v>
      </c>
      <c r="K1346" t="s">
        <v>10217</v>
      </c>
      <c r="M1346" t="s">
        <v>10487</v>
      </c>
      <c r="N1346" t="s">
        <v>10658</v>
      </c>
      <c r="P1346" t="s">
        <v>10749</v>
      </c>
      <c r="Q1346" t="s">
        <v>10769</v>
      </c>
      <c r="R1346" t="s">
        <v>10820</v>
      </c>
      <c r="T1346">
        <v>10080</v>
      </c>
      <c r="U1346">
        <v>840</v>
      </c>
      <c r="V1346">
        <v>85</v>
      </c>
      <c r="W1346">
        <v>2</v>
      </c>
      <c r="X1346">
        <v>0</v>
      </c>
      <c r="Z1346">
        <v>59.61</v>
      </c>
      <c r="AA1346">
        <v>40.883543</v>
      </c>
      <c r="AB1346">
        <v>-73.906469</v>
      </c>
      <c r="AD1346" t="s">
        <v>10840</v>
      </c>
      <c r="AG1346" t="s">
        <v>10858</v>
      </c>
      <c r="AH1346" t="s">
        <v>10860</v>
      </c>
      <c r="AI1346">
        <v>230</v>
      </c>
      <c r="AJ1346" t="s">
        <v>10210</v>
      </c>
      <c r="AL1346">
        <v>4.25</v>
      </c>
      <c r="AM1346" t="s">
        <v>10893</v>
      </c>
      <c r="AN1346" t="s">
        <v>10919</v>
      </c>
      <c r="AO1346" t="s">
        <v>11002</v>
      </c>
      <c r="AP1346" t="s">
        <v>11057</v>
      </c>
      <c r="AR1346" t="s">
        <v>11253</v>
      </c>
      <c r="AS1346" t="s">
        <v>9926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</row>
    <row r="1347" spans="1:59">
      <c r="A1347" s="1">
        <f>HYPERLINK("https://lsnyc.legalserver.org/matter/dynamic-profile/view/1905182","19-1905182")</f>
        <v>0</v>
      </c>
      <c r="B1347" t="s">
        <v>1221</v>
      </c>
      <c r="C1347" t="s">
        <v>5601</v>
      </c>
      <c r="D1347" t="s">
        <v>9926</v>
      </c>
      <c r="E1347" t="s">
        <v>10075</v>
      </c>
      <c r="F1347">
        <v>10453</v>
      </c>
      <c r="G1347" t="s">
        <v>10090</v>
      </c>
      <c r="H1347" t="s">
        <v>10130</v>
      </c>
      <c r="I1347" t="s">
        <v>10169</v>
      </c>
      <c r="J1347" t="s">
        <v>10210</v>
      </c>
      <c r="K1347" t="s">
        <v>10217</v>
      </c>
      <c r="M1347" t="s">
        <v>10463</v>
      </c>
      <c r="N1347" t="s">
        <v>10650</v>
      </c>
      <c r="P1347" t="s">
        <v>10749</v>
      </c>
      <c r="Q1347" t="s">
        <v>10765</v>
      </c>
      <c r="R1347" t="s">
        <v>10821</v>
      </c>
      <c r="T1347">
        <v>10536</v>
      </c>
      <c r="U1347">
        <v>878</v>
      </c>
      <c r="V1347">
        <v>64</v>
      </c>
      <c r="W1347">
        <v>1</v>
      </c>
      <c r="X1347">
        <v>0</v>
      </c>
      <c r="Z1347">
        <v>84.36</v>
      </c>
      <c r="AA1347">
        <v>40.846849</v>
      </c>
      <c r="AB1347">
        <v>-73.90953500000001</v>
      </c>
      <c r="AD1347" t="s">
        <v>10839</v>
      </c>
      <c r="AF1347" t="s">
        <v>10843</v>
      </c>
      <c r="AG1347" t="s">
        <v>10859</v>
      </c>
      <c r="AH1347" t="s">
        <v>10862</v>
      </c>
      <c r="AI1347">
        <v>230</v>
      </c>
      <c r="AJ1347" t="s">
        <v>10210</v>
      </c>
      <c r="AL1347">
        <v>0</v>
      </c>
      <c r="AM1347" t="s">
        <v>10884</v>
      </c>
      <c r="AN1347" t="s">
        <v>10931</v>
      </c>
      <c r="AO1347" t="s">
        <v>11000</v>
      </c>
      <c r="AP1347" t="s">
        <v>11045</v>
      </c>
      <c r="AR1347" t="s">
        <v>11263</v>
      </c>
      <c r="AS1347" t="s">
        <v>9926</v>
      </c>
      <c r="BA1347" t="s">
        <v>11739</v>
      </c>
      <c r="BB1347">
        <v>0</v>
      </c>
      <c r="BC1347">
        <v>0</v>
      </c>
      <c r="BD1347">
        <v>0</v>
      </c>
      <c r="BE1347">
        <v>0</v>
      </c>
      <c r="BF1347">
        <v>4</v>
      </c>
      <c r="BG1347">
        <v>0</v>
      </c>
    </row>
    <row r="1348" spans="1:59">
      <c r="A1348" s="1">
        <f>HYPERLINK("https://lsnyc.legalserver.org/matter/dynamic-profile/view/1905183","19-1905183")</f>
        <v>0</v>
      </c>
      <c r="B1348" t="s">
        <v>1225</v>
      </c>
      <c r="C1348" t="s">
        <v>5601</v>
      </c>
      <c r="D1348" t="s">
        <v>9926</v>
      </c>
      <c r="E1348" t="s">
        <v>10075</v>
      </c>
      <c r="F1348">
        <v>10453</v>
      </c>
      <c r="G1348" t="s">
        <v>10090</v>
      </c>
      <c r="H1348" t="s">
        <v>10130</v>
      </c>
      <c r="I1348" t="s">
        <v>10168</v>
      </c>
      <c r="J1348" t="s">
        <v>10210</v>
      </c>
      <c r="K1348" t="s">
        <v>10217</v>
      </c>
      <c r="M1348" t="s">
        <v>10463</v>
      </c>
      <c r="N1348" t="s">
        <v>10650</v>
      </c>
      <c r="P1348" t="s">
        <v>10749</v>
      </c>
      <c r="Q1348" t="s">
        <v>10765</v>
      </c>
      <c r="R1348" t="s">
        <v>10824</v>
      </c>
      <c r="T1348">
        <v>41032</v>
      </c>
      <c r="U1348">
        <v>3419.33</v>
      </c>
      <c r="V1348">
        <v>69</v>
      </c>
      <c r="W1348">
        <v>1</v>
      </c>
      <c r="X1348">
        <v>0</v>
      </c>
      <c r="Z1348">
        <v>328.52</v>
      </c>
      <c r="AA1348">
        <v>40.846849</v>
      </c>
      <c r="AB1348">
        <v>-73.90953500000001</v>
      </c>
      <c r="AD1348" t="s">
        <v>10839</v>
      </c>
      <c r="AG1348" t="s">
        <v>10858</v>
      </c>
      <c r="AH1348" t="s">
        <v>10862</v>
      </c>
      <c r="AI1348">
        <v>230</v>
      </c>
      <c r="AJ1348" t="s">
        <v>10210</v>
      </c>
      <c r="AL1348">
        <v>0</v>
      </c>
      <c r="AM1348" t="s">
        <v>10884</v>
      </c>
      <c r="AN1348" t="s">
        <v>10931</v>
      </c>
      <c r="AO1348" t="s">
        <v>11000</v>
      </c>
      <c r="AP1348" t="s">
        <v>11045</v>
      </c>
      <c r="AR1348" t="s">
        <v>11379</v>
      </c>
      <c r="AS1348" t="s">
        <v>9926</v>
      </c>
      <c r="BA1348" t="s">
        <v>11739</v>
      </c>
      <c r="BB1348">
        <v>0</v>
      </c>
      <c r="BC1348">
        <v>0</v>
      </c>
      <c r="BD1348">
        <v>0</v>
      </c>
      <c r="BE1348">
        <v>0</v>
      </c>
      <c r="BF1348">
        <v>4</v>
      </c>
      <c r="BG1348">
        <v>0</v>
      </c>
    </row>
    <row r="1349" spans="1:59">
      <c r="A1349" s="1">
        <f>HYPERLINK("https://lsnyc.legalserver.org/matter/dynamic-profile/view/1905184","19-1905184")</f>
        <v>0</v>
      </c>
      <c r="B1349" t="s">
        <v>1225</v>
      </c>
      <c r="C1349" t="s">
        <v>5601</v>
      </c>
      <c r="D1349" t="s">
        <v>9926</v>
      </c>
      <c r="E1349" t="s">
        <v>10075</v>
      </c>
      <c r="F1349">
        <v>10453</v>
      </c>
      <c r="G1349" t="s">
        <v>10090</v>
      </c>
      <c r="H1349" t="s">
        <v>10130</v>
      </c>
      <c r="I1349" t="s">
        <v>10168</v>
      </c>
      <c r="J1349" t="s">
        <v>10210</v>
      </c>
      <c r="K1349" t="s">
        <v>10217</v>
      </c>
      <c r="M1349" t="s">
        <v>10463</v>
      </c>
      <c r="N1349" t="s">
        <v>10650</v>
      </c>
      <c r="P1349" t="s">
        <v>10749</v>
      </c>
      <c r="Q1349" t="s">
        <v>10765</v>
      </c>
      <c r="R1349" t="s">
        <v>10824</v>
      </c>
      <c r="T1349">
        <v>41032</v>
      </c>
      <c r="U1349">
        <v>3419.33</v>
      </c>
      <c r="V1349">
        <v>69</v>
      </c>
      <c r="W1349">
        <v>1</v>
      </c>
      <c r="X1349">
        <v>0</v>
      </c>
      <c r="Z1349">
        <v>328.52</v>
      </c>
      <c r="AA1349">
        <v>40.846849</v>
      </c>
      <c r="AB1349">
        <v>-73.90953500000001</v>
      </c>
      <c r="AD1349" t="s">
        <v>10839</v>
      </c>
      <c r="AG1349" t="s">
        <v>10858</v>
      </c>
      <c r="AH1349" t="s">
        <v>10862</v>
      </c>
      <c r="AI1349">
        <v>230</v>
      </c>
      <c r="AJ1349" t="s">
        <v>10210</v>
      </c>
      <c r="AL1349">
        <v>0</v>
      </c>
      <c r="AM1349" t="s">
        <v>10884</v>
      </c>
      <c r="AN1349" t="s">
        <v>10931</v>
      </c>
      <c r="AO1349" t="s">
        <v>11000</v>
      </c>
      <c r="AP1349" t="s">
        <v>11045</v>
      </c>
      <c r="AR1349" t="s">
        <v>11379</v>
      </c>
      <c r="AS1349" t="s">
        <v>9926</v>
      </c>
      <c r="BA1349" t="s">
        <v>11739</v>
      </c>
      <c r="BB1349">
        <v>0</v>
      </c>
      <c r="BC1349">
        <v>0</v>
      </c>
      <c r="BD1349">
        <v>0</v>
      </c>
      <c r="BE1349">
        <v>0</v>
      </c>
      <c r="BF1349">
        <v>4</v>
      </c>
      <c r="BG1349">
        <v>0</v>
      </c>
    </row>
    <row r="1350" spans="1:59">
      <c r="A1350" s="1">
        <f>HYPERLINK("https://lsnyc.legalserver.org/matter/dynamic-profile/view/1905185","19-1905185")</f>
        <v>0</v>
      </c>
      <c r="B1350" t="s">
        <v>1226</v>
      </c>
      <c r="C1350" t="s">
        <v>6067</v>
      </c>
      <c r="D1350" t="s">
        <v>9928</v>
      </c>
      <c r="E1350" t="s">
        <v>10075</v>
      </c>
      <c r="F1350">
        <v>11210</v>
      </c>
      <c r="G1350" t="s">
        <v>10093</v>
      </c>
      <c r="H1350" t="s">
        <v>10130</v>
      </c>
      <c r="I1350" t="s">
        <v>10168</v>
      </c>
      <c r="J1350" t="s">
        <v>10213</v>
      </c>
      <c r="K1350" t="s">
        <v>10218</v>
      </c>
      <c r="L1350" t="s">
        <v>10098</v>
      </c>
      <c r="M1350" t="s">
        <v>10378</v>
      </c>
      <c r="N1350" t="s">
        <v>10698</v>
      </c>
      <c r="P1350" t="s">
        <v>10749</v>
      </c>
      <c r="Q1350" t="s">
        <v>10765</v>
      </c>
      <c r="R1350" t="s">
        <v>10821</v>
      </c>
      <c r="S1350" t="s">
        <v>10821</v>
      </c>
      <c r="T1350">
        <v>21660</v>
      </c>
      <c r="U1350">
        <v>1805</v>
      </c>
      <c r="V1350">
        <v>50</v>
      </c>
      <c r="W1350">
        <v>3</v>
      </c>
      <c r="X1350">
        <v>2</v>
      </c>
      <c r="Y1350" t="s">
        <v>10836</v>
      </c>
      <c r="Z1350">
        <v>71.79000000000001</v>
      </c>
      <c r="AA1350">
        <v>40.638942</v>
      </c>
      <c r="AB1350">
        <v>-73.946772</v>
      </c>
      <c r="AD1350" t="s">
        <v>10839</v>
      </c>
      <c r="AG1350" t="s">
        <v>10858</v>
      </c>
      <c r="AH1350" t="s">
        <v>10868</v>
      </c>
      <c r="AI1350">
        <v>239</v>
      </c>
      <c r="AJ1350" t="s">
        <v>10213</v>
      </c>
      <c r="AK1350" t="s">
        <v>10838</v>
      </c>
      <c r="AL1350">
        <v>4</v>
      </c>
      <c r="AM1350" t="s">
        <v>10888</v>
      </c>
      <c r="AN1350" t="s">
        <v>10932</v>
      </c>
      <c r="AO1350" t="s">
        <v>11008</v>
      </c>
      <c r="AP1350" t="s">
        <v>11065</v>
      </c>
      <c r="AR1350" t="s">
        <v>11412</v>
      </c>
      <c r="AS1350" t="s">
        <v>11595</v>
      </c>
      <c r="AT1350" t="s">
        <v>11641</v>
      </c>
      <c r="AX1350" t="s">
        <v>10838</v>
      </c>
      <c r="AY1350" t="s">
        <v>10836</v>
      </c>
      <c r="AZ1350" t="s">
        <v>11687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</row>
    <row r="1351" spans="1:59">
      <c r="A1351" s="1">
        <f>HYPERLINK("https://lsnyc.legalserver.org/matter/dynamic-profile/view/1905186","19-1905186")</f>
        <v>0</v>
      </c>
      <c r="B1351" t="s">
        <v>1227</v>
      </c>
      <c r="C1351" t="s">
        <v>5601</v>
      </c>
      <c r="D1351" t="s">
        <v>9926</v>
      </c>
      <c r="E1351" t="s">
        <v>10075</v>
      </c>
      <c r="F1351">
        <v>10453</v>
      </c>
      <c r="G1351" t="s">
        <v>10090</v>
      </c>
      <c r="H1351" t="s">
        <v>10130</v>
      </c>
      <c r="I1351" t="s">
        <v>10168</v>
      </c>
      <c r="J1351" t="s">
        <v>10210</v>
      </c>
      <c r="K1351" t="s">
        <v>10217</v>
      </c>
      <c r="M1351" t="s">
        <v>10463</v>
      </c>
      <c r="N1351" t="s">
        <v>10650</v>
      </c>
      <c r="P1351" t="s">
        <v>10749</v>
      </c>
      <c r="Q1351" t="s">
        <v>10765</v>
      </c>
      <c r="R1351" t="s">
        <v>10824</v>
      </c>
      <c r="T1351">
        <v>50000</v>
      </c>
      <c r="U1351">
        <v>4166.67</v>
      </c>
      <c r="V1351">
        <v>54</v>
      </c>
      <c r="W1351">
        <v>2</v>
      </c>
      <c r="X1351">
        <v>0</v>
      </c>
      <c r="Z1351">
        <v>295.68</v>
      </c>
      <c r="AA1351">
        <v>40.846849</v>
      </c>
      <c r="AB1351">
        <v>-73.90953500000001</v>
      </c>
      <c r="AD1351" t="s">
        <v>10839</v>
      </c>
      <c r="AG1351" t="s">
        <v>10858</v>
      </c>
      <c r="AH1351" t="s">
        <v>10862</v>
      </c>
      <c r="AI1351">
        <v>230</v>
      </c>
      <c r="AJ1351" t="s">
        <v>10210</v>
      </c>
      <c r="AL1351">
        <v>0</v>
      </c>
      <c r="AM1351" t="s">
        <v>10884</v>
      </c>
      <c r="AN1351" t="s">
        <v>10931</v>
      </c>
      <c r="AO1351" t="s">
        <v>11000</v>
      </c>
      <c r="AP1351" t="s">
        <v>11045</v>
      </c>
      <c r="AR1351" t="s">
        <v>11257</v>
      </c>
      <c r="AS1351" t="s">
        <v>9926</v>
      </c>
      <c r="BA1351" t="s">
        <v>11739</v>
      </c>
      <c r="BB1351">
        <v>0</v>
      </c>
      <c r="BC1351">
        <v>0</v>
      </c>
      <c r="BD1351">
        <v>0</v>
      </c>
      <c r="BE1351">
        <v>0</v>
      </c>
      <c r="BF1351">
        <v>4</v>
      </c>
      <c r="BG1351">
        <v>0</v>
      </c>
    </row>
    <row r="1352" spans="1:59">
      <c r="A1352" s="1">
        <f>HYPERLINK("https://lsnyc.legalserver.org/matter/dynamic-profile/view/1905187","19-1905187")</f>
        <v>0</v>
      </c>
      <c r="B1352" t="s">
        <v>1227</v>
      </c>
      <c r="C1352" t="s">
        <v>5601</v>
      </c>
      <c r="D1352" t="s">
        <v>9926</v>
      </c>
      <c r="E1352" t="s">
        <v>10075</v>
      </c>
      <c r="F1352">
        <v>10453</v>
      </c>
      <c r="G1352" t="s">
        <v>10090</v>
      </c>
      <c r="H1352" t="s">
        <v>10130</v>
      </c>
      <c r="I1352" t="s">
        <v>10168</v>
      </c>
      <c r="J1352" t="s">
        <v>10210</v>
      </c>
      <c r="K1352" t="s">
        <v>10217</v>
      </c>
      <c r="M1352" t="s">
        <v>10463</v>
      </c>
      <c r="N1352" t="s">
        <v>10650</v>
      </c>
      <c r="P1352" t="s">
        <v>10749</v>
      </c>
      <c r="Q1352" t="s">
        <v>10765</v>
      </c>
      <c r="R1352" t="s">
        <v>10824</v>
      </c>
      <c r="T1352">
        <v>50000</v>
      </c>
      <c r="U1352">
        <v>4166.67</v>
      </c>
      <c r="V1352">
        <v>54</v>
      </c>
      <c r="W1352">
        <v>2</v>
      </c>
      <c r="X1352">
        <v>0</v>
      </c>
      <c r="Z1352">
        <v>295.68</v>
      </c>
      <c r="AA1352">
        <v>40.846849</v>
      </c>
      <c r="AB1352">
        <v>-73.90953500000001</v>
      </c>
      <c r="AD1352" t="s">
        <v>10839</v>
      </c>
      <c r="AG1352" t="s">
        <v>10858</v>
      </c>
      <c r="AH1352" t="s">
        <v>10862</v>
      </c>
      <c r="AI1352">
        <v>230</v>
      </c>
      <c r="AJ1352" t="s">
        <v>10210</v>
      </c>
      <c r="AL1352">
        <v>0</v>
      </c>
      <c r="AM1352" t="s">
        <v>10884</v>
      </c>
      <c r="AN1352" t="s">
        <v>10931</v>
      </c>
      <c r="AO1352" t="s">
        <v>11000</v>
      </c>
      <c r="AP1352" t="s">
        <v>11045</v>
      </c>
      <c r="AR1352" t="s">
        <v>11257</v>
      </c>
      <c r="AS1352" t="s">
        <v>9926</v>
      </c>
      <c r="BA1352" t="s">
        <v>11739</v>
      </c>
      <c r="BB1352">
        <v>0</v>
      </c>
      <c r="BC1352">
        <v>0</v>
      </c>
      <c r="BD1352">
        <v>0</v>
      </c>
      <c r="BE1352">
        <v>0</v>
      </c>
      <c r="BF1352">
        <v>4</v>
      </c>
      <c r="BG1352">
        <v>0</v>
      </c>
    </row>
    <row r="1353" spans="1:59">
      <c r="A1353" s="1">
        <f>HYPERLINK("https://lsnyc.legalserver.org/matter/dynamic-profile/view/1905188","19-1905188")</f>
        <v>0</v>
      </c>
      <c r="B1353" t="s">
        <v>1228</v>
      </c>
      <c r="C1353" t="s">
        <v>5601</v>
      </c>
      <c r="D1353" t="s">
        <v>9926</v>
      </c>
      <c r="E1353" t="s">
        <v>10075</v>
      </c>
      <c r="F1353">
        <v>10453</v>
      </c>
      <c r="G1353" t="s">
        <v>10090</v>
      </c>
      <c r="H1353" t="s">
        <v>10130</v>
      </c>
      <c r="I1353" t="s">
        <v>10168</v>
      </c>
      <c r="J1353" t="s">
        <v>10210</v>
      </c>
      <c r="K1353" t="s">
        <v>10217</v>
      </c>
      <c r="M1353" t="s">
        <v>10463</v>
      </c>
      <c r="N1353" t="s">
        <v>10650</v>
      </c>
      <c r="P1353" t="s">
        <v>10749</v>
      </c>
      <c r="Q1353" t="s">
        <v>10765</v>
      </c>
      <c r="R1353" t="s">
        <v>10824</v>
      </c>
      <c r="T1353">
        <v>68000</v>
      </c>
      <c r="U1353">
        <v>5666.67</v>
      </c>
      <c r="V1353">
        <v>54</v>
      </c>
      <c r="W1353">
        <v>1</v>
      </c>
      <c r="X1353">
        <v>0</v>
      </c>
      <c r="Z1353">
        <v>544.4400000000001</v>
      </c>
      <c r="AA1353">
        <v>40.846849</v>
      </c>
      <c r="AB1353">
        <v>-73.90953500000001</v>
      </c>
      <c r="AD1353" t="s">
        <v>10839</v>
      </c>
      <c r="AG1353" t="s">
        <v>10858</v>
      </c>
      <c r="AH1353" t="s">
        <v>10862</v>
      </c>
      <c r="AI1353">
        <v>230</v>
      </c>
      <c r="AJ1353" t="s">
        <v>10210</v>
      </c>
      <c r="AL1353">
        <v>0</v>
      </c>
      <c r="AM1353" t="s">
        <v>10884</v>
      </c>
      <c r="AN1353" t="s">
        <v>10931</v>
      </c>
      <c r="AO1353" t="s">
        <v>11000</v>
      </c>
      <c r="AP1353" t="s">
        <v>11045</v>
      </c>
      <c r="AR1353" t="s">
        <v>11257</v>
      </c>
      <c r="AS1353" t="s">
        <v>9926</v>
      </c>
      <c r="BA1353" t="s">
        <v>11739</v>
      </c>
      <c r="BB1353">
        <v>0</v>
      </c>
      <c r="BC1353">
        <v>0</v>
      </c>
      <c r="BD1353">
        <v>0</v>
      </c>
      <c r="BE1353">
        <v>0</v>
      </c>
      <c r="BF1353">
        <v>4</v>
      </c>
      <c r="BG1353">
        <v>0</v>
      </c>
    </row>
    <row r="1354" spans="1:59">
      <c r="A1354" s="1">
        <f>HYPERLINK("https://lsnyc.legalserver.org/matter/dynamic-profile/view/1905189","19-1905189")</f>
        <v>0</v>
      </c>
      <c r="B1354" t="s">
        <v>1229</v>
      </c>
      <c r="C1354" t="s">
        <v>6068</v>
      </c>
      <c r="D1354" t="s">
        <v>9925</v>
      </c>
      <c r="E1354" t="s">
        <v>10075</v>
      </c>
      <c r="F1354">
        <v>10021</v>
      </c>
      <c r="G1354" t="s">
        <v>10089</v>
      </c>
      <c r="H1354" t="s">
        <v>10130</v>
      </c>
      <c r="I1354" t="s">
        <v>10168</v>
      </c>
      <c r="J1354" t="s">
        <v>10209</v>
      </c>
      <c r="K1354" t="s">
        <v>10218</v>
      </c>
      <c r="L1354" t="s">
        <v>10129</v>
      </c>
      <c r="M1354" t="s">
        <v>10270</v>
      </c>
      <c r="N1354" t="s">
        <v>10716</v>
      </c>
      <c r="P1354" t="s">
        <v>10754</v>
      </c>
      <c r="Q1354" t="s">
        <v>10775</v>
      </c>
      <c r="R1354" t="s">
        <v>10820</v>
      </c>
      <c r="T1354">
        <v>27000</v>
      </c>
      <c r="U1354">
        <v>2250</v>
      </c>
      <c r="V1354">
        <v>39</v>
      </c>
      <c r="W1354">
        <v>2</v>
      </c>
      <c r="X1354">
        <v>2</v>
      </c>
      <c r="Y1354" t="s">
        <v>10829</v>
      </c>
      <c r="Z1354">
        <v>104.85</v>
      </c>
      <c r="AA1354">
        <v>40.76953</v>
      </c>
      <c r="AB1354">
        <v>-73.95504</v>
      </c>
      <c r="AD1354" t="s">
        <v>10839</v>
      </c>
      <c r="AF1354" t="s">
        <v>10842</v>
      </c>
      <c r="AG1354" t="s">
        <v>10859</v>
      </c>
      <c r="AH1354" t="s">
        <v>10871</v>
      </c>
      <c r="AI1354">
        <v>234</v>
      </c>
      <c r="AJ1354" t="s">
        <v>10214</v>
      </c>
      <c r="AK1354" t="s">
        <v>10837</v>
      </c>
      <c r="AL1354">
        <v>1.66</v>
      </c>
      <c r="AM1354" t="s">
        <v>10891</v>
      </c>
      <c r="AN1354" t="s">
        <v>10971</v>
      </c>
      <c r="AO1354" t="s">
        <v>11026</v>
      </c>
      <c r="AP1354" t="s">
        <v>11094</v>
      </c>
      <c r="AR1354" t="s">
        <v>11276</v>
      </c>
      <c r="AS1354" t="s">
        <v>9925</v>
      </c>
      <c r="AT1354" t="s">
        <v>11641</v>
      </c>
      <c r="AX1354" t="s">
        <v>10838</v>
      </c>
      <c r="AY1354" t="s">
        <v>10829</v>
      </c>
      <c r="AZ1354" t="s">
        <v>11683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</row>
    <row r="1355" spans="1:59">
      <c r="A1355" s="1">
        <f>HYPERLINK("https://lsnyc.legalserver.org/matter/dynamic-profile/view/1905190","19-1905190")</f>
        <v>0</v>
      </c>
      <c r="B1355" t="s">
        <v>1230</v>
      </c>
      <c r="C1355" t="s">
        <v>6069</v>
      </c>
      <c r="D1355" t="s">
        <v>9968</v>
      </c>
      <c r="E1355" t="s">
        <v>10075</v>
      </c>
      <c r="F1355">
        <v>11411</v>
      </c>
      <c r="G1355" t="s">
        <v>10092</v>
      </c>
      <c r="H1355" t="s">
        <v>10130</v>
      </c>
      <c r="I1355" t="s">
        <v>10168</v>
      </c>
      <c r="J1355" t="s">
        <v>10212</v>
      </c>
      <c r="K1355" t="s">
        <v>10217</v>
      </c>
      <c r="M1355" t="s">
        <v>10311</v>
      </c>
      <c r="N1355" t="s">
        <v>10684</v>
      </c>
      <c r="P1355" t="s">
        <v>10751</v>
      </c>
      <c r="Q1355" t="s">
        <v>10786</v>
      </c>
      <c r="R1355" t="s">
        <v>10823</v>
      </c>
      <c r="T1355">
        <v>0</v>
      </c>
      <c r="U1355">
        <v>0</v>
      </c>
      <c r="V1355">
        <v>21</v>
      </c>
      <c r="W1355">
        <v>1</v>
      </c>
      <c r="X1355">
        <v>0</v>
      </c>
      <c r="Z1355">
        <v>0</v>
      </c>
      <c r="AA1355">
        <v>40.693696</v>
      </c>
      <c r="AB1355">
        <v>-73.74351</v>
      </c>
      <c r="AD1355" t="s">
        <v>10840</v>
      </c>
      <c r="AG1355" t="s">
        <v>10858</v>
      </c>
      <c r="AH1355" t="s">
        <v>10873</v>
      </c>
      <c r="AI1355">
        <v>237</v>
      </c>
      <c r="AJ1355" t="s">
        <v>10212</v>
      </c>
      <c r="AL1355">
        <v>2.75</v>
      </c>
      <c r="AM1355" t="s">
        <v>10892</v>
      </c>
      <c r="AN1355" t="s">
        <v>10940</v>
      </c>
      <c r="AO1355" t="s">
        <v>11020</v>
      </c>
      <c r="AP1355" t="s">
        <v>11075</v>
      </c>
      <c r="AR1355" t="s">
        <v>11267</v>
      </c>
      <c r="AS1355" t="s">
        <v>11594</v>
      </c>
      <c r="AX1355" t="s">
        <v>10838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</row>
    <row r="1356" spans="1:59">
      <c r="A1356" s="1">
        <f>HYPERLINK("https://lsnyc.legalserver.org/matter/dynamic-profile/view/1905191","19-1905191")</f>
        <v>0</v>
      </c>
      <c r="B1356" t="s">
        <v>1228</v>
      </c>
      <c r="C1356" t="s">
        <v>5601</v>
      </c>
      <c r="D1356" t="s">
        <v>9926</v>
      </c>
      <c r="E1356" t="s">
        <v>10075</v>
      </c>
      <c r="F1356">
        <v>10453</v>
      </c>
      <c r="G1356" t="s">
        <v>10090</v>
      </c>
      <c r="H1356" t="s">
        <v>10130</v>
      </c>
      <c r="I1356" t="s">
        <v>10168</v>
      </c>
      <c r="J1356" t="s">
        <v>10210</v>
      </c>
      <c r="K1356" t="s">
        <v>10217</v>
      </c>
      <c r="M1356" t="s">
        <v>10463</v>
      </c>
      <c r="N1356" t="s">
        <v>10650</v>
      </c>
      <c r="P1356" t="s">
        <v>10749</v>
      </c>
      <c r="Q1356" t="s">
        <v>10765</v>
      </c>
      <c r="R1356" t="s">
        <v>10824</v>
      </c>
      <c r="T1356">
        <v>68000</v>
      </c>
      <c r="U1356">
        <v>5666.67</v>
      </c>
      <c r="V1356">
        <v>54</v>
      </c>
      <c r="W1356">
        <v>1</v>
      </c>
      <c r="X1356">
        <v>0</v>
      </c>
      <c r="Z1356">
        <v>544.4400000000001</v>
      </c>
      <c r="AA1356">
        <v>40.846849</v>
      </c>
      <c r="AB1356">
        <v>-73.90953500000001</v>
      </c>
      <c r="AD1356" t="s">
        <v>10839</v>
      </c>
      <c r="AG1356" t="s">
        <v>10858</v>
      </c>
      <c r="AH1356" t="s">
        <v>10862</v>
      </c>
      <c r="AI1356">
        <v>230</v>
      </c>
      <c r="AJ1356" t="s">
        <v>10210</v>
      </c>
      <c r="AL1356">
        <v>0</v>
      </c>
      <c r="AM1356" t="s">
        <v>10884</v>
      </c>
      <c r="AN1356" t="s">
        <v>10931</v>
      </c>
      <c r="AO1356" t="s">
        <v>11000</v>
      </c>
      <c r="AP1356" t="s">
        <v>11045</v>
      </c>
      <c r="AR1356" t="s">
        <v>11257</v>
      </c>
      <c r="AS1356" t="s">
        <v>9926</v>
      </c>
      <c r="BA1356" t="s">
        <v>11739</v>
      </c>
      <c r="BB1356">
        <v>0</v>
      </c>
      <c r="BC1356">
        <v>0</v>
      </c>
      <c r="BD1356">
        <v>0</v>
      </c>
      <c r="BE1356">
        <v>0</v>
      </c>
      <c r="BF1356">
        <v>4</v>
      </c>
      <c r="BG1356">
        <v>0</v>
      </c>
    </row>
    <row r="1357" spans="1:59">
      <c r="A1357" s="1">
        <f>HYPERLINK("https://lsnyc.legalserver.org/matter/dynamic-profile/view/1905192","19-1905192")</f>
        <v>0</v>
      </c>
      <c r="B1357" t="s">
        <v>1231</v>
      </c>
      <c r="C1357" t="s">
        <v>5601</v>
      </c>
      <c r="D1357" t="s">
        <v>9926</v>
      </c>
      <c r="E1357" t="s">
        <v>10075</v>
      </c>
      <c r="F1357">
        <v>10453</v>
      </c>
      <c r="G1357" t="s">
        <v>10090</v>
      </c>
      <c r="H1357" t="s">
        <v>10130</v>
      </c>
      <c r="I1357" t="s">
        <v>10168</v>
      </c>
      <c r="J1357" t="s">
        <v>10210</v>
      </c>
      <c r="K1357" t="s">
        <v>10217</v>
      </c>
      <c r="M1357" t="s">
        <v>10463</v>
      </c>
      <c r="N1357" t="s">
        <v>10650</v>
      </c>
      <c r="P1357" t="s">
        <v>10749</v>
      </c>
      <c r="Q1357" t="s">
        <v>10765</v>
      </c>
      <c r="R1357" t="s">
        <v>10824</v>
      </c>
      <c r="T1357">
        <v>50000</v>
      </c>
      <c r="U1357">
        <v>4166.67</v>
      </c>
      <c r="V1357">
        <v>64</v>
      </c>
      <c r="W1357">
        <v>2</v>
      </c>
      <c r="X1357">
        <v>0</v>
      </c>
      <c r="Z1357">
        <v>295.68</v>
      </c>
      <c r="AA1357">
        <v>40.846849</v>
      </c>
      <c r="AB1357">
        <v>-73.90953500000001</v>
      </c>
      <c r="AD1357" t="s">
        <v>10839</v>
      </c>
      <c r="AG1357" t="s">
        <v>10858</v>
      </c>
      <c r="AH1357" t="s">
        <v>10862</v>
      </c>
      <c r="AI1357">
        <v>230</v>
      </c>
      <c r="AJ1357" t="s">
        <v>10210</v>
      </c>
      <c r="AL1357">
        <v>0</v>
      </c>
      <c r="AM1357" t="s">
        <v>10884</v>
      </c>
      <c r="AN1357" t="s">
        <v>10931</v>
      </c>
      <c r="AO1357" t="s">
        <v>11000</v>
      </c>
      <c r="AP1357" t="s">
        <v>11045</v>
      </c>
      <c r="AR1357" t="s">
        <v>11257</v>
      </c>
      <c r="AS1357" t="s">
        <v>9926</v>
      </c>
      <c r="BA1357" t="s">
        <v>11739</v>
      </c>
      <c r="BB1357">
        <v>0</v>
      </c>
      <c r="BC1357">
        <v>0</v>
      </c>
      <c r="BD1357">
        <v>0</v>
      </c>
      <c r="BE1357">
        <v>0</v>
      </c>
      <c r="BF1357">
        <v>4</v>
      </c>
      <c r="BG1357">
        <v>0</v>
      </c>
    </row>
    <row r="1358" spans="1:59">
      <c r="A1358" s="1">
        <f>HYPERLINK("https://lsnyc.legalserver.org/matter/dynamic-profile/view/1905193","19-1905193")</f>
        <v>0</v>
      </c>
      <c r="B1358" t="s">
        <v>1232</v>
      </c>
      <c r="C1358" t="s">
        <v>5059</v>
      </c>
      <c r="D1358" t="s">
        <v>9928</v>
      </c>
      <c r="E1358" t="s">
        <v>10075</v>
      </c>
      <c r="F1358">
        <v>11220</v>
      </c>
      <c r="G1358" t="s">
        <v>10093</v>
      </c>
      <c r="H1358" t="s">
        <v>10130</v>
      </c>
      <c r="I1358" t="s">
        <v>10168</v>
      </c>
      <c r="J1358" t="s">
        <v>10213</v>
      </c>
      <c r="K1358" t="s">
        <v>10217</v>
      </c>
      <c r="M1358" t="s">
        <v>10263</v>
      </c>
      <c r="N1358" t="s">
        <v>10650</v>
      </c>
      <c r="O1358" t="s">
        <v>10653</v>
      </c>
      <c r="P1358" t="s">
        <v>10749</v>
      </c>
      <c r="Q1358" t="s">
        <v>10765</v>
      </c>
      <c r="R1358" t="s">
        <v>10821</v>
      </c>
      <c r="T1358">
        <v>41600</v>
      </c>
      <c r="U1358">
        <v>3466.67</v>
      </c>
      <c r="V1358">
        <v>63</v>
      </c>
      <c r="W1358">
        <v>1</v>
      </c>
      <c r="X1358">
        <v>0</v>
      </c>
      <c r="Z1358">
        <v>333.07</v>
      </c>
      <c r="AA1358">
        <v>40.645461</v>
      </c>
      <c r="AB1358">
        <v>-74.002331</v>
      </c>
      <c r="AD1358" t="s">
        <v>10840</v>
      </c>
      <c r="AG1358" t="s">
        <v>10858</v>
      </c>
      <c r="AH1358" t="s">
        <v>10862</v>
      </c>
      <c r="AI1358">
        <v>239</v>
      </c>
      <c r="AJ1358" t="s">
        <v>10213</v>
      </c>
      <c r="AL1358">
        <v>0.2</v>
      </c>
      <c r="AM1358" t="s">
        <v>10886</v>
      </c>
      <c r="AN1358" t="s">
        <v>10921</v>
      </c>
      <c r="AO1358" t="s">
        <v>11015</v>
      </c>
      <c r="AP1358" t="s">
        <v>11069</v>
      </c>
      <c r="AQ1358" t="s">
        <v>11120</v>
      </c>
      <c r="AR1358" t="s">
        <v>11257</v>
      </c>
      <c r="AS1358" t="s">
        <v>11595</v>
      </c>
      <c r="BA1358" t="s">
        <v>11738</v>
      </c>
      <c r="BB1358">
        <v>0</v>
      </c>
      <c r="BC1358">
        <v>0</v>
      </c>
      <c r="BD1358">
        <v>0</v>
      </c>
      <c r="BE1358">
        <v>0</v>
      </c>
      <c r="BF1358">
        <v>5</v>
      </c>
      <c r="BG1358">
        <v>0</v>
      </c>
    </row>
    <row r="1359" spans="1:59">
      <c r="A1359" s="1">
        <f>HYPERLINK("https://lsnyc.legalserver.org/matter/dynamic-profile/view/1905194","19-1905194")</f>
        <v>0</v>
      </c>
      <c r="B1359" t="s">
        <v>1233</v>
      </c>
      <c r="C1359" t="s">
        <v>6070</v>
      </c>
      <c r="D1359" t="s">
        <v>9928</v>
      </c>
      <c r="E1359" t="s">
        <v>10075</v>
      </c>
      <c r="F1359">
        <v>11233</v>
      </c>
      <c r="G1359" t="s">
        <v>10093</v>
      </c>
      <c r="H1359" t="s">
        <v>10130</v>
      </c>
      <c r="I1359" t="s">
        <v>10168</v>
      </c>
      <c r="J1359" t="s">
        <v>10213</v>
      </c>
      <c r="K1359" t="s">
        <v>10217</v>
      </c>
      <c r="M1359" t="s">
        <v>10368</v>
      </c>
      <c r="N1359" t="s">
        <v>10650</v>
      </c>
      <c r="P1359" t="s">
        <v>10749</v>
      </c>
      <c r="Q1359" t="s">
        <v>10765</v>
      </c>
      <c r="R1359" t="s">
        <v>10824</v>
      </c>
      <c r="T1359">
        <v>24960</v>
      </c>
      <c r="U1359">
        <v>2080</v>
      </c>
      <c r="V1359">
        <v>23</v>
      </c>
      <c r="W1359">
        <v>1</v>
      </c>
      <c r="X1359">
        <v>0</v>
      </c>
      <c r="Z1359">
        <v>199.84</v>
      </c>
      <c r="AA1359">
        <v>40.674349</v>
      </c>
      <c r="AB1359">
        <v>-73.923023</v>
      </c>
      <c r="AD1359" t="s">
        <v>10840</v>
      </c>
      <c r="AF1359" t="s">
        <v>10843</v>
      </c>
      <c r="AG1359" t="s">
        <v>10859</v>
      </c>
      <c r="AH1359" t="s">
        <v>10862</v>
      </c>
      <c r="AI1359">
        <v>239</v>
      </c>
      <c r="AJ1359" t="s">
        <v>10213</v>
      </c>
      <c r="AL1359">
        <v>2.5</v>
      </c>
      <c r="AM1359" t="s">
        <v>10889</v>
      </c>
      <c r="AN1359" t="s">
        <v>10914</v>
      </c>
      <c r="AO1359" t="s">
        <v>11007</v>
      </c>
      <c r="AP1359" t="s">
        <v>11064</v>
      </c>
      <c r="AQ1359" t="s">
        <v>11101</v>
      </c>
      <c r="AR1359" t="s">
        <v>11257</v>
      </c>
      <c r="AS1359" t="s">
        <v>11595</v>
      </c>
      <c r="AT1359" t="s">
        <v>11642</v>
      </c>
      <c r="BA1359" t="s">
        <v>11740</v>
      </c>
      <c r="BB1359">
        <v>0</v>
      </c>
      <c r="BC1359">
        <v>0</v>
      </c>
      <c r="BD1359">
        <v>0</v>
      </c>
      <c r="BE1359">
        <v>0</v>
      </c>
      <c r="BF1359">
        <v>2</v>
      </c>
      <c r="BG1359">
        <v>0</v>
      </c>
    </row>
    <row r="1360" spans="1:59">
      <c r="A1360" s="1">
        <f>HYPERLINK("https://lsnyc.legalserver.org/matter/dynamic-profile/view/1905195","19-1905195")</f>
        <v>0</v>
      </c>
      <c r="B1360" t="s">
        <v>1231</v>
      </c>
      <c r="C1360" t="s">
        <v>5601</v>
      </c>
      <c r="D1360" t="s">
        <v>9926</v>
      </c>
      <c r="E1360" t="s">
        <v>10075</v>
      </c>
      <c r="F1360">
        <v>10453</v>
      </c>
      <c r="G1360" t="s">
        <v>10090</v>
      </c>
      <c r="H1360" t="s">
        <v>10130</v>
      </c>
      <c r="I1360" t="s">
        <v>10168</v>
      </c>
      <c r="J1360" t="s">
        <v>10210</v>
      </c>
      <c r="K1360" t="s">
        <v>10217</v>
      </c>
      <c r="M1360" t="s">
        <v>10463</v>
      </c>
      <c r="N1360" t="s">
        <v>10650</v>
      </c>
      <c r="P1360" t="s">
        <v>10749</v>
      </c>
      <c r="Q1360" t="s">
        <v>10765</v>
      </c>
      <c r="R1360" t="s">
        <v>10824</v>
      </c>
      <c r="T1360">
        <v>600000</v>
      </c>
      <c r="U1360">
        <v>50000</v>
      </c>
      <c r="V1360">
        <v>64</v>
      </c>
      <c r="W1360">
        <v>2</v>
      </c>
      <c r="X1360">
        <v>0</v>
      </c>
      <c r="Z1360">
        <v>3548.2</v>
      </c>
      <c r="AA1360">
        <v>40.846849</v>
      </c>
      <c r="AB1360">
        <v>-73.90953500000001</v>
      </c>
      <c r="AD1360" t="s">
        <v>10839</v>
      </c>
      <c r="AG1360" t="s">
        <v>10858</v>
      </c>
      <c r="AH1360" t="s">
        <v>10862</v>
      </c>
      <c r="AI1360">
        <v>230</v>
      </c>
      <c r="AJ1360" t="s">
        <v>10210</v>
      </c>
      <c r="AL1360">
        <v>0</v>
      </c>
      <c r="AM1360" t="s">
        <v>10884</v>
      </c>
      <c r="AN1360" t="s">
        <v>10931</v>
      </c>
      <c r="AO1360" t="s">
        <v>11000</v>
      </c>
      <c r="AP1360" t="s">
        <v>11045</v>
      </c>
      <c r="AR1360" t="s">
        <v>11257</v>
      </c>
      <c r="AS1360" t="s">
        <v>9926</v>
      </c>
      <c r="BA1360" t="s">
        <v>11739</v>
      </c>
      <c r="BB1360">
        <v>0</v>
      </c>
      <c r="BC1360">
        <v>0</v>
      </c>
      <c r="BD1360">
        <v>0</v>
      </c>
      <c r="BE1360">
        <v>0</v>
      </c>
      <c r="BF1360">
        <v>4</v>
      </c>
      <c r="BG1360">
        <v>0</v>
      </c>
    </row>
    <row r="1361" spans="1:59">
      <c r="A1361" s="1">
        <f>HYPERLINK("https://lsnyc.legalserver.org/matter/dynamic-profile/view/1905196","19-1905196")</f>
        <v>0</v>
      </c>
      <c r="B1361" t="s">
        <v>1234</v>
      </c>
      <c r="C1361" t="s">
        <v>5416</v>
      </c>
      <c r="D1361" t="s">
        <v>9925</v>
      </c>
      <c r="E1361" t="s">
        <v>10075</v>
      </c>
      <c r="F1361">
        <v>10024</v>
      </c>
      <c r="G1361" t="s">
        <v>10089</v>
      </c>
      <c r="H1361" t="s">
        <v>10130</v>
      </c>
      <c r="I1361" t="s">
        <v>10168</v>
      </c>
      <c r="J1361" t="s">
        <v>10209</v>
      </c>
      <c r="K1361" t="s">
        <v>10217</v>
      </c>
      <c r="M1361" t="s">
        <v>10440</v>
      </c>
      <c r="N1361" t="s">
        <v>10650</v>
      </c>
      <c r="P1361" t="s">
        <v>10749</v>
      </c>
      <c r="Q1361" t="s">
        <v>10765</v>
      </c>
      <c r="R1361" t="s">
        <v>10824</v>
      </c>
      <c r="T1361">
        <v>2700</v>
      </c>
      <c r="U1361">
        <v>225</v>
      </c>
      <c r="V1361">
        <v>36</v>
      </c>
      <c r="W1361">
        <v>2</v>
      </c>
      <c r="X1361">
        <v>0</v>
      </c>
      <c r="Z1361">
        <v>15.97</v>
      </c>
      <c r="AA1361">
        <v>40.785599</v>
      </c>
      <c r="AB1361">
        <v>-73.97568</v>
      </c>
      <c r="AD1361" t="s">
        <v>10839</v>
      </c>
      <c r="AG1361" t="s">
        <v>10858</v>
      </c>
      <c r="AH1361" t="s">
        <v>10862</v>
      </c>
      <c r="AI1361">
        <v>236</v>
      </c>
      <c r="AJ1361" t="s">
        <v>10209</v>
      </c>
      <c r="AL1361">
        <v>0</v>
      </c>
      <c r="AM1361" t="s">
        <v>10894</v>
      </c>
      <c r="AN1361" t="s">
        <v>10953</v>
      </c>
      <c r="AO1361" t="s">
        <v>11013</v>
      </c>
      <c r="AP1361" t="s">
        <v>11089</v>
      </c>
      <c r="AR1361" t="s">
        <v>11263</v>
      </c>
      <c r="AS1361" t="s">
        <v>9925</v>
      </c>
      <c r="AT1361" t="s">
        <v>11641</v>
      </c>
      <c r="AX1361" t="s">
        <v>10838</v>
      </c>
      <c r="BA1361" t="s">
        <v>11742</v>
      </c>
      <c r="BB1361">
        <v>0</v>
      </c>
      <c r="BC1361">
        <v>0</v>
      </c>
      <c r="BD1361">
        <v>0</v>
      </c>
      <c r="BE1361">
        <v>0</v>
      </c>
      <c r="BF1361">
        <v>7</v>
      </c>
      <c r="BG1361">
        <v>0</v>
      </c>
    </row>
    <row r="1362" spans="1:59">
      <c r="A1362" s="1">
        <f>HYPERLINK("https://lsnyc.legalserver.org/matter/dynamic-profile/view/1905197","19-1905197")</f>
        <v>0</v>
      </c>
      <c r="B1362" t="s">
        <v>1226</v>
      </c>
      <c r="C1362" t="s">
        <v>6067</v>
      </c>
      <c r="D1362" t="s">
        <v>9928</v>
      </c>
      <c r="E1362" t="s">
        <v>10075</v>
      </c>
      <c r="F1362">
        <v>11210</v>
      </c>
      <c r="G1362" t="s">
        <v>10093</v>
      </c>
      <c r="H1362" t="s">
        <v>10130</v>
      </c>
      <c r="I1362" t="s">
        <v>10168</v>
      </c>
      <c r="J1362" t="s">
        <v>10213</v>
      </c>
      <c r="K1362" t="s">
        <v>10218</v>
      </c>
      <c r="L1362" t="s">
        <v>10098</v>
      </c>
      <c r="M1362" t="s">
        <v>10378</v>
      </c>
      <c r="N1362" t="s">
        <v>10698</v>
      </c>
      <c r="P1362" t="s">
        <v>10751</v>
      </c>
      <c r="Q1362" t="s">
        <v>10761</v>
      </c>
      <c r="R1362" t="s">
        <v>10821</v>
      </c>
      <c r="S1362" t="s">
        <v>10821</v>
      </c>
      <c r="T1362">
        <v>21660</v>
      </c>
      <c r="U1362">
        <v>1805</v>
      </c>
      <c r="V1362">
        <v>50</v>
      </c>
      <c r="W1362">
        <v>3</v>
      </c>
      <c r="X1362">
        <v>2</v>
      </c>
      <c r="Y1362" t="s">
        <v>10836</v>
      </c>
      <c r="Z1362">
        <v>71.79000000000001</v>
      </c>
      <c r="AA1362">
        <v>40.638942</v>
      </c>
      <c r="AB1362">
        <v>-73.946772</v>
      </c>
      <c r="AD1362" t="s">
        <v>10839</v>
      </c>
      <c r="AG1362" t="s">
        <v>10858</v>
      </c>
      <c r="AH1362" t="s">
        <v>10868</v>
      </c>
      <c r="AI1362">
        <v>239</v>
      </c>
      <c r="AJ1362" t="s">
        <v>10213</v>
      </c>
      <c r="AK1362" t="s">
        <v>10838</v>
      </c>
      <c r="AL1362">
        <v>5.25</v>
      </c>
      <c r="AM1362" t="s">
        <v>10888</v>
      </c>
      <c r="AN1362" t="s">
        <v>10932</v>
      </c>
      <c r="AO1362" t="s">
        <v>11008</v>
      </c>
      <c r="AP1362" t="s">
        <v>11065</v>
      </c>
      <c r="AR1362" t="s">
        <v>11412</v>
      </c>
      <c r="AS1362" t="s">
        <v>11595</v>
      </c>
      <c r="AT1362" t="s">
        <v>11641</v>
      </c>
      <c r="AX1362" t="s">
        <v>10838</v>
      </c>
      <c r="AY1362" t="s">
        <v>10836</v>
      </c>
      <c r="AZ1362" t="s">
        <v>11682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</row>
    <row r="1363" spans="1:59">
      <c r="A1363" s="1">
        <f>HYPERLINK("https://lsnyc.legalserver.org/matter/dynamic-profile/view/1905198","19-1905198")</f>
        <v>0</v>
      </c>
      <c r="B1363" t="s">
        <v>1235</v>
      </c>
      <c r="C1363" t="s">
        <v>6071</v>
      </c>
      <c r="D1363" t="s">
        <v>9997</v>
      </c>
      <c r="E1363" t="s">
        <v>10075</v>
      </c>
      <c r="F1363">
        <v>11414</v>
      </c>
      <c r="G1363" t="s">
        <v>10092</v>
      </c>
      <c r="H1363" t="s">
        <v>10130</v>
      </c>
      <c r="I1363" t="s">
        <v>10168</v>
      </c>
      <c r="J1363" t="s">
        <v>10212</v>
      </c>
      <c r="K1363" t="s">
        <v>10217</v>
      </c>
      <c r="M1363" t="s">
        <v>10260</v>
      </c>
      <c r="N1363" t="s">
        <v>10665</v>
      </c>
      <c r="P1363" t="s">
        <v>10751</v>
      </c>
      <c r="Q1363" t="s">
        <v>10773</v>
      </c>
      <c r="R1363" t="s">
        <v>10820</v>
      </c>
      <c r="T1363">
        <v>105280</v>
      </c>
      <c r="U1363">
        <v>8773.33</v>
      </c>
      <c r="V1363">
        <v>58</v>
      </c>
      <c r="W1363">
        <v>5</v>
      </c>
      <c r="X1363">
        <v>0</v>
      </c>
      <c r="Z1363">
        <v>348.96</v>
      </c>
      <c r="AA1363">
        <v>40.669347</v>
      </c>
      <c r="AB1363">
        <v>-73.8527</v>
      </c>
      <c r="AD1363" t="s">
        <v>10839</v>
      </c>
      <c r="AG1363" t="s">
        <v>10858</v>
      </c>
      <c r="AH1363" t="s">
        <v>10871</v>
      </c>
      <c r="AI1363">
        <v>234</v>
      </c>
      <c r="AJ1363" t="s">
        <v>10214</v>
      </c>
      <c r="AL1363">
        <v>3.25</v>
      </c>
      <c r="AM1363" t="s">
        <v>10889</v>
      </c>
      <c r="AN1363" t="s">
        <v>10958</v>
      </c>
      <c r="AO1363" t="s">
        <v>11024</v>
      </c>
      <c r="AP1363" t="s">
        <v>11088</v>
      </c>
      <c r="AR1363" t="s">
        <v>11332</v>
      </c>
      <c r="AS1363" t="s">
        <v>11594</v>
      </c>
      <c r="AT1363" t="s">
        <v>11641</v>
      </c>
      <c r="AX1363" t="s">
        <v>10838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</row>
    <row r="1364" spans="1:59">
      <c r="A1364" s="1">
        <f>HYPERLINK("https://lsnyc.legalserver.org/matter/dynamic-profile/view/1905199","19-1905199")</f>
        <v>0</v>
      </c>
      <c r="B1364" t="s">
        <v>1236</v>
      </c>
      <c r="C1364" t="s">
        <v>6072</v>
      </c>
      <c r="D1364" t="s">
        <v>9928</v>
      </c>
      <c r="E1364" t="s">
        <v>10075</v>
      </c>
      <c r="F1364">
        <v>11231</v>
      </c>
      <c r="G1364" t="s">
        <v>10091</v>
      </c>
      <c r="H1364" t="s">
        <v>10130</v>
      </c>
      <c r="I1364" t="s">
        <v>10168</v>
      </c>
      <c r="J1364" t="s">
        <v>10211</v>
      </c>
      <c r="K1364" t="s">
        <v>10217</v>
      </c>
      <c r="M1364" t="s">
        <v>10307</v>
      </c>
      <c r="N1364" t="s">
        <v>10671</v>
      </c>
      <c r="P1364" t="s">
        <v>10752</v>
      </c>
      <c r="Q1364" t="s">
        <v>10762</v>
      </c>
      <c r="R1364" t="s">
        <v>10820</v>
      </c>
      <c r="T1364">
        <v>0</v>
      </c>
      <c r="U1364">
        <v>0</v>
      </c>
      <c r="V1364">
        <v>40</v>
      </c>
      <c r="W1364">
        <v>1</v>
      </c>
      <c r="X1364">
        <v>0</v>
      </c>
      <c r="Z1364">
        <v>0</v>
      </c>
      <c r="AA1364">
        <v>40.676735</v>
      </c>
      <c r="AB1364">
        <v>-74.012394</v>
      </c>
      <c r="AD1364" t="s">
        <v>10839</v>
      </c>
      <c r="AG1364" t="s">
        <v>10858</v>
      </c>
      <c r="AH1364" t="s">
        <v>10861</v>
      </c>
      <c r="AI1364">
        <v>234</v>
      </c>
      <c r="AJ1364" t="s">
        <v>10214</v>
      </c>
      <c r="AL1364">
        <v>1</v>
      </c>
      <c r="AM1364" t="s">
        <v>10886</v>
      </c>
      <c r="AN1364" t="s">
        <v>10921</v>
      </c>
      <c r="AO1364" t="s">
        <v>11007</v>
      </c>
      <c r="AP1364" t="s">
        <v>11069</v>
      </c>
      <c r="AR1364" t="s">
        <v>11267</v>
      </c>
      <c r="AS1364" t="s">
        <v>11595</v>
      </c>
      <c r="AT1364" t="s">
        <v>11641</v>
      </c>
      <c r="AX1364" t="s">
        <v>10838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</row>
    <row r="1365" spans="1:59">
      <c r="A1365" s="1">
        <f>HYPERLINK("https://lsnyc.legalserver.org/matter/dynamic-profile/view/1905201","19-1905201")</f>
        <v>0</v>
      </c>
      <c r="B1365" t="s">
        <v>1237</v>
      </c>
      <c r="C1365" t="s">
        <v>5601</v>
      </c>
      <c r="D1365" t="s">
        <v>9926</v>
      </c>
      <c r="E1365" t="s">
        <v>10075</v>
      </c>
      <c r="F1365">
        <v>10453</v>
      </c>
      <c r="G1365" t="s">
        <v>10090</v>
      </c>
      <c r="H1365" t="s">
        <v>10130</v>
      </c>
      <c r="I1365" t="s">
        <v>10168</v>
      </c>
      <c r="J1365" t="s">
        <v>10210</v>
      </c>
      <c r="K1365" t="s">
        <v>10217</v>
      </c>
      <c r="M1365" t="s">
        <v>10463</v>
      </c>
      <c r="N1365" t="s">
        <v>10650</v>
      </c>
      <c r="P1365" t="s">
        <v>10749</v>
      </c>
      <c r="Q1365" t="s">
        <v>10765</v>
      </c>
      <c r="R1365" t="s">
        <v>10824</v>
      </c>
      <c r="T1365">
        <v>34392</v>
      </c>
      <c r="U1365">
        <v>2866</v>
      </c>
      <c r="V1365">
        <v>74</v>
      </c>
      <c r="W1365">
        <v>2</v>
      </c>
      <c r="X1365">
        <v>4</v>
      </c>
      <c r="Z1365">
        <v>99.43000000000001</v>
      </c>
      <c r="AA1365">
        <v>40.846849</v>
      </c>
      <c r="AB1365">
        <v>-73.90953500000001</v>
      </c>
      <c r="AD1365" t="s">
        <v>10840</v>
      </c>
      <c r="AG1365" t="s">
        <v>10858</v>
      </c>
      <c r="AH1365" t="s">
        <v>10862</v>
      </c>
      <c r="AI1365">
        <v>230</v>
      </c>
      <c r="AJ1365" t="s">
        <v>10210</v>
      </c>
      <c r="AL1365">
        <v>0</v>
      </c>
      <c r="AM1365" t="s">
        <v>10884</v>
      </c>
      <c r="AN1365" t="s">
        <v>10931</v>
      </c>
      <c r="AO1365" t="s">
        <v>11000</v>
      </c>
      <c r="AP1365" t="s">
        <v>11045</v>
      </c>
      <c r="AR1365" t="s">
        <v>11413</v>
      </c>
      <c r="AS1365" t="s">
        <v>9926</v>
      </c>
      <c r="BA1365" t="s">
        <v>11739</v>
      </c>
      <c r="BB1365">
        <v>0</v>
      </c>
      <c r="BC1365">
        <v>0</v>
      </c>
      <c r="BD1365">
        <v>0</v>
      </c>
      <c r="BE1365">
        <v>0</v>
      </c>
      <c r="BF1365">
        <v>4</v>
      </c>
      <c r="BG1365">
        <v>0</v>
      </c>
    </row>
    <row r="1366" spans="1:59">
      <c r="A1366" s="1">
        <f>HYPERLINK("https://lsnyc.legalserver.org/matter/dynamic-profile/view/1905202","19-1905202")</f>
        <v>0</v>
      </c>
      <c r="B1366" t="s">
        <v>1238</v>
      </c>
      <c r="C1366" t="s">
        <v>6073</v>
      </c>
      <c r="D1366" t="s">
        <v>9983</v>
      </c>
      <c r="E1366" t="s">
        <v>10075</v>
      </c>
      <c r="F1366">
        <v>11694</v>
      </c>
      <c r="G1366" t="s">
        <v>10092</v>
      </c>
      <c r="H1366" t="s">
        <v>10130</v>
      </c>
      <c r="I1366" t="s">
        <v>10168</v>
      </c>
      <c r="J1366" t="s">
        <v>10212</v>
      </c>
      <c r="K1366" t="s">
        <v>10217</v>
      </c>
      <c r="M1366" t="s">
        <v>10331</v>
      </c>
      <c r="N1366" t="s">
        <v>10675</v>
      </c>
      <c r="P1366" t="s">
        <v>10754</v>
      </c>
      <c r="Q1366" t="s">
        <v>10775</v>
      </c>
      <c r="R1366" t="s">
        <v>10820</v>
      </c>
      <c r="T1366">
        <v>2196</v>
      </c>
      <c r="U1366">
        <v>183</v>
      </c>
      <c r="V1366">
        <v>60</v>
      </c>
      <c r="W1366">
        <v>1</v>
      </c>
      <c r="X1366">
        <v>0</v>
      </c>
      <c r="Z1366">
        <v>17.58</v>
      </c>
      <c r="AA1366">
        <v>40.579257</v>
      </c>
      <c r="AB1366">
        <v>-73.834554</v>
      </c>
      <c r="AC1366" t="s">
        <v>10837</v>
      </c>
      <c r="AD1366" t="s">
        <v>10840</v>
      </c>
      <c r="AG1366" t="s">
        <v>10858</v>
      </c>
      <c r="AH1366" t="s">
        <v>10861</v>
      </c>
      <c r="AI1366">
        <v>234</v>
      </c>
      <c r="AJ1366" t="s">
        <v>10214</v>
      </c>
      <c r="AL1366">
        <v>1.6</v>
      </c>
      <c r="AM1366" t="s">
        <v>10892</v>
      </c>
      <c r="AN1366" t="s">
        <v>10958</v>
      </c>
      <c r="AO1366" t="s">
        <v>11024</v>
      </c>
      <c r="AP1366" t="s">
        <v>11088</v>
      </c>
      <c r="AR1366" t="s">
        <v>11255</v>
      </c>
      <c r="AS1366" t="s">
        <v>9925</v>
      </c>
      <c r="AT1366" t="s">
        <v>11642</v>
      </c>
      <c r="AX1366" t="s">
        <v>10838</v>
      </c>
      <c r="BA1366" t="s">
        <v>11742</v>
      </c>
      <c r="BB1366">
        <v>0</v>
      </c>
      <c r="BC1366">
        <v>0</v>
      </c>
      <c r="BD1366">
        <v>0</v>
      </c>
      <c r="BE1366">
        <v>0</v>
      </c>
      <c r="BF1366">
        <v>7</v>
      </c>
      <c r="BG1366">
        <v>0</v>
      </c>
    </row>
    <row r="1367" spans="1:59">
      <c r="A1367" s="1">
        <f>HYPERLINK("https://lsnyc.legalserver.org/matter/dynamic-profile/view/1905203","19-1905203")</f>
        <v>0</v>
      </c>
      <c r="B1367" t="s">
        <v>1239</v>
      </c>
      <c r="C1367" t="s">
        <v>5601</v>
      </c>
      <c r="D1367" t="s">
        <v>9926</v>
      </c>
      <c r="E1367" t="s">
        <v>10075</v>
      </c>
      <c r="F1367">
        <v>10453</v>
      </c>
      <c r="G1367" t="s">
        <v>10090</v>
      </c>
      <c r="H1367" t="s">
        <v>10130</v>
      </c>
      <c r="I1367" t="s">
        <v>10168</v>
      </c>
      <c r="J1367" t="s">
        <v>10210</v>
      </c>
      <c r="K1367" t="s">
        <v>10217</v>
      </c>
      <c r="M1367" t="s">
        <v>10463</v>
      </c>
      <c r="N1367" t="s">
        <v>10650</v>
      </c>
      <c r="P1367" t="s">
        <v>10749</v>
      </c>
      <c r="Q1367" t="s">
        <v>10765</v>
      </c>
      <c r="R1367" t="s">
        <v>10824</v>
      </c>
      <c r="T1367">
        <v>32760</v>
      </c>
      <c r="U1367">
        <v>2730</v>
      </c>
      <c r="V1367">
        <v>45</v>
      </c>
      <c r="W1367">
        <v>1</v>
      </c>
      <c r="X1367">
        <v>0</v>
      </c>
      <c r="Z1367">
        <v>262.29</v>
      </c>
      <c r="AA1367">
        <v>40.846849</v>
      </c>
      <c r="AB1367">
        <v>-73.90953500000001</v>
      </c>
      <c r="AD1367" t="s">
        <v>10839</v>
      </c>
      <c r="AF1367" t="s">
        <v>10843</v>
      </c>
      <c r="AG1367" t="s">
        <v>10859</v>
      </c>
      <c r="AH1367" t="s">
        <v>10862</v>
      </c>
      <c r="AI1367">
        <v>230</v>
      </c>
      <c r="AJ1367" t="s">
        <v>10210</v>
      </c>
      <c r="AL1367">
        <v>0</v>
      </c>
      <c r="AM1367" t="s">
        <v>10884</v>
      </c>
      <c r="AN1367" t="s">
        <v>10931</v>
      </c>
      <c r="AO1367" t="s">
        <v>11000</v>
      </c>
      <c r="AP1367" t="s">
        <v>11045</v>
      </c>
      <c r="AR1367" t="s">
        <v>11328</v>
      </c>
      <c r="AS1367" t="s">
        <v>9926</v>
      </c>
      <c r="AT1367" t="s">
        <v>11641</v>
      </c>
      <c r="BA1367" t="s">
        <v>11739</v>
      </c>
      <c r="BB1367">
        <v>0</v>
      </c>
      <c r="BC1367">
        <v>0</v>
      </c>
      <c r="BD1367">
        <v>0</v>
      </c>
      <c r="BE1367">
        <v>0</v>
      </c>
      <c r="BF1367">
        <v>4</v>
      </c>
      <c r="BG1367">
        <v>0</v>
      </c>
    </row>
    <row r="1368" spans="1:59">
      <c r="A1368" s="1">
        <f>HYPERLINK("https://lsnyc.legalserver.org/matter/dynamic-profile/view/1905204","19-1905204")</f>
        <v>0</v>
      </c>
      <c r="B1368" t="s">
        <v>1240</v>
      </c>
      <c r="C1368" t="s">
        <v>6074</v>
      </c>
      <c r="D1368" t="s">
        <v>9939</v>
      </c>
      <c r="E1368" t="s">
        <v>10075</v>
      </c>
      <c r="F1368">
        <v>11419</v>
      </c>
      <c r="G1368" t="s">
        <v>10092</v>
      </c>
      <c r="H1368" t="s">
        <v>10130</v>
      </c>
      <c r="I1368" t="s">
        <v>10168</v>
      </c>
      <c r="J1368" t="s">
        <v>10212</v>
      </c>
      <c r="K1368" t="s">
        <v>10217</v>
      </c>
      <c r="M1368" t="s">
        <v>10311</v>
      </c>
      <c r="N1368" t="s">
        <v>10684</v>
      </c>
      <c r="P1368" t="s">
        <v>10751</v>
      </c>
      <c r="Q1368" t="s">
        <v>10786</v>
      </c>
      <c r="R1368" t="s">
        <v>10827</v>
      </c>
      <c r="T1368">
        <v>10575.96</v>
      </c>
      <c r="U1368">
        <v>881.33</v>
      </c>
      <c r="V1368">
        <v>72</v>
      </c>
      <c r="W1368">
        <v>1</v>
      </c>
      <c r="X1368">
        <v>0</v>
      </c>
      <c r="Z1368">
        <v>84.68000000000001</v>
      </c>
      <c r="AA1368">
        <v>40.688508</v>
      </c>
      <c r="AB1368">
        <v>-73.83483200000001</v>
      </c>
      <c r="AD1368" t="s">
        <v>10840</v>
      </c>
      <c r="AF1368" t="s">
        <v>10843</v>
      </c>
      <c r="AG1368" t="s">
        <v>10859</v>
      </c>
      <c r="AH1368" t="s">
        <v>10873</v>
      </c>
      <c r="AI1368">
        <v>237</v>
      </c>
      <c r="AJ1368" t="s">
        <v>10212</v>
      </c>
      <c r="AL1368">
        <v>3.25</v>
      </c>
      <c r="AM1368" t="s">
        <v>10892</v>
      </c>
      <c r="AN1368" t="s">
        <v>10945</v>
      </c>
      <c r="AO1368" t="s">
        <v>11017</v>
      </c>
      <c r="AP1368" t="s">
        <v>11070</v>
      </c>
      <c r="AR1368" t="s">
        <v>11379</v>
      </c>
      <c r="AS1368" t="s">
        <v>11594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</row>
    <row r="1369" spans="1:59">
      <c r="A1369" s="1">
        <f>HYPERLINK("https://lsnyc.legalserver.org/matter/dynamic-profile/view/1905205","19-1905205")</f>
        <v>0</v>
      </c>
      <c r="B1369" t="s">
        <v>1237</v>
      </c>
      <c r="C1369" t="s">
        <v>5601</v>
      </c>
      <c r="D1369" t="s">
        <v>9926</v>
      </c>
      <c r="E1369" t="s">
        <v>10075</v>
      </c>
      <c r="F1369">
        <v>10453</v>
      </c>
      <c r="G1369" t="s">
        <v>10090</v>
      </c>
      <c r="H1369" t="s">
        <v>10130</v>
      </c>
      <c r="I1369" t="s">
        <v>10168</v>
      </c>
      <c r="J1369" t="s">
        <v>10210</v>
      </c>
      <c r="K1369" t="s">
        <v>10217</v>
      </c>
      <c r="M1369" t="s">
        <v>10463</v>
      </c>
      <c r="N1369" t="s">
        <v>10650</v>
      </c>
      <c r="P1369" t="s">
        <v>10749</v>
      </c>
      <c r="Q1369" t="s">
        <v>10765</v>
      </c>
      <c r="R1369" t="s">
        <v>10824</v>
      </c>
      <c r="T1369">
        <v>34392</v>
      </c>
      <c r="U1369">
        <v>2866</v>
      </c>
      <c r="V1369">
        <v>74</v>
      </c>
      <c r="W1369">
        <v>2</v>
      </c>
      <c r="X1369">
        <v>4</v>
      </c>
      <c r="Z1369">
        <v>99.43000000000001</v>
      </c>
      <c r="AA1369">
        <v>40.846849</v>
      </c>
      <c r="AB1369">
        <v>-73.90953500000001</v>
      </c>
      <c r="AD1369" t="s">
        <v>10840</v>
      </c>
      <c r="AG1369" t="s">
        <v>10858</v>
      </c>
      <c r="AH1369" t="s">
        <v>10862</v>
      </c>
      <c r="AI1369">
        <v>230</v>
      </c>
      <c r="AJ1369" t="s">
        <v>10210</v>
      </c>
      <c r="AL1369">
        <v>0.1</v>
      </c>
      <c r="AM1369" t="s">
        <v>10884</v>
      </c>
      <c r="AN1369" t="s">
        <v>10931</v>
      </c>
      <c r="AO1369" t="s">
        <v>11000</v>
      </c>
      <c r="AP1369" t="s">
        <v>11045</v>
      </c>
      <c r="AR1369" t="s">
        <v>11413</v>
      </c>
      <c r="AS1369" t="s">
        <v>9926</v>
      </c>
      <c r="BA1369" t="s">
        <v>11739</v>
      </c>
      <c r="BB1369">
        <v>0</v>
      </c>
      <c r="BC1369">
        <v>0</v>
      </c>
      <c r="BD1369">
        <v>0</v>
      </c>
      <c r="BE1369">
        <v>0</v>
      </c>
      <c r="BF1369">
        <v>4</v>
      </c>
      <c r="BG1369">
        <v>0</v>
      </c>
    </row>
    <row r="1370" spans="1:59">
      <c r="A1370" s="1">
        <f>HYPERLINK("https://lsnyc.legalserver.org/matter/dynamic-profile/view/1905206","19-1905206")</f>
        <v>0</v>
      </c>
      <c r="B1370" t="s">
        <v>1241</v>
      </c>
      <c r="C1370" t="s">
        <v>5601</v>
      </c>
      <c r="D1370" t="s">
        <v>9926</v>
      </c>
      <c r="E1370" t="s">
        <v>10075</v>
      </c>
      <c r="F1370">
        <v>10453</v>
      </c>
      <c r="G1370" t="s">
        <v>10090</v>
      </c>
      <c r="H1370" t="s">
        <v>10130</v>
      </c>
      <c r="I1370" t="s">
        <v>10169</v>
      </c>
      <c r="J1370" t="s">
        <v>10210</v>
      </c>
      <c r="K1370" t="s">
        <v>10217</v>
      </c>
      <c r="M1370" t="s">
        <v>10463</v>
      </c>
      <c r="N1370" t="s">
        <v>10650</v>
      </c>
      <c r="P1370" t="s">
        <v>10749</v>
      </c>
      <c r="Q1370" t="s">
        <v>10765</v>
      </c>
      <c r="R1370" t="s">
        <v>10821</v>
      </c>
      <c r="T1370">
        <v>0</v>
      </c>
      <c r="U1370">
        <v>0</v>
      </c>
      <c r="V1370">
        <v>60</v>
      </c>
      <c r="W1370">
        <v>2</v>
      </c>
      <c r="X1370">
        <v>2</v>
      </c>
      <c r="Z1370">
        <v>0</v>
      </c>
      <c r="AA1370">
        <v>40.846849</v>
      </c>
      <c r="AB1370">
        <v>-73.90953500000001</v>
      </c>
      <c r="AD1370" t="s">
        <v>10839</v>
      </c>
      <c r="AF1370" t="s">
        <v>10843</v>
      </c>
      <c r="AG1370" t="s">
        <v>10859</v>
      </c>
      <c r="AH1370" t="s">
        <v>10862</v>
      </c>
      <c r="AI1370">
        <v>230</v>
      </c>
      <c r="AJ1370" t="s">
        <v>10210</v>
      </c>
      <c r="AL1370">
        <v>0</v>
      </c>
      <c r="AM1370" t="s">
        <v>10884</v>
      </c>
      <c r="AN1370" t="s">
        <v>10931</v>
      </c>
      <c r="AO1370" t="s">
        <v>11000</v>
      </c>
      <c r="AP1370" t="s">
        <v>11045</v>
      </c>
      <c r="AR1370" t="s">
        <v>11267</v>
      </c>
      <c r="AS1370" t="s">
        <v>9926</v>
      </c>
      <c r="BA1370" t="s">
        <v>11739</v>
      </c>
      <c r="BB1370">
        <v>0</v>
      </c>
      <c r="BC1370">
        <v>0</v>
      </c>
      <c r="BD1370">
        <v>0</v>
      </c>
      <c r="BE1370">
        <v>0</v>
      </c>
      <c r="BF1370">
        <v>4</v>
      </c>
      <c r="BG1370">
        <v>0</v>
      </c>
    </row>
    <row r="1371" spans="1:59">
      <c r="A1371" s="1">
        <f>HYPERLINK("https://lsnyc.legalserver.org/matter/dynamic-profile/view/1905207","19-1905207")</f>
        <v>0</v>
      </c>
      <c r="B1371" t="s">
        <v>1242</v>
      </c>
      <c r="C1371" t="s">
        <v>6075</v>
      </c>
      <c r="D1371" t="s">
        <v>9988</v>
      </c>
      <c r="E1371" t="s">
        <v>10075</v>
      </c>
      <c r="F1371">
        <v>11693</v>
      </c>
      <c r="G1371" t="s">
        <v>10092</v>
      </c>
      <c r="H1371" t="s">
        <v>10130</v>
      </c>
      <c r="I1371" t="s">
        <v>10168</v>
      </c>
      <c r="J1371" t="s">
        <v>10212</v>
      </c>
      <c r="K1371" t="s">
        <v>10218</v>
      </c>
      <c r="L1371" t="s">
        <v>10130</v>
      </c>
      <c r="M1371" t="s">
        <v>10360</v>
      </c>
      <c r="N1371" t="s">
        <v>10695</v>
      </c>
      <c r="P1371" t="s">
        <v>10749</v>
      </c>
      <c r="Q1371" t="s">
        <v>10767</v>
      </c>
      <c r="R1371" t="s">
        <v>10824</v>
      </c>
      <c r="T1371">
        <v>10504</v>
      </c>
      <c r="U1371">
        <v>875.33</v>
      </c>
      <c r="V1371">
        <v>29</v>
      </c>
      <c r="W1371">
        <v>2</v>
      </c>
      <c r="X1371">
        <v>5</v>
      </c>
      <c r="Y1371" t="s">
        <v>10829</v>
      </c>
      <c r="Z1371">
        <v>26.93</v>
      </c>
      <c r="AA1371">
        <v>40.588532</v>
      </c>
      <c r="AB1371">
        <v>-73.80878</v>
      </c>
      <c r="AD1371" t="s">
        <v>10839</v>
      </c>
      <c r="AG1371" t="s">
        <v>10858</v>
      </c>
      <c r="AH1371" t="s">
        <v>10862</v>
      </c>
      <c r="AI1371">
        <v>237</v>
      </c>
      <c r="AJ1371" t="s">
        <v>10212</v>
      </c>
      <c r="AK1371" t="s">
        <v>10838</v>
      </c>
      <c r="AL1371">
        <v>1.5</v>
      </c>
      <c r="AM1371" t="s">
        <v>10892</v>
      </c>
      <c r="AN1371" t="s">
        <v>10930</v>
      </c>
      <c r="AO1371" t="s">
        <v>11017</v>
      </c>
      <c r="AP1371" t="s">
        <v>11082</v>
      </c>
      <c r="AR1371" t="s">
        <v>11293</v>
      </c>
      <c r="AS1371" t="s">
        <v>11594</v>
      </c>
      <c r="AY1371" t="s">
        <v>10829</v>
      </c>
      <c r="AZ1371" t="s">
        <v>11681</v>
      </c>
      <c r="BA1371" t="s">
        <v>11741</v>
      </c>
      <c r="BB1371">
        <v>0</v>
      </c>
      <c r="BC1371">
        <v>0</v>
      </c>
      <c r="BD1371">
        <v>0</v>
      </c>
      <c r="BE1371">
        <v>0</v>
      </c>
      <c r="BF1371">
        <v>1</v>
      </c>
      <c r="BG1371">
        <v>0</v>
      </c>
    </row>
    <row r="1372" spans="1:59">
      <c r="A1372" s="1">
        <f>HYPERLINK("https://lsnyc.legalserver.org/matter/dynamic-profile/view/1905208","19-1905208")</f>
        <v>0</v>
      </c>
      <c r="B1372" t="s">
        <v>1239</v>
      </c>
      <c r="C1372" t="s">
        <v>5601</v>
      </c>
      <c r="D1372" t="s">
        <v>9926</v>
      </c>
      <c r="E1372" t="s">
        <v>10075</v>
      </c>
      <c r="F1372">
        <v>10453</v>
      </c>
      <c r="G1372" t="s">
        <v>10090</v>
      </c>
      <c r="H1372" t="s">
        <v>10130</v>
      </c>
      <c r="I1372" t="s">
        <v>10168</v>
      </c>
      <c r="J1372" t="s">
        <v>10210</v>
      </c>
      <c r="K1372" t="s">
        <v>10217</v>
      </c>
      <c r="M1372" t="s">
        <v>10463</v>
      </c>
      <c r="N1372" t="s">
        <v>10650</v>
      </c>
      <c r="P1372" t="s">
        <v>10749</v>
      </c>
      <c r="Q1372" t="s">
        <v>10765</v>
      </c>
      <c r="R1372" t="s">
        <v>10824</v>
      </c>
      <c r="T1372">
        <v>32760</v>
      </c>
      <c r="U1372">
        <v>2730</v>
      </c>
      <c r="V1372">
        <v>45</v>
      </c>
      <c r="W1372">
        <v>1</v>
      </c>
      <c r="X1372">
        <v>0</v>
      </c>
      <c r="Z1372">
        <v>262.29</v>
      </c>
      <c r="AA1372">
        <v>40.846849</v>
      </c>
      <c r="AB1372">
        <v>-73.90953500000001</v>
      </c>
      <c r="AD1372" t="s">
        <v>10839</v>
      </c>
      <c r="AF1372" t="s">
        <v>10843</v>
      </c>
      <c r="AG1372" t="s">
        <v>10859</v>
      </c>
      <c r="AH1372" t="s">
        <v>10862</v>
      </c>
      <c r="AI1372">
        <v>230</v>
      </c>
      <c r="AJ1372" t="s">
        <v>10210</v>
      </c>
      <c r="AL1372">
        <v>0</v>
      </c>
      <c r="AM1372" t="s">
        <v>10884</v>
      </c>
      <c r="AN1372" t="s">
        <v>10931</v>
      </c>
      <c r="AO1372" t="s">
        <v>11000</v>
      </c>
      <c r="AP1372" t="s">
        <v>11045</v>
      </c>
      <c r="AR1372" t="s">
        <v>11328</v>
      </c>
      <c r="AS1372" t="s">
        <v>9926</v>
      </c>
      <c r="AT1372" t="s">
        <v>11641</v>
      </c>
      <c r="BA1372" t="s">
        <v>11739</v>
      </c>
      <c r="BB1372">
        <v>0</v>
      </c>
      <c r="BC1372">
        <v>0</v>
      </c>
      <c r="BD1372">
        <v>0</v>
      </c>
      <c r="BE1372">
        <v>0</v>
      </c>
      <c r="BF1372">
        <v>4</v>
      </c>
      <c r="BG1372">
        <v>0</v>
      </c>
    </row>
    <row r="1373" spans="1:59">
      <c r="A1373" s="1">
        <f>HYPERLINK("https://lsnyc.legalserver.org/matter/dynamic-profile/view/1905209","19-1905209")</f>
        <v>0</v>
      </c>
      <c r="B1373" t="s">
        <v>1243</v>
      </c>
      <c r="C1373" t="s">
        <v>5528</v>
      </c>
      <c r="D1373" t="s">
        <v>9929</v>
      </c>
      <c r="E1373" t="s">
        <v>10075</v>
      </c>
      <c r="F1373">
        <v>10301</v>
      </c>
      <c r="G1373" t="s">
        <v>10088</v>
      </c>
      <c r="H1373" t="s">
        <v>10102</v>
      </c>
      <c r="I1373" t="s">
        <v>10168</v>
      </c>
      <c r="J1373" t="s">
        <v>10208</v>
      </c>
      <c r="K1373" t="s">
        <v>10217</v>
      </c>
      <c r="M1373" t="s">
        <v>10240</v>
      </c>
      <c r="N1373" t="s">
        <v>10654</v>
      </c>
      <c r="P1373" t="s">
        <v>10749</v>
      </c>
      <c r="Q1373" t="s">
        <v>10767</v>
      </c>
      <c r="R1373" t="s">
        <v>10821</v>
      </c>
      <c r="T1373">
        <v>11616</v>
      </c>
      <c r="U1373">
        <v>968</v>
      </c>
      <c r="V1373">
        <v>29</v>
      </c>
      <c r="W1373">
        <v>1</v>
      </c>
      <c r="X1373">
        <v>2</v>
      </c>
      <c r="Z1373">
        <v>54.46</v>
      </c>
      <c r="AA1373">
        <v>40.645519</v>
      </c>
      <c r="AB1373">
        <v>-74.08039100000001</v>
      </c>
      <c r="AD1373" t="s">
        <v>10839</v>
      </c>
      <c r="AG1373" t="s">
        <v>10858</v>
      </c>
      <c r="AH1373" t="s">
        <v>10862</v>
      </c>
      <c r="AI1373">
        <v>285</v>
      </c>
      <c r="AJ1373" t="s">
        <v>10208</v>
      </c>
      <c r="AL1373">
        <v>5.9</v>
      </c>
      <c r="AM1373" t="s">
        <v>10883</v>
      </c>
      <c r="AN1373" t="s">
        <v>10913</v>
      </c>
      <c r="AO1373" t="s">
        <v>11006</v>
      </c>
      <c r="AP1373" t="s">
        <v>11051</v>
      </c>
      <c r="AR1373" t="s">
        <v>11414</v>
      </c>
      <c r="AS1373" t="s">
        <v>11593</v>
      </c>
      <c r="BA1373" t="s">
        <v>11739</v>
      </c>
      <c r="BB1373">
        <v>0</v>
      </c>
      <c r="BC1373">
        <v>0</v>
      </c>
      <c r="BD1373">
        <v>0</v>
      </c>
      <c r="BE1373">
        <v>0</v>
      </c>
      <c r="BF1373">
        <v>4</v>
      </c>
      <c r="BG1373">
        <v>0</v>
      </c>
    </row>
    <row r="1374" spans="1:59">
      <c r="A1374" s="1">
        <f>HYPERLINK("https://lsnyc.legalserver.org/matter/dynamic-profile/view/1905210","19-1905210")</f>
        <v>0</v>
      </c>
      <c r="B1374" t="s">
        <v>1244</v>
      </c>
      <c r="C1374" t="s">
        <v>6076</v>
      </c>
      <c r="D1374" t="s">
        <v>9940</v>
      </c>
      <c r="E1374" t="s">
        <v>10075</v>
      </c>
      <c r="F1374">
        <v>11421</v>
      </c>
      <c r="G1374" t="s">
        <v>10092</v>
      </c>
      <c r="H1374" t="s">
        <v>10130</v>
      </c>
      <c r="I1374" t="s">
        <v>10168</v>
      </c>
      <c r="J1374" t="s">
        <v>10212</v>
      </c>
      <c r="K1374" t="s">
        <v>10217</v>
      </c>
      <c r="M1374" t="s">
        <v>10311</v>
      </c>
      <c r="N1374" t="s">
        <v>10684</v>
      </c>
      <c r="P1374" t="s">
        <v>10751</v>
      </c>
      <c r="Q1374" t="s">
        <v>10786</v>
      </c>
      <c r="R1374" t="s">
        <v>10827</v>
      </c>
      <c r="T1374">
        <v>9615.6</v>
      </c>
      <c r="U1374">
        <v>801.3</v>
      </c>
      <c r="V1374">
        <v>70</v>
      </c>
      <c r="W1374">
        <v>1</v>
      </c>
      <c r="X1374">
        <v>0</v>
      </c>
      <c r="Z1374">
        <v>76.98999999999999</v>
      </c>
      <c r="AA1374">
        <v>40.690182</v>
      </c>
      <c r="AB1374">
        <v>-73.845202</v>
      </c>
      <c r="AD1374" t="s">
        <v>10839</v>
      </c>
      <c r="AG1374" t="s">
        <v>10858</v>
      </c>
      <c r="AH1374" t="s">
        <v>10873</v>
      </c>
      <c r="AI1374">
        <v>237</v>
      </c>
      <c r="AJ1374" t="s">
        <v>10212</v>
      </c>
      <c r="AL1374">
        <v>2.25</v>
      </c>
      <c r="AM1374" t="s">
        <v>10886</v>
      </c>
      <c r="AN1374" t="s">
        <v>10945</v>
      </c>
      <c r="AO1374" t="s">
        <v>11017</v>
      </c>
      <c r="AP1374" t="s">
        <v>11088</v>
      </c>
      <c r="AR1374" t="s">
        <v>11268</v>
      </c>
      <c r="AS1374" t="s">
        <v>11594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</row>
    <row r="1375" spans="1:59">
      <c r="A1375" s="1">
        <f>HYPERLINK("https://lsnyc.legalserver.org/matter/dynamic-profile/view/1905211","19-1905211")</f>
        <v>0</v>
      </c>
      <c r="B1375" t="s">
        <v>1245</v>
      </c>
      <c r="C1375" t="s">
        <v>6077</v>
      </c>
      <c r="D1375" t="s">
        <v>9926</v>
      </c>
      <c r="E1375" t="s">
        <v>10075</v>
      </c>
      <c r="F1375">
        <v>10457</v>
      </c>
      <c r="G1375" t="s">
        <v>10090</v>
      </c>
      <c r="H1375" t="s">
        <v>10130</v>
      </c>
      <c r="I1375" t="s">
        <v>10169</v>
      </c>
      <c r="J1375" t="s">
        <v>10210</v>
      </c>
      <c r="K1375" t="s">
        <v>10217</v>
      </c>
      <c r="M1375" t="s">
        <v>10310</v>
      </c>
      <c r="N1375" t="s">
        <v>10683</v>
      </c>
      <c r="P1375" t="s">
        <v>10754</v>
      </c>
      <c r="Q1375" t="s">
        <v>10766</v>
      </c>
      <c r="R1375" t="s">
        <v>10821</v>
      </c>
      <c r="T1375">
        <v>7340</v>
      </c>
      <c r="U1375">
        <v>611.67</v>
      </c>
      <c r="V1375">
        <v>31</v>
      </c>
      <c r="W1375">
        <v>1</v>
      </c>
      <c r="X1375">
        <v>2</v>
      </c>
      <c r="Z1375">
        <v>34.41</v>
      </c>
      <c r="AA1375">
        <v>40.849724</v>
      </c>
      <c r="AB1375">
        <v>-73.89871100000001</v>
      </c>
      <c r="AD1375" t="s">
        <v>10839</v>
      </c>
      <c r="AF1375" t="s">
        <v>10842</v>
      </c>
      <c r="AG1375" t="s">
        <v>10859</v>
      </c>
      <c r="AH1375" t="s">
        <v>10865</v>
      </c>
      <c r="AI1375">
        <v>230</v>
      </c>
      <c r="AJ1375" t="s">
        <v>10210</v>
      </c>
      <c r="AL1375">
        <v>9</v>
      </c>
      <c r="AM1375" t="s">
        <v>10884</v>
      </c>
      <c r="AN1375" t="s">
        <v>10931</v>
      </c>
      <c r="AO1375" t="s">
        <v>11000</v>
      </c>
      <c r="AP1375" t="s">
        <v>11056</v>
      </c>
      <c r="AQ1375" t="s">
        <v>11112</v>
      </c>
      <c r="AR1375" t="s">
        <v>11281</v>
      </c>
      <c r="AS1375" t="s">
        <v>9926</v>
      </c>
      <c r="AT1375" t="s">
        <v>11641</v>
      </c>
      <c r="AV1375" t="s">
        <v>11656</v>
      </c>
      <c r="AW1375" t="s">
        <v>11645</v>
      </c>
      <c r="AX1375" t="s">
        <v>10838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</row>
    <row r="1376" spans="1:59">
      <c r="A1376" s="1">
        <f>HYPERLINK("https://lsnyc.legalserver.org/matter/dynamic-profile/view/1905213","19-1905213")</f>
        <v>0</v>
      </c>
      <c r="B1376" t="s">
        <v>1246</v>
      </c>
      <c r="C1376" t="s">
        <v>5223</v>
      </c>
      <c r="D1376" t="s">
        <v>9926</v>
      </c>
      <c r="E1376" t="s">
        <v>10075</v>
      </c>
      <c r="F1376">
        <v>10467</v>
      </c>
      <c r="G1376" t="s">
        <v>10090</v>
      </c>
      <c r="H1376" t="s">
        <v>10130</v>
      </c>
      <c r="I1376" t="s">
        <v>10168</v>
      </c>
      <c r="J1376" t="s">
        <v>10210</v>
      </c>
      <c r="K1376" t="s">
        <v>10217</v>
      </c>
      <c r="M1376" t="s">
        <v>10534</v>
      </c>
      <c r="N1376" t="s">
        <v>10651</v>
      </c>
      <c r="P1376" t="s">
        <v>10749</v>
      </c>
      <c r="Q1376" t="s">
        <v>10765</v>
      </c>
      <c r="R1376" t="s">
        <v>10822</v>
      </c>
      <c r="T1376">
        <v>9060</v>
      </c>
      <c r="U1376">
        <v>755</v>
      </c>
      <c r="V1376">
        <v>59</v>
      </c>
      <c r="W1376">
        <v>2</v>
      </c>
      <c r="X1376">
        <v>2</v>
      </c>
      <c r="Z1376">
        <v>35.18</v>
      </c>
      <c r="AA1376">
        <v>40.879565</v>
      </c>
      <c r="AB1376">
        <v>-73.87673100000001</v>
      </c>
      <c r="AD1376" t="s">
        <v>10839</v>
      </c>
      <c r="AG1376" t="s">
        <v>10858</v>
      </c>
      <c r="AH1376" t="s">
        <v>10862</v>
      </c>
      <c r="AI1376">
        <v>231</v>
      </c>
      <c r="AJ1376" t="s">
        <v>10215</v>
      </c>
      <c r="AL1376">
        <v>15.9</v>
      </c>
      <c r="AM1376" t="s">
        <v>10887</v>
      </c>
      <c r="AN1376" t="s">
        <v>10919</v>
      </c>
      <c r="AO1376" t="s">
        <v>11010</v>
      </c>
      <c r="AP1376" t="s">
        <v>11057</v>
      </c>
      <c r="AR1376" t="s">
        <v>11268</v>
      </c>
      <c r="AS1376" t="s">
        <v>9926</v>
      </c>
      <c r="AT1376" t="s">
        <v>11641</v>
      </c>
      <c r="BA1376" t="s">
        <v>11738</v>
      </c>
      <c r="BB1376">
        <v>0</v>
      </c>
      <c r="BC1376">
        <v>0</v>
      </c>
      <c r="BD1376">
        <v>0</v>
      </c>
      <c r="BE1376">
        <v>0</v>
      </c>
      <c r="BF1376">
        <v>5</v>
      </c>
      <c r="BG1376">
        <v>0</v>
      </c>
    </row>
    <row r="1377" spans="1:59">
      <c r="A1377" s="1">
        <f>HYPERLINK("https://lsnyc.legalserver.org/matter/dynamic-profile/view/1905214","19-1905214")</f>
        <v>0</v>
      </c>
      <c r="B1377" t="s">
        <v>1247</v>
      </c>
      <c r="C1377" t="s">
        <v>6078</v>
      </c>
      <c r="D1377" t="s">
        <v>9931</v>
      </c>
      <c r="E1377" t="s">
        <v>10075</v>
      </c>
      <c r="F1377">
        <v>11373</v>
      </c>
      <c r="G1377" t="s">
        <v>10093</v>
      </c>
      <c r="H1377" t="s">
        <v>10128</v>
      </c>
      <c r="I1377" t="s">
        <v>10169</v>
      </c>
      <c r="J1377" t="s">
        <v>10213</v>
      </c>
      <c r="K1377" t="s">
        <v>10218</v>
      </c>
      <c r="L1377" t="s">
        <v>10149</v>
      </c>
      <c r="M1377" t="s">
        <v>10363</v>
      </c>
      <c r="N1377" t="s">
        <v>10646</v>
      </c>
      <c r="P1377" t="s">
        <v>10749</v>
      </c>
      <c r="Q1377" t="s">
        <v>10765</v>
      </c>
      <c r="R1377" t="s">
        <v>10823</v>
      </c>
      <c r="T1377">
        <v>52000</v>
      </c>
      <c r="U1377">
        <v>4333.33</v>
      </c>
      <c r="V1377">
        <v>66</v>
      </c>
      <c r="W1377">
        <v>3</v>
      </c>
      <c r="X1377">
        <v>0</v>
      </c>
      <c r="Y1377" t="s">
        <v>10829</v>
      </c>
      <c r="Z1377">
        <v>243.79</v>
      </c>
      <c r="AA1377">
        <v>40.746485</v>
      </c>
      <c r="AB1377">
        <v>-73.87718700000001</v>
      </c>
      <c r="AD1377" t="s">
        <v>10840</v>
      </c>
      <c r="AG1377" t="s">
        <v>10858</v>
      </c>
      <c r="AH1377" t="s">
        <v>10868</v>
      </c>
      <c r="AI1377">
        <v>239</v>
      </c>
      <c r="AJ1377" t="s">
        <v>10213</v>
      </c>
      <c r="AK1377" t="s">
        <v>10838</v>
      </c>
      <c r="AL1377">
        <v>1.8</v>
      </c>
      <c r="AM1377" t="s">
        <v>10885</v>
      </c>
      <c r="AN1377" t="s">
        <v>10949</v>
      </c>
      <c r="AO1377" t="s">
        <v>11014</v>
      </c>
      <c r="AP1377" t="s">
        <v>11053</v>
      </c>
      <c r="AR1377" t="s">
        <v>11257</v>
      </c>
      <c r="AS1377" t="s">
        <v>11594</v>
      </c>
      <c r="AT1377" t="s">
        <v>11642</v>
      </c>
      <c r="AX1377" t="s">
        <v>10837</v>
      </c>
      <c r="AY1377" t="s">
        <v>10829</v>
      </c>
      <c r="AZ1377" t="s">
        <v>11681</v>
      </c>
      <c r="BA1377" t="s">
        <v>11741</v>
      </c>
      <c r="BB1377">
        <v>0</v>
      </c>
      <c r="BC1377">
        <v>0</v>
      </c>
      <c r="BD1377">
        <v>0</v>
      </c>
      <c r="BE1377">
        <v>0</v>
      </c>
      <c r="BF1377">
        <v>1</v>
      </c>
      <c r="BG1377">
        <v>0</v>
      </c>
    </row>
    <row r="1378" spans="1:59">
      <c r="A1378" s="1">
        <f>HYPERLINK("https://lsnyc.legalserver.org/matter/dynamic-profile/view/1905215","19-1905215")</f>
        <v>0</v>
      </c>
      <c r="B1378" t="s">
        <v>1248</v>
      </c>
      <c r="C1378" t="s">
        <v>6079</v>
      </c>
      <c r="D1378" t="s">
        <v>9928</v>
      </c>
      <c r="E1378" t="s">
        <v>10075</v>
      </c>
      <c r="F1378">
        <v>11233</v>
      </c>
      <c r="G1378" t="s">
        <v>10093</v>
      </c>
      <c r="H1378" t="s">
        <v>10130</v>
      </c>
      <c r="I1378" t="s">
        <v>10168</v>
      </c>
      <c r="J1378" t="s">
        <v>10213</v>
      </c>
      <c r="K1378" t="s">
        <v>10217</v>
      </c>
      <c r="M1378" t="s">
        <v>10317</v>
      </c>
      <c r="N1378" t="s">
        <v>10671</v>
      </c>
      <c r="P1378" t="s">
        <v>10751</v>
      </c>
      <c r="Q1378" t="s">
        <v>10761</v>
      </c>
      <c r="R1378" t="s">
        <v>10824</v>
      </c>
      <c r="T1378">
        <v>2184</v>
      </c>
      <c r="U1378">
        <v>182</v>
      </c>
      <c r="V1378">
        <v>57</v>
      </c>
      <c r="W1378">
        <v>1</v>
      </c>
      <c r="X1378">
        <v>0</v>
      </c>
      <c r="Z1378">
        <v>17.49</v>
      </c>
      <c r="AA1378">
        <v>40.670637</v>
      </c>
      <c r="AB1378">
        <v>-73.92079200000001</v>
      </c>
      <c r="AC1378" t="s">
        <v>10837</v>
      </c>
      <c r="AD1378" t="s">
        <v>10840</v>
      </c>
      <c r="AG1378" t="s">
        <v>10858</v>
      </c>
      <c r="AH1378" t="s">
        <v>10861</v>
      </c>
      <c r="AI1378">
        <v>234</v>
      </c>
      <c r="AJ1378" t="s">
        <v>10214</v>
      </c>
      <c r="AL1378">
        <v>4.8</v>
      </c>
      <c r="AM1378" t="s">
        <v>10888</v>
      </c>
      <c r="AN1378" t="s">
        <v>10922</v>
      </c>
      <c r="AO1378" t="s">
        <v>11005</v>
      </c>
      <c r="AP1378" t="s">
        <v>11064</v>
      </c>
      <c r="AR1378" t="s">
        <v>11311</v>
      </c>
      <c r="AS1378" t="s">
        <v>11595</v>
      </c>
      <c r="AT1378" t="s">
        <v>11642</v>
      </c>
      <c r="AX1378" t="s">
        <v>10838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</row>
    <row r="1379" spans="1:59">
      <c r="A1379" s="1">
        <f>HYPERLINK("https://lsnyc.legalserver.org/matter/dynamic-profile/view/1905216","19-1905216")</f>
        <v>0</v>
      </c>
      <c r="B1379" t="s">
        <v>1249</v>
      </c>
      <c r="C1379" t="s">
        <v>6080</v>
      </c>
      <c r="D1379" t="s">
        <v>9926</v>
      </c>
      <c r="E1379" t="s">
        <v>10075</v>
      </c>
      <c r="F1379">
        <v>10473</v>
      </c>
      <c r="G1379" t="s">
        <v>10090</v>
      </c>
      <c r="H1379" t="s">
        <v>10130</v>
      </c>
      <c r="I1379" t="s">
        <v>10168</v>
      </c>
      <c r="J1379" t="s">
        <v>10210</v>
      </c>
      <c r="K1379" t="s">
        <v>10217</v>
      </c>
      <c r="M1379" t="s">
        <v>10487</v>
      </c>
      <c r="N1379" t="s">
        <v>10658</v>
      </c>
      <c r="P1379" t="s">
        <v>10749</v>
      </c>
      <c r="Q1379" t="s">
        <v>10769</v>
      </c>
      <c r="R1379" t="s">
        <v>10824</v>
      </c>
      <c r="T1379">
        <v>29120</v>
      </c>
      <c r="U1379">
        <v>2426.67</v>
      </c>
      <c r="V1379">
        <v>58</v>
      </c>
      <c r="W1379">
        <v>1</v>
      </c>
      <c r="X1379">
        <v>1</v>
      </c>
      <c r="Z1379">
        <v>172.21</v>
      </c>
      <c r="AA1379">
        <v>40.821996</v>
      </c>
      <c r="AB1379">
        <v>-73.878381</v>
      </c>
      <c r="AD1379" t="s">
        <v>10840</v>
      </c>
      <c r="AG1379" t="s">
        <v>10858</v>
      </c>
      <c r="AH1379" t="s">
        <v>10860</v>
      </c>
      <c r="AI1379">
        <v>230</v>
      </c>
      <c r="AJ1379" t="s">
        <v>10210</v>
      </c>
      <c r="AL1379">
        <v>6.75</v>
      </c>
      <c r="AM1379" t="s">
        <v>10884</v>
      </c>
      <c r="AN1379" t="s">
        <v>10968</v>
      </c>
      <c r="AO1379" t="s">
        <v>11002</v>
      </c>
      <c r="AP1379" t="s">
        <v>11062</v>
      </c>
      <c r="AR1379" t="s">
        <v>11257</v>
      </c>
      <c r="AS1379" t="s">
        <v>9926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</row>
    <row r="1380" spans="1:59">
      <c r="A1380" s="1">
        <f>HYPERLINK("https://lsnyc.legalserver.org/matter/dynamic-profile/view/1905217","19-1905217")</f>
        <v>0</v>
      </c>
      <c r="B1380" t="s">
        <v>1250</v>
      </c>
      <c r="C1380" t="s">
        <v>6081</v>
      </c>
      <c r="D1380" t="s">
        <v>9928</v>
      </c>
      <c r="E1380" t="s">
        <v>10075</v>
      </c>
      <c r="F1380">
        <v>11236</v>
      </c>
      <c r="G1380" t="s">
        <v>10093</v>
      </c>
      <c r="H1380" t="s">
        <v>10130</v>
      </c>
      <c r="I1380" t="s">
        <v>10168</v>
      </c>
      <c r="J1380" t="s">
        <v>10213</v>
      </c>
      <c r="K1380" t="s">
        <v>10217</v>
      </c>
      <c r="M1380" t="s">
        <v>10378</v>
      </c>
      <c r="N1380" t="s">
        <v>10698</v>
      </c>
      <c r="P1380" t="s">
        <v>10751</v>
      </c>
      <c r="Q1380" t="s">
        <v>10768</v>
      </c>
      <c r="R1380" t="s">
        <v>10824</v>
      </c>
      <c r="T1380">
        <v>4160</v>
      </c>
      <c r="U1380">
        <v>346.67</v>
      </c>
      <c r="V1380">
        <v>30</v>
      </c>
      <c r="W1380">
        <v>1</v>
      </c>
      <c r="X1380">
        <v>0</v>
      </c>
      <c r="Z1380">
        <v>33.31</v>
      </c>
      <c r="AA1380">
        <v>40.631115</v>
      </c>
      <c r="AB1380">
        <v>-73.888572</v>
      </c>
      <c r="AD1380" t="s">
        <v>10839</v>
      </c>
      <c r="AG1380" t="s">
        <v>10858</v>
      </c>
      <c r="AH1380" t="s">
        <v>10868</v>
      </c>
      <c r="AI1380">
        <v>239</v>
      </c>
      <c r="AJ1380" t="s">
        <v>10213</v>
      </c>
      <c r="AL1380">
        <v>0.5</v>
      </c>
      <c r="AM1380" t="s">
        <v>10889</v>
      </c>
      <c r="AN1380" t="s">
        <v>10959</v>
      </c>
      <c r="AO1380" t="s">
        <v>11012</v>
      </c>
      <c r="AP1380" t="s">
        <v>11072</v>
      </c>
      <c r="AR1380" t="s">
        <v>11255</v>
      </c>
      <c r="AS1380" t="s">
        <v>11595</v>
      </c>
      <c r="AT1380" t="s">
        <v>11641</v>
      </c>
      <c r="AV1380" t="s">
        <v>11658</v>
      </c>
      <c r="AW1380" t="s">
        <v>11671</v>
      </c>
      <c r="AX1380" t="s">
        <v>10837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</row>
    <row r="1381" spans="1:59">
      <c r="A1381" s="1">
        <f>HYPERLINK("https://lsnyc.legalserver.org/matter/dynamic-profile/view/1905218","19-1905218")</f>
        <v>0</v>
      </c>
      <c r="B1381" t="s">
        <v>1251</v>
      </c>
      <c r="C1381" t="s">
        <v>6082</v>
      </c>
      <c r="D1381" t="s">
        <v>9976</v>
      </c>
      <c r="E1381" t="s">
        <v>10075</v>
      </c>
      <c r="F1381">
        <v>11426</v>
      </c>
      <c r="G1381" t="s">
        <v>10092</v>
      </c>
      <c r="H1381" t="s">
        <v>10130</v>
      </c>
      <c r="I1381" t="s">
        <v>10168</v>
      </c>
      <c r="J1381" t="s">
        <v>10212</v>
      </c>
      <c r="K1381" t="s">
        <v>10217</v>
      </c>
      <c r="M1381" t="s">
        <v>10311</v>
      </c>
      <c r="N1381" t="s">
        <v>10684</v>
      </c>
      <c r="P1381" t="s">
        <v>10751</v>
      </c>
      <c r="Q1381" t="s">
        <v>10786</v>
      </c>
      <c r="R1381" t="s">
        <v>10827</v>
      </c>
      <c r="T1381">
        <v>2400</v>
      </c>
      <c r="U1381">
        <v>200</v>
      </c>
      <c r="V1381">
        <v>65</v>
      </c>
      <c r="W1381">
        <v>2</v>
      </c>
      <c r="X1381">
        <v>0</v>
      </c>
      <c r="Z1381">
        <v>14.19</v>
      </c>
      <c r="AA1381">
        <v>40.735991</v>
      </c>
      <c r="AB1381">
        <v>-73.72456</v>
      </c>
      <c r="AD1381" t="s">
        <v>10840</v>
      </c>
      <c r="AF1381" t="s">
        <v>10843</v>
      </c>
      <c r="AG1381" t="s">
        <v>10859</v>
      </c>
      <c r="AH1381" t="s">
        <v>10873</v>
      </c>
      <c r="AI1381">
        <v>237</v>
      </c>
      <c r="AJ1381" t="s">
        <v>10212</v>
      </c>
      <c r="AL1381">
        <v>3</v>
      </c>
      <c r="AM1381" t="s">
        <v>10895</v>
      </c>
      <c r="AN1381" t="s">
        <v>10944</v>
      </c>
      <c r="AO1381" t="s">
        <v>11022</v>
      </c>
      <c r="AP1381" t="s">
        <v>11078</v>
      </c>
      <c r="AR1381" t="s">
        <v>10180</v>
      </c>
      <c r="AS1381" t="s">
        <v>11594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</row>
    <row r="1382" spans="1:59">
      <c r="A1382" s="1">
        <f>HYPERLINK("https://lsnyc.legalserver.org/matter/dynamic-profile/view/1905219","19-1905219")</f>
        <v>0</v>
      </c>
      <c r="B1382" t="s">
        <v>1252</v>
      </c>
      <c r="C1382" t="s">
        <v>6083</v>
      </c>
      <c r="D1382" t="s">
        <v>9926</v>
      </c>
      <c r="E1382" t="s">
        <v>10075</v>
      </c>
      <c r="F1382">
        <v>10459</v>
      </c>
      <c r="G1382" t="s">
        <v>10093</v>
      </c>
      <c r="H1382" t="s">
        <v>10130</v>
      </c>
      <c r="I1382" t="s">
        <v>10169</v>
      </c>
      <c r="J1382" t="s">
        <v>10213</v>
      </c>
      <c r="K1382" t="s">
        <v>10218</v>
      </c>
      <c r="L1382" t="s">
        <v>10102</v>
      </c>
      <c r="M1382" t="s">
        <v>10436</v>
      </c>
      <c r="N1382" t="s">
        <v>10710</v>
      </c>
      <c r="P1382" t="s">
        <v>10750</v>
      </c>
      <c r="Q1382" t="s">
        <v>10760</v>
      </c>
      <c r="R1382" t="s">
        <v>10821</v>
      </c>
      <c r="T1382">
        <v>11424</v>
      </c>
      <c r="U1382">
        <v>952</v>
      </c>
      <c r="V1382">
        <v>51</v>
      </c>
      <c r="W1382">
        <v>1</v>
      </c>
      <c r="X1382">
        <v>0</v>
      </c>
      <c r="Y1382" t="s">
        <v>10829</v>
      </c>
      <c r="Z1382">
        <v>91.47</v>
      </c>
      <c r="AA1382">
        <v>40.823461</v>
      </c>
      <c r="AB1382">
        <v>-73.887885</v>
      </c>
      <c r="AD1382" t="s">
        <v>10839</v>
      </c>
      <c r="AG1382" t="s">
        <v>10858</v>
      </c>
      <c r="AH1382" t="s">
        <v>10861</v>
      </c>
      <c r="AI1382">
        <v>234</v>
      </c>
      <c r="AJ1382" t="s">
        <v>10214</v>
      </c>
      <c r="AK1382" t="s">
        <v>10838</v>
      </c>
      <c r="AL1382">
        <v>1</v>
      </c>
      <c r="AM1382" t="s">
        <v>10884</v>
      </c>
      <c r="AN1382" t="s">
        <v>10968</v>
      </c>
      <c r="AO1382" t="s">
        <v>11001</v>
      </c>
      <c r="AP1382" t="s">
        <v>11062</v>
      </c>
      <c r="AR1382" t="s">
        <v>11274</v>
      </c>
      <c r="AS1382" t="s">
        <v>9926</v>
      </c>
      <c r="AT1382" t="s">
        <v>11641</v>
      </c>
      <c r="AX1382" t="s">
        <v>10838</v>
      </c>
      <c r="AY1382" t="s">
        <v>10829</v>
      </c>
      <c r="AZ1382" t="s">
        <v>11679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</row>
    <row r="1383" spans="1:59">
      <c r="A1383" s="1">
        <f>HYPERLINK("https://lsnyc.legalserver.org/matter/dynamic-profile/view/1905220","19-1905220")</f>
        <v>0</v>
      </c>
      <c r="B1383" t="s">
        <v>1253</v>
      </c>
      <c r="C1383" t="s">
        <v>5601</v>
      </c>
      <c r="D1383" t="s">
        <v>9926</v>
      </c>
      <c r="E1383" t="s">
        <v>10075</v>
      </c>
      <c r="F1383">
        <v>10453</v>
      </c>
      <c r="G1383" t="s">
        <v>10090</v>
      </c>
      <c r="H1383" t="s">
        <v>10130</v>
      </c>
      <c r="I1383" t="s">
        <v>10169</v>
      </c>
      <c r="J1383" t="s">
        <v>10210</v>
      </c>
      <c r="K1383" t="s">
        <v>10217</v>
      </c>
      <c r="M1383" t="s">
        <v>10463</v>
      </c>
      <c r="N1383" t="s">
        <v>10650</v>
      </c>
      <c r="P1383" t="s">
        <v>10749</v>
      </c>
      <c r="Q1383" t="s">
        <v>10765</v>
      </c>
      <c r="R1383" t="s">
        <v>10823</v>
      </c>
      <c r="T1383">
        <v>37800</v>
      </c>
      <c r="U1383">
        <v>3150</v>
      </c>
      <c r="V1383">
        <v>43</v>
      </c>
      <c r="W1383">
        <v>2</v>
      </c>
      <c r="X1383">
        <v>0</v>
      </c>
      <c r="Z1383">
        <v>223.54</v>
      </c>
      <c r="AA1383">
        <v>40.846849</v>
      </c>
      <c r="AB1383">
        <v>-73.90953500000001</v>
      </c>
      <c r="AD1383" t="s">
        <v>10839</v>
      </c>
      <c r="AF1383" t="s">
        <v>10843</v>
      </c>
      <c r="AG1383" t="s">
        <v>10859</v>
      </c>
      <c r="AH1383" t="s">
        <v>10862</v>
      </c>
      <c r="AI1383">
        <v>230</v>
      </c>
      <c r="AJ1383" t="s">
        <v>10210</v>
      </c>
      <c r="AL1383">
        <v>0</v>
      </c>
      <c r="AM1383" t="s">
        <v>10884</v>
      </c>
      <c r="AN1383" t="s">
        <v>10931</v>
      </c>
      <c r="AO1383" t="s">
        <v>11000</v>
      </c>
      <c r="AP1383" t="s">
        <v>11045</v>
      </c>
      <c r="AR1383" t="s">
        <v>11343</v>
      </c>
      <c r="AS1383" t="s">
        <v>9926</v>
      </c>
      <c r="AT1383" t="s">
        <v>11641</v>
      </c>
      <c r="BA1383" t="s">
        <v>11739</v>
      </c>
      <c r="BB1383">
        <v>0</v>
      </c>
      <c r="BC1383">
        <v>0</v>
      </c>
      <c r="BD1383">
        <v>0</v>
      </c>
      <c r="BE1383">
        <v>0</v>
      </c>
      <c r="BF1383">
        <v>4</v>
      </c>
      <c r="BG1383">
        <v>0</v>
      </c>
    </row>
    <row r="1384" spans="1:59">
      <c r="A1384" s="1">
        <f>HYPERLINK("https://lsnyc.legalserver.org/matter/dynamic-profile/view/1905221","19-1905221")</f>
        <v>0</v>
      </c>
      <c r="B1384" t="s">
        <v>1253</v>
      </c>
      <c r="C1384" t="s">
        <v>5601</v>
      </c>
      <c r="D1384" t="s">
        <v>9926</v>
      </c>
      <c r="E1384" t="s">
        <v>10075</v>
      </c>
      <c r="F1384">
        <v>10453</v>
      </c>
      <c r="G1384" t="s">
        <v>10090</v>
      </c>
      <c r="H1384" t="s">
        <v>10130</v>
      </c>
      <c r="I1384" t="s">
        <v>10169</v>
      </c>
      <c r="J1384" t="s">
        <v>10210</v>
      </c>
      <c r="K1384" t="s">
        <v>10217</v>
      </c>
      <c r="M1384" t="s">
        <v>10463</v>
      </c>
      <c r="N1384" t="s">
        <v>10650</v>
      </c>
      <c r="P1384" t="s">
        <v>10749</v>
      </c>
      <c r="Q1384" t="s">
        <v>10765</v>
      </c>
      <c r="R1384" t="s">
        <v>10823</v>
      </c>
      <c r="T1384">
        <v>37800</v>
      </c>
      <c r="U1384">
        <v>3150</v>
      </c>
      <c r="V1384">
        <v>43</v>
      </c>
      <c r="W1384">
        <v>2</v>
      </c>
      <c r="X1384">
        <v>0</v>
      </c>
      <c r="Z1384">
        <v>223.54</v>
      </c>
      <c r="AA1384">
        <v>40.846849</v>
      </c>
      <c r="AB1384">
        <v>-73.90953500000001</v>
      </c>
      <c r="AD1384" t="s">
        <v>10839</v>
      </c>
      <c r="AF1384" t="s">
        <v>10843</v>
      </c>
      <c r="AG1384" t="s">
        <v>10859</v>
      </c>
      <c r="AH1384" t="s">
        <v>10862</v>
      </c>
      <c r="AI1384">
        <v>230</v>
      </c>
      <c r="AJ1384" t="s">
        <v>10210</v>
      </c>
      <c r="AL1384">
        <v>0</v>
      </c>
      <c r="AM1384" t="s">
        <v>10884</v>
      </c>
      <c r="AN1384" t="s">
        <v>10931</v>
      </c>
      <c r="AO1384" t="s">
        <v>11000</v>
      </c>
      <c r="AP1384" t="s">
        <v>11045</v>
      </c>
      <c r="AR1384" t="s">
        <v>11343</v>
      </c>
      <c r="AS1384" t="s">
        <v>9926</v>
      </c>
      <c r="AT1384" t="s">
        <v>11641</v>
      </c>
      <c r="BA1384" t="s">
        <v>11739</v>
      </c>
      <c r="BB1384">
        <v>0</v>
      </c>
      <c r="BC1384">
        <v>0</v>
      </c>
      <c r="BD1384">
        <v>0</v>
      </c>
      <c r="BE1384">
        <v>0</v>
      </c>
      <c r="BF1384">
        <v>4</v>
      </c>
      <c r="BG1384">
        <v>0</v>
      </c>
    </row>
    <row r="1385" spans="1:59">
      <c r="A1385" s="1">
        <f>HYPERLINK("https://lsnyc.legalserver.org/matter/dynamic-profile/view/1905222","19-1905222")</f>
        <v>0</v>
      </c>
      <c r="B1385" t="s">
        <v>693</v>
      </c>
      <c r="C1385" t="s">
        <v>6084</v>
      </c>
      <c r="D1385" t="s">
        <v>9988</v>
      </c>
      <c r="E1385" t="s">
        <v>10075</v>
      </c>
      <c r="F1385">
        <v>11693</v>
      </c>
      <c r="G1385" t="s">
        <v>10092</v>
      </c>
      <c r="H1385" t="s">
        <v>10130</v>
      </c>
      <c r="I1385" t="s">
        <v>10168</v>
      </c>
      <c r="J1385" t="s">
        <v>10212</v>
      </c>
      <c r="K1385" t="s">
        <v>10218</v>
      </c>
      <c r="L1385" t="s">
        <v>10121</v>
      </c>
      <c r="M1385" t="s">
        <v>10369</v>
      </c>
      <c r="N1385" t="s">
        <v>10695</v>
      </c>
      <c r="P1385" t="s">
        <v>10749</v>
      </c>
      <c r="Q1385" t="s">
        <v>10767</v>
      </c>
      <c r="R1385" t="s">
        <v>10824</v>
      </c>
      <c r="T1385">
        <v>12500</v>
      </c>
      <c r="U1385">
        <v>1041.67</v>
      </c>
      <c r="V1385">
        <v>44</v>
      </c>
      <c r="W1385">
        <v>1</v>
      </c>
      <c r="X1385">
        <v>0</v>
      </c>
      <c r="Y1385" t="s">
        <v>10829</v>
      </c>
      <c r="Z1385">
        <v>100.08</v>
      </c>
      <c r="AA1385">
        <v>40.585938</v>
      </c>
      <c r="AB1385">
        <v>-73.81668000000001</v>
      </c>
      <c r="AD1385" t="s">
        <v>10839</v>
      </c>
      <c r="AG1385" t="s">
        <v>10858</v>
      </c>
      <c r="AH1385" t="s">
        <v>10862</v>
      </c>
      <c r="AI1385">
        <v>237</v>
      </c>
      <c r="AJ1385" t="s">
        <v>10212</v>
      </c>
      <c r="AK1385" t="s">
        <v>10882</v>
      </c>
      <c r="AL1385">
        <v>1.95</v>
      </c>
      <c r="AM1385" t="s">
        <v>10892</v>
      </c>
      <c r="AN1385" t="s">
        <v>10958</v>
      </c>
      <c r="AO1385" t="s">
        <v>11017</v>
      </c>
      <c r="AP1385" t="s">
        <v>11088</v>
      </c>
      <c r="AR1385" t="s">
        <v>11257</v>
      </c>
      <c r="AS1385" t="s">
        <v>11594</v>
      </c>
      <c r="AY1385" t="s">
        <v>10829</v>
      </c>
      <c r="AZ1385" t="s">
        <v>11681</v>
      </c>
      <c r="BA1385" t="s">
        <v>11741</v>
      </c>
      <c r="BB1385">
        <v>0</v>
      </c>
      <c r="BC1385">
        <v>0</v>
      </c>
      <c r="BD1385">
        <v>0</v>
      </c>
      <c r="BE1385">
        <v>0</v>
      </c>
      <c r="BF1385">
        <v>1</v>
      </c>
      <c r="BG1385">
        <v>0</v>
      </c>
    </row>
    <row r="1386" spans="1:59">
      <c r="A1386" s="1">
        <f>HYPERLINK("https://lsnyc.legalserver.org/matter/dynamic-profile/view/1905223","19-1905223")</f>
        <v>0</v>
      </c>
      <c r="B1386" t="s">
        <v>1254</v>
      </c>
      <c r="C1386" t="s">
        <v>6085</v>
      </c>
      <c r="D1386" t="s">
        <v>9926</v>
      </c>
      <c r="E1386" t="s">
        <v>10075</v>
      </c>
      <c r="F1386">
        <v>10469</v>
      </c>
      <c r="G1386" t="s">
        <v>10090</v>
      </c>
      <c r="H1386" t="s">
        <v>10130</v>
      </c>
      <c r="I1386" t="s">
        <v>10168</v>
      </c>
      <c r="J1386" t="s">
        <v>10210</v>
      </c>
      <c r="K1386" t="s">
        <v>10217</v>
      </c>
      <c r="M1386" t="s">
        <v>10246</v>
      </c>
      <c r="N1386" t="s">
        <v>10658</v>
      </c>
      <c r="P1386" t="s">
        <v>10749</v>
      </c>
      <c r="Q1386" t="s">
        <v>10769</v>
      </c>
      <c r="R1386" t="s">
        <v>10824</v>
      </c>
      <c r="T1386">
        <v>62100</v>
      </c>
      <c r="U1386">
        <v>5175</v>
      </c>
      <c r="V1386">
        <v>55</v>
      </c>
      <c r="W1386">
        <v>3</v>
      </c>
      <c r="X1386">
        <v>0</v>
      </c>
      <c r="Z1386">
        <v>291.14</v>
      </c>
      <c r="AA1386">
        <v>40.875141</v>
      </c>
      <c r="AB1386">
        <v>-73.840096</v>
      </c>
      <c r="AD1386" t="s">
        <v>10839</v>
      </c>
      <c r="AG1386" t="s">
        <v>10858</v>
      </c>
      <c r="AH1386" t="s">
        <v>10860</v>
      </c>
      <c r="AI1386">
        <v>230</v>
      </c>
      <c r="AJ1386" t="s">
        <v>10210</v>
      </c>
      <c r="AL1386">
        <v>6.85</v>
      </c>
      <c r="AM1386" t="s">
        <v>10893</v>
      </c>
      <c r="AN1386" t="s">
        <v>10956</v>
      </c>
      <c r="AO1386" t="s">
        <v>11010</v>
      </c>
      <c r="AP1386" t="s">
        <v>11085</v>
      </c>
      <c r="AR1386" t="s">
        <v>11257</v>
      </c>
      <c r="AS1386" t="s">
        <v>9926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</row>
    <row r="1387" spans="1:59">
      <c r="A1387" s="1">
        <f>HYPERLINK("https://lsnyc.legalserver.org/matter/dynamic-profile/view/1905224","19-1905224")</f>
        <v>0</v>
      </c>
      <c r="B1387" t="s">
        <v>1255</v>
      </c>
      <c r="C1387" t="s">
        <v>5825</v>
      </c>
      <c r="D1387" t="s">
        <v>9926</v>
      </c>
      <c r="E1387" t="s">
        <v>10075</v>
      </c>
      <c r="F1387">
        <v>10458</v>
      </c>
      <c r="G1387" t="s">
        <v>10090</v>
      </c>
      <c r="H1387" t="s">
        <v>10130</v>
      </c>
      <c r="I1387" t="s">
        <v>10168</v>
      </c>
      <c r="J1387" t="s">
        <v>10210</v>
      </c>
      <c r="K1387" t="s">
        <v>10217</v>
      </c>
      <c r="M1387" t="s">
        <v>10250</v>
      </c>
      <c r="N1387" t="s">
        <v>10704</v>
      </c>
      <c r="P1387" t="s">
        <v>10751</v>
      </c>
      <c r="Q1387" t="s">
        <v>10761</v>
      </c>
      <c r="R1387" t="s">
        <v>10821</v>
      </c>
      <c r="T1387">
        <v>3000</v>
      </c>
      <c r="U1387">
        <v>250</v>
      </c>
      <c r="V1387">
        <v>35</v>
      </c>
      <c r="W1387">
        <v>2</v>
      </c>
      <c r="X1387">
        <v>3</v>
      </c>
      <c r="Z1387">
        <v>9.94</v>
      </c>
      <c r="AA1387">
        <v>40.864404</v>
      </c>
      <c r="AB1387">
        <v>-73.891418</v>
      </c>
      <c r="AD1387" t="s">
        <v>10840</v>
      </c>
      <c r="AG1387" t="s">
        <v>10858</v>
      </c>
      <c r="AH1387" t="s">
        <v>10862</v>
      </c>
      <c r="AI1387">
        <v>230</v>
      </c>
      <c r="AJ1387" t="s">
        <v>10210</v>
      </c>
      <c r="AL1387">
        <v>0.7</v>
      </c>
      <c r="AR1387" t="s">
        <v>11306</v>
      </c>
      <c r="AS1387" t="s">
        <v>9926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</row>
    <row r="1388" spans="1:59">
      <c r="A1388" s="1">
        <f>HYPERLINK("https://lsnyc.legalserver.org/matter/dynamic-profile/view/1905225","19-1905225")</f>
        <v>0</v>
      </c>
      <c r="B1388" t="s">
        <v>1256</v>
      </c>
      <c r="C1388" t="s">
        <v>5601</v>
      </c>
      <c r="D1388" t="s">
        <v>9926</v>
      </c>
      <c r="E1388" t="s">
        <v>10075</v>
      </c>
      <c r="F1388">
        <v>10453</v>
      </c>
      <c r="G1388" t="s">
        <v>10090</v>
      </c>
      <c r="H1388" t="s">
        <v>10130</v>
      </c>
      <c r="I1388" t="s">
        <v>10168</v>
      </c>
      <c r="J1388" t="s">
        <v>10210</v>
      </c>
      <c r="K1388" t="s">
        <v>10217</v>
      </c>
      <c r="M1388" t="s">
        <v>10463</v>
      </c>
      <c r="N1388" t="s">
        <v>10650</v>
      </c>
      <c r="P1388" t="s">
        <v>10749</v>
      </c>
      <c r="Q1388" t="s">
        <v>10765</v>
      </c>
      <c r="R1388" t="s">
        <v>10821</v>
      </c>
      <c r="T1388">
        <v>30000</v>
      </c>
      <c r="U1388">
        <v>2500</v>
      </c>
      <c r="V1388">
        <v>66</v>
      </c>
      <c r="W1388">
        <v>1</v>
      </c>
      <c r="X1388">
        <v>0</v>
      </c>
      <c r="Z1388">
        <v>240.19</v>
      </c>
      <c r="AA1388">
        <v>40.846849</v>
      </c>
      <c r="AB1388">
        <v>-73.90953500000001</v>
      </c>
      <c r="AD1388" t="s">
        <v>10840</v>
      </c>
      <c r="AG1388" t="s">
        <v>10858</v>
      </c>
      <c r="AH1388" t="s">
        <v>10862</v>
      </c>
      <c r="AI1388">
        <v>230</v>
      </c>
      <c r="AJ1388" t="s">
        <v>10210</v>
      </c>
      <c r="AL1388">
        <v>0</v>
      </c>
      <c r="AM1388" t="s">
        <v>10884</v>
      </c>
      <c r="AN1388" t="s">
        <v>10931</v>
      </c>
      <c r="AO1388" t="s">
        <v>11000</v>
      </c>
      <c r="AP1388" t="s">
        <v>11045</v>
      </c>
      <c r="AR1388" t="s">
        <v>11257</v>
      </c>
      <c r="AS1388" t="s">
        <v>9926</v>
      </c>
      <c r="AT1388" t="s">
        <v>11642</v>
      </c>
      <c r="BA1388" t="s">
        <v>11739</v>
      </c>
      <c r="BB1388">
        <v>0</v>
      </c>
      <c r="BC1388">
        <v>0</v>
      </c>
      <c r="BD1388">
        <v>0</v>
      </c>
      <c r="BE1388">
        <v>0</v>
      </c>
      <c r="BF1388">
        <v>4</v>
      </c>
      <c r="BG1388">
        <v>0</v>
      </c>
    </row>
    <row r="1389" spans="1:59">
      <c r="A1389" s="1">
        <f>HYPERLINK("https://lsnyc.legalserver.org/matter/dynamic-profile/view/1905226","19-1905226")</f>
        <v>0</v>
      </c>
      <c r="B1389" t="s">
        <v>1256</v>
      </c>
      <c r="C1389" t="s">
        <v>5601</v>
      </c>
      <c r="D1389" t="s">
        <v>9926</v>
      </c>
      <c r="E1389" t="s">
        <v>10075</v>
      </c>
      <c r="F1389">
        <v>10453</v>
      </c>
      <c r="G1389" t="s">
        <v>10090</v>
      </c>
      <c r="H1389" t="s">
        <v>10130</v>
      </c>
      <c r="I1389" t="s">
        <v>10168</v>
      </c>
      <c r="J1389" t="s">
        <v>10210</v>
      </c>
      <c r="K1389" t="s">
        <v>10217</v>
      </c>
      <c r="M1389" t="s">
        <v>10463</v>
      </c>
      <c r="N1389" t="s">
        <v>10650</v>
      </c>
      <c r="P1389" t="s">
        <v>10749</v>
      </c>
      <c r="Q1389" t="s">
        <v>10765</v>
      </c>
      <c r="R1389" t="s">
        <v>10821</v>
      </c>
      <c r="T1389">
        <v>30000</v>
      </c>
      <c r="U1389">
        <v>2500</v>
      </c>
      <c r="V1389">
        <v>66</v>
      </c>
      <c r="W1389">
        <v>1</v>
      </c>
      <c r="X1389">
        <v>0</v>
      </c>
      <c r="Z1389">
        <v>240.19</v>
      </c>
      <c r="AA1389">
        <v>40.846849</v>
      </c>
      <c r="AB1389">
        <v>-73.90953500000001</v>
      </c>
      <c r="AD1389" t="s">
        <v>10840</v>
      </c>
      <c r="AG1389" t="s">
        <v>10858</v>
      </c>
      <c r="AH1389" t="s">
        <v>10862</v>
      </c>
      <c r="AI1389">
        <v>230</v>
      </c>
      <c r="AJ1389" t="s">
        <v>10210</v>
      </c>
      <c r="AL1389">
        <v>0</v>
      </c>
      <c r="AM1389" t="s">
        <v>10884</v>
      </c>
      <c r="AN1389" t="s">
        <v>10931</v>
      </c>
      <c r="AO1389" t="s">
        <v>11000</v>
      </c>
      <c r="AP1389" t="s">
        <v>11045</v>
      </c>
      <c r="AR1389" t="s">
        <v>11257</v>
      </c>
      <c r="AS1389" t="s">
        <v>9926</v>
      </c>
      <c r="AT1389" t="s">
        <v>11642</v>
      </c>
      <c r="BA1389" t="s">
        <v>11739</v>
      </c>
      <c r="BB1389">
        <v>0</v>
      </c>
      <c r="BC1389">
        <v>0</v>
      </c>
      <c r="BD1389">
        <v>0</v>
      </c>
      <c r="BE1389">
        <v>0</v>
      </c>
      <c r="BF1389">
        <v>4</v>
      </c>
      <c r="BG1389">
        <v>0</v>
      </c>
    </row>
    <row r="1390" spans="1:59">
      <c r="A1390" s="1">
        <f>HYPERLINK("https://lsnyc.legalserver.org/matter/dynamic-profile/view/1905227","19-1905227")</f>
        <v>0</v>
      </c>
      <c r="B1390" t="s">
        <v>1257</v>
      </c>
      <c r="C1390" t="s">
        <v>6086</v>
      </c>
      <c r="D1390" t="s">
        <v>9926</v>
      </c>
      <c r="E1390" t="s">
        <v>10075</v>
      </c>
      <c r="F1390">
        <v>10458</v>
      </c>
      <c r="G1390" t="s">
        <v>10089</v>
      </c>
      <c r="H1390" t="s">
        <v>10130</v>
      </c>
      <c r="I1390" t="s">
        <v>10168</v>
      </c>
      <c r="J1390" t="s">
        <v>10209</v>
      </c>
      <c r="K1390" t="s">
        <v>10217</v>
      </c>
      <c r="M1390" t="s">
        <v>10459</v>
      </c>
      <c r="N1390" t="s">
        <v>10656</v>
      </c>
      <c r="P1390" t="s">
        <v>10751</v>
      </c>
      <c r="Q1390" t="s">
        <v>10780</v>
      </c>
      <c r="R1390" t="s">
        <v>10823</v>
      </c>
      <c r="T1390">
        <v>2160</v>
      </c>
      <c r="U1390">
        <v>180</v>
      </c>
      <c r="V1390">
        <v>26</v>
      </c>
      <c r="W1390">
        <v>1</v>
      </c>
      <c r="X1390">
        <v>0</v>
      </c>
      <c r="Z1390">
        <v>17.29</v>
      </c>
      <c r="AA1390">
        <v>40.865481</v>
      </c>
      <c r="AB1390">
        <v>-73.88636</v>
      </c>
      <c r="AD1390" t="s">
        <v>10840</v>
      </c>
      <c r="AG1390" t="s">
        <v>10858</v>
      </c>
      <c r="AH1390" t="s">
        <v>10861</v>
      </c>
      <c r="AI1390">
        <v>234</v>
      </c>
      <c r="AJ1390" t="s">
        <v>10214</v>
      </c>
      <c r="AL1390">
        <v>1</v>
      </c>
      <c r="AR1390" t="s">
        <v>11255</v>
      </c>
      <c r="AS1390" t="s">
        <v>9926</v>
      </c>
      <c r="AT1390" t="s">
        <v>11642</v>
      </c>
      <c r="AX1390" t="s">
        <v>11678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</row>
    <row r="1391" spans="1:59">
      <c r="A1391" s="1">
        <f>HYPERLINK("https://lsnyc.legalserver.org/matter/dynamic-profile/view/1905228","19-1905228")</f>
        <v>0</v>
      </c>
      <c r="B1391" t="s">
        <v>1258</v>
      </c>
      <c r="C1391" t="s">
        <v>6087</v>
      </c>
      <c r="D1391" t="s">
        <v>9925</v>
      </c>
      <c r="E1391" t="s">
        <v>10075</v>
      </c>
      <c r="F1391">
        <v>10011</v>
      </c>
      <c r="G1391" t="s">
        <v>10093</v>
      </c>
      <c r="H1391" t="s">
        <v>10128</v>
      </c>
      <c r="I1391" t="s">
        <v>10168</v>
      </c>
      <c r="J1391" t="s">
        <v>10213</v>
      </c>
      <c r="K1391" t="s">
        <v>10217</v>
      </c>
      <c r="M1391" t="s">
        <v>10457</v>
      </c>
      <c r="N1391" t="s">
        <v>10671</v>
      </c>
      <c r="P1391" t="s">
        <v>10754</v>
      </c>
      <c r="Q1391" t="s">
        <v>10782</v>
      </c>
      <c r="R1391" t="s">
        <v>10820</v>
      </c>
      <c r="T1391">
        <v>9252</v>
      </c>
      <c r="U1391">
        <v>771</v>
      </c>
      <c r="V1391">
        <v>63</v>
      </c>
      <c r="W1391">
        <v>2</v>
      </c>
      <c r="X1391">
        <v>0</v>
      </c>
      <c r="Z1391">
        <v>54.71</v>
      </c>
      <c r="AA1391">
        <v>40.741041</v>
      </c>
      <c r="AB1391">
        <v>-74.003792</v>
      </c>
      <c r="AD1391" t="s">
        <v>10840</v>
      </c>
      <c r="AG1391" t="s">
        <v>10858</v>
      </c>
      <c r="AH1391" t="s">
        <v>10868</v>
      </c>
      <c r="AI1391">
        <v>239</v>
      </c>
      <c r="AJ1391" t="s">
        <v>10213</v>
      </c>
      <c r="AL1391">
        <v>23.5</v>
      </c>
      <c r="AM1391" t="s">
        <v>10894</v>
      </c>
      <c r="AN1391" t="s">
        <v>10950</v>
      </c>
      <c r="AO1391" t="s">
        <v>11021</v>
      </c>
      <c r="AP1391" t="s">
        <v>11090</v>
      </c>
      <c r="AQ1391" t="s">
        <v>11170</v>
      </c>
      <c r="AR1391" t="s">
        <v>11263</v>
      </c>
      <c r="AS1391" t="s">
        <v>9925</v>
      </c>
      <c r="AX1391" t="s">
        <v>10837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</row>
    <row r="1392" spans="1:59">
      <c r="A1392" s="1">
        <f>HYPERLINK("https://lsnyc.legalserver.org/matter/dynamic-profile/view/1905229","19-1905229")</f>
        <v>0</v>
      </c>
      <c r="B1392" t="s">
        <v>1259</v>
      </c>
      <c r="C1392" t="s">
        <v>6088</v>
      </c>
      <c r="D1392" t="s">
        <v>9926</v>
      </c>
      <c r="E1392" t="s">
        <v>10075</v>
      </c>
      <c r="F1392">
        <v>10469</v>
      </c>
      <c r="G1392" t="s">
        <v>10090</v>
      </c>
      <c r="H1392" t="s">
        <v>10130</v>
      </c>
      <c r="I1392" t="s">
        <v>10168</v>
      </c>
      <c r="J1392" t="s">
        <v>10210</v>
      </c>
      <c r="K1392" t="s">
        <v>10217</v>
      </c>
      <c r="M1392" t="s">
        <v>10279</v>
      </c>
      <c r="N1392" t="s">
        <v>10666</v>
      </c>
      <c r="P1392" t="s">
        <v>10749</v>
      </c>
      <c r="Q1392" t="s">
        <v>10765</v>
      </c>
      <c r="R1392" t="s">
        <v>10824</v>
      </c>
      <c r="T1392">
        <v>12000</v>
      </c>
      <c r="U1392">
        <v>1000</v>
      </c>
      <c r="V1392">
        <v>30</v>
      </c>
      <c r="W1392">
        <v>1</v>
      </c>
      <c r="X1392">
        <v>1</v>
      </c>
      <c r="Z1392">
        <v>70.95999999999999</v>
      </c>
      <c r="AA1392">
        <v>40.864511</v>
      </c>
      <c r="AB1392">
        <v>-73.861952</v>
      </c>
      <c r="AD1392" t="s">
        <v>10839</v>
      </c>
      <c r="AG1392" t="s">
        <v>10858</v>
      </c>
      <c r="AH1392" t="s">
        <v>10861</v>
      </c>
      <c r="AI1392">
        <v>230</v>
      </c>
      <c r="AJ1392" t="s">
        <v>10210</v>
      </c>
      <c r="AL1392">
        <v>2.5</v>
      </c>
      <c r="AM1392" t="s">
        <v>10885</v>
      </c>
      <c r="AN1392" t="s">
        <v>10938</v>
      </c>
      <c r="AO1392" t="s">
        <v>11002</v>
      </c>
      <c r="AP1392" t="s">
        <v>11049</v>
      </c>
      <c r="AR1392" t="s">
        <v>11276</v>
      </c>
      <c r="AS1392" t="s">
        <v>9926</v>
      </c>
      <c r="AT1392" t="s">
        <v>11641</v>
      </c>
      <c r="AX1392" t="s">
        <v>10838</v>
      </c>
      <c r="BA1392" t="s">
        <v>11741</v>
      </c>
      <c r="BB1392">
        <v>0</v>
      </c>
      <c r="BC1392">
        <v>0</v>
      </c>
      <c r="BD1392">
        <v>0</v>
      </c>
      <c r="BE1392">
        <v>0</v>
      </c>
      <c r="BF1392">
        <v>1</v>
      </c>
      <c r="BG1392">
        <v>0</v>
      </c>
    </row>
    <row r="1393" spans="1:59">
      <c r="A1393" s="1">
        <f>HYPERLINK("https://lsnyc.legalserver.org/matter/dynamic-profile/view/1905231","19-1905231")</f>
        <v>0</v>
      </c>
      <c r="B1393" t="s">
        <v>1260</v>
      </c>
      <c r="C1393" t="s">
        <v>6089</v>
      </c>
      <c r="D1393" t="s">
        <v>9926</v>
      </c>
      <c r="E1393" t="s">
        <v>10075</v>
      </c>
      <c r="F1393">
        <v>10467</v>
      </c>
      <c r="G1393" t="s">
        <v>10090</v>
      </c>
      <c r="H1393" t="s">
        <v>10130</v>
      </c>
      <c r="I1393" t="s">
        <v>10168</v>
      </c>
      <c r="J1393" t="s">
        <v>10210</v>
      </c>
      <c r="K1393" t="s">
        <v>10218</v>
      </c>
      <c r="L1393" t="s">
        <v>10161</v>
      </c>
      <c r="M1393" t="s">
        <v>10353</v>
      </c>
      <c r="N1393" t="s">
        <v>10671</v>
      </c>
      <c r="P1393" t="s">
        <v>10751</v>
      </c>
      <c r="Q1393" t="s">
        <v>10761</v>
      </c>
      <c r="R1393" t="s">
        <v>10821</v>
      </c>
      <c r="T1393">
        <v>9264</v>
      </c>
      <c r="U1393">
        <v>772</v>
      </c>
      <c r="V1393">
        <v>57</v>
      </c>
      <c r="W1393">
        <v>1</v>
      </c>
      <c r="X1393">
        <v>0</v>
      </c>
      <c r="Y1393" t="s">
        <v>10829</v>
      </c>
      <c r="Z1393">
        <v>74.17</v>
      </c>
      <c r="AA1393">
        <v>40.860167</v>
      </c>
      <c r="AB1393">
        <v>-73.865751</v>
      </c>
      <c r="AD1393" t="s">
        <v>10840</v>
      </c>
      <c r="AG1393" t="s">
        <v>10858</v>
      </c>
      <c r="AH1393" t="s">
        <v>10861</v>
      </c>
      <c r="AI1393">
        <v>234</v>
      </c>
      <c r="AJ1393" t="s">
        <v>10214</v>
      </c>
      <c r="AK1393" t="s">
        <v>10838</v>
      </c>
      <c r="AL1393">
        <v>1.35</v>
      </c>
      <c r="AM1393" t="s">
        <v>10885</v>
      </c>
      <c r="AN1393" t="s">
        <v>10938</v>
      </c>
      <c r="AO1393" t="s">
        <v>11002</v>
      </c>
      <c r="AP1393" t="s">
        <v>11049</v>
      </c>
      <c r="AR1393" t="s">
        <v>11268</v>
      </c>
      <c r="AS1393" t="s">
        <v>9926</v>
      </c>
      <c r="AT1393" t="s">
        <v>11642</v>
      </c>
      <c r="AX1393" t="s">
        <v>10838</v>
      </c>
      <c r="AY1393" t="s">
        <v>10829</v>
      </c>
      <c r="AZ1393" t="s">
        <v>11702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</row>
    <row r="1394" spans="1:59">
      <c r="A1394" s="1">
        <f>HYPERLINK("https://lsnyc.legalserver.org/matter/dynamic-profile/view/1905232","19-1905232")</f>
        <v>0</v>
      </c>
      <c r="B1394" t="s">
        <v>1261</v>
      </c>
      <c r="C1394" t="s">
        <v>5601</v>
      </c>
      <c r="D1394" t="s">
        <v>9926</v>
      </c>
      <c r="E1394" t="s">
        <v>10075</v>
      </c>
      <c r="F1394">
        <v>10453</v>
      </c>
      <c r="G1394" t="s">
        <v>10090</v>
      </c>
      <c r="H1394" t="s">
        <v>10130</v>
      </c>
      <c r="I1394" t="s">
        <v>10168</v>
      </c>
      <c r="J1394" t="s">
        <v>10210</v>
      </c>
      <c r="K1394" t="s">
        <v>10217</v>
      </c>
      <c r="M1394" t="s">
        <v>10463</v>
      </c>
      <c r="N1394" t="s">
        <v>10650</v>
      </c>
      <c r="P1394" t="s">
        <v>10749</v>
      </c>
      <c r="Q1394" t="s">
        <v>10765</v>
      </c>
      <c r="R1394" t="s">
        <v>10824</v>
      </c>
      <c r="T1394">
        <v>20400</v>
      </c>
      <c r="U1394">
        <v>1700</v>
      </c>
      <c r="V1394">
        <v>71</v>
      </c>
      <c r="W1394">
        <v>1</v>
      </c>
      <c r="X1394">
        <v>0</v>
      </c>
      <c r="Z1394">
        <v>163.33</v>
      </c>
      <c r="AA1394">
        <v>40.846849</v>
      </c>
      <c r="AB1394">
        <v>-73.90953500000001</v>
      </c>
      <c r="AD1394" t="s">
        <v>10840</v>
      </c>
      <c r="AG1394" t="s">
        <v>10858</v>
      </c>
      <c r="AH1394" t="s">
        <v>10862</v>
      </c>
      <c r="AI1394">
        <v>230</v>
      </c>
      <c r="AJ1394" t="s">
        <v>10210</v>
      </c>
      <c r="AL1394">
        <v>0</v>
      </c>
      <c r="AM1394" t="s">
        <v>10884</v>
      </c>
      <c r="AN1394" t="s">
        <v>10931</v>
      </c>
      <c r="AO1394" t="s">
        <v>11000</v>
      </c>
      <c r="AP1394" t="s">
        <v>11045</v>
      </c>
      <c r="AR1394" t="s">
        <v>11268</v>
      </c>
      <c r="AS1394" t="s">
        <v>9926</v>
      </c>
      <c r="AT1394" t="s">
        <v>11642</v>
      </c>
      <c r="BA1394" t="s">
        <v>11739</v>
      </c>
      <c r="BB1394">
        <v>0</v>
      </c>
      <c r="BC1394">
        <v>0</v>
      </c>
      <c r="BD1394">
        <v>0</v>
      </c>
      <c r="BE1394">
        <v>0</v>
      </c>
      <c r="BF1394">
        <v>4</v>
      </c>
      <c r="BG1394">
        <v>0</v>
      </c>
    </row>
    <row r="1395" spans="1:59">
      <c r="A1395" s="1">
        <f>HYPERLINK("https://lsnyc.legalserver.org/matter/dynamic-profile/view/1905233","19-1905233")</f>
        <v>0</v>
      </c>
      <c r="B1395" t="s">
        <v>1262</v>
      </c>
      <c r="C1395" t="s">
        <v>6090</v>
      </c>
      <c r="D1395" t="s">
        <v>9988</v>
      </c>
      <c r="E1395" t="s">
        <v>10075</v>
      </c>
      <c r="F1395">
        <v>11693</v>
      </c>
      <c r="G1395" t="s">
        <v>10092</v>
      </c>
      <c r="H1395" t="s">
        <v>10130</v>
      </c>
      <c r="I1395" t="s">
        <v>10168</v>
      </c>
      <c r="J1395" t="s">
        <v>10212</v>
      </c>
      <c r="K1395" t="s">
        <v>10217</v>
      </c>
      <c r="M1395" t="s">
        <v>10335</v>
      </c>
      <c r="N1395" t="s">
        <v>10695</v>
      </c>
      <c r="P1395" t="s">
        <v>10749</v>
      </c>
      <c r="Q1395" t="s">
        <v>10767</v>
      </c>
      <c r="R1395" t="s">
        <v>10824</v>
      </c>
      <c r="T1395">
        <v>12000</v>
      </c>
      <c r="U1395">
        <v>1000</v>
      </c>
      <c r="V1395">
        <v>46</v>
      </c>
      <c r="W1395">
        <v>2</v>
      </c>
      <c r="X1395">
        <v>0</v>
      </c>
      <c r="Z1395">
        <v>70.95999999999999</v>
      </c>
      <c r="AA1395">
        <v>40.588515</v>
      </c>
      <c r="AB1395">
        <v>-73.810068</v>
      </c>
      <c r="AD1395" t="s">
        <v>10839</v>
      </c>
      <c r="AG1395" t="s">
        <v>10858</v>
      </c>
      <c r="AH1395" t="s">
        <v>10862</v>
      </c>
      <c r="AI1395">
        <v>237</v>
      </c>
      <c r="AJ1395" t="s">
        <v>10212</v>
      </c>
      <c r="AL1395">
        <v>1</v>
      </c>
      <c r="AM1395" t="s">
        <v>10892</v>
      </c>
      <c r="AN1395" t="s">
        <v>10930</v>
      </c>
      <c r="AO1395" t="s">
        <v>11017</v>
      </c>
      <c r="AP1395" t="s">
        <v>11082</v>
      </c>
      <c r="AR1395" t="s">
        <v>11296</v>
      </c>
      <c r="AS1395" t="s">
        <v>11594</v>
      </c>
      <c r="AX1395" t="s">
        <v>10838</v>
      </c>
      <c r="BA1395" t="s">
        <v>11742</v>
      </c>
      <c r="BB1395">
        <v>0</v>
      </c>
      <c r="BC1395">
        <v>0</v>
      </c>
      <c r="BD1395">
        <v>0</v>
      </c>
      <c r="BE1395">
        <v>0</v>
      </c>
      <c r="BF1395">
        <v>7</v>
      </c>
      <c r="BG1395">
        <v>0</v>
      </c>
    </row>
    <row r="1396" spans="1:59">
      <c r="A1396" s="1">
        <f>HYPERLINK("https://lsnyc.legalserver.org/matter/dynamic-profile/view/1905234","19-1905234")</f>
        <v>0</v>
      </c>
      <c r="B1396" t="s">
        <v>1261</v>
      </c>
      <c r="C1396" t="s">
        <v>5601</v>
      </c>
      <c r="D1396" t="s">
        <v>9926</v>
      </c>
      <c r="E1396" t="s">
        <v>10075</v>
      </c>
      <c r="F1396">
        <v>10453</v>
      </c>
      <c r="G1396" t="s">
        <v>10090</v>
      </c>
      <c r="H1396" t="s">
        <v>10130</v>
      </c>
      <c r="I1396" t="s">
        <v>10168</v>
      </c>
      <c r="J1396" t="s">
        <v>10210</v>
      </c>
      <c r="K1396" t="s">
        <v>10217</v>
      </c>
      <c r="M1396" t="s">
        <v>10463</v>
      </c>
      <c r="N1396" t="s">
        <v>10650</v>
      </c>
      <c r="P1396" t="s">
        <v>10749</v>
      </c>
      <c r="Q1396" t="s">
        <v>10765</v>
      </c>
      <c r="R1396" t="s">
        <v>10824</v>
      </c>
      <c r="T1396">
        <v>20400</v>
      </c>
      <c r="U1396">
        <v>1700</v>
      </c>
      <c r="V1396">
        <v>71</v>
      </c>
      <c r="W1396">
        <v>1</v>
      </c>
      <c r="X1396">
        <v>0</v>
      </c>
      <c r="Z1396">
        <v>163.33</v>
      </c>
      <c r="AA1396">
        <v>40.846849</v>
      </c>
      <c r="AB1396">
        <v>-73.90953500000001</v>
      </c>
      <c r="AD1396" t="s">
        <v>10840</v>
      </c>
      <c r="AG1396" t="s">
        <v>10858</v>
      </c>
      <c r="AH1396" t="s">
        <v>10862</v>
      </c>
      <c r="AI1396">
        <v>230</v>
      </c>
      <c r="AJ1396" t="s">
        <v>10210</v>
      </c>
      <c r="AL1396">
        <v>0</v>
      </c>
      <c r="AM1396" t="s">
        <v>10884</v>
      </c>
      <c r="AN1396" t="s">
        <v>10931</v>
      </c>
      <c r="AO1396" t="s">
        <v>11000</v>
      </c>
      <c r="AP1396" t="s">
        <v>11045</v>
      </c>
      <c r="AR1396" t="s">
        <v>11268</v>
      </c>
      <c r="AS1396" t="s">
        <v>9926</v>
      </c>
      <c r="AT1396" t="s">
        <v>11642</v>
      </c>
      <c r="BA1396" t="s">
        <v>11739</v>
      </c>
      <c r="BB1396">
        <v>0</v>
      </c>
      <c r="BC1396">
        <v>0</v>
      </c>
      <c r="BD1396">
        <v>0</v>
      </c>
      <c r="BE1396">
        <v>0</v>
      </c>
      <c r="BF1396">
        <v>4</v>
      </c>
      <c r="BG1396">
        <v>0</v>
      </c>
    </row>
    <row r="1397" spans="1:59">
      <c r="A1397" s="1">
        <f>HYPERLINK("https://lsnyc.legalserver.org/matter/dynamic-profile/view/1905235","19-1905235")</f>
        <v>0</v>
      </c>
      <c r="B1397" t="s">
        <v>1175</v>
      </c>
      <c r="C1397" t="s">
        <v>6091</v>
      </c>
      <c r="D1397" t="s">
        <v>9926</v>
      </c>
      <c r="E1397" t="s">
        <v>10075</v>
      </c>
      <c r="F1397">
        <v>10460</v>
      </c>
      <c r="G1397" t="s">
        <v>10090</v>
      </c>
      <c r="H1397" t="s">
        <v>10130</v>
      </c>
      <c r="I1397" t="s">
        <v>10168</v>
      </c>
      <c r="J1397" t="s">
        <v>10210</v>
      </c>
      <c r="K1397" t="s">
        <v>10217</v>
      </c>
      <c r="M1397" t="s">
        <v>10372</v>
      </c>
      <c r="N1397" t="s">
        <v>10704</v>
      </c>
      <c r="P1397" t="s">
        <v>10750</v>
      </c>
      <c r="Q1397" t="s">
        <v>10778</v>
      </c>
      <c r="R1397" t="s">
        <v>10821</v>
      </c>
      <c r="T1397">
        <v>45570</v>
      </c>
      <c r="U1397">
        <v>3797.5</v>
      </c>
      <c r="V1397">
        <v>57</v>
      </c>
      <c r="W1397">
        <v>3</v>
      </c>
      <c r="X1397">
        <v>1</v>
      </c>
      <c r="Z1397">
        <v>176.97</v>
      </c>
      <c r="AA1397">
        <v>40.838368</v>
      </c>
      <c r="AB1397">
        <v>-73.871011</v>
      </c>
      <c r="AD1397" t="s">
        <v>10839</v>
      </c>
      <c r="AG1397" t="s">
        <v>10858</v>
      </c>
      <c r="AH1397" t="s">
        <v>10871</v>
      </c>
      <c r="AI1397">
        <v>234</v>
      </c>
      <c r="AJ1397" t="s">
        <v>10214</v>
      </c>
      <c r="AL1397">
        <v>7.58</v>
      </c>
      <c r="AM1397" t="s">
        <v>10884</v>
      </c>
      <c r="AN1397" t="s">
        <v>10908</v>
      </c>
      <c r="AO1397" t="s">
        <v>11000</v>
      </c>
      <c r="AP1397" t="s">
        <v>11046</v>
      </c>
      <c r="AR1397" t="s">
        <v>11415</v>
      </c>
      <c r="AS1397" t="s">
        <v>9926</v>
      </c>
      <c r="AT1397" t="s">
        <v>11641</v>
      </c>
      <c r="AX1397" t="s">
        <v>10838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</row>
    <row r="1398" spans="1:59">
      <c r="A1398" s="1">
        <f>HYPERLINK("https://lsnyc.legalserver.org/matter/dynamic-profile/view/1905236","19-1905236")</f>
        <v>0</v>
      </c>
      <c r="B1398" t="s">
        <v>1263</v>
      </c>
      <c r="C1398" t="s">
        <v>6092</v>
      </c>
      <c r="D1398" t="s">
        <v>9928</v>
      </c>
      <c r="E1398" t="s">
        <v>10075</v>
      </c>
      <c r="F1398">
        <v>11225</v>
      </c>
      <c r="G1398" t="s">
        <v>10093</v>
      </c>
      <c r="H1398" t="s">
        <v>10130</v>
      </c>
      <c r="I1398" t="s">
        <v>10169</v>
      </c>
      <c r="J1398" t="s">
        <v>10213</v>
      </c>
      <c r="K1398" t="s">
        <v>10217</v>
      </c>
      <c r="M1398" t="s">
        <v>10256</v>
      </c>
      <c r="N1398" t="s">
        <v>10644</v>
      </c>
      <c r="P1398" t="s">
        <v>10749</v>
      </c>
      <c r="Q1398" t="s">
        <v>10765</v>
      </c>
      <c r="R1398" t="s">
        <v>10821</v>
      </c>
      <c r="T1398">
        <v>8400</v>
      </c>
      <c r="U1398">
        <v>700</v>
      </c>
      <c r="V1398">
        <v>71</v>
      </c>
      <c r="W1398">
        <v>2</v>
      </c>
      <c r="X1398">
        <v>0</v>
      </c>
      <c r="Z1398">
        <v>49.67</v>
      </c>
      <c r="AA1398">
        <v>40.663144</v>
      </c>
      <c r="AB1398">
        <v>-73.948244</v>
      </c>
      <c r="AD1398" t="s">
        <v>10839</v>
      </c>
      <c r="AG1398" t="s">
        <v>10858</v>
      </c>
      <c r="AH1398" t="s">
        <v>10861</v>
      </c>
      <c r="AI1398">
        <v>239</v>
      </c>
      <c r="AJ1398" t="s">
        <v>10213</v>
      </c>
      <c r="AL1398">
        <v>7</v>
      </c>
      <c r="AM1398" t="s">
        <v>10888</v>
      </c>
      <c r="AN1398" t="s">
        <v>10912</v>
      </c>
      <c r="AO1398" t="s">
        <v>11005</v>
      </c>
      <c r="AP1398" t="s">
        <v>11050</v>
      </c>
      <c r="AQ1398" t="s">
        <v>11101</v>
      </c>
      <c r="AR1398" t="s">
        <v>11268</v>
      </c>
      <c r="AS1398" t="s">
        <v>11595</v>
      </c>
      <c r="AT1398" t="s">
        <v>11641</v>
      </c>
      <c r="AX1398" t="s">
        <v>10838</v>
      </c>
      <c r="BA1398" t="s">
        <v>11738</v>
      </c>
      <c r="BB1398">
        <v>0</v>
      </c>
      <c r="BC1398">
        <v>0</v>
      </c>
      <c r="BD1398">
        <v>0</v>
      </c>
      <c r="BE1398">
        <v>0</v>
      </c>
      <c r="BF1398">
        <v>5</v>
      </c>
      <c r="BG1398">
        <v>0</v>
      </c>
    </row>
    <row r="1399" spans="1:59">
      <c r="A1399" s="1">
        <f>HYPERLINK("https://lsnyc.legalserver.org/matter/dynamic-profile/view/1905238","19-1905238")</f>
        <v>0</v>
      </c>
      <c r="B1399" t="s">
        <v>1264</v>
      </c>
      <c r="C1399" t="s">
        <v>6093</v>
      </c>
      <c r="D1399" t="s">
        <v>9959</v>
      </c>
      <c r="E1399" t="s">
        <v>10075</v>
      </c>
      <c r="F1399">
        <v>11356</v>
      </c>
      <c r="G1399" t="s">
        <v>10092</v>
      </c>
      <c r="H1399" t="s">
        <v>10130</v>
      </c>
      <c r="I1399" t="s">
        <v>10168</v>
      </c>
      <c r="J1399" t="s">
        <v>10212</v>
      </c>
      <c r="K1399" t="s">
        <v>10217</v>
      </c>
      <c r="M1399" t="s">
        <v>10365</v>
      </c>
      <c r="N1399" t="s">
        <v>10695</v>
      </c>
      <c r="P1399" t="s">
        <v>10749</v>
      </c>
      <c r="Q1399" t="s">
        <v>10765</v>
      </c>
      <c r="R1399" t="s">
        <v>10821</v>
      </c>
      <c r="T1399">
        <v>26000</v>
      </c>
      <c r="U1399">
        <v>2166.67</v>
      </c>
      <c r="V1399">
        <v>43</v>
      </c>
      <c r="W1399">
        <v>3</v>
      </c>
      <c r="X1399">
        <v>4</v>
      </c>
      <c r="Z1399">
        <v>66.65000000000001</v>
      </c>
      <c r="AA1399">
        <v>40.788246</v>
      </c>
      <c r="AB1399">
        <v>-73.84580099999999</v>
      </c>
      <c r="AD1399" t="s">
        <v>10839</v>
      </c>
      <c r="AG1399" t="s">
        <v>10858</v>
      </c>
      <c r="AH1399" t="s">
        <v>10862</v>
      </c>
      <c r="AI1399">
        <v>237</v>
      </c>
      <c r="AJ1399" t="s">
        <v>10212</v>
      </c>
      <c r="AL1399">
        <v>1.67</v>
      </c>
      <c r="AM1399" t="s">
        <v>10885</v>
      </c>
      <c r="AN1399" t="s">
        <v>10962</v>
      </c>
      <c r="AO1399" t="s">
        <v>11022</v>
      </c>
      <c r="AP1399" t="s">
        <v>11080</v>
      </c>
      <c r="AR1399" t="s">
        <v>11257</v>
      </c>
      <c r="AS1399" t="s">
        <v>11594</v>
      </c>
      <c r="BA1399" t="s">
        <v>11741</v>
      </c>
      <c r="BB1399">
        <v>0</v>
      </c>
      <c r="BC1399">
        <v>0</v>
      </c>
      <c r="BD1399">
        <v>0</v>
      </c>
      <c r="BE1399">
        <v>0</v>
      </c>
      <c r="BF1399">
        <v>1</v>
      </c>
      <c r="BG1399">
        <v>0</v>
      </c>
    </row>
    <row r="1400" spans="1:59">
      <c r="A1400" s="1">
        <f>HYPERLINK("https://lsnyc.legalserver.org/matter/dynamic-profile/view/1905239","19-1905239")</f>
        <v>0</v>
      </c>
      <c r="B1400" t="s">
        <v>1265</v>
      </c>
      <c r="C1400" t="s">
        <v>6094</v>
      </c>
      <c r="D1400" t="s">
        <v>9926</v>
      </c>
      <c r="E1400" t="s">
        <v>10075</v>
      </c>
      <c r="F1400">
        <v>10468</v>
      </c>
      <c r="G1400" t="s">
        <v>10090</v>
      </c>
      <c r="H1400" t="s">
        <v>10128</v>
      </c>
      <c r="I1400" t="s">
        <v>10169</v>
      </c>
      <c r="J1400" t="s">
        <v>10210</v>
      </c>
      <c r="K1400" t="s">
        <v>10217</v>
      </c>
      <c r="M1400" t="s">
        <v>10445</v>
      </c>
      <c r="N1400" t="s">
        <v>10712</v>
      </c>
      <c r="P1400" t="s">
        <v>10754</v>
      </c>
      <c r="Q1400" t="s">
        <v>10775</v>
      </c>
      <c r="R1400" t="s">
        <v>10823</v>
      </c>
      <c r="T1400">
        <v>3640</v>
      </c>
      <c r="U1400">
        <v>303.33</v>
      </c>
      <c r="V1400">
        <v>35</v>
      </c>
      <c r="W1400">
        <v>1</v>
      </c>
      <c r="X1400">
        <v>3</v>
      </c>
      <c r="Z1400">
        <v>14.14</v>
      </c>
      <c r="AA1400">
        <v>40.8583</v>
      </c>
      <c r="AB1400">
        <v>-73.90211499999999</v>
      </c>
      <c r="AD1400" t="s">
        <v>10839</v>
      </c>
      <c r="AF1400" t="s">
        <v>10842</v>
      </c>
      <c r="AG1400" t="s">
        <v>10859</v>
      </c>
      <c r="AH1400" t="s">
        <v>10865</v>
      </c>
      <c r="AI1400">
        <v>230</v>
      </c>
      <c r="AJ1400" t="s">
        <v>10210</v>
      </c>
      <c r="AL1400">
        <v>0</v>
      </c>
      <c r="AM1400" t="s">
        <v>10884</v>
      </c>
      <c r="AN1400" t="s">
        <v>10931</v>
      </c>
      <c r="AO1400" t="s">
        <v>11000</v>
      </c>
      <c r="AP1400" t="s">
        <v>11045</v>
      </c>
      <c r="AQ1400" t="s">
        <v>11129</v>
      </c>
      <c r="AR1400" t="s">
        <v>11257</v>
      </c>
      <c r="AS1400" t="s">
        <v>9926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</row>
    <row r="1401" spans="1:59">
      <c r="A1401" s="1">
        <f>HYPERLINK("https://lsnyc.legalserver.org/matter/dynamic-profile/view/1905241","19-1905241")</f>
        <v>0</v>
      </c>
      <c r="B1401" t="s">
        <v>1266</v>
      </c>
      <c r="C1401" t="s">
        <v>6095</v>
      </c>
      <c r="D1401" t="s">
        <v>9998</v>
      </c>
      <c r="E1401" t="s">
        <v>10076</v>
      </c>
      <c r="F1401">
        <v>8865</v>
      </c>
      <c r="G1401" t="s">
        <v>10093</v>
      </c>
      <c r="H1401" t="s">
        <v>10130</v>
      </c>
      <c r="I1401" t="s">
        <v>10168</v>
      </c>
      <c r="J1401" t="s">
        <v>10213</v>
      </c>
      <c r="K1401" t="s">
        <v>10218</v>
      </c>
      <c r="L1401" t="s">
        <v>10134</v>
      </c>
      <c r="M1401" t="s">
        <v>10436</v>
      </c>
      <c r="N1401" t="s">
        <v>10710</v>
      </c>
      <c r="P1401" t="s">
        <v>10750</v>
      </c>
      <c r="Q1401" t="s">
        <v>10760</v>
      </c>
      <c r="R1401" t="s">
        <v>10822</v>
      </c>
      <c r="T1401">
        <v>28365</v>
      </c>
      <c r="U1401">
        <v>2363.75</v>
      </c>
      <c r="V1401">
        <v>74</v>
      </c>
      <c r="W1401">
        <v>1</v>
      </c>
      <c r="X1401">
        <v>0</v>
      </c>
      <c r="Y1401" t="s">
        <v>10829</v>
      </c>
      <c r="Z1401">
        <v>227.1</v>
      </c>
      <c r="AA1401">
        <v>40.70787</v>
      </c>
      <c r="AB1401">
        <v>-75.17385</v>
      </c>
      <c r="AD1401" t="s">
        <v>10839</v>
      </c>
      <c r="AG1401" t="s">
        <v>10858</v>
      </c>
      <c r="AH1401" t="s">
        <v>10861</v>
      </c>
      <c r="AI1401">
        <v>234</v>
      </c>
      <c r="AJ1401" t="s">
        <v>10214</v>
      </c>
      <c r="AK1401" t="s">
        <v>10838</v>
      </c>
      <c r="AL1401">
        <v>1.25</v>
      </c>
      <c r="AQ1401" t="s">
        <v>11141</v>
      </c>
      <c r="AR1401" t="s">
        <v>11345</v>
      </c>
      <c r="AS1401" t="s">
        <v>11613</v>
      </c>
      <c r="AT1401" t="s">
        <v>11641</v>
      </c>
      <c r="AX1401" t="s">
        <v>10838</v>
      </c>
      <c r="AY1401" t="s">
        <v>10829</v>
      </c>
      <c r="AZ1401" t="s">
        <v>11679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</row>
    <row r="1402" spans="1:59">
      <c r="A1402" s="1">
        <f>HYPERLINK("https://lsnyc.legalserver.org/matter/dynamic-profile/view/1905243","19-1905243")</f>
        <v>0</v>
      </c>
      <c r="B1402" t="s">
        <v>1267</v>
      </c>
      <c r="C1402" t="s">
        <v>6096</v>
      </c>
      <c r="D1402" t="s">
        <v>9925</v>
      </c>
      <c r="E1402" t="s">
        <v>10075</v>
      </c>
      <c r="F1402">
        <v>10011</v>
      </c>
      <c r="G1402" t="s">
        <v>10089</v>
      </c>
      <c r="H1402" t="s">
        <v>10128</v>
      </c>
      <c r="I1402" t="s">
        <v>10168</v>
      </c>
      <c r="J1402" t="s">
        <v>10209</v>
      </c>
      <c r="K1402" t="s">
        <v>10217</v>
      </c>
      <c r="M1402" t="s">
        <v>10402</v>
      </c>
      <c r="N1402" t="s">
        <v>10646</v>
      </c>
      <c r="P1402" t="s">
        <v>10751</v>
      </c>
      <c r="Q1402" t="s">
        <v>10761</v>
      </c>
      <c r="R1402" t="s">
        <v>10820</v>
      </c>
      <c r="T1402">
        <v>25320</v>
      </c>
      <c r="U1402">
        <v>2110</v>
      </c>
      <c r="V1402">
        <v>66</v>
      </c>
      <c r="W1402">
        <v>1</v>
      </c>
      <c r="X1402">
        <v>0</v>
      </c>
      <c r="Z1402">
        <v>202.72</v>
      </c>
      <c r="AA1402">
        <v>0</v>
      </c>
      <c r="AB1402">
        <v>0</v>
      </c>
      <c r="AC1402" t="s">
        <v>10837</v>
      </c>
      <c r="AD1402" t="s">
        <v>10839</v>
      </c>
      <c r="AG1402" t="s">
        <v>10858</v>
      </c>
      <c r="AH1402" t="s">
        <v>10868</v>
      </c>
      <c r="AI1402">
        <v>239</v>
      </c>
      <c r="AJ1402" t="s">
        <v>10213</v>
      </c>
      <c r="AL1402">
        <v>0.8</v>
      </c>
      <c r="AR1402" t="s">
        <v>11377</v>
      </c>
      <c r="AS1402" t="s">
        <v>9925</v>
      </c>
      <c r="AT1402" t="s">
        <v>11641</v>
      </c>
      <c r="AX1402" t="s">
        <v>10837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</row>
    <row r="1403" spans="1:59">
      <c r="A1403" s="1">
        <f>HYPERLINK("https://lsnyc.legalserver.org/matter/dynamic-profile/view/1905244","19-1905244")</f>
        <v>0</v>
      </c>
      <c r="B1403" t="s">
        <v>270</v>
      </c>
      <c r="C1403" t="s">
        <v>6097</v>
      </c>
      <c r="D1403" t="s">
        <v>9925</v>
      </c>
      <c r="E1403" t="s">
        <v>10075</v>
      </c>
      <c r="F1403">
        <v>10037</v>
      </c>
      <c r="G1403" t="s">
        <v>10089</v>
      </c>
      <c r="H1403" t="s">
        <v>10133</v>
      </c>
      <c r="J1403" t="s">
        <v>10209</v>
      </c>
      <c r="K1403" t="s">
        <v>10218</v>
      </c>
      <c r="L1403" t="s">
        <v>10135</v>
      </c>
      <c r="M1403" t="s">
        <v>10402</v>
      </c>
      <c r="N1403" t="s">
        <v>10707</v>
      </c>
      <c r="P1403" t="s">
        <v>10749</v>
      </c>
      <c r="Q1403" t="s">
        <v>10765</v>
      </c>
      <c r="R1403" t="s">
        <v>10824</v>
      </c>
      <c r="T1403">
        <v>34500</v>
      </c>
      <c r="U1403">
        <v>2875</v>
      </c>
      <c r="V1403">
        <v>54</v>
      </c>
      <c r="W1403">
        <v>1</v>
      </c>
      <c r="X1403">
        <v>0</v>
      </c>
      <c r="Y1403" t="s">
        <v>10831</v>
      </c>
      <c r="Z1403">
        <v>276.22</v>
      </c>
      <c r="AA1403">
        <v>40.808746</v>
      </c>
      <c r="AB1403">
        <v>-73.935626</v>
      </c>
      <c r="AD1403" t="s">
        <v>10840</v>
      </c>
      <c r="AG1403" t="s">
        <v>10858</v>
      </c>
      <c r="AH1403" t="s">
        <v>10868</v>
      </c>
      <c r="AI1403">
        <v>236</v>
      </c>
      <c r="AJ1403" t="s">
        <v>10209</v>
      </c>
      <c r="AK1403" t="s">
        <v>10838</v>
      </c>
      <c r="AL1403">
        <v>14</v>
      </c>
      <c r="AM1403" t="s">
        <v>10887</v>
      </c>
      <c r="AN1403" t="s">
        <v>10926</v>
      </c>
      <c r="AO1403" t="s">
        <v>11016</v>
      </c>
      <c r="AP1403" t="s">
        <v>11076</v>
      </c>
      <c r="AQ1403" t="s">
        <v>11101</v>
      </c>
      <c r="AR1403" t="s">
        <v>11257</v>
      </c>
      <c r="AS1403" t="s">
        <v>9925</v>
      </c>
      <c r="AT1403" t="s">
        <v>11642</v>
      </c>
      <c r="AX1403" t="s">
        <v>10838</v>
      </c>
      <c r="AY1403" t="s">
        <v>10831</v>
      </c>
      <c r="AZ1403" t="s">
        <v>11687</v>
      </c>
      <c r="BB1403">
        <v>2200</v>
      </c>
      <c r="BC1403">
        <v>0</v>
      </c>
      <c r="BD1403">
        <v>0</v>
      </c>
      <c r="BE1403">
        <v>0</v>
      </c>
      <c r="BF1403">
        <v>0</v>
      </c>
      <c r="BG1403">
        <v>0</v>
      </c>
    </row>
    <row r="1404" spans="1:59">
      <c r="A1404" s="1">
        <f>HYPERLINK("https://lsnyc.legalserver.org/matter/dynamic-profile/view/1905245","19-1905245")</f>
        <v>0</v>
      </c>
      <c r="B1404" t="s">
        <v>1268</v>
      </c>
      <c r="C1404" t="s">
        <v>6098</v>
      </c>
      <c r="D1404" t="s">
        <v>9928</v>
      </c>
      <c r="E1404" t="s">
        <v>10075</v>
      </c>
      <c r="F1404">
        <v>11230</v>
      </c>
      <c r="G1404" t="s">
        <v>10093</v>
      </c>
      <c r="H1404" t="s">
        <v>10130</v>
      </c>
      <c r="I1404" t="s">
        <v>10168</v>
      </c>
      <c r="J1404" t="s">
        <v>10213</v>
      </c>
      <c r="K1404" t="s">
        <v>10218</v>
      </c>
      <c r="L1404" t="s">
        <v>10138</v>
      </c>
      <c r="M1404" t="s">
        <v>10317</v>
      </c>
      <c r="N1404" t="s">
        <v>10644</v>
      </c>
      <c r="P1404" t="s">
        <v>10751</v>
      </c>
      <c r="Q1404" t="s">
        <v>10761</v>
      </c>
      <c r="R1404" t="s">
        <v>10820</v>
      </c>
      <c r="T1404">
        <v>10452</v>
      </c>
      <c r="U1404">
        <v>871</v>
      </c>
      <c r="V1404">
        <v>60</v>
      </c>
      <c r="W1404">
        <v>2</v>
      </c>
      <c r="X1404">
        <v>0</v>
      </c>
      <c r="Y1404" t="s">
        <v>10829</v>
      </c>
      <c r="Z1404">
        <v>61.81</v>
      </c>
      <c r="AA1404">
        <v>40.617697</v>
      </c>
      <c r="AB1404">
        <v>-73.966899</v>
      </c>
      <c r="AD1404" t="s">
        <v>10839</v>
      </c>
      <c r="AF1404" t="s">
        <v>10843</v>
      </c>
      <c r="AG1404" t="s">
        <v>10858</v>
      </c>
      <c r="AH1404" t="s">
        <v>10861</v>
      </c>
      <c r="AI1404">
        <v>234</v>
      </c>
      <c r="AJ1404" t="s">
        <v>10214</v>
      </c>
      <c r="AK1404" t="s">
        <v>10837</v>
      </c>
      <c r="AL1404">
        <v>4.6</v>
      </c>
      <c r="AM1404" t="s">
        <v>10894</v>
      </c>
      <c r="AN1404" t="s">
        <v>10947</v>
      </c>
      <c r="AO1404" t="s">
        <v>11023</v>
      </c>
      <c r="AP1404" t="s">
        <v>11079</v>
      </c>
      <c r="AR1404" t="s">
        <v>11338</v>
      </c>
      <c r="AS1404" t="s">
        <v>11595</v>
      </c>
      <c r="AT1404" t="s">
        <v>11641</v>
      </c>
      <c r="AX1404" t="s">
        <v>10838</v>
      </c>
      <c r="AY1404" t="s">
        <v>10829</v>
      </c>
      <c r="AZ1404" t="s">
        <v>11682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</row>
    <row r="1405" spans="1:59">
      <c r="A1405" s="1">
        <f>HYPERLINK("https://lsnyc.legalserver.org/matter/dynamic-profile/view/1905247","19-1905247")</f>
        <v>0</v>
      </c>
      <c r="B1405" t="s">
        <v>1269</v>
      </c>
      <c r="C1405" t="s">
        <v>6099</v>
      </c>
      <c r="D1405" t="s">
        <v>9925</v>
      </c>
      <c r="E1405" t="s">
        <v>10075</v>
      </c>
      <c r="F1405">
        <v>10026</v>
      </c>
      <c r="G1405" t="s">
        <v>10090</v>
      </c>
      <c r="H1405" t="s">
        <v>10130</v>
      </c>
      <c r="I1405" t="s">
        <v>10168</v>
      </c>
      <c r="J1405" t="s">
        <v>10210</v>
      </c>
      <c r="K1405" t="s">
        <v>10217</v>
      </c>
      <c r="M1405" t="s">
        <v>10338</v>
      </c>
      <c r="N1405" t="s">
        <v>10671</v>
      </c>
      <c r="P1405" t="s">
        <v>10749</v>
      </c>
      <c r="Q1405" t="s">
        <v>10791</v>
      </c>
      <c r="R1405" t="s">
        <v>10822</v>
      </c>
      <c r="T1405">
        <v>13200</v>
      </c>
      <c r="U1405">
        <v>1100</v>
      </c>
      <c r="V1405">
        <v>36</v>
      </c>
      <c r="W1405">
        <v>1</v>
      </c>
      <c r="X1405">
        <v>3</v>
      </c>
      <c r="Z1405">
        <v>51.26</v>
      </c>
      <c r="AA1405">
        <v>40.803539</v>
      </c>
      <c r="AB1405">
        <v>-73.952107</v>
      </c>
      <c r="AD1405" t="s">
        <v>10839</v>
      </c>
      <c r="AG1405" t="s">
        <v>10858</v>
      </c>
      <c r="AH1405" t="s">
        <v>10874</v>
      </c>
      <c r="AI1405">
        <v>230</v>
      </c>
      <c r="AJ1405" t="s">
        <v>10210</v>
      </c>
      <c r="AL1405">
        <v>1</v>
      </c>
      <c r="AM1405" t="s">
        <v>10887</v>
      </c>
      <c r="AN1405" t="s">
        <v>10936</v>
      </c>
      <c r="AO1405" t="s">
        <v>11016</v>
      </c>
      <c r="AP1405" t="s">
        <v>11076</v>
      </c>
      <c r="AR1405" t="s">
        <v>11268</v>
      </c>
      <c r="AS1405" t="s">
        <v>9925</v>
      </c>
      <c r="BA1405" t="s">
        <v>11740</v>
      </c>
      <c r="BB1405">
        <v>0</v>
      </c>
      <c r="BC1405">
        <v>0</v>
      </c>
      <c r="BD1405">
        <v>0</v>
      </c>
      <c r="BE1405">
        <v>0</v>
      </c>
      <c r="BF1405">
        <v>2</v>
      </c>
      <c r="BG1405">
        <v>0</v>
      </c>
    </row>
    <row r="1406" spans="1:59">
      <c r="A1406" s="1">
        <f>HYPERLINK("https://lsnyc.legalserver.org/matter/dynamic-profile/view/1905248","19-1905248")</f>
        <v>0</v>
      </c>
      <c r="B1406" t="s">
        <v>1270</v>
      </c>
      <c r="C1406" t="s">
        <v>5416</v>
      </c>
      <c r="D1406" t="s">
        <v>9925</v>
      </c>
      <c r="E1406" t="s">
        <v>10075</v>
      </c>
      <c r="F1406">
        <v>10024</v>
      </c>
      <c r="G1406" t="s">
        <v>10089</v>
      </c>
      <c r="H1406" t="s">
        <v>10130</v>
      </c>
      <c r="I1406" t="s">
        <v>10168</v>
      </c>
      <c r="J1406" t="s">
        <v>10209</v>
      </c>
      <c r="K1406" t="s">
        <v>10217</v>
      </c>
      <c r="M1406" t="s">
        <v>10440</v>
      </c>
      <c r="N1406" t="s">
        <v>10650</v>
      </c>
      <c r="P1406" t="s">
        <v>10749</v>
      </c>
      <c r="Q1406" t="s">
        <v>10765</v>
      </c>
      <c r="R1406" t="s">
        <v>10824</v>
      </c>
      <c r="T1406">
        <v>18000</v>
      </c>
      <c r="U1406">
        <v>1500</v>
      </c>
      <c r="V1406">
        <v>67</v>
      </c>
      <c r="W1406">
        <v>1</v>
      </c>
      <c r="X1406">
        <v>0</v>
      </c>
      <c r="Z1406">
        <v>144.12</v>
      </c>
      <c r="AA1406">
        <v>40.785599</v>
      </c>
      <c r="AB1406">
        <v>-73.97568</v>
      </c>
      <c r="AD1406" t="s">
        <v>10839</v>
      </c>
      <c r="AG1406" t="s">
        <v>10858</v>
      </c>
      <c r="AH1406" t="s">
        <v>10862</v>
      </c>
      <c r="AI1406">
        <v>236</v>
      </c>
      <c r="AJ1406" t="s">
        <v>10209</v>
      </c>
      <c r="AL1406">
        <v>0</v>
      </c>
      <c r="AM1406" t="s">
        <v>10894</v>
      </c>
      <c r="AN1406" t="s">
        <v>10953</v>
      </c>
      <c r="AO1406" t="s">
        <v>11013</v>
      </c>
      <c r="AP1406" t="s">
        <v>11089</v>
      </c>
      <c r="AR1406" t="s">
        <v>11263</v>
      </c>
      <c r="AS1406" t="s">
        <v>9925</v>
      </c>
      <c r="AT1406" t="s">
        <v>11641</v>
      </c>
      <c r="AX1406" t="s">
        <v>10838</v>
      </c>
      <c r="BA1406" t="s">
        <v>11739</v>
      </c>
      <c r="BB1406">
        <v>0</v>
      </c>
      <c r="BC1406">
        <v>0</v>
      </c>
      <c r="BD1406">
        <v>0</v>
      </c>
      <c r="BE1406">
        <v>0</v>
      </c>
      <c r="BF1406">
        <v>4</v>
      </c>
      <c r="BG1406">
        <v>0</v>
      </c>
    </row>
    <row r="1407" spans="1:59">
      <c r="A1407" s="1">
        <f>HYPERLINK("https://lsnyc.legalserver.org/matter/dynamic-profile/view/1905250","19-1905250")</f>
        <v>0</v>
      </c>
      <c r="B1407" t="s">
        <v>1271</v>
      </c>
      <c r="C1407" t="s">
        <v>6100</v>
      </c>
      <c r="D1407" t="s">
        <v>9931</v>
      </c>
      <c r="E1407" t="s">
        <v>10075</v>
      </c>
      <c r="F1407">
        <v>11367</v>
      </c>
      <c r="G1407" t="s">
        <v>10092</v>
      </c>
      <c r="H1407" t="s">
        <v>10130</v>
      </c>
      <c r="I1407" t="s">
        <v>10168</v>
      </c>
      <c r="J1407" t="s">
        <v>10212</v>
      </c>
      <c r="K1407" t="s">
        <v>10218</v>
      </c>
      <c r="L1407" t="s">
        <v>10104</v>
      </c>
      <c r="M1407" t="s">
        <v>10484</v>
      </c>
      <c r="N1407" t="s">
        <v>10695</v>
      </c>
      <c r="P1407" t="s">
        <v>10749</v>
      </c>
      <c r="Q1407" t="s">
        <v>10765</v>
      </c>
      <c r="R1407" t="s">
        <v>10820</v>
      </c>
      <c r="T1407">
        <v>10488</v>
      </c>
      <c r="U1407">
        <v>874</v>
      </c>
      <c r="V1407">
        <v>65</v>
      </c>
      <c r="W1407">
        <v>1</v>
      </c>
      <c r="X1407">
        <v>0</v>
      </c>
      <c r="Y1407" t="s">
        <v>10829</v>
      </c>
      <c r="Z1407">
        <v>83.97</v>
      </c>
      <c r="AA1407">
        <v>40.726997</v>
      </c>
      <c r="AB1407">
        <v>-73.815057</v>
      </c>
      <c r="AD1407" t="s">
        <v>10839</v>
      </c>
      <c r="AG1407" t="s">
        <v>10858</v>
      </c>
      <c r="AH1407" t="s">
        <v>10862</v>
      </c>
      <c r="AI1407">
        <v>237</v>
      </c>
      <c r="AJ1407" t="s">
        <v>10212</v>
      </c>
      <c r="AK1407" t="s">
        <v>10882</v>
      </c>
      <c r="AL1407">
        <v>1.75</v>
      </c>
      <c r="AM1407" t="s">
        <v>10890</v>
      </c>
      <c r="AN1407" t="s">
        <v>10962</v>
      </c>
      <c r="AO1407" t="s">
        <v>11024</v>
      </c>
      <c r="AP1407" t="s">
        <v>11081</v>
      </c>
      <c r="AR1407" t="s">
        <v>11253</v>
      </c>
      <c r="AS1407" t="s">
        <v>11594</v>
      </c>
      <c r="AX1407" t="s">
        <v>10838</v>
      </c>
      <c r="AY1407" t="s">
        <v>10829</v>
      </c>
      <c r="AZ1407" t="s">
        <v>11681</v>
      </c>
      <c r="BA1407" t="s">
        <v>11741</v>
      </c>
      <c r="BB1407">
        <v>0</v>
      </c>
      <c r="BC1407">
        <v>0</v>
      </c>
      <c r="BD1407">
        <v>0</v>
      </c>
      <c r="BE1407">
        <v>0</v>
      </c>
      <c r="BF1407">
        <v>1</v>
      </c>
      <c r="BG1407">
        <v>0</v>
      </c>
    </row>
    <row r="1408" spans="1:59">
      <c r="A1408" s="1">
        <f>HYPERLINK("https://lsnyc.legalserver.org/matter/dynamic-profile/view/1905251","19-1905251")</f>
        <v>0</v>
      </c>
      <c r="B1408" t="s">
        <v>1272</v>
      </c>
      <c r="C1408" t="s">
        <v>6101</v>
      </c>
      <c r="D1408" t="s">
        <v>9928</v>
      </c>
      <c r="E1408" t="s">
        <v>10075</v>
      </c>
      <c r="F1408">
        <v>11222</v>
      </c>
      <c r="G1408" t="s">
        <v>10093</v>
      </c>
      <c r="H1408" t="s">
        <v>10128</v>
      </c>
      <c r="I1408" t="s">
        <v>10168</v>
      </c>
      <c r="J1408" t="s">
        <v>10213</v>
      </c>
      <c r="K1408" t="s">
        <v>10218</v>
      </c>
      <c r="L1408" t="s">
        <v>10138</v>
      </c>
      <c r="M1408" t="s">
        <v>10252</v>
      </c>
      <c r="N1408" t="s">
        <v>10671</v>
      </c>
      <c r="P1408" t="s">
        <v>10751</v>
      </c>
      <c r="Q1408" t="s">
        <v>10768</v>
      </c>
      <c r="R1408" t="s">
        <v>10821</v>
      </c>
      <c r="T1408">
        <v>0</v>
      </c>
      <c r="U1408">
        <v>0</v>
      </c>
      <c r="V1408">
        <v>46</v>
      </c>
      <c r="W1408">
        <v>1</v>
      </c>
      <c r="X1408">
        <v>0</v>
      </c>
      <c r="Y1408" t="s">
        <v>10829</v>
      </c>
      <c r="Z1408">
        <v>0</v>
      </c>
      <c r="AA1408">
        <v>40.721909</v>
      </c>
      <c r="AB1408">
        <v>-73.93771599999999</v>
      </c>
      <c r="AD1408" t="s">
        <v>10840</v>
      </c>
      <c r="AG1408" t="s">
        <v>10858</v>
      </c>
      <c r="AH1408" t="s">
        <v>10868</v>
      </c>
      <c r="AI1408">
        <v>239</v>
      </c>
      <c r="AJ1408" t="s">
        <v>10213</v>
      </c>
      <c r="AK1408" t="s">
        <v>10838</v>
      </c>
      <c r="AL1408">
        <v>1.45</v>
      </c>
      <c r="AM1408" t="s">
        <v>10891</v>
      </c>
      <c r="AN1408" t="s">
        <v>10939</v>
      </c>
      <c r="AO1408" t="s">
        <v>11011</v>
      </c>
      <c r="AP1408" t="s">
        <v>11071</v>
      </c>
      <c r="AR1408" t="s">
        <v>11267</v>
      </c>
      <c r="AS1408" t="s">
        <v>11595</v>
      </c>
      <c r="AT1408" t="s">
        <v>11642</v>
      </c>
      <c r="AX1408" t="s">
        <v>10837</v>
      </c>
      <c r="AY1408" t="s">
        <v>10829</v>
      </c>
      <c r="AZ1408" t="s">
        <v>11682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</row>
    <row r="1409" spans="1:59">
      <c r="A1409" s="1">
        <f>HYPERLINK("https://lsnyc.legalserver.org/matter/dynamic-profile/view/1905252","19-1905252")</f>
        <v>0</v>
      </c>
      <c r="B1409" t="s">
        <v>1273</v>
      </c>
      <c r="C1409" t="s">
        <v>6102</v>
      </c>
      <c r="D1409" t="s">
        <v>9931</v>
      </c>
      <c r="E1409" t="s">
        <v>10075</v>
      </c>
      <c r="F1409">
        <v>11358</v>
      </c>
      <c r="G1409" t="s">
        <v>10092</v>
      </c>
      <c r="H1409" t="s">
        <v>10130</v>
      </c>
      <c r="I1409" t="s">
        <v>10168</v>
      </c>
      <c r="J1409" t="s">
        <v>10212</v>
      </c>
      <c r="K1409" t="s">
        <v>10217</v>
      </c>
      <c r="M1409" t="s">
        <v>10416</v>
      </c>
      <c r="N1409" t="s">
        <v>10678</v>
      </c>
      <c r="P1409" t="s">
        <v>10749</v>
      </c>
      <c r="Q1409" t="s">
        <v>10769</v>
      </c>
      <c r="R1409" t="s">
        <v>10820</v>
      </c>
      <c r="T1409">
        <v>12702.12</v>
      </c>
      <c r="U1409">
        <v>1058.51</v>
      </c>
      <c r="V1409">
        <v>85</v>
      </c>
      <c r="W1409">
        <v>1</v>
      </c>
      <c r="X1409">
        <v>0</v>
      </c>
      <c r="Z1409">
        <v>101.7</v>
      </c>
      <c r="AA1409">
        <v>40.761754</v>
      </c>
      <c r="AB1409">
        <v>-73.79843099999999</v>
      </c>
      <c r="AD1409" t="s">
        <v>10839</v>
      </c>
      <c r="AG1409" t="s">
        <v>10858</v>
      </c>
      <c r="AH1409" t="s">
        <v>10861</v>
      </c>
      <c r="AI1409">
        <v>234</v>
      </c>
      <c r="AJ1409" t="s">
        <v>10214</v>
      </c>
      <c r="AL1409">
        <v>5.6</v>
      </c>
      <c r="AM1409" t="s">
        <v>10890</v>
      </c>
      <c r="AN1409" t="s">
        <v>10948</v>
      </c>
      <c r="AO1409" t="s">
        <v>11009</v>
      </c>
      <c r="AP1409" t="s">
        <v>11080</v>
      </c>
      <c r="AR1409" t="s">
        <v>11345</v>
      </c>
      <c r="AS1409" t="s">
        <v>11594</v>
      </c>
      <c r="AT1409" t="s">
        <v>11641</v>
      </c>
      <c r="AX1409" t="s">
        <v>10838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</row>
    <row r="1410" spans="1:59">
      <c r="A1410" s="1">
        <f>HYPERLINK("https://lsnyc.legalserver.org/matter/dynamic-profile/view/1905253","19-1905253")</f>
        <v>0</v>
      </c>
      <c r="B1410" t="s">
        <v>1274</v>
      </c>
      <c r="C1410" t="s">
        <v>6103</v>
      </c>
      <c r="D1410" t="s">
        <v>9926</v>
      </c>
      <c r="E1410" t="s">
        <v>10075</v>
      </c>
      <c r="F1410">
        <v>10455</v>
      </c>
      <c r="G1410" t="s">
        <v>10090</v>
      </c>
      <c r="H1410" t="s">
        <v>10130</v>
      </c>
      <c r="I1410" t="s">
        <v>10169</v>
      </c>
      <c r="J1410" t="s">
        <v>10210</v>
      </c>
      <c r="K1410" t="s">
        <v>10218</v>
      </c>
      <c r="L1410" t="s">
        <v>10102</v>
      </c>
      <c r="M1410" t="s">
        <v>10262</v>
      </c>
      <c r="N1410" t="s">
        <v>10666</v>
      </c>
      <c r="P1410" t="s">
        <v>10749</v>
      </c>
      <c r="Q1410" t="s">
        <v>10765</v>
      </c>
      <c r="R1410" t="s">
        <v>10823</v>
      </c>
      <c r="T1410">
        <v>3600</v>
      </c>
      <c r="U1410">
        <v>300</v>
      </c>
      <c r="V1410">
        <v>29</v>
      </c>
      <c r="W1410">
        <v>3</v>
      </c>
      <c r="X1410">
        <v>0</v>
      </c>
      <c r="Y1410" t="s">
        <v>10829</v>
      </c>
      <c r="Z1410">
        <v>16.88</v>
      </c>
      <c r="AA1410">
        <v>40.814097</v>
      </c>
      <c r="AB1410">
        <v>-73.909482</v>
      </c>
      <c r="AD1410" t="s">
        <v>10839</v>
      </c>
      <c r="AF1410" t="s">
        <v>10842</v>
      </c>
      <c r="AG1410" t="s">
        <v>10859</v>
      </c>
      <c r="AH1410" t="s">
        <v>10861</v>
      </c>
      <c r="AI1410">
        <v>230</v>
      </c>
      <c r="AJ1410" t="s">
        <v>10210</v>
      </c>
      <c r="AK1410" t="s">
        <v>10882</v>
      </c>
      <c r="AL1410">
        <v>0.3</v>
      </c>
      <c r="AM1410" t="s">
        <v>10884</v>
      </c>
      <c r="AN1410" t="s">
        <v>10924</v>
      </c>
      <c r="AO1410" t="s">
        <v>11013</v>
      </c>
      <c r="AP1410" t="s">
        <v>11066</v>
      </c>
      <c r="AR1410" t="s">
        <v>11273</v>
      </c>
      <c r="AS1410" t="s">
        <v>9926</v>
      </c>
      <c r="AT1410" t="s">
        <v>11641</v>
      </c>
      <c r="AX1410" t="s">
        <v>10838</v>
      </c>
      <c r="AY1410" t="s">
        <v>10829</v>
      </c>
      <c r="AZ1410" t="s">
        <v>11681</v>
      </c>
      <c r="BA1410" t="s">
        <v>11741</v>
      </c>
      <c r="BB1410">
        <v>0</v>
      </c>
      <c r="BC1410">
        <v>0</v>
      </c>
      <c r="BD1410">
        <v>0</v>
      </c>
      <c r="BE1410">
        <v>0</v>
      </c>
      <c r="BF1410">
        <v>1</v>
      </c>
      <c r="BG1410">
        <v>0</v>
      </c>
    </row>
    <row r="1411" spans="1:59">
      <c r="A1411" s="1">
        <f>HYPERLINK("https://lsnyc.legalserver.org/matter/dynamic-profile/view/1905254","19-1905254")</f>
        <v>0</v>
      </c>
      <c r="B1411" t="s">
        <v>1275</v>
      </c>
      <c r="C1411" t="s">
        <v>6104</v>
      </c>
      <c r="D1411" t="s">
        <v>9938</v>
      </c>
      <c r="E1411" t="s">
        <v>10075</v>
      </c>
      <c r="F1411">
        <v>11434</v>
      </c>
      <c r="G1411" t="s">
        <v>10092</v>
      </c>
      <c r="H1411" t="s">
        <v>10130</v>
      </c>
      <c r="I1411" t="s">
        <v>10168</v>
      </c>
      <c r="J1411" t="s">
        <v>10212</v>
      </c>
      <c r="K1411" t="s">
        <v>10217</v>
      </c>
      <c r="M1411" t="s">
        <v>10428</v>
      </c>
      <c r="N1411" t="s">
        <v>10693</v>
      </c>
      <c r="P1411" t="s">
        <v>10749</v>
      </c>
      <c r="Q1411" t="s">
        <v>10765</v>
      </c>
      <c r="R1411" t="s">
        <v>10825</v>
      </c>
      <c r="T1411">
        <v>40000</v>
      </c>
      <c r="U1411">
        <v>3333.33</v>
      </c>
      <c r="V1411">
        <v>34</v>
      </c>
      <c r="W1411">
        <v>2</v>
      </c>
      <c r="X1411">
        <v>4</v>
      </c>
      <c r="Z1411">
        <v>115.64</v>
      </c>
      <c r="AA1411">
        <v>40.672116</v>
      </c>
      <c r="AB1411">
        <v>-73.782028</v>
      </c>
      <c r="AD1411" t="s">
        <v>10839</v>
      </c>
      <c r="AG1411" t="s">
        <v>10858</v>
      </c>
      <c r="AH1411" t="s">
        <v>10862</v>
      </c>
      <c r="AI1411">
        <v>237</v>
      </c>
      <c r="AJ1411" t="s">
        <v>10212</v>
      </c>
      <c r="AL1411">
        <v>31.12</v>
      </c>
      <c r="AM1411" t="s">
        <v>10892</v>
      </c>
      <c r="AN1411" t="s">
        <v>10951</v>
      </c>
      <c r="AO1411" t="s">
        <v>11017</v>
      </c>
      <c r="AP1411" t="s">
        <v>11070</v>
      </c>
      <c r="AR1411" t="s">
        <v>11257</v>
      </c>
      <c r="AS1411" t="s">
        <v>11594</v>
      </c>
      <c r="BA1411" t="s">
        <v>11738</v>
      </c>
      <c r="BB1411">
        <v>0</v>
      </c>
      <c r="BC1411">
        <v>0</v>
      </c>
      <c r="BD1411">
        <v>0</v>
      </c>
      <c r="BE1411">
        <v>0</v>
      </c>
      <c r="BF1411">
        <v>5</v>
      </c>
      <c r="BG1411">
        <v>0</v>
      </c>
    </row>
    <row r="1412" spans="1:59">
      <c r="A1412" s="1">
        <f>HYPERLINK("https://lsnyc.legalserver.org/matter/dynamic-profile/view/1905255","19-1905255")</f>
        <v>0</v>
      </c>
      <c r="B1412" t="s">
        <v>1276</v>
      </c>
      <c r="C1412" t="s">
        <v>6105</v>
      </c>
      <c r="D1412" t="s">
        <v>9926</v>
      </c>
      <c r="E1412" t="s">
        <v>10075</v>
      </c>
      <c r="F1412">
        <v>10475</v>
      </c>
      <c r="G1412" t="s">
        <v>10090</v>
      </c>
      <c r="H1412" t="s">
        <v>10128</v>
      </c>
      <c r="I1412" t="s">
        <v>10168</v>
      </c>
      <c r="J1412" t="s">
        <v>10210</v>
      </c>
      <c r="K1412" t="s">
        <v>10217</v>
      </c>
      <c r="M1412" t="s">
        <v>10445</v>
      </c>
      <c r="N1412" t="s">
        <v>10712</v>
      </c>
      <c r="P1412" t="s">
        <v>10754</v>
      </c>
      <c r="Q1412" t="s">
        <v>10775</v>
      </c>
      <c r="R1412" t="s">
        <v>10824</v>
      </c>
      <c r="T1412">
        <v>0</v>
      </c>
      <c r="U1412">
        <v>0</v>
      </c>
      <c r="V1412">
        <v>26</v>
      </c>
      <c r="W1412">
        <v>2</v>
      </c>
      <c r="X1412">
        <v>4</v>
      </c>
      <c r="Z1412">
        <v>0</v>
      </c>
      <c r="AA1412">
        <v>40.871282</v>
      </c>
      <c r="AB1412">
        <v>-73.82681100000001</v>
      </c>
      <c r="AD1412" t="s">
        <v>10839</v>
      </c>
      <c r="AF1412" t="s">
        <v>10842</v>
      </c>
      <c r="AG1412" t="s">
        <v>10859</v>
      </c>
      <c r="AH1412" t="s">
        <v>10865</v>
      </c>
      <c r="AI1412">
        <v>230</v>
      </c>
      <c r="AJ1412" t="s">
        <v>10210</v>
      </c>
      <c r="AL1412">
        <v>0</v>
      </c>
      <c r="AM1412" t="s">
        <v>10893</v>
      </c>
      <c r="AN1412" t="s">
        <v>10911</v>
      </c>
      <c r="AO1412" t="s">
        <v>11010</v>
      </c>
      <c r="AP1412" t="s">
        <v>11085</v>
      </c>
      <c r="AQ1412" t="s">
        <v>11106</v>
      </c>
      <c r="AR1412" t="s">
        <v>11257</v>
      </c>
      <c r="AS1412" t="s">
        <v>9926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</row>
    <row r="1413" spans="1:59">
      <c r="A1413" s="1">
        <f>HYPERLINK("https://lsnyc.legalserver.org/matter/dynamic-profile/view/1905256","19-1905256")</f>
        <v>0</v>
      </c>
      <c r="B1413" t="s">
        <v>1277</v>
      </c>
      <c r="C1413" t="s">
        <v>6106</v>
      </c>
      <c r="D1413" t="s">
        <v>9926</v>
      </c>
      <c r="E1413" t="s">
        <v>10075</v>
      </c>
      <c r="F1413">
        <v>10453</v>
      </c>
      <c r="G1413" t="s">
        <v>10090</v>
      </c>
      <c r="H1413" t="s">
        <v>10130</v>
      </c>
      <c r="I1413" t="s">
        <v>10169</v>
      </c>
      <c r="J1413" t="s">
        <v>10210</v>
      </c>
      <c r="K1413" t="s">
        <v>10217</v>
      </c>
      <c r="M1413" t="s">
        <v>10336</v>
      </c>
      <c r="N1413" t="s">
        <v>10671</v>
      </c>
      <c r="P1413" t="s">
        <v>10754</v>
      </c>
      <c r="Q1413" t="s">
        <v>10770</v>
      </c>
      <c r="R1413" t="s">
        <v>10821</v>
      </c>
      <c r="T1413">
        <v>14736</v>
      </c>
      <c r="U1413">
        <v>1228</v>
      </c>
      <c r="V1413">
        <v>40</v>
      </c>
      <c r="W1413">
        <v>1</v>
      </c>
      <c r="X1413">
        <v>1</v>
      </c>
      <c r="Z1413">
        <v>87.14</v>
      </c>
      <c r="AA1413">
        <v>40.853249</v>
      </c>
      <c r="AB1413">
        <v>-73.910584</v>
      </c>
      <c r="AD1413" t="s">
        <v>10839</v>
      </c>
      <c r="AF1413" t="s">
        <v>10843</v>
      </c>
      <c r="AG1413" t="s">
        <v>10859</v>
      </c>
      <c r="AH1413" t="s">
        <v>10871</v>
      </c>
      <c r="AI1413">
        <v>234</v>
      </c>
      <c r="AJ1413" t="s">
        <v>10214</v>
      </c>
      <c r="AL1413">
        <v>5.43</v>
      </c>
      <c r="AM1413" t="s">
        <v>10884</v>
      </c>
      <c r="AN1413" t="s">
        <v>10931</v>
      </c>
      <c r="AO1413" t="s">
        <v>11013</v>
      </c>
      <c r="AP1413" t="s">
        <v>11045</v>
      </c>
      <c r="AR1413" t="s">
        <v>11298</v>
      </c>
      <c r="AS1413" t="s">
        <v>9926</v>
      </c>
      <c r="AT1413" t="s">
        <v>11641</v>
      </c>
      <c r="AX1413" t="s">
        <v>10838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</row>
    <row r="1414" spans="1:59">
      <c r="A1414" s="1">
        <f>HYPERLINK("https://lsnyc.legalserver.org/matter/dynamic-profile/view/1905257","19-1905257")</f>
        <v>0</v>
      </c>
      <c r="B1414" t="s">
        <v>1278</v>
      </c>
      <c r="C1414" t="s">
        <v>5416</v>
      </c>
      <c r="D1414" t="s">
        <v>9925</v>
      </c>
      <c r="E1414" t="s">
        <v>10075</v>
      </c>
      <c r="F1414">
        <v>10024</v>
      </c>
      <c r="G1414" t="s">
        <v>10089</v>
      </c>
      <c r="H1414" t="s">
        <v>10130</v>
      </c>
      <c r="I1414" t="s">
        <v>10168</v>
      </c>
      <c r="J1414" t="s">
        <v>10209</v>
      </c>
      <c r="K1414" t="s">
        <v>10217</v>
      </c>
      <c r="M1414" t="s">
        <v>10440</v>
      </c>
      <c r="N1414" t="s">
        <v>10650</v>
      </c>
      <c r="P1414" t="s">
        <v>10749</v>
      </c>
      <c r="Q1414" t="s">
        <v>10765</v>
      </c>
      <c r="R1414" t="s">
        <v>10820</v>
      </c>
      <c r="T1414">
        <v>53000</v>
      </c>
      <c r="U1414">
        <v>4416.67</v>
      </c>
      <c r="V1414">
        <v>68</v>
      </c>
      <c r="W1414">
        <v>1</v>
      </c>
      <c r="X1414">
        <v>0</v>
      </c>
      <c r="Z1414">
        <v>424.34</v>
      </c>
      <c r="AA1414">
        <v>40.785599</v>
      </c>
      <c r="AB1414">
        <v>-73.97568</v>
      </c>
      <c r="AD1414" t="s">
        <v>10839</v>
      </c>
      <c r="AG1414" t="s">
        <v>10858</v>
      </c>
      <c r="AH1414" t="s">
        <v>10862</v>
      </c>
      <c r="AI1414">
        <v>236</v>
      </c>
      <c r="AJ1414" t="s">
        <v>10209</v>
      </c>
      <c r="AL1414">
        <v>0</v>
      </c>
      <c r="AM1414" t="s">
        <v>10894</v>
      </c>
      <c r="AN1414" t="s">
        <v>10953</v>
      </c>
      <c r="AO1414" t="s">
        <v>11013</v>
      </c>
      <c r="AP1414" t="s">
        <v>11089</v>
      </c>
      <c r="AR1414" t="s">
        <v>11257</v>
      </c>
      <c r="AS1414" t="s">
        <v>9925</v>
      </c>
      <c r="AT1414" t="s">
        <v>11641</v>
      </c>
      <c r="AX1414" t="s">
        <v>10838</v>
      </c>
      <c r="BA1414" t="s">
        <v>11739</v>
      </c>
      <c r="BB1414">
        <v>0</v>
      </c>
      <c r="BC1414">
        <v>0</v>
      </c>
      <c r="BD1414">
        <v>0</v>
      </c>
      <c r="BE1414">
        <v>0</v>
      </c>
      <c r="BF1414">
        <v>4</v>
      </c>
      <c r="BG1414">
        <v>0</v>
      </c>
    </row>
    <row r="1415" spans="1:59">
      <c r="A1415" s="1">
        <f>HYPERLINK("https://lsnyc.legalserver.org/matter/dynamic-profile/view/1905258","19-1905258")</f>
        <v>0</v>
      </c>
      <c r="B1415" t="s">
        <v>1279</v>
      </c>
      <c r="C1415" t="s">
        <v>6107</v>
      </c>
      <c r="D1415" t="s">
        <v>9926</v>
      </c>
      <c r="E1415" t="s">
        <v>10075</v>
      </c>
      <c r="F1415">
        <v>10454</v>
      </c>
      <c r="G1415" t="s">
        <v>10090</v>
      </c>
      <c r="H1415" t="s">
        <v>10130</v>
      </c>
      <c r="I1415" t="s">
        <v>10168</v>
      </c>
      <c r="J1415" t="s">
        <v>10210</v>
      </c>
      <c r="K1415" t="s">
        <v>10217</v>
      </c>
      <c r="M1415" t="s">
        <v>10336</v>
      </c>
      <c r="N1415" t="s">
        <v>10671</v>
      </c>
      <c r="P1415" t="s">
        <v>10754</v>
      </c>
      <c r="Q1415" t="s">
        <v>10770</v>
      </c>
      <c r="R1415" t="s">
        <v>10822</v>
      </c>
      <c r="T1415">
        <v>7944</v>
      </c>
      <c r="U1415">
        <v>662</v>
      </c>
      <c r="V1415">
        <v>55</v>
      </c>
      <c r="W1415">
        <v>2</v>
      </c>
      <c r="X1415">
        <v>0</v>
      </c>
      <c r="Z1415">
        <v>46.98</v>
      </c>
      <c r="AA1415">
        <v>40.806736</v>
      </c>
      <c r="AB1415">
        <v>-73.912943</v>
      </c>
      <c r="AC1415" t="s">
        <v>10837</v>
      </c>
      <c r="AD1415" t="s">
        <v>10840</v>
      </c>
      <c r="AG1415" t="s">
        <v>10858</v>
      </c>
      <c r="AH1415" t="s">
        <v>10861</v>
      </c>
      <c r="AI1415">
        <v>234</v>
      </c>
      <c r="AJ1415" t="s">
        <v>10214</v>
      </c>
      <c r="AL1415">
        <v>3.95</v>
      </c>
      <c r="AM1415" t="s">
        <v>10884</v>
      </c>
      <c r="AN1415" t="s">
        <v>10924</v>
      </c>
      <c r="AO1415" t="s">
        <v>11013</v>
      </c>
      <c r="AP1415" t="s">
        <v>11066</v>
      </c>
      <c r="AR1415" t="s">
        <v>11416</v>
      </c>
      <c r="AS1415" t="s">
        <v>9926</v>
      </c>
      <c r="AT1415" t="s">
        <v>11642</v>
      </c>
      <c r="AX1415" t="s">
        <v>10838</v>
      </c>
      <c r="BA1415" t="s">
        <v>11737</v>
      </c>
      <c r="BB1415">
        <v>0</v>
      </c>
      <c r="BC1415">
        <v>0</v>
      </c>
      <c r="BD1415">
        <v>0</v>
      </c>
      <c r="BE1415">
        <v>0</v>
      </c>
      <c r="BF1415">
        <v>3</v>
      </c>
      <c r="BG1415">
        <v>0</v>
      </c>
    </row>
    <row r="1416" spans="1:59">
      <c r="A1416" s="1">
        <f>HYPERLINK("https://lsnyc.legalserver.org/matter/dynamic-profile/view/1905259","19-1905259")</f>
        <v>0</v>
      </c>
      <c r="B1416" t="s">
        <v>662</v>
      </c>
      <c r="C1416" t="s">
        <v>6108</v>
      </c>
      <c r="D1416" t="s">
        <v>9926</v>
      </c>
      <c r="E1416" t="s">
        <v>10075</v>
      </c>
      <c r="F1416">
        <v>10452</v>
      </c>
      <c r="G1416" t="s">
        <v>10090</v>
      </c>
      <c r="H1416" t="s">
        <v>10130</v>
      </c>
      <c r="I1416" t="s">
        <v>10168</v>
      </c>
      <c r="J1416" t="s">
        <v>10210</v>
      </c>
      <c r="K1416" t="s">
        <v>10218</v>
      </c>
      <c r="L1416" t="s">
        <v>10102</v>
      </c>
      <c r="M1416" t="s">
        <v>10234</v>
      </c>
      <c r="N1416" t="s">
        <v>10650</v>
      </c>
      <c r="P1416" t="s">
        <v>10749</v>
      </c>
      <c r="Q1416" t="s">
        <v>10765</v>
      </c>
      <c r="R1416" t="s">
        <v>10821</v>
      </c>
      <c r="T1416">
        <v>24369</v>
      </c>
      <c r="U1416">
        <v>2030.75</v>
      </c>
      <c r="V1416">
        <v>59</v>
      </c>
      <c r="W1416">
        <v>1</v>
      </c>
      <c r="X1416">
        <v>0</v>
      </c>
      <c r="Y1416" t="s">
        <v>10830</v>
      </c>
      <c r="Z1416">
        <v>195.11</v>
      </c>
      <c r="AA1416">
        <v>40.831216</v>
      </c>
      <c r="AB1416">
        <v>-73.930609</v>
      </c>
      <c r="AD1416" t="s">
        <v>10839</v>
      </c>
      <c r="AG1416" t="s">
        <v>10858</v>
      </c>
      <c r="AH1416" t="s">
        <v>10862</v>
      </c>
      <c r="AI1416">
        <v>230</v>
      </c>
      <c r="AJ1416" t="s">
        <v>10210</v>
      </c>
      <c r="AK1416" t="s">
        <v>10838</v>
      </c>
      <c r="AL1416">
        <v>1.25</v>
      </c>
      <c r="AM1416" t="s">
        <v>10884</v>
      </c>
      <c r="AN1416" t="s">
        <v>10924</v>
      </c>
      <c r="AO1416" t="s">
        <v>11013</v>
      </c>
      <c r="AP1416" t="s">
        <v>11066</v>
      </c>
      <c r="AR1416" t="s">
        <v>11258</v>
      </c>
      <c r="AS1416" t="s">
        <v>9926</v>
      </c>
      <c r="AY1416" t="s">
        <v>10830</v>
      </c>
      <c r="AZ1416" t="s">
        <v>11697</v>
      </c>
      <c r="BA1416" t="s">
        <v>11740</v>
      </c>
      <c r="BB1416">
        <v>0</v>
      </c>
      <c r="BC1416">
        <v>0</v>
      </c>
      <c r="BD1416">
        <v>0</v>
      </c>
      <c r="BE1416">
        <v>0</v>
      </c>
      <c r="BF1416">
        <v>2</v>
      </c>
      <c r="BG1416">
        <v>0</v>
      </c>
    </row>
    <row r="1417" spans="1:59">
      <c r="A1417" s="1">
        <f>HYPERLINK("https://lsnyc.legalserver.org/matter/dynamic-profile/view/1905260","19-1905260")</f>
        <v>0</v>
      </c>
      <c r="B1417" t="s">
        <v>856</v>
      </c>
      <c r="C1417" t="s">
        <v>5756</v>
      </c>
      <c r="D1417" t="s">
        <v>9925</v>
      </c>
      <c r="E1417" t="s">
        <v>10075</v>
      </c>
      <c r="F1417">
        <v>10040</v>
      </c>
      <c r="G1417" t="s">
        <v>10089</v>
      </c>
      <c r="H1417" t="s">
        <v>10130</v>
      </c>
      <c r="I1417" t="s">
        <v>10187</v>
      </c>
      <c r="J1417" t="s">
        <v>10209</v>
      </c>
      <c r="K1417" t="s">
        <v>10217</v>
      </c>
      <c r="M1417" t="s">
        <v>10288</v>
      </c>
      <c r="N1417" t="s">
        <v>10665</v>
      </c>
      <c r="P1417" t="s">
        <v>10750</v>
      </c>
      <c r="Q1417" t="s">
        <v>10799</v>
      </c>
      <c r="R1417" t="s">
        <v>10822</v>
      </c>
      <c r="T1417">
        <v>5200</v>
      </c>
      <c r="U1417">
        <v>433.33</v>
      </c>
      <c r="V1417">
        <v>52</v>
      </c>
      <c r="W1417">
        <v>2</v>
      </c>
      <c r="X1417">
        <v>0</v>
      </c>
      <c r="Z1417">
        <v>30.75</v>
      </c>
      <c r="AA1417">
        <v>40.854557</v>
      </c>
      <c r="AB1417">
        <v>-73.930406</v>
      </c>
      <c r="AD1417" t="s">
        <v>10839</v>
      </c>
      <c r="AF1417" t="s">
        <v>10842</v>
      </c>
      <c r="AG1417" t="s">
        <v>10859</v>
      </c>
      <c r="AH1417" t="s">
        <v>10876</v>
      </c>
      <c r="AI1417">
        <v>236</v>
      </c>
      <c r="AJ1417" t="s">
        <v>10209</v>
      </c>
      <c r="AL1417">
        <v>3.25</v>
      </c>
      <c r="AM1417" t="s">
        <v>10887</v>
      </c>
      <c r="AN1417" t="s">
        <v>10937</v>
      </c>
      <c r="AO1417" t="s">
        <v>11019</v>
      </c>
      <c r="AP1417" t="s">
        <v>11074</v>
      </c>
      <c r="AQ1417" t="s">
        <v>11188</v>
      </c>
      <c r="AR1417" t="s">
        <v>11257</v>
      </c>
      <c r="AS1417" t="s">
        <v>9925</v>
      </c>
      <c r="AT1417" t="s">
        <v>11641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</row>
    <row r="1418" spans="1:59">
      <c r="A1418" s="1">
        <f>HYPERLINK("https://lsnyc.legalserver.org/matter/dynamic-profile/view/1905261","19-1905261")</f>
        <v>0</v>
      </c>
      <c r="B1418" t="s">
        <v>1280</v>
      </c>
      <c r="C1418" t="s">
        <v>6109</v>
      </c>
      <c r="D1418" t="s">
        <v>9926</v>
      </c>
      <c r="E1418" t="s">
        <v>10075</v>
      </c>
      <c r="F1418">
        <v>10463</v>
      </c>
      <c r="G1418" t="s">
        <v>10090</v>
      </c>
      <c r="H1418" t="s">
        <v>10130</v>
      </c>
      <c r="I1418" t="s">
        <v>10170</v>
      </c>
      <c r="J1418" t="s">
        <v>10210</v>
      </c>
      <c r="K1418" t="s">
        <v>10217</v>
      </c>
      <c r="M1418" t="s">
        <v>10445</v>
      </c>
      <c r="N1418" t="s">
        <v>10712</v>
      </c>
      <c r="P1418" t="s">
        <v>10753</v>
      </c>
      <c r="Q1418" t="s">
        <v>10763</v>
      </c>
      <c r="R1418" t="s">
        <v>10824</v>
      </c>
      <c r="T1418">
        <v>0</v>
      </c>
      <c r="U1418">
        <v>0</v>
      </c>
      <c r="V1418">
        <v>42</v>
      </c>
      <c r="W1418">
        <v>1</v>
      </c>
      <c r="X1418">
        <v>2</v>
      </c>
      <c r="Z1418">
        <v>0</v>
      </c>
      <c r="AA1418">
        <v>40.883025</v>
      </c>
      <c r="AB1418">
        <v>-73.90241</v>
      </c>
      <c r="AD1418" t="s">
        <v>10839</v>
      </c>
      <c r="AF1418" t="s">
        <v>10842</v>
      </c>
      <c r="AG1418" t="s">
        <v>10859</v>
      </c>
      <c r="AH1418" t="s">
        <v>10864</v>
      </c>
      <c r="AI1418">
        <v>230</v>
      </c>
      <c r="AJ1418" t="s">
        <v>10210</v>
      </c>
      <c r="AL1418">
        <v>0</v>
      </c>
      <c r="AM1418" t="s">
        <v>10887</v>
      </c>
      <c r="AN1418" t="s">
        <v>10919</v>
      </c>
      <c r="AO1418" t="s">
        <v>11000</v>
      </c>
      <c r="AP1418" t="s">
        <v>11057</v>
      </c>
      <c r="AR1418" t="s">
        <v>11267</v>
      </c>
      <c r="AS1418" t="s">
        <v>9926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</row>
    <row r="1419" spans="1:59">
      <c r="A1419" s="1">
        <f>HYPERLINK("https://lsnyc.legalserver.org/matter/dynamic-profile/view/1905262","19-1905262")</f>
        <v>0</v>
      </c>
      <c r="B1419" t="s">
        <v>1281</v>
      </c>
      <c r="C1419" t="s">
        <v>5081</v>
      </c>
      <c r="D1419" t="s">
        <v>9928</v>
      </c>
      <c r="E1419" t="s">
        <v>10075</v>
      </c>
      <c r="F1419">
        <v>11221</v>
      </c>
      <c r="G1419" t="s">
        <v>10093</v>
      </c>
      <c r="H1419" t="s">
        <v>10130</v>
      </c>
      <c r="I1419" t="s">
        <v>10168</v>
      </c>
      <c r="J1419" t="s">
        <v>10213</v>
      </c>
      <c r="K1419" t="s">
        <v>10218</v>
      </c>
      <c r="L1419" t="s">
        <v>10155</v>
      </c>
      <c r="M1419" t="s">
        <v>10361</v>
      </c>
      <c r="N1419" t="s">
        <v>10667</v>
      </c>
      <c r="P1419" t="s">
        <v>10749</v>
      </c>
      <c r="Q1419" t="s">
        <v>10765</v>
      </c>
      <c r="R1419" t="s">
        <v>10824</v>
      </c>
      <c r="T1419">
        <v>12000</v>
      </c>
      <c r="U1419">
        <v>1000</v>
      </c>
      <c r="V1419">
        <v>51</v>
      </c>
      <c r="W1419">
        <v>1</v>
      </c>
      <c r="X1419">
        <v>1</v>
      </c>
      <c r="Y1419" t="s">
        <v>10832</v>
      </c>
      <c r="Z1419">
        <v>70.95999999999999</v>
      </c>
      <c r="AA1419">
        <v>40.691292</v>
      </c>
      <c r="AB1419">
        <v>-73.920689</v>
      </c>
      <c r="AD1419" t="s">
        <v>10839</v>
      </c>
      <c r="AG1419" t="s">
        <v>10858</v>
      </c>
      <c r="AH1419" t="s">
        <v>10862</v>
      </c>
      <c r="AI1419">
        <v>239</v>
      </c>
      <c r="AJ1419" t="s">
        <v>10213</v>
      </c>
      <c r="AK1419" t="s">
        <v>10838</v>
      </c>
      <c r="AL1419">
        <v>6.6</v>
      </c>
      <c r="AM1419" t="s">
        <v>10886</v>
      </c>
      <c r="AN1419" t="s">
        <v>10920</v>
      </c>
      <c r="AO1419" t="s">
        <v>11011</v>
      </c>
      <c r="AP1419" t="s">
        <v>11071</v>
      </c>
      <c r="AQ1419" t="s">
        <v>11101</v>
      </c>
      <c r="AR1419" t="s">
        <v>11262</v>
      </c>
      <c r="AS1419" t="s">
        <v>11595</v>
      </c>
      <c r="AY1419" t="s">
        <v>10832</v>
      </c>
      <c r="AZ1419" t="s">
        <v>11687</v>
      </c>
      <c r="BA1419" t="s">
        <v>11738</v>
      </c>
      <c r="BB1419">
        <v>0</v>
      </c>
      <c r="BC1419">
        <v>0</v>
      </c>
      <c r="BD1419">
        <v>0</v>
      </c>
      <c r="BE1419">
        <v>0</v>
      </c>
      <c r="BF1419">
        <v>5</v>
      </c>
      <c r="BG1419">
        <v>0</v>
      </c>
    </row>
    <row r="1420" spans="1:59">
      <c r="A1420" s="1">
        <f>HYPERLINK("https://lsnyc.legalserver.org/matter/dynamic-profile/view/1905263","19-1905263")</f>
        <v>0</v>
      </c>
      <c r="B1420" t="s">
        <v>1282</v>
      </c>
      <c r="C1420" t="s">
        <v>6110</v>
      </c>
      <c r="D1420" t="s">
        <v>9926</v>
      </c>
      <c r="E1420" t="s">
        <v>10075</v>
      </c>
      <c r="F1420">
        <v>10456</v>
      </c>
      <c r="G1420" t="s">
        <v>10089</v>
      </c>
      <c r="H1420" t="s">
        <v>10130</v>
      </c>
      <c r="I1420" t="s">
        <v>10169</v>
      </c>
      <c r="J1420" t="s">
        <v>10209</v>
      </c>
      <c r="K1420" t="s">
        <v>10217</v>
      </c>
      <c r="M1420" t="s">
        <v>10488</v>
      </c>
      <c r="N1420" t="s">
        <v>10679</v>
      </c>
      <c r="P1420" t="s">
        <v>10753</v>
      </c>
      <c r="Q1420" t="s">
        <v>10763</v>
      </c>
      <c r="R1420" t="s">
        <v>10823</v>
      </c>
      <c r="T1420">
        <v>3900</v>
      </c>
      <c r="U1420">
        <v>325</v>
      </c>
      <c r="V1420">
        <v>5</v>
      </c>
      <c r="W1420">
        <v>1</v>
      </c>
      <c r="X1420">
        <v>1</v>
      </c>
      <c r="Z1420">
        <v>23.06</v>
      </c>
      <c r="AA1420">
        <v>40.827764</v>
      </c>
      <c r="AB1420">
        <v>-73.91586</v>
      </c>
      <c r="AD1420" t="s">
        <v>10839</v>
      </c>
      <c r="AF1420" t="s">
        <v>10842</v>
      </c>
      <c r="AG1420" t="s">
        <v>10859</v>
      </c>
      <c r="AH1420" t="s">
        <v>10864</v>
      </c>
      <c r="AI1420">
        <v>236</v>
      </c>
      <c r="AJ1420" t="s">
        <v>10209</v>
      </c>
      <c r="AL1420">
        <v>0.5</v>
      </c>
      <c r="AQ1420" t="s">
        <v>11168</v>
      </c>
      <c r="AR1420" t="s">
        <v>11401</v>
      </c>
      <c r="AS1420" t="s">
        <v>9926</v>
      </c>
      <c r="BA1420" t="s">
        <v>11739</v>
      </c>
      <c r="BB1420">
        <v>0</v>
      </c>
      <c r="BC1420">
        <v>0</v>
      </c>
      <c r="BD1420">
        <v>0</v>
      </c>
      <c r="BE1420">
        <v>0</v>
      </c>
      <c r="BF1420">
        <v>4</v>
      </c>
      <c r="BG1420">
        <v>0</v>
      </c>
    </row>
    <row r="1421" spans="1:59">
      <c r="A1421" s="1">
        <f>HYPERLINK("https://lsnyc.legalserver.org/matter/dynamic-profile/view/1905264","19-1905264")</f>
        <v>0</v>
      </c>
      <c r="B1421" t="s">
        <v>1283</v>
      </c>
      <c r="C1421" t="s">
        <v>6111</v>
      </c>
      <c r="D1421" t="s">
        <v>9947</v>
      </c>
      <c r="E1421" t="s">
        <v>10075</v>
      </c>
      <c r="F1421">
        <v>11374</v>
      </c>
      <c r="G1421" t="s">
        <v>10092</v>
      </c>
      <c r="H1421" t="s">
        <v>10130</v>
      </c>
      <c r="I1421" t="s">
        <v>10168</v>
      </c>
      <c r="J1421" t="s">
        <v>10212</v>
      </c>
      <c r="K1421" t="s">
        <v>10217</v>
      </c>
      <c r="M1421" t="s">
        <v>10260</v>
      </c>
      <c r="N1421" t="s">
        <v>10665</v>
      </c>
      <c r="P1421" t="s">
        <v>10751</v>
      </c>
      <c r="Q1421" t="s">
        <v>10773</v>
      </c>
      <c r="R1421" t="s">
        <v>10820</v>
      </c>
      <c r="T1421">
        <v>0</v>
      </c>
      <c r="U1421">
        <v>0</v>
      </c>
      <c r="V1421">
        <v>50</v>
      </c>
      <c r="W1421">
        <v>1</v>
      </c>
      <c r="X1421">
        <v>0</v>
      </c>
      <c r="Z1421">
        <v>0</v>
      </c>
      <c r="AA1421">
        <v>40.727449</v>
      </c>
      <c r="AB1421">
        <v>-73.857118</v>
      </c>
      <c r="AD1421" t="s">
        <v>10839</v>
      </c>
      <c r="AG1421" t="s">
        <v>10858</v>
      </c>
      <c r="AH1421" t="s">
        <v>10861</v>
      </c>
      <c r="AI1421">
        <v>234</v>
      </c>
      <c r="AJ1421" t="s">
        <v>10214</v>
      </c>
      <c r="AL1421">
        <v>4.95</v>
      </c>
      <c r="AM1421" t="s">
        <v>10890</v>
      </c>
      <c r="AN1421" t="s">
        <v>10952</v>
      </c>
      <c r="AO1421" t="s">
        <v>11009</v>
      </c>
      <c r="AP1421" t="s">
        <v>11083</v>
      </c>
      <c r="AR1421" t="s">
        <v>11267</v>
      </c>
      <c r="AS1421" t="s">
        <v>11594</v>
      </c>
      <c r="AT1421" t="s">
        <v>11641</v>
      </c>
      <c r="AX1421" t="s">
        <v>10838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</row>
    <row r="1422" spans="1:59">
      <c r="A1422" s="1">
        <f>HYPERLINK("https://lsnyc.legalserver.org/matter/dynamic-profile/view/1905265","19-1905265")</f>
        <v>0</v>
      </c>
      <c r="B1422" t="s">
        <v>1241</v>
      </c>
      <c r="C1422" t="s">
        <v>5601</v>
      </c>
      <c r="D1422" t="s">
        <v>9926</v>
      </c>
      <c r="E1422" t="s">
        <v>10075</v>
      </c>
      <c r="F1422">
        <v>10453</v>
      </c>
      <c r="G1422" t="s">
        <v>10090</v>
      </c>
      <c r="H1422" t="s">
        <v>10130</v>
      </c>
      <c r="I1422" t="s">
        <v>10169</v>
      </c>
      <c r="J1422" t="s">
        <v>10210</v>
      </c>
      <c r="K1422" t="s">
        <v>10217</v>
      </c>
      <c r="M1422" t="s">
        <v>10463</v>
      </c>
      <c r="N1422" t="s">
        <v>10650</v>
      </c>
      <c r="P1422" t="s">
        <v>10749</v>
      </c>
      <c r="Q1422" t="s">
        <v>10765</v>
      </c>
      <c r="R1422" t="s">
        <v>10821</v>
      </c>
      <c r="T1422">
        <v>0</v>
      </c>
      <c r="U1422">
        <v>0</v>
      </c>
      <c r="V1422">
        <v>60</v>
      </c>
      <c r="W1422">
        <v>2</v>
      </c>
      <c r="X1422">
        <v>2</v>
      </c>
      <c r="Z1422">
        <v>0</v>
      </c>
      <c r="AA1422">
        <v>40.846849</v>
      </c>
      <c r="AB1422">
        <v>-73.90953500000001</v>
      </c>
      <c r="AD1422" t="s">
        <v>10839</v>
      </c>
      <c r="AF1422" t="s">
        <v>10843</v>
      </c>
      <c r="AG1422" t="s">
        <v>10859</v>
      </c>
      <c r="AH1422" t="s">
        <v>10862</v>
      </c>
      <c r="AI1422">
        <v>230</v>
      </c>
      <c r="AJ1422" t="s">
        <v>10210</v>
      </c>
      <c r="AL1422">
        <v>0</v>
      </c>
      <c r="AM1422" t="s">
        <v>10884</v>
      </c>
      <c r="AN1422" t="s">
        <v>10931</v>
      </c>
      <c r="AO1422" t="s">
        <v>11000</v>
      </c>
      <c r="AP1422" t="s">
        <v>11045</v>
      </c>
      <c r="AR1422" t="s">
        <v>11267</v>
      </c>
      <c r="AS1422" t="s">
        <v>9926</v>
      </c>
      <c r="BA1422" t="s">
        <v>11739</v>
      </c>
      <c r="BB1422">
        <v>0</v>
      </c>
      <c r="BC1422">
        <v>0</v>
      </c>
      <c r="BD1422">
        <v>0</v>
      </c>
      <c r="BE1422">
        <v>0</v>
      </c>
      <c r="BF1422">
        <v>4</v>
      </c>
      <c r="BG1422">
        <v>0</v>
      </c>
    </row>
    <row r="1423" spans="1:59">
      <c r="A1423" s="1">
        <f>HYPERLINK("https://lsnyc.legalserver.org/matter/dynamic-profile/view/1905266","19-1905266")</f>
        <v>0</v>
      </c>
      <c r="B1423" t="s">
        <v>1050</v>
      </c>
      <c r="C1423" t="s">
        <v>5919</v>
      </c>
      <c r="D1423" t="s">
        <v>9927</v>
      </c>
      <c r="E1423" t="s">
        <v>10075</v>
      </c>
      <c r="F1423">
        <v>11377</v>
      </c>
      <c r="G1423" t="s">
        <v>10092</v>
      </c>
      <c r="H1423" t="s">
        <v>10130</v>
      </c>
      <c r="I1423" t="s">
        <v>10168</v>
      </c>
      <c r="J1423" t="s">
        <v>10212</v>
      </c>
      <c r="K1423" t="s">
        <v>10218</v>
      </c>
      <c r="L1423" t="s">
        <v>10160</v>
      </c>
      <c r="M1423" t="s">
        <v>10269</v>
      </c>
      <c r="N1423" t="s">
        <v>10669</v>
      </c>
      <c r="P1423" t="s">
        <v>10754</v>
      </c>
      <c r="Q1423" t="s">
        <v>10777</v>
      </c>
      <c r="R1423" t="s">
        <v>10824</v>
      </c>
      <c r="T1423">
        <v>18000</v>
      </c>
      <c r="U1423">
        <v>1500</v>
      </c>
      <c r="V1423">
        <v>38</v>
      </c>
      <c r="W1423">
        <v>1</v>
      </c>
      <c r="X1423">
        <v>2</v>
      </c>
      <c r="Y1423" t="s">
        <v>10829</v>
      </c>
      <c r="Z1423">
        <v>84.39</v>
      </c>
      <c r="AA1423">
        <v>40.756846</v>
      </c>
      <c r="AB1423">
        <v>-73.908225</v>
      </c>
      <c r="AD1423" t="s">
        <v>10839</v>
      </c>
      <c r="AG1423" t="s">
        <v>10858</v>
      </c>
      <c r="AH1423" t="s">
        <v>10865</v>
      </c>
      <c r="AI1423">
        <v>237</v>
      </c>
      <c r="AJ1423" t="s">
        <v>10212</v>
      </c>
      <c r="AK1423" t="s">
        <v>10837</v>
      </c>
      <c r="AL1423">
        <v>1</v>
      </c>
      <c r="AM1423" t="s">
        <v>10885</v>
      </c>
      <c r="AN1423" t="s">
        <v>10935</v>
      </c>
      <c r="AO1423" t="s">
        <v>11014</v>
      </c>
      <c r="AP1423" t="s">
        <v>11047</v>
      </c>
      <c r="AQ1423" t="s">
        <v>11128</v>
      </c>
      <c r="AR1423" t="s">
        <v>11263</v>
      </c>
      <c r="AS1423" t="s">
        <v>11594</v>
      </c>
      <c r="AT1423" t="s">
        <v>11641</v>
      </c>
      <c r="AX1423" t="s">
        <v>10838</v>
      </c>
      <c r="AY1423" t="s">
        <v>10829</v>
      </c>
      <c r="AZ1423" t="s">
        <v>11683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</row>
    <row r="1424" spans="1:59">
      <c r="A1424" s="1">
        <f>HYPERLINK("https://lsnyc.legalserver.org/matter/dynamic-profile/view/1905267","19-1905267")</f>
        <v>0</v>
      </c>
      <c r="B1424" t="s">
        <v>1284</v>
      </c>
      <c r="C1424" t="s">
        <v>6112</v>
      </c>
      <c r="D1424" t="s">
        <v>9926</v>
      </c>
      <c r="E1424" t="s">
        <v>10075</v>
      </c>
      <c r="F1424">
        <v>10451</v>
      </c>
      <c r="G1424" t="s">
        <v>10090</v>
      </c>
      <c r="H1424" t="s">
        <v>10130</v>
      </c>
      <c r="I1424" t="s">
        <v>10168</v>
      </c>
      <c r="J1424" t="s">
        <v>10210</v>
      </c>
      <c r="K1424" t="s">
        <v>10217</v>
      </c>
      <c r="M1424" t="s">
        <v>10535</v>
      </c>
      <c r="N1424" t="s">
        <v>10650</v>
      </c>
      <c r="P1424" t="s">
        <v>10749</v>
      </c>
      <c r="Q1424" t="s">
        <v>10765</v>
      </c>
      <c r="R1424" t="s">
        <v>10824</v>
      </c>
      <c r="T1424">
        <v>19560</v>
      </c>
      <c r="U1424">
        <v>1630</v>
      </c>
      <c r="V1424">
        <v>69</v>
      </c>
      <c r="W1424">
        <v>1</v>
      </c>
      <c r="X1424">
        <v>0</v>
      </c>
      <c r="Z1424">
        <v>156.61</v>
      </c>
      <c r="AA1424">
        <v>40.82516</v>
      </c>
      <c r="AB1424">
        <v>-73.923328</v>
      </c>
      <c r="AD1424" t="s">
        <v>10839</v>
      </c>
      <c r="AG1424" t="s">
        <v>10858</v>
      </c>
      <c r="AH1424" t="s">
        <v>10862</v>
      </c>
      <c r="AI1424">
        <v>230</v>
      </c>
      <c r="AJ1424" t="s">
        <v>10210</v>
      </c>
      <c r="AL1424">
        <v>1</v>
      </c>
      <c r="AM1424" t="s">
        <v>10884</v>
      </c>
      <c r="AN1424" t="s">
        <v>10924</v>
      </c>
      <c r="AO1424" t="s">
        <v>11013</v>
      </c>
      <c r="AP1424" t="s">
        <v>11055</v>
      </c>
      <c r="AR1424" t="s">
        <v>11270</v>
      </c>
      <c r="AS1424" t="s">
        <v>9926</v>
      </c>
      <c r="BA1424" t="s">
        <v>11741</v>
      </c>
      <c r="BB1424">
        <v>0</v>
      </c>
      <c r="BC1424">
        <v>0</v>
      </c>
      <c r="BD1424">
        <v>0</v>
      </c>
      <c r="BE1424">
        <v>0</v>
      </c>
      <c r="BF1424">
        <v>1</v>
      </c>
      <c r="BG1424">
        <v>0</v>
      </c>
    </row>
    <row r="1425" spans="1:59">
      <c r="A1425" s="1">
        <f>HYPERLINK("https://lsnyc.legalserver.org/matter/dynamic-profile/view/1905268","19-1905268")</f>
        <v>0</v>
      </c>
      <c r="B1425" t="s">
        <v>1218</v>
      </c>
      <c r="C1425" t="s">
        <v>6061</v>
      </c>
      <c r="D1425" t="s">
        <v>9928</v>
      </c>
      <c r="E1425" t="s">
        <v>10075</v>
      </c>
      <c r="F1425">
        <v>11216</v>
      </c>
      <c r="G1425" t="s">
        <v>10093</v>
      </c>
      <c r="H1425" t="s">
        <v>10130</v>
      </c>
      <c r="I1425" t="s">
        <v>10168</v>
      </c>
      <c r="J1425" t="s">
        <v>10213</v>
      </c>
      <c r="K1425" t="s">
        <v>10218</v>
      </c>
      <c r="L1425" t="s">
        <v>10095</v>
      </c>
      <c r="M1425" t="s">
        <v>10361</v>
      </c>
      <c r="N1425" t="s">
        <v>10668</v>
      </c>
      <c r="P1425" t="s">
        <v>10751</v>
      </c>
      <c r="Q1425" t="s">
        <v>10761</v>
      </c>
      <c r="R1425" t="s">
        <v>10824</v>
      </c>
      <c r="T1425">
        <v>2400</v>
      </c>
      <c r="U1425">
        <v>200</v>
      </c>
      <c r="V1425">
        <v>51</v>
      </c>
      <c r="W1425">
        <v>1</v>
      </c>
      <c r="X1425">
        <v>0</v>
      </c>
      <c r="Y1425" t="s">
        <v>10832</v>
      </c>
      <c r="Z1425">
        <v>19.22</v>
      </c>
      <c r="AA1425">
        <v>40.672002</v>
      </c>
      <c r="AB1425">
        <v>-73.952376</v>
      </c>
      <c r="AD1425" t="s">
        <v>10840</v>
      </c>
      <c r="AG1425" t="s">
        <v>10858</v>
      </c>
      <c r="AH1425" t="s">
        <v>10862</v>
      </c>
      <c r="AI1425">
        <v>239</v>
      </c>
      <c r="AJ1425" t="s">
        <v>10213</v>
      </c>
      <c r="AK1425" t="s">
        <v>10838</v>
      </c>
      <c r="AL1425">
        <v>0.2</v>
      </c>
      <c r="AM1425" t="s">
        <v>10888</v>
      </c>
      <c r="AN1425" t="s">
        <v>10912</v>
      </c>
      <c r="AO1425" t="s">
        <v>11005</v>
      </c>
      <c r="AP1425" t="s">
        <v>11061</v>
      </c>
      <c r="AR1425" t="s">
        <v>11255</v>
      </c>
      <c r="AS1425" t="s">
        <v>11595</v>
      </c>
      <c r="AY1425" t="s">
        <v>10832</v>
      </c>
      <c r="AZ1425" t="s">
        <v>11688</v>
      </c>
      <c r="BA1425" t="s">
        <v>11737</v>
      </c>
      <c r="BB1425">
        <v>0</v>
      </c>
      <c r="BC1425">
        <v>0</v>
      </c>
      <c r="BD1425">
        <v>0</v>
      </c>
      <c r="BE1425">
        <v>0</v>
      </c>
      <c r="BF1425">
        <v>3</v>
      </c>
      <c r="BG1425">
        <v>0</v>
      </c>
    </row>
    <row r="1426" spans="1:59">
      <c r="A1426" s="1">
        <f>HYPERLINK("https://lsnyc.legalserver.org/matter/dynamic-profile/view/1905269","19-1905269")</f>
        <v>0</v>
      </c>
      <c r="B1426" t="s">
        <v>1285</v>
      </c>
      <c r="C1426" t="s">
        <v>6113</v>
      </c>
      <c r="D1426" t="s">
        <v>9928</v>
      </c>
      <c r="E1426" t="s">
        <v>10075</v>
      </c>
      <c r="F1426">
        <v>11215</v>
      </c>
      <c r="G1426" t="s">
        <v>10093</v>
      </c>
      <c r="H1426" t="s">
        <v>10128</v>
      </c>
      <c r="I1426" t="s">
        <v>10168</v>
      </c>
      <c r="J1426" t="s">
        <v>10213</v>
      </c>
      <c r="K1426" t="s">
        <v>10217</v>
      </c>
      <c r="M1426" t="s">
        <v>10457</v>
      </c>
      <c r="N1426" t="s">
        <v>10656</v>
      </c>
      <c r="P1426" t="s">
        <v>10751</v>
      </c>
      <c r="Q1426" t="s">
        <v>10780</v>
      </c>
      <c r="R1426" t="s">
        <v>10820</v>
      </c>
      <c r="T1426">
        <v>480</v>
      </c>
      <c r="U1426">
        <v>40</v>
      </c>
      <c r="V1426">
        <v>24</v>
      </c>
      <c r="W1426">
        <v>1</v>
      </c>
      <c r="X1426">
        <v>0</v>
      </c>
      <c r="Z1426">
        <v>3.84</v>
      </c>
      <c r="AA1426">
        <v>40.669443</v>
      </c>
      <c r="AB1426">
        <v>-73.985449</v>
      </c>
      <c r="AD1426" t="s">
        <v>10839</v>
      </c>
      <c r="AG1426" t="s">
        <v>10858</v>
      </c>
      <c r="AH1426" t="s">
        <v>10862</v>
      </c>
      <c r="AI1426">
        <v>239</v>
      </c>
      <c r="AJ1426" t="s">
        <v>10213</v>
      </c>
      <c r="AL1426">
        <v>2.45</v>
      </c>
      <c r="AM1426" t="s">
        <v>10886</v>
      </c>
      <c r="AN1426" t="s">
        <v>10917</v>
      </c>
      <c r="AO1426" t="s">
        <v>11008</v>
      </c>
      <c r="AP1426" t="s">
        <v>11059</v>
      </c>
      <c r="AR1426" t="s">
        <v>11257</v>
      </c>
      <c r="AS1426" t="s">
        <v>11595</v>
      </c>
      <c r="AT1426" t="s">
        <v>11641</v>
      </c>
      <c r="AX1426" t="s">
        <v>10837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</row>
    <row r="1427" spans="1:59">
      <c r="A1427" s="1">
        <f>HYPERLINK("https://lsnyc.legalserver.org/matter/dynamic-profile/view/1905270","19-1905270")</f>
        <v>0</v>
      </c>
      <c r="B1427" t="s">
        <v>1286</v>
      </c>
      <c r="C1427" t="s">
        <v>6114</v>
      </c>
      <c r="D1427" t="s">
        <v>9950</v>
      </c>
      <c r="E1427" t="s">
        <v>10075</v>
      </c>
      <c r="F1427">
        <v>11418</v>
      </c>
      <c r="G1427" t="s">
        <v>10093</v>
      </c>
      <c r="H1427" t="s">
        <v>10130</v>
      </c>
      <c r="I1427" t="s">
        <v>10169</v>
      </c>
      <c r="J1427" t="s">
        <v>10213</v>
      </c>
      <c r="K1427" t="s">
        <v>10217</v>
      </c>
      <c r="M1427" t="s">
        <v>10290</v>
      </c>
      <c r="N1427" t="s">
        <v>10665</v>
      </c>
      <c r="P1427" t="s">
        <v>10751</v>
      </c>
      <c r="Q1427" t="s">
        <v>10773</v>
      </c>
      <c r="R1427" t="s">
        <v>10823</v>
      </c>
      <c r="T1427">
        <v>0</v>
      </c>
      <c r="U1427">
        <v>0</v>
      </c>
      <c r="V1427">
        <v>37</v>
      </c>
      <c r="W1427">
        <v>2</v>
      </c>
      <c r="X1427">
        <v>2</v>
      </c>
      <c r="Z1427">
        <v>0</v>
      </c>
      <c r="AA1427">
        <v>40.692162</v>
      </c>
      <c r="AB1427">
        <v>-73.84418100000001</v>
      </c>
      <c r="AD1427" t="s">
        <v>10839</v>
      </c>
      <c r="AF1427" t="s">
        <v>10843</v>
      </c>
      <c r="AG1427" t="s">
        <v>10859</v>
      </c>
      <c r="AH1427" t="s">
        <v>10876</v>
      </c>
      <c r="AI1427">
        <v>239</v>
      </c>
      <c r="AJ1427" t="s">
        <v>10213</v>
      </c>
      <c r="AL1427">
        <v>14.9</v>
      </c>
      <c r="AM1427" t="s">
        <v>10886</v>
      </c>
      <c r="AN1427" t="s">
        <v>10945</v>
      </c>
      <c r="AO1427" t="s">
        <v>11017</v>
      </c>
      <c r="AP1427" t="s">
        <v>11088</v>
      </c>
      <c r="AR1427" t="s">
        <v>11267</v>
      </c>
      <c r="AS1427" t="s">
        <v>11594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</row>
    <row r="1428" spans="1:59">
      <c r="A1428" s="1">
        <f>HYPERLINK("https://lsnyc.legalserver.org/matter/dynamic-profile/view/1905271","19-1905271")</f>
        <v>0</v>
      </c>
      <c r="B1428" t="s">
        <v>1287</v>
      </c>
      <c r="C1428" t="s">
        <v>5601</v>
      </c>
      <c r="D1428" t="s">
        <v>9926</v>
      </c>
      <c r="E1428" t="s">
        <v>10075</v>
      </c>
      <c r="F1428">
        <v>10453</v>
      </c>
      <c r="G1428" t="s">
        <v>10090</v>
      </c>
      <c r="H1428" t="s">
        <v>10130</v>
      </c>
      <c r="I1428" t="s">
        <v>10168</v>
      </c>
      <c r="J1428" t="s">
        <v>10210</v>
      </c>
      <c r="K1428" t="s">
        <v>10217</v>
      </c>
      <c r="M1428" t="s">
        <v>10463</v>
      </c>
      <c r="N1428" t="s">
        <v>10650</v>
      </c>
      <c r="P1428" t="s">
        <v>10749</v>
      </c>
      <c r="Q1428" t="s">
        <v>10765</v>
      </c>
      <c r="R1428" t="s">
        <v>10824</v>
      </c>
      <c r="T1428">
        <v>13740</v>
      </c>
      <c r="U1428">
        <v>1145</v>
      </c>
      <c r="V1428">
        <v>64</v>
      </c>
      <c r="W1428">
        <v>1</v>
      </c>
      <c r="X1428">
        <v>0</v>
      </c>
      <c r="Z1428">
        <v>110.01</v>
      </c>
      <c r="AA1428">
        <v>40.846849</v>
      </c>
      <c r="AB1428">
        <v>-73.90953500000001</v>
      </c>
      <c r="AD1428" t="s">
        <v>10839</v>
      </c>
      <c r="AG1428" t="s">
        <v>10858</v>
      </c>
      <c r="AH1428" t="s">
        <v>10862</v>
      </c>
      <c r="AI1428">
        <v>230</v>
      </c>
      <c r="AJ1428" t="s">
        <v>10210</v>
      </c>
      <c r="AL1428">
        <v>0</v>
      </c>
      <c r="AM1428" t="s">
        <v>10884</v>
      </c>
      <c r="AN1428" t="s">
        <v>10931</v>
      </c>
      <c r="AO1428" t="s">
        <v>11000</v>
      </c>
      <c r="AP1428" t="s">
        <v>11045</v>
      </c>
      <c r="AR1428" t="s">
        <v>11296</v>
      </c>
      <c r="AS1428" t="s">
        <v>9926</v>
      </c>
      <c r="BA1428" t="s">
        <v>11739</v>
      </c>
      <c r="BB1428">
        <v>0</v>
      </c>
      <c r="BC1428">
        <v>0</v>
      </c>
      <c r="BD1428">
        <v>0</v>
      </c>
      <c r="BE1428">
        <v>0</v>
      </c>
      <c r="BF1428">
        <v>4</v>
      </c>
      <c r="BG1428">
        <v>0</v>
      </c>
    </row>
    <row r="1429" spans="1:59">
      <c r="A1429" s="1">
        <f>HYPERLINK("https://lsnyc.legalserver.org/matter/dynamic-profile/view/1905272","19-1905272")</f>
        <v>0</v>
      </c>
      <c r="B1429" t="s">
        <v>1288</v>
      </c>
      <c r="C1429" t="s">
        <v>6115</v>
      </c>
      <c r="D1429" t="s">
        <v>9928</v>
      </c>
      <c r="E1429" t="s">
        <v>10075</v>
      </c>
      <c r="F1429">
        <v>11217</v>
      </c>
      <c r="G1429" t="s">
        <v>10093</v>
      </c>
      <c r="H1429" t="s">
        <v>10130</v>
      </c>
      <c r="I1429" t="s">
        <v>10168</v>
      </c>
      <c r="J1429" t="s">
        <v>10213</v>
      </c>
      <c r="K1429" t="s">
        <v>10218</v>
      </c>
      <c r="L1429" t="s">
        <v>10221</v>
      </c>
      <c r="M1429" t="s">
        <v>10265</v>
      </c>
      <c r="N1429" t="s">
        <v>10644</v>
      </c>
      <c r="P1429" t="s">
        <v>10751</v>
      </c>
      <c r="Q1429" t="s">
        <v>10761</v>
      </c>
      <c r="R1429" t="s">
        <v>10820</v>
      </c>
      <c r="T1429">
        <v>25320</v>
      </c>
      <c r="U1429">
        <v>2110</v>
      </c>
      <c r="V1429">
        <v>64</v>
      </c>
      <c r="W1429">
        <v>1</v>
      </c>
      <c r="X1429">
        <v>1</v>
      </c>
      <c r="Y1429" t="s">
        <v>10832</v>
      </c>
      <c r="Z1429">
        <v>149.73</v>
      </c>
      <c r="AA1429">
        <v>40.677884</v>
      </c>
      <c r="AB1429">
        <v>-73.974346</v>
      </c>
      <c r="AD1429" t="s">
        <v>10839</v>
      </c>
      <c r="AG1429" t="s">
        <v>10858</v>
      </c>
      <c r="AH1429" t="s">
        <v>10862</v>
      </c>
      <c r="AI1429">
        <v>239</v>
      </c>
      <c r="AJ1429" t="s">
        <v>10213</v>
      </c>
      <c r="AK1429" t="s">
        <v>10838</v>
      </c>
      <c r="AL1429">
        <v>4.1</v>
      </c>
      <c r="AM1429" t="s">
        <v>10888</v>
      </c>
      <c r="AN1429" t="s">
        <v>10917</v>
      </c>
      <c r="AO1429" t="s">
        <v>11005</v>
      </c>
      <c r="AP1429" t="s">
        <v>11059</v>
      </c>
      <c r="AR1429" t="s">
        <v>11296</v>
      </c>
      <c r="AS1429" t="s">
        <v>11595</v>
      </c>
      <c r="AY1429" t="s">
        <v>10832</v>
      </c>
      <c r="AZ1429" t="s">
        <v>11688</v>
      </c>
      <c r="BA1429" t="s">
        <v>11737</v>
      </c>
      <c r="BB1429">
        <v>0</v>
      </c>
      <c r="BC1429">
        <v>0</v>
      </c>
      <c r="BD1429">
        <v>0</v>
      </c>
      <c r="BE1429">
        <v>0</v>
      </c>
      <c r="BF1429">
        <v>3</v>
      </c>
      <c r="BG1429">
        <v>0</v>
      </c>
    </row>
    <row r="1430" spans="1:59">
      <c r="A1430" s="1">
        <f>HYPERLINK("https://lsnyc.legalserver.org/matter/dynamic-profile/view/1905273","19-1905273")</f>
        <v>0</v>
      </c>
      <c r="B1430" t="s">
        <v>1281</v>
      </c>
      <c r="C1430" t="s">
        <v>5081</v>
      </c>
      <c r="D1430" t="s">
        <v>9928</v>
      </c>
      <c r="E1430" t="s">
        <v>10075</v>
      </c>
      <c r="F1430">
        <v>11221</v>
      </c>
      <c r="G1430" t="s">
        <v>10093</v>
      </c>
      <c r="H1430" t="s">
        <v>10130</v>
      </c>
      <c r="I1430" t="s">
        <v>10168</v>
      </c>
      <c r="J1430" t="s">
        <v>10213</v>
      </c>
      <c r="K1430" t="s">
        <v>10218</v>
      </c>
      <c r="L1430" t="s">
        <v>10155</v>
      </c>
      <c r="M1430" t="s">
        <v>10361</v>
      </c>
      <c r="N1430" t="s">
        <v>10668</v>
      </c>
      <c r="P1430" t="s">
        <v>10751</v>
      </c>
      <c r="Q1430" t="s">
        <v>10761</v>
      </c>
      <c r="R1430" t="s">
        <v>10824</v>
      </c>
      <c r="T1430">
        <v>12000</v>
      </c>
      <c r="U1430">
        <v>1000</v>
      </c>
      <c r="V1430">
        <v>51</v>
      </c>
      <c r="W1430">
        <v>1</v>
      </c>
      <c r="X1430">
        <v>1</v>
      </c>
      <c r="Y1430" t="s">
        <v>10829</v>
      </c>
      <c r="Z1430">
        <v>70.95999999999999</v>
      </c>
      <c r="AA1430">
        <v>40.691292</v>
      </c>
      <c r="AB1430">
        <v>-73.920689</v>
      </c>
      <c r="AD1430" t="s">
        <v>10839</v>
      </c>
      <c r="AG1430" t="s">
        <v>10858</v>
      </c>
      <c r="AH1430" t="s">
        <v>10862</v>
      </c>
      <c r="AI1430">
        <v>239</v>
      </c>
      <c r="AJ1430" t="s">
        <v>10213</v>
      </c>
      <c r="AK1430" t="s">
        <v>10838</v>
      </c>
      <c r="AL1430">
        <v>1.3</v>
      </c>
      <c r="AM1430" t="s">
        <v>10886</v>
      </c>
      <c r="AN1430" t="s">
        <v>10920</v>
      </c>
      <c r="AO1430" t="s">
        <v>11011</v>
      </c>
      <c r="AP1430" t="s">
        <v>11071</v>
      </c>
      <c r="AR1430" t="s">
        <v>11262</v>
      </c>
      <c r="AS1430" t="s">
        <v>11595</v>
      </c>
      <c r="AY1430" t="s">
        <v>10829</v>
      </c>
      <c r="AZ1430" t="s">
        <v>11682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</row>
    <row r="1431" spans="1:59">
      <c r="A1431" s="1">
        <f>HYPERLINK("https://lsnyc.legalserver.org/matter/dynamic-profile/view/1905274","19-1905274")</f>
        <v>0</v>
      </c>
      <c r="B1431" t="s">
        <v>1287</v>
      </c>
      <c r="C1431" t="s">
        <v>5601</v>
      </c>
      <c r="D1431" t="s">
        <v>9926</v>
      </c>
      <c r="E1431" t="s">
        <v>10075</v>
      </c>
      <c r="F1431">
        <v>10453</v>
      </c>
      <c r="G1431" t="s">
        <v>10090</v>
      </c>
      <c r="H1431" t="s">
        <v>10130</v>
      </c>
      <c r="I1431" t="s">
        <v>10168</v>
      </c>
      <c r="J1431" t="s">
        <v>10210</v>
      </c>
      <c r="K1431" t="s">
        <v>10217</v>
      </c>
      <c r="M1431" t="s">
        <v>10463</v>
      </c>
      <c r="N1431" t="s">
        <v>10650</v>
      </c>
      <c r="P1431" t="s">
        <v>10749</v>
      </c>
      <c r="Q1431" t="s">
        <v>10765</v>
      </c>
      <c r="R1431" t="s">
        <v>10824</v>
      </c>
      <c r="T1431">
        <v>13740</v>
      </c>
      <c r="U1431">
        <v>1145</v>
      </c>
      <c r="V1431">
        <v>64</v>
      </c>
      <c r="W1431">
        <v>1</v>
      </c>
      <c r="X1431">
        <v>0</v>
      </c>
      <c r="Z1431">
        <v>110.01</v>
      </c>
      <c r="AA1431">
        <v>40.846849</v>
      </c>
      <c r="AB1431">
        <v>-73.90953500000001</v>
      </c>
      <c r="AD1431" t="s">
        <v>10839</v>
      </c>
      <c r="AG1431" t="s">
        <v>10858</v>
      </c>
      <c r="AH1431" t="s">
        <v>10862</v>
      </c>
      <c r="AI1431">
        <v>230</v>
      </c>
      <c r="AJ1431" t="s">
        <v>10210</v>
      </c>
      <c r="AL1431">
        <v>0</v>
      </c>
      <c r="AM1431" t="s">
        <v>10884</v>
      </c>
      <c r="AN1431" t="s">
        <v>10931</v>
      </c>
      <c r="AO1431" t="s">
        <v>11000</v>
      </c>
      <c r="AP1431" t="s">
        <v>11045</v>
      </c>
      <c r="AR1431" t="s">
        <v>11296</v>
      </c>
      <c r="AS1431" t="s">
        <v>9926</v>
      </c>
      <c r="BA1431" t="s">
        <v>11739</v>
      </c>
      <c r="BB1431">
        <v>0</v>
      </c>
      <c r="BC1431">
        <v>0</v>
      </c>
      <c r="BD1431">
        <v>0</v>
      </c>
      <c r="BE1431">
        <v>0</v>
      </c>
      <c r="BF1431">
        <v>4</v>
      </c>
      <c r="BG1431">
        <v>0</v>
      </c>
    </row>
    <row r="1432" spans="1:59">
      <c r="A1432" s="1">
        <f>HYPERLINK("https://lsnyc.legalserver.org/matter/dynamic-profile/view/1905275","19-1905275")</f>
        <v>0</v>
      </c>
      <c r="B1432" t="s">
        <v>1289</v>
      </c>
      <c r="C1432" t="s">
        <v>5601</v>
      </c>
      <c r="D1432" t="s">
        <v>9926</v>
      </c>
      <c r="E1432" t="s">
        <v>10075</v>
      </c>
      <c r="F1432">
        <v>10453</v>
      </c>
      <c r="G1432" t="s">
        <v>10090</v>
      </c>
      <c r="H1432" t="s">
        <v>10130</v>
      </c>
      <c r="I1432" t="s">
        <v>10168</v>
      </c>
      <c r="J1432" t="s">
        <v>10210</v>
      </c>
      <c r="K1432" t="s">
        <v>10217</v>
      </c>
      <c r="M1432" t="s">
        <v>10463</v>
      </c>
      <c r="N1432" t="s">
        <v>10650</v>
      </c>
      <c r="P1432" t="s">
        <v>10749</v>
      </c>
      <c r="Q1432" t="s">
        <v>10765</v>
      </c>
      <c r="R1432" t="s">
        <v>10824</v>
      </c>
      <c r="T1432">
        <v>31954</v>
      </c>
      <c r="U1432">
        <v>2662.83</v>
      </c>
      <c r="V1432">
        <v>77</v>
      </c>
      <c r="W1432">
        <v>1</v>
      </c>
      <c r="X1432">
        <v>0</v>
      </c>
      <c r="Z1432">
        <v>255.84</v>
      </c>
      <c r="AA1432">
        <v>40.846849</v>
      </c>
      <c r="AB1432">
        <v>-73.90953500000001</v>
      </c>
      <c r="AD1432" t="s">
        <v>10839</v>
      </c>
      <c r="AG1432" t="s">
        <v>10858</v>
      </c>
      <c r="AH1432" t="s">
        <v>10862</v>
      </c>
      <c r="AI1432">
        <v>230</v>
      </c>
      <c r="AJ1432" t="s">
        <v>10210</v>
      </c>
      <c r="AL1432">
        <v>0</v>
      </c>
      <c r="AM1432" t="s">
        <v>10884</v>
      </c>
      <c r="AN1432" t="s">
        <v>10931</v>
      </c>
      <c r="AO1432" t="s">
        <v>11000</v>
      </c>
      <c r="AP1432" t="s">
        <v>11045</v>
      </c>
      <c r="AR1432" t="s">
        <v>11270</v>
      </c>
      <c r="AS1432" t="s">
        <v>9926</v>
      </c>
      <c r="BA1432" t="s">
        <v>11739</v>
      </c>
      <c r="BB1432">
        <v>0</v>
      </c>
      <c r="BC1432">
        <v>0</v>
      </c>
      <c r="BD1432">
        <v>0</v>
      </c>
      <c r="BE1432">
        <v>0</v>
      </c>
      <c r="BF1432">
        <v>4</v>
      </c>
      <c r="BG1432">
        <v>0</v>
      </c>
    </row>
    <row r="1433" spans="1:59">
      <c r="A1433" s="1">
        <f>HYPERLINK("https://lsnyc.legalserver.org/matter/dynamic-profile/view/1905276","19-1905276")</f>
        <v>0</v>
      </c>
      <c r="B1433" t="s">
        <v>1290</v>
      </c>
      <c r="C1433" t="s">
        <v>6116</v>
      </c>
      <c r="D1433" t="s">
        <v>9999</v>
      </c>
      <c r="E1433" t="s">
        <v>10075</v>
      </c>
      <c r="F1433">
        <v>10960</v>
      </c>
      <c r="G1433" t="s">
        <v>10093</v>
      </c>
      <c r="H1433" t="s">
        <v>10130</v>
      </c>
      <c r="I1433" t="s">
        <v>10168</v>
      </c>
      <c r="J1433" t="s">
        <v>10213</v>
      </c>
      <c r="K1433" t="s">
        <v>10218</v>
      </c>
      <c r="L1433" t="s">
        <v>10134</v>
      </c>
      <c r="M1433" t="s">
        <v>10436</v>
      </c>
      <c r="N1433" t="s">
        <v>10710</v>
      </c>
      <c r="P1433" t="s">
        <v>10750</v>
      </c>
      <c r="Q1433" t="s">
        <v>10760</v>
      </c>
      <c r="R1433" t="s">
        <v>10820</v>
      </c>
      <c r="T1433">
        <v>20800</v>
      </c>
      <c r="U1433">
        <v>1733.33</v>
      </c>
      <c r="V1433">
        <v>59</v>
      </c>
      <c r="W1433">
        <v>1</v>
      </c>
      <c r="X1433">
        <v>0</v>
      </c>
      <c r="Y1433" t="s">
        <v>10829</v>
      </c>
      <c r="Z1433">
        <v>166.53</v>
      </c>
      <c r="AA1433">
        <v>41.086073</v>
      </c>
      <c r="AB1433">
        <v>-73.927004</v>
      </c>
      <c r="AD1433" t="s">
        <v>10839</v>
      </c>
      <c r="AG1433" t="s">
        <v>10858</v>
      </c>
      <c r="AH1433" t="s">
        <v>10861</v>
      </c>
      <c r="AI1433">
        <v>234</v>
      </c>
      <c r="AJ1433" t="s">
        <v>10214</v>
      </c>
      <c r="AK1433" t="s">
        <v>10838</v>
      </c>
      <c r="AL1433">
        <v>2.35</v>
      </c>
      <c r="AM1433" t="s">
        <v>10896</v>
      </c>
      <c r="AN1433" t="s">
        <v>10972</v>
      </c>
      <c r="AO1433" t="s">
        <v>11027</v>
      </c>
      <c r="AR1433" t="s">
        <v>11257</v>
      </c>
      <c r="AS1433" t="s">
        <v>11598</v>
      </c>
      <c r="AT1433" t="s">
        <v>11641</v>
      </c>
      <c r="AX1433" t="s">
        <v>10838</v>
      </c>
      <c r="AY1433" t="s">
        <v>10829</v>
      </c>
      <c r="AZ1433" t="s">
        <v>11679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</row>
    <row r="1434" spans="1:59">
      <c r="A1434" s="1">
        <f>HYPERLINK("https://lsnyc.legalserver.org/matter/dynamic-profile/view/1905277","19-1905277")</f>
        <v>0</v>
      </c>
      <c r="B1434" t="s">
        <v>1289</v>
      </c>
      <c r="C1434" t="s">
        <v>5601</v>
      </c>
      <c r="D1434" t="s">
        <v>9926</v>
      </c>
      <c r="E1434" t="s">
        <v>10075</v>
      </c>
      <c r="F1434">
        <v>10453</v>
      </c>
      <c r="G1434" t="s">
        <v>10090</v>
      </c>
      <c r="H1434" t="s">
        <v>10130</v>
      </c>
      <c r="I1434" t="s">
        <v>10168</v>
      </c>
      <c r="J1434" t="s">
        <v>10210</v>
      </c>
      <c r="K1434" t="s">
        <v>10217</v>
      </c>
      <c r="M1434" t="s">
        <v>10463</v>
      </c>
      <c r="N1434" t="s">
        <v>10650</v>
      </c>
      <c r="P1434" t="s">
        <v>10749</v>
      </c>
      <c r="Q1434" t="s">
        <v>10765</v>
      </c>
      <c r="R1434" t="s">
        <v>10824</v>
      </c>
      <c r="T1434">
        <v>31954</v>
      </c>
      <c r="U1434">
        <v>2662.83</v>
      </c>
      <c r="V1434">
        <v>77</v>
      </c>
      <c r="W1434">
        <v>1</v>
      </c>
      <c r="X1434">
        <v>0</v>
      </c>
      <c r="Z1434">
        <v>255.84</v>
      </c>
      <c r="AA1434">
        <v>40.846849</v>
      </c>
      <c r="AB1434">
        <v>-73.90953500000001</v>
      </c>
      <c r="AD1434" t="s">
        <v>10839</v>
      </c>
      <c r="AG1434" t="s">
        <v>10858</v>
      </c>
      <c r="AH1434" t="s">
        <v>10862</v>
      </c>
      <c r="AI1434">
        <v>230</v>
      </c>
      <c r="AJ1434" t="s">
        <v>10210</v>
      </c>
      <c r="AL1434">
        <v>0</v>
      </c>
      <c r="AM1434" t="s">
        <v>10884</v>
      </c>
      <c r="AN1434" t="s">
        <v>10931</v>
      </c>
      <c r="AO1434" t="s">
        <v>11000</v>
      </c>
      <c r="AP1434" t="s">
        <v>11045</v>
      </c>
      <c r="AR1434" t="s">
        <v>11270</v>
      </c>
      <c r="AS1434" t="s">
        <v>9926</v>
      </c>
      <c r="BA1434" t="s">
        <v>11739</v>
      </c>
      <c r="BB1434">
        <v>0</v>
      </c>
      <c r="BC1434">
        <v>0</v>
      </c>
      <c r="BD1434">
        <v>0</v>
      </c>
      <c r="BE1434">
        <v>0</v>
      </c>
      <c r="BF1434">
        <v>4</v>
      </c>
      <c r="BG1434">
        <v>0</v>
      </c>
    </row>
    <row r="1435" spans="1:59">
      <c r="A1435" s="1">
        <f>HYPERLINK("https://lsnyc.legalserver.org/matter/dynamic-profile/view/1905278","19-1905278")</f>
        <v>0</v>
      </c>
      <c r="B1435" t="s">
        <v>1291</v>
      </c>
      <c r="C1435" t="s">
        <v>6117</v>
      </c>
      <c r="D1435" t="s">
        <v>9928</v>
      </c>
      <c r="E1435" t="s">
        <v>10075</v>
      </c>
      <c r="F1435">
        <v>11205</v>
      </c>
      <c r="G1435" t="s">
        <v>10091</v>
      </c>
      <c r="H1435" t="s">
        <v>10130</v>
      </c>
      <c r="I1435" t="s">
        <v>10168</v>
      </c>
      <c r="J1435" t="s">
        <v>10211</v>
      </c>
      <c r="K1435" t="s">
        <v>10217</v>
      </c>
      <c r="M1435" t="s">
        <v>10231</v>
      </c>
      <c r="N1435" t="s">
        <v>10647</v>
      </c>
      <c r="P1435" t="s">
        <v>10752</v>
      </c>
      <c r="Q1435" t="s">
        <v>10762</v>
      </c>
      <c r="R1435" t="s">
        <v>10823</v>
      </c>
      <c r="T1435">
        <v>17160</v>
      </c>
      <c r="U1435">
        <v>1430</v>
      </c>
      <c r="V1435">
        <v>58</v>
      </c>
      <c r="W1435">
        <v>1</v>
      </c>
      <c r="X1435">
        <v>0</v>
      </c>
      <c r="Z1435">
        <v>137.39</v>
      </c>
      <c r="AA1435">
        <v>40.689026</v>
      </c>
      <c r="AB1435">
        <v>-73.96772</v>
      </c>
      <c r="AD1435" t="s">
        <v>10840</v>
      </c>
      <c r="AG1435" t="s">
        <v>10858</v>
      </c>
      <c r="AH1435" t="s">
        <v>10871</v>
      </c>
      <c r="AI1435">
        <v>234</v>
      </c>
      <c r="AJ1435" t="s">
        <v>10214</v>
      </c>
      <c r="AL1435">
        <v>1.4</v>
      </c>
      <c r="AM1435" t="s">
        <v>10889</v>
      </c>
      <c r="AN1435" t="s">
        <v>10923</v>
      </c>
      <c r="AO1435" t="s">
        <v>11007</v>
      </c>
      <c r="AP1435" t="s">
        <v>11061</v>
      </c>
      <c r="AR1435" t="s">
        <v>11257</v>
      </c>
      <c r="AS1435" t="s">
        <v>11595</v>
      </c>
      <c r="AT1435" t="s">
        <v>11642</v>
      </c>
      <c r="AX1435" t="s">
        <v>10837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</row>
    <row r="1436" spans="1:59">
      <c r="A1436" s="1">
        <f>HYPERLINK("https://lsnyc.legalserver.org/matter/dynamic-profile/view/1905279","19-1905279")</f>
        <v>0</v>
      </c>
      <c r="B1436" t="s">
        <v>1292</v>
      </c>
      <c r="C1436" t="s">
        <v>6118</v>
      </c>
      <c r="D1436" t="s">
        <v>9926</v>
      </c>
      <c r="E1436" t="s">
        <v>10075</v>
      </c>
      <c r="F1436">
        <v>10467</v>
      </c>
      <c r="G1436" t="s">
        <v>10090</v>
      </c>
      <c r="H1436" t="s">
        <v>10130</v>
      </c>
      <c r="I1436" t="s">
        <v>10169</v>
      </c>
      <c r="J1436" t="s">
        <v>10210</v>
      </c>
      <c r="K1436" t="s">
        <v>10217</v>
      </c>
      <c r="M1436" t="s">
        <v>10279</v>
      </c>
      <c r="N1436" t="s">
        <v>10651</v>
      </c>
      <c r="P1436" t="s">
        <v>10749</v>
      </c>
      <c r="Q1436" t="s">
        <v>10765</v>
      </c>
      <c r="R1436" t="s">
        <v>10823</v>
      </c>
      <c r="T1436">
        <v>27300</v>
      </c>
      <c r="U1436">
        <v>2275</v>
      </c>
      <c r="V1436">
        <v>43</v>
      </c>
      <c r="W1436">
        <v>1</v>
      </c>
      <c r="X1436">
        <v>1</v>
      </c>
      <c r="Z1436">
        <v>161.44</v>
      </c>
      <c r="AA1436">
        <v>40.867748</v>
      </c>
      <c r="AB1436">
        <v>-73.868517</v>
      </c>
      <c r="AD1436" t="s">
        <v>10839</v>
      </c>
      <c r="AG1436" t="s">
        <v>10858</v>
      </c>
      <c r="AH1436" t="s">
        <v>10862</v>
      </c>
      <c r="AI1436">
        <v>230</v>
      </c>
      <c r="AJ1436" t="s">
        <v>10210</v>
      </c>
      <c r="AL1436">
        <v>15.1</v>
      </c>
      <c r="AM1436" t="s">
        <v>10885</v>
      </c>
      <c r="AN1436" t="s">
        <v>10938</v>
      </c>
      <c r="AO1436" t="s">
        <v>11010</v>
      </c>
      <c r="AP1436" t="s">
        <v>11056</v>
      </c>
      <c r="AR1436" t="s">
        <v>11257</v>
      </c>
      <c r="AS1436" t="s">
        <v>9926</v>
      </c>
      <c r="AT1436" t="s">
        <v>11641</v>
      </c>
      <c r="AX1436" t="s">
        <v>10838</v>
      </c>
      <c r="BA1436" t="s">
        <v>11738</v>
      </c>
      <c r="BB1436">
        <v>0</v>
      </c>
      <c r="BC1436">
        <v>0</v>
      </c>
      <c r="BD1436">
        <v>0</v>
      </c>
      <c r="BE1436">
        <v>0</v>
      </c>
      <c r="BF1436">
        <v>5</v>
      </c>
      <c r="BG1436">
        <v>0</v>
      </c>
    </row>
    <row r="1437" spans="1:59">
      <c r="A1437" s="1">
        <f>HYPERLINK("https://lsnyc.legalserver.org/matter/dynamic-profile/view/1905280","19-1905280")</f>
        <v>0</v>
      </c>
      <c r="B1437" t="s">
        <v>1293</v>
      </c>
      <c r="C1437" t="s">
        <v>6119</v>
      </c>
      <c r="D1437" t="s">
        <v>9938</v>
      </c>
      <c r="E1437" t="s">
        <v>10075</v>
      </c>
      <c r="F1437">
        <v>11433</v>
      </c>
      <c r="G1437" t="s">
        <v>10092</v>
      </c>
      <c r="H1437" t="s">
        <v>10124</v>
      </c>
      <c r="I1437" t="s">
        <v>10168</v>
      </c>
      <c r="J1437" t="s">
        <v>10212</v>
      </c>
      <c r="K1437" t="s">
        <v>10218</v>
      </c>
      <c r="L1437" t="s">
        <v>10098</v>
      </c>
      <c r="M1437" t="s">
        <v>10269</v>
      </c>
      <c r="N1437" t="s">
        <v>10669</v>
      </c>
      <c r="P1437" t="s">
        <v>10754</v>
      </c>
      <c r="Q1437" t="s">
        <v>10775</v>
      </c>
      <c r="R1437" t="s">
        <v>10824</v>
      </c>
      <c r="T1437">
        <v>24000</v>
      </c>
      <c r="U1437">
        <v>2000</v>
      </c>
      <c r="V1437">
        <v>37</v>
      </c>
      <c r="W1437">
        <v>2</v>
      </c>
      <c r="X1437">
        <v>2</v>
      </c>
      <c r="Y1437" t="s">
        <v>10829</v>
      </c>
      <c r="Z1437">
        <v>93.2</v>
      </c>
      <c r="AA1437">
        <v>40.703721</v>
      </c>
      <c r="AB1437">
        <v>-73.79771599999999</v>
      </c>
      <c r="AD1437" t="s">
        <v>10839</v>
      </c>
      <c r="AG1437" t="s">
        <v>10858</v>
      </c>
      <c r="AH1437" t="s">
        <v>10865</v>
      </c>
      <c r="AI1437">
        <v>237</v>
      </c>
      <c r="AJ1437" t="s">
        <v>10212</v>
      </c>
      <c r="AK1437" t="s">
        <v>10837</v>
      </c>
      <c r="AL1437">
        <v>1.5</v>
      </c>
      <c r="AM1437" t="s">
        <v>10892</v>
      </c>
      <c r="AN1437" t="s">
        <v>10951</v>
      </c>
      <c r="AO1437" t="s">
        <v>11020</v>
      </c>
      <c r="AP1437" t="s">
        <v>11075</v>
      </c>
      <c r="AQ1437" t="s">
        <v>11106</v>
      </c>
      <c r="AR1437" t="s">
        <v>11276</v>
      </c>
      <c r="AS1437" t="s">
        <v>11594</v>
      </c>
      <c r="AT1437" t="s">
        <v>11641</v>
      </c>
      <c r="AX1437" t="s">
        <v>10838</v>
      </c>
      <c r="AY1437" t="s">
        <v>10829</v>
      </c>
      <c r="AZ1437" t="s">
        <v>11691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</row>
    <row r="1438" spans="1:59">
      <c r="A1438" s="1">
        <f>HYPERLINK("https://lsnyc.legalserver.org/matter/dynamic-profile/view/1905281","19-1905281")</f>
        <v>0</v>
      </c>
      <c r="B1438" t="s">
        <v>1294</v>
      </c>
      <c r="C1438" t="s">
        <v>6120</v>
      </c>
      <c r="D1438" t="s">
        <v>9929</v>
      </c>
      <c r="E1438" t="s">
        <v>10075</v>
      </c>
      <c r="F1438">
        <v>10304</v>
      </c>
      <c r="G1438" t="s">
        <v>10089</v>
      </c>
      <c r="H1438" t="s">
        <v>10130</v>
      </c>
      <c r="I1438" t="s">
        <v>10168</v>
      </c>
      <c r="J1438" t="s">
        <v>10209</v>
      </c>
      <c r="K1438" t="s">
        <v>10218</v>
      </c>
      <c r="L1438" t="s">
        <v>10138</v>
      </c>
      <c r="M1438" t="s">
        <v>10278</v>
      </c>
      <c r="N1438" t="s">
        <v>10682</v>
      </c>
      <c r="P1438" t="s">
        <v>10749</v>
      </c>
      <c r="Q1438" t="s">
        <v>10767</v>
      </c>
      <c r="R1438" t="s">
        <v>10824</v>
      </c>
      <c r="T1438">
        <v>33362</v>
      </c>
      <c r="U1438">
        <v>2780.17</v>
      </c>
      <c r="V1438">
        <v>20</v>
      </c>
      <c r="W1438">
        <v>3</v>
      </c>
      <c r="X1438">
        <v>4</v>
      </c>
      <c r="Y1438" t="s">
        <v>10829</v>
      </c>
      <c r="Z1438">
        <v>85.52</v>
      </c>
      <c r="AA1438">
        <v>40.622382</v>
      </c>
      <c r="AB1438">
        <v>-74.081835</v>
      </c>
      <c r="AD1438" t="s">
        <v>10840</v>
      </c>
      <c r="AG1438" t="s">
        <v>10858</v>
      </c>
      <c r="AH1438" t="s">
        <v>10862</v>
      </c>
      <c r="AI1438">
        <v>236</v>
      </c>
      <c r="AJ1438" t="s">
        <v>10209</v>
      </c>
      <c r="AK1438" t="s">
        <v>10838</v>
      </c>
      <c r="AL1438">
        <v>2</v>
      </c>
      <c r="AM1438" t="s">
        <v>10883</v>
      </c>
      <c r="AN1438" t="s">
        <v>10913</v>
      </c>
      <c r="AO1438" t="s">
        <v>11006</v>
      </c>
      <c r="AP1438" t="s">
        <v>11051</v>
      </c>
      <c r="AR1438" t="s">
        <v>11257</v>
      </c>
      <c r="AS1438" t="s">
        <v>11593</v>
      </c>
      <c r="AX1438" t="s">
        <v>10838</v>
      </c>
      <c r="AY1438" t="s">
        <v>10829</v>
      </c>
      <c r="AZ1438" t="s">
        <v>11681</v>
      </c>
      <c r="BA1438" t="s">
        <v>11741</v>
      </c>
      <c r="BB1438">
        <v>0</v>
      </c>
      <c r="BC1438">
        <v>0</v>
      </c>
      <c r="BD1438">
        <v>0</v>
      </c>
      <c r="BE1438">
        <v>0</v>
      </c>
      <c r="BF1438">
        <v>1</v>
      </c>
      <c r="BG1438">
        <v>0</v>
      </c>
    </row>
    <row r="1439" spans="1:59">
      <c r="A1439" s="1">
        <f>HYPERLINK("https://lsnyc.legalserver.org/matter/dynamic-profile/view/1905282","19-1905282")</f>
        <v>0</v>
      </c>
      <c r="B1439" t="s">
        <v>1295</v>
      </c>
      <c r="C1439" t="s">
        <v>5601</v>
      </c>
      <c r="D1439" t="s">
        <v>9926</v>
      </c>
      <c r="E1439" t="s">
        <v>10075</v>
      </c>
      <c r="F1439">
        <v>10453</v>
      </c>
      <c r="G1439" t="s">
        <v>10090</v>
      </c>
      <c r="H1439" t="s">
        <v>10106</v>
      </c>
      <c r="I1439" t="s">
        <v>10169</v>
      </c>
      <c r="J1439" t="s">
        <v>10210</v>
      </c>
      <c r="K1439" t="s">
        <v>10217</v>
      </c>
      <c r="M1439" t="s">
        <v>10463</v>
      </c>
      <c r="N1439" t="s">
        <v>10650</v>
      </c>
      <c r="P1439" t="s">
        <v>10749</v>
      </c>
      <c r="Q1439" t="s">
        <v>10765</v>
      </c>
      <c r="R1439" t="s">
        <v>10823</v>
      </c>
      <c r="T1439">
        <v>31200</v>
      </c>
      <c r="U1439">
        <v>2600</v>
      </c>
      <c r="V1439">
        <v>59</v>
      </c>
      <c r="W1439">
        <v>2</v>
      </c>
      <c r="X1439">
        <v>0</v>
      </c>
      <c r="Z1439">
        <v>184.51</v>
      </c>
      <c r="AA1439">
        <v>40.846849</v>
      </c>
      <c r="AB1439">
        <v>-73.90953500000001</v>
      </c>
      <c r="AD1439" t="s">
        <v>10840</v>
      </c>
      <c r="AF1439" t="s">
        <v>10843</v>
      </c>
      <c r="AG1439" t="s">
        <v>10859</v>
      </c>
      <c r="AH1439" t="s">
        <v>10862</v>
      </c>
      <c r="AI1439">
        <v>230</v>
      </c>
      <c r="AJ1439" t="s">
        <v>10210</v>
      </c>
      <c r="AL1439">
        <v>0</v>
      </c>
      <c r="AM1439" t="s">
        <v>10884</v>
      </c>
      <c r="AN1439" t="s">
        <v>10931</v>
      </c>
      <c r="AO1439" t="s">
        <v>11000</v>
      </c>
      <c r="AP1439" t="s">
        <v>11045</v>
      </c>
      <c r="AR1439" t="s">
        <v>11257</v>
      </c>
      <c r="AS1439" t="s">
        <v>9926</v>
      </c>
      <c r="BA1439" t="s">
        <v>11739</v>
      </c>
      <c r="BB1439">
        <v>0</v>
      </c>
      <c r="BC1439">
        <v>0</v>
      </c>
      <c r="BD1439">
        <v>0</v>
      </c>
      <c r="BE1439">
        <v>0</v>
      </c>
      <c r="BF1439">
        <v>4</v>
      </c>
      <c r="BG1439">
        <v>0</v>
      </c>
    </row>
    <row r="1440" spans="1:59">
      <c r="A1440" s="1">
        <f>HYPERLINK("https://lsnyc.legalserver.org/matter/dynamic-profile/view/1905283","19-1905283")</f>
        <v>0</v>
      </c>
      <c r="B1440" t="s">
        <v>1296</v>
      </c>
      <c r="C1440" t="s">
        <v>6121</v>
      </c>
      <c r="D1440" t="s">
        <v>9928</v>
      </c>
      <c r="E1440" t="s">
        <v>10075</v>
      </c>
      <c r="F1440">
        <v>11238</v>
      </c>
      <c r="G1440" t="s">
        <v>10093</v>
      </c>
      <c r="H1440" t="s">
        <v>10109</v>
      </c>
      <c r="I1440" t="s">
        <v>10168</v>
      </c>
      <c r="J1440" t="s">
        <v>10213</v>
      </c>
      <c r="K1440" t="s">
        <v>10218</v>
      </c>
      <c r="L1440" t="s">
        <v>10109</v>
      </c>
      <c r="M1440" t="s">
        <v>10536</v>
      </c>
      <c r="N1440" t="s">
        <v>10720</v>
      </c>
      <c r="P1440" t="s">
        <v>10749</v>
      </c>
      <c r="Q1440" t="s">
        <v>10806</v>
      </c>
      <c r="R1440" t="s">
        <v>10824</v>
      </c>
      <c r="T1440">
        <v>8400</v>
      </c>
      <c r="U1440">
        <v>700</v>
      </c>
      <c r="V1440">
        <v>61</v>
      </c>
      <c r="W1440">
        <v>1</v>
      </c>
      <c r="X1440">
        <v>0</v>
      </c>
      <c r="Y1440" t="s">
        <v>10829</v>
      </c>
      <c r="Z1440">
        <v>67.25</v>
      </c>
      <c r="AA1440">
        <v>40.683757</v>
      </c>
      <c r="AB1440">
        <v>-73.966095</v>
      </c>
      <c r="AD1440" t="s">
        <v>10839</v>
      </c>
      <c r="AG1440" t="s">
        <v>10858</v>
      </c>
      <c r="AH1440" t="s">
        <v>10860</v>
      </c>
      <c r="AI1440">
        <v>239</v>
      </c>
      <c r="AJ1440" t="s">
        <v>10213</v>
      </c>
      <c r="AK1440" t="s">
        <v>10838</v>
      </c>
      <c r="AL1440">
        <v>2</v>
      </c>
      <c r="AM1440" t="s">
        <v>10889</v>
      </c>
      <c r="AN1440" t="s">
        <v>10923</v>
      </c>
      <c r="AO1440" t="s">
        <v>11007</v>
      </c>
      <c r="AP1440" t="s">
        <v>11061</v>
      </c>
      <c r="AQ1440" t="s">
        <v>11098</v>
      </c>
      <c r="AR1440" t="s">
        <v>11257</v>
      </c>
      <c r="AS1440" t="s">
        <v>11595</v>
      </c>
      <c r="AY1440" t="s">
        <v>10829</v>
      </c>
      <c r="AZ1440" t="s">
        <v>11681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</row>
    <row r="1441" spans="1:59">
      <c r="A1441" s="1">
        <f>HYPERLINK("https://lsnyc.legalserver.org/matter/dynamic-profile/view/1905284","19-1905284")</f>
        <v>0</v>
      </c>
      <c r="B1441" t="s">
        <v>1297</v>
      </c>
      <c r="C1441" t="s">
        <v>6122</v>
      </c>
      <c r="D1441" t="s">
        <v>9928</v>
      </c>
      <c r="E1441" t="s">
        <v>10075</v>
      </c>
      <c r="F1441">
        <v>11226</v>
      </c>
      <c r="G1441" t="s">
        <v>10093</v>
      </c>
      <c r="H1441" t="s">
        <v>10130</v>
      </c>
      <c r="I1441" t="s">
        <v>10168</v>
      </c>
      <c r="J1441" t="s">
        <v>10213</v>
      </c>
      <c r="K1441" t="s">
        <v>10218</v>
      </c>
      <c r="L1441" t="s">
        <v>10223</v>
      </c>
      <c r="M1441" t="s">
        <v>10361</v>
      </c>
      <c r="N1441" t="s">
        <v>10667</v>
      </c>
      <c r="P1441" t="s">
        <v>10749</v>
      </c>
      <c r="Q1441" t="s">
        <v>10765</v>
      </c>
      <c r="R1441" t="s">
        <v>10824</v>
      </c>
      <c r="T1441">
        <v>42623.1</v>
      </c>
      <c r="U1441">
        <v>3551.93</v>
      </c>
      <c r="V1441">
        <v>45</v>
      </c>
      <c r="W1441">
        <v>2</v>
      </c>
      <c r="X1441">
        <v>1</v>
      </c>
      <c r="Y1441" t="s">
        <v>10832</v>
      </c>
      <c r="Z1441">
        <v>199.83</v>
      </c>
      <c r="AA1441">
        <v>40.648655</v>
      </c>
      <c r="AB1441">
        <v>-73.962492</v>
      </c>
      <c r="AD1441" t="s">
        <v>10839</v>
      </c>
      <c r="AG1441" t="s">
        <v>10858</v>
      </c>
      <c r="AH1441" t="s">
        <v>10862</v>
      </c>
      <c r="AI1441">
        <v>239</v>
      </c>
      <c r="AJ1441" t="s">
        <v>10213</v>
      </c>
      <c r="AK1441" t="s">
        <v>10838</v>
      </c>
      <c r="AL1441">
        <v>8.300000000000001</v>
      </c>
      <c r="AM1441" t="s">
        <v>10888</v>
      </c>
      <c r="AN1441" t="s">
        <v>10932</v>
      </c>
      <c r="AO1441" t="s">
        <v>11008</v>
      </c>
      <c r="AP1441" t="s">
        <v>11050</v>
      </c>
      <c r="AQ1441" t="s">
        <v>11101</v>
      </c>
      <c r="AR1441" t="s">
        <v>11417</v>
      </c>
      <c r="AS1441" t="s">
        <v>11595</v>
      </c>
      <c r="AT1441" t="s">
        <v>11641</v>
      </c>
      <c r="AY1441" t="s">
        <v>10832</v>
      </c>
      <c r="AZ1441" t="s">
        <v>11687</v>
      </c>
      <c r="BA1441" t="s">
        <v>11738</v>
      </c>
      <c r="BB1441">
        <v>15814.52</v>
      </c>
      <c r="BC1441">
        <v>0</v>
      </c>
      <c r="BD1441">
        <v>0</v>
      </c>
      <c r="BE1441">
        <v>0</v>
      </c>
      <c r="BF1441">
        <v>5</v>
      </c>
      <c r="BG1441">
        <v>0</v>
      </c>
    </row>
    <row r="1442" spans="1:59">
      <c r="A1442" s="1">
        <f>HYPERLINK("https://lsnyc.legalserver.org/matter/dynamic-profile/view/1905285","19-1905285")</f>
        <v>0</v>
      </c>
      <c r="B1442" t="s">
        <v>1298</v>
      </c>
      <c r="C1442" t="s">
        <v>6123</v>
      </c>
      <c r="D1442" t="s">
        <v>9928</v>
      </c>
      <c r="E1442" t="s">
        <v>10075</v>
      </c>
      <c r="F1442">
        <v>11203</v>
      </c>
      <c r="G1442" t="s">
        <v>10093</v>
      </c>
      <c r="H1442" t="s">
        <v>10130</v>
      </c>
      <c r="I1442" t="s">
        <v>10168</v>
      </c>
      <c r="J1442" t="s">
        <v>10213</v>
      </c>
      <c r="K1442" t="s">
        <v>10218</v>
      </c>
      <c r="L1442" t="s">
        <v>10153</v>
      </c>
      <c r="M1442" t="s">
        <v>10289</v>
      </c>
      <c r="N1442" t="s">
        <v>10671</v>
      </c>
      <c r="P1442" t="s">
        <v>10751</v>
      </c>
      <c r="Q1442" t="s">
        <v>10786</v>
      </c>
      <c r="R1442" t="s">
        <v>10824</v>
      </c>
      <c r="T1442">
        <v>16560</v>
      </c>
      <c r="U1442">
        <v>1380</v>
      </c>
      <c r="V1442">
        <v>60</v>
      </c>
      <c r="W1442">
        <v>2</v>
      </c>
      <c r="X1442">
        <v>1</v>
      </c>
      <c r="Y1442" t="s">
        <v>10833</v>
      </c>
      <c r="Z1442">
        <v>77.64</v>
      </c>
      <c r="AA1442">
        <v>40.644363</v>
      </c>
      <c r="AB1442">
        <v>-73.94568099999999</v>
      </c>
      <c r="AD1442" t="s">
        <v>10840</v>
      </c>
      <c r="AG1442" t="s">
        <v>10858</v>
      </c>
      <c r="AH1442" t="s">
        <v>10861</v>
      </c>
      <c r="AI1442">
        <v>234</v>
      </c>
      <c r="AJ1442" t="s">
        <v>10214</v>
      </c>
      <c r="AK1442" t="s">
        <v>10838</v>
      </c>
      <c r="AL1442">
        <v>4</v>
      </c>
      <c r="AM1442" t="s">
        <v>10888</v>
      </c>
      <c r="AN1442" t="s">
        <v>10932</v>
      </c>
      <c r="AO1442" t="s">
        <v>11008</v>
      </c>
      <c r="AP1442" t="s">
        <v>11065</v>
      </c>
      <c r="AR1442" t="s">
        <v>11280</v>
      </c>
      <c r="AS1442" t="s">
        <v>11595</v>
      </c>
      <c r="AT1442" t="s">
        <v>11642</v>
      </c>
      <c r="AX1442" t="s">
        <v>10838</v>
      </c>
      <c r="AY1442" t="s">
        <v>10833</v>
      </c>
      <c r="AZ1442" t="s">
        <v>11693</v>
      </c>
      <c r="BB1442">
        <v>0</v>
      </c>
      <c r="BC1442">
        <v>0</v>
      </c>
      <c r="BD1442">
        <v>600</v>
      </c>
      <c r="BE1442">
        <v>0</v>
      </c>
      <c r="BF1442">
        <v>0</v>
      </c>
      <c r="BG1442">
        <v>0</v>
      </c>
    </row>
    <row r="1443" spans="1:59">
      <c r="A1443" s="1">
        <f>HYPERLINK("https://lsnyc.legalserver.org/matter/dynamic-profile/view/1905286","19-1905286")</f>
        <v>0</v>
      </c>
      <c r="B1443" t="s">
        <v>1299</v>
      </c>
      <c r="C1443" t="s">
        <v>6124</v>
      </c>
      <c r="D1443" t="s">
        <v>9928</v>
      </c>
      <c r="E1443" t="s">
        <v>10075</v>
      </c>
      <c r="F1443">
        <v>11206</v>
      </c>
      <c r="G1443" t="s">
        <v>10093</v>
      </c>
      <c r="H1443" t="s">
        <v>10130</v>
      </c>
      <c r="I1443" t="s">
        <v>10168</v>
      </c>
      <c r="J1443" t="s">
        <v>10213</v>
      </c>
      <c r="K1443" t="s">
        <v>10217</v>
      </c>
      <c r="M1443" t="s">
        <v>10352</v>
      </c>
      <c r="N1443" t="s">
        <v>10650</v>
      </c>
      <c r="P1443" t="s">
        <v>10749</v>
      </c>
      <c r="Q1443" t="s">
        <v>10765</v>
      </c>
      <c r="R1443" t="s">
        <v>10820</v>
      </c>
      <c r="T1443">
        <v>0</v>
      </c>
      <c r="U1443">
        <v>0</v>
      </c>
      <c r="V1443">
        <v>41</v>
      </c>
      <c r="W1443">
        <v>2</v>
      </c>
      <c r="X1443">
        <v>0</v>
      </c>
      <c r="Z1443">
        <v>0</v>
      </c>
      <c r="AA1443">
        <v>40.70778</v>
      </c>
      <c r="AB1443">
        <v>-73.94089200000001</v>
      </c>
      <c r="AD1443" t="s">
        <v>10840</v>
      </c>
      <c r="AG1443" t="s">
        <v>10858</v>
      </c>
      <c r="AH1443" t="s">
        <v>10862</v>
      </c>
      <c r="AI1443">
        <v>239</v>
      </c>
      <c r="AJ1443" t="s">
        <v>10213</v>
      </c>
      <c r="AL1443">
        <v>0.9</v>
      </c>
      <c r="AM1443" t="s">
        <v>10886</v>
      </c>
      <c r="AN1443" t="s">
        <v>10942</v>
      </c>
      <c r="AO1443" t="s">
        <v>11011</v>
      </c>
      <c r="AP1443" t="s">
        <v>11071</v>
      </c>
      <c r="AQ1443" t="s">
        <v>11101</v>
      </c>
      <c r="AR1443" t="s">
        <v>11267</v>
      </c>
      <c r="AS1443" t="s">
        <v>11595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</row>
    <row r="1444" spans="1:59">
      <c r="A1444" s="1">
        <f>HYPERLINK("https://lsnyc.legalserver.org/matter/dynamic-profile/view/1905288","19-1905288")</f>
        <v>0</v>
      </c>
      <c r="B1444" t="s">
        <v>1300</v>
      </c>
      <c r="C1444" t="s">
        <v>6125</v>
      </c>
      <c r="D1444" t="s">
        <v>9948</v>
      </c>
      <c r="E1444" t="s">
        <v>10075</v>
      </c>
      <c r="F1444">
        <v>11691</v>
      </c>
      <c r="G1444" t="s">
        <v>10093</v>
      </c>
      <c r="H1444" t="s">
        <v>10130</v>
      </c>
      <c r="I1444" t="s">
        <v>10168</v>
      </c>
      <c r="J1444" t="s">
        <v>10213</v>
      </c>
      <c r="K1444" t="s">
        <v>10218</v>
      </c>
      <c r="L1444" t="s">
        <v>10158</v>
      </c>
      <c r="M1444" t="s">
        <v>10411</v>
      </c>
      <c r="N1444" t="s">
        <v>10657</v>
      </c>
      <c r="P1444" t="s">
        <v>10750</v>
      </c>
      <c r="Q1444" t="s">
        <v>10781</v>
      </c>
      <c r="R1444" t="s">
        <v>10824</v>
      </c>
      <c r="T1444">
        <v>33000</v>
      </c>
      <c r="U1444">
        <v>2750</v>
      </c>
      <c r="V1444">
        <v>48</v>
      </c>
      <c r="W1444">
        <v>2</v>
      </c>
      <c r="X1444">
        <v>0</v>
      </c>
      <c r="Y1444" t="s">
        <v>10829</v>
      </c>
      <c r="Z1444">
        <v>195.15</v>
      </c>
      <c r="AA1444">
        <v>40.595936</v>
      </c>
      <c r="AB1444">
        <v>-73.78207399999999</v>
      </c>
      <c r="AD1444" t="s">
        <v>10840</v>
      </c>
      <c r="AG1444" t="s">
        <v>10858</v>
      </c>
      <c r="AH1444" t="s">
        <v>10862</v>
      </c>
      <c r="AI1444">
        <v>239</v>
      </c>
      <c r="AJ1444" t="s">
        <v>10213</v>
      </c>
      <c r="AK1444" t="s">
        <v>10838</v>
      </c>
      <c r="AL1444">
        <v>1.2</v>
      </c>
      <c r="AR1444" t="s">
        <v>11332</v>
      </c>
      <c r="AS1444" t="s">
        <v>11594</v>
      </c>
      <c r="AT1444" t="s">
        <v>11642</v>
      </c>
      <c r="AX1444" t="s">
        <v>10838</v>
      </c>
      <c r="AY1444" t="s">
        <v>10829</v>
      </c>
      <c r="AZ1444" t="s">
        <v>11679</v>
      </c>
      <c r="BA1444" t="s">
        <v>11741</v>
      </c>
      <c r="BB1444">
        <v>0</v>
      </c>
      <c r="BC1444">
        <v>0</v>
      </c>
      <c r="BD1444">
        <v>0</v>
      </c>
      <c r="BE1444">
        <v>0</v>
      </c>
      <c r="BF1444">
        <v>1</v>
      </c>
      <c r="BG1444">
        <v>0</v>
      </c>
    </row>
    <row r="1445" spans="1:59">
      <c r="A1445" s="1">
        <f>HYPERLINK("https://lsnyc.legalserver.org/matter/dynamic-profile/view/1905289","19-1905289")</f>
        <v>0</v>
      </c>
      <c r="B1445" t="s">
        <v>1301</v>
      </c>
      <c r="C1445" t="s">
        <v>6126</v>
      </c>
      <c r="D1445" t="s">
        <v>9977</v>
      </c>
      <c r="E1445" t="s">
        <v>10075</v>
      </c>
      <c r="F1445">
        <v>11361</v>
      </c>
      <c r="G1445" t="s">
        <v>10092</v>
      </c>
      <c r="H1445" t="s">
        <v>10130</v>
      </c>
      <c r="I1445" t="s">
        <v>10168</v>
      </c>
      <c r="J1445" t="s">
        <v>10212</v>
      </c>
      <c r="K1445" t="s">
        <v>10218</v>
      </c>
      <c r="L1445" t="s">
        <v>10115</v>
      </c>
      <c r="M1445" t="s">
        <v>10318</v>
      </c>
      <c r="N1445" t="s">
        <v>10684</v>
      </c>
      <c r="P1445" t="s">
        <v>10751</v>
      </c>
      <c r="Q1445" t="s">
        <v>10786</v>
      </c>
      <c r="R1445" t="s">
        <v>10820</v>
      </c>
      <c r="T1445">
        <v>3900</v>
      </c>
      <c r="U1445">
        <v>325</v>
      </c>
      <c r="V1445">
        <v>33</v>
      </c>
      <c r="W1445">
        <v>1</v>
      </c>
      <c r="X1445">
        <v>1</v>
      </c>
      <c r="Y1445" t="s">
        <v>10833</v>
      </c>
      <c r="Z1445">
        <v>23.06</v>
      </c>
      <c r="AA1445">
        <v>40.759751</v>
      </c>
      <c r="AB1445">
        <v>-73.76700700000001</v>
      </c>
      <c r="AD1445" t="s">
        <v>10839</v>
      </c>
      <c r="AG1445" t="s">
        <v>10858</v>
      </c>
      <c r="AH1445" t="s">
        <v>10873</v>
      </c>
      <c r="AI1445">
        <v>237</v>
      </c>
      <c r="AJ1445" t="s">
        <v>10212</v>
      </c>
      <c r="AK1445" t="s">
        <v>10838</v>
      </c>
      <c r="AL1445">
        <v>3</v>
      </c>
      <c r="AM1445" t="s">
        <v>10890</v>
      </c>
      <c r="AN1445" t="s">
        <v>10934</v>
      </c>
      <c r="AO1445" t="s">
        <v>11022</v>
      </c>
      <c r="AP1445" t="s">
        <v>11080</v>
      </c>
      <c r="AR1445" t="s">
        <v>11401</v>
      </c>
      <c r="AS1445" t="s">
        <v>11594</v>
      </c>
      <c r="AT1445" t="s">
        <v>11641</v>
      </c>
      <c r="AX1445" t="s">
        <v>10838</v>
      </c>
      <c r="AY1445" t="s">
        <v>10833</v>
      </c>
      <c r="AZ1445" t="s">
        <v>11693</v>
      </c>
      <c r="BB1445">
        <v>0</v>
      </c>
      <c r="BC1445">
        <v>0</v>
      </c>
      <c r="BD1445">
        <v>164</v>
      </c>
      <c r="BE1445">
        <v>353</v>
      </c>
      <c r="BF1445">
        <v>0</v>
      </c>
      <c r="BG1445">
        <v>0</v>
      </c>
    </row>
    <row r="1446" spans="1:59">
      <c r="A1446" s="1">
        <f>HYPERLINK("https://lsnyc.legalserver.org/matter/dynamic-profile/view/1905292","19-1905292")</f>
        <v>0</v>
      </c>
      <c r="B1446" t="s">
        <v>1302</v>
      </c>
      <c r="C1446" t="s">
        <v>6127</v>
      </c>
      <c r="D1446" t="s">
        <v>9938</v>
      </c>
      <c r="E1446" t="s">
        <v>10075</v>
      </c>
      <c r="F1446">
        <v>11433</v>
      </c>
      <c r="G1446" t="s">
        <v>10092</v>
      </c>
      <c r="H1446" t="s">
        <v>10106</v>
      </c>
      <c r="I1446" t="s">
        <v>10169</v>
      </c>
      <c r="J1446" t="s">
        <v>10212</v>
      </c>
      <c r="K1446" t="s">
        <v>10217</v>
      </c>
      <c r="M1446" t="s">
        <v>10347</v>
      </c>
      <c r="N1446" t="s">
        <v>10693</v>
      </c>
      <c r="P1446" t="s">
        <v>10749</v>
      </c>
      <c r="Q1446" t="s">
        <v>10765</v>
      </c>
      <c r="R1446" t="s">
        <v>10823</v>
      </c>
      <c r="T1446">
        <v>11700</v>
      </c>
      <c r="U1446">
        <v>975</v>
      </c>
      <c r="V1446">
        <v>30</v>
      </c>
      <c r="W1446">
        <v>1</v>
      </c>
      <c r="X1446">
        <v>3</v>
      </c>
      <c r="Z1446">
        <v>45.44</v>
      </c>
      <c r="AA1446">
        <v>40.702809</v>
      </c>
      <c r="AB1446">
        <v>-73.787733</v>
      </c>
      <c r="AD1446" t="s">
        <v>10839</v>
      </c>
      <c r="AF1446" t="s">
        <v>10843</v>
      </c>
      <c r="AG1446" t="s">
        <v>10859</v>
      </c>
      <c r="AH1446" t="s">
        <v>10862</v>
      </c>
      <c r="AI1446">
        <v>237</v>
      </c>
      <c r="AJ1446" t="s">
        <v>10212</v>
      </c>
      <c r="AL1446">
        <v>10.48</v>
      </c>
      <c r="AR1446" t="s">
        <v>11257</v>
      </c>
      <c r="AS1446" t="s">
        <v>11594</v>
      </c>
      <c r="BA1446" t="s">
        <v>11738</v>
      </c>
      <c r="BB1446">
        <v>0</v>
      </c>
      <c r="BC1446">
        <v>0</v>
      </c>
      <c r="BD1446">
        <v>0</v>
      </c>
      <c r="BE1446">
        <v>0</v>
      </c>
      <c r="BF1446">
        <v>5</v>
      </c>
      <c r="BG1446">
        <v>0</v>
      </c>
    </row>
    <row r="1447" spans="1:59">
      <c r="A1447" s="1">
        <f>HYPERLINK("https://lsnyc.legalserver.org/matter/dynamic-profile/view/1905293","19-1905293")</f>
        <v>0</v>
      </c>
      <c r="B1447" t="s">
        <v>1303</v>
      </c>
      <c r="C1447" t="s">
        <v>6128</v>
      </c>
      <c r="D1447" t="s">
        <v>10000</v>
      </c>
      <c r="E1447" t="s">
        <v>10075</v>
      </c>
      <c r="F1447">
        <v>11413</v>
      </c>
      <c r="G1447" t="s">
        <v>10091</v>
      </c>
      <c r="H1447" t="s">
        <v>10130</v>
      </c>
      <c r="I1447" t="s">
        <v>10168</v>
      </c>
      <c r="J1447" t="s">
        <v>10211</v>
      </c>
      <c r="K1447" t="s">
        <v>10217</v>
      </c>
      <c r="M1447" t="s">
        <v>10307</v>
      </c>
      <c r="N1447" t="s">
        <v>10671</v>
      </c>
      <c r="P1447" t="s">
        <v>10752</v>
      </c>
      <c r="Q1447" t="s">
        <v>10762</v>
      </c>
      <c r="R1447" t="s">
        <v>10824</v>
      </c>
      <c r="T1447">
        <v>12000</v>
      </c>
      <c r="U1447">
        <v>1000</v>
      </c>
      <c r="V1447">
        <v>54</v>
      </c>
      <c r="W1447">
        <v>2</v>
      </c>
      <c r="X1447">
        <v>0</v>
      </c>
      <c r="Z1447">
        <v>70.95999999999999</v>
      </c>
      <c r="AA1447">
        <v>40.662325</v>
      </c>
      <c r="AB1447">
        <v>-73.750985</v>
      </c>
      <c r="AD1447" t="s">
        <v>10839</v>
      </c>
      <c r="AG1447" t="s">
        <v>10858</v>
      </c>
      <c r="AH1447" t="s">
        <v>10861</v>
      </c>
      <c r="AI1447">
        <v>234</v>
      </c>
      <c r="AJ1447" t="s">
        <v>10214</v>
      </c>
      <c r="AL1447">
        <v>1</v>
      </c>
      <c r="AM1447" t="s">
        <v>10892</v>
      </c>
      <c r="AN1447" t="s">
        <v>10930</v>
      </c>
      <c r="AO1447" t="s">
        <v>11017</v>
      </c>
      <c r="AP1447" t="s">
        <v>11082</v>
      </c>
      <c r="AR1447" t="s">
        <v>11390</v>
      </c>
      <c r="AS1447" t="s">
        <v>11594</v>
      </c>
      <c r="AT1447" t="s">
        <v>11641</v>
      </c>
      <c r="AX1447" t="s">
        <v>10838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</row>
    <row r="1448" spans="1:59">
      <c r="A1448" s="1">
        <f>HYPERLINK("https://lsnyc.legalserver.org/matter/dynamic-profile/view/1905294","19-1905294")</f>
        <v>0</v>
      </c>
      <c r="B1448" t="s">
        <v>1292</v>
      </c>
      <c r="C1448" t="s">
        <v>6118</v>
      </c>
      <c r="D1448" t="s">
        <v>9926</v>
      </c>
      <c r="E1448" t="s">
        <v>10075</v>
      </c>
      <c r="F1448">
        <v>10467</v>
      </c>
      <c r="G1448" t="s">
        <v>10090</v>
      </c>
      <c r="H1448" t="s">
        <v>10130</v>
      </c>
      <c r="I1448" t="s">
        <v>10169</v>
      </c>
      <c r="J1448" t="s">
        <v>10210</v>
      </c>
      <c r="K1448" t="s">
        <v>10217</v>
      </c>
      <c r="M1448" t="s">
        <v>10279</v>
      </c>
      <c r="N1448" t="s">
        <v>10671</v>
      </c>
      <c r="P1448" t="s">
        <v>10751</v>
      </c>
      <c r="Q1448" t="s">
        <v>10761</v>
      </c>
      <c r="R1448" t="s">
        <v>10823</v>
      </c>
      <c r="T1448">
        <v>27300</v>
      </c>
      <c r="U1448">
        <v>2275</v>
      </c>
      <c r="V1448">
        <v>43</v>
      </c>
      <c r="W1448">
        <v>1</v>
      </c>
      <c r="X1448">
        <v>1</v>
      </c>
      <c r="Z1448">
        <v>161.44</v>
      </c>
      <c r="AA1448">
        <v>40.867748</v>
      </c>
      <c r="AB1448">
        <v>-73.868517</v>
      </c>
      <c r="AD1448" t="s">
        <v>10839</v>
      </c>
      <c r="AG1448" t="s">
        <v>10858</v>
      </c>
      <c r="AH1448" t="s">
        <v>10862</v>
      </c>
      <c r="AI1448">
        <v>230</v>
      </c>
      <c r="AJ1448" t="s">
        <v>10210</v>
      </c>
      <c r="AL1448">
        <v>0.5</v>
      </c>
      <c r="AR1448" t="s">
        <v>11257</v>
      </c>
      <c r="AS1448" t="s">
        <v>9926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</row>
    <row r="1449" spans="1:59">
      <c r="A1449" s="1">
        <f>HYPERLINK("https://lsnyc.legalserver.org/matter/dynamic-profile/view/1905296","19-1905296")</f>
        <v>0</v>
      </c>
      <c r="B1449" t="s">
        <v>1304</v>
      </c>
      <c r="C1449" t="s">
        <v>6129</v>
      </c>
      <c r="D1449" t="s">
        <v>9926</v>
      </c>
      <c r="E1449" t="s">
        <v>10075</v>
      </c>
      <c r="F1449">
        <v>10467</v>
      </c>
      <c r="G1449" t="s">
        <v>10090</v>
      </c>
      <c r="H1449" t="s">
        <v>10130</v>
      </c>
      <c r="I1449" t="s">
        <v>10168</v>
      </c>
      <c r="J1449" t="s">
        <v>10210</v>
      </c>
      <c r="K1449" t="s">
        <v>10217</v>
      </c>
      <c r="M1449" t="s">
        <v>10281</v>
      </c>
      <c r="N1449" t="s">
        <v>10651</v>
      </c>
      <c r="P1449" t="s">
        <v>10749</v>
      </c>
      <c r="Q1449" t="s">
        <v>10765</v>
      </c>
      <c r="R1449" t="s">
        <v>10824</v>
      </c>
      <c r="T1449">
        <v>3770</v>
      </c>
      <c r="U1449">
        <v>314.17</v>
      </c>
      <c r="V1449">
        <v>33</v>
      </c>
      <c r="W1449">
        <v>1</v>
      </c>
      <c r="X1449">
        <v>2</v>
      </c>
      <c r="Z1449">
        <v>17.67</v>
      </c>
      <c r="AA1449">
        <v>40.882108</v>
      </c>
      <c r="AB1449">
        <v>-73.882932</v>
      </c>
      <c r="AD1449" t="s">
        <v>10839</v>
      </c>
      <c r="AF1449" t="s">
        <v>10847</v>
      </c>
      <c r="AG1449" t="s">
        <v>10859</v>
      </c>
      <c r="AH1449" t="s">
        <v>10861</v>
      </c>
      <c r="AI1449">
        <v>230</v>
      </c>
      <c r="AJ1449" t="s">
        <v>10210</v>
      </c>
      <c r="AL1449">
        <v>8.9</v>
      </c>
      <c r="AM1449" t="s">
        <v>10887</v>
      </c>
      <c r="AN1449" t="s">
        <v>10938</v>
      </c>
      <c r="AO1449" t="s">
        <v>11010</v>
      </c>
      <c r="AP1449" t="s">
        <v>11057</v>
      </c>
      <c r="AR1449" t="s">
        <v>11255</v>
      </c>
      <c r="AS1449" t="s">
        <v>9926</v>
      </c>
      <c r="AT1449" t="s">
        <v>11641</v>
      </c>
      <c r="AX1449" t="s">
        <v>10838</v>
      </c>
      <c r="BA1449" t="s">
        <v>11738</v>
      </c>
      <c r="BB1449">
        <v>0</v>
      </c>
      <c r="BC1449">
        <v>0</v>
      </c>
      <c r="BD1449">
        <v>0</v>
      </c>
      <c r="BE1449">
        <v>0</v>
      </c>
      <c r="BF1449">
        <v>5</v>
      </c>
      <c r="BG1449">
        <v>0</v>
      </c>
    </row>
    <row r="1450" spans="1:59">
      <c r="A1450" s="1">
        <f>HYPERLINK("https://lsnyc.legalserver.org/matter/dynamic-profile/view/1905297","19-1905297")</f>
        <v>0</v>
      </c>
      <c r="B1450" t="s">
        <v>1305</v>
      </c>
      <c r="C1450" t="s">
        <v>6130</v>
      </c>
      <c r="D1450" t="s">
        <v>9925</v>
      </c>
      <c r="E1450" t="s">
        <v>10075</v>
      </c>
      <c r="F1450">
        <v>10032</v>
      </c>
      <c r="G1450" t="s">
        <v>10089</v>
      </c>
      <c r="H1450" t="s">
        <v>10130</v>
      </c>
      <c r="J1450" t="s">
        <v>10209</v>
      </c>
      <c r="K1450" t="s">
        <v>10218</v>
      </c>
      <c r="L1450" t="s">
        <v>10095</v>
      </c>
      <c r="M1450" t="s">
        <v>10394</v>
      </c>
      <c r="N1450" t="s">
        <v>10688</v>
      </c>
      <c r="P1450" t="s">
        <v>10757</v>
      </c>
      <c r="Q1450" t="s">
        <v>10789</v>
      </c>
      <c r="R1450" t="s">
        <v>10821</v>
      </c>
      <c r="T1450">
        <v>16807.8</v>
      </c>
      <c r="U1450">
        <v>1400.65</v>
      </c>
      <c r="V1450">
        <v>58</v>
      </c>
      <c r="W1450">
        <v>1</v>
      </c>
      <c r="X1450">
        <v>0</v>
      </c>
      <c r="Y1450" t="s">
        <v>10829</v>
      </c>
      <c r="Z1450">
        <v>134.57</v>
      </c>
      <c r="AA1450">
        <v>40.842027</v>
      </c>
      <c r="AB1450">
        <v>-73.937658</v>
      </c>
      <c r="AD1450" t="s">
        <v>10840</v>
      </c>
      <c r="AG1450" t="s">
        <v>10858</v>
      </c>
      <c r="AH1450" t="s">
        <v>10874</v>
      </c>
      <c r="AI1450">
        <v>236</v>
      </c>
      <c r="AJ1450" t="s">
        <v>10209</v>
      </c>
      <c r="AK1450" t="s">
        <v>10838</v>
      </c>
      <c r="AL1450">
        <v>2.4</v>
      </c>
      <c r="AM1450" t="s">
        <v>10887</v>
      </c>
      <c r="AN1450" t="s">
        <v>10937</v>
      </c>
      <c r="AO1450" t="s">
        <v>11019</v>
      </c>
      <c r="AP1450" t="s">
        <v>11074</v>
      </c>
      <c r="AR1450" t="s">
        <v>11418</v>
      </c>
      <c r="AS1450" t="s">
        <v>9925</v>
      </c>
      <c r="AY1450" t="s">
        <v>10829</v>
      </c>
      <c r="AZ1450" t="s">
        <v>11703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</row>
    <row r="1451" spans="1:59">
      <c r="A1451" s="1">
        <f>HYPERLINK("https://lsnyc.legalserver.org/matter/dynamic-profile/view/1905298","19-1905298")</f>
        <v>0</v>
      </c>
      <c r="B1451" t="s">
        <v>1304</v>
      </c>
      <c r="C1451" t="s">
        <v>6129</v>
      </c>
      <c r="D1451" t="s">
        <v>9926</v>
      </c>
      <c r="E1451" t="s">
        <v>10075</v>
      </c>
      <c r="F1451">
        <v>10467</v>
      </c>
      <c r="G1451" t="s">
        <v>10090</v>
      </c>
      <c r="H1451" t="s">
        <v>10130</v>
      </c>
      <c r="I1451" t="s">
        <v>10168</v>
      </c>
      <c r="J1451" t="s">
        <v>10210</v>
      </c>
      <c r="K1451" t="s">
        <v>10217</v>
      </c>
      <c r="M1451" t="s">
        <v>10230</v>
      </c>
      <c r="N1451" t="s">
        <v>10671</v>
      </c>
      <c r="P1451" t="s">
        <v>10751</v>
      </c>
      <c r="Q1451" t="s">
        <v>10761</v>
      </c>
      <c r="R1451" t="s">
        <v>10824</v>
      </c>
      <c r="T1451">
        <v>3770</v>
      </c>
      <c r="U1451">
        <v>314.17</v>
      </c>
      <c r="V1451">
        <v>33</v>
      </c>
      <c r="W1451">
        <v>1</v>
      </c>
      <c r="X1451">
        <v>2</v>
      </c>
      <c r="Z1451">
        <v>17.67</v>
      </c>
      <c r="AA1451">
        <v>40.882108</v>
      </c>
      <c r="AB1451">
        <v>-73.882932</v>
      </c>
      <c r="AD1451" t="s">
        <v>10839</v>
      </c>
      <c r="AF1451" t="s">
        <v>10847</v>
      </c>
      <c r="AG1451" t="s">
        <v>10859</v>
      </c>
      <c r="AH1451" t="s">
        <v>10861</v>
      </c>
      <c r="AI1451">
        <v>230</v>
      </c>
      <c r="AJ1451" t="s">
        <v>10210</v>
      </c>
      <c r="AL1451">
        <v>32.6</v>
      </c>
      <c r="AM1451" t="s">
        <v>10887</v>
      </c>
      <c r="AN1451" t="s">
        <v>10938</v>
      </c>
      <c r="AO1451" t="s">
        <v>11010</v>
      </c>
      <c r="AP1451" t="s">
        <v>11057</v>
      </c>
      <c r="AR1451" t="s">
        <v>11255</v>
      </c>
      <c r="AS1451" t="s">
        <v>9926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</row>
    <row r="1452" spans="1:59">
      <c r="A1452" s="1">
        <f>HYPERLINK("https://lsnyc.legalserver.org/matter/dynamic-profile/view/1905301","19-1905301")</f>
        <v>0</v>
      </c>
      <c r="B1452" t="s">
        <v>610</v>
      </c>
      <c r="C1452" t="s">
        <v>5519</v>
      </c>
      <c r="D1452" t="s">
        <v>9926</v>
      </c>
      <c r="E1452" t="s">
        <v>10075</v>
      </c>
      <c r="F1452">
        <v>10472</v>
      </c>
      <c r="G1452" t="s">
        <v>10090</v>
      </c>
      <c r="H1452" t="s">
        <v>10130</v>
      </c>
      <c r="I1452" t="s">
        <v>10168</v>
      </c>
      <c r="J1452" t="s">
        <v>10210</v>
      </c>
      <c r="K1452" t="s">
        <v>10217</v>
      </c>
      <c r="M1452" t="s">
        <v>10469</v>
      </c>
      <c r="N1452" t="s">
        <v>10666</v>
      </c>
      <c r="P1452" t="s">
        <v>10749</v>
      </c>
      <c r="Q1452" t="s">
        <v>10765</v>
      </c>
      <c r="R1452" t="s">
        <v>10820</v>
      </c>
      <c r="T1452">
        <v>29808</v>
      </c>
      <c r="U1452">
        <v>2484</v>
      </c>
      <c r="V1452">
        <v>38</v>
      </c>
      <c r="W1452">
        <v>1</v>
      </c>
      <c r="X1452">
        <v>1</v>
      </c>
      <c r="Z1452">
        <v>176.27</v>
      </c>
      <c r="AA1452">
        <v>40.831688</v>
      </c>
      <c r="AB1452">
        <v>-73.870509</v>
      </c>
      <c r="AD1452" t="s">
        <v>10839</v>
      </c>
      <c r="AG1452" t="s">
        <v>10858</v>
      </c>
      <c r="AH1452" t="s">
        <v>10862</v>
      </c>
      <c r="AI1452">
        <v>230</v>
      </c>
      <c r="AJ1452" t="s">
        <v>10210</v>
      </c>
      <c r="AL1452">
        <v>2.75</v>
      </c>
      <c r="AM1452" t="s">
        <v>10884</v>
      </c>
      <c r="AN1452" t="s">
        <v>10908</v>
      </c>
      <c r="AO1452" t="s">
        <v>11001</v>
      </c>
      <c r="AP1452" t="s">
        <v>11046</v>
      </c>
      <c r="AR1452" t="s">
        <v>11295</v>
      </c>
      <c r="AS1452" t="s">
        <v>9926</v>
      </c>
      <c r="BA1452" t="s">
        <v>11738</v>
      </c>
      <c r="BB1452">
        <v>0</v>
      </c>
      <c r="BC1452">
        <v>0</v>
      </c>
      <c r="BD1452">
        <v>0</v>
      </c>
      <c r="BE1452">
        <v>0</v>
      </c>
      <c r="BF1452">
        <v>5</v>
      </c>
      <c r="BG1452">
        <v>0</v>
      </c>
    </row>
    <row r="1453" spans="1:59">
      <c r="A1453" s="1">
        <f>HYPERLINK("https://lsnyc.legalserver.org/matter/dynamic-profile/view/1905302","19-1905302")</f>
        <v>0</v>
      </c>
      <c r="B1453" t="s">
        <v>1306</v>
      </c>
      <c r="C1453" t="s">
        <v>6131</v>
      </c>
      <c r="D1453" t="s">
        <v>9925</v>
      </c>
      <c r="E1453" t="s">
        <v>10075</v>
      </c>
      <c r="F1453">
        <v>10002</v>
      </c>
      <c r="G1453" t="s">
        <v>10093</v>
      </c>
      <c r="H1453" t="s">
        <v>10130</v>
      </c>
      <c r="I1453" t="s">
        <v>10168</v>
      </c>
      <c r="J1453" t="s">
        <v>10213</v>
      </c>
      <c r="K1453" t="s">
        <v>10217</v>
      </c>
      <c r="M1453" t="s">
        <v>10462</v>
      </c>
      <c r="N1453" t="s">
        <v>10710</v>
      </c>
      <c r="P1453" t="s">
        <v>10750</v>
      </c>
      <c r="Q1453" t="s">
        <v>10760</v>
      </c>
      <c r="R1453" t="s">
        <v>10820</v>
      </c>
      <c r="T1453">
        <v>4200</v>
      </c>
      <c r="U1453">
        <v>350</v>
      </c>
      <c r="V1453">
        <v>65</v>
      </c>
      <c r="W1453">
        <v>1</v>
      </c>
      <c r="X1453">
        <v>0</v>
      </c>
      <c r="Z1453">
        <v>33.63</v>
      </c>
      <c r="AA1453">
        <v>40.715385</v>
      </c>
      <c r="AB1453">
        <v>-73.98645399999999</v>
      </c>
      <c r="AD1453" t="s">
        <v>10840</v>
      </c>
      <c r="AG1453" t="s">
        <v>10858</v>
      </c>
      <c r="AH1453" t="s">
        <v>10861</v>
      </c>
      <c r="AI1453">
        <v>234</v>
      </c>
      <c r="AJ1453" t="s">
        <v>10214</v>
      </c>
      <c r="AK1453" t="s">
        <v>10838</v>
      </c>
      <c r="AL1453">
        <v>2.75</v>
      </c>
      <c r="AM1453" t="s">
        <v>10891</v>
      </c>
      <c r="AN1453" t="s">
        <v>10963</v>
      </c>
      <c r="AO1453" t="s">
        <v>11004</v>
      </c>
      <c r="AP1453" t="s">
        <v>11093</v>
      </c>
      <c r="AR1453" t="s">
        <v>11268</v>
      </c>
      <c r="AS1453" t="s">
        <v>9925</v>
      </c>
      <c r="AT1453" t="s">
        <v>11642</v>
      </c>
      <c r="AX1453" t="s">
        <v>10838</v>
      </c>
      <c r="AZ1453" t="s">
        <v>11679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</row>
    <row r="1454" spans="1:59">
      <c r="A1454" s="1">
        <f>HYPERLINK("https://lsnyc.legalserver.org/matter/dynamic-profile/view/1905304","19-1905304")</f>
        <v>0</v>
      </c>
      <c r="B1454" t="s">
        <v>1307</v>
      </c>
      <c r="C1454" t="s">
        <v>6132</v>
      </c>
      <c r="D1454" t="s">
        <v>9928</v>
      </c>
      <c r="E1454" t="s">
        <v>10075</v>
      </c>
      <c r="F1454">
        <v>11235</v>
      </c>
      <c r="G1454" t="s">
        <v>10093</v>
      </c>
      <c r="H1454" t="s">
        <v>10130</v>
      </c>
      <c r="I1454" t="s">
        <v>10171</v>
      </c>
      <c r="J1454" t="s">
        <v>10213</v>
      </c>
      <c r="K1454" t="s">
        <v>10218</v>
      </c>
      <c r="L1454" t="s">
        <v>10129</v>
      </c>
      <c r="M1454" t="s">
        <v>10390</v>
      </c>
      <c r="N1454" t="s">
        <v>10682</v>
      </c>
      <c r="P1454" t="s">
        <v>10755</v>
      </c>
      <c r="Q1454" t="s">
        <v>10813</v>
      </c>
      <c r="R1454" t="s">
        <v>10820</v>
      </c>
      <c r="T1454">
        <v>7296</v>
      </c>
      <c r="U1454">
        <v>608</v>
      </c>
      <c r="V1454">
        <v>55</v>
      </c>
      <c r="W1454">
        <v>1</v>
      </c>
      <c r="X1454">
        <v>0</v>
      </c>
      <c r="Y1454" t="s">
        <v>10829</v>
      </c>
      <c r="Z1454">
        <v>58.41</v>
      </c>
      <c r="AA1454">
        <v>40.576592</v>
      </c>
      <c r="AB1454">
        <v>-73.95540699999999</v>
      </c>
      <c r="AD1454" t="s">
        <v>10839</v>
      </c>
      <c r="AG1454" t="s">
        <v>10858</v>
      </c>
      <c r="AH1454" t="s">
        <v>10869</v>
      </c>
      <c r="AI1454">
        <v>239</v>
      </c>
      <c r="AJ1454" t="s">
        <v>10213</v>
      </c>
      <c r="AK1454" t="s">
        <v>10838</v>
      </c>
      <c r="AL1454">
        <v>1.25</v>
      </c>
      <c r="AM1454" t="s">
        <v>10889</v>
      </c>
      <c r="AN1454" t="s">
        <v>10965</v>
      </c>
      <c r="AO1454" t="s">
        <v>11006</v>
      </c>
      <c r="AP1454" t="s">
        <v>11092</v>
      </c>
      <c r="AR1454" t="s">
        <v>11263</v>
      </c>
      <c r="AS1454" t="s">
        <v>11595</v>
      </c>
      <c r="AY1454" t="s">
        <v>10829</v>
      </c>
      <c r="AZ1454" t="s">
        <v>11712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</row>
    <row r="1455" spans="1:59">
      <c r="A1455" s="1">
        <f>HYPERLINK("https://lsnyc.legalserver.org/matter/dynamic-profile/view/1905305","19-1905305")</f>
        <v>0</v>
      </c>
      <c r="B1455" t="s">
        <v>1308</v>
      </c>
      <c r="C1455" t="s">
        <v>6133</v>
      </c>
      <c r="D1455" t="s">
        <v>9926</v>
      </c>
      <c r="E1455" t="s">
        <v>10075</v>
      </c>
      <c r="F1455">
        <v>10459</v>
      </c>
      <c r="G1455" t="s">
        <v>10090</v>
      </c>
      <c r="H1455" t="s">
        <v>10130</v>
      </c>
      <c r="I1455" t="s">
        <v>10168</v>
      </c>
      <c r="J1455" t="s">
        <v>10210</v>
      </c>
      <c r="K1455" t="s">
        <v>10217</v>
      </c>
      <c r="M1455" t="s">
        <v>10535</v>
      </c>
      <c r="N1455" t="s">
        <v>10650</v>
      </c>
      <c r="P1455" t="s">
        <v>10749</v>
      </c>
      <c r="Q1455" t="s">
        <v>10765</v>
      </c>
      <c r="R1455" t="s">
        <v>10824</v>
      </c>
      <c r="T1455">
        <v>6240</v>
      </c>
      <c r="U1455">
        <v>520</v>
      </c>
      <c r="V1455">
        <v>47</v>
      </c>
      <c r="W1455">
        <v>1</v>
      </c>
      <c r="X1455">
        <v>0</v>
      </c>
      <c r="Z1455">
        <v>49.96</v>
      </c>
      <c r="AA1455">
        <v>40.832199</v>
      </c>
      <c r="AB1455">
        <v>-73.897004</v>
      </c>
      <c r="AD1455" t="s">
        <v>10839</v>
      </c>
      <c r="AG1455" t="s">
        <v>10858</v>
      </c>
      <c r="AH1455" t="s">
        <v>10862</v>
      </c>
      <c r="AI1455">
        <v>230</v>
      </c>
      <c r="AJ1455" t="s">
        <v>10210</v>
      </c>
      <c r="AL1455">
        <v>2.5</v>
      </c>
      <c r="AM1455" t="s">
        <v>10884</v>
      </c>
      <c r="AN1455" t="s">
        <v>10918</v>
      </c>
      <c r="AO1455" t="s">
        <v>11001</v>
      </c>
      <c r="AP1455" t="s">
        <v>11055</v>
      </c>
      <c r="AR1455" t="s">
        <v>11263</v>
      </c>
      <c r="AS1455" t="s">
        <v>9926</v>
      </c>
      <c r="BA1455" t="s">
        <v>11741</v>
      </c>
      <c r="BB1455">
        <v>0</v>
      </c>
      <c r="BC1455">
        <v>0</v>
      </c>
      <c r="BD1455">
        <v>0</v>
      </c>
      <c r="BE1455">
        <v>0</v>
      </c>
      <c r="BF1455">
        <v>1</v>
      </c>
      <c r="BG1455">
        <v>0</v>
      </c>
    </row>
    <row r="1456" spans="1:59">
      <c r="A1456" s="1">
        <f>HYPERLINK("https://lsnyc.legalserver.org/matter/dynamic-profile/view/1905306","19-1905306")</f>
        <v>0</v>
      </c>
      <c r="B1456" t="s">
        <v>1309</v>
      </c>
      <c r="C1456" t="s">
        <v>6134</v>
      </c>
      <c r="D1456" t="s">
        <v>9928</v>
      </c>
      <c r="E1456" t="s">
        <v>10075</v>
      </c>
      <c r="F1456">
        <v>11236</v>
      </c>
      <c r="G1456" t="s">
        <v>10091</v>
      </c>
      <c r="H1456" t="s">
        <v>10130</v>
      </c>
      <c r="I1456" t="s">
        <v>10169</v>
      </c>
      <c r="J1456" t="s">
        <v>10214</v>
      </c>
      <c r="K1456" t="s">
        <v>10217</v>
      </c>
      <c r="M1456" t="s">
        <v>10537</v>
      </c>
      <c r="N1456" t="s">
        <v>10671</v>
      </c>
      <c r="P1456" t="s">
        <v>10753</v>
      </c>
      <c r="Q1456" t="s">
        <v>10763</v>
      </c>
      <c r="R1456" t="s">
        <v>10823</v>
      </c>
      <c r="T1456">
        <v>7930</v>
      </c>
      <c r="U1456">
        <v>660.83</v>
      </c>
      <c r="V1456">
        <v>26</v>
      </c>
      <c r="W1456">
        <v>1</v>
      </c>
      <c r="X1456">
        <v>2</v>
      </c>
      <c r="Z1456">
        <v>37.18</v>
      </c>
      <c r="AA1456">
        <v>40.653528</v>
      </c>
      <c r="AB1456">
        <v>-73.910156</v>
      </c>
      <c r="AD1456" t="s">
        <v>10839</v>
      </c>
      <c r="AF1456" t="s">
        <v>10842</v>
      </c>
      <c r="AG1456" t="s">
        <v>10859</v>
      </c>
      <c r="AH1456" t="s">
        <v>10864</v>
      </c>
      <c r="AI1456">
        <v>234</v>
      </c>
      <c r="AJ1456" t="s">
        <v>10214</v>
      </c>
      <c r="AK1456" t="s">
        <v>10837</v>
      </c>
      <c r="AL1456">
        <v>1</v>
      </c>
      <c r="AQ1456" t="s">
        <v>11096</v>
      </c>
      <c r="AR1456" t="s">
        <v>11352</v>
      </c>
      <c r="AS1456" t="s">
        <v>11595</v>
      </c>
      <c r="AX1456" t="s">
        <v>10838</v>
      </c>
      <c r="BA1456" t="s">
        <v>11742</v>
      </c>
      <c r="BB1456">
        <v>0</v>
      </c>
      <c r="BC1456">
        <v>0</v>
      </c>
      <c r="BD1456">
        <v>0</v>
      </c>
      <c r="BE1456">
        <v>0</v>
      </c>
      <c r="BF1456">
        <v>7</v>
      </c>
      <c r="BG1456">
        <v>0</v>
      </c>
    </row>
    <row r="1457" spans="1:59">
      <c r="A1457" s="1">
        <f>HYPERLINK("https://lsnyc.legalserver.org/matter/dynamic-profile/view/1905307","19-1905307")</f>
        <v>0</v>
      </c>
      <c r="B1457" t="s">
        <v>1310</v>
      </c>
      <c r="C1457" t="s">
        <v>6135</v>
      </c>
      <c r="D1457" t="s">
        <v>9932</v>
      </c>
      <c r="E1457" t="s">
        <v>10075</v>
      </c>
      <c r="F1457">
        <v>11368</v>
      </c>
      <c r="G1457" t="s">
        <v>10092</v>
      </c>
      <c r="H1457" t="s">
        <v>10130</v>
      </c>
      <c r="I1457" t="s">
        <v>10168</v>
      </c>
      <c r="J1457" t="s">
        <v>10212</v>
      </c>
      <c r="K1457" t="s">
        <v>10217</v>
      </c>
      <c r="M1457" t="s">
        <v>10260</v>
      </c>
      <c r="N1457" t="s">
        <v>10665</v>
      </c>
      <c r="P1457" t="s">
        <v>10751</v>
      </c>
      <c r="Q1457" t="s">
        <v>10773</v>
      </c>
      <c r="R1457" t="s">
        <v>10824</v>
      </c>
      <c r="T1457">
        <v>0</v>
      </c>
      <c r="U1457">
        <v>0</v>
      </c>
      <c r="V1457">
        <v>43</v>
      </c>
      <c r="W1457">
        <v>1</v>
      </c>
      <c r="X1457">
        <v>0</v>
      </c>
      <c r="Z1457">
        <v>0</v>
      </c>
      <c r="AA1457">
        <v>40.745628</v>
      </c>
      <c r="AB1457">
        <v>-73.86396499999999</v>
      </c>
      <c r="AD1457" t="s">
        <v>10840</v>
      </c>
      <c r="AG1457" t="s">
        <v>10858</v>
      </c>
      <c r="AH1457" t="s">
        <v>10861</v>
      </c>
      <c r="AI1457">
        <v>234</v>
      </c>
      <c r="AJ1457" t="s">
        <v>10214</v>
      </c>
      <c r="AL1457">
        <v>1.35</v>
      </c>
      <c r="AM1457" t="s">
        <v>10885</v>
      </c>
      <c r="AN1457" t="s">
        <v>10949</v>
      </c>
      <c r="AO1457" t="s">
        <v>11014</v>
      </c>
      <c r="AP1457" t="s">
        <v>11068</v>
      </c>
      <c r="AR1457" t="s">
        <v>11267</v>
      </c>
      <c r="AS1457" t="s">
        <v>11594</v>
      </c>
      <c r="AT1457" t="s">
        <v>11642</v>
      </c>
      <c r="AX1457" t="s">
        <v>10838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</row>
    <row r="1458" spans="1:59">
      <c r="A1458" s="1">
        <f>HYPERLINK("https://lsnyc.legalserver.org/matter/dynamic-profile/view/1905308","19-1905308")</f>
        <v>0</v>
      </c>
      <c r="B1458" t="s">
        <v>1311</v>
      </c>
      <c r="C1458" t="s">
        <v>6136</v>
      </c>
      <c r="D1458" t="s">
        <v>9925</v>
      </c>
      <c r="E1458" t="s">
        <v>10075</v>
      </c>
      <c r="F1458">
        <v>10031</v>
      </c>
      <c r="G1458" t="s">
        <v>10089</v>
      </c>
      <c r="H1458" t="s">
        <v>10130</v>
      </c>
      <c r="I1458" t="s">
        <v>10168</v>
      </c>
      <c r="J1458" t="s">
        <v>10209</v>
      </c>
      <c r="K1458" t="s">
        <v>10217</v>
      </c>
      <c r="M1458" t="s">
        <v>10529</v>
      </c>
      <c r="N1458" t="s">
        <v>10656</v>
      </c>
      <c r="P1458" t="s">
        <v>10751</v>
      </c>
      <c r="Q1458" t="s">
        <v>10768</v>
      </c>
      <c r="R1458" t="s">
        <v>10824</v>
      </c>
      <c r="T1458">
        <v>0</v>
      </c>
      <c r="U1458">
        <v>0</v>
      </c>
      <c r="V1458">
        <v>47</v>
      </c>
      <c r="W1458">
        <v>1</v>
      </c>
      <c r="X1458">
        <v>1</v>
      </c>
      <c r="Z1458">
        <v>0</v>
      </c>
      <c r="AA1458">
        <v>40.827283</v>
      </c>
      <c r="AB1458">
        <v>-73.948864</v>
      </c>
      <c r="AC1458" t="s">
        <v>10837</v>
      </c>
      <c r="AD1458" t="s">
        <v>10839</v>
      </c>
      <c r="AG1458" t="s">
        <v>10858</v>
      </c>
      <c r="AH1458" t="s">
        <v>10866</v>
      </c>
      <c r="AI1458">
        <v>236</v>
      </c>
      <c r="AJ1458" t="s">
        <v>10209</v>
      </c>
      <c r="AL1458">
        <v>0.9</v>
      </c>
      <c r="AM1458" t="s">
        <v>10887</v>
      </c>
      <c r="AN1458" t="s">
        <v>10943</v>
      </c>
      <c r="AO1458" t="s">
        <v>11019</v>
      </c>
      <c r="AP1458" t="s">
        <v>11073</v>
      </c>
      <c r="AR1458" t="s">
        <v>11403</v>
      </c>
      <c r="AS1458" t="s">
        <v>9925</v>
      </c>
      <c r="AX1458" t="s">
        <v>10838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</row>
    <row r="1459" spans="1:59">
      <c r="A1459" s="1">
        <f>HYPERLINK("https://lsnyc.legalserver.org/matter/dynamic-profile/view/1905309","19-1905309")</f>
        <v>0</v>
      </c>
      <c r="B1459" t="s">
        <v>1312</v>
      </c>
      <c r="C1459" t="s">
        <v>5973</v>
      </c>
      <c r="D1459" t="s">
        <v>9926</v>
      </c>
      <c r="E1459" t="s">
        <v>10075</v>
      </c>
      <c r="F1459">
        <v>10457</v>
      </c>
      <c r="G1459" t="s">
        <v>10090</v>
      </c>
      <c r="H1459" t="s">
        <v>10130</v>
      </c>
      <c r="J1459" t="s">
        <v>10210</v>
      </c>
      <c r="K1459" t="s">
        <v>10217</v>
      </c>
      <c r="M1459" t="s">
        <v>10415</v>
      </c>
      <c r="N1459" t="s">
        <v>10651</v>
      </c>
      <c r="P1459" t="s">
        <v>10749</v>
      </c>
      <c r="Q1459" t="s">
        <v>10765</v>
      </c>
      <c r="R1459" t="s">
        <v>10824</v>
      </c>
      <c r="T1459">
        <v>63780</v>
      </c>
      <c r="U1459">
        <v>5315</v>
      </c>
      <c r="V1459">
        <v>43</v>
      </c>
      <c r="W1459">
        <v>3</v>
      </c>
      <c r="X1459">
        <v>3</v>
      </c>
      <c r="Z1459">
        <v>184.39</v>
      </c>
      <c r="AA1459">
        <v>40.84999</v>
      </c>
      <c r="AB1459">
        <v>-73.88547199999999</v>
      </c>
      <c r="AD1459" t="s">
        <v>10839</v>
      </c>
      <c r="AG1459" t="s">
        <v>10858</v>
      </c>
      <c r="AH1459" t="s">
        <v>10861</v>
      </c>
      <c r="AI1459">
        <v>230</v>
      </c>
      <c r="AJ1459" t="s">
        <v>10210</v>
      </c>
      <c r="AL1459">
        <v>9</v>
      </c>
      <c r="AM1459" t="s">
        <v>10884</v>
      </c>
      <c r="AN1459" t="s">
        <v>10907</v>
      </c>
      <c r="AO1459" t="s">
        <v>11000</v>
      </c>
      <c r="AP1459" t="s">
        <v>11056</v>
      </c>
      <c r="AR1459" t="s">
        <v>11257</v>
      </c>
      <c r="AS1459" t="s">
        <v>9926</v>
      </c>
      <c r="AT1459" t="s">
        <v>11641</v>
      </c>
      <c r="AX1459" t="s">
        <v>10838</v>
      </c>
      <c r="BA1459" t="s">
        <v>11738</v>
      </c>
      <c r="BB1459">
        <v>0</v>
      </c>
      <c r="BC1459">
        <v>0</v>
      </c>
      <c r="BD1459">
        <v>0</v>
      </c>
      <c r="BE1459">
        <v>0</v>
      </c>
      <c r="BF1459">
        <v>5</v>
      </c>
      <c r="BG1459">
        <v>0</v>
      </c>
    </row>
    <row r="1460" spans="1:59">
      <c r="A1460" s="1">
        <f>HYPERLINK("https://lsnyc.legalserver.org/matter/dynamic-profile/view/1905310","19-1905310")</f>
        <v>0</v>
      </c>
      <c r="B1460" t="s">
        <v>1313</v>
      </c>
      <c r="C1460" t="s">
        <v>6137</v>
      </c>
      <c r="D1460" t="s">
        <v>9925</v>
      </c>
      <c r="E1460" t="s">
        <v>10075</v>
      </c>
      <c r="F1460">
        <v>10033</v>
      </c>
      <c r="G1460" t="s">
        <v>10092</v>
      </c>
      <c r="H1460" t="s">
        <v>10130</v>
      </c>
      <c r="I1460" t="s">
        <v>10169</v>
      </c>
      <c r="J1460" t="s">
        <v>10212</v>
      </c>
      <c r="K1460" t="s">
        <v>10217</v>
      </c>
      <c r="M1460" t="s">
        <v>10350</v>
      </c>
      <c r="N1460" t="s">
        <v>10692</v>
      </c>
      <c r="P1460" t="s">
        <v>10754</v>
      </c>
      <c r="Q1460" t="s">
        <v>10775</v>
      </c>
      <c r="R1460" t="s">
        <v>10823</v>
      </c>
      <c r="T1460">
        <v>18720</v>
      </c>
      <c r="U1460">
        <v>1560</v>
      </c>
      <c r="V1460">
        <v>42</v>
      </c>
      <c r="W1460">
        <v>1</v>
      </c>
      <c r="X1460">
        <v>1</v>
      </c>
      <c r="Z1460">
        <v>110.7</v>
      </c>
      <c r="AA1460">
        <v>40.848355</v>
      </c>
      <c r="AB1460">
        <v>-73.938175</v>
      </c>
      <c r="AD1460" t="s">
        <v>10839</v>
      </c>
      <c r="AF1460" t="s">
        <v>10842</v>
      </c>
      <c r="AG1460" t="s">
        <v>10859</v>
      </c>
      <c r="AH1460" t="s">
        <v>10865</v>
      </c>
      <c r="AI1460">
        <v>237</v>
      </c>
      <c r="AJ1460" t="s">
        <v>10212</v>
      </c>
      <c r="AL1460">
        <v>11.25</v>
      </c>
      <c r="AM1460" t="s">
        <v>10887</v>
      </c>
      <c r="AN1460" t="s">
        <v>10943</v>
      </c>
      <c r="AO1460" t="s">
        <v>11019</v>
      </c>
      <c r="AP1460" t="s">
        <v>11074</v>
      </c>
      <c r="AR1460" t="s">
        <v>11257</v>
      </c>
      <c r="AS1460" t="s">
        <v>9925</v>
      </c>
      <c r="BA1460" t="s">
        <v>11738</v>
      </c>
      <c r="BB1460">
        <v>0</v>
      </c>
      <c r="BC1460">
        <v>0</v>
      </c>
      <c r="BD1460">
        <v>0</v>
      </c>
      <c r="BE1460">
        <v>0</v>
      </c>
      <c r="BF1460">
        <v>5</v>
      </c>
      <c r="BG1460">
        <v>0</v>
      </c>
    </row>
    <row r="1461" spans="1:59">
      <c r="A1461" s="1">
        <f>HYPERLINK("https://lsnyc.legalserver.org/matter/dynamic-profile/view/1905311","19-1905311")</f>
        <v>0</v>
      </c>
      <c r="B1461" t="s">
        <v>1314</v>
      </c>
      <c r="C1461" t="s">
        <v>6138</v>
      </c>
      <c r="D1461" t="s">
        <v>9940</v>
      </c>
      <c r="E1461" t="s">
        <v>10075</v>
      </c>
      <c r="F1461">
        <v>11421</v>
      </c>
      <c r="G1461" t="s">
        <v>10092</v>
      </c>
      <c r="H1461" t="s">
        <v>10130</v>
      </c>
      <c r="I1461" t="s">
        <v>10168</v>
      </c>
      <c r="J1461" t="s">
        <v>10212</v>
      </c>
      <c r="K1461" t="s">
        <v>10218</v>
      </c>
      <c r="L1461" t="s">
        <v>10134</v>
      </c>
      <c r="M1461" t="s">
        <v>10410</v>
      </c>
      <c r="N1461" t="s">
        <v>10695</v>
      </c>
      <c r="P1461" t="s">
        <v>10749</v>
      </c>
      <c r="Q1461" t="s">
        <v>10765</v>
      </c>
      <c r="R1461" t="s">
        <v>10825</v>
      </c>
      <c r="T1461">
        <v>29900</v>
      </c>
      <c r="U1461">
        <v>2491.67</v>
      </c>
      <c r="V1461">
        <v>40</v>
      </c>
      <c r="W1461">
        <v>1</v>
      </c>
      <c r="X1461">
        <v>3</v>
      </c>
      <c r="Y1461" t="s">
        <v>10829</v>
      </c>
      <c r="Z1461">
        <v>116.12</v>
      </c>
      <c r="AA1461">
        <v>40.686355</v>
      </c>
      <c r="AB1461">
        <v>-73.85642799999999</v>
      </c>
      <c r="AD1461" t="s">
        <v>10839</v>
      </c>
      <c r="AG1461" t="s">
        <v>10858</v>
      </c>
      <c r="AH1461" t="s">
        <v>10862</v>
      </c>
      <c r="AI1461">
        <v>237</v>
      </c>
      <c r="AJ1461" t="s">
        <v>10212</v>
      </c>
      <c r="AK1461" t="s">
        <v>10882</v>
      </c>
      <c r="AL1461">
        <v>2.23</v>
      </c>
      <c r="AM1461" t="s">
        <v>10886</v>
      </c>
      <c r="AN1461" t="s">
        <v>10945</v>
      </c>
      <c r="AO1461" t="s">
        <v>11024</v>
      </c>
      <c r="AP1461" t="s">
        <v>11088</v>
      </c>
      <c r="AR1461" t="s">
        <v>11257</v>
      </c>
      <c r="AS1461" t="s">
        <v>11594</v>
      </c>
      <c r="AY1461" t="s">
        <v>10829</v>
      </c>
      <c r="AZ1461" t="s">
        <v>11681</v>
      </c>
      <c r="BA1461" t="s">
        <v>11741</v>
      </c>
      <c r="BB1461">
        <v>0</v>
      </c>
      <c r="BC1461">
        <v>0</v>
      </c>
      <c r="BD1461">
        <v>0</v>
      </c>
      <c r="BE1461">
        <v>0</v>
      </c>
      <c r="BF1461">
        <v>1</v>
      </c>
      <c r="BG1461">
        <v>0</v>
      </c>
    </row>
    <row r="1462" spans="1:59">
      <c r="A1462" s="1">
        <f>HYPERLINK("https://lsnyc.legalserver.org/matter/dynamic-profile/view/1905312","19-1905312")</f>
        <v>0</v>
      </c>
      <c r="B1462" t="s">
        <v>1311</v>
      </c>
      <c r="C1462" t="s">
        <v>6136</v>
      </c>
      <c r="D1462" t="s">
        <v>9925</v>
      </c>
      <c r="E1462" t="s">
        <v>10075</v>
      </c>
      <c r="F1462">
        <v>10031</v>
      </c>
      <c r="G1462" t="s">
        <v>10089</v>
      </c>
      <c r="H1462" t="s">
        <v>10130</v>
      </c>
      <c r="I1462" t="s">
        <v>10168</v>
      </c>
      <c r="J1462" t="s">
        <v>10209</v>
      </c>
      <c r="K1462" t="s">
        <v>10217</v>
      </c>
      <c r="M1462" t="s">
        <v>10332</v>
      </c>
      <c r="N1462" t="s">
        <v>10675</v>
      </c>
      <c r="P1462" t="s">
        <v>10751</v>
      </c>
      <c r="Q1462" t="s">
        <v>10803</v>
      </c>
      <c r="R1462" t="s">
        <v>10824</v>
      </c>
      <c r="T1462">
        <v>0</v>
      </c>
      <c r="U1462">
        <v>0</v>
      </c>
      <c r="V1462">
        <v>47</v>
      </c>
      <c r="W1462">
        <v>1</v>
      </c>
      <c r="X1462">
        <v>1</v>
      </c>
      <c r="Z1462">
        <v>0</v>
      </c>
      <c r="AA1462">
        <v>40.827283</v>
      </c>
      <c r="AB1462">
        <v>-73.948864</v>
      </c>
      <c r="AD1462" t="s">
        <v>10839</v>
      </c>
      <c r="AG1462" t="s">
        <v>10858</v>
      </c>
      <c r="AH1462" t="s">
        <v>10866</v>
      </c>
      <c r="AI1462">
        <v>236</v>
      </c>
      <c r="AJ1462" t="s">
        <v>10209</v>
      </c>
      <c r="AL1462">
        <v>0.7</v>
      </c>
      <c r="AM1462" t="s">
        <v>10887</v>
      </c>
      <c r="AN1462" t="s">
        <v>10943</v>
      </c>
      <c r="AO1462" t="s">
        <v>11019</v>
      </c>
      <c r="AP1462" t="s">
        <v>11073</v>
      </c>
      <c r="AR1462" t="s">
        <v>11403</v>
      </c>
      <c r="AS1462" t="s">
        <v>9925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</row>
    <row r="1463" spans="1:59">
      <c r="A1463" s="1">
        <f>HYPERLINK("https://lsnyc.legalserver.org/matter/dynamic-profile/view/1905313","19-1905313")</f>
        <v>0</v>
      </c>
      <c r="B1463" t="s">
        <v>1315</v>
      </c>
      <c r="C1463" t="s">
        <v>6139</v>
      </c>
      <c r="D1463" t="s">
        <v>9926</v>
      </c>
      <c r="E1463" t="s">
        <v>10075</v>
      </c>
      <c r="F1463">
        <v>10460</v>
      </c>
      <c r="G1463" t="s">
        <v>10090</v>
      </c>
      <c r="H1463" t="s">
        <v>10130</v>
      </c>
      <c r="I1463" t="s">
        <v>10168</v>
      </c>
      <c r="J1463" t="s">
        <v>10210</v>
      </c>
      <c r="K1463" t="s">
        <v>10218</v>
      </c>
      <c r="L1463" t="s">
        <v>10140</v>
      </c>
      <c r="M1463" t="s">
        <v>10434</v>
      </c>
      <c r="N1463" t="s">
        <v>10650</v>
      </c>
      <c r="P1463" t="s">
        <v>10749</v>
      </c>
      <c r="Q1463" t="s">
        <v>10765</v>
      </c>
      <c r="R1463" t="s">
        <v>10821</v>
      </c>
      <c r="T1463">
        <v>5160</v>
      </c>
      <c r="U1463">
        <v>430</v>
      </c>
      <c r="V1463">
        <v>49</v>
      </c>
      <c r="W1463">
        <v>3</v>
      </c>
      <c r="X1463">
        <v>0</v>
      </c>
      <c r="Y1463" t="s">
        <v>10831</v>
      </c>
      <c r="Z1463">
        <v>24.19</v>
      </c>
      <c r="AA1463">
        <v>40.844882</v>
      </c>
      <c r="AB1463">
        <v>-73.87898199999999</v>
      </c>
      <c r="AD1463" t="s">
        <v>10839</v>
      </c>
      <c r="AG1463" t="s">
        <v>10858</v>
      </c>
      <c r="AH1463" t="s">
        <v>10862</v>
      </c>
      <c r="AI1463">
        <v>230</v>
      </c>
      <c r="AJ1463" t="s">
        <v>10210</v>
      </c>
      <c r="AK1463" t="s">
        <v>10838</v>
      </c>
      <c r="AL1463">
        <v>10.8</v>
      </c>
      <c r="AM1463" t="s">
        <v>10884</v>
      </c>
      <c r="AN1463" t="s">
        <v>10908</v>
      </c>
      <c r="AO1463" t="s">
        <v>11001</v>
      </c>
      <c r="AP1463" t="s">
        <v>11056</v>
      </c>
      <c r="AR1463" t="s">
        <v>11273</v>
      </c>
      <c r="AS1463" t="s">
        <v>9926</v>
      </c>
      <c r="AT1463" t="s">
        <v>11641</v>
      </c>
      <c r="AY1463" t="s">
        <v>10831</v>
      </c>
      <c r="AZ1463" t="s">
        <v>11685</v>
      </c>
      <c r="BA1463" t="s">
        <v>11738</v>
      </c>
      <c r="BB1463">
        <v>0</v>
      </c>
      <c r="BC1463">
        <v>0</v>
      </c>
      <c r="BD1463">
        <v>0</v>
      </c>
      <c r="BE1463">
        <v>0</v>
      </c>
      <c r="BF1463">
        <v>5</v>
      </c>
      <c r="BG1463">
        <v>0</v>
      </c>
    </row>
    <row r="1464" spans="1:59">
      <c r="A1464" s="1">
        <f>HYPERLINK("https://lsnyc.legalserver.org/matter/dynamic-profile/view/1905314","19-1905314")</f>
        <v>0</v>
      </c>
      <c r="B1464" t="s">
        <v>1316</v>
      </c>
      <c r="C1464" t="s">
        <v>6140</v>
      </c>
      <c r="D1464" t="s">
        <v>9926</v>
      </c>
      <c r="E1464" t="s">
        <v>10075</v>
      </c>
      <c r="F1464">
        <v>10458</v>
      </c>
      <c r="G1464" t="s">
        <v>10090</v>
      </c>
      <c r="H1464" t="s">
        <v>10130</v>
      </c>
      <c r="I1464" t="s">
        <v>10168</v>
      </c>
      <c r="J1464" t="s">
        <v>10215</v>
      </c>
      <c r="K1464" t="s">
        <v>10218</v>
      </c>
      <c r="L1464" t="s">
        <v>10102</v>
      </c>
      <c r="M1464" t="s">
        <v>10262</v>
      </c>
      <c r="N1464" t="s">
        <v>10666</v>
      </c>
      <c r="P1464" t="s">
        <v>10749</v>
      </c>
      <c r="Q1464" t="s">
        <v>10765</v>
      </c>
      <c r="R1464" t="s">
        <v>10821</v>
      </c>
      <c r="T1464">
        <v>34200</v>
      </c>
      <c r="U1464">
        <v>2850</v>
      </c>
      <c r="V1464">
        <v>44</v>
      </c>
      <c r="W1464">
        <v>2</v>
      </c>
      <c r="X1464">
        <v>1</v>
      </c>
      <c r="Y1464" t="s">
        <v>10829</v>
      </c>
      <c r="Z1464">
        <v>160.34</v>
      </c>
      <c r="AA1464">
        <v>40.869979</v>
      </c>
      <c r="AB1464">
        <v>-73.88475099999999</v>
      </c>
      <c r="AD1464" t="s">
        <v>10839</v>
      </c>
      <c r="AF1464" t="s">
        <v>10843</v>
      </c>
      <c r="AG1464" t="s">
        <v>10859</v>
      </c>
      <c r="AH1464" t="s">
        <v>10862</v>
      </c>
      <c r="AI1464">
        <v>231</v>
      </c>
      <c r="AJ1464" t="s">
        <v>10215</v>
      </c>
      <c r="AK1464" t="s">
        <v>10882</v>
      </c>
      <c r="AL1464">
        <v>0.5</v>
      </c>
      <c r="AM1464" t="s">
        <v>10887</v>
      </c>
      <c r="AN1464" t="s">
        <v>10907</v>
      </c>
      <c r="AO1464" t="s">
        <v>11002</v>
      </c>
      <c r="AP1464" t="s">
        <v>11057</v>
      </c>
      <c r="AR1464" t="s">
        <v>11257</v>
      </c>
      <c r="AS1464" t="s">
        <v>9926</v>
      </c>
      <c r="AT1464" t="s">
        <v>11641</v>
      </c>
      <c r="AY1464" t="s">
        <v>10829</v>
      </c>
      <c r="AZ1464" t="s">
        <v>11681</v>
      </c>
      <c r="BA1464" t="s">
        <v>11741</v>
      </c>
      <c r="BB1464">
        <v>0</v>
      </c>
      <c r="BC1464">
        <v>0</v>
      </c>
      <c r="BD1464">
        <v>0</v>
      </c>
      <c r="BE1464">
        <v>0</v>
      </c>
      <c r="BF1464">
        <v>1</v>
      </c>
      <c r="BG1464">
        <v>0</v>
      </c>
    </row>
    <row r="1465" spans="1:59">
      <c r="A1465" s="1">
        <f>HYPERLINK("https://lsnyc.legalserver.org/matter/dynamic-profile/view/1905315","19-1905315")</f>
        <v>0</v>
      </c>
      <c r="B1465" t="s">
        <v>1317</v>
      </c>
      <c r="C1465" t="s">
        <v>5133</v>
      </c>
      <c r="D1465" t="s">
        <v>9928</v>
      </c>
      <c r="E1465" t="s">
        <v>10075</v>
      </c>
      <c r="F1465">
        <v>11208</v>
      </c>
      <c r="G1465" t="s">
        <v>10093</v>
      </c>
      <c r="H1465" t="s">
        <v>10130</v>
      </c>
      <c r="I1465" t="s">
        <v>10168</v>
      </c>
      <c r="J1465" t="s">
        <v>10213</v>
      </c>
      <c r="K1465" t="s">
        <v>10217</v>
      </c>
      <c r="M1465" t="s">
        <v>10505</v>
      </c>
      <c r="N1465" t="s">
        <v>10650</v>
      </c>
      <c r="P1465" t="s">
        <v>10749</v>
      </c>
      <c r="Q1465" t="s">
        <v>10765</v>
      </c>
      <c r="R1465" t="s">
        <v>10824</v>
      </c>
      <c r="T1465">
        <v>28800</v>
      </c>
      <c r="U1465">
        <v>2400</v>
      </c>
      <c r="V1465">
        <v>41</v>
      </c>
      <c r="W1465">
        <v>1</v>
      </c>
      <c r="X1465">
        <v>0</v>
      </c>
      <c r="Z1465">
        <v>230.58</v>
      </c>
      <c r="AA1465">
        <v>40.6702</v>
      </c>
      <c r="AB1465">
        <v>-73.863207</v>
      </c>
      <c r="AC1465" t="s">
        <v>10837</v>
      </c>
      <c r="AD1465" t="s">
        <v>10839</v>
      </c>
      <c r="AG1465" t="s">
        <v>10858</v>
      </c>
      <c r="AH1465" t="s">
        <v>10862</v>
      </c>
      <c r="AI1465">
        <v>239</v>
      </c>
      <c r="AJ1465" t="s">
        <v>10213</v>
      </c>
      <c r="AL1465">
        <v>0.5</v>
      </c>
      <c r="AM1465" t="s">
        <v>10889</v>
      </c>
      <c r="AN1465" t="s">
        <v>10946</v>
      </c>
      <c r="AO1465" t="s">
        <v>11012</v>
      </c>
      <c r="AP1465" t="s">
        <v>11060</v>
      </c>
      <c r="AQ1465" t="s">
        <v>11101</v>
      </c>
      <c r="AR1465" t="s">
        <v>11257</v>
      </c>
      <c r="AS1465" t="s">
        <v>11595</v>
      </c>
      <c r="AT1465" t="s">
        <v>11641</v>
      </c>
      <c r="BA1465" t="s">
        <v>11740</v>
      </c>
      <c r="BB1465">
        <v>0</v>
      </c>
      <c r="BC1465">
        <v>0</v>
      </c>
      <c r="BD1465">
        <v>0</v>
      </c>
      <c r="BE1465">
        <v>0</v>
      </c>
      <c r="BF1465">
        <v>2</v>
      </c>
      <c r="BG1465">
        <v>0</v>
      </c>
    </row>
    <row r="1466" spans="1:59">
      <c r="A1466" s="1">
        <f>HYPERLINK("https://lsnyc.legalserver.org/matter/dynamic-profile/view/1905317","19-1905317")</f>
        <v>0</v>
      </c>
      <c r="B1466" t="s">
        <v>1312</v>
      </c>
      <c r="C1466" t="s">
        <v>5973</v>
      </c>
      <c r="D1466" t="s">
        <v>9926</v>
      </c>
      <c r="E1466" t="s">
        <v>10075</v>
      </c>
      <c r="F1466">
        <v>10457</v>
      </c>
      <c r="G1466" t="s">
        <v>10090</v>
      </c>
      <c r="H1466" t="s">
        <v>10130</v>
      </c>
      <c r="J1466" t="s">
        <v>10210</v>
      </c>
      <c r="K1466" t="s">
        <v>10217</v>
      </c>
      <c r="M1466" t="s">
        <v>10538</v>
      </c>
      <c r="N1466" t="s">
        <v>10671</v>
      </c>
      <c r="P1466" t="s">
        <v>10751</v>
      </c>
      <c r="Q1466" t="s">
        <v>10761</v>
      </c>
      <c r="R1466" t="s">
        <v>10824</v>
      </c>
      <c r="T1466">
        <v>63780</v>
      </c>
      <c r="U1466">
        <v>5315</v>
      </c>
      <c r="V1466">
        <v>43</v>
      </c>
      <c r="W1466">
        <v>3</v>
      </c>
      <c r="X1466">
        <v>3</v>
      </c>
      <c r="Z1466">
        <v>184.39</v>
      </c>
      <c r="AA1466">
        <v>40.84999</v>
      </c>
      <c r="AB1466">
        <v>-73.88547199999999</v>
      </c>
      <c r="AD1466" t="s">
        <v>10839</v>
      </c>
      <c r="AG1466" t="s">
        <v>10858</v>
      </c>
      <c r="AH1466" t="s">
        <v>10861</v>
      </c>
      <c r="AI1466">
        <v>230</v>
      </c>
      <c r="AJ1466" t="s">
        <v>10210</v>
      </c>
      <c r="AL1466">
        <v>0</v>
      </c>
      <c r="AM1466" t="s">
        <v>10884</v>
      </c>
      <c r="AN1466" t="s">
        <v>10907</v>
      </c>
      <c r="AO1466" t="s">
        <v>11000</v>
      </c>
      <c r="AP1466" t="s">
        <v>11056</v>
      </c>
      <c r="AR1466" t="s">
        <v>11257</v>
      </c>
      <c r="AS1466" t="s">
        <v>9926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</row>
    <row r="1467" spans="1:59">
      <c r="A1467" s="1">
        <f>HYPERLINK("https://lsnyc.legalserver.org/matter/dynamic-profile/view/1905318","19-1905318")</f>
        <v>0</v>
      </c>
      <c r="B1467" t="s">
        <v>1318</v>
      </c>
      <c r="C1467" t="s">
        <v>6141</v>
      </c>
      <c r="D1467" t="s">
        <v>9926</v>
      </c>
      <c r="E1467" t="s">
        <v>10075</v>
      </c>
      <c r="F1467">
        <v>10457</v>
      </c>
      <c r="G1467" t="s">
        <v>10090</v>
      </c>
      <c r="H1467" t="s">
        <v>10130</v>
      </c>
      <c r="I1467" t="s">
        <v>10169</v>
      </c>
      <c r="J1467" t="s">
        <v>10210</v>
      </c>
      <c r="K1467" t="s">
        <v>10217</v>
      </c>
      <c r="M1467" t="s">
        <v>10339</v>
      </c>
      <c r="N1467" t="s">
        <v>10651</v>
      </c>
      <c r="P1467" t="s">
        <v>10749</v>
      </c>
      <c r="Q1467" t="s">
        <v>10765</v>
      </c>
      <c r="R1467" t="s">
        <v>10821</v>
      </c>
      <c r="T1467">
        <v>9816</v>
      </c>
      <c r="U1467">
        <v>818</v>
      </c>
      <c r="V1467">
        <v>70</v>
      </c>
      <c r="W1467">
        <v>1</v>
      </c>
      <c r="X1467">
        <v>1</v>
      </c>
      <c r="Z1467">
        <v>58.05</v>
      </c>
      <c r="AA1467">
        <v>40.845287</v>
      </c>
      <c r="AB1467">
        <v>-73.89281200000001</v>
      </c>
      <c r="AD1467" t="s">
        <v>10840</v>
      </c>
      <c r="AG1467" t="s">
        <v>10858</v>
      </c>
      <c r="AH1467" t="s">
        <v>10862</v>
      </c>
      <c r="AI1467">
        <v>230</v>
      </c>
      <c r="AJ1467" t="s">
        <v>10210</v>
      </c>
      <c r="AL1467">
        <v>5.9</v>
      </c>
      <c r="AM1467" t="s">
        <v>10884</v>
      </c>
      <c r="AN1467" t="s">
        <v>10918</v>
      </c>
      <c r="AO1467" t="s">
        <v>11000</v>
      </c>
      <c r="AP1467" t="s">
        <v>11062</v>
      </c>
      <c r="AR1467" t="s">
        <v>11268</v>
      </c>
      <c r="AS1467" t="s">
        <v>9926</v>
      </c>
      <c r="BA1467" t="s">
        <v>11738</v>
      </c>
      <c r="BB1467">
        <v>0</v>
      </c>
      <c r="BC1467">
        <v>0</v>
      </c>
      <c r="BD1467">
        <v>0</v>
      </c>
      <c r="BE1467">
        <v>0</v>
      </c>
      <c r="BF1467">
        <v>5</v>
      </c>
      <c r="BG1467">
        <v>0</v>
      </c>
    </row>
    <row r="1468" spans="1:59">
      <c r="A1468" s="1">
        <f>HYPERLINK("https://lsnyc.legalserver.org/matter/dynamic-profile/view/1905319","19-1905319")</f>
        <v>0</v>
      </c>
      <c r="B1468" t="s">
        <v>60</v>
      </c>
      <c r="C1468" t="s">
        <v>6142</v>
      </c>
      <c r="D1468" t="s">
        <v>9926</v>
      </c>
      <c r="E1468" t="s">
        <v>10075</v>
      </c>
      <c r="F1468">
        <v>10467</v>
      </c>
      <c r="G1468" t="s">
        <v>10090</v>
      </c>
      <c r="H1468" t="s">
        <v>10130</v>
      </c>
      <c r="I1468" t="s">
        <v>10168</v>
      </c>
      <c r="J1468" t="s">
        <v>10210</v>
      </c>
      <c r="K1468" t="s">
        <v>10217</v>
      </c>
      <c r="M1468" t="s">
        <v>10310</v>
      </c>
      <c r="N1468" t="s">
        <v>10683</v>
      </c>
      <c r="P1468" t="s">
        <v>10754</v>
      </c>
      <c r="Q1468" t="s">
        <v>10777</v>
      </c>
      <c r="R1468" t="s">
        <v>10821</v>
      </c>
      <c r="T1468">
        <v>5904</v>
      </c>
      <c r="U1468">
        <v>492</v>
      </c>
      <c r="V1468">
        <v>32</v>
      </c>
      <c r="W1468">
        <v>1</v>
      </c>
      <c r="X1468">
        <v>2</v>
      </c>
      <c r="Z1468">
        <v>27.68</v>
      </c>
      <c r="AA1468">
        <v>40.884727</v>
      </c>
      <c r="AB1468">
        <v>-73.878731</v>
      </c>
      <c r="AD1468" t="s">
        <v>10839</v>
      </c>
      <c r="AG1468" t="s">
        <v>10858</v>
      </c>
      <c r="AH1468" t="s">
        <v>10865</v>
      </c>
      <c r="AI1468">
        <v>230</v>
      </c>
      <c r="AJ1468" t="s">
        <v>10210</v>
      </c>
      <c r="AL1468">
        <v>23.25</v>
      </c>
      <c r="AM1468" t="s">
        <v>10887</v>
      </c>
      <c r="AN1468" t="s">
        <v>10919</v>
      </c>
      <c r="AO1468" t="s">
        <v>11010</v>
      </c>
      <c r="AP1468" t="s">
        <v>11057</v>
      </c>
      <c r="AQ1468" t="s">
        <v>11128</v>
      </c>
      <c r="AR1468" t="s">
        <v>11262</v>
      </c>
      <c r="AS1468" t="s">
        <v>9926</v>
      </c>
      <c r="AT1468" t="s">
        <v>11641</v>
      </c>
      <c r="AV1468" t="s">
        <v>11656</v>
      </c>
      <c r="AW1468" t="s">
        <v>11645</v>
      </c>
      <c r="AX1468" t="s">
        <v>10838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</row>
    <row r="1469" spans="1:59">
      <c r="A1469" s="1">
        <f>HYPERLINK("https://lsnyc.legalserver.org/matter/dynamic-profile/view/1905320","19-1905320")</f>
        <v>0</v>
      </c>
      <c r="B1469" t="s">
        <v>1319</v>
      </c>
      <c r="C1469" t="s">
        <v>6143</v>
      </c>
      <c r="D1469" t="s">
        <v>9926</v>
      </c>
      <c r="E1469" t="s">
        <v>10075</v>
      </c>
      <c r="F1469">
        <v>10467</v>
      </c>
      <c r="G1469" t="s">
        <v>10090</v>
      </c>
      <c r="H1469" t="s">
        <v>10130</v>
      </c>
      <c r="I1469" t="s">
        <v>10168</v>
      </c>
      <c r="J1469" t="s">
        <v>10210</v>
      </c>
      <c r="K1469" t="s">
        <v>10217</v>
      </c>
      <c r="M1469" t="s">
        <v>10399</v>
      </c>
      <c r="N1469" t="s">
        <v>10651</v>
      </c>
      <c r="P1469" t="s">
        <v>10749</v>
      </c>
      <c r="Q1469" t="s">
        <v>10765</v>
      </c>
      <c r="R1469" t="s">
        <v>10823</v>
      </c>
      <c r="T1469">
        <v>22188</v>
      </c>
      <c r="U1469">
        <v>1849</v>
      </c>
      <c r="V1469">
        <v>56</v>
      </c>
      <c r="W1469">
        <v>2</v>
      </c>
      <c r="X1469">
        <v>0</v>
      </c>
      <c r="Z1469">
        <v>131.21</v>
      </c>
      <c r="AA1469">
        <v>40.870498</v>
      </c>
      <c r="AB1469">
        <v>-73.876593</v>
      </c>
      <c r="AD1469" t="s">
        <v>10839</v>
      </c>
      <c r="AG1469" t="s">
        <v>10858</v>
      </c>
      <c r="AH1469" t="s">
        <v>10861</v>
      </c>
      <c r="AI1469">
        <v>230</v>
      </c>
      <c r="AJ1469" t="s">
        <v>10210</v>
      </c>
      <c r="AL1469">
        <v>0.8</v>
      </c>
      <c r="AM1469" t="s">
        <v>10887</v>
      </c>
      <c r="AN1469" t="s">
        <v>10938</v>
      </c>
      <c r="AO1469" t="s">
        <v>11010</v>
      </c>
      <c r="AP1469" t="s">
        <v>11057</v>
      </c>
      <c r="AR1469" t="s">
        <v>11367</v>
      </c>
      <c r="AS1469" t="s">
        <v>9926</v>
      </c>
      <c r="AT1469" t="s">
        <v>11641</v>
      </c>
      <c r="AX1469" t="s">
        <v>10838</v>
      </c>
      <c r="BA1469" t="s">
        <v>11742</v>
      </c>
      <c r="BB1469">
        <v>0</v>
      </c>
      <c r="BC1469">
        <v>0</v>
      </c>
      <c r="BD1469">
        <v>0</v>
      </c>
      <c r="BE1469">
        <v>0</v>
      </c>
      <c r="BF1469">
        <v>7</v>
      </c>
      <c r="BG1469">
        <v>0</v>
      </c>
    </row>
    <row r="1470" spans="1:59">
      <c r="A1470" s="1">
        <f>HYPERLINK("https://lsnyc.legalserver.org/matter/dynamic-profile/view/1905322","19-1905322")</f>
        <v>0</v>
      </c>
      <c r="B1470" t="s">
        <v>1319</v>
      </c>
      <c r="C1470" t="s">
        <v>6143</v>
      </c>
      <c r="D1470" t="s">
        <v>9926</v>
      </c>
      <c r="E1470" t="s">
        <v>10075</v>
      </c>
      <c r="F1470">
        <v>10467</v>
      </c>
      <c r="G1470" t="s">
        <v>10090</v>
      </c>
      <c r="H1470" t="s">
        <v>10130</v>
      </c>
      <c r="I1470" t="s">
        <v>10168</v>
      </c>
      <c r="J1470" t="s">
        <v>10210</v>
      </c>
      <c r="K1470" t="s">
        <v>10217</v>
      </c>
      <c r="M1470" t="s">
        <v>10399</v>
      </c>
      <c r="N1470" t="s">
        <v>10671</v>
      </c>
      <c r="P1470" t="s">
        <v>10751</v>
      </c>
      <c r="Q1470" t="s">
        <v>10761</v>
      </c>
      <c r="R1470" t="s">
        <v>10823</v>
      </c>
      <c r="T1470">
        <v>9600</v>
      </c>
      <c r="U1470">
        <v>800</v>
      </c>
      <c r="V1470">
        <v>56</v>
      </c>
      <c r="W1470">
        <v>1</v>
      </c>
      <c r="X1470">
        <v>0</v>
      </c>
      <c r="Z1470">
        <v>76.86</v>
      </c>
      <c r="AA1470">
        <v>40.870498</v>
      </c>
      <c r="AB1470">
        <v>-73.876593</v>
      </c>
      <c r="AD1470" t="s">
        <v>10839</v>
      </c>
      <c r="AG1470" t="s">
        <v>10858</v>
      </c>
      <c r="AH1470" t="s">
        <v>10861</v>
      </c>
      <c r="AI1470">
        <v>230</v>
      </c>
      <c r="AJ1470" t="s">
        <v>10210</v>
      </c>
      <c r="AL1470">
        <v>0</v>
      </c>
      <c r="AM1470" t="s">
        <v>10887</v>
      </c>
      <c r="AN1470" t="s">
        <v>10938</v>
      </c>
      <c r="AO1470" t="s">
        <v>11010</v>
      </c>
      <c r="AP1470" t="s">
        <v>11057</v>
      </c>
      <c r="AR1470" t="s">
        <v>11263</v>
      </c>
      <c r="AS1470" t="s">
        <v>9926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</row>
    <row r="1471" spans="1:59">
      <c r="A1471" s="1">
        <f>HYPERLINK("https://lsnyc.legalserver.org/matter/dynamic-profile/view/1905323","19-1905323")</f>
        <v>0</v>
      </c>
      <c r="B1471" t="s">
        <v>1320</v>
      </c>
      <c r="C1471" t="s">
        <v>6144</v>
      </c>
      <c r="D1471" t="s">
        <v>9928</v>
      </c>
      <c r="E1471" t="s">
        <v>10075</v>
      </c>
      <c r="F1471">
        <v>11239</v>
      </c>
      <c r="G1471" t="s">
        <v>10093</v>
      </c>
      <c r="H1471" t="s">
        <v>10130</v>
      </c>
      <c r="I1471" t="s">
        <v>10168</v>
      </c>
      <c r="J1471" t="s">
        <v>10213</v>
      </c>
      <c r="K1471" t="s">
        <v>10217</v>
      </c>
      <c r="M1471" t="s">
        <v>10256</v>
      </c>
      <c r="N1471" t="s">
        <v>10680</v>
      </c>
      <c r="P1471" t="s">
        <v>10749</v>
      </c>
      <c r="Q1471" t="s">
        <v>10765</v>
      </c>
      <c r="R1471" t="s">
        <v>10824</v>
      </c>
      <c r="T1471">
        <v>60000</v>
      </c>
      <c r="U1471">
        <v>5000</v>
      </c>
      <c r="V1471">
        <v>72</v>
      </c>
      <c r="W1471">
        <v>1</v>
      </c>
      <c r="X1471">
        <v>0</v>
      </c>
      <c r="Z1471">
        <v>480.38</v>
      </c>
      <c r="AA1471">
        <v>40.64718</v>
      </c>
      <c r="AB1471">
        <v>-73.88504500000001</v>
      </c>
      <c r="AD1471" t="s">
        <v>10839</v>
      </c>
      <c r="AG1471" t="s">
        <v>10858</v>
      </c>
      <c r="AH1471" t="s">
        <v>10869</v>
      </c>
      <c r="AI1471">
        <v>239</v>
      </c>
      <c r="AJ1471" t="s">
        <v>10213</v>
      </c>
      <c r="AL1471">
        <v>13</v>
      </c>
      <c r="AM1471" t="s">
        <v>10889</v>
      </c>
      <c r="AN1471" t="s">
        <v>10946</v>
      </c>
      <c r="AO1471" t="s">
        <v>11012</v>
      </c>
      <c r="AP1471" t="s">
        <v>11060</v>
      </c>
      <c r="AQ1471" t="s">
        <v>11101</v>
      </c>
      <c r="AR1471" t="s">
        <v>11257</v>
      </c>
      <c r="AS1471" t="s">
        <v>11595</v>
      </c>
      <c r="BA1471" t="s">
        <v>11742</v>
      </c>
      <c r="BB1471">
        <v>0</v>
      </c>
      <c r="BC1471">
        <v>0</v>
      </c>
      <c r="BD1471">
        <v>0</v>
      </c>
      <c r="BE1471">
        <v>0</v>
      </c>
      <c r="BF1471">
        <v>7</v>
      </c>
      <c r="BG1471">
        <v>0</v>
      </c>
    </row>
    <row r="1472" spans="1:59">
      <c r="A1472" s="1">
        <f>HYPERLINK("https://lsnyc.legalserver.org/matter/dynamic-profile/view/1905324","19-1905324")</f>
        <v>0</v>
      </c>
      <c r="D1472" t="s">
        <v>9926</v>
      </c>
      <c r="E1472" t="s">
        <v>10075</v>
      </c>
      <c r="F1472">
        <v>10451</v>
      </c>
      <c r="G1472" t="s">
        <v>10090</v>
      </c>
      <c r="H1472" t="s">
        <v>10123</v>
      </c>
      <c r="I1472" t="s">
        <v>10169</v>
      </c>
      <c r="J1472" t="s">
        <v>10210</v>
      </c>
      <c r="K1472" t="s">
        <v>10217</v>
      </c>
      <c r="M1472" t="s">
        <v>10424</v>
      </c>
      <c r="N1472" t="s">
        <v>10673</v>
      </c>
      <c r="P1472" t="s">
        <v>10753</v>
      </c>
      <c r="Q1472" t="s">
        <v>10763</v>
      </c>
      <c r="R1472" t="s">
        <v>10824</v>
      </c>
      <c r="T1472">
        <v>0</v>
      </c>
      <c r="U1472">
        <v>0</v>
      </c>
      <c r="V1472">
        <v>0</v>
      </c>
      <c r="W1472">
        <v>1</v>
      </c>
      <c r="X1472">
        <v>1</v>
      </c>
      <c r="Z1472">
        <v>0</v>
      </c>
      <c r="AA1472">
        <v>0</v>
      </c>
      <c r="AB1472">
        <v>0</v>
      </c>
      <c r="AD1472" t="s">
        <v>10839</v>
      </c>
      <c r="AF1472" t="s">
        <v>10842</v>
      </c>
      <c r="AG1472" t="s">
        <v>10859</v>
      </c>
      <c r="AH1472" t="s">
        <v>10864</v>
      </c>
      <c r="AI1472">
        <v>230</v>
      </c>
      <c r="AJ1472" t="s">
        <v>10210</v>
      </c>
      <c r="AL1472">
        <v>2.3</v>
      </c>
      <c r="AQ1472" t="s">
        <v>11119</v>
      </c>
      <c r="AR1472" t="s">
        <v>11267</v>
      </c>
      <c r="AS1472" t="s">
        <v>9926</v>
      </c>
      <c r="AX1472" t="s">
        <v>10838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</row>
    <row r="1473" spans="1:59">
      <c r="A1473" s="1">
        <f>HYPERLINK("https://lsnyc.legalserver.org/matter/dynamic-profile/view/1905325","19-1905325")</f>
        <v>0</v>
      </c>
      <c r="B1473" t="s">
        <v>1321</v>
      </c>
      <c r="C1473" t="s">
        <v>6145</v>
      </c>
      <c r="D1473" t="s">
        <v>9928</v>
      </c>
      <c r="E1473" t="s">
        <v>10075</v>
      </c>
      <c r="F1473">
        <v>11236</v>
      </c>
      <c r="G1473" t="s">
        <v>10093</v>
      </c>
      <c r="H1473" t="s">
        <v>10123</v>
      </c>
      <c r="I1473" t="s">
        <v>10168</v>
      </c>
      <c r="J1473" t="s">
        <v>10213</v>
      </c>
      <c r="K1473" t="s">
        <v>10217</v>
      </c>
      <c r="M1473" t="s">
        <v>10528</v>
      </c>
      <c r="N1473" t="s">
        <v>10664</v>
      </c>
      <c r="P1473" t="s">
        <v>10749</v>
      </c>
      <c r="Q1473" t="s">
        <v>10765</v>
      </c>
      <c r="R1473" t="s">
        <v>10821</v>
      </c>
      <c r="T1473">
        <v>6500</v>
      </c>
      <c r="U1473">
        <v>541.67</v>
      </c>
      <c r="V1473">
        <v>25</v>
      </c>
      <c r="W1473">
        <v>2</v>
      </c>
      <c r="X1473">
        <v>3</v>
      </c>
      <c r="Z1473">
        <v>21.54</v>
      </c>
      <c r="AA1473">
        <v>40.648764</v>
      </c>
      <c r="AB1473">
        <v>-73.89824</v>
      </c>
      <c r="AD1473" t="s">
        <v>10839</v>
      </c>
      <c r="AG1473" t="s">
        <v>10858</v>
      </c>
      <c r="AH1473" t="s">
        <v>10862</v>
      </c>
      <c r="AI1473">
        <v>239</v>
      </c>
      <c r="AJ1473" t="s">
        <v>10213</v>
      </c>
      <c r="AL1473">
        <v>4.2</v>
      </c>
      <c r="AM1473" t="s">
        <v>10889</v>
      </c>
      <c r="AN1473" t="s">
        <v>10925</v>
      </c>
      <c r="AO1473" t="s">
        <v>11012</v>
      </c>
      <c r="AP1473" t="s">
        <v>11060</v>
      </c>
      <c r="AR1473" t="s">
        <v>11255</v>
      </c>
      <c r="AS1473" t="s">
        <v>11595</v>
      </c>
      <c r="BA1473" t="s">
        <v>11738</v>
      </c>
      <c r="BB1473">
        <v>0</v>
      </c>
      <c r="BC1473">
        <v>0</v>
      </c>
      <c r="BD1473">
        <v>0</v>
      </c>
      <c r="BE1473">
        <v>0</v>
      </c>
      <c r="BF1473">
        <v>5</v>
      </c>
      <c r="BG1473">
        <v>0</v>
      </c>
    </row>
    <row r="1474" spans="1:59">
      <c r="A1474" s="1">
        <f>HYPERLINK("https://lsnyc.legalserver.org/matter/dynamic-profile/view/1905327","19-1905327")</f>
        <v>0</v>
      </c>
      <c r="B1474" t="s">
        <v>1322</v>
      </c>
      <c r="C1474" t="s">
        <v>5316</v>
      </c>
      <c r="D1474" t="s">
        <v>9926</v>
      </c>
      <c r="E1474" t="s">
        <v>10075</v>
      </c>
      <c r="F1474">
        <v>10468</v>
      </c>
      <c r="G1474" t="s">
        <v>10090</v>
      </c>
      <c r="H1474" t="s">
        <v>10123</v>
      </c>
      <c r="I1474" t="s">
        <v>10168</v>
      </c>
      <c r="J1474" t="s">
        <v>10210</v>
      </c>
      <c r="K1474" t="s">
        <v>10217</v>
      </c>
      <c r="M1474" t="s">
        <v>10362</v>
      </c>
      <c r="N1474" t="s">
        <v>10651</v>
      </c>
      <c r="P1474" t="s">
        <v>10749</v>
      </c>
      <c r="Q1474" t="s">
        <v>10765</v>
      </c>
      <c r="R1474" t="s">
        <v>10824</v>
      </c>
      <c r="T1474">
        <v>4030</v>
      </c>
      <c r="U1474">
        <v>335.83</v>
      </c>
      <c r="V1474">
        <v>27</v>
      </c>
      <c r="W1474">
        <v>1</v>
      </c>
      <c r="X1474">
        <v>2</v>
      </c>
      <c r="Z1474">
        <v>18.89</v>
      </c>
      <c r="AA1474">
        <v>40.866265</v>
      </c>
      <c r="AB1474">
        <v>-73.898759</v>
      </c>
      <c r="AD1474" t="s">
        <v>10839</v>
      </c>
      <c r="AG1474" t="s">
        <v>10858</v>
      </c>
      <c r="AH1474" t="s">
        <v>10861</v>
      </c>
      <c r="AI1474">
        <v>230</v>
      </c>
      <c r="AJ1474" t="s">
        <v>10210</v>
      </c>
      <c r="AL1474">
        <v>4.8</v>
      </c>
      <c r="AM1474" t="s">
        <v>10887</v>
      </c>
      <c r="AN1474" t="s">
        <v>10907</v>
      </c>
      <c r="AO1474" t="s">
        <v>11000</v>
      </c>
      <c r="AP1474" t="s">
        <v>11045</v>
      </c>
      <c r="AR1474" t="s">
        <v>11255</v>
      </c>
      <c r="AS1474" t="s">
        <v>9926</v>
      </c>
      <c r="AT1474" t="s">
        <v>11641</v>
      </c>
      <c r="AX1474" t="s">
        <v>10838</v>
      </c>
      <c r="BA1474" t="s">
        <v>11738</v>
      </c>
      <c r="BB1474">
        <v>0</v>
      </c>
      <c r="BC1474">
        <v>0</v>
      </c>
      <c r="BD1474">
        <v>0</v>
      </c>
      <c r="BE1474">
        <v>0</v>
      </c>
      <c r="BF1474">
        <v>5</v>
      </c>
      <c r="BG1474">
        <v>0</v>
      </c>
    </row>
    <row r="1475" spans="1:59">
      <c r="A1475" s="1">
        <f>HYPERLINK("https://lsnyc.legalserver.org/matter/dynamic-profile/view/1905328","19-1905328")</f>
        <v>0</v>
      </c>
      <c r="B1475" t="s">
        <v>1323</v>
      </c>
      <c r="C1475" t="s">
        <v>6146</v>
      </c>
      <c r="D1475" t="s">
        <v>9928</v>
      </c>
      <c r="E1475" t="s">
        <v>10075</v>
      </c>
      <c r="F1475">
        <v>11226</v>
      </c>
      <c r="G1475" t="s">
        <v>10093</v>
      </c>
      <c r="H1475" t="s">
        <v>10123</v>
      </c>
      <c r="I1475" t="s">
        <v>10168</v>
      </c>
      <c r="J1475" t="s">
        <v>10213</v>
      </c>
      <c r="K1475" t="s">
        <v>10217</v>
      </c>
      <c r="M1475" t="s">
        <v>10390</v>
      </c>
      <c r="N1475" t="s">
        <v>10644</v>
      </c>
      <c r="P1475" t="s">
        <v>10749</v>
      </c>
      <c r="Q1475" t="s">
        <v>10765</v>
      </c>
      <c r="R1475" t="s">
        <v>10824</v>
      </c>
      <c r="T1475">
        <v>9468</v>
      </c>
      <c r="U1475">
        <v>789</v>
      </c>
      <c r="V1475">
        <v>79</v>
      </c>
      <c r="W1475">
        <v>1</v>
      </c>
      <c r="X1475">
        <v>0</v>
      </c>
      <c r="Z1475">
        <v>75.8</v>
      </c>
      <c r="AA1475">
        <v>40.643979</v>
      </c>
      <c r="AB1475">
        <v>-73.960275</v>
      </c>
      <c r="AD1475" t="s">
        <v>10839</v>
      </c>
      <c r="AG1475" t="s">
        <v>10858</v>
      </c>
      <c r="AH1475" t="s">
        <v>10871</v>
      </c>
      <c r="AI1475">
        <v>234</v>
      </c>
      <c r="AJ1475" t="s">
        <v>10214</v>
      </c>
      <c r="AL1475">
        <v>9.35</v>
      </c>
      <c r="AM1475" t="s">
        <v>10888</v>
      </c>
      <c r="AN1475" t="s">
        <v>10932</v>
      </c>
      <c r="AO1475" t="s">
        <v>11008</v>
      </c>
      <c r="AP1475" t="s">
        <v>11050</v>
      </c>
      <c r="AR1475" t="s">
        <v>11316</v>
      </c>
      <c r="AS1475" t="s">
        <v>11595</v>
      </c>
      <c r="AT1475" t="s">
        <v>11641</v>
      </c>
      <c r="AX1475" t="s">
        <v>10838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</row>
    <row r="1476" spans="1:59">
      <c r="A1476" s="1">
        <f>HYPERLINK("https://lsnyc.legalserver.org/matter/dynamic-profile/view/1905329","19-1905329")</f>
        <v>0</v>
      </c>
      <c r="B1476" t="s">
        <v>1324</v>
      </c>
      <c r="C1476" t="s">
        <v>6147</v>
      </c>
      <c r="D1476" t="s">
        <v>9938</v>
      </c>
      <c r="E1476" t="s">
        <v>10075</v>
      </c>
      <c r="F1476">
        <v>11433</v>
      </c>
      <c r="G1476" t="s">
        <v>10092</v>
      </c>
      <c r="H1476" t="s">
        <v>10123</v>
      </c>
      <c r="I1476" t="s">
        <v>10168</v>
      </c>
      <c r="J1476" t="s">
        <v>10212</v>
      </c>
      <c r="K1476" t="s">
        <v>10217</v>
      </c>
      <c r="M1476" t="s">
        <v>10416</v>
      </c>
      <c r="N1476" t="s">
        <v>10678</v>
      </c>
      <c r="P1476" t="s">
        <v>10749</v>
      </c>
      <c r="Q1476" t="s">
        <v>10769</v>
      </c>
      <c r="R1476" t="s">
        <v>10824</v>
      </c>
      <c r="T1476">
        <v>22380</v>
      </c>
      <c r="U1476">
        <v>1865</v>
      </c>
      <c r="V1476">
        <v>74</v>
      </c>
      <c r="W1476">
        <v>2</v>
      </c>
      <c r="X1476">
        <v>0</v>
      </c>
      <c r="Z1476">
        <v>132.35</v>
      </c>
      <c r="AA1476">
        <v>40.696558</v>
      </c>
      <c r="AB1476">
        <v>-73.79064700000001</v>
      </c>
      <c r="AD1476" t="s">
        <v>10840</v>
      </c>
      <c r="AG1476" t="s">
        <v>10858</v>
      </c>
      <c r="AH1476" t="s">
        <v>10861</v>
      </c>
      <c r="AI1476">
        <v>234</v>
      </c>
      <c r="AJ1476" t="s">
        <v>10214</v>
      </c>
      <c r="AL1476">
        <v>1.55</v>
      </c>
      <c r="AM1476" t="s">
        <v>10892</v>
      </c>
      <c r="AN1476" t="s">
        <v>10951</v>
      </c>
      <c r="AO1476" t="s">
        <v>11020</v>
      </c>
      <c r="AP1476" t="s">
        <v>11075</v>
      </c>
      <c r="AR1476" t="s">
        <v>11361</v>
      </c>
      <c r="AS1476" t="s">
        <v>11594</v>
      </c>
      <c r="AT1476" t="s">
        <v>11642</v>
      </c>
      <c r="AX1476" t="s">
        <v>11678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</row>
    <row r="1477" spans="1:59">
      <c r="A1477" s="1">
        <f>HYPERLINK("https://lsnyc.legalserver.org/matter/dynamic-profile/view/1905330","19-1905330")</f>
        <v>0</v>
      </c>
      <c r="B1477" t="s">
        <v>1325</v>
      </c>
      <c r="C1477" t="s">
        <v>6148</v>
      </c>
      <c r="D1477" t="s">
        <v>9925</v>
      </c>
      <c r="E1477" t="s">
        <v>10075</v>
      </c>
      <c r="F1477">
        <v>10029</v>
      </c>
      <c r="G1477" t="s">
        <v>10089</v>
      </c>
      <c r="H1477" t="s">
        <v>10123</v>
      </c>
      <c r="I1477" t="s">
        <v>10168</v>
      </c>
      <c r="J1477" t="s">
        <v>10209</v>
      </c>
      <c r="K1477" t="s">
        <v>10218</v>
      </c>
      <c r="L1477" t="s">
        <v>10098</v>
      </c>
      <c r="M1477" t="s">
        <v>10440</v>
      </c>
      <c r="N1477" t="s">
        <v>10650</v>
      </c>
      <c r="P1477" t="s">
        <v>10749</v>
      </c>
      <c r="Q1477" t="s">
        <v>10765</v>
      </c>
      <c r="R1477" t="s">
        <v>10821</v>
      </c>
      <c r="T1477">
        <v>37896</v>
      </c>
      <c r="U1477">
        <v>3158</v>
      </c>
      <c r="V1477">
        <v>51</v>
      </c>
      <c r="W1477">
        <v>3</v>
      </c>
      <c r="X1477">
        <v>0</v>
      </c>
      <c r="Y1477" t="s">
        <v>10829</v>
      </c>
      <c r="Z1477">
        <v>177.67</v>
      </c>
      <c r="AA1477">
        <v>40.799756</v>
      </c>
      <c r="AB1477">
        <v>-73.945328</v>
      </c>
      <c r="AD1477" t="s">
        <v>10839</v>
      </c>
      <c r="AG1477" t="s">
        <v>10858</v>
      </c>
      <c r="AH1477" t="s">
        <v>10862</v>
      </c>
      <c r="AI1477">
        <v>236</v>
      </c>
      <c r="AJ1477" t="s">
        <v>10209</v>
      </c>
      <c r="AK1477" t="s">
        <v>10838</v>
      </c>
      <c r="AL1477">
        <v>0.3</v>
      </c>
      <c r="AM1477" t="s">
        <v>10887</v>
      </c>
      <c r="AN1477" t="s">
        <v>10926</v>
      </c>
      <c r="AO1477" t="s">
        <v>11016</v>
      </c>
      <c r="AP1477" t="s">
        <v>11076</v>
      </c>
      <c r="AR1477" t="s">
        <v>11265</v>
      </c>
      <c r="AS1477" t="s">
        <v>9925</v>
      </c>
      <c r="AT1477" t="s">
        <v>11641</v>
      </c>
      <c r="AX1477" t="s">
        <v>10838</v>
      </c>
      <c r="AY1477" t="s">
        <v>10829</v>
      </c>
      <c r="AZ1477" t="s">
        <v>11681</v>
      </c>
      <c r="BA1477" t="s">
        <v>11741</v>
      </c>
      <c r="BB1477">
        <v>0</v>
      </c>
      <c r="BC1477">
        <v>0</v>
      </c>
      <c r="BD1477">
        <v>0</v>
      </c>
      <c r="BE1477">
        <v>0</v>
      </c>
      <c r="BF1477">
        <v>1</v>
      </c>
      <c r="BG1477">
        <v>0</v>
      </c>
    </row>
    <row r="1478" spans="1:59">
      <c r="A1478" s="1">
        <f>HYPERLINK("https://lsnyc.legalserver.org/matter/dynamic-profile/view/1905331","19-1905331")</f>
        <v>0</v>
      </c>
      <c r="B1478" t="s">
        <v>1326</v>
      </c>
      <c r="C1478" t="s">
        <v>6149</v>
      </c>
      <c r="D1478" t="s">
        <v>9926</v>
      </c>
      <c r="E1478" t="s">
        <v>10075</v>
      </c>
      <c r="F1478">
        <v>10468</v>
      </c>
      <c r="G1478" t="s">
        <v>10090</v>
      </c>
      <c r="H1478" t="s">
        <v>10123</v>
      </c>
      <c r="I1478" t="s">
        <v>10169</v>
      </c>
      <c r="J1478" t="s">
        <v>10210</v>
      </c>
      <c r="K1478" t="s">
        <v>10217</v>
      </c>
      <c r="M1478" t="s">
        <v>10333</v>
      </c>
      <c r="N1478" t="s">
        <v>10683</v>
      </c>
      <c r="P1478" t="s">
        <v>10751</v>
      </c>
      <c r="Q1478" t="s">
        <v>10761</v>
      </c>
      <c r="R1478" t="s">
        <v>10821</v>
      </c>
      <c r="T1478">
        <v>10400</v>
      </c>
      <c r="U1478">
        <v>866.67</v>
      </c>
      <c r="V1478">
        <v>41</v>
      </c>
      <c r="W1478">
        <v>1</v>
      </c>
      <c r="X1478">
        <v>2</v>
      </c>
      <c r="Z1478">
        <v>48.76</v>
      </c>
      <c r="AA1478">
        <v>40.860933</v>
      </c>
      <c r="AB1478">
        <v>-73.90698399999999</v>
      </c>
      <c r="AD1478" t="s">
        <v>10839</v>
      </c>
      <c r="AG1478" t="s">
        <v>10858</v>
      </c>
      <c r="AH1478" t="s">
        <v>10861</v>
      </c>
      <c r="AI1478">
        <v>234</v>
      </c>
      <c r="AJ1478" t="s">
        <v>10214</v>
      </c>
      <c r="AL1478">
        <v>4.6</v>
      </c>
      <c r="AM1478" t="s">
        <v>10884</v>
      </c>
      <c r="AN1478" t="s">
        <v>10931</v>
      </c>
      <c r="AO1478" t="s">
        <v>11000</v>
      </c>
      <c r="AP1478" t="s">
        <v>11045</v>
      </c>
      <c r="AR1478" t="s">
        <v>11276</v>
      </c>
      <c r="AS1478" t="s">
        <v>9926</v>
      </c>
      <c r="AT1478" t="s">
        <v>11641</v>
      </c>
      <c r="AX1478" t="s">
        <v>10838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</row>
    <row r="1479" spans="1:59">
      <c r="A1479" s="1">
        <f>HYPERLINK("https://lsnyc.legalserver.org/matter/dynamic-profile/view/1905332","19-1905332")</f>
        <v>0</v>
      </c>
      <c r="B1479" t="s">
        <v>1327</v>
      </c>
      <c r="C1479" t="s">
        <v>6150</v>
      </c>
      <c r="D1479" t="s">
        <v>9927</v>
      </c>
      <c r="E1479" t="s">
        <v>10075</v>
      </c>
      <c r="F1479">
        <v>11377</v>
      </c>
      <c r="G1479" t="s">
        <v>10092</v>
      </c>
      <c r="H1479" t="s">
        <v>10123</v>
      </c>
      <c r="I1479" t="s">
        <v>10169</v>
      </c>
      <c r="J1479" t="s">
        <v>10212</v>
      </c>
      <c r="K1479" t="s">
        <v>10217</v>
      </c>
      <c r="M1479" t="s">
        <v>10365</v>
      </c>
      <c r="N1479" t="s">
        <v>10695</v>
      </c>
      <c r="P1479" t="s">
        <v>10749</v>
      </c>
      <c r="Q1479" t="s">
        <v>10765</v>
      </c>
      <c r="R1479" t="s">
        <v>10821</v>
      </c>
      <c r="T1479">
        <v>25656</v>
      </c>
      <c r="U1479">
        <v>2138</v>
      </c>
      <c r="V1479">
        <v>54</v>
      </c>
      <c r="W1479">
        <v>3</v>
      </c>
      <c r="X1479">
        <v>1</v>
      </c>
      <c r="Z1479">
        <v>99.63</v>
      </c>
      <c r="AA1479">
        <v>40.756487</v>
      </c>
      <c r="AB1479">
        <v>-73.905129</v>
      </c>
      <c r="AD1479" t="s">
        <v>10839</v>
      </c>
      <c r="AG1479" t="s">
        <v>10858</v>
      </c>
      <c r="AH1479" t="s">
        <v>10862</v>
      </c>
      <c r="AI1479">
        <v>237</v>
      </c>
      <c r="AJ1479" t="s">
        <v>10212</v>
      </c>
      <c r="AL1479">
        <v>1.95</v>
      </c>
      <c r="AM1479" t="s">
        <v>10885</v>
      </c>
      <c r="AN1479" t="s">
        <v>10909</v>
      </c>
      <c r="AO1479" t="s">
        <v>11014</v>
      </c>
      <c r="AP1479" t="s">
        <v>11047</v>
      </c>
      <c r="AR1479" t="s">
        <v>11419</v>
      </c>
      <c r="AS1479" t="s">
        <v>11594</v>
      </c>
      <c r="AX1479" t="s">
        <v>10838</v>
      </c>
      <c r="BA1479" t="s">
        <v>11741</v>
      </c>
      <c r="BB1479">
        <v>0</v>
      </c>
      <c r="BC1479">
        <v>0</v>
      </c>
      <c r="BD1479">
        <v>0</v>
      </c>
      <c r="BE1479">
        <v>0</v>
      </c>
      <c r="BF1479">
        <v>1</v>
      </c>
      <c r="BG1479">
        <v>0</v>
      </c>
    </row>
    <row r="1480" spans="1:59">
      <c r="A1480" s="1">
        <f>HYPERLINK("https://lsnyc.legalserver.org/matter/dynamic-profile/view/1905333","19-1905333")</f>
        <v>0</v>
      </c>
      <c r="B1480" t="s">
        <v>1322</v>
      </c>
      <c r="C1480" t="s">
        <v>5316</v>
      </c>
      <c r="D1480" t="s">
        <v>9926</v>
      </c>
      <c r="E1480" t="s">
        <v>10075</v>
      </c>
      <c r="F1480">
        <v>10468</v>
      </c>
      <c r="G1480" t="s">
        <v>10090</v>
      </c>
      <c r="H1480" t="s">
        <v>10123</v>
      </c>
      <c r="I1480" t="s">
        <v>10168</v>
      </c>
      <c r="J1480" t="s">
        <v>10210</v>
      </c>
      <c r="K1480" t="s">
        <v>10217</v>
      </c>
      <c r="M1480" t="s">
        <v>10367</v>
      </c>
      <c r="N1480" t="s">
        <v>10671</v>
      </c>
      <c r="P1480" t="s">
        <v>10751</v>
      </c>
      <c r="Q1480" t="s">
        <v>10761</v>
      </c>
      <c r="R1480" t="s">
        <v>10824</v>
      </c>
      <c r="T1480">
        <v>4030</v>
      </c>
      <c r="U1480">
        <v>335.83</v>
      </c>
      <c r="V1480">
        <v>27</v>
      </c>
      <c r="W1480">
        <v>1</v>
      </c>
      <c r="X1480">
        <v>2</v>
      </c>
      <c r="Z1480">
        <v>18.89</v>
      </c>
      <c r="AA1480">
        <v>40.866265</v>
      </c>
      <c r="AB1480">
        <v>-73.898759</v>
      </c>
      <c r="AD1480" t="s">
        <v>10839</v>
      </c>
      <c r="AG1480" t="s">
        <v>10858</v>
      </c>
      <c r="AH1480" t="s">
        <v>10861</v>
      </c>
      <c r="AI1480">
        <v>230</v>
      </c>
      <c r="AJ1480" t="s">
        <v>10210</v>
      </c>
      <c r="AL1480">
        <v>0</v>
      </c>
      <c r="AM1480" t="s">
        <v>10887</v>
      </c>
      <c r="AN1480" t="s">
        <v>10907</v>
      </c>
      <c r="AO1480" t="s">
        <v>11000</v>
      </c>
      <c r="AP1480" t="s">
        <v>11045</v>
      </c>
      <c r="AR1480" t="s">
        <v>11255</v>
      </c>
      <c r="AS1480" t="s">
        <v>9926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</row>
    <row r="1481" spans="1:59">
      <c r="A1481" s="1">
        <f>HYPERLINK("https://lsnyc.legalserver.org/matter/dynamic-profile/view/1905334","19-1905334")</f>
        <v>0</v>
      </c>
      <c r="B1481" t="s">
        <v>1328</v>
      </c>
      <c r="C1481" t="s">
        <v>6151</v>
      </c>
      <c r="D1481" t="s">
        <v>9925</v>
      </c>
      <c r="E1481" t="s">
        <v>10075</v>
      </c>
      <c r="F1481">
        <v>10029</v>
      </c>
      <c r="G1481" t="s">
        <v>10089</v>
      </c>
      <c r="H1481" t="s">
        <v>10123</v>
      </c>
      <c r="I1481" t="s">
        <v>10169</v>
      </c>
      <c r="J1481" t="s">
        <v>10209</v>
      </c>
      <c r="K1481" t="s">
        <v>10217</v>
      </c>
      <c r="M1481" t="s">
        <v>10305</v>
      </c>
      <c r="N1481" t="s">
        <v>10650</v>
      </c>
      <c r="P1481" t="s">
        <v>10752</v>
      </c>
      <c r="Q1481" t="s">
        <v>10783</v>
      </c>
      <c r="R1481" t="s">
        <v>10821</v>
      </c>
      <c r="T1481">
        <v>20000</v>
      </c>
      <c r="U1481">
        <v>1666.67</v>
      </c>
      <c r="V1481">
        <v>54</v>
      </c>
      <c r="W1481">
        <v>2</v>
      </c>
      <c r="X1481">
        <v>0</v>
      </c>
      <c r="Z1481">
        <v>118.27</v>
      </c>
      <c r="AA1481">
        <v>40.791042</v>
      </c>
      <c r="AB1481">
        <v>-73.948066</v>
      </c>
      <c r="AD1481" t="s">
        <v>10839</v>
      </c>
      <c r="AG1481" t="s">
        <v>10858</v>
      </c>
      <c r="AH1481" t="s">
        <v>10863</v>
      </c>
      <c r="AI1481">
        <v>236</v>
      </c>
      <c r="AJ1481" t="s">
        <v>10209</v>
      </c>
      <c r="AL1481">
        <v>0.6</v>
      </c>
      <c r="AM1481" t="s">
        <v>10887</v>
      </c>
      <c r="AN1481" t="s">
        <v>10926</v>
      </c>
      <c r="AO1481" t="s">
        <v>11013</v>
      </c>
      <c r="AP1481" t="s">
        <v>11066</v>
      </c>
      <c r="AQ1481" t="s">
        <v>11179</v>
      </c>
      <c r="AR1481" t="s">
        <v>11262</v>
      </c>
      <c r="AS1481" t="s">
        <v>9925</v>
      </c>
      <c r="AT1481" t="s">
        <v>11641</v>
      </c>
      <c r="BA1481" t="s">
        <v>11742</v>
      </c>
      <c r="BB1481">
        <v>0</v>
      </c>
      <c r="BC1481">
        <v>0</v>
      </c>
      <c r="BD1481">
        <v>0</v>
      </c>
      <c r="BE1481">
        <v>0</v>
      </c>
      <c r="BF1481">
        <v>7</v>
      </c>
      <c r="BG1481">
        <v>0</v>
      </c>
    </row>
    <row r="1482" spans="1:59">
      <c r="A1482" s="1">
        <f>HYPERLINK("https://lsnyc.legalserver.org/matter/dynamic-profile/view/1905335","19-1905335")</f>
        <v>0</v>
      </c>
      <c r="B1482" t="s">
        <v>1329</v>
      </c>
      <c r="C1482" t="s">
        <v>6152</v>
      </c>
      <c r="D1482" t="s">
        <v>9925</v>
      </c>
      <c r="E1482" t="s">
        <v>10075</v>
      </c>
      <c r="F1482">
        <v>10031</v>
      </c>
      <c r="G1482" t="s">
        <v>10089</v>
      </c>
      <c r="H1482" t="s">
        <v>10106</v>
      </c>
      <c r="I1482" t="s">
        <v>10168</v>
      </c>
      <c r="J1482" t="s">
        <v>10209</v>
      </c>
      <c r="K1482" t="s">
        <v>10217</v>
      </c>
      <c r="M1482" t="s">
        <v>10379</v>
      </c>
      <c r="N1482" t="s">
        <v>10703</v>
      </c>
      <c r="P1482" t="s">
        <v>10749</v>
      </c>
      <c r="Q1482" t="s">
        <v>10765</v>
      </c>
      <c r="R1482" t="s">
        <v>10824</v>
      </c>
      <c r="T1482">
        <v>9000</v>
      </c>
      <c r="U1482">
        <v>750</v>
      </c>
      <c r="V1482">
        <v>85</v>
      </c>
      <c r="W1482">
        <v>1</v>
      </c>
      <c r="X1482">
        <v>0</v>
      </c>
      <c r="Z1482">
        <v>72.06</v>
      </c>
      <c r="AA1482">
        <v>40.824689</v>
      </c>
      <c r="AB1482">
        <v>-73.94465</v>
      </c>
      <c r="AD1482" t="s">
        <v>10839</v>
      </c>
      <c r="AG1482" t="s">
        <v>10858</v>
      </c>
      <c r="AH1482" t="s">
        <v>10862</v>
      </c>
      <c r="AI1482">
        <v>236</v>
      </c>
      <c r="AJ1482" t="s">
        <v>10209</v>
      </c>
      <c r="AL1482">
        <v>18.5</v>
      </c>
      <c r="AM1482" t="s">
        <v>10887</v>
      </c>
      <c r="AN1482" t="s">
        <v>10943</v>
      </c>
      <c r="AO1482" t="s">
        <v>11016</v>
      </c>
      <c r="AP1482" t="s">
        <v>11076</v>
      </c>
      <c r="AR1482" t="s">
        <v>11263</v>
      </c>
      <c r="AS1482" t="s">
        <v>9925</v>
      </c>
      <c r="BA1482" t="s">
        <v>11744</v>
      </c>
      <c r="BB1482">
        <v>0</v>
      </c>
      <c r="BC1482">
        <v>0</v>
      </c>
      <c r="BD1482">
        <v>0</v>
      </c>
      <c r="BE1482">
        <v>0</v>
      </c>
      <c r="BF1482">
        <v>6</v>
      </c>
      <c r="BG1482">
        <v>0</v>
      </c>
    </row>
    <row r="1483" spans="1:59">
      <c r="A1483" s="1">
        <f>HYPERLINK("https://lsnyc.legalserver.org/matter/dynamic-profile/view/1905337","19-1905337")</f>
        <v>0</v>
      </c>
      <c r="B1483" t="s">
        <v>1330</v>
      </c>
      <c r="C1483" t="s">
        <v>6153</v>
      </c>
      <c r="D1483" t="s">
        <v>9926</v>
      </c>
      <c r="E1483" t="s">
        <v>10075</v>
      </c>
      <c r="F1483">
        <v>10462</v>
      </c>
      <c r="G1483" t="s">
        <v>10090</v>
      </c>
      <c r="H1483" t="s">
        <v>10123</v>
      </c>
      <c r="I1483" t="s">
        <v>10168</v>
      </c>
      <c r="J1483" t="s">
        <v>10210</v>
      </c>
      <c r="K1483" t="s">
        <v>10217</v>
      </c>
      <c r="M1483" t="s">
        <v>10339</v>
      </c>
      <c r="N1483" t="s">
        <v>10651</v>
      </c>
      <c r="P1483" t="s">
        <v>10749</v>
      </c>
      <c r="Q1483" t="s">
        <v>10765</v>
      </c>
      <c r="R1483" t="s">
        <v>10824</v>
      </c>
      <c r="T1483">
        <v>60000</v>
      </c>
      <c r="U1483">
        <v>5000</v>
      </c>
      <c r="V1483">
        <v>45</v>
      </c>
      <c r="W1483">
        <v>2</v>
      </c>
      <c r="X1483">
        <v>1</v>
      </c>
      <c r="Z1483">
        <v>281.29</v>
      </c>
      <c r="AA1483">
        <v>40.83334</v>
      </c>
      <c r="AB1483">
        <v>-73.85415399999999</v>
      </c>
      <c r="AD1483" t="s">
        <v>10839</v>
      </c>
      <c r="AG1483" t="s">
        <v>10858</v>
      </c>
      <c r="AH1483" t="s">
        <v>10862</v>
      </c>
      <c r="AI1483">
        <v>230</v>
      </c>
      <c r="AJ1483" t="s">
        <v>10210</v>
      </c>
      <c r="AL1483">
        <v>8.300000000000001</v>
      </c>
      <c r="AM1483" t="s">
        <v>10885</v>
      </c>
      <c r="AN1483" t="s">
        <v>10908</v>
      </c>
      <c r="AO1483" t="s">
        <v>11002</v>
      </c>
      <c r="AP1483" t="s">
        <v>11046</v>
      </c>
      <c r="AR1483" t="s">
        <v>11257</v>
      </c>
      <c r="AS1483" t="s">
        <v>9926</v>
      </c>
      <c r="AT1483" t="s">
        <v>11641</v>
      </c>
      <c r="AV1483" t="s">
        <v>11656</v>
      </c>
      <c r="AW1483" t="s">
        <v>11645</v>
      </c>
      <c r="AX1483" t="s">
        <v>10838</v>
      </c>
      <c r="BA1483" t="s">
        <v>11738</v>
      </c>
      <c r="BB1483">
        <v>0</v>
      </c>
      <c r="BC1483">
        <v>0</v>
      </c>
      <c r="BD1483">
        <v>0</v>
      </c>
      <c r="BE1483">
        <v>0</v>
      </c>
      <c r="BF1483">
        <v>5</v>
      </c>
      <c r="BG1483">
        <v>0</v>
      </c>
    </row>
    <row r="1484" spans="1:59">
      <c r="A1484" s="1">
        <f>HYPERLINK("https://lsnyc.legalserver.org/matter/dynamic-profile/view/1905338","19-1905338")</f>
        <v>0</v>
      </c>
      <c r="B1484" t="s">
        <v>1331</v>
      </c>
      <c r="C1484" t="s">
        <v>6154</v>
      </c>
      <c r="D1484" t="s">
        <v>9926</v>
      </c>
      <c r="E1484" t="s">
        <v>10075</v>
      </c>
      <c r="F1484">
        <v>10459</v>
      </c>
      <c r="G1484" t="s">
        <v>10090</v>
      </c>
      <c r="H1484" t="s">
        <v>10123</v>
      </c>
      <c r="I1484" t="s">
        <v>10169</v>
      </c>
      <c r="J1484" t="s">
        <v>10210</v>
      </c>
      <c r="K1484" t="s">
        <v>10218</v>
      </c>
      <c r="L1484" t="s">
        <v>10149</v>
      </c>
      <c r="M1484" t="s">
        <v>10333</v>
      </c>
      <c r="N1484" t="s">
        <v>10683</v>
      </c>
      <c r="P1484" t="s">
        <v>10751</v>
      </c>
      <c r="Q1484" t="s">
        <v>10796</v>
      </c>
      <c r="R1484" t="s">
        <v>10821</v>
      </c>
      <c r="T1484">
        <v>8832</v>
      </c>
      <c r="U1484">
        <v>736</v>
      </c>
      <c r="V1484">
        <v>42</v>
      </c>
      <c r="W1484">
        <v>2</v>
      </c>
      <c r="X1484">
        <v>2</v>
      </c>
      <c r="Y1484" t="s">
        <v>10831</v>
      </c>
      <c r="Z1484">
        <v>34.3</v>
      </c>
      <c r="AA1484">
        <v>40.820993</v>
      </c>
      <c r="AB1484">
        <v>-73.89955500000001</v>
      </c>
      <c r="AD1484" t="s">
        <v>10839</v>
      </c>
      <c r="AF1484" t="s">
        <v>10843</v>
      </c>
      <c r="AG1484" t="s">
        <v>10859</v>
      </c>
      <c r="AH1484" t="s">
        <v>10874</v>
      </c>
      <c r="AI1484">
        <v>230</v>
      </c>
      <c r="AJ1484" t="s">
        <v>10210</v>
      </c>
      <c r="AK1484" t="s">
        <v>10882</v>
      </c>
      <c r="AL1484">
        <v>3.8</v>
      </c>
      <c r="AM1484" t="s">
        <v>10884</v>
      </c>
      <c r="AN1484" t="s">
        <v>10918</v>
      </c>
      <c r="AO1484" t="s">
        <v>11001</v>
      </c>
      <c r="AP1484" t="s">
        <v>11062</v>
      </c>
      <c r="AR1484" t="s">
        <v>11263</v>
      </c>
      <c r="AS1484" t="s">
        <v>9926</v>
      </c>
      <c r="AY1484" t="s">
        <v>10831</v>
      </c>
      <c r="AZ1484" t="s">
        <v>11688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</row>
    <row r="1485" spans="1:59">
      <c r="A1485" s="1">
        <f>HYPERLINK("https://lsnyc.legalserver.org/matter/dynamic-profile/view/1905339","19-1905339")</f>
        <v>0</v>
      </c>
      <c r="B1485" t="s">
        <v>1332</v>
      </c>
      <c r="C1485" t="s">
        <v>6155</v>
      </c>
      <c r="D1485" t="s">
        <v>9928</v>
      </c>
      <c r="E1485" t="s">
        <v>10075</v>
      </c>
      <c r="F1485">
        <v>11230</v>
      </c>
      <c r="G1485" t="s">
        <v>10093</v>
      </c>
      <c r="H1485" t="s">
        <v>10123</v>
      </c>
      <c r="I1485" t="s">
        <v>10168</v>
      </c>
      <c r="J1485" t="s">
        <v>10213</v>
      </c>
      <c r="K1485" t="s">
        <v>10217</v>
      </c>
      <c r="M1485" t="s">
        <v>10359</v>
      </c>
      <c r="N1485" t="s">
        <v>10664</v>
      </c>
      <c r="P1485" t="s">
        <v>10749</v>
      </c>
      <c r="Q1485" t="s">
        <v>10765</v>
      </c>
      <c r="R1485" t="s">
        <v>10824</v>
      </c>
      <c r="T1485">
        <v>16709.8</v>
      </c>
      <c r="U1485">
        <v>1392.48</v>
      </c>
      <c r="V1485">
        <v>62</v>
      </c>
      <c r="W1485">
        <v>1</v>
      </c>
      <c r="X1485">
        <v>0</v>
      </c>
      <c r="Z1485">
        <v>133.79</v>
      </c>
      <c r="AA1485">
        <v>40.629745</v>
      </c>
      <c r="AB1485">
        <v>-73.95802999999999</v>
      </c>
      <c r="AD1485" t="s">
        <v>10839</v>
      </c>
      <c r="AG1485" t="s">
        <v>10858</v>
      </c>
      <c r="AH1485" t="s">
        <v>10862</v>
      </c>
      <c r="AI1485">
        <v>239</v>
      </c>
      <c r="AJ1485" t="s">
        <v>10213</v>
      </c>
      <c r="AL1485">
        <v>0.2</v>
      </c>
      <c r="AM1485" t="s">
        <v>10888</v>
      </c>
      <c r="AN1485" t="s">
        <v>10932</v>
      </c>
      <c r="AO1485" t="s">
        <v>11008</v>
      </c>
      <c r="AP1485" t="s">
        <v>11065</v>
      </c>
      <c r="AR1485" t="s">
        <v>11282</v>
      </c>
      <c r="AS1485" t="s">
        <v>11595</v>
      </c>
      <c r="BA1485" t="s">
        <v>11741</v>
      </c>
      <c r="BB1485">
        <v>0</v>
      </c>
      <c r="BC1485">
        <v>0</v>
      </c>
      <c r="BD1485">
        <v>0</v>
      </c>
      <c r="BE1485">
        <v>0</v>
      </c>
      <c r="BF1485">
        <v>1</v>
      </c>
      <c r="BG1485">
        <v>0</v>
      </c>
    </row>
    <row r="1486" spans="1:59">
      <c r="A1486" s="1">
        <f>HYPERLINK("https://lsnyc.legalserver.org/matter/dynamic-profile/view/1905341","19-1905341")</f>
        <v>0</v>
      </c>
      <c r="B1486" t="s">
        <v>1333</v>
      </c>
      <c r="C1486" t="s">
        <v>6156</v>
      </c>
      <c r="D1486" t="s">
        <v>9941</v>
      </c>
      <c r="E1486" t="s">
        <v>10075</v>
      </c>
      <c r="F1486">
        <v>11429</v>
      </c>
      <c r="G1486" t="s">
        <v>10092</v>
      </c>
      <c r="H1486" t="s">
        <v>10123</v>
      </c>
      <c r="J1486" t="s">
        <v>10212</v>
      </c>
      <c r="K1486" t="s">
        <v>10217</v>
      </c>
      <c r="M1486" t="s">
        <v>10491</v>
      </c>
      <c r="N1486" t="s">
        <v>10695</v>
      </c>
      <c r="P1486" t="s">
        <v>10749</v>
      </c>
      <c r="Q1486" t="s">
        <v>10765</v>
      </c>
      <c r="R1486" t="s">
        <v>10827</v>
      </c>
      <c r="T1486">
        <v>13025</v>
      </c>
      <c r="U1486">
        <v>1085.42</v>
      </c>
      <c r="V1486">
        <v>46</v>
      </c>
      <c r="W1486">
        <v>3</v>
      </c>
      <c r="X1486">
        <v>3</v>
      </c>
      <c r="Z1486">
        <v>37.66</v>
      </c>
      <c r="AA1486">
        <v>40.702062</v>
      </c>
      <c r="AB1486">
        <v>-73.740606</v>
      </c>
      <c r="AD1486" t="s">
        <v>10839</v>
      </c>
      <c r="AF1486" t="s">
        <v>10845</v>
      </c>
      <c r="AG1486" t="s">
        <v>10859</v>
      </c>
      <c r="AH1486" t="s">
        <v>10862</v>
      </c>
      <c r="AI1486">
        <v>237</v>
      </c>
      <c r="AJ1486" t="s">
        <v>10212</v>
      </c>
      <c r="AL1486">
        <v>1.83</v>
      </c>
      <c r="AM1486" t="s">
        <v>10892</v>
      </c>
      <c r="AN1486" t="s">
        <v>10940</v>
      </c>
      <c r="AO1486" t="s">
        <v>11020</v>
      </c>
      <c r="AP1486" t="s">
        <v>11075</v>
      </c>
      <c r="AR1486" t="s">
        <v>11420</v>
      </c>
      <c r="AS1486" t="s">
        <v>11594</v>
      </c>
      <c r="AX1486" t="s">
        <v>10838</v>
      </c>
      <c r="BA1486" t="s">
        <v>11742</v>
      </c>
      <c r="BB1486">
        <v>0</v>
      </c>
      <c r="BC1486">
        <v>0</v>
      </c>
      <c r="BD1486">
        <v>0</v>
      </c>
      <c r="BE1486">
        <v>0</v>
      </c>
      <c r="BF1486">
        <v>7</v>
      </c>
      <c r="BG1486">
        <v>0</v>
      </c>
    </row>
    <row r="1487" spans="1:59">
      <c r="A1487" s="1">
        <f>HYPERLINK("https://lsnyc.legalserver.org/matter/dynamic-profile/view/1905342","19-1905342")</f>
        <v>0</v>
      </c>
      <c r="B1487" t="s">
        <v>1334</v>
      </c>
      <c r="C1487" t="s">
        <v>6157</v>
      </c>
      <c r="D1487" t="s">
        <v>9925</v>
      </c>
      <c r="E1487" t="s">
        <v>10075</v>
      </c>
      <c r="F1487">
        <v>10025</v>
      </c>
      <c r="G1487" t="s">
        <v>10089</v>
      </c>
      <c r="H1487" t="s">
        <v>10130</v>
      </c>
      <c r="I1487" t="s">
        <v>10169</v>
      </c>
      <c r="J1487" t="s">
        <v>10209</v>
      </c>
      <c r="K1487" t="s">
        <v>10218</v>
      </c>
      <c r="L1487" t="s">
        <v>10102</v>
      </c>
      <c r="M1487" t="s">
        <v>10270</v>
      </c>
      <c r="N1487" t="s">
        <v>10716</v>
      </c>
      <c r="P1487" t="s">
        <v>10754</v>
      </c>
      <c r="Q1487" t="s">
        <v>10766</v>
      </c>
      <c r="R1487" t="s">
        <v>10821</v>
      </c>
      <c r="T1487">
        <v>9024</v>
      </c>
      <c r="U1487">
        <v>752</v>
      </c>
      <c r="V1487">
        <v>50</v>
      </c>
      <c r="W1487">
        <v>1</v>
      </c>
      <c r="X1487">
        <v>1</v>
      </c>
      <c r="Y1487" t="s">
        <v>10829</v>
      </c>
      <c r="Z1487">
        <v>53.36</v>
      </c>
      <c r="AA1487">
        <v>40.801756</v>
      </c>
      <c r="AB1487">
        <v>-73.96151</v>
      </c>
      <c r="AD1487" t="s">
        <v>10839</v>
      </c>
      <c r="AG1487" t="s">
        <v>10858</v>
      </c>
      <c r="AH1487" t="s">
        <v>10865</v>
      </c>
      <c r="AI1487">
        <v>236</v>
      </c>
      <c r="AJ1487" t="s">
        <v>10209</v>
      </c>
      <c r="AK1487" t="s">
        <v>10837</v>
      </c>
      <c r="AL1487">
        <v>1</v>
      </c>
      <c r="AM1487" t="s">
        <v>10887</v>
      </c>
      <c r="AN1487" t="s">
        <v>10953</v>
      </c>
      <c r="AO1487" t="s">
        <v>11016</v>
      </c>
      <c r="AP1487" t="s">
        <v>11073</v>
      </c>
      <c r="AQ1487" t="s">
        <v>11175</v>
      </c>
      <c r="AR1487" t="s">
        <v>11258</v>
      </c>
      <c r="AS1487" t="s">
        <v>9925</v>
      </c>
      <c r="AT1487" t="s">
        <v>11641</v>
      </c>
      <c r="AY1487" t="s">
        <v>10829</v>
      </c>
      <c r="AZ1487" t="s">
        <v>11683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</row>
    <row r="1488" spans="1:59">
      <c r="A1488" s="1">
        <f>HYPERLINK("https://lsnyc.legalserver.org/matter/dynamic-profile/view/1905343","19-1905343")</f>
        <v>0</v>
      </c>
      <c r="B1488" t="s">
        <v>1335</v>
      </c>
      <c r="C1488" t="s">
        <v>6158</v>
      </c>
      <c r="D1488" t="s">
        <v>9928</v>
      </c>
      <c r="E1488" t="s">
        <v>10075</v>
      </c>
      <c r="F1488">
        <v>11233</v>
      </c>
      <c r="G1488" t="s">
        <v>10093</v>
      </c>
      <c r="H1488" t="s">
        <v>10123</v>
      </c>
      <c r="I1488" t="s">
        <v>10168</v>
      </c>
      <c r="J1488" t="s">
        <v>10213</v>
      </c>
      <c r="K1488" t="s">
        <v>10218</v>
      </c>
      <c r="L1488" t="s">
        <v>10155</v>
      </c>
      <c r="M1488" t="s">
        <v>10348</v>
      </c>
      <c r="N1488" t="s">
        <v>10650</v>
      </c>
      <c r="P1488" t="s">
        <v>10751</v>
      </c>
      <c r="Q1488" t="s">
        <v>10761</v>
      </c>
      <c r="R1488" t="s">
        <v>10824</v>
      </c>
      <c r="T1488">
        <v>6715.8</v>
      </c>
      <c r="U1488">
        <v>559.65</v>
      </c>
      <c r="V1488">
        <v>38</v>
      </c>
      <c r="W1488">
        <v>1</v>
      </c>
      <c r="X1488">
        <v>0</v>
      </c>
      <c r="Y1488" t="s">
        <v>10833</v>
      </c>
      <c r="Z1488">
        <v>53.77</v>
      </c>
      <c r="AA1488">
        <v>40.6725</v>
      </c>
      <c r="AB1488">
        <v>-73.918916</v>
      </c>
      <c r="AD1488" t="s">
        <v>10839</v>
      </c>
      <c r="AG1488" t="s">
        <v>10858</v>
      </c>
      <c r="AH1488" t="s">
        <v>10862</v>
      </c>
      <c r="AI1488">
        <v>239</v>
      </c>
      <c r="AJ1488" t="s">
        <v>10213</v>
      </c>
      <c r="AK1488" t="s">
        <v>10838</v>
      </c>
      <c r="AL1488">
        <v>20</v>
      </c>
      <c r="AM1488" t="s">
        <v>10888</v>
      </c>
      <c r="AN1488" t="s">
        <v>10922</v>
      </c>
      <c r="AO1488" t="s">
        <v>11007</v>
      </c>
      <c r="AP1488" t="s">
        <v>11064</v>
      </c>
      <c r="AR1488" t="s">
        <v>11260</v>
      </c>
      <c r="AS1488" t="s">
        <v>11595</v>
      </c>
      <c r="AT1488" t="s">
        <v>11641</v>
      </c>
      <c r="AX1488" t="s">
        <v>10838</v>
      </c>
      <c r="AY1488" t="s">
        <v>10833</v>
      </c>
      <c r="AZ1488" t="s">
        <v>11688</v>
      </c>
      <c r="BA1488" t="s">
        <v>11739</v>
      </c>
      <c r="BB1488">
        <v>0</v>
      </c>
      <c r="BC1488">
        <v>1010</v>
      </c>
      <c r="BD1488">
        <v>5198</v>
      </c>
      <c r="BE1488">
        <v>0</v>
      </c>
      <c r="BF1488">
        <v>4</v>
      </c>
      <c r="BG1488">
        <v>0</v>
      </c>
    </row>
    <row r="1489" spans="1:59">
      <c r="A1489" s="1">
        <f>HYPERLINK("https://lsnyc.legalserver.org/matter/dynamic-profile/view/1905344","19-1905344")</f>
        <v>0</v>
      </c>
      <c r="B1489" t="s">
        <v>1336</v>
      </c>
      <c r="C1489" t="s">
        <v>6159</v>
      </c>
      <c r="D1489" t="s">
        <v>9947</v>
      </c>
      <c r="E1489" t="s">
        <v>10075</v>
      </c>
      <c r="F1489">
        <v>11374</v>
      </c>
      <c r="G1489" t="s">
        <v>10092</v>
      </c>
      <c r="H1489" t="s">
        <v>10123</v>
      </c>
      <c r="I1489" t="s">
        <v>10168</v>
      </c>
      <c r="J1489" t="s">
        <v>10212</v>
      </c>
      <c r="K1489" t="s">
        <v>10217</v>
      </c>
      <c r="M1489" t="s">
        <v>10485</v>
      </c>
      <c r="N1489" t="s">
        <v>10678</v>
      </c>
      <c r="P1489" t="s">
        <v>10749</v>
      </c>
      <c r="Q1489" t="s">
        <v>10769</v>
      </c>
      <c r="R1489" t="s">
        <v>10825</v>
      </c>
      <c r="T1489">
        <v>19200</v>
      </c>
      <c r="U1489">
        <v>1600</v>
      </c>
      <c r="V1489">
        <v>80</v>
      </c>
      <c r="W1489">
        <v>1</v>
      </c>
      <c r="X1489">
        <v>0</v>
      </c>
      <c r="Z1489">
        <v>153.72</v>
      </c>
      <c r="AA1489">
        <v>40.730009</v>
      </c>
      <c r="AB1489">
        <v>-73.868195</v>
      </c>
      <c r="AC1489" t="s">
        <v>10837</v>
      </c>
      <c r="AD1489" t="s">
        <v>10840</v>
      </c>
      <c r="AG1489" t="s">
        <v>10858</v>
      </c>
      <c r="AH1489" t="s">
        <v>10861</v>
      </c>
      <c r="AI1489">
        <v>234</v>
      </c>
      <c r="AJ1489" t="s">
        <v>10214</v>
      </c>
      <c r="AL1489">
        <v>13.9</v>
      </c>
      <c r="AM1489" t="s">
        <v>10890</v>
      </c>
      <c r="AN1489" t="s">
        <v>10952</v>
      </c>
      <c r="AO1489" t="s">
        <v>11024</v>
      </c>
      <c r="AP1489" t="s">
        <v>11083</v>
      </c>
      <c r="AR1489" t="s">
        <v>11300</v>
      </c>
      <c r="AS1489" t="s">
        <v>11594</v>
      </c>
      <c r="AT1489" t="s">
        <v>11642</v>
      </c>
      <c r="AX1489" t="s">
        <v>11678</v>
      </c>
      <c r="BA1489" t="s">
        <v>11742</v>
      </c>
      <c r="BB1489">
        <v>0</v>
      </c>
      <c r="BC1489">
        <v>0</v>
      </c>
      <c r="BD1489">
        <v>0</v>
      </c>
      <c r="BE1489">
        <v>0</v>
      </c>
      <c r="BF1489">
        <v>7</v>
      </c>
      <c r="BG1489">
        <v>0</v>
      </c>
    </row>
    <row r="1490" spans="1:59">
      <c r="A1490" s="1">
        <f>HYPERLINK("https://lsnyc.legalserver.org/matter/dynamic-profile/view/1905345","19-1905345")</f>
        <v>0</v>
      </c>
      <c r="B1490" t="s">
        <v>1337</v>
      </c>
      <c r="C1490" t="s">
        <v>6160</v>
      </c>
      <c r="D1490" t="s">
        <v>9947</v>
      </c>
      <c r="E1490" t="s">
        <v>10075</v>
      </c>
      <c r="F1490">
        <v>11374</v>
      </c>
      <c r="G1490" t="s">
        <v>10092</v>
      </c>
      <c r="H1490" t="s">
        <v>10123</v>
      </c>
      <c r="I1490" t="s">
        <v>10168</v>
      </c>
      <c r="J1490" t="s">
        <v>10212</v>
      </c>
      <c r="K1490" t="s">
        <v>10217</v>
      </c>
      <c r="M1490" t="s">
        <v>10329</v>
      </c>
      <c r="N1490" t="s">
        <v>10650</v>
      </c>
      <c r="P1490" t="s">
        <v>10749</v>
      </c>
      <c r="Q1490" t="s">
        <v>10765</v>
      </c>
      <c r="R1490" t="s">
        <v>10820</v>
      </c>
      <c r="T1490">
        <v>10400</v>
      </c>
      <c r="U1490">
        <v>866.67</v>
      </c>
      <c r="V1490">
        <v>56</v>
      </c>
      <c r="W1490">
        <v>4</v>
      </c>
      <c r="X1490">
        <v>1</v>
      </c>
      <c r="Z1490">
        <v>34.47</v>
      </c>
      <c r="AA1490">
        <v>40.72642</v>
      </c>
      <c r="AB1490">
        <v>-73.857732</v>
      </c>
      <c r="AD1490" t="s">
        <v>10840</v>
      </c>
      <c r="AG1490" t="s">
        <v>10858</v>
      </c>
      <c r="AH1490" t="s">
        <v>10862</v>
      </c>
      <c r="AI1490">
        <v>237</v>
      </c>
      <c r="AJ1490" t="s">
        <v>10212</v>
      </c>
      <c r="AL1490">
        <v>2.05</v>
      </c>
      <c r="AM1490" t="s">
        <v>10890</v>
      </c>
      <c r="AN1490" t="s">
        <v>10952</v>
      </c>
      <c r="AO1490" t="s">
        <v>11009</v>
      </c>
      <c r="AP1490" t="s">
        <v>11083</v>
      </c>
      <c r="AR1490" t="s">
        <v>11257</v>
      </c>
      <c r="AS1490" t="s">
        <v>11594</v>
      </c>
      <c r="AX1490" t="s">
        <v>10838</v>
      </c>
      <c r="BA1490" t="s">
        <v>11742</v>
      </c>
      <c r="BB1490">
        <v>0</v>
      </c>
      <c r="BC1490">
        <v>0</v>
      </c>
      <c r="BD1490">
        <v>0</v>
      </c>
      <c r="BE1490">
        <v>0</v>
      </c>
      <c r="BF1490">
        <v>7</v>
      </c>
      <c r="BG1490">
        <v>0</v>
      </c>
    </row>
    <row r="1491" spans="1:59">
      <c r="A1491" s="1">
        <f>HYPERLINK("https://lsnyc.legalserver.org/matter/dynamic-profile/view/1905346","19-1905346")</f>
        <v>0</v>
      </c>
      <c r="B1491" t="s">
        <v>1338</v>
      </c>
      <c r="C1491" t="s">
        <v>6161</v>
      </c>
      <c r="D1491" t="s">
        <v>9925</v>
      </c>
      <c r="E1491" t="s">
        <v>10075</v>
      </c>
      <c r="F1491">
        <v>10029</v>
      </c>
      <c r="G1491" t="s">
        <v>10089</v>
      </c>
      <c r="H1491" t="s">
        <v>10130</v>
      </c>
      <c r="I1491" t="s">
        <v>10168</v>
      </c>
      <c r="J1491" t="s">
        <v>10209</v>
      </c>
      <c r="K1491" t="s">
        <v>10217</v>
      </c>
      <c r="M1491" t="s">
        <v>10300</v>
      </c>
      <c r="N1491" t="s">
        <v>10716</v>
      </c>
      <c r="P1491" t="s">
        <v>10754</v>
      </c>
      <c r="Q1491" t="s">
        <v>10775</v>
      </c>
      <c r="R1491" t="s">
        <v>10824</v>
      </c>
      <c r="T1491">
        <v>4082</v>
      </c>
      <c r="U1491">
        <v>340.17</v>
      </c>
      <c r="V1491">
        <v>56</v>
      </c>
      <c r="W1491">
        <v>1</v>
      </c>
      <c r="X1491">
        <v>1</v>
      </c>
      <c r="Z1491">
        <v>24.14</v>
      </c>
      <c r="AA1491">
        <v>40.793957</v>
      </c>
      <c r="AB1491">
        <v>-73.949921</v>
      </c>
      <c r="AD1491" t="s">
        <v>10839</v>
      </c>
      <c r="AG1491" t="s">
        <v>10858</v>
      </c>
      <c r="AH1491" t="s">
        <v>10865</v>
      </c>
      <c r="AI1491">
        <v>236</v>
      </c>
      <c r="AJ1491" t="s">
        <v>10209</v>
      </c>
      <c r="AK1491" t="s">
        <v>10837</v>
      </c>
      <c r="AL1491">
        <v>9.199999999999999</v>
      </c>
      <c r="AM1491" t="s">
        <v>10887</v>
      </c>
      <c r="AN1491" t="s">
        <v>10926</v>
      </c>
      <c r="AO1491" t="s">
        <v>11016</v>
      </c>
      <c r="AP1491" t="s">
        <v>11076</v>
      </c>
      <c r="AQ1491" t="s">
        <v>11114</v>
      </c>
      <c r="AR1491" t="s">
        <v>11306</v>
      </c>
      <c r="AS1491" t="s">
        <v>9925</v>
      </c>
      <c r="AT1491" t="s">
        <v>11641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</row>
    <row r="1492" spans="1:59">
      <c r="A1492" s="1">
        <f>HYPERLINK("https://lsnyc.legalserver.org/matter/dynamic-profile/view/1905347","19-1905347")</f>
        <v>0</v>
      </c>
      <c r="B1492" t="s">
        <v>1336</v>
      </c>
      <c r="C1492" t="s">
        <v>6159</v>
      </c>
      <c r="D1492" t="s">
        <v>9947</v>
      </c>
      <c r="E1492" t="s">
        <v>10075</v>
      </c>
      <c r="F1492">
        <v>11374</v>
      </c>
      <c r="G1492" t="s">
        <v>10092</v>
      </c>
      <c r="H1492" t="s">
        <v>10123</v>
      </c>
      <c r="I1492" t="s">
        <v>10168</v>
      </c>
      <c r="J1492" t="s">
        <v>10212</v>
      </c>
      <c r="K1492" t="s">
        <v>10218</v>
      </c>
      <c r="L1492" t="s">
        <v>10137</v>
      </c>
      <c r="M1492" t="s">
        <v>10318</v>
      </c>
      <c r="N1492" t="s">
        <v>10675</v>
      </c>
      <c r="P1492" t="s">
        <v>10751</v>
      </c>
      <c r="Q1492" t="s">
        <v>10786</v>
      </c>
      <c r="R1492" t="s">
        <v>10825</v>
      </c>
      <c r="T1492">
        <v>19200</v>
      </c>
      <c r="U1492">
        <v>1600</v>
      </c>
      <c r="V1492">
        <v>80</v>
      </c>
      <c r="W1492">
        <v>1</v>
      </c>
      <c r="X1492">
        <v>0</v>
      </c>
      <c r="Y1492" t="s">
        <v>10829</v>
      </c>
      <c r="Z1492">
        <v>153.72</v>
      </c>
      <c r="AA1492">
        <v>40.730009</v>
      </c>
      <c r="AB1492">
        <v>-73.868195</v>
      </c>
      <c r="AD1492" t="s">
        <v>10840</v>
      </c>
      <c r="AG1492" t="s">
        <v>10858</v>
      </c>
      <c r="AH1492" t="s">
        <v>10861</v>
      </c>
      <c r="AI1492">
        <v>234</v>
      </c>
      <c r="AJ1492" t="s">
        <v>10214</v>
      </c>
      <c r="AK1492" t="s">
        <v>10838</v>
      </c>
      <c r="AL1492">
        <v>1.35</v>
      </c>
      <c r="AR1492" t="s">
        <v>11300</v>
      </c>
      <c r="AS1492" t="s">
        <v>11594</v>
      </c>
      <c r="AY1492" t="s">
        <v>10829</v>
      </c>
      <c r="AZ1492" t="s">
        <v>11682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</row>
    <row r="1493" spans="1:59">
      <c r="A1493" s="1">
        <f>HYPERLINK("https://lsnyc.legalserver.org/matter/dynamic-profile/view/1905349","19-1905349")</f>
        <v>0</v>
      </c>
      <c r="B1493" t="s">
        <v>1339</v>
      </c>
      <c r="C1493" t="s">
        <v>6162</v>
      </c>
      <c r="D1493" t="s">
        <v>9928</v>
      </c>
      <c r="E1493" t="s">
        <v>10075</v>
      </c>
      <c r="F1493">
        <v>11207</v>
      </c>
      <c r="G1493" t="s">
        <v>10093</v>
      </c>
      <c r="H1493" t="s">
        <v>10123</v>
      </c>
      <c r="I1493" t="s">
        <v>10169</v>
      </c>
      <c r="J1493" t="s">
        <v>10213</v>
      </c>
      <c r="K1493" t="s">
        <v>10218</v>
      </c>
      <c r="L1493" t="s">
        <v>10110</v>
      </c>
      <c r="M1493" t="s">
        <v>10317</v>
      </c>
      <c r="N1493" t="s">
        <v>10671</v>
      </c>
      <c r="P1493" t="s">
        <v>10757</v>
      </c>
      <c r="Q1493" t="s">
        <v>10789</v>
      </c>
      <c r="R1493" t="s">
        <v>10821</v>
      </c>
      <c r="T1493">
        <v>18348</v>
      </c>
      <c r="U1493">
        <v>1529</v>
      </c>
      <c r="V1493">
        <v>74</v>
      </c>
      <c r="W1493">
        <v>2</v>
      </c>
      <c r="X1493">
        <v>0</v>
      </c>
      <c r="Y1493" t="s">
        <v>10829</v>
      </c>
      <c r="Z1493">
        <v>108.5</v>
      </c>
      <c r="AA1493">
        <v>40.662512</v>
      </c>
      <c r="AB1493">
        <v>-73.887833</v>
      </c>
      <c r="AD1493" t="s">
        <v>10840</v>
      </c>
      <c r="AF1493" t="s">
        <v>10843</v>
      </c>
      <c r="AG1493" t="s">
        <v>10859</v>
      </c>
      <c r="AH1493" t="s">
        <v>10861</v>
      </c>
      <c r="AI1493">
        <v>234</v>
      </c>
      <c r="AJ1493" t="s">
        <v>10214</v>
      </c>
      <c r="AK1493" t="s">
        <v>10838</v>
      </c>
      <c r="AL1493">
        <v>3.55</v>
      </c>
      <c r="AM1493" t="s">
        <v>10889</v>
      </c>
      <c r="AN1493" t="s">
        <v>10946</v>
      </c>
      <c r="AO1493" t="s">
        <v>11012</v>
      </c>
      <c r="AP1493" t="s">
        <v>11060</v>
      </c>
      <c r="AR1493" t="s">
        <v>11316</v>
      </c>
      <c r="AS1493" t="s">
        <v>11595</v>
      </c>
      <c r="AT1493" t="s">
        <v>11642</v>
      </c>
      <c r="AX1493" t="s">
        <v>10838</v>
      </c>
      <c r="AY1493" t="s">
        <v>10829</v>
      </c>
      <c r="AZ1493" t="s">
        <v>11720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</row>
    <row r="1494" spans="1:59">
      <c r="A1494" s="1">
        <f>HYPERLINK("https://lsnyc.legalserver.org/matter/dynamic-profile/view/1905350","19-1905350")</f>
        <v>0</v>
      </c>
      <c r="B1494" t="s">
        <v>1340</v>
      </c>
      <c r="C1494" t="s">
        <v>6163</v>
      </c>
      <c r="D1494" t="s">
        <v>9945</v>
      </c>
      <c r="E1494" t="s">
        <v>10075</v>
      </c>
      <c r="F1494">
        <v>11422</v>
      </c>
      <c r="G1494" t="s">
        <v>10092</v>
      </c>
      <c r="H1494" t="s">
        <v>10123</v>
      </c>
      <c r="I1494" t="s">
        <v>10168</v>
      </c>
      <c r="J1494" t="s">
        <v>10212</v>
      </c>
      <c r="K1494" t="s">
        <v>10217</v>
      </c>
      <c r="M1494" t="s">
        <v>10365</v>
      </c>
      <c r="N1494" t="s">
        <v>10650</v>
      </c>
      <c r="P1494" t="s">
        <v>10749</v>
      </c>
      <c r="Q1494" t="s">
        <v>10765</v>
      </c>
      <c r="R1494" t="s">
        <v>10824</v>
      </c>
      <c r="T1494">
        <v>5000</v>
      </c>
      <c r="U1494">
        <v>416.67</v>
      </c>
      <c r="V1494">
        <v>63</v>
      </c>
      <c r="W1494">
        <v>1</v>
      </c>
      <c r="X1494">
        <v>0</v>
      </c>
      <c r="Z1494">
        <v>40.03</v>
      </c>
      <c r="AA1494">
        <v>40.669777</v>
      </c>
      <c r="AB1494">
        <v>-73.73873399999999</v>
      </c>
      <c r="AD1494" t="s">
        <v>10840</v>
      </c>
      <c r="AG1494" t="s">
        <v>10858</v>
      </c>
      <c r="AH1494" t="s">
        <v>10862</v>
      </c>
      <c r="AI1494">
        <v>237</v>
      </c>
      <c r="AJ1494" t="s">
        <v>10212</v>
      </c>
      <c r="AL1494">
        <v>2.35</v>
      </c>
      <c r="AM1494" t="s">
        <v>10892</v>
      </c>
      <c r="AN1494" t="s">
        <v>10955</v>
      </c>
      <c r="AO1494" t="s">
        <v>11020</v>
      </c>
      <c r="AP1494" t="s">
        <v>11082</v>
      </c>
      <c r="AR1494" t="s">
        <v>11257</v>
      </c>
      <c r="AS1494" t="s">
        <v>11594</v>
      </c>
      <c r="AX1494" t="s">
        <v>10838</v>
      </c>
      <c r="BA1494" t="s">
        <v>11741</v>
      </c>
      <c r="BB1494">
        <v>0</v>
      </c>
      <c r="BC1494">
        <v>0</v>
      </c>
      <c r="BD1494">
        <v>0</v>
      </c>
      <c r="BE1494">
        <v>0</v>
      </c>
      <c r="BF1494">
        <v>1</v>
      </c>
      <c r="BG1494">
        <v>0</v>
      </c>
    </row>
    <row r="1495" spans="1:59">
      <c r="A1495" s="1">
        <f>HYPERLINK("https://lsnyc.legalserver.org/matter/dynamic-profile/view/1905351","19-1905351")</f>
        <v>0</v>
      </c>
      <c r="B1495" t="s">
        <v>1341</v>
      </c>
      <c r="C1495" t="s">
        <v>6164</v>
      </c>
      <c r="D1495" t="s">
        <v>9928</v>
      </c>
      <c r="E1495" t="s">
        <v>10075</v>
      </c>
      <c r="F1495">
        <v>11212</v>
      </c>
      <c r="G1495" t="s">
        <v>10092</v>
      </c>
      <c r="H1495" t="s">
        <v>10123</v>
      </c>
      <c r="I1495" t="s">
        <v>10168</v>
      </c>
      <c r="J1495" t="s">
        <v>10212</v>
      </c>
      <c r="K1495" t="s">
        <v>10217</v>
      </c>
      <c r="M1495" t="s">
        <v>10523</v>
      </c>
      <c r="N1495" t="s">
        <v>10673</v>
      </c>
      <c r="P1495" t="s">
        <v>10753</v>
      </c>
      <c r="Q1495" t="s">
        <v>10763</v>
      </c>
      <c r="R1495" t="s">
        <v>10824</v>
      </c>
      <c r="T1495">
        <v>16640</v>
      </c>
      <c r="U1495">
        <v>1386.67</v>
      </c>
      <c r="V1495">
        <v>28</v>
      </c>
      <c r="W1495">
        <v>1</v>
      </c>
      <c r="X1495">
        <v>0</v>
      </c>
      <c r="Z1495">
        <v>133.23</v>
      </c>
      <c r="AA1495">
        <v>40.664655</v>
      </c>
      <c r="AB1495">
        <v>-73.914546</v>
      </c>
      <c r="AD1495" t="s">
        <v>10839</v>
      </c>
      <c r="AF1495" t="s">
        <v>10842</v>
      </c>
      <c r="AG1495" t="s">
        <v>10859</v>
      </c>
      <c r="AH1495" t="s">
        <v>10864</v>
      </c>
      <c r="AI1495">
        <v>237</v>
      </c>
      <c r="AJ1495" t="s">
        <v>10212</v>
      </c>
      <c r="AL1495">
        <v>3.4</v>
      </c>
      <c r="AM1495" t="s">
        <v>10888</v>
      </c>
      <c r="AN1495" t="s">
        <v>10922</v>
      </c>
      <c r="AO1495" t="s">
        <v>11005</v>
      </c>
      <c r="AP1495" t="s">
        <v>11064</v>
      </c>
      <c r="AQ1495" t="s">
        <v>11109</v>
      </c>
      <c r="AR1495" t="s">
        <v>11257</v>
      </c>
      <c r="AS1495" t="s">
        <v>11595</v>
      </c>
      <c r="AT1495" t="s">
        <v>11641</v>
      </c>
      <c r="AX1495" t="s">
        <v>10838</v>
      </c>
      <c r="BA1495" t="s">
        <v>11739</v>
      </c>
      <c r="BB1495">
        <v>0</v>
      </c>
      <c r="BC1495">
        <v>0</v>
      </c>
      <c r="BD1495">
        <v>0</v>
      </c>
      <c r="BE1495">
        <v>0</v>
      </c>
      <c r="BF1495">
        <v>4</v>
      </c>
      <c r="BG1495">
        <v>0</v>
      </c>
    </row>
    <row r="1496" spans="1:59">
      <c r="A1496" s="1">
        <f>HYPERLINK("https://lsnyc.legalserver.org/matter/dynamic-profile/view/1905353","19-1905353")</f>
        <v>0</v>
      </c>
      <c r="B1496" t="s">
        <v>1342</v>
      </c>
      <c r="C1496" t="s">
        <v>6165</v>
      </c>
      <c r="D1496" t="s">
        <v>9932</v>
      </c>
      <c r="E1496" t="s">
        <v>10075</v>
      </c>
      <c r="F1496">
        <v>11368</v>
      </c>
      <c r="G1496" t="s">
        <v>10092</v>
      </c>
      <c r="H1496" t="s">
        <v>10123</v>
      </c>
      <c r="J1496" t="s">
        <v>10212</v>
      </c>
      <c r="K1496" t="s">
        <v>10218</v>
      </c>
      <c r="L1496" t="s">
        <v>10101</v>
      </c>
      <c r="M1496" t="s">
        <v>10491</v>
      </c>
      <c r="N1496" t="s">
        <v>10695</v>
      </c>
      <c r="P1496" t="s">
        <v>10749</v>
      </c>
      <c r="Q1496" t="s">
        <v>10765</v>
      </c>
      <c r="R1496" t="s">
        <v>10820</v>
      </c>
      <c r="T1496">
        <v>0</v>
      </c>
      <c r="U1496">
        <v>0</v>
      </c>
      <c r="V1496">
        <v>27</v>
      </c>
      <c r="W1496">
        <v>1</v>
      </c>
      <c r="X1496">
        <v>0</v>
      </c>
      <c r="Y1496" t="s">
        <v>10829</v>
      </c>
      <c r="Z1496">
        <v>0</v>
      </c>
      <c r="AA1496">
        <v>40.739304</v>
      </c>
      <c r="AB1496">
        <v>-73.86462</v>
      </c>
      <c r="AD1496" t="s">
        <v>10839</v>
      </c>
      <c r="AG1496" t="s">
        <v>10858</v>
      </c>
      <c r="AH1496" t="s">
        <v>10862</v>
      </c>
      <c r="AI1496">
        <v>237</v>
      </c>
      <c r="AJ1496" t="s">
        <v>10212</v>
      </c>
      <c r="AK1496" t="s">
        <v>10838</v>
      </c>
      <c r="AL1496">
        <v>1.8</v>
      </c>
      <c r="AM1496" t="s">
        <v>10885</v>
      </c>
      <c r="AN1496" t="s">
        <v>10916</v>
      </c>
      <c r="AO1496" t="s">
        <v>11014</v>
      </c>
      <c r="AP1496" t="s">
        <v>11068</v>
      </c>
      <c r="AR1496" t="s">
        <v>11267</v>
      </c>
      <c r="AS1496" t="s">
        <v>11594</v>
      </c>
      <c r="AX1496" t="s">
        <v>10838</v>
      </c>
      <c r="AY1496" t="s">
        <v>10829</v>
      </c>
      <c r="AZ1496" t="s">
        <v>11681</v>
      </c>
      <c r="BA1496" t="s">
        <v>11741</v>
      </c>
      <c r="BB1496">
        <v>0</v>
      </c>
      <c r="BC1496">
        <v>0</v>
      </c>
      <c r="BD1496">
        <v>0</v>
      </c>
      <c r="BE1496">
        <v>0</v>
      </c>
      <c r="BF1496">
        <v>1</v>
      </c>
      <c r="BG1496">
        <v>0</v>
      </c>
    </row>
    <row r="1497" spans="1:59">
      <c r="A1497" s="1">
        <f>HYPERLINK("https://lsnyc.legalserver.org/matter/dynamic-profile/view/1905354","19-1905354")</f>
        <v>0</v>
      </c>
      <c r="B1497" t="s">
        <v>1343</v>
      </c>
      <c r="C1497" t="s">
        <v>6166</v>
      </c>
      <c r="D1497" t="s">
        <v>9926</v>
      </c>
      <c r="E1497" t="s">
        <v>10075</v>
      </c>
      <c r="F1497">
        <v>10459</v>
      </c>
      <c r="G1497" t="s">
        <v>10090</v>
      </c>
      <c r="H1497" t="s">
        <v>10123</v>
      </c>
      <c r="I1497" t="s">
        <v>10169</v>
      </c>
      <c r="J1497" t="s">
        <v>10210</v>
      </c>
      <c r="K1497" t="s">
        <v>10217</v>
      </c>
      <c r="M1497" t="s">
        <v>10250</v>
      </c>
      <c r="N1497" t="s">
        <v>10650</v>
      </c>
      <c r="P1497" t="s">
        <v>10749</v>
      </c>
      <c r="Q1497" t="s">
        <v>10765</v>
      </c>
      <c r="R1497" t="s">
        <v>10824</v>
      </c>
      <c r="T1497">
        <v>19776</v>
      </c>
      <c r="U1497">
        <v>1648</v>
      </c>
      <c r="V1497">
        <v>49</v>
      </c>
      <c r="W1497">
        <v>3</v>
      </c>
      <c r="X1497">
        <v>0</v>
      </c>
      <c r="Z1497">
        <v>92.70999999999999</v>
      </c>
      <c r="AA1497">
        <v>40.829938</v>
      </c>
      <c r="AB1497">
        <v>-73.892487</v>
      </c>
      <c r="AD1497" t="s">
        <v>10839</v>
      </c>
      <c r="AG1497" t="s">
        <v>10858</v>
      </c>
      <c r="AH1497" t="s">
        <v>10861</v>
      </c>
      <c r="AI1497">
        <v>234</v>
      </c>
      <c r="AJ1497" t="s">
        <v>10214</v>
      </c>
      <c r="AL1497">
        <v>16.7</v>
      </c>
      <c r="AM1497" t="s">
        <v>10884</v>
      </c>
      <c r="AN1497" t="s">
        <v>10968</v>
      </c>
      <c r="AO1497" t="s">
        <v>11001</v>
      </c>
      <c r="AP1497" t="s">
        <v>11062</v>
      </c>
      <c r="AR1497" t="s">
        <v>11338</v>
      </c>
      <c r="AS1497" t="s">
        <v>9926</v>
      </c>
      <c r="AT1497" t="s">
        <v>11641</v>
      </c>
      <c r="AX1497" t="s">
        <v>10838</v>
      </c>
      <c r="BA1497" t="s">
        <v>11738</v>
      </c>
      <c r="BB1497">
        <v>0</v>
      </c>
      <c r="BC1497">
        <v>0</v>
      </c>
      <c r="BD1497">
        <v>0</v>
      </c>
      <c r="BE1497">
        <v>0</v>
      </c>
      <c r="BF1497">
        <v>5</v>
      </c>
      <c r="BG1497">
        <v>0</v>
      </c>
    </row>
    <row r="1498" spans="1:59">
      <c r="A1498" s="1">
        <f>HYPERLINK("https://lsnyc.legalserver.org/matter/dynamic-profile/view/1905355","19-1905355")</f>
        <v>0</v>
      </c>
      <c r="B1498" t="s">
        <v>1344</v>
      </c>
      <c r="C1498" t="s">
        <v>6167</v>
      </c>
      <c r="D1498" t="s">
        <v>9929</v>
      </c>
      <c r="E1498" t="s">
        <v>10075</v>
      </c>
      <c r="F1498">
        <v>10304</v>
      </c>
      <c r="G1498" t="s">
        <v>10088</v>
      </c>
      <c r="H1498" t="s">
        <v>10138</v>
      </c>
      <c r="I1498" t="s">
        <v>10168</v>
      </c>
      <c r="J1498" t="s">
        <v>10208</v>
      </c>
      <c r="K1498" t="s">
        <v>10217</v>
      </c>
      <c r="M1498" t="s">
        <v>10257</v>
      </c>
      <c r="N1498" t="s">
        <v>10650</v>
      </c>
      <c r="P1498" t="s">
        <v>10749</v>
      </c>
      <c r="Q1498" t="s">
        <v>10765</v>
      </c>
      <c r="R1498" t="s">
        <v>10824</v>
      </c>
      <c r="T1498">
        <v>52000</v>
      </c>
      <c r="U1498">
        <v>4333.33</v>
      </c>
      <c r="V1498">
        <v>41</v>
      </c>
      <c r="W1498">
        <v>2</v>
      </c>
      <c r="X1498">
        <v>2</v>
      </c>
      <c r="Z1498">
        <v>201.94</v>
      </c>
      <c r="AA1498">
        <v>40.613808</v>
      </c>
      <c r="AB1498">
        <v>-74.082196</v>
      </c>
      <c r="AD1498" t="s">
        <v>10839</v>
      </c>
      <c r="AG1498" t="s">
        <v>10858</v>
      </c>
      <c r="AH1498" t="s">
        <v>10862</v>
      </c>
      <c r="AI1498">
        <v>285</v>
      </c>
      <c r="AJ1498" t="s">
        <v>10208</v>
      </c>
      <c r="AL1498">
        <v>10.75</v>
      </c>
      <c r="AM1498" t="s">
        <v>10883</v>
      </c>
      <c r="AN1498" t="s">
        <v>10913</v>
      </c>
      <c r="AO1498" t="s">
        <v>11006</v>
      </c>
      <c r="AP1498" t="s">
        <v>11051</v>
      </c>
      <c r="AR1498" t="s">
        <v>11257</v>
      </c>
      <c r="AS1498" t="s">
        <v>11593</v>
      </c>
      <c r="BA1498" t="s">
        <v>11738</v>
      </c>
      <c r="BB1498">
        <v>0</v>
      </c>
      <c r="BC1498">
        <v>0</v>
      </c>
      <c r="BD1498">
        <v>0</v>
      </c>
      <c r="BE1498">
        <v>0</v>
      </c>
      <c r="BF1498">
        <v>5</v>
      </c>
      <c r="BG1498">
        <v>0</v>
      </c>
    </row>
    <row r="1499" spans="1:59">
      <c r="A1499" s="1">
        <f>HYPERLINK("https://lsnyc.legalserver.org/matter/dynamic-profile/view/1905357","19-1905357")</f>
        <v>0</v>
      </c>
      <c r="B1499" t="s">
        <v>1345</v>
      </c>
      <c r="C1499" t="s">
        <v>6168</v>
      </c>
      <c r="D1499" t="s">
        <v>9954</v>
      </c>
      <c r="E1499" t="s">
        <v>10075</v>
      </c>
      <c r="F1499">
        <v>11372</v>
      </c>
      <c r="G1499" t="s">
        <v>10092</v>
      </c>
      <c r="H1499" t="s">
        <v>10123</v>
      </c>
      <c r="I1499" t="s">
        <v>10168</v>
      </c>
      <c r="J1499" t="s">
        <v>10212</v>
      </c>
      <c r="K1499" t="s">
        <v>10217</v>
      </c>
      <c r="M1499" t="s">
        <v>10329</v>
      </c>
      <c r="N1499" t="s">
        <v>10650</v>
      </c>
      <c r="P1499" t="s">
        <v>10749</v>
      </c>
      <c r="Q1499" t="s">
        <v>10765</v>
      </c>
      <c r="R1499" t="s">
        <v>10820</v>
      </c>
      <c r="T1499">
        <v>17600</v>
      </c>
      <c r="U1499">
        <v>1466.67</v>
      </c>
      <c r="V1499">
        <v>63</v>
      </c>
      <c r="W1499">
        <v>1</v>
      </c>
      <c r="X1499">
        <v>0</v>
      </c>
      <c r="Z1499">
        <v>140.91</v>
      </c>
      <c r="AA1499">
        <v>40.752432</v>
      </c>
      <c r="AB1499">
        <v>-73.894857</v>
      </c>
      <c r="AD1499" t="s">
        <v>10840</v>
      </c>
      <c r="AG1499" t="s">
        <v>10858</v>
      </c>
      <c r="AH1499" t="s">
        <v>10862</v>
      </c>
      <c r="AI1499">
        <v>237</v>
      </c>
      <c r="AJ1499" t="s">
        <v>10212</v>
      </c>
      <c r="AL1499">
        <v>21.6</v>
      </c>
      <c r="AM1499" t="s">
        <v>10885</v>
      </c>
      <c r="AN1499" t="s">
        <v>10909</v>
      </c>
      <c r="AO1499" t="s">
        <v>11009</v>
      </c>
      <c r="AP1499" t="s">
        <v>11053</v>
      </c>
      <c r="AR1499" t="s">
        <v>11262</v>
      </c>
      <c r="AS1499" t="s">
        <v>11594</v>
      </c>
      <c r="BA1499" t="s">
        <v>11738</v>
      </c>
      <c r="BB1499">
        <v>0</v>
      </c>
      <c r="BC1499">
        <v>0</v>
      </c>
      <c r="BD1499">
        <v>0</v>
      </c>
      <c r="BE1499">
        <v>0</v>
      </c>
      <c r="BF1499">
        <v>5</v>
      </c>
      <c r="BG1499">
        <v>0</v>
      </c>
    </row>
    <row r="1500" spans="1:59">
      <c r="A1500" s="1">
        <f>HYPERLINK("https://lsnyc.legalserver.org/matter/dynamic-profile/view/1905358","19-1905358")</f>
        <v>0</v>
      </c>
      <c r="B1500" t="s">
        <v>1346</v>
      </c>
      <c r="C1500" t="s">
        <v>6169</v>
      </c>
      <c r="D1500" t="s">
        <v>9926</v>
      </c>
      <c r="E1500" t="s">
        <v>10075</v>
      </c>
      <c r="F1500">
        <v>10475</v>
      </c>
      <c r="G1500" t="s">
        <v>10090</v>
      </c>
      <c r="H1500" t="s">
        <v>10123</v>
      </c>
      <c r="I1500" t="s">
        <v>10168</v>
      </c>
      <c r="J1500" t="s">
        <v>10210</v>
      </c>
      <c r="K1500" t="s">
        <v>10217</v>
      </c>
      <c r="M1500" t="s">
        <v>10336</v>
      </c>
      <c r="N1500" t="s">
        <v>10671</v>
      </c>
      <c r="P1500" t="s">
        <v>10754</v>
      </c>
      <c r="Q1500" t="s">
        <v>10770</v>
      </c>
      <c r="R1500" t="s">
        <v>10825</v>
      </c>
      <c r="T1500">
        <v>41600</v>
      </c>
      <c r="U1500">
        <v>3466.67</v>
      </c>
      <c r="V1500">
        <v>54</v>
      </c>
      <c r="W1500">
        <v>3</v>
      </c>
      <c r="X1500">
        <v>0</v>
      </c>
      <c r="Z1500">
        <v>195.03</v>
      </c>
      <c r="AA1500">
        <v>40.876063</v>
      </c>
      <c r="AB1500">
        <v>-73.827117</v>
      </c>
      <c r="AD1500" t="s">
        <v>10839</v>
      </c>
      <c r="AG1500" t="s">
        <v>10858</v>
      </c>
      <c r="AH1500" t="s">
        <v>10861</v>
      </c>
      <c r="AI1500">
        <v>234</v>
      </c>
      <c r="AJ1500" t="s">
        <v>10214</v>
      </c>
      <c r="AL1500">
        <v>1.45</v>
      </c>
      <c r="AM1500" t="s">
        <v>10893</v>
      </c>
      <c r="AN1500" t="s">
        <v>10911</v>
      </c>
      <c r="AO1500" t="s">
        <v>11010</v>
      </c>
      <c r="AP1500" t="s">
        <v>11085</v>
      </c>
      <c r="AR1500" t="s">
        <v>11343</v>
      </c>
      <c r="AS1500" t="s">
        <v>9926</v>
      </c>
      <c r="AT1500" t="s">
        <v>11641</v>
      </c>
      <c r="AX1500" t="s">
        <v>10838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</row>
    <row r="1501" spans="1:59">
      <c r="A1501" s="1">
        <f>HYPERLINK("https://lsnyc.legalserver.org/matter/dynamic-profile/view/1905359","19-1905359")</f>
        <v>0</v>
      </c>
      <c r="B1501" t="s">
        <v>1347</v>
      </c>
      <c r="C1501" t="s">
        <v>6129</v>
      </c>
      <c r="D1501" t="s">
        <v>9926</v>
      </c>
      <c r="E1501" t="s">
        <v>10075</v>
      </c>
      <c r="F1501">
        <v>10467</v>
      </c>
      <c r="G1501" t="s">
        <v>10091</v>
      </c>
      <c r="H1501" t="s">
        <v>10123</v>
      </c>
      <c r="I1501" t="s">
        <v>10168</v>
      </c>
      <c r="J1501" t="s">
        <v>10211</v>
      </c>
      <c r="K1501" t="s">
        <v>10217</v>
      </c>
      <c r="M1501" t="s">
        <v>10231</v>
      </c>
      <c r="N1501" t="s">
        <v>10647</v>
      </c>
      <c r="P1501" t="s">
        <v>10752</v>
      </c>
      <c r="Q1501" t="s">
        <v>10762</v>
      </c>
      <c r="R1501" t="s">
        <v>10824</v>
      </c>
      <c r="T1501">
        <v>22160</v>
      </c>
      <c r="U1501">
        <v>1846.67</v>
      </c>
      <c r="V1501">
        <v>53</v>
      </c>
      <c r="W1501">
        <v>2</v>
      </c>
      <c r="X1501">
        <v>0</v>
      </c>
      <c r="Z1501">
        <v>131.05</v>
      </c>
      <c r="AA1501">
        <v>40.882108</v>
      </c>
      <c r="AB1501">
        <v>-73.882932</v>
      </c>
      <c r="AD1501" t="s">
        <v>10839</v>
      </c>
      <c r="AG1501" t="s">
        <v>10858</v>
      </c>
      <c r="AH1501" t="s">
        <v>10861</v>
      </c>
      <c r="AI1501">
        <v>234</v>
      </c>
      <c r="AJ1501" t="s">
        <v>10214</v>
      </c>
      <c r="AL1501">
        <v>1.3</v>
      </c>
      <c r="AM1501" t="s">
        <v>10887</v>
      </c>
      <c r="AN1501" t="s">
        <v>10938</v>
      </c>
      <c r="AO1501" t="s">
        <v>11010</v>
      </c>
      <c r="AP1501" t="s">
        <v>11057</v>
      </c>
      <c r="AR1501" t="s">
        <v>11372</v>
      </c>
      <c r="AS1501" t="s">
        <v>9926</v>
      </c>
      <c r="AT1501" t="s">
        <v>11641</v>
      </c>
      <c r="AX1501" t="s">
        <v>10838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</row>
    <row r="1502" spans="1:59">
      <c r="A1502" s="1">
        <f>HYPERLINK("https://lsnyc.legalserver.org/matter/dynamic-profile/view/1905360","19-1905360")</f>
        <v>0</v>
      </c>
      <c r="B1502" t="s">
        <v>1348</v>
      </c>
      <c r="C1502" t="s">
        <v>6170</v>
      </c>
      <c r="D1502" t="s">
        <v>9928</v>
      </c>
      <c r="E1502" t="s">
        <v>10075</v>
      </c>
      <c r="F1502">
        <v>11203</v>
      </c>
      <c r="G1502" t="s">
        <v>10093</v>
      </c>
      <c r="H1502" t="s">
        <v>10123</v>
      </c>
      <c r="I1502" t="s">
        <v>10168</v>
      </c>
      <c r="J1502" t="s">
        <v>10213</v>
      </c>
      <c r="K1502" t="s">
        <v>10218</v>
      </c>
      <c r="L1502" t="s">
        <v>10123</v>
      </c>
      <c r="M1502" t="s">
        <v>10539</v>
      </c>
      <c r="N1502" t="s">
        <v>10664</v>
      </c>
      <c r="P1502" t="s">
        <v>10749</v>
      </c>
      <c r="Q1502" t="s">
        <v>10765</v>
      </c>
      <c r="R1502" t="s">
        <v>10824</v>
      </c>
      <c r="T1502">
        <v>36000</v>
      </c>
      <c r="U1502">
        <v>3000</v>
      </c>
      <c r="V1502">
        <v>55</v>
      </c>
      <c r="W1502">
        <v>3</v>
      </c>
      <c r="X1502">
        <v>0</v>
      </c>
      <c r="Y1502" t="s">
        <v>10829</v>
      </c>
      <c r="Z1502">
        <v>168.78</v>
      </c>
      <c r="AA1502">
        <v>40.653276</v>
      </c>
      <c r="AB1502">
        <v>-73.93519000000001</v>
      </c>
      <c r="AD1502" t="s">
        <v>10839</v>
      </c>
      <c r="AG1502" t="s">
        <v>10858</v>
      </c>
      <c r="AH1502" t="s">
        <v>10862</v>
      </c>
      <c r="AI1502">
        <v>239</v>
      </c>
      <c r="AJ1502" t="s">
        <v>10213</v>
      </c>
      <c r="AK1502" t="s">
        <v>10882</v>
      </c>
      <c r="AL1502">
        <v>1.4</v>
      </c>
      <c r="AM1502" t="s">
        <v>10888</v>
      </c>
      <c r="AN1502" t="s">
        <v>10925</v>
      </c>
      <c r="AO1502" t="s">
        <v>11005</v>
      </c>
      <c r="AP1502" t="s">
        <v>11064</v>
      </c>
      <c r="AR1502" t="s">
        <v>11257</v>
      </c>
      <c r="AS1502" t="s">
        <v>11595</v>
      </c>
      <c r="AY1502" t="s">
        <v>10829</v>
      </c>
      <c r="AZ1502" t="s">
        <v>11681</v>
      </c>
      <c r="BA1502" t="s">
        <v>11741</v>
      </c>
      <c r="BB1502">
        <v>0</v>
      </c>
      <c r="BC1502">
        <v>0</v>
      </c>
      <c r="BD1502">
        <v>0</v>
      </c>
      <c r="BE1502">
        <v>0</v>
      </c>
      <c r="BF1502">
        <v>1</v>
      </c>
      <c r="BG1502">
        <v>0</v>
      </c>
    </row>
    <row r="1503" spans="1:59">
      <c r="A1503" s="1">
        <f>HYPERLINK("https://lsnyc.legalserver.org/matter/dynamic-profile/view/1905361","19-1905361")</f>
        <v>0</v>
      </c>
      <c r="B1503" t="s">
        <v>1349</v>
      </c>
      <c r="C1503" t="s">
        <v>6171</v>
      </c>
      <c r="D1503" t="s">
        <v>9925</v>
      </c>
      <c r="E1503" t="s">
        <v>10075</v>
      </c>
      <c r="F1503">
        <v>10032</v>
      </c>
      <c r="G1503" t="s">
        <v>10089</v>
      </c>
      <c r="H1503" t="s">
        <v>10123</v>
      </c>
      <c r="I1503" t="s">
        <v>10168</v>
      </c>
      <c r="J1503" t="s">
        <v>10209</v>
      </c>
      <c r="K1503" t="s">
        <v>10218</v>
      </c>
      <c r="L1503" t="s">
        <v>10102</v>
      </c>
      <c r="M1503" t="s">
        <v>10270</v>
      </c>
      <c r="N1503" t="s">
        <v>10670</v>
      </c>
      <c r="P1503" t="s">
        <v>10754</v>
      </c>
      <c r="Q1503" t="s">
        <v>10775</v>
      </c>
      <c r="R1503" t="s">
        <v>10825</v>
      </c>
      <c r="T1503">
        <v>21000</v>
      </c>
      <c r="U1503">
        <v>1750</v>
      </c>
      <c r="V1503">
        <v>32</v>
      </c>
      <c r="W1503">
        <v>1</v>
      </c>
      <c r="X1503">
        <v>0</v>
      </c>
      <c r="Y1503" t="s">
        <v>10829</v>
      </c>
      <c r="Z1503">
        <v>168.13</v>
      </c>
      <c r="AA1503">
        <v>40.836088</v>
      </c>
      <c r="AB1503">
        <v>-73.946958</v>
      </c>
      <c r="AD1503" t="s">
        <v>10839</v>
      </c>
      <c r="AF1503" t="s">
        <v>10842</v>
      </c>
      <c r="AG1503" t="s">
        <v>10859</v>
      </c>
      <c r="AH1503" t="s">
        <v>10865</v>
      </c>
      <c r="AI1503">
        <v>236</v>
      </c>
      <c r="AJ1503" t="s">
        <v>10209</v>
      </c>
      <c r="AK1503" t="s">
        <v>10837</v>
      </c>
      <c r="AL1503">
        <v>1</v>
      </c>
      <c r="AM1503" t="s">
        <v>10887</v>
      </c>
      <c r="AN1503" t="s">
        <v>10943</v>
      </c>
      <c r="AO1503" t="s">
        <v>11019</v>
      </c>
      <c r="AP1503" t="s">
        <v>11073</v>
      </c>
      <c r="AQ1503" t="s">
        <v>11114</v>
      </c>
      <c r="AR1503" t="s">
        <v>11257</v>
      </c>
      <c r="AS1503" t="s">
        <v>9925</v>
      </c>
      <c r="AY1503" t="s">
        <v>10829</v>
      </c>
      <c r="AZ1503" t="s">
        <v>11683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</row>
    <row r="1504" spans="1:59">
      <c r="A1504" s="1">
        <f>HYPERLINK("https://lsnyc.legalserver.org/matter/dynamic-profile/view/1905363","19-1905363")</f>
        <v>0</v>
      </c>
      <c r="B1504" t="s">
        <v>1350</v>
      </c>
      <c r="C1504" t="s">
        <v>6172</v>
      </c>
      <c r="D1504" t="s">
        <v>9951</v>
      </c>
      <c r="E1504" t="s">
        <v>10075</v>
      </c>
      <c r="F1504">
        <v>11416</v>
      </c>
      <c r="G1504" t="s">
        <v>10092</v>
      </c>
      <c r="H1504" t="s">
        <v>10123</v>
      </c>
      <c r="I1504" t="s">
        <v>10168</v>
      </c>
      <c r="J1504" t="s">
        <v>10212</v>
      </c>
      <c r="K1504" t="s">
        <v>10217</v>
      </c>
      <c r="M1504" t="s">
        <v>10311</v>
      </c>
      <c r="N1504" t="s">
        <v>10684</v>
      </c>
      <c r="P1504" t="s">
        <v>10751</v>
      </c>
      <c r="Q1504" t="s">
        <v>10786</v>
      </c>
      <c r="R1504" t="s">
        <v>10827</v>
      </c>
      <c r="T1504">
        <v>20200</v>
      </c>
      <c r="U1504">
        <v>1683.33</v>
      </c>
      <c r="V1504">
        <v>100</v>
      </c>
      <c r="W1504">
        <v>1</v>
      </c>
      <c r="X1504">
        <v>3</v>
      </c>
      <c r="Z1504">
        <v>78.45</v>
      </c>
      <c r="AA1504">
        <v>40.680938</v>
      </c>
      <c r="AB1504">
        <v>-73.863601</v>
      </c>
      <c r="AD1504" t="s">
        <v>10839</v>
      </c>
      <c r="AG1504" t="s">
        <v>10858</v>
      </c>
      <c r="AH1504" t="s">
        <v>10873</v>
      </c>
      <c r="AI1504">
        <v>237</v>
      </c>
      <c r="AJ1504" t="s">
        <v>10212</v>
      </c>
      <c r="AL1504">
        <v>3.25</v>
      </c>
      <c r="AM1504" t="s">
        <v>10886</v>
      </c>
      <c r="AN1504" t="s">
        <v>10945</v>
      </c>
      <c r="AO1504" t="s">
        <v>11003</v>
      </c>
      <c r="AP1504" t="s">
        <v>11088</v>
      </c>
      <c r="AR1504" t="s">
        <v>11287</v>
      </c>
      <c r="AS1504" t="s">
        <v>11594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</row>
    <row r="1505" spans="1:59">
      <c r="A1505" s="1">
        <f>HYPERLINK("https://lsnyc.legalserver.org/matter/dynamic-profile/view/1905364","19-1905364")</f>
        <v>0</v>
      </c>
      <c r="B1505" t="s">
        <v>1351</v>
      </c>
      <c r="C1505" t="s">
        <v>6173</v>
      </c>
      <c r="D1505" t="s">
        <v>9928</v>
      </c>
      <c r="E1505" t="s">
        <v>10075</v>
      </c>
      <c r="F1505">
        <v>11238</v>
      </c>
      <c r="G1505" t="s">
        <v>10092</v>
      </c>
      <c r="H1505" t="s">
        <v>10123</v>
      </c>
      <c r="I1505" t="s">
        <v>10168</v>
      </c>
      <c r="J1505" t="s">
        <v>10212</v>
      </c>
      <c r="K1505" t="s">
        <v>10217</v>
      </c>
      <c r="M1505" t="s">
        <v>10282</v>
      </c>
      <c r="N1505" t="s">
        <v>10714</v>
      </c>
      <c r="P1505" t="s">
        <v>10753</v>
      </c>
      <c r="Q1505" t="s">
        <v>10763</v>
      </c>
      <c r="R1505" t="s">
        <v>10827</v>
      </c>
      <c r="T1505">
        <v>21840</v>
      </c>
      <c r="U1505">
        <v>1820</v>
      </c>
      <c r="V1505">
        <v>21</v>
      </c>
      <c r="W1505">
        <v>3</v>
      </c>
      <c r="X1505">
        <v>3</v>
      </c>
      <c r="Z1505">
        <v>63.14</v>
      </c>
      <c r="AA1505">
        <v>40.68099</v>
      </c>
      <c r="AB1505">
        <v>-73.956211</v>
      </c>
      <c r="AD1505" t="s">
        <v>10839</v>
      </c>
      <c r="AF1505" t="s">
        <v>10851</v>
      </c>
      <c r="AG1505" t="s">
        <v>10859</v>
      </c>
      <c r="AH1505" t="s">
        <v>10864</v>
      </c>
      <c r="AI1505">
        <v>237</v>
      </c>
      <c r="AJ1505" t="s">
        <v>10212</v>
      </c>
      <c r="AL1505">
        <v>2.5</v>
      </c>
      <c r="AM1505" t="s">
        <v>10889</v>
      </c>
      <c r="AN1505" t="s">
        <v>10923</v>
      </c>
      <c r="AO1505" t="s">
        <v>11007</v>
      </c>
      <c r="AP1505" t="s">
        <v>11052</v>
      </c>
      <c r="AQ1505" t="s">
        <v>11142</v>
      </c>
      <c r="AR1505" t="s">
        <v>11257</v>
      </c>
      <c r="AS1505" t="s">
        <v>11595</v>
      </c>
      <c r="AX1505" t="s">
        <v>10838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</row>
    <row r="1506" spans="1:59">
      <c r="A1506" s="1">
        <f>HYPERLINK("https://lsnyc.legalserver.org/matter/dynamic-profile/view/1905365","19-1905365")</f>
        <v>0</v>
      </c>
      <c r="B1506" t="s">
        <v>1352</v>
      </c>
      <c r="C1506" t="s">
        <v>6174</v>
      </c>
      <c r="D1506" t="s">
        <v>9925</v>
      </c>
      <c r="E1506" t="s">
        <v>10075</v>
      </c>
      <c r="F1506">
        <v>10069</v>
      </c>
      <c r="G1506" t="s">
        <v>10090</v>
      </c>
      <c r="H1506" t="s">
        <v>10123</v>
      </c>
      <c r="I1506" t="s">
        <v>10168</v>
      </c>
      <c r="J1506" t="s">
        <v>10210</v>
      </c>
      <c r="K1506" t="s">
        <v>10217</v>
      </c>
      <c r="M1506" t="s">
        <v>10540</v>
      </c>
      <c r="N1506" t="s">
        <v>10727</v>
      </c>
      <c r="P1506" t="s">
        <v>10753</v>
      </c>
      <c r="Q1506" t="s">
        <v>10809</v>
      </c>
      <c r="R1506" t="s">
        <v>10825</v>
      </c>
      <c r="T1506">
        <v>5316</v>
      </c>
      <c r="U1506">
        <v>443</v>
      </c>
      <c r="V1506">
        <v>14</v>
      </c>
      <c r="W1506">
        <v>1</v>
      </c>
      <c r="X1506">
        <v>2</v>
      </c>
      <c r="Z1506">
        <v>24.92</v>
      </c>
      <c r="AA1506">
        <v>40.780522</v>
      </c>
      <c r="AB1506">
        <v>-73.986681</v>
      </c>
      <c r="AD1506" t="s">
        <v>10839</v>
      </c>
      <c r="AF1506" t="s">
        <v>10842</v>
      </c>
      <c r="AG1506" t="s">
        <v>10859</v>
      </c>
      <c r="AH1506" t="s">
        <v>10877</v>
      </c>
      <c r="AI1506">
        <v>230</v>
      </c>
      <c r="AJ1506" t="s">
        <v>10210</v>
      </c>
      <c r="AL1506">
        <v>6.5</v>
      </c>
      <c r="AQ1506" t="s">
        <v>11180</v>
      </c>
      <c r="AR1506" t="s">
        <v>11389</v>
      </c>
      <c r="AS1506" t="s">
        <v>9925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</row>
    <row r="1507" spans="1:59">
      <c r="A1507" s="1">
        <f>HYPERLINK("https://lsnyc.legalserver.org/matter/dynamic-profile/view/1905366","19-1905366")</f>
        <v>0</v>
      </c>
      <c r="B1507" t="s">
        <v>1353</v>
      </c>
      <c r="C1507" t="s">
        <v>6175</v>
      </c>
      <c r="D1507" t="s">
        <v>9926</v>
      </c>
      <c r="E1507" t="s">
        <v>10075</v>
      </c>
      <c r="F1507">
        <v>10469</v>
      </c>
      <c r="G1507" t="s">
        <v>10090</v>
      </c>
      <c r="H1507" t="s">
        <v>10123</v>
      </c>
      <c r="I1507" t="s">
        <v>10168</v>
      </c>
      <c r="J1507" t="s">
        <v>10210</v>
      </c>
      <c r="K1507" t="s">
        <v>10217</v>
      </c>
      <c r="M1507" t="s">
        <v>10380</v>
      </c>
      <c r="N1507" t="s">
        <v>10671</v>
      </c>
      <c r="P1507" t="s">
        <v>10753</v>
      </c>
      <c r="Q1507" t="s">
        <v>10763</v>
      </c>
      <c r="R1507" t="s">
        <v>10824</v>
      </c>
      <c r="T1507">
        <v>18720</v>
      </c>
      <c r="U1507">
        <v>1560</v>
      </c>
      <c r="V1507">
        <v>54</v>
      </c>
      <c r="W1507">
        <v>2</v>
      </c>
      <c r="X1507">
        <v>1</v>
      </c>
      <c r="Z1507">
        <v>87.76000000000001</v>
      </c>
      <c r="AA1507">
        <v>40.883256</v>
      </c>
      <c r="AB1507">
        <v>-73.855875</v>
      </c>
      <c r="AD1507" t="s">
        <v>10839</v>
      </c>
      <c r="AF1507" t="s">
        <v>10843</v>
      </c>
      <c r="AG1507" t="s">
        <v>10859</v>
      </c>
      <c r="AH1507" t="s">
        <v>10861</v>
      </c>
      <c r="AI1507">
        <v>234</v>
      </c>
      <c r="AJ1507" t="s">
        <v>10214</v>
      </c>
      <c r="AL1507">
        <v>3</v>
      </c>
      <c r="AM1507" t="s">
        <v>10893</v>
      </c>
      <c r="AN1507" t="s">
        <v>10956</v>
      </c>
      <c r="AO1507" t="s">
        <v>11010</v>
      </c>
      <c r="AP1507" t="s">
        <v>11085</v>
      </c>
      <c r="AQ1507" t="s">
        <v>11097</v>
      </c>
      <c r="AR1507" t="s">
        <v>11257</v>
      </c>
      <c r="AS1507" t="s">
        <v>9926</v>
      </c>
      <c r="AT1507" t="s">
        <v>11641</v>
      </c>
      <c r="AX1507" t="s">
        <v>10838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</row>
    <row r="1508" spans="1:59">
      <c r="A1508" s="1">
        <f>HYPERLINK("https://lsnyc.legalserver.org/matter/dynamic-profile/view/1905367","19-1905367")</f>
        <v>0</v>
      </c>
      <c r="B1508" t="s">
        <v>1354</v>
      </c>
      <c r="C1508" t="s">
        <v>6176</v>
      </c>
      <c r="D1508" t="s">
        <v>9962</v>
      </c>
      <c r="E1508" t="s">
        <v>10075</v>
      </c>
      <c r="F1508">
        <v>11423</v>
      </c>
      <c r="G1508" t="s">
        <v>10089</v>
      </c>
      <c r="H1508" t="s">
        <v>10123</v>
      </c>
      <c r="I1508" t="s">
        <v>10168</v>
      </c>
      <c r="J1508" t="s">
        <v>10209</v>
      </c>
      <c r="K1508" t="s">
        <v>10217</v>
      </c>
      <c r="M1508" t="s">
        <v>10270</v>
      </c>
      <c r="N1508" t="s">
        <v>10646</v>
      </c>
      <c r="P1508" t="s">
        <v>10754</v>
      </c>
      <c r="Q1508" t="s">
        <v>10777</v>
      </c>
      <c r="R1508" t="s">
        <v>10824</v>
      </c>
      <c r="T1508">
        <v>34560</v>
      </c>
      <c r="U1508">
        <v>2880</v>
      </c>
      <c r="V1508">
        <v>40</v>
      </c>
      <c r="W1508">
        <v>1</v>
      </c>
      <c r="X1508">
        <v>0</v>
      </c>
      <c r="Z1508">
        <v>276.7</v>
      </c>
      <c r="AA1508">
        <v>40.715877</v>
      </c>
      <c r="AB1508">
        <v>-73.7706</v>
      </c>
      <c r="AD1508" t="s">
        <v>10839</v>
      </c>
      <c r="AG1508" t="s">
        <v>10858</v>
      </c>
      <c r="AH1508" t="s">
        <v>10861</v>
      </c>
      <c r="AI1508">
        <v>234</v>
      </c>
      <c r="AJ1508" t="s">
        <v>10214</v>
      </c>
      <c r="AL1508">
        <v>1</v>
      </c>
      <c r="AM1508" t="s">
        <v>10892</v>
      </c>
      <c r="AN1508" t="s">
        <v>10955</v>
      </c>
      <c r="AO1508" t="s">
        <v>11020</v>
      </c>
      <c r="AP1508" t="s">
        <v>11078</v>
      </c>
      <c r="AR1508" t="s">
        <v>11421</v>
      </c>
      <c r="AS1508" t="s">
        <v>11594</v>
      </c>
      <c r="AT1508" t="s">
        <v>11641</v>
      </c>
      <c r="AX1508" t="s">
        <v>10838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</row>
    <row r="1509" spans="1:59">
      <c r="A1509" s="1">
        <f>HYPERLINK("https://lsnyc.legalserver.org/matter/dynamic-profile/view/1905368","19-1905368")</f>
        <v>0</v>
      </c>
      <c r="B1509" t="s">
        <v>1355</v>
      </c>
      <c r="C1509" t="s">
        <v>6177</v>
      </c>
      <c r="D1509" t="s">
        <v>9965</v>
      </c>
      <c r="E1509" t="s">
        <v>10075</v>
      </c>
      <c r="F1509">
        <v>11101</v>
      </c>
      <c r="G1509" t="s">
        <v>10092</v>
      </c>
      <c r="H1509" t="s">
        <v>10123</v>
      </c>
      <c r="I1509" t="s">
        <v>10168</v>
      </c>
      <c r="J1509" t="s">
        <v>10212</v>
      </c>
      <c r="K1509" t="s">
        <v>10218</v>
      </c>
      <c r="L1509" t="s">
        <v>10104</v>
      </c>
      <c r="M1509" t="s">
        <v>10410</v>
      </c>
      <c r="N1509" t="s">
        <v>10695</v>
      </c>
      <c r="P1509" t="s">
        <v>10749</v>
      </c>
      <c r="Q1509" t="s">
        <v>10767</v>
      </c>
      <c r="R1509" t="s">
        <v>10824</v>
      </c>
      <c r="T1509">
        <v>7500</v>
      </c>
      <c r="U1509">
        <v>625</v>
      </c>
      <c r="V1509">
        <v>58</v>
      </c>
      <c r="W1509">
        <v>2</v>
      </c>
      <c r="X1509">
        <v>0</v>
      </c>
      <c r="Y1509" t="s">
        <v>10829</v>
      </c>
      <c r="Z1509">
        <v>44.35</v>
      </c>
      <c r="AA1509">
        <v>40.754364</v>
      </c>
      <c r="AB1509">
        <v>-73.94377</v>
      </c>
      <c r="AD1509" t="s">
        <v>10839</v>
      </c>
      <c r="AG1509" t="s">
        <v>10858</v>
      </c>
      <c r="AH1509" t="s">
        <v>10862</v>
      </c>
      <c r="AI1509">
        <v>237</v>
      </c>
      <c r="AJ1509" t="s">
        <v>10212</v>
      </c>
      <c r="AK1509" t="s">
        <v>10882</v>
      </c>
      <c r="AL1509">
        <v>1.4</v>
      </c>
      <c r="AM1509" t="s">
        <v>10891</v>
      </c>
      <c r="AN1509" t="s">
        <v>10961</v>
      </c>
      <c r="AO1509" t="s">
        <v>11003</v>
      </c>
      <c r="AP1509" t="s">
        <v>11047</v>
      </c>
      <c r="AQ1509" t="s">
        <v>11144</v>
      </c>
      <c r="AR1509" t="s">
        <v>11273</v>
      </c>
      <c r="AS1509" t="s">
        <v>11594</v>
      </c>
      <c r="AY1509" t="s">
        <v>10829</v>
      </c>
      <c r="AZ1509" t="s">
        <v>11681</v>
      </c>
      <c r="BA1509" t="s">
        <v>11741</v>
      </c>
      <c r="BB1509">
        <v>0</v>
      </c>
      <c r="BC1509">
        <v>0</v>
      </c>
      <c r="BD1509">
        <v>0</v>
      </c>
      <c r="BE1509">
        <v>0</v>
      </c>
      <c r="BF1509">
        <v>1</v>
      </c>
      <c r="BG1509">
        <v>0</v>
      </c>
    </row>
    <row r="1510" spans="1:59">
      <c r="A1510" s="1">
        <f>HYPERLINK("https://lsnyc.legalserver.org/matter/dynamic-profile/view/1905369","19-1905369")</f>
        <v>0</v>
      </c>
      <c r="B1510" t="s">
        <v>1199</v>
      </c>
      <c r="C1510" t="s">
        <v>6178</v>
      </c>
      <c r="D1510" t="s">
        <v>9926</v>
      </c>
      <c r="E1510" t="s">
        <v>10075</v>
      </c>
      <c r="F1510">
        <v>10456</v>
      </c>
      <c r="G1510" t="s">
        <v>10090</v>
      </c>
      <c r="H1510" t="s">
        <v>10123</v>
      </c>
      <c r="I1510" t="s">
        <v>10169</v>
      </c>
      <c r="J1510" t="s">
        <v>10210</v>
      </c>
      <c r="K1510" t="s">
        <v>10217</v>
      </c>
      <c r="M1510" t="s">
        <v>10380</v>
      </c>
      <c r="N1510" t="s">
        <v>10649</v>
      </c>
      <c r="P1510" t="s">
        <v>10753</v>
      </c>
      <c r="Q1510" t="s">
        <v>10763</v>
      </c>
      <c r="R1510" t="s">
        <v>10821</v>
      </c>
      <c r="T1510">
        <v>41558.4</v>
      </c>
      <c r="U1510">
        <v>3463.2</v>
      </c>
      <c r="V1510">
        <v>41</v>
      </c>
      <c r="W1510">
        <v>2</v>
      </c>
      <c r="X1510">
        <v>1</v>
      </c>
      <c r="Z1510">
        <v>194.84</v>
      </c>
      <c r="AA1510">
        <v>40.830227</v>
      </c>
      <c r="AB1510">
        <v>-73.906519</v>
      </c>
      <c r="AD1510" t="s">
        <v>10839</v>
      </c>
      <c r="AF1510" t="s">
        <v>10843</v>
      </c>
      <c r="AG1510" t="s">
        <v>10859</v>
      </c>
      <c r="AH1510" t="s">
        <v>10861</v>
      </c>
      <c r="AI1510">
        <v>234</v>
      </c>
      <c r="AJ1510" t="s">
        <v>10214</v>
      </c>
      <c r="AL1510">
        <v>6.5</v>
      </c>
      <c r="AM1510" t="s">
        <v>10884</v>
      </c>
      <c r="AN1510" t="s">
        <v>10918</v>
      </c>
      <c r="AO1510" t="s">
        <v>11001</v>
      </c>
      <c r="AP1510" t="s">
        <v>11055</v>
      </c>
      <c r="AQ1510" t="s">
        <v>11097</v>
      </c>
      <c r="AR1510" t="s">
        <v>11262</v>
      </c>
      <c r="AS1510" t="s">
        <v>9926</v>
      </c>
      <c r="AT1510" t="s">
        <v>11641</v>
      </c>
      <c r="AX1510" t="s">
        <v>10838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</row>
    <row r="1511" spans="1:59">
      <c r="A1511" s="1">
        <f>HYPERLINK("https://lsnyc.legalserver.org/matter/dynamic-profile/view/1905370","19-1905370")</f>
        <v>0</v>
      </c>
      <c r="B1511" t="s">
        <v>1356</v>
      </c>
      <c r="C1511" t="s">
        <v>6179</v>
      </c>
      <c r="D1511" t="s">
        <v>9925</v>
      </c>
      <c r="E1511" t="s">
        <v>10075</v>
      </c>
      <c r="F1511">
        <v>10032</v>
      </c>
      <c r="G1511" t="s">
        <v>10091</v>
      </c>
      <c r="H1511" t="s">
        <v>10123</v>
      </c>
      <c r="I1511" t="s">
        <v>10169</v>
      </c>
      <c r="J1511" t="s">
        <v>10211</v>
      </c>
      <c r="K1511" t="s">
        <v>10217</v>
      </c>
      <c r="M1511" t="s">
        <v>10231</v>
      </c>
      <c r="N1511" t="s">
        <v>10647</v>
      </c>
      <c r="P1511" t="s">
        <v>10752</v>
      </c>
      <c r="Q1511" t="s">
        <v>10762</v>
      </c>
      <c r="R1511" t="s">
        <v>10821</v>
      </c>
      <c r="T1511">
        <v>8100</v>
      </c>
      <c r="U1511">
        <v>675</v>
      </c>
      <c r="V1511">
        <v>35</v>
      </c>
      <c r="W1511">
        <v>2</v>
      </c>
      <c r="X1511">
        <v>1</v>
      </c>
      <c r="Z1511">
        <v>37.97</v>
      </c>
      <c r="AA1511">
        <v>40.834212</v>
      </c>
      <c r="AB1511">
        <v>-73.946774</v>
      </c>
      <c r="AD1511" t="s">
        <v>10839</v>
      </c>
      <c r="AF1511" t="s">
        <v>10843</v>
      </c>
      <c r="AG1511" t="s">
        <v>10859</v>
      </c>
      <c r="AH1511" t="s">
        <v>10861</v>
      </c>
      <c r="AI1511">
        <v>234</v>
      </c>
      <c r="AJ1511" t="s">
        <v>10214</v>
      </c>
      <c r="AL1511">
        <v>3.4</v>
      </c>
      <c r="AM1511" t="s">
        <v>10887</v>
      </c>
      <c r="AN1511" t="s">
        <v>10943</v>
      </c>
      <c r="AO1511" t="s">
        <v>11019</v>
      </c>
      <c r="AP1511" t="s">
        <v>11073</v>
      </c>
      <c r="AR1511" t="s">
        <v>11274</v>
      </c>
      <c r="AS1511" t="s">
        <v>9925</v>
      </c>
      <c r="AT1511" t="s">
        <v>11641</v>
      </c>
      <c r="AX1511" t="s">
        <v>10838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</row>
    <row r="1512" spans="1:59">
      <c r="A1512" s="1">
        <f>HYPERLINK("https://lsnyc.legalserver.org/matter/dynamic-profile/view/1905371","19-1905371")</f>
        <v>0</v>
      </c>
      <c r="B1512" t="s">
        <v>1357</v>
      </c>
      <c r="C1512" t="s">
        <v>6180</v>
      </c>
      <c r="D1512" t="s">
        <v>9938</v>
      </c>
      <c r="E1512" t="s">
        <v>10075</v>
      </c>
      <c r="F1512">
        <v>11434</v>
      </c>
      <c r="G1512" t="s">
        <v>10092</v>
      </c>
      <c r="H1512" t="s">
        <v>10123</v>
      </c>
      <c r="I1512" t="s">
        <v>10168</v>
      </c>
      <c r="J1512" t="s">
        <v>10212</v>
      </c>
      <c r="K1512" t="s">
        <v>10218</v>
      </c>
      <c r="L1512" t="s">
        <v>10160</v>
      </c>
      <c r="M1512" t="s">
        <v>10269</v>
      </c>
      <c r="N1512" t="s">
        <v>10669</v>
      </c>
      <c r="P1512" t="s">
        <v>10754</v>
      </c>
      <c r="Q1512" t="s">
        <v>10775</v>
      </c>
      <c r="R1512" t="s">
        <v>10824</v>
      </c>
      <c r="T1512">
        <v>6000</v>
      </c>
      <c r="U1512">
        <v>500</v>
      </c>
      <c r="V1512">
        <v>36</v>
      </c>
      <c r="W1512">
        <v>1</v>
      </c>
      <c r="X1512">
        <v>4</v>
      </c>
      <c r="Y1512" t="s">
        <v>10829</v>
      </c>
      <c r="Z1512">
        <v>19.89</v>
      </c>
      <c r="AA1512">
        <v>40.68759</v>
      </c>
      <c r="AB1512">
        <v>-73.77842099999999</v>
      </c>
      <c r="AD1512" t="s">
        <v>10839</v>
      </c>
      <c r="AG1512" t="s">
        <v>10858</v>
      </c>
      <c r="AH1512" t="s">
        <v>10865</v>
      </c>
      <c r="AI1512">
        <v>237</v>
      </c>
      <c r="AJ1512" t="s">
        <v>10212</v>
      </c>
      <c r="AK1512" t="s">
        <v>10837</v>
      </c>
      <c r="AL1512">
        <v>1.5</v>
      </c>
      <c r="AM1512" t="s">
        <v>10892</v>
      </c>
      <c r="AN1512" t="s">
        <v>10951</v>
      </c>
      <c r="AO1512" t="s">
        <v>11020</v>
      </c>
      <c r="AP1512" t="s">
        <v>11075</v>
      </c>
      <c r="AQ1512" t="s">
        <v>11106</v>
      </c>
      <c r="AR1512" t="s">
        <v>11311</v>
      </c>
      <c r="AS1512" t="s">
        <v>11594</v>
      </c>
      <c r="AT1512" t="s">
        <v>11641</v>
      </c>
      <c r="AX1512" t="s">
        <v>10838</v>
      </c>
      <c r="AY1512" t="s">
        <v>10829</v>
      </c>
      <c r="AZ1512" t="s">
        <v>11683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</row>
    <row r="1513" spans="1:59">
      <c r="A1513" s="1">
        <f>HYPERLINK("https://lsnyc.legalserver.org/matter/dynamic-profile/view/1905372","19-1905372")</f>
        <v>0</v>
      </c>
      <c r="B1513" t="s">
        <v>1358</v>
      </c>
      <c r="C1513" t="s">
        <v>6181</v>
      </c>
      <c r="D1513" t="s">
        <v>9928</v>
      </c>
      <c r="E1513" t="s">
        <v>10075</v>
      </c>
      <c r="F1513">
        <v>11208</v>
      </c>
      <c r="G1513" t="s">
        <v>10093</v>
      </c>
      <c r="H1513" t="s">
        <v>10123</v>
      </c>
      <c r="I1513" t="s">
        <v>10168</v>
      </c>
      <c r="J1513" t="s">
        <v>10213</v>
      </c>
      <c r="K1513" t="s">
        <v>10217</v>
      </c>
      <c r="M1513" t="s">
        <v>10378</v>
      </c>
      <c r="N1513" t="s">
        <v>10698</v>
      </c>
      <c r="P1513" t="s">
        <v>10750</v>
      </c>
      <c r="Q1513" t="s">
        <v>10779</v>
      </c>
      <c r="R1513" t="s">
        <v>10824</v>
      </c>
      <c r="T1513">
        <v>18000</v>
      </c>
      <c r="U1513">
        <v>1500</v>
      </c>
      <c r="V1513">
        <v>59</v>
      </c>
      <c r="W1513">
        <v>1</v>
      </c>
      <c r="X1513">
        <v>0</v>
      </c>
      <c r="Z1513">
        <v>144.12</v>
      </c>
      <c r="AA1513">
        <v>40.675419</v>
      </c>
      <c r="AB1513">
        <v>-73.87697900000001</v>
      </c>
      <c r="AD1513" t="s">
        <v>10840</v>
      </c>
      <c r="AG1513" t="s">
        <v>10858</v>
      </c>
      <c r="AH1513" t="s">
        <v>10868</v>
      </c>
      <c r="AI1513">
        <v>239</v>
      </c>
      <c r="AJ1513" t="s">
        <v>10213</v>
      </c>
      <c r="AL1513">
        <v>12.55</v>
      </c>
      <c r="AM1513" t="s">
        <v>10889</v>
      </c>
      <c r="AN1513" t="s">
        <v>10920</v>
      </c>
      <c r="AO1513" t="s">
        <v>11011</v>
      </c>
      <c r="AP1513" t="s">
        <v>11058</v>
      </c>
      <c r="AQ1513" t="s">
        <v>11107</v>
      </c>
      <c r="AR1513" t="s">
        <v>11296</v>
      </c>
      <c r="AS1513" t="s">
        <v>11595</v>
      </c>
      <c r="AW1513" t="s">
        <v>11672</v>
      </c>
      <c r="AX1513" t="s">
        <v>11678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</row>
    <row r="1514" spans="1:59">
      <c r="A1514" s="1">
        <f>HYPERLINK("https://lsnyc.legalserver.org/matter/dynamic-profile/view/1905373","19-1905373")</f>
        <v>0</v>
      </c>
      <c r="B1514" t="s">
        <v>1358</v>
      </c>
      <c r="C1514" t="s">
        <v>6181</v>
      </c>
      <c r="D1514" t="s">
        <v>9928</v>
      </c>
      <c r="E1514" t="s">
        <v>10075</v>
      </c>
      <c r="F1514">
        <v>11208</v>
      </c>
      <c r="G1514" t="s">
        <v>10093</v>
      </c>
      <c r="H1514" t="s">
        <v>10123</v>
      </c>
      <c r="I1514" t="s">
        <v>10168</v>
      </c>
      <c r="J1514" t="s">
        <v>10213</v>
      </c>
      <c r="K1514" t="s">
        <v>10218</v>
      </c>
      <c r="L1514" t="s">
        <v>10111</v>
      </c>
      <c r="M1514" t="s">
        <v>10378</v>
      </c>
      <c r="N1514" t="s">
        <v>10698</v>
      </c>
      <c r="P1514" t="s">
        <v>10750</v>
      </c>
      <c r="Q1514" t="s">
        <v>10779</v>
      </c>
      <c r="R1514" t="s">
        <v>10824</v>
      </c>
      <c r="T1514">
        <v>18000</v>
      </c>
      <c r="U1514">
        <v>1500</v>
      </c>
      <c r="V1514">
        <v>59</v>
      </c>
      <c r="W1514">
        <v>1</v>
      </c>
      <c r="X1514">
        <v>0</v>
      </c>
      <c r="Y1514" t="s">
        <v>10830</v>
      </c>
      <c r="Z1514">
        <v>144.12</v>
      </c>
      <c r="AA1514">
        <v>40.675419</v>
      </c>
      <c r="AB1514">
        <v>-73.87697900000001</v>
      </c>
      <c r="AD1514" t="s">
        <v>10840</v>
      </c>
      <c r="AG1514" t="s">
        <v>10858</v>
      </c>
      <c r="AH1514" t="s">
        <v>10868</v>
      </c>
      <c r="AI1514">
        <v>239</v>
      </c>
      <c r="AJ1514" t="s">
        <v>10213</v>
      </c>
      <c r="AK1514" t="s">
        <v>10838</v>
      </c>
      <c r="AL1514">
        <v>8.75</v>
      </c>
      <c r="AM1514" t="s">
        <v>10889</v>
      </c>
      <c r="AN1514" t="s">
        <v>10920</v>
      </c>
      <c r="AO1514" t="s">
        <v>11011</v>
      </c>
      <c r="AP1514" t="s">
        <v>11058</v>
      </c>
      <c r="AR1514" t="s">
        <v>11296</v>
      </c>
      <c r="AS1514" t="s">
        <v>11595</v>
      </c>
      <c r="AY1514" t="s">
        <v>10830</v>
      </c>
      <c r="AZ1514" t="s">
        <v>11721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</row>
    <row r="1515" spans="1:59">
      <c r="A1515" s="1">
        <f>HYPERLINK("https://lsnyc.legalserver.org/matter/dynamic-profile/view/1905374","19-1905374")</f>
        <v>0</v>
      </c>
      <c r="B1515" t="s">
        <v>1359</v>
      </c>
      <c r="C1515" t="s">
        <v>6182</v>
      </c>
      <c r="D1515" t="s">
        <v>9928</v>
      </c>
      <c r="E1515" t="s">
        <v>10075</v>
      </c>
      <c r="F1515">
        <v>11216</v>
      </c>
      <c r="G1515" t="s">
        <v>10093</v>
      </c>
      <c r="H1515" t="s">
        <v>10123</v>
      </c>
      <c r="J1515" t="s">
        <v>10213</v>
      </c>
      <c r="K1515" t="s">
        <v>10218</v>
      </c>
      <c r="L1515" t="s">
        <v>10166</v>
      </c>
      <c r="M1515" t="s">
        <v>10378</v>
      </c>
      <c r="N1515" t="s">
        <v>10698</v>
      </c>
      <c r="P1515" t="s">
        <v>10751</v>
      </c>
      <c r="Q1515" t="s">
        <v>10761</v>
      </c>
      <c r="R1515" t="s">
        <v>10820</v>
      </c>
      <c r="T1515">
        <v>4888</v>
      </c>
      <c r="U1515">
        <v>407.33</v>
      </c>
      <c r="V1515">
        <v>50</v>
      </c>
      <c r="W1515">
        <v>1</v>
      </c>
      <c r="X1515">
        <v>0</v>
      </c>
      <c r="Y1515" t="s">
        <v>10831</v>
      </c>
      <c r="Z1515">
        <v>39.14</v>
      </c>
      <c r="AA1515">
        <v>40.679935</v>
      </c>
      <c r="AB1515">
        <v>-73.95131600000001</v>
      </c>
      <c r="AD1515" t="s">
        <v>10840</v>
      </c>
      <c r="AG1515" t="s">
        <v>10858</v>
      </c>
      <c r="AH1515" t="s">
        <v>10868</v>
      </c>
      <c r="AI1515">
        <v>239</v>
      </c>
      <c r="AJ1515" t="s">
        <v>10213</v>
      </c>
      <c r="AK1515" t="s">
        <v>10838</v>
      </c>
      <c r="AL1515">
        <v>9.75</v>
      </c>
      <c r="AM1515" t="s">
        <v>10889</v>
      </c>
      <c r="AN1515" t="s">
        <v>10923</v>
      </c>
      <c r="AO1515" t="s">
        <v>11007</v>
      </c>
      <c r="AP1515" t="s">
        <v>11052</v>
      </c>
      <c r="AR1515" t="s">
        <v>11255</v>
      </c>
      <c r="AS1515" t="s">
        <v>11595</v>
      </c>
      <c r="AT1515" t="s">
        <v>11642</v>
      </c>
      <c r="AX1515" t="s">
        <v>10837</v>
      </c>
      <c r="AY1515" t="s">
        <v>10831</v>
      </c>
      <c r="AZ1515" t="s">
        <v>11688</v>
      </c>
      <c r="BA1515" t="s">
        <v>11742</v>
      </c>
      <c r="BB1515">
        <v>1400</v>
      </c>
      <c r="BC1515">
        <v>0</v>
      </c>
      <c r="BD1515">
        <v>0</v>
      </c>
      <c r="BE1515">
        <v>0</v>
      </c>
      <c r="BF1515">
        <v>7</v>
      </c>
      <c r="BG1515">
        <v>0</v>
      </c>
    </row>
    <row r="1516" spans="1:59">
      <c r="A1516" s="1">
        <f>HYPERLINK("https://lsnyc.legalserver.org/matter/dynamic-profile/view/1905375","19-1905375")</f>
        <v>0</v>
      </c>
      <c r="B1516" t="s">
        <v>1360</v>
      </c>
      <c r="C1516" t="s">
        <v>6183</v>
      </c>
      <c r="D1516" t="s">
        <v>9928</v>
      </c>
      <c r="E1516" t="s">
        <v>10075</v>
      </c>
      <c r="F1516">
        <v>11233</v>
      </c>
      <c r="G1516" t="s">
        <v>10093</v>
      </c>
      <c r="H1516" t="s">
        <v>10123</v>
      </c>
      <c r="I1516" t="s">
        <v>10169</v>
      </c>
      <c r="J1516" t="s">
        <v>10213</v>
      </c>
      <c r="K1516" t="s">
        <v>10218</v>
      </c>
      <c r="L1516" t="s">
        <v>10104</v>
      </c>
      <c r="M1516" t="s">
        <v>10345</v>
      </c>
      <c r="N1516" t="s">
        <v>10650</v>
      </c>
      <c r="P1516" t="s">
        <v>10749</v>
      </c>
      <c r="Q1516" t="s">
        <v>10765</v>
      </c>
      <c r="R1516" t="s">
        <v>10821</v>
      </c>
      <c r="T1516">
        <v>9012</v>
      </c>
      <c r="U1516">
        <v>751</v>
      </c>
      <c r="V1516">
        <v>68</v>
      </c>
      <c r="W1516">
        <v>1</v>
      </c>
      <c r="X1516">
        <v>0</v>
      </c>
      <c r="Y1516" t="s">
        <v>10829</v>
      </c>
      <c r="Z1516">
        <v>72.15000000000001</v>
      </c>
      <c r="AA1516">
        <v>40.675514</v>
      </c>
      <c r="AB1516">
        <v>-73.907438</v>
      </c>
      <c r="AD1516" t="s">
        <v>10839</v>
      </c>
      <c r="AG1516" t="s">
        <v>10858</v>
      </c>
      <c r="AH1516" t="s">
        <v>10862</v>
      </c>
      <c r="AI1516">
        <v>239</v>
      </c>
      <c r="AJ1516" t="s">
        <v>10213</v>
      </c>
      <c r="AK1516" t="s">
        <v>10838</v>
      </c>
      <c r="AL1516">
        <v>1.25</v>
      </c>
      <c r="AM1516" t="s">
        <v>10889</v>
      </c>
      <c r="AN1516" t="s">
        <v>10922</v>
      </c>
      <c r="AO1516" t="s">
        <v>11012</v>
      </c>
      <c r="AP1516" t="s">
        <v>11058</v>
      </c>
      <c r="AR1516" t="s">
        <v>11338</v>
      </c>
      <c r="AS1516" t="s">
        <v>11595</v>
      </c>
      <c r="AT1516" t="s">
        <v>11641</v>
      </c>
      <c r="AX1516" t="s">
        <v>10838</v>
      </c>
      <c r="AY1516" t="s">
        <v>10829</v>
      </c>
      <c r="AZ1516" t="s">
        <v>11681</v>
      </c>
      <c r="BA1516" t="s">
        <v>11741</v>
      </c>
      <c r="BB1516">
        <v>0</v>
      </c>
      <c r="BC1516">
        <v>0</v>
      </c>
      <c r="BD1516">
        <v>0</v>
      </c>
      <c r="BE1516">
        <v>0</v>
      </c>
      <c r="BF1516">
        <v>1</v>
      </c>
      <c r="BG1516">
        <v>0</v>
      </c>
    </row>
    <row r="1517" spans="1:59">
      <c r="A1517" s="1">
        <f>HYPERLINK("https://lsnyc.legalserver.org/matter/dynamic-profile/view/1905376","19-1905376")</f>
        <v>0</v>
      </c>
      <c r="B1517" t="s">
        <v>1361</v>
      </c>
      <c r="C1517" t="s">
        <v>6184</v>
      </c>
      <c r="D1517" t="s">
        <v>10001</v>
      </c>
      <c r="E1517" t="s">
        <v>10075</v>
      </c>
      <c r="F1517">
        <v>11379</v>
      </c>
      <c r="G1517" t="s">
        <v>10092</v>
      </c>
      <c r="H1517" t="s">
        <v>10123</v>
      </c>
      <c r="I1517" t="s">
        <v>10189</v>
      </c>
      <c r="J1517" t="s">
        <v>10212</v>
      </c>
      <c r="K1517" t="s">
        <v>10218</v>
      </c>
      <c r="L1517" t="s">
        <v>10123</v>
      </c>
      <c r="M1517" t="s">
        <v>10282</v>
      </c>
      <c r="N1517" t="s">
        <v>10674</v>
      </c>
      <c r="P1517" t="s">
        <v>10754</v>
      </c>
      <c r="Q1517" t="s">
        <v>10775</v>
      </c>
      <c r="R1517" t="s">
        <v>10827</v>
      </c>
      <c r="T1517">
        <v>0</v>
      </c>
      <c r="U1517">
        <v>0</v>
      </c>
      <c r="V1517">
        <v>35</v>
      </c>
      <c r="W1517">
        <v>2</v>
      </c>
      <c r="X1517">
        <v>1</v>
      </c>
      <c r="Y1517" t="s">
        <v>10829</v>
      </c>
      <c r="Z1517">
        <v>0</v>
      </c>
      <c r="AA1517">
        <v>40.71697</v>
      </c>
      <c r="AB1517">
        <v>-73.892589</v>
      </c>
      <c r="AD1517" t="s">
        <v>10839</v>
      </c>
      <c r="AF1517" t="s">
        <v>10843</v>
      </c>
      <c r="AG1517" t="s">
        <v>10859</v>
      </c>
      <c r="AH1517" t="s">
        <v>10864</v>
      </c>
      <c r="AI1517">
        <v>237</v>
      </c>
      <c r="AJ1517" t="s">
        <v>10212</v>
      </c>
      <c r="AK1517" t="s">
        <v>10837</v>
      </c>
      <c r="AL1517">
        <v>2</v>
      </c>
      <c r="AM1517" t="s">
        <v>10890</v>
      </c>
      <c r="AN1517" t="s">
        <v>10935</v>
      </c>
      <c r="AO1517" t="s">
        <v>11024</v>
      </c>
      <c r="AP1517" t="s">
        <v>11077</v>
      </c>
      <c r="AQ1517" t="s">
        <v>11106</v>
      </c>
      <c r="AR1517" t="s">
        <v>11267</v>
      </c>
      <c r="AS1517" t="s">
        <v>11594</v>
      </c>
      <c r="AY1517" t="s">
        <v>10829</v>
      </c>
      <c r="AZ1517" t="s">
        <v>11683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</row>
    <row r="1518" spans="1:59">
      <c r="A1518" s="1">
        <f>HYPERLINK("https://lsnyc.legalserver.org/matter/dynamic-profile/view/1905377","19-1905377")</f>
        <v>0</v>
      </c>
      <c r="B1518" t="s">
        <v>1362</v>
      </c>
      <c r="C1518" t="s">
        <v>6185</v>
      </c>
      <c r="D1518" t="s">
        <v>9933</v>
      </c>
      <c r="E1518" t="s">
        <v>10075</v>
      </c>
      <c r="F1518">
        <v>11420</v>
      </c>
      <c r="G1518" t="s">
        <v>10092</v>
      </c>
      <c r="H1518" t="s">
        <v>10123</v>
      </c>
      <c r="I1518" t="s">
        <v>10168</v>
      </c>
      <c r="J1518" t="s">
        <v>10212</v>
      </c>
      <c r="K1518" t="s">
        <v>10218</v>
      </c>
      <c r="L1518" t="s">
        <v>10122</v>
      </c>
      <c r="M1518" t="s">
        <v>10258</v>
      </c>
      <c r="N1518" t="s">
        <v>10650</v>
      </c>
      <c r="P1518" t="s">
        <v>10749</v>
      </c>
      <c r="Q1518" t="s">
        <v>10765</v>
      </c>
      <c r="R1518" t="s">
        <v>10824</v>
      </c>
      <c r="T1518">
        <v>7200</v>
      </c>
      <c r="U1518">
        <v>600</v>
      </c>
      <c r="V1518">
        <v>36</v>
      </c>
      <c r="W1518">
        <v>2</v>
      </c>
      <c r="X1518">
        <v>3</v>
      </c>
      <c r="Y1518" t="s">
        <v>10829</v>
      </c>
      <c r="Z1518">
        <v>23.86</v>
      </c>
      <c r="AA1518">
        <v>40.668773</v>
      </c>
      <c r="AB1518">
        <v>-73.804033</v>
      </c>
      <c r="AD1518" t="s">
        <v>10839</v>
      </c>
      <c r="AG1518" t="s">
        <v>10858</v>
      </c>
      <c r="AH1518" t="s">
        <v>10862</v>
      </c>
      <c r="AI1518">
        <v>237</v>
      </c>
      <c r="AJ1518" t="s">
        <v>10212</v>
      </c>
      <c r="AK1518" t="s">
        <v>10882</v>
      </c>
      <c r="AL1518">
        <v>2</v>
      </c>
      <c r="AM1518" t="s">
        <v>10892</v>
      </c>
      <c r="AN1518" t="s">
        <v>10930</v>
      </c>
      <c r="AO1518" t="s">
        <v>11017</v>
      </c>
      <c r="AP1518" t="s">
        <v>11070</v>
      </c>
      <c r="AR1518" t="s">
        <v>11273</v>
      </c>
      <c r="AS1518" t="s">
        <v>11594</v>
      </c>
      <c r="AY1518" t="s">
        <v>10829</v>
      </c>
      <c r="AZ1518" t="s">
        <v>11681</v>
      </c>
      <c r="BA1518" t="s">
        <v>11741</v>
      </c>
      <c r="BB1518">
        <v>0</v>
      </c>
      <c r="BC1518">
        <v>0</v>
      </c>
      <c r="BD1518">
        <v>0</v>
      </c>
      <c r="BE1518">
        <v>0</v>
      </c>
      <c r="BF1518">
        <v>1</v>
      </c>
      <c r="BG1518">
        <v>0</v>
      </c>
    </row>
    <row r="1519" spans="1:59">
      <c r="A1519" s="1">
        <f>HYPERLINK("https://lsnyc.legalserver.org/matter/dynamic-profile/view/1905378","19-1905378")</f>
        <v>0</v>
      </c>
      <c r="B1519" t="s">
        <v>1363</v>
      </c>
      <c r="C1519" t="s">
        <v>6186</v>
      </c>
      <c r="D1519" t="s">
        <v>9927</v>
      </c>
      <c r="E1519" t="s">
        <v>10075</v>
      </c>
      <c r="F1519">
        <v>11377</v>
      </c>
      <c r="G1519" t="s">
        <v>10092</v>
      </c>
      <c r="H1519" t="s">
        <v>10123</v>
      </c>
      <c r="J1519" t="s">
        <v>10212</v>
      </c>
      <c r="K1519" t="s">
        <v>10217</v>
      </c>
      <c r="M1519" t="s">
        <v>10410</v>
      </c>
      <c r="N1519" t="s">
        <v>10695</v>
      </c>
      <c r="P1519" t="s">
        <v>10749</v>
      </c>
      <c r="Q1519" t="s">
        <v>10765</v>
      </c>
      <c r="R1519" t="s">
        <v>10827</v>
      </c>
      <c r="T1519">
        <v>62626.56</v>
      </c>
      <c r="U1519">
        <v>5218.88</v>
      </c>
      <c r="V1519">
        <v>57</v>
      </c>
      <c r="W1519">
        <v>3</v>
      </c>
      <c r="X1519">
        <v>2</v>
      </c>
      <c r="Z1519">
        <v>207.58</v>
      </c>
      <c r="AA1519">
        <v>40.756024</v>
      </c>
      <c r="AB1519">
        <v>-73.899114</v>
      </c>
      <c r="AD1519" t="s">
        <v>10840</v>
      </c>
      <c r="AF1519" t="s">
        <v>10843</v>
      </c>
      <c r="AG1519" t="s">
        <v>10859</v>
      </c>
      <c r="AH1519" t="s">
        <v>10862</v>
      </c>
      <c r="AI1519">
        <v>237</v>
      </c>
      <c r="AJ1519" t="s">
        <v>10212</v>
      </c>
      <c r="AL1519">
        <v>2.77</v>
      </c>
      <c r="AM1519" t="s">
        <v>10885</v>
      </c>
      <c r="AN1519" t="s">
        <v>10909</v>
      </c>
      <c r="AO1519" t="s">
        <v>11014</v>
      </c>
      <c r="AP1519" t="s">
        <v>11053</v>
      </c>
      <c r="AR1519" t="s">
        <v>11257</v>
      </c>
      <c r="AS1519" t="s">
        <v>11594</v>
      </c>
      <c r="AT1519" t="s">
        <v>11642</v>
      </c>
      <c r="BA1519" t="s">
        <v>11741</v>
      </c>
      <c r="BB1519">
        <v>0</v>
      </c>
      <c r="BC1519">
        <v>0</v>
      </c>
      <c r="BD1519">
        <v>0</v>
      </c>
      <c r="BE1519">
        <v>0</v>
      </c>
      <c r="BF1519">
        <v>1</v>
      </c>
      <c r="BG1519">
        <v>0</v>
      </c>
    </row>
    <row r="1520" spans="1:59">
      <c r="A1520" s="1">
        <f>HYPERLINK("https://lsnyc.legalserver.org/matter/dynamic-profile/view/1905379","19-1905379")</f>
        <v>0</v>
      </c>
      <c r="B1520" t="s">
        <v>1364</v>
      </c>
      <c r="C1520" t="s">
        <v>6187</v>
      </c>
      <c r="D1520" t="s">
        <v>9928</v>
      </c>
      <c r="E1520" t="s">
        <v>10075</v>
      </c>
      <c r="F1520">
        <v>11238</v>
      </c>
      <c r="G1520" t="s">
        <v>10093</v>
      </c>
      <c r="H1520" t="s">
        <v>10130</v>
      </c>
      <c r="I1520" t="s">
        <v>10168</v>
      </c>
      <c r="J1520" t="s">
        <v>10213</v>
      </c>
      <c r="K1520" t="s">
        <v>10218</v>
      </c>
      <c r="L1520" t="s">
        <v>10123</v>
      </c>
      <c r="M1520" t="s">
        <v>10462</v>
      </c>
      <c r="N1520" t="s">
        <v>10657</v>
      </c>
      <c r="P1520" t="s">
        <v>10749</v>
      </c>
      <c r="Q1520" t="s">
        <v>10765</v>
      </c>
      <c r="R1520" t="s">
        <v>10820</v>
      </c>
      <c r="T1520">
        <v>0</v>
      </c>
      <c r="U1520">
        <v>0</v>
      </c>
      <c r="V1520">
        <v>54</v>
      </c>
      <c r="W1520">
        <v>1</v>
      </c>
      <c r="X1520">
        <v>0</v>
      </c>
      <c r="Y1520" t="s">
        <v>10829</v>
      </c>
      <c r="Z1520">
        <v>0</v>
      </c>
      <c r="AA1520">
        <v>40.689218</v>
      </c>
      <c r="AB1520">
        <v>-73.963673</v>
      </c>
      <c r="AD1520" t="s">
        <v>10839</v>
      </c>
      <c r="AG1520" t="s">
        <v>10858</v>
      </c>
      <c r="AH1520" t="s">
        <v>10878</v>
      </c>
      <c r="AI1520">
        <v>239</v>
      </c>
      <c r="AJ1520" t="s">
        <v>10213</v>
      </c>
      <c r="AK1520" t="s">
        <v>10838</v>
      </c>
      <c r="AL1520">
        <v>1.25</v>
      </c>
      <c r="AR1520" t="s">
        <v>10180</v>
      </c>
      <c r="AS1520" t="s">
        <v>11595</v>
      </c>
      <c r="AT1520" t="s">
        <v>11641</v>
      </c>
      <c r="AX1520" t="s">
        <v>10838</v>
      </c>
      <c r="AY1520" t="s">
        <v>10829</v>
      </c>
      <c r="AZ1520" t="s">
        <v>11681</v>
      </c>
      <c r="BA1520" t="s">
        <v>11741</v>
      </c>
      <c r="BB1520">
        <v>0</v>
      </c>
      <c r="BC1520">
        <v>0</v>
      </c>
      <c r="BD1520">
        <v>0</v>
      </c>
      <c r="BE1520">
        <v>0</v>
      </c>
      <c r="BF1520">
        <v>1</v>
      </c>
      <c r="BG1520">
        <v>0</v>
      </c>
    </row>
    <row r="1521" spans="1:59">
      <c r="A1521" s="1">
        <f>HYPERLINK("https://lsnyc.legalserver.org/matter/dynamic-profile/view/1905380","19-1905380")</f>
        <v>0</v>
      </c>
      <c r="B1521" t="s">
        <v>1365</v>
      </c>
      <c r="C1521" t="s">
        <v>5422</v>
      </c>
      <c r="D1521" t="s">
        <v>9925</v>
      </c>
      <c r="E1521" t="s">
        <v>10075</v>
      </c>
      <c r="F1521">
        <v>10035</v>
      </c>
      <c r="G1521" t="s">
        <v>10089</v>
      </c>
      <c r="H1521" t="s">
        <v>10123</v>
      </c>
      <c r="I1521" t="s">
        <v>10168</v>
      </c>
      <c r="J1521" t="s">
        <v>10209</v>
      </c>
      <c r="K1521" t="s">
        <v>10217</v>
      </c>
      <c r="M1521" t="s">
        <v>10541</v>
      </c>
      <c r="N1521" t="s">
        <v>10645</v>
      </c>
      <c r="P1521" t="s">
        <v>10750</v>
      </c>
      <c r="Q1521" t="s">
        <v>10760</v>
      </c>
      <c r="R1521" t="s">
        <v>10824</v>
      </c>
      <c r="T1521">
        <v>12576</v>
      </c>
      <c r="U1521">
        <v>1048</v>
      </c>
      <c r="V1521">
        <v>60</v>
      </c>
      <c r="W1521">
        <v>1</v>
      </c>
      <c r="X1521">
        <v>0</v>
      </c>
      <c r="Z1521">
        <v>100.69</v>
      </c>
      <c r="AA1521">
        <v>40.800389</v>
      </c>
      <c r="AB1521">
        <v>-73.941298</v>
      </c>
      <c r="AD1521" t="s">
        <v>10839</v>
      </c>
      <c r="AG1521" t="s">
        <v>10858</v>
      </c>
      <c r="AH1521" t="s">
        <v>10867</v>
      </c>
      <c r="AI1521">
        <v>236</v>
      </c>
      <c r="AJ1521" t="s">
        <v>10209</v>
      </c>
      <c r="AL1521">
        <v>1</v>
      </c>
      <c r="AM1521" t="s">
        <v>10887</v>
      </c>
      <c r="AN1521" t="s">
        <v>10926</v>
      </c>
      <c r="AO1521" t="s">
        <v>11016</v>
      </c>
      <c r="AP1521" t="s">
        <v>11076</v>
      </c>
      <c r="AR1521" t="s">
        <v>11296</v>
      </c>
      <c r="AS1521" t="s">
        <v>9925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</row>
    <row r="1522" spans="1:59">
      <c r="A1522" s="1">
        <f>HYPERLINK("https://lsnyc.legalserver.org/matter/dynamic-profile/view/1905381","19-1905381")</f>
        <v>0</v>
      </c>
      <c r="B1522" t="s">
        <v>1366</v>
      </c>
      <c r="C1522" t="s">
        <v>6188</v>
      </c>
      <c r="D1522" t="s">
        <v>9925</v>
      </c>
      <c r="E1522" t="s">
        <v>10075</v>
      </c>
      <c r="F1522">
        <v>10001</v>
      </c>
      <c r="G1522" t="s">
        <v>10089</v>
      </c>
      <c r="H1522" t="s">
        <v>10123</v>
      </c>
      <c r="I1522" t="s">
        <v>10171</v>
      </c>
      <c r="J1522" t="s">
        <v>10209</v>
      </c>
      <c r="K1522" t="s">
        <v>10218</v>
      </c>
      <c r="L1522" t="s">
        <v>10109</v>
      </c>
      <c r="M1522" t="s">
        <v>10447</v>
      </c>
      <c r="N1522" t="s">
        <v>10707</v>
      </c>
      <c r="P1522" t="s">
        <v>10754</v>
      </c>
      <c r="Q1522" t="s">
        <v>10784</v>
      </c>
      <c r="R1522" t="s">
        <v>10820</v>
      </c>
      <c r="T1522">
        <v>3600</v>
      </c>
      <c r="U1522">
        <v>300</v>
      </c>
      <c r="V1522">
        <v>28</v>
      </c>
      <c r="W1522">
        <v>1</v>
      </c>
      <c r="X1522">
        <v>0</v>
      </c>
      <c r="Y1522" t="s">
        <v>10834</v>
      </c>
      <c r="Z1522">
        <v>28.82</v>
      </c>
      <c r="AA1522">
        <v>40.74793</v>
      </c>
      <c r="AB1522">
        <v>-73.999791</v>
      </c>
      <c r="AD1522" t="s">
        <v>10840</v>
      </c>
      <c r="AF1522" t="s">
        <v>10842</v>
      </c>
      <c r="AG1522" t="s">
        <v>10859</v>
      </c>
      <c r="AH1522" t="s">
        <v>10861</v>
      </c>
      <c r="AI1522">
        <v>236</v>
      </c>
      <c r="AJ1522" t="s">
        <v>10209</v>
      </c>
      <c r="AK1522" t="s">
        <v>10838</v>
      </c>
      <c r="AL1522">
        <v>3.75</v>
      </c>
      <c r="AM1522" t="s">
        <v>10894</v>
      </c>
      <c r="AN1522" t="s">
        <v>10966</v>
      </c>
      <c r="AO1522" t="s">
        <v>11021</v>
      </c>
      <c r="AP1522" t="s">
        <v>11090</v>
      </c>
      <c r="AR1522" t="s">
        <v>11387</v>
      </c>
      <c r="AS1522" t="s">
        <v>9925</v>
      </c>
      <c r="AT1522" t="s">
        <v>11642</v>
      </c>
      <c r="AV1522" t="s">
        <v>11642</v>
      </c>
      <c r="AW1522" t="s">
        <v>11673</v>
      </c>
      <c r="AX1522" t="s">
        <v>10837</v>
      </c>
      <c r="AY1522" t="s">
        <v>10834</v>
      </c>
      <c r="AZ1522" t="s">
        <v>11691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</row>
    <row r="1523" spans="1:59">
      <c r="A1523" s="1">
        <f>HYPERLINK("https://lsnyc.legalserver.org/matter/dynamic-profile/view/1905382","19-1905382")</f>
        <v>0</v>
      </c>
      <c r="B1523" t="s">
        <v>1367</v>
      </c>
      <c r="C1523" t="s">
        <v>6189</v>
      </c>
      <c r="D1523" t="s">
        <v>9928</v>
      </c>
      <c r="E1523" t="s">
        <v>10075</v>
      </c>
      <c r="F1523">
        <v>11225</v>
      </c>
      <c r="G1523" t="s">
        <v>10093</v>
      </c>
      <c r="H1523" t="s">
        <v>10123</v>
      </c>
      <c r="I1523" t="s">
        <v>10168</v>
      </c>
      <c r="J1523" t="s">
        <v>10213</v>
      </c>
      <c r="K1523" t="s">
        <v>10218</v>
      </c>
      <c r="L1523" t="s">
        <v>10123</v>
      </c>
      <c r="M1523" t="s">
        <v>10462</v>
      </c>
      <c r="N1523" t="s">
        <v>10657</v>
      </c>
      <c r="P1523" t="s">
        <v>10749</v>
      </c>
      <c r="Q1523" t="s">
        <v>10765</v>
      </c>
      <c r="R1523" t="s">
        <v>10824</v>
      </c>
      <c r="T1523">
        <v>46670</v>
      </c>
      <c r="U1523">
        <v>3889.17</v>
      </c>
      <c r="V1523">
        <v>62</v>
      </c>
      <c r="W1523">
        <v>2</v>
      </c>
      <c r="X1523">
        <v>0</v>
      </c>
      <c r="Y1523" t="s">
        <v>10829</v>
      </c>
      <c r="Z1523">
        <v>275.99</v>
      </c>
      <c r="AA1523">
        <v>40.668414</v>
      </c>
      <c r="AB1523">
        <v>-73.950379</v>
      </c>
      <c r="AD1523" t="s">
        <v>10839</v>
      </c>
      <c r="AG1523" t="s">
        <v>10858</v>
      </c>
      <c r="AH1523" t="s">
        <v>10878</v>
      </c>
      <c r="AI1523">
        <v>239</v>
      </c>
      <c r="AJ1523" t="s">
        <v>10213</v>
      </c>
      <c r="AK1523" t="s">
        <v>10838</v>
      </c>
      <c r="AL1523">
        <v>0.75</v>
      </c>
      <c r="AM1523" t="s">
        <v>10888</v>
      </c>
      <c r="AN1523" t="s">
        <v>10912</v>
      </c>
      <c r="AO1523" t="s">
        <v>11005</v>
      </c>
      <c r="AP1523" t="s">
        <v>11061</v>
      </c>
      <c r="AR1523" t="s">
        <v>11257</v>
      </c>
      <c r="AS1523" t="s">
        <v>11595</v>
      </c>
      <c r="AT1523" t="s">
        <v>11641</v>
      </c>
      <c r="AY1523" t="s">
        <v>10829</v>
      </c>
      <c r="AZ1523" t="s">
        <v>11681</v>
      </c>
      <c r="BA1523" t="s">
        <v>11741</v>
      </c>
      <c r="BB1523">
        <v>0</v>
      </c>
      <c r="BC1523">
        <v>0</v>
      </c>
      <c r="BD1523">
        <v>0</v>
      </c>
      <c r="BE1523">
        <v>0</v>
      </c>
      <c r="BF1523">
        <v>1</v>
      </c>
      <c r="BG1523">
        <v>0</v>
      </c>
    </row>
    <row r="1524" spans="1:59">
      <c r="A1524" s="1">
        <f>HYPERLINK("https://lsnyc.legalserver.org/matter/dynamic-profile/view/1905383","19-1905383")</f>
        <v>0</v>
      </c>
      <c r="B1524" t="s">
        <v>1368</v>
      </c>
      <c r="C1524" t="s">
        <v>6190</v>
      </c>
      <c r="D1524" t="s">
        <v>9925</v>
      </c>
      <c r="E1524" t="s">
        <v>10075</v>
      </c>
      <c r="F1524">
        <v>10027</v>
      </c>
      <c r="G1524" t="s">
        <v>10089</v>
      </c>
      <c r="H1524" t="s">
        <v>10123</v>
      </c>
      <c r="I1524" t="s">
        <v>10168</v>
      </c>
      <c r="J1524" t="s">
        <v>10209</v>
      </c>
      <c r="K1524" t="s">
        <v>10218</v>
      </c>
      <c r="L1524" t="s">
        <v>10139</v>
      </c>
      <c r="M1524" t="s">
        <v>10447</v>
      </c>
      <c r="N1524" t="s">
        <v>10728</v>
      </c>
      <c r="P1524" t="s">
        <v>10749</v>
      </c>
      <c r="Q1524" t="s">
        <v>10765</v>
      </c>
      <c r="R1524" t="s">
        <v>10827</v>
      </c>
      <c r="T1524">
        <v>2160</v>
      </c>
      <c r="U1524">
        <v>180</v>
      </c>
      <c r="V1524">
        <v>65</v>
      </c>
      <c r="W1524">
        <v>2</v>
      </c>
      <c r="X1524">
        <v>0</v>
      </c>
      <c r="Y1524" t="s">
        <v>10829</v>
      </c>
      <c r="Z1524">
        <v>12.77</v>
      </c>
      <c r="AA1524">
        <v>40.810269</v>
      </c>
      <c r="AB1524">
        <v>-73.942802</v>
      </c>
      <c r="AC1524" t="s">
        <v>10837</v>
      </c>
      <c r="AD1524" t="s">
        <v>10839</v>
      </c>
      <c r="AG1524" t="s">
        <v>10858</v>
      </c>
      <c r="AH1524" t="s">
        <v>10862</v>
      </c>
      <c r="AI1524">
        <v>236</v>
      </c>
      <c r="AJ1524" t="s">
        <v>10209</v>
      </c>
      <c r="AK1524" t="s">
        <v>10838</v>
      </c>
      <c r="AL1524">
        <v>4</v>
      </c>
      <c r="AM1524" t="s">
        <v>10887</v>
      </c>
      <c r="AN1524" t="s">
        <v>10936</v>
      </c>
      <c r="AO1524" t="s">
        <v>11016</v>
      </c>
      <c r="AP1524" t="s">
        <v>11076</v>
      </c>
      <c r="AR1524" t="s">
        <v>11293</v>
      </c>
      <c r="AS1524" t="s">
        <v>9925</v>
      </c>
      <c r="AT1524" t="s">
        <v>11641</v>
      </c>
      <c r="AX1524" t="s">
        <v>10837</v>
      </c>
      <c r="AY1524" t="s">
        <v>10829</v>
      </c>
      <c r="AZ1524" t="s">
        <v>11681</v>
      </c>
      <c r="BA1524" t="s">
        <v>11741</v>
      </c>
      <c r="BB1524">
        <v>0</v>
      </c>
      <c r="BC1524">
        <v>0</v>
      </c>
      <c r="BD1524">
        <v>0</v>
      </c>
      <c r="BE1524">
        <v>0</v>
      </c>
      <c r="BF1524">
        <v>1</v>
      </c>
      <c r="BG1524">
        <v>0</v>
      </c>
    </row>
    <row r="1525" spans="1:59">
      <c r="A1525" s="1">
        <f>HYPERLINK("https://lsnyc.legalserver.org/matter/dynamic-profile/view/1905384","19-1905384")</f>
        <v>0</v>
      </c>
      <c r="B1525" t="s">
        <v>655</v>
      </c>
      <c r="C1525" t="s">
        <v>6191</v>
      </c>
      <c r="D1525" t="s">
        <v>9928</v>
      </c>
      <c r="E1525" t="s">
        <v>10075</v>
      </c>
      <c r="F1525">
        <v>11210</v>
      </c>
      <c r="G1525" t="s">
        <v>10093</v>
      </c>
      <c r="H1525" t="s">
        <v>10104</v>
      </c>
      <c r="J1525" t="s">
        <v>10213</v>
      </c>
      <c r="K1525" t="s">
        <v>10217</v>
      </c>
      <c r="M1525" t="s">
        <v>10249</v>
      </c>
      <c r="N1525" t="s">
        <v>10653</v>
      </c>
      <c r="P1525" t="s">
        <v>10749</v>
      </c>
      <c r="Q1525" t="s">
        <v>10769</v>
      </c>
      <c r="R1525" t="s">
        <v>10824</v>
      </c>
      <c r="T1525">
        <v>45912</v>
      </c>
      <c r="U1525">
        <v>3826</v>
      </c>
      <c r="V1525">
        <v>64</v>
      </c>
      <c r="W1525">
        <v>3</v>
      </c>
      <c r="X1525">
        <v>0</v>
      </c>
      <c r="Z1525">
        <v>215.25</v>
      </c>
      <c r="AA1525">
        <v>40.628979</v>
      </c>
      <c r="AB1525">
        <v>-73.93833600000001</v>
      </c>
      <c r="AD1525" t="s">
        <v>10839</v>
      </c>
      <c r="AG1525" t="s">
        <v>10858</v>
      </c>
      <c r="AH1525" t="s">
        <v>10860</v>
      </c>
      <c r="AI1525">
        <v>239</v>
      </c>
      <c r="AJ1525" t="s">
        <v>10213</v>
      </c>
      <c r="AL1525">
        <v>5.1</v>
      </c>
      <c r="AM1525" t="s">
        <v>10888</v>
      </c>
      <c r="AN1525" t="s">
        <v>10957</v>
      </c>
      <c r="AO1525" t="s">
        <v>11008</v>
      </c>
      <c r="AP1525" t="s">
        <v>11065</v>
      </c>
      <c r="AQ1525" t="s">
        <v>11098</v>
      </c>
      <c r="AR1525" t="s">
        <v>11422</v>
      </c>
      <c r="AS1525" t="s">
        <v>11595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</row>
    <row r="1526" spans="1:59">
      <c r="A1526" s="1">
        <f>HYPERLINK("https://lsnyc.legalserver.org/matter/dynamic-profile/view/1905385","19-1905385")</f>
        <v>0</v>
      </c>
      <c r="B1526" t="s">
        <v>1369</v>
      </c>
      <c r="C1526" t="s">
        <v>6192</v>
      </c>
      <c r="D1526" t="s">
        <v>9951</v>
      </c>
      <c r="E1526" t="s">
        <v>10075</v>
      </c>
      <c r="F1526">
        <v>11416</v>
      </c>
      <c r="G1526" t="s">
        <v>10092</v>
      </c>
      <c r="H1526" t="s">
        <v>10106</v>
      </c>
      <c r="I1526" t="s">
        <v>10184</v>
      </c>
      <c r="J1526" t="s">
        <v>10212</v>
      </c>
      <c r="K1526" t="s">
        <v>10217</v>
      </c>
      <c r="M1526" t="s">
        <v>10318</v>
      </c>
      <c r="N1526" t="s">
        <v>10684</v>
      </c>
      <c r="P1526" t="s">
        <v>10751</v>
      </c>
      <c r="Q1526" t="s">
        <v>10786</v>
      </c>
      <c r="R1526" t="s">
        <v>10827</v>
      </c>
      <c r="T1526">
        <v>3000</v>
      </c>
      <c r="U1526">
        <v>250</v>
      </c>
      <c r="V1526">
        <v>37</v>
      </c>
      <c r="W1526">
        <v>3</v>
      </c>
      <c r="X1526">
        <v>6</v>
      </c>
      <c r="Z1526">
        <v>6.27</v>
      </c>
      <c r="AA1526">
        <v>40.680298</v>
      </c>
      <c r="AB1526">
        <v>-73.856323</v>
      </c>
      <c r="AD1526" t="s">
        <v>10839</v>
      </c>
      <c r="AF1526" t="s">
        <v>10843</v>
      </c>
      <c r="AG1526" t="s">
        <v>10859</v>
      </c>
      <c r="AH1526" t="s">
        <v>10873</v>
      </c>
      <c r="AI1526">
        <v>237</v>
      </c>
      <c r="AJ1526" t="s">
        <v>10212</v>
      </c>
      <c r="AL1526">
        <v>2.75</v>
      </c>
      <c r="AM1526" t="s">
        <v>10886</v>
      </c>
      <c r="AN1526" t="s">
        <v>10958</v>
      </c>
      <c r="AO1526" t="s">
        <v>11024</v>
      </c>
      <c r="AP1526" t="s">
        <v>11088</v>
      </c>
      <c r="AR1526" t="s">
        <v>11276</v>
      </c>
      <c r="AS1526" t="s">
        <v>11594</v>
      </c>
      <c r="AT1526" t="s">
        <v>11641</v>
      </c>
      <c r="AX1526" t="s">
        <v>10838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</row>
    <row r="1527" spans="1:59">
      <c r="A1527" s="1">
        <f>HYPERLINK("https://lsnyc.legalserver.org/matter/dynamic-profile/view/1905386","19-1905386")</f>
        <v>0</v>
      </c>
      <c r="B1527" t="s">
        <v>1370</v>
      </c>
      <c r="C1527" t="s">
        <v>6193</v>
      </c>
      <c r="D1527" t="s">
        <v>9926</v>
      </c>
      <c r="E1527" t="s">
        <v>10075</v>
      </c>
      <c r="F1527">
        <v>10467</v>
      </c>
      <c r="G1527" t="s">
        <v>10092</v>
      </c>
      <c r="H1527" t="s">
        <v>10119</v>
      </c>
      <c r="I1527" t="s">
        <v>10169</v>
      </c>
      <c r="J1527" t="s">
        <v>10212</v>
      </c>
      <c r="K1527" t="s">
        <v>10217</v>
      </c>
      <c r="M1527" t="s">
        <v>10232</v>
      </c>
      <c r="N1527" t="s">
        <v>10714</v>
      </c>
      <c r="P1527" t="s">
        <v>10753</v>
      </c>
      <c r="Q1527" t="s">
        <v>10763</v>
      </c>
      <c r="R1527" t="s">
        <v>10821</v>
      </c>
      <c r="T1527">
        <v>14400</v>
      </c>
      <c r="U1527">
        <v>1200</v>
      </c>
      <c r="V1527">
        <v>25</v>
      </c>
      <c r="W1527">
        <v>1</v>
      </c>
      <c r="X1527">
        <v>1</v>
      </c>
      <c r="Z1527">
        <v>85.16</v>
      </c>
      <c r="AA1527">
        <v>40.88462</v>
      </c>
      <c r="AB1527">
        <v>-73.87842999999999</v>
      </c>
      <c r="AD1527" t="s">
        <v>10839</v>
      </c>
      <c r="AF1527" t="s">
        <v>10842</v>
      </c>
      <c r="AG1527" t="s">
        <v>10859</v>
      </c>
      <c r="AH1527" t="s">
        <v>10864</v>
      </c>
      <c r="AI1527">
        <v>237</v>
      </c>
      <c r="AJ1527" t="s">
        <v>10212</v>
      </c>
      <c r="AL1527">
        <v>4.92</v>
      </c>
      <c r="AM1527" t="s">
        <v>10887</v>
      </c>
      <c r="AN1527" t="s">
        <v>10919</v>
      </c>
      <c r="AO1527" t="s">
        <v>11010</v>
      </c>
      <c r="AP1527" t="s">
        <v>11057</v>
      </c>
      <c r="AQ1527" t="s">
        <v>11109</v>
      </c>
      <c r="AR1527" t="s">
        <v>11262</v>
      </c>
      <c r="AS1527" t="s">
        <v>9926</v>
      </c>
      <c r="AX1527" t="s">
        <v>10838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</row>
    <row r="1528" spans="1:59">
      <c r="A1528" s="1">
        <f>HYPERLINK("https://lsnyc.legalserver.org/matter/dynamic-profile/view/1905387","19-1905387")</f>
        <v>0</v>
      </c>
      <c r="B1528" t="s">
        <v>1371</v>
      </c>
      <c r="C1528" t="s">
        <v>6194</v>
      </c>
      <c r="D1528" t="s">
        <v>9933</v>
      </c>
      <c r="E1528" t="s">
        <v>10075</v>
      </c>
      <c r="F1528">
        <v>11420</v>
      </c>
      <c r="G1528" t="s">
        <v>10092</v>
      </c>
      <c r="H1528" t="s">
        <v>10106</v>
      </c>
      <c r="I1528" t="s">
        <v>10168</v>
      </c>
      <c r="J1528" t="s">
        <v>10212</v>
      </c>
      <c r="K1528" t="s">
        <v>10217</v>
      </c>
      <c r="M1528" t="s">
        <v>10318</v>
      </c>
      <c r="N1528" t="s">
        <v>10684</v>
      </c>
      <c r="P1528" t="s">
        <v>10751</v>
      </c>
      <c r="Q1528" t="s">
        <v>10786</v>
      </c>
      <c r="R1528" t="s">
        <v>10827</v>
      </c>
      <c r="T1528">
        <v>16900</v>
      </c>
      <c r="U1528">
        <v>1408.33</v>
      </c>
      <c r="V1528">
        <v>43</v>
      </c>
      <c r="W1528">
        <v>1</v>
      </c>
      <c r="X1528">
        <v>1</v>
      </c>
      <c r="Z1528">
        <v>99.94</v>
      </c>
      <c r="AA1528">
        <v>40.68001</v>
      </c>
      <c r="AB1528">
        <v>-73.825222</v>
      </c>
      <c r="AD1528" t="s">
        <v>10839</v>
      </c>
      <c r="AF1528" t="s">
        <v>10843</v>
      </c>
      <c r="AG1528" t="s">
        <v>10859</v>
      </c>
      <c r="AH1528" t="s">
        <v>10873</v>
      </c>
      <c r="AI1528">
        <v>237</v>
      </c>
      <c r="AJ1528" t="s">
        <v>10212</v>
      </c>
      <c r="AL1528">
        <v>2.75</v>
      </c>
      <c r="AM1528" t="s">
        <v>10892</v>
      </c>
      <c r="AN1528" t="s">
        <v>10930</v>
      </c>
      <c r="AO1528" t="s">
        <v>11017</v>
      </c>
      <c r="AP1528" t="s">
        <v>11070</v>
      </c>
      <c r="AR1528" t="s">
        <v>11257</v>
      </c>
      <c r="AS1528" t="s">
        <v>11594</v>
      </c>
      <c r="AT1528" t="s">
        <v>11641</v>
      </c>
      <c r="AX1528" t="s">
        <v>10838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</row>
    <row r="1529" spans="1:59">
      <c r="A1529" s="1">
        <f>HYPERLINK("https://lsnyc.legalserver.org/matter/dynamic-profile/view/1905388","19-1905388")</f>
        <v>0</v>
      </c>
      <c r="B1529" t="s">
        <v>1295</v>
      </c>
      <c r="C1529" t="s">
        <v>5601</v>
      </c>
      <c r="D1529" t="s">
        <v>9926</v>
      </c>
      <c r="E1529" t="s">
        <v>10075</v>
      </c>
      <c r="F1529">
        <v>10453</v>
      </c>
      <c r="G1529" t="s">
        <v>10090</v>
      </c>
      <c r="H1529" t="s">
        <v>10106</v>
      </c>
      <c r="I1529" t="s">
        <v>10169</v>
      </c>
      <c r="J1529" t="s">
        <v>10210</v>
      </c>
      <c r="K1529" t="s">
        <v>10217</v>
      </c>
      <c r="M1529" t="s">
        <v>10463</v>
      </c>
      <c r="N1529" t="s">
        <v>10650</v>
      </c>
      <c r="P1529" t="s">
        <v>10749</v>
      </c>
      <c r="Q1529" t="s">
        <v>10765</v>
      </c>
      <c r="R1529" t="s">
        <v>10823</v>
      </c>
      <c r="T1529">
        <v>31200</v>
      </c>
      <c r="U1529">
        <v>2600</v>
      </c>
      <c r="V1529">
        <v>59</v>
      </c>
      <c r="W1529">
        <v>2</v>
      </c>
      <c r="X1529">
        <v>0</v>
      </c>
      <c r="Z1529">
        <v>184.51</v>
      </c>
      <c r="AA1529">
        <v>40.846849</v>
      </c>
      <c r="AB1529">
        <v>-73.90953500000001</v>
      </c>
      <c r="AD1529" t="s">
        <v>10840</v>
      </c>
      <c r="AF1529" t="s">
        <v>10843</v>
      </c>
      <c r="AG1529" t="s">
        <v>10859</v>
      </c>
      <c r="AH1529" t="s">
        <v>10862</v>
      </c>
      <c r="AI1529">
        <v>230</v>
      </c>
      <c r="AJ1529" t="s">
        <v>10210</v>
      </c>
      <c r="AL1529">
        <v>0</v>
      </c>
      <c r="AM1529" t="s">
        <v>10884</v>
      </c>
      <c r="AN1529" t="s">
        <v>10931</v>
      </c>
      <c r="AO1529" t="s">
        <v>11000</v>
      </c>
      <c r="AP1529" t="s">
        <v>11045</v>
      </c>
      <c r="AR1529" t="s">
        <v>11257</v>
      </c>
      <c r="AS1529" t="s">
        <v>9926</v>
      </c>
      <c r="BA1529" t="s">
        <v>11739</v>
      </c>
      <c r="BB1529">
        <v>0</v>
      </c>
      <c r="BC1529">
        <v>0</v>
      </c>
      <c r="BD1529">
        <v>0</v>
      </c>
      <c r="BE1529">
        <v>0</v>
      </c>
      <c r="BF1529">
        <v>4</v>
      </c>
      <c r="BG1529">
        <v>0</v>
      </c>
    </row>
    <row r="1530" spans="1:59">
      <c r="A1530" s="1">
        <f>HYPERLINK("https://lsnyc.legalserver.org/matter/dynamic-profile/view/1905389","19-1905389")</f>
        <v>0</v>
      </c>
      <c r="B1530" t="s">
        <v>1372</v>
      </c>
      <c r="C1530" t="s">
        <v>6195</v>
      </c>
      <c r="D1530" t="s">
        <v>9928</v>
      </c>
      <c r="E1530" t="s">
        <v>10075</v>
      </c>
      <c r="F1530">
        <v>11225</v>
      </c>
      <c r="G1530" t="s">
        <v>10093</v>
      </c>
      <c r="H1530" t="s">
        <v>10106</v>
      </c>
      <c r="I1530" t="s">
        <v>10168</v>
      </c>
      <c r="J1530" t="s">
        <v>10213</v>
      </c>
      <c r="K1530" t="s">
        <v>10218</v>
      </c>
      <c r="L1530" t="s">
        <v>10115</v>
      </c>
      <c r="M1530" t="s">
        <v>10426</v>
      </c>
      <c r="N1530" t="s">
        <v>10644</v>
      </c>
      <c r="P1530" t="s">
        <v>10751</v>
      </c>
      <c r="Q1530" t="s">
        <v>10761</v>
      </c>
      <c r="R1530" t="s">
        <v>10824</v>
      </c>
      <c r="T1530">
        <v>0</v>
      </c>
      <c r="U1530">
        <v>0</v>
      </c>
      <c r="V1530">
        <v>61</v>
      </c>
      <c r="W1530">
        <v>1</v>
      </c>
      <c r="X1530">
        <v>0</v>
      </c>
      <c r="Y1530" t="s">
        <v>10829</v>
      </c>
      <c r="Z1530">
        <v>0</v>
      </c>
      <c r="AA1530">
        <v>40.658531</v>
      </c>
      <c r="AB1530">
        <v>-73.96086</v>
      </c>
      <c r="AD1530" t="s">
        <v>10840</v>
      </c>
      <c r="AG1530" t="s">
        <v>10858</v>
      </c>
      <c r="AH1530" t="s">
        <v>10862</v>
      </c>
      <c r="AI1530">
        <v>239</v>
      </c>
      <c r="AJ1530" t="s">
        <v>10213</v>
      </c>
      <c r="AK1530" t="s">
        <v>10838</v>
      </c>
      <c r="AL1530">
        <v>1.7</v>
      </c>
      <c r="AM1530" t="s">
        <v>10888</v>
      </c>
      <c r="AN1530" t="s">
        <v>10912</v>
      </c>
      <c r="AO1530" t="s">
        <v>11008</v>
      </c>
      <c r="AP1530" t="s">
        <v>11050</v>
      </c>
      <c r="AR1530" t="s">
        <v>11279</v>
      </c>
      <c r="AS1530" t="s">
        <v>11595</v>
      </c>
      <c r="AY1530" t="s">
        <v>10829</v>
      </c>
      <c r="AZ1530" t="s">
        <v>11688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</row>
    <row r="1531" spans="1:59">
      <c r="A1531" s="1">
        <f>HYPERLINK("https://lsnyc.legalserver.org/matter/dynamic-profile/view/1905390","19-1905390")</f>
        <v>0</v>
      </c>
      <c r="B1531" t="s">
        <v>1373</v>
      </c>
      <c r="C1531" t="s">
        <v>6196</v>
      </c>
      <c r="D1531" t="s">
        <v>9938</v>
      </c>
      <c r="E1531" t="s">
        <v>10075</v>
      </c>
      <c r="F1531">
        <v>11432</v>
      </c>
      <c r="G1531" t="s">
        <v>10092</v>
      </c>
      <c r="H1531" t="s">
        <v>10130</v>
      </c>
      <c r="I1531" t="s">
        <v>10169</v>
      </c>
      <c r="J1531" t="s">
        <v>10212</v>
      </c>
      <c r="K1531" t="s">
        <v>10217</v>
      </c>
      <c r="M1531" t="s">
        <v>10232</v>
      </c>
      <c r="N1531" t="s">
        <v>10673</v>
      </c>
      <c r="P1531" t="s">
        <v>10753</v>
      </c>
      <c r="Q1531" t="s">
        <v>10763</v>
      </c>
      <c r="R1531" t="s">
        <v>10823</v>
      </c>
      <c r="T1531">
        <v>30800</v>
      </c>
      <c r="U1531">
        <v>2566.67</v>
      </c>
      <c r="V1531">
        <v>43</v>
      </c>
      <c r="W1531">
        <v>2</v>
      </c>
      <c r="X1531">
        <v>3</v>
      </c>
      <c r="Z1531">
        <v>102.09</v>
      </c>
      <c r="AA1531">
        <v>40.705203</v>
      </c>
      <c r="AB1531">
        <v>-73.798963</v>
      </c>
      <c r="AD1531" t="s">
        <v>10839</v>
      </c>
      <c r="AF1531" t="s">
        <v>10848</v>
      </c>
      <c r="AG1531" t="s">
        <v>10859</v>
      </c>
      <c r="AH1531" t="s">
        <v>10864</v>
      </c>
      <c r="AI1531">
        <v>237</v>
      </c>
      <c r="AJ1531" t="s">
        <v>10212</v>
      </c>
      <c r="AL1531">
        <v>1.25</v>
      </c>
      <c r="AM1531" t="s">
        <v>10892</v>
      </c>
      <c r="AN1531" t="s">
        <v>10951</v>
      </c>
      <c r="AO1531" t="s">
        <v>11020</v>
      </c>
      <c r="AP1531" t="s">
        <v>11081</v>
      </c>
      <c r="AQ1531" t="s">
        <v>11119</v>
      </c>
      <c r="AR1531" t="s">
        <v>11257</v>
      </c>
      <c r="AS1531" t="s">
        <v>11594</v>
      </c>
      <c r="BA1531" t="s">
        <v>11743</v>
      </c>
      <c r="BB1531">
        <v>0</v>
      </c>
      <c r="BC1531">
        <v>0</v>
      </c>
      <c r="BD1531">
        <v>0</v>
      </c>
      <c r="BE1531">
        <v>0</v>
      </c>
      <c r="BF1531">
        <v>40</v>
      </c>
      <c r="BG1531">
        <v>0</v>
      </c>
    </row>
    <row r="1532" spans="1:59">
      <c r="A1532" s="1">
        <f>HYPERLINK("https://lsnyc.legalserver.org/matter/dynamic-profile/view/1905391","19-1905391")</f>
        <v>0</v>
      </c>
      <c r="B1532" t="s">
        <v>1374</v>
      </c>
      <c r="C1532" t="s">
        <v>6197</v>
      </c>
      <c r="D1532" t="s">
        <v>9926</v>
      </c>
      <c r="E1532" t="s">
        <v>10075</v>
      </c>
      <c r="F1532">
        <v>10467</v>
      </c>
      <c r="G1532" t="s">
        <v>10090</v>
      </c>
      <c r="H1532" t="s">
        <v>10106</v>
      </c>
      <c r="I1532" t="s">
        <v>10168</v>
      </c>
      <c r="J1532" t="s">
        <v>10215</v>
      </c>
      <c r="K1532" t="s">
        <v>10217</v>
      </c>
      <c r="M1532" t="s">
        <v>10362</v>
      </c>
      <c r="N1532" t="s">
        <v>10651</v>
      </c>
      <c r="P1532" t="s">
        <v>10749</v>
      </c>
      <c r="Q1532" t="s">
        <v>10765</v>
      </c>
      <c r="R1532" t="s">
        <v>10823</v>
      </c>
      <c r="T1532">
        <v>13000</v>
      </c>
      <c r="U1532">
        <v>1083.33</v>
      </c>
      <c r="V1532">
        <v>21</v>
      </c>
      <c r="W1532">
        <v>1</v>
      </c>
      <c r="X1532">
        <v>2</v>
      </c>
      <c r="Z1532">
        <v>60.95</v>
      </c>
      <c r="AA1532">
        <v>40.883987</v>
      </c>
      <c r="AB1532">
        <v>-73.86593499999999</v>
      </c>
      <c r="AD1532" t="s">
        <v>10839</v>
      </c>
      <c r="AG1532" t="s">
        <v>10858</v>
      </c>
      <c r="AH1532" t="s">
        <v>10862</v>
      </c>
      <c r="AI1532">
        <v>231</v>
      </c>
      <c r="AJ1532" t="s">
        <v>10215</v>
      </c>
      <c r="AL1532">
        <v>7.2</v>
      </c>
      <c r="AM1532" t="s">
        <v>10893</v>
      </c>
      <c r="AN1532" t="s">
        <v>10956</v>
      </c>
      <c r="AO1532" t="s">
        <v>11010</v>
      </c>
      <c r="AP1532" t="s">
        <v>11085</v>
      </c>
      <c r="AR1532" t="s">
        <v>11257</v>
      </c>
      <c r="AS1532" t="s">
        <v>9926</v>
      </c>
      <c r="AT1532" t="s">
        <v>11641</v>
      </c>
      <c r="AX1532" t="s">
        <v>10838</v>
      </c>
      <c r="BA1532" t="s">
        <v>11738</v>
      </c>
      <c r="BB1532">
        <v>0</v>
      </c>
      <c r="BC1532">
        <v>0</v>
      </c>
      <c r="BD1532">
        <v>0</v>
      </c>
      <c r="BE1532">
        <v>0</v>
      </c>
      <c r="BF1532">
        <v>5</v>
      </c>
      <c r="BG1532">
        <v>0</v>
      </c>
    </row>
    <row r="1533" spans="1:59">
      <c r="A1533" s="1">
        <f>HYPERLINK("https://lsnyc.legalserver.org/matter/dynamic-profile/view/1905392","19-1905392")</f>
        <v>0</v>
      </c>
      <c r="B1533" t="s">
        <v>1375</v>
      </c>
      <c r="C1533" t="s">
        <v>6198</v>
      </c>
      <c r="D1533" t="s">
        <v>9938</v>
      </c>
      <c r="E1533" t="s">
        <v>10075</v>
      </c>
      <c r="F1533">
        <v>11432</v>
      </c>
      <c r="G1533" t="s">
        <v>10092</v>
      </c>
      <c r="H1533" t="s">
        <v>10106</v>
      </c>
      <c r="I1533" t="s">
        <v>10184</v>
      </c>
      <c r="J1533" t="s">
        <v>10212</v>
      </c>
      <c r="K1533" t="s">
        <v>10217</v>
      </c>
      <c r="M1533" t="s">
        <v>10374</v>
      </c>
      <c r="N1533" t="s">
        <v>10674</v>
      </c>
      <c r="P1533" t="s">
        <v>10754</v>
      </c>
      <c r="Q1533" t="s">
        <v>10775</v>
      </c>
      <c r="R1533" t="s">
        <v>10828</v>
      </c>
      <c r="T1533">
        <v>9360</v>
      </c>
      <c r="U1533">
        <v>780</v>
      </c>
      <c r="V1533">
        <v>28</v>
      </c>
      <c r="W1533">
        <v>1</v>
      </c>
      <c r="X1533">
        <v>3</v>
      </c>
      <c r="Z1533">
        <v>36.35</v>
      </c>
      <c r="AA1533">
        <v>40.705621</v>
      </c>
      <c r="AB1533">
        <v>-73.80343999999999</v>
      </c>
      <c r="AD1533" t="s">
        <v>10839</v>
      </c>
      <c r="AF1533" t="s">
        <v>10843</v>
      </c>
      <c r="AG1533" t="s">
        <v>10858</v>
      </c>
      <c r="AH1533" t="s">
        <v>10865</v>
      </c>
      <c r="AI1533">
        <v>237</v>
      </c>
      <c r="AJ1533" t="s">
        <v>10212</v>
      </c>
      <c r="AL1533">
        <v>1.8</v>
      </c>
      <c r="AM1533" t="s">
        <v>10892</v>
      </c>
      <c r="AN1533" t="s">
        <v>10951</v>
      </c>
      <c r="AO1533" t="s">
        <v>11020</v>
      </c>
      <c r="AP1533" t="s">
        <v>11081</v>
      </c>
      <c r="AR1533" t="s">
        <v>11262</v>
      </c>
      <c r="AS1533" t="s">
        <v>11594</v>
      </c>
      <c r="AT1533" t="s">
        <v>11641</v>
      </c>
      <c r="AX1533" t="s">
        <v>10838</v>
      </c>
      <c r="BA1533" t="s">
        <v>11738</v>
      </c>
      <c r="BB1533">
        <v>0</v>
      </c>
      <c r="BC1533">
        <v>0</v>
      </c>
      <c r="BD1533">
        <v>0</v>
      </c>
      <c r="BE1533">
        <v>0</v>
      </c>
      <c r="BF1533">
        <v>5</v>
      </c>
      <c r="BG1533">
        <v>0</v>
      </c>
    </row>
    <row r="1534" spans="1:59">
      <c r="A1534" s="1">
        <f>HYPERLINK("https://lsnyc.legalserver.org/matter/dynamic-profile/view/1905393","19-1905393")</f>
        <v>0</v>
      </c>
      <c r="B1534" t="s">
        <v>1376</v>
      </c>
      <c r="C1534" t="s">
        <v>6199</v>
      </c>
      <c r="D1534" t="s">
        <v>9928</v>
      </c>
      <c r="E1534" t="s">
        <v>10075</v>
      </c>
      <c r="F1534">
        <v>11213</v>
      </c>
      <c r="G1534" t="s">
        <v>10093</v>
      </c>
      <c r="H1534" t="s">
        <v>10106</v>
      </c>
      <c r="I1534" t="s">
        <v>10169</v>
      </c>
      <c r="J1534" t="s">
        <v>10213</v>
      </c>
      <c r="K1534" t="s">
        <v>10218</v>
      </c>
      <c r="L1534" t="s">
        <v>10158</v>
      </c>
      <c r="M1534" t="s">
        <v>10265</v>
      </c>
      <c r="N1534" t="s">
        <v>10644</v>
      </c>
      <c r="P1534" t="s">
        <v>10751</v>
      </c>
      <c r="Q1534" t="s">
        <v>10761</v>
      </c>
      <c r="R1534" t="s">
        <v>10821</v>
      </c>
      <c r="T1534">
        <v>4080</v>
      </c>
      <c r="U1534">
        <v>340</v>
      </c>
      <c r="V1534">
        <v>66</v>
      </c>
      <c r="W1534">
        <v>1</v>
      </c>
      <c r="X1534">
        <v>0</v>
      </c>
      <c r="Y1534" t="s">
        <v>10832</v>
      </c>
      <c r="Z1534">
        <v>32.67</v>
      </c>
      <c r="AA1534">
        <v>40.667172</v>
      </c>
      <c r="AB1534">
        <v>-73.92916200000001</v>
      </c>
      <c r="AD1534" t="s">
        <v>10839</v>
      </c>
      <c r="AG1534" t="s">
        <v>10858</v>
      </c>
      <c r="AH1534" t="s">
        <v>10862</v>
      </c>
      <c r="AI1534">
        <v>239</v>
      </c>
      <c r="AJ1534" t="s">
        <v>10213</v>
      </c>
      <c r="AK1534" t="s">
        <v>10838</v>
      </c>
      <c r="AL1534">
        <v>8.9</v>
      </c>
      <c r="AM1534" t="s">
        <v>10888</v>
      </c>
      <c r="AN1534" t="s">
        <v>10922</v>
      </c>
      <c r="AO1534" t="s">
        <v>11005</v>
      </c>
      <c r="AP1534" t="s">
        <v>11064</v>
      </c>
      <c r="AR1534" t="s">
        <v>11253</v>
      </c>
      <c r="AS1534" t="s">
        <v>11595</v>
      </c>
      <c r="AY1534" t="s">
        <v>10832</v>
      </c>
      <c r="AZ1534" t="s">
        <v>11688</v>
      </c>
      <c r="BA1534" t="s">
        <v>11737</v>
      </c>
      <c r="BB1534">
        <v>0</v>
      </c>
      <c r="BC1534">
        <v>0</v>
      </c>
      <c r="BD1534">
        <v>0</v>
      </c>
      <c r="BE1534">
        <v>0</v>
      </c>
      <c r="BF1534">
        <v>3</v>
      </c>
      <c r="BG1534">
        <v>0</v>
      </c>
    </row>
    <row r="1535" spans="1:59">
      <c r="A1535" s="1">
        <f>HYPERLINK("https://lsnyc.legalserver.org/matter/dynamic-profile/view/1905394","19-1905394")</f>
        <v>0</v>
      </c>
      <c r="B1535" t="s">
        <v>1377</v>
      </c>
      <c r="C1535" t="s">
        <v>6200</v>
      </c>
      <c r="D1535" t="s">
        <v>9928</v>
      </c>
      <c r="E1535" t="s">
        <v>10075</v>
      </c>
      <c r="F1535">
        <v>11201</v>
      </c>
      <c r="G1535" t="s">
        <v>10093</v>
      </c>
      <c r="H1535" t="s">
        <v>10128</v>
      </c>
      <c r="J1535" t="s">
        <v>10213</v>
      </c>
      <c r="K1535" t="s">
        <v>10218</v>
      </c>
      <c r="L1535" t="s">
        <v>10129</v>
      </c>
      <c r="M1535" t="s">
        <v>10390</v>
      </c>
      <c r="N1535" t="s">
        <v>10644</v>
      </c>
      <c r="P1535" t="s">
        <v>10749</v>
      </c>
      <c r="Q1535" t="s">
        <v>10791</v>
      </c>
      <c r="R1535" t="s">
        <v>10820</v>
      </c>
      <c r="T1535">
        <v>9600</v>
      </c>
      <c r="U1535">
        <v>800</v>
      </c>
      <c r="V1535">
        <v>74</v>
      </c>
      <c r="W1535">
        <v>1</v>
      </c>
      <c r="X1535">
        <v>0</v>
      </c>
      <c r="Y1535" t="s">
        <v>10830</v>
      </c>
      <c r="Z1535">
        <v>76.86</v>
      </c>
      <c r="AA1535">
        <v>40.700116</v>
      </c>
      <c r="AB1535">
        <v>-73.993769</v>
      </c>
      <c r="AD1535" t="s">
        <v>10840</v>
      </c>
      <c r="AG1535" t="s">
        <v>10858</v>
      </c>
      <c r="AH1535" t="s">
        <v>10869</v>
      </c>
      <c r="AI1535">
        <v>239</v>
      </c>
      <c r="AJ1535" t="s">
        <v>10213</v>
      </c>
      <c r="AK1535" t="s">
        <v>10838</v>
      </c>
      <c r="AL1535">
        <v>3.25</v>
      </c>
      <c r="AM1535" t="s">
        <v>10886</v>
      </c>
      <c r="AN1535" t="s">
        <v>10917</v>
      </c>
      <c r="AO1535" t="s">
        <v>11004</v>
      </c>
      <c r="AP1535" t="s">
        <v>11054</v>
      </c>
      <c r="AQ1535" t="s">
        <v>11100</v>
      </c>
      <c r="AR1535" t="s">
        <v>11268</v>
      </c>
      <c r="AS1535" t="s">
        <v>11595</v>
      </c>
      <c r="AY1535" t="s">
        <v>10830</v>
      </c>
      <c r="AZ1535" t="s">
        <v>11697</v>
      </c>
      <c r="BA1535" t="s">
        <v>11740</v>
      </c>
      <c r="BB1535">
        <v>0</v>
      </c>
      <c r="BC1535">
        <v>0</v>
      </c>
      <c r="BD1535">
        <v>0</v>
      </c>
      <c r="BE1535">
        <v>0</v>
      </c>
      <c r="BF1535">
        <v>2</v>
      </c>
      <c r="BG1535">
        <v>0</v>
      </c>
    </row>
    <row r="1536" spans="1:59">
      <c r="A1536" s="1">
        <f>HYPERLINK("https://lsnyc.legalserver.org/matter/dynamic-profile/view/1905395","19-1905395")</f>
        <v>0</v>
      </c>
      <c r="B1536" t="s">
        <v>1378</v>
      </c>
      <c r="C1536" t="s">
        <v>6201</v>
      </c>
      <c r="D1536" t="s">
        <v>9926</v>
      </c>
      <c r="E1536" t="s">
        <v>10075</v>
      </c>
      <c r="F1536">
        <v>10458</v>
      </c>
      <c r="G1536" t="s">
        <v>10090</v>
      </c>
      <c r="H1536" t="s">
        <v>10106</v>
      </c>
      <c r="I1536" t="s">
        <v>10168</v>
      </c>
      <c r="J1536" t="s">
        <v>10210</v>
      </c>
      <c r="K1536" t="s">
        <v>10218</v>
      </c>
      <c r="L1536" t="s">
        <v>10110</v>
      </c>
      <c r="M1536" t="s">
        <v>10262</v>
      </c>
      <c r="N1536" t="s">
        <v>10666</v>
      </c>
      <c r="P1536" t="s">
        <v>10749</v>
      </c>
      <c r="Q1536" t="s">
        <v>10765</v>
      </c>
      <c r="R1536" t="s">
        <v>10821</v>
      </c>
      <c r="T1536">
        <v>31200</v>
      </c>
      <c r="U1536">
        <v>2600</v>
      </c>
      <c r="V1536">
        <v>30</v>
      </c>
      <c r="W1536">
        <v>1</v>
      </c>
      <c r="X1536">
        <v>0</v>
      </c>
      <c r="Y1536" t="s">
        <v>10829</v>
      </c>
      <c r="Z1536">
        <v>249.8</v>
      </c>
      <c r="AA1536">
        <v>40.869995</v>
      </c>
      <c r="AB1536">
        <v>-73.88625500000001</v>
      </c>
      <c r="AD1536" t="s">
        <v>10840</v>
      </c>
      <c r="AG1536" t="s">
        <v>10858</v>
      </c>
      <c r="AH1536" t="s">
        <v>10862</v>
      </c>
      <c r="AI1536">
        <v>230</v>
      </c>
      <c r="AJ1536" t="s">
        <v>10210</v>
      </c>
      <c r="AK1536" t="s">
        <v>10838</v>
      </c>
      <c r="AL1536">
        <v>0.3</v>
      </c>
      <c r="AM1536" t="s">
        <v>10887</v>
      </c>
      <c r="AN1536" t="s">
        <v>10907</v>
      </c>
      <c r="AO1536" t="s">
        <v>11002</v>
      </c>
      <c r="AP1536" t="s">
        <v>11057</v>
      </c>
      <c r="AR1536" t="s">
        <v>11257</v>
      </c>
      <c r="AS1536" t="s">
        <v>9926</v>
      </c>
      <c r="AT1536" t="s">
        <v>11642</v>
      </c>
      <c r="AY1536" t="s">
        <v>10829</v>
      </c>
      <c r="AZ1536" t="s">
        <v>11681</v>
      </c>
      <c r="BA1536" t="s">
        <v>11741</v>
      </c>
      <c r="BB1536">
        <v>0</v>
      </c>
      <c r="BC1536">
        <v>0</v>
      </c>
      <c r="BD1536">
        <v>0</v>
      </c>
      <c r="BE1536">
        <v>0</v>
      </c>
      <c r="BF1536">
        <v>1</v>
      </c>
      <c r="BG1536">
        <v>0</v>
      </c>
    </row>
    <row r="1537" spans="1:59">
      <c r="A1537" s="1">
        <f>HYPERLINK("https://lsnyc.legalserver.org/matter/dynamic-profile/view/1905396","19-1905396")</f>
        <v>0</v>
      </c>
      <c r="B1537" t="s">
        <v>1379</v>
      </c>
      <c r="C1537" t="s">
        <v>6202</v>
      </c>
      <c r="D1537" t="s">
        <v>9926</v>
      </c>
      <c r="E1537" t="s">
        <v>10075</v>
      </c>
      <c r="F1537">
        <v>10467</v>
      </c>
      <c r="G1537" t="s">
        <v>10090</v>
      </c>
      <c r="H1537" t="s">
        <v>10106</v>
      </c>
      <c r="I1537" t="s">
        <v>10168</v>
      </c>
      <c r="J1537" t="s">
        <v>10210</v>
      </c>
      <c r="K1537" t="s">
        <v>10217</v>
      </c>
      <c r="M1537" t="s">
        <v>10417</v>
      </c>
      <c r="N1537" t="s">
        <v>10651</v>
      </c>
      <c r="P1537" t="s">
        <v>10749</v>
      </c>
      <c r="Q1537" t="s">
        <v>10765</v>
      </c>
      <c r="R1537" t="s">
        <v>10824</v>
      </c>
      <c r="T1537">
        <v>39000</v>
      </c>
      <c r="U1537">
        <v>3250</v>
      </c>
      <c r="V1537">
        <v>30</v>
      </c>
      <c r="W1537">
        <v>1</v>
      </c>
      <c r="X1537">
        <v>2</v>
      </c>
      <c r="Z1537">
        <v>182.84</v>
      </c>
      <c r="AA1537">
        <v>40.884947</v>
      </c>
      <c r="AB1537">
        <v>-73.86510800000001</v>
      </c>
      <c r="AD1537" t="s">
        <v>10839</v>
      </c>
      <c r="AF1537" t="s">
        <v>10847</v>
      </c>
      <c r="AG1537" t="s">
        <v>10859</v>
      </c>
      <c r="AH1537" t="s">
        <v>10862</v>
      </c>
      <c r="AI1537">
        <v>230</v>
      </c>
      <c r="AJ1537" t="s">
        <v>10210</v>
      </c>
      <c r="AL1537">
        <v>22.5</v>
      </c>
      <c r="AM1537" t="s">
        <v>10893</v>
      </c>
      <c r="AN1537" t="s">
        <v>10956</v>
      </c>
      <c r="AO1537" t="s">
        <v>11010</v>
      </c>
      <c r="AP1537" t="s">
        <v>11085</v>
      </c>
      <c r="AR1537" t="s">
        <v>11257</v>
      </c>
      <c r="AS1537" t="s">
        <v>9926</v>
      </c>
      <c r="AT1537" t="s">
        <v>11641</v>
      </c>
      <c r="AX1537" t="s">
        <v>10838</v>
      </c>
      <c r="BA1537" t="s">
        <v>11738</v>
      </c>
      <c r="BB1537">
        <v>0</v>
      </c>
      <c r="BC1537">
        <v>0</v>
      </c>
      <c r="BD1537">
        <v>0</v>
      </c>
      <c r="BE1537">
        <v>0</v>
      </c>
      <c r="BF1537">
        <v>5</v>
      </c>
      <c r="BG1537">
        <v>0</v>
      </c>
    </row>
    <row r="1538" spans="1:59">
      <c r="A1538" s="1">
        <f>HYPERLINK("https://lsnyc.legalserver.org/matter/dynamic-profile/view/1905397","19-1905397")</f>
        <v>0</v>
      </c>
      <c r="B1538" t="s">
        <v>1380</v>
      </c>
      <c r="C1538" t="s">
        <v>6203</v>
      </c>
      <c r="D1538" t="s">
        <v>9928</v>
      </c>
      <c r="E1538" t="s">
        <v>10075</v>
      </c>
      <c r="F1538">
        <v>11219</v>
      </c>
      <c r="G1538" t="s">
        <v>10093</v>
      </c>
      <c r="H1538" t="s">
        <v>10115</v>
      </c>
      <c r="I1538" t="s">
        <v>10169</v>
      </c>
      <c r="J1538" t="s">
        <v>10213</v>
      </c>
      <c r="K1538" t="s">
        <v>10217</v>
      </c>
      <c r="M1538" t="s">
        <v>10426</v>
      </c>
      <c r="N1538" t="s">
        <v>10671</v>
      </c>
      <c r="P1538" t="s">
        <v>10751</v>
      </c>
      <c r="Q1538" t="s">
        <v>10761</v>
      </c>
      <c r="R1538" t="s">
        <v>10823</v>
      </c>
      <c r="T1538">
        <v>0</v>
      </c>
      <c r="U1538">
        <v>0</v>
      </c>
      <c r="V1538">
        <v>42</v>
      </c>
      <c r="W1538">
        <v>1</v>
      </c>
      <c r="X1538">
        <v>1</v>
      </c>
      <c r="Z1538">
        <v>0</v>
      </c>
      <c r="AA1538">
        <v>40.624128</v>
      </c>
      <c r="AB1538">
        <v>-74.00055500000001</v>
      </c>
      <c r="AD1538" t="s">
        <v>10839</v>
      </c>
      <c r="AG1538" t="s">
        <v>10858</v>
      </c>
      <c r="AH1538" t="s">
        <v>10862</v>
      </c>
      <c r="AI1538">
        <v>239</v>
      </c>
      <c r="AJ1538" t="s">
        <v>10213</v>
      </c>
      <c r="AL1538">
        <v>13.2</v>
      </c>
      <c r="AM1538" t="s">
        <v>10894</v>
      </c>
      <c r="AN1538" t="s">
        <v>10974</v>
      </c>
      <c r="AO1538" t="s">
        <v>11023</v>
      </c>
      <c r="AP1538" t="s">
        <v>11069</v>
      </c>
      <c r="AR1538" t="s">
        <v>11267</v>
      </c>
      <c r="AS1538" t="s">
        <v>11595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</row>
    <row r="1539" spans="1:59">
      <c r="A1539" s="1">
        <f>HYPERLINK("https://lsnyc.legalserver.org/matter/dynamic-profile/view/1905398","19-1905398")</f>
        <v>0</v>
      </c>
      <c r="B1539" t="s">
        <v>1381</v>
      </c>
      <c r="C1539" t="s">
        <v>6204</v>
      </c>
      <c r="D1539" t="s">
        <v>9929</v>
      </c>
      <c r="E1539" t="s">
        <v>10075</v>
      </c>
      <c r="F1539">
        <v>10310</v>
      </c>
      <c r="G1539" t="s">
        <v>10088</v>
      </c>
      <c r="H1539" t="s">
        <v>10109</v>
      </c>
      <c r="I1539" t="s">
        <v>10168</v>
      </c>
      <c r="J1539" t="s">
        <v>10216</v>
      </c>
      <c r="K1539" t="s">
        <v>10218</v>
      </c>
      <c r="L1539" t="s">
        <v>10113</v>
      </c>
      <c r="M1539" t="s">
        <v>10254</v>
      </c>
      <c r="N1539" t="s">
        <v>10655</v>
      </c>
      <c r="P1539" t="s">
        <v>10749</v>
      </c>
      <c r="Q1539" t="s">
        <v>10765</v>
      </c>
      <c r="R1539" t="s">
        <v>10820</v>
      </c>
      <c r="T1539">
        <v>87200</v>
      </c>
      <c r="U1539">
        <v>7266.67</v>
      </c>
      <c r="V1539">
        <v>56</v>
      </c>
      <c r="W1539">
        <v>3</v>
      </c>
      <c r="X1539">
        <v>0</v>
      </c>
      <c r="Y1539" t="s">
        <v>10829</v>
      </c>
      <c r="Z1539">
        <v>408.81</v>
      </c>
      <c r="AA1539">
        <v>40.624093</v>
      </c>
      <c r="AB1539">
        <v>-74.131455</v>
      </c>
      <c r="AD1539" t="s">
        <v>10840</v>
      </c>
      <c r="AG1539" t="s">
        <v>10858</v>
      </c>
      <c r="AH1539" t="s">
        <v>10861</v>
      </c>
      <c r="AI1539">
        <v>284</v>
      </c>
      <c r="AJ1539" t="s">
        <v>10216</v>
      </c>
      <c r="AK1539" t="s">
        <v>10838</v>
      </c>
      <c r="AL1539">
        <v>0.1</v>
      </c>
      <c r="AM1539" t="s">
        <v>10883</v>
      </c>
      <c r="AN1539" t="s">
        <v>10913</v>
      </c>
      <c r="AO1539" t="s">
        <v>10999</v>
      </c>
      <c r="AP1539" t="s">
        <v>11051</v>
      </c>
      <c r="AR1539" t="s">
        <v>11257</v>
      </c>
      <c r="AS1539" t="s">
        <v>11593</v>
      </c>
      <c r="AY1539" t="s">
        <v>10829</v>
      </c>
      <c r="AZ1539" t="s">
        <v>11681</v>
      </c>
      <c r="BA1539" t="s">
        <v>11741</v>
      </c>
      <c r="BB1539">
        <v>0</v>
      </c>
      <c r="BC1539">
        <v>0</v>
      </c>
      <c r="BD1539">
        <v>0</v>
      </c>
      <c r="BE1539">
        <v>0</v>
      </c>
      <c r="BF1539">
        <v>1</v>
      </c>
      <c r="BG1539">
        <v>0</v>
      </c>
    </row>
    <row r="1540" spans="1:59">
      <c r="A1540" s="1">
        <f>HYPERLINK("https://lsnyc.legalserver.org/matter/dynamic-profile/view/1905399","19-1905399")</f>
        <v>0</v>
      </c>
      <c r="B1540" t="s">
        <v>594</v>
      </c>
      <c r="C1540" t="s">
        <v>5505</v>
      </c>
      <c r="D1540" t="s">
        <v>9952</v>
      </c>
      <c r="E1540" t="s">
        <v>10075</v>
      </c>
      <c r="F1540">
        <v>11429</v>
      </c>
      <c r="G1540" t="s">
        <v>10092</v>
      </c>
      <c r="H1540" t="s">
        <v>10106</v>
      </c>
      <c r="I1540" t="s">
        <v>10168</v>
      </c>
      <c r="J1540" t="s">
        <v>10212</v>
      </c>
      <c r="K1540" t="s">
        <v>10217</v>
      </c>
      <c r="M1540" t="s">
        <v>10423</v>
      </c>
      <c r="N1540" t="s">
        <v>10709</v>
      </c>
      <c r="P1540" t="s">
        <v>10754</v>
      </c>
      <c r="Q1540" t="s">
        <v>10766</v>
      </c>
      <c r="R1540" t="s">
        <v>10821</v>
      </c>
      <c r="T1540">
        <v>0</v>
      </c>
      <c r="U1540">
        <v>0</v>
      </c>
      <c r="V1540">
        <v>50</v>
      </c>
      <c r="W1540">
        <v>1</v>
      </c>
      <c r="X1540">
        <v>1</v>
      </c>
      <c r="Z1540">
        <v>0</v>
      </c>
      <c r="AA1540">
        <v>40.713991</v>
      </c>
      <c r="AB1540">
        <v>-73.74660900000001</v>
      </c>
      <c r="AD1540" t="s">
        <v>10839</v>
      </c>
      <c r="AG1540" t="s">
        <v>10858</v>
      </c>
      <c r="AH1540" t="s">
        <v>10865</v>
      </c>
      <c r="AI1540">
        <v>237</v>
      </c>
      <c r="AJ1540" t="s">
        <v>10212</v>
      </c>
      <c r="AL1540">
        <v>18.5</v>
      </c>
      <c r="AM1540" t="s">
        <v>10892</v>
      </c>
      <c r="AN1540" t="s">
        <v>10940</v>
      </c>
      <c r="AO1540" t="s">
        <v>11020</v>
      </c>
      <c r="AP1540" t="s">
        <v>11075</v>
      </c>
      <c r="AQ1540" t="s">
        <v>11175</v>
      </c>
      <c r="AR1540" t="s">
        <v>11267</v>
      </c>
      <c r="AS1540" t="s">
        <v>11594</v>
      </c>
      <c r="AT1540" t="s">
        <v>11641</v>
      </c>
      <c r="AX1540" t="s">
        <v>10838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</row>
    <row r="1541" spans="1:59">
      <c r="A1541" s="1">
        <f>HYPERLINK("https://lsnyc.legalserver.org/matter/dynamic-profile/view/1905400","19-1905400")</f>
        <v>0</v>
      </c>
      <c r="B1541" t="s">
        <v>1382</v>
      </c>
      <c r="C1541" t="s">
        <v>6205</v>
      </c>
      <c r="D1541" t="s">
        <v>9928</v>
      </c>
      <c r="E1541" t="s">
        <v>10075</v>
      </c>
      <c r="F1541">
        <v>11207</v>
      </c>
      <c r="G1541" t="s">
        <v>10093</v>
      </c>
      <c r="H1541" t="s">
        <v>10106</v>
      </c>
      <c r="I1541" t="s">
        <v>10168</v>
      </c>
      <c r="J1541" t="s">
        <v>10213</v>
      </c>
      <c r="K1541" t="s">
        <v>10218</v>
      </c>
      <c r="L1541" t="s">
        <v>10110</v>
      </c>
      <c r="M1541" t="s">
        <v>10317</v>
      </c>
      <c r="N1541" t="s">
        <v>10671</v>
      </c>
      <c r="P1541" t="s">
        <v>10757</v>
      </c>
      <c r="Q1541" t="s">
        <v>10789</v>
      </c>
      <c r="R1541" t="s">
        <v>10824</v>
      </c>
      <c r="T1541">
        <v>20800</v>
      </c>
      <c r="U1541">
        <v>1733.33</v>
      </c>
      <c r="V1541">
        <v>49</v>
      </c>
      <c r="W1541">
        <v>1</v>
      </c>
      <c r="X1541">
        <v>0</v>
      </c>
      <c r="Y1541" t="s">
        <v>10829</v>
      </c>
      <c r="Z1541">
        <v>166.53</v>
      </c>
      <c r="AA1541">
        <v>40.672536</v>
      </c>
      <c r="AB1541">
        <v>-73.888192</v>
      </c>
      <c r="AD1541" t="s">
        <v>10839</v>
      </c>
      <c r="AG1541" t="s">
        <v>10858</v>
      </c>
      <c r="AH1541" t="s">
        <v>10871</v>
      </c>
      <c r="AI1541">
        <v>234</v>
      </c>
      <c r="AJ1541" t="s">
        <v>10214</v>
      </c>
      <c r="AK1541" t="s">
        <v>10882</v>
      </c>
      <c r="AL1541">
        <v>3.05</v>
      </c>
      <c r="AM1541" t="s">
        <v>10889</v>
      </c>
      <c r="AN1541" t="s">
        <v>10922</v>
      </c>
      <c r="AO1541" t="s">
        <v>11012</v>
      </c>
      <c r="AP1541" t="s">
        <v>11058</v>
      </c>
      <c r="AR1541" t="s">
        <v>11257</v>
      </c>
      <c r="AS1541" t="s">
        <v>11595</v>
      </c>
      <c r="AT1541" t="s">
        <v>11641</v>
      </c>
      <c r="AX1541" t="s">
        <v>10838</v>
      </c>
      <c r="AY1541" t="s">
        <v>10829</v>
      </c>
      <c r="AZ1541" t="s">
        <v>11682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</row>
    <row r="1542" spans="1:59">
      <c r="A1542" s="1">
        <f>HYPERLINK("https://lsnyc.legalserver.org/matter/dynamic-profile/view/1905401","19-1905401")</f>
        <v>0</v>
      </c>
      <c r="B1542" t="s">
        <v>548</v>
      </c>
      <c r="C1542" t="s">
        <v>6206</v>
      </c>
      <c r="D1542" t="s">
        <v>9926</v>
      </c>
      <c r="E1542" t="s">
        <v>10075</v>
      </c>
      <c r="F1542">
        <v>10457</v>
      </c>
      <c r="G1542" t="s">
        <v>10090</v>
      </c>
      <c r="H1542" t="s">
        <v>10106</v>
      </c>
      <c r="I1542" t="s">
        <v>10169</v>
      </c>
      <c r="J1542" t="s">
        <v>10210</v>
      </c>
      <c r="K1542" t="s">
        <v>10217</v>
      </c>
      <c r="M1542" t="s">
        <v>10303</v>
      </c>
      <c r="N1542" t="s">
        <v>10688</v>
      </c>
      <c r="P1542" t="s">
        <v>10751</v>
      </c>
      <c r="Q1542" t="s">
        <v>10761</v>
      </c>
      <c r="R1542" t="s">
        <v>10821</v>
      </c>
      <c r="T1542">
        <v>26000.04</v>
      </c>
      <c r="U1542">
        <v>2166.67</v>
      </c>
      <c r="V1542">
        <v>54</v>
      </c>
      <c r="W1542">
        <v>2</v>
      </c>
      <c r="X1542">
        <v>0</v>
      </c>
      <c r="Z1542">
        <v>153.76</v>
      </c>
      <c r="AA1542">
        <v>40.850948</v>
      </c>
      <c r="AB1542">
        <v>-73.886225</v>
      </c>
      <c r="AD1542" t="s">
        <v>10839</v>
      </c>
      <c r="AG1542" t="s">
        <v>10858</v>
      </c>
      <c r="AH1542" t="s">
        <v>10862</v>
      </c>
      <c r="AI1542">
        <v>230</v>
      </c>
      <c r="AJ1542" t="s">
        <v>10210</v>
      </c>
      <c r="AL1542">
        <v>3.25</v>
      </c>
      <c r="AM1542" t="s">
        <v>10884</v>
      </c>
      <c r="AN1542" t="s">
        <v>10907</v>
      </c>
      <c r="AO1542" t="s">
        <v>11000</v>
      </c>
      <c r="AP1542" t="s">
        <v>11056</v>
      </c>
      <c r="AR1542" t="s">
        <v>11257</v>
      </c>
      <c r="AS1542" t="s">
        <v>9926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</row>
    <row r="1543" spans="1:59">
      <c r="A1543" s="1">
        <f>HYPERLINK("https://lsnyc.legalserver.org/matter/dynamic-profile/view/1905402","19-1905402")</f>
        <v>0</v>
      </c>
      <c r="B1543" t="s">
        <v>1383</v>
      </c>
      <c r="C1543" t="s">
        <v>6207</v>
      </c>
      <c r="D1543" t="s">
        <v>9926</v>
      </c>
      <c r="E1543" t="s">
        <v>10075</v>
      </c>
      <c r="F1543">
        <v>10469</v>
      </c>
      <c r="G1543" t="s">
        <v>10090</v>
      </c>
      <c r="H1543" t="s">
        <v>10106</v>
      </c>
      <c r="I1543" t="s">
        <v>10169</v>
      </c>
      <c r="J1543" t="s">
        <v>10210</v>
      </c>
      <c r="K1543" t="s">
        <v>10217</v>
      </c>
      <c r="M1543" t="s">
        <v>10336</v>
      </c>
      <c r="N1543" t="s">
        <v>10671</v>
      </c>
      <c r="P1543" t="s">
        <v>10754</v>
      </c>
      <c r="Q1543" t="s">
        <v>10777</v>
      </c>
      <c r="R1543" t="s">
        <v>10821</v>
      </c>
      <c r="T1543">
        <v>10000</v>
      </c>
      <c r="U1543">
        <v>833.33</v>
      </c>
      <c r="V1543">
        <v>23</v>
      </c>
      <c r="W1543">
        <v>1</v>
      </c>
      <c r="X1543">
        <v>0</v>
      </c>
      <c r="Z1543">
        <v>80.06</v>
      </c>
      <c r="AA1543">
        <v>40.863306</v>
      </c>
      <c r="AB1543">
        <v>-73.842033</v>
      </c>
      <c r="AD1543" t="s">
        <v>10839</v>
      </c>
      <c r="AG1543" t="s">
        <v>10858</v>
      </c>
      <c r="AH1543" t="s">
        <v>10861</v>
      </c>
      <c r="AI1543">
        <v>234</v>
      </c>
      <c r="AJ1543" t="s">
        <v>10214</v>
      </c>
      <c r="AL1543">
        <v>5.15</v>
      </c>
      <c r="AM1543" t="s">
        <v>10885</v>
      </c>
      <c r="AN1543" t="s">
        <v>10938</v>
      </c>
      <c r="AO1543" t="s">
        <v>11002</v>
      </c>
      <c r="AP1543" t="s">
        <v>11049</v>
      </c>
      <c r="AR1543" t="s">
        <v>11257</v>
      </c>
      <c r="AS1543" t="s">
        <v>9926</v>
      </c>
      <c r="AT1543" t="s">
        <v>11641</v>
      </c>
      <c r="AX1543" t="s">
        <v>10838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</row>
    <row r="1544" spans="1:59">
      <c r="A1544" s="1">
        <f>HYPERLINK("https://lsnyc.legalserver.org/matter/dynamic-profile/view/1905403","19-1905403")</f>
        <v>0</v>
      </c>
      <c r="B1544" t="s">
        <v>1376</v>
      </c>
      <c r="C1544" t="s">
        <v>6199</v>
      </c>
      <c r="D1544" t="s">
        <v>9928</v>
      </c>
      <c r="E1544" t="s">
        <v>10075</v>
      </c>
      <c r="F1544">
        <v>11213</v>
      </c>
      <c r="G1544" t="s">
        <v>10093</v>
      </c>
      <c r="H1544" t="s">
        <v>10106</v>
      </c>
      <c r="I1544" t="s">
        <v>10169</v>
      </c>
      <c r="J1544" t="s">
        <v>10213</v>
      </c>
      <c r="K1544" t="s">
        <v>10218</v>
      </c>
      <c r="L1544" t="s">
        <v>10096</v>
      </c>
      <c r="M1544" t="s">
        <v>10265</v>
      </c>
      <c r="N1544" t="s">
        <v>10644</v>
      </c>
      <c r="P1544" t="s">
        <v>10751</v>
      </c>
      <c r="Q1544" t="s">
        <v>10761</v>
      </c>
      <c r="R1544" t="s">
        <v>10821</v>
      </c>
      <c r="T1544">
        <v>4080</v>
      </c>
      <c r="U1544">
        <v>340</v>
      </c>
      <c r="V1544">
        <v>66</v>
      </c>
      <c r="W1544">
        <v>1</v>
      </c>
      <c r="X1544">
        <v>0</v>
      </c>
      <c r="Y1544" t="s">
        <v>10832</v>
      </c>
      <c r="Z1544">
        <v>32.67</v>
      </c>
      <c r="AA1544">
        <v>40.667172</v>
      </c>
      <c r="AB1544">
        <v>-73.92916200000001</v>
      </c>
      <c r="AD1544" t="s">
        <v>10839</v>
      </c>
      <c r="AG1544" t="s">
        <v>10858</v>
      </c>
      <c r="AH1544" t="s">
        <v>10862</v>
      </c>
      <c r="AI1544">
        <v>239</v>
      </c>
      <c r="AJ1544" t="s">
        <v>10213</v>
      </c>
      <c r="AK1544" t="s">
        <v>10838</v>
      </c>
      <c r="AL1544">
        <v>2.6</v>
      </c>
      <c r="AM1544" t="s">
        <v>10888</v>
      </c>
      <c r="AN1544" t="s">
        <v>10922</v>
      </c>
      <c r="AO1544" t="s">
        <v>11005</v>
      </c>
      <c r="AP1544" t="s">
        <v>11064</v>
      </c>
      <c r="AR1544" t="s">
        <v>11253</v>
      </c>
      <c r="AS1544" t="s">
        <v>11595</v>
      </c>
      <c r="AY1544" t="s">
        <v>10832</v>
      </c>
      <c r="AZ1544" t="s">
        <v>11688</v>
      </c>
      <c r="BA1544" t="s">
        <v>11737</v>
      </c>
      <c r="BB1544">
        <v>0</v>
      </c>
      <c r="BC1544">
        <v>0</v>
      </c>
      <c r="BD1544">
        <v>0</v>
      </c>
      <c r="BE1544">
        <v>0</v>
      </c>
      <c r="BF1544">
        <v>3</v>
      </c>
      <c r="BG1544">
        <v>0</v>
      </c>
    </row>
    <row r="1545" spans="1:59">
      <c r="A1545" s="1">
        <f>HYPERLINK("https://lsnyc.legalserver.org/matter/dynamic-profile/view/1905404","19-1905404")</f>
        <v>0</v>
      </c>
      <c r="B1545" t="s">
        <v>1384</v>
      </c>
      <c r="C1545" t="s">
        <v>6208</v>
      </c>
      <c r="D1545" t="s">
        <v>9928</v>
      </c>
      <c r="E1545" t="s">
        <v>10075</v>
      </c>
      <c r="F1545">
        <v>11216</v>
      </c>
      <c r="G1545" t="s">
        <v>10093</v>
      </c>
      <c r="H1545" t="s">
        <v>10106</v>
      </c>
      <c r="I1545" t="s">
        <v>10168</v>
      </c>
      <c r="J1545" t="s">
        <v>10213</v>
      </c>
      <c r="K1545" t="s">
        <v>10218</v>
      </c>
      <c r="L1545" t="s">
        <v>10146</v>
      </c>
      <c r="M1545" t="s">
        <v>10317</v>
      </c>
      <c r="N1545" t="s">
        <v>10671</v>
      </c>
      <c r="P1545" t="s">
        <v>10757</v>
      </c>
      <c r="Q1545" t="s">
        <v>10789</v>
      </c>
      <c r="R1545" t="s">
        <v>10824</v>
      </c>
      <c r="T1545">
        <v>22230.96</v>
      </c>
      <c r="U1545">
        <v>1852.58</v>
      </c>
      <c r="V1545">
        <v>73</v>
      </c>
      <c r="W1545">
        <v>1</v>
      </c>
      <c r="X1545">
        <v>0</v>
      </c>
      <c r="Y1545" t="s">
        <v>10829</v>
      </c>
      <c r="Z1545">
        <v>177.99</v>
      </c>
      <c r="AA1545">
        <v>40.686109</v>
      </c>
      <c r="AB1545">
        <v>-73.94694699999999</v>
      </c>
      <c r="AD1545" t="s">
        <v>10839</v>
      </c>
      <c r="AG1545" t="s">
        <v>10858</v>
      </c>
      <c r="AH1545" t="s">
        <v>10861</v>
      </c>
      <c r="AI1545">
        <v>234</v>
      </c>
      <c r="AJ1545" t="s">
        <v>10214</v>
      </c>
      <c r="AK1545" t="s">
        <v>10838</v>
      </c>
      <c r="AL1545">
        <v>1.9</v>
      </c>
      <c r="AM1545" t="s">
        <v>10889</v>
      </c>
      <c r="AN1545" t="s">
        <v>10914</v>
      </c>
      <c r="AO1545" t="s">
        <v>11007</v>
      </c>
      <c r="AP1545" t="s">
        <v>11052</v>
      </c>
      <c r="AR1545" t="s">
        <v>11345</v>
      </c>
      <c r="AS1545" t="s">
        <v>11595</v>
      </c>
      <c r="AT1545" t="s">
        <v>11641</v>
      </c>
      <c r="AX1545" t="s">
        <v>10838</v>
      </c>
      <c r="AY1545" t="s">
        <v>10829</v>
      </c>
      <c r="AZ1545" t="s">
        <v>11720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</row>
    <row r="1546" spans="1:59">
      <c r="A1546" s="1">
        <f>HYPERLINK("https://lsnyc.legalserver.org/matter/dynamic-profile/view/1905405","19-1905405")</f>
        <v>0</v>
      </c>
      <c r="B1546" t="s">
        <v>1379</v>
      </c>
      <c r="C1546" t="s">
        <v>6202</v>
      </c>
      <c r="D1546" t="s">
        <v>9926</v>
      </c>
      <c r="E1546" t="s">
        <v>10075</v>
      </c>
      <c r="F1546">
        <v>10467</v>
      </c>
      <c r="G1546" t="s">
        <v>10090</v>
      </c>
      <c r="H1546" t="s">
        <v>10106</v>
      </c>
      <c r="I1546" t="s">
        <v>10168</v>
      </c>
      <c r="J1546" t="s">
        <v>10210</v>
      </c>
      <c r="K1546" t="s">
        <v>10217</v>
      </c>
      <c r="M1546" t="s">
        <v>10417</v>
      </c>
      <c r="N1546" t="s">
        <v>10646</v>
      </c>
      <c r="P1546" t="s">
        <v>10751</v>
      </c>
      <c r="Q1546" t="s">
        <v>10761</v>
      </c>
      <c r="R1546" t="s">
        <v>10824</v>
      </c>
      <c r="T1546">
        <v>47216</v>
      </c>
      <c r="U1546">
        <v>3934.67</v>
      </c>
      <c r="V1546">
        <v>30</v>
      </c>
      <c r="W1546">
        <v>1</v>
      </c>
      <c r="X1546">
        <v>2</v>
      </c>
      <c r="Z1546">
        <v>221.36</v>
      </c>
      <c r="AA1546">
        <v>40.884947</v>
      </c>
      <c r="AB1546">
        <v>-73.86510800000001</v>
      </c>
      <c r="AD1546" t="s">
        <v>10839</v>
      </c>
      <c r="AF1546" t="s">
        <v>10847</v>
      </c>
      <c r="AG1546" t="s">
        <v>10859</v>
      </c>
      <c r="AH1546" t="s">
        <v>10862</v>
      </c>
      <c r="AI1546">
        <v>230</v>
      </c>
      <c r="AJ1546" t="s">
        <v>10210</v>
      </c>
      <c r="AL1546">
        <v>1.5</v>
      </c>
      <c r="AM1546" t="s">
        <v>10893</v>
      </c>
      <c r="AN1546" t="s">
        <v>10956</v>
      </c>
      <c r="AO1546" t="s">
        <v>11010</v>
      </c>
      <c r="AP1546" t="s">
        <v>11085</v>
      </c>
      <c r="AR1546" t="s">
        <v>11335</v>
      </c>
      <c r="AS1546" t="s">
        <v>9926</v>
      </c>
      <c r="AT1546" t="s">
        <v>11641</v>
      </c>
      <c r="AX1546" t="s">
        <v>10838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</row>
    <row r="1547" spans="1:59">
      <c r="A1547" s="1">
        <f>HYPERLINK("https://lsnyc.legalserver.org/matter/dynamic-profile/view/1905406","19-1905406")</f>
        <v>0</v>
      </c>
      <c r="B1547" t="s">
        <v>1385</v>
      </c>
      <c r="C1547" t="s">
        <v>6209</v>
      </c>
      <c r="D1547" t="s">
        <v>9929</v>
      </c>
      <c r="E1547" t="s">
        <v>10075</v>
      </c>
      <c r="F1547">
        <v>10314</v>
      </c>
      <c r="G1547" t="s">
        <v>10088</v>
      </c>
      <c r="H1547" t="s">
        <v>10106</v>
      </c>
      <c r="I1547" t="s">
        <v>10168</v>
      </c>
      <c r="J1547" t="s">
        <v>10208</v>
      </c>
      <c r="K1547" t="s">
        <v>10217</v>
      </c>
      <c r="M1547" t="s">
        <v>10240</v>
      </c>
      <c r="N1547" t="s">
        <v>10655</v>
      </c>
      <c r="P1547" t="s">
        <v>10749</v>
      </c>
      <c r="Q1547" t="s">
        <v>10765</v>
      </c>
      <c r="R1547" t="s">
        <v>10824</v>
      </c>
      <c r="T1547">
        <v>3770</v>
      </c>
      <c r="U1547">
        <v>314.17</v>
      </c>
      <c r="V1547">
        <v>27</v>
      </c>
      <c r="W1547">
        <v>2</v>
      </c>
      <c r="X1547">
        <v>1</v>
      </c>
      <c r="Z1547">
        <v>17.67</v>
      </c>
      <c r="AA1547">
        <v>40.618232</v>
      </c>
      <c r="AB1547">
        <v>-74.165306</v>
      </c>
      <c r="AD1547" t="s">
        <v>10839</v>
      </c>
      <c r="AF1547" t="s">
        <v>10843</v>
      </c>
      <c r="AG1547" t="s">
        <v>10859</v>
      </c>
      <c r="AH1547" t="s">
        <v>10862</v>
      </c>
      <c r="AI1547">
        <v>285</v>
      </c>
      <c r="AJ1547" t="s">
        <v>10208</v>
      </c>
      <c r="AL1547">
        <v>2.7</v>
      </c>
      <c r="AM1547" t="s">
        <v>10883</v>
      </c>
      <c r="AN1547" t="s">
        <v>10928</v>
      </c>
      <c r="AO1547" t="s">
        <v>10999</v>
      </c>
      <c r="AP1547" t="s">
        <v>11063</v>
      </c>
      <c r="AR1547" t="s">
        <v>11292</v>
      </c>
      <c r="AS1547" t="s">
        <v>11593</v>
      </c>
      <c r="BA1547" t="s">
        <v>11738</v>
      </c>
      <c r="BB1547">
        <v>0</v>
      </c>
      <c r="BC1547">
        <v>0</v>
      </c>
      <c r="BD1547">
        <v>0</v>
      </c>
      <c r="BE1547">
        <v>0</v>
      </c>
      <c r="BF1547">
        <v>5</v>
      </c>
      <c r="BG1547">
        <v>0</v>
      </c>
    </row>
    <row r="1548" spans="1:59">
      <c r="A1548" s="1">
        <f>HYPERLINK("https://lsnyc.legalserver.org/matter/dynamic-profile/view/1905407","19-1905407")</f>
        <v>0</v>
      </c>
      <c r="B1548" t="s">
        <v>1386</v>
      </c>
      <c r="C1548" t="s">
        <v>6210</v>
      </c>
      <c r="D1548" t="s">
        <v>9926</v>
      </c>
      <c r="E1548" t="s">
        <v>10075</v>
      </c>
      <c r="F1548">
        <v>10458</v>
      </c>
      <c r="G1548" t="s">
        <v>10090</v>
      </c>
      <c r="H1548" t="s">
        <v>10106</v>
      </c>
      <c r="I1548" t="s">
        <v>10168</v>
      </c>
      <c r="J1548" t="s">
        <v>10210</v>
      </c>
      <c r="K1548" t="s">
        <v>10218</v>
      </c>
      <c r="L1548" t="s">
        <v>10110</v>
      </c>
      <c r="M1548" t="s">
        <v>10262</v>
      </c>
      <c r="N1548" t="s">
        <v>10666</v>
      </c>
      <c r="P1548" t="s">
        <v>10749</v>
      </c>
      <c r="Q1548" t="s">
        <v>10765</v>
      </c>
      <c r="R1548" t="s">
        <v>10827</v>
      </c>
      <c r="T1548">
        <v>19500</v>
      </c>
      <c r="U1548">
        <v>1625</v>
      </c>
      <c r="V1548">
        <v>67</v>
      </c>
      <c r="W1548">
        <v>1</v>
      </c>
      <c r="X1548">
        <v>0</v>
      </c>
      <c r="Y1548" t="s">
        <v>10829</v>
      </c>
      <c r="Z1548">
        <v>156.12</v>
      </c>
      <c r="AA1548">
        <v>40.87427</v>
      </c>
      <c r="AB1548">
        <v>-73.885535</v>
      </c>
      <c r="AD1548" t="s">
        <v>10840</v>
      </c>
      <c r="AF1548" t="s">
        <v>10843</v>
      </c>
      <c r="AG1548" t="s">
        <v>10859</v>
      </c>
      <c r="AH1548" t="s">
        <v>10862</v>
      </c>
      <c r="AI1548">
        <v>230</v>
      </c>
      <c r="AJ1548" t="s">
        <v>10210</v>
      </c>
      <c r="AK1548" t="s">
        <v>10838</v>
      </c>
      <c r="AL1548">
        <v>0.9</v>
      </c>
      <c r="AM1548" t="s">
        <v>10887</v>
      </c>
      <c r="AN1548" t="s">
        <v>10907</v>
      </c>
      <c r="AO1548" t="s">
        <v>11010</v>
      </c>
      <c r="AP1548" t="s">
        <v>11057</v>
      </c>
      <c r="AR1548" t="s">
        <v>11268</v>
      </c>
      <c r="AS1548" t="s">
        <v>9926</v>
      </c>
      <c r="AY1548" t="s">
        <v>10829</v>
      </c>
      <c r="AZ1548" t="s">
        <v>11681</v>
      </c>
      <c r="BA1548" t="s">
        <v>11741</v>
      </c>
      <c r="BB1548">
        <v>0</v>
      </c>
      <c r="BC1548">
        <v>0</v>
      </c>
      <c r="BD1548">
        <v>0</v>
      </c>
      <c r="BE1548">
        <v>0</v>
      </c>
      <c r="BF1548">
        <v>1</v>
      </c>
      <c r="BG1548">
        <v>0</v>
      </c>
    </row>
    <row r="1549" spans="1:59">
      <c r="A1549" s="1">
        <f>HYPERLINK("https://lsnyc.legalserver.org/matter/dynamic-profile/view/1905408","19-1905408")</f>
        <v>0</v>
      </c>
      <c r="B1549" t="s">
        <v>1263</v>
      </c>
      <c r="C1549" t="s">
        <v>6211</v>
      </c>
      <c r="D1549" t="s">
        <v>9926</v>
      </c>
      <c r="E1549" t="s">
        <v>10075</v>
      </c>
      <c r="F1549">
        <v>10468</v>
      </c>
      <c r="G1549" t="s">
        <v>10090</v>
      </c>
      <c r="H1549" t="s">
        <v>10106</v>
      </c>
      <c r="I1549" t="s">
        <v>10168</v>
      </c>
      <c r="J1549" t="s">
        <v>10210</v>
      </c>
      <c r="K1549" t="s">
        <v>10218</v>
      </c>
      <c r="L1549" t="s">
        <v>10110</v>
      </c>
      <c r="M1549" t="s">
        <v>10234</v>
      </c>
      <c r="N1549" t="s">
        <v>10650</v>
      </c>
      <c r="P1549" t="s">
        <v>10749</v>
      </c>
      <c r="Q1549" t="s">
        <v>10765</v>
      </c>
      <c r="R1549" t="s">
        <v>10824</v>
      </c>
      <c r="T1549">
        <v>40000</v>
      </c>
      <c r="U1549">
        <v>3333.33</v>
      </c>
      <c r="V1549">
        <v>71</v>
      </c>
      <c r="W1549">
        <v>2</v>
      </c>
      <c r="X1549">
        <v>0</v>
      </c>
      <c r="Y1549" t="s">
        <v>10829</v>
      </c>
      <c r="Z1549">
        <v>236.55</v>
      </c>
      <c r="AA1549">
        <v>40.870936</v>
      </c>
      <c r="AB1549">
        <v>-73.900649</v>
      </c>
      <c r="AD1549" t="s">
        <v>10839</v>
      </c>
      <c r="AG1549" t="s">
        <v>10858</v>
      </c>
      <c r="AH1549" t="s">
        <v>10862</v>
      </c>
      <c r="AI1549">
        <v>230</v>
      </c>
      <c r="AJ1549" t="s">
        <v>10210</v>
      </c>
      <c r="AK1549" t="s">
        <v>10838</v>
      </c>
      <c r="AL1549">
        <v>1</v>
      </c>
      <c r="AM1549" t="s">
        <v>10887</v>
      </c>
      <c r="AN1549" t="s">
        <v>10919</v>
      </c>
      <c r="AO1549" t="s">
        <v>11000</v>
      </c>
      <c r="AP1549" t="s">
        <v>11045</v>
      </c>
      <c r="AR1549" t="s">
        <v>11270</v>
      </c>
      <c r="AS1549" t="s">
        <v>9926</v>
      </c>
      <c r="AY1549" t="s">
        <v>10829</v>
      </c>
      <c r="AZ1549" t="s">
        <v>11681</v>
      </c>
      <c r="BA1549" t="s">
        <v>11741</v>
      </c>
      <c r="BB1549">
        <v>0</v>
      </c>
      <c r="BC1549">
        <v>0</v>
      </c>
      <c r="BD1549">
        <v>0</v>
      </c>
      <c r="BE1549">
        <v>0</v>
      </c>
      <c r="BF1549">
        <v>1</v>
      </c>
      <c r="BG1549">
        <v>0</v>
      </c>
    </row>
    <row r="1550" spans="1:59">
      <c r="A1550" s="1">
        <f>HYPERLINK("https://lsnyc.legalserver.org/matter/dynamic-profile/view/1905409","19-1905409")</f>
        <v>0</v>
      </c>
      <c r="B1550" t="s">
        <v>1387</v>
      </c>
      <c r="C1550" t="s">
        <v>6196</v>
      </c>
      <c r="D1550" t="s">
        <v>9938</v>
      </c>
      <c r="E1550" t="s">
        <v>10075</v>
      </c>
      <c r="F1550">
        <v>11432</v>
      </c>
      <c r="G1550" t="s">
        <v>10092</v>
      </c>
      <c r="H1550" t="s">
        <v>10130</v>
      </c>
      <c r="I1550" t="s">
        <v>10169</v>
      </c>
      <c r="J1550" t="s">
        <v>10212</v>
      </c>
      <c r="K1550" t="s">
        <v>10217</v>
      </c>
      <c r="M1550" t="s">
        <v>10232</v>
      </c>
      <c r="N1550" t="s">
        <v>10679</v>
      </c>
      <c r="P1550" t="s">
        <v>10753</v>
      </c>
      <c r="Q1550" t="s">
        <v>10763</v>
      </c>
      <c r="R1550" t="s">
        <v>10823</v>
      </c>
      <c r="T1550">
        <v>30800</v>
      </c>
      <c r="U1550">
        <v>2566.67</v>
      </c>
      <c r="V1550">
        <v>7</v>
      </c>
      <c r="W1550">
        <v>2</v>
      </c>
      <c r="X1550">
        <v>3</v>
      </c>
      <c r="Z1550">
        <v>102.09</v>
      </c>
      <c r="AA1550">
        <v>40.705203</v>
      </c>
      <c r="AB1550">
        <v>-73.798963</v>
      </c>
      <c r="AD1550" t="s">
        <v>10839</v>
      </c>
      <c r="AF1550" t="s">
        <v>10851</v>
      </c>
      <c r="AG1550" t="s">
        <v>10859</v>
      </c>
      <c r="AH1550" t="s">
        <v>10864</v>
      </c>
      <c r="AI1550">
        <v>237</v>
      </c>
      <c r="AJ1550" t="s">
        <v>10212</v>
      </c>
      <c r="AL1550">
        <v>0.7</v>
      </c>
      <c r="AM1550" t="s">
        <v>10892</v>
      </c>
      <c r="AN1550" t="s">
        <v>10951</v>
      </c>
      <c r="AO1550" t="s">
        <v>11020</v>
      </c>
      <c r="AP1550" t="s">
        <v>11081</v>
      </c>
      <c r="AQ1550" t="s">
        <v>11119</v>
      </c>
      <c r="AR1550" t="s">
        <v>11257</v>
      </c>
      <c r="AS1550" t="s">
        <v>11594</v>
      </c>
      <c r="BA1550" t="s">
        <v>11743</v>
      </c>
      <c r="BB1550">
        <v>0</v>
      </c>
      <c r="BC1550">
        <v>0</v>
      </c>
      <c r="BD1550">
        <v>0</v>
      </c>
      <c r="BE1550">
        <v>0</v>
      </c>
      <c r="BF1550">
        <v>40</v>
      </c>
      <c r="BG1550">
        <v>0</v>
      </c>
    </row>
    <row r="1551" spans="1:59">
      <c r="A1551" s="1">
        <f>HYPERLINK("https://lsnyc.legalserver.org/matter/dynamic-profile/view/1905410","19-1905410")</f>
        <v>0</v>
      </c>
      <c r="B1551" t="s">
        <v>1388</v>
      </c>
      <c r="C1551" t="s">
        <v>6212</v>
      </c>
      <c r="D1551" t="s">
        <v>9926</v>
      </c>
      <c r="E1551" t="s">
        <v>10075</v>
      </c>
      <c r="F1551">
        <v>10453</v>
      </c>
      <c r="G1551" t="s">
        <v>10090</v>
      </c>
      <c r="H1551" t="s">
        <v>10106</v>
      </c>
      <c r="I1551" t="s">
        <v>10168</v>
      </c>
      <c r="J1551" t="s">
        <v>10210</v>
      </c>
      <c r="K1551" t="s">
        <v>10217</v>
      </c>
      <c r="M1551" t="s">
        <v>10272</v>
      </c>
      <c r="N1551" t="s">
        <v>10650</v>
      </c>
      <c r="P1551" t="s">
        <v>10749</v>
      </c>
      <c r="Q1551" t="s">
        <v>10765</v>
      </c>
      <c r="R1551" t="s">
        <v>10824</v>
      </c>
      <c r="T1551">
        <v>23400</v>
      </c>
      <c r="U1551">
        <v>1950</v>
      </c>
      <c r="V1551">
        <v>42</v>
      </c>
      <c r="W1551">
        <v>1</v>
      </c>
      <c r="X1551">
        <v>0</v>
      </c>
      <c r="Z1551">
        <v>187.35</v>
      </c>
      <c r="AA1551">
        <v>40.85153</v>
      </c>
      <c r="AB1551">
        <v>-73.923373</v>
      </c>
      <c r="AD1551" t="s">
        <v>10839</v>
      </c>
      <c r="AG1551" t="s">
        <v>10858</v>
      </c>
      <c r="AH1551" t="s">
        <v>10861</v>
      </c>
      <c r="AI1551">
        <v>234</v>
      </c>
      <c r="AJ1551" t="s">
        <v>10214</v>
      </c>
      <c r="AL1551">
        <v>16.5</v>
      </c>
      <c r="AR1551" t="s">
        <v>11257</v>
      </c>
      <c r="AS1551" t="s">
        <v>9926</v>
      </c>
      <c r="AT1551" t="s">
        <v>11641</v>
      </c>
      <c r="AX1551" t="s">
        <v>10838</v>
      </c>
      <c r="BA1551" t="s">
        <v>11742</v>
      </c>
      <c r="BB1551">
        <v>0</v>
      </c>
      <c r="BC1551">
        <v>0</v>
      </c>
      <c r="BD1551">
        <v>0</v>
      </c>
      <c r="BE1551">
        <v>0</v>
      </c>
      <c r="BF1551">
        <v>7</v>
      </c>
      <c r="BG1551">
        <v>0</v>
      </c>
    </row>
    <row r="1552" spans="1:59">
      <c r="A1552" s="1">
        <f>HYPERLINK("https://lsnyc.legalserver.org/matter/dynamic-profile/view/1905411","19-1905411")</f>
        <v>0</v>
      </c>
      <c r="B1552" t="s">
        <v>1389</v>
      </c>
      <c r="C1552" t="s">
        <v>6213</v>
      </c>
      <c r="D1552" t="s">
        <v>9926</v>
      </c>
      <c r="E1552" t="s">
        <v>10075</v>
      </c>
      <c r="F1552">
        <v>10457</v>
      </c>
      <c r="G1552" t="s">
        <v>10090</v>
      </c>
      <c r="H1552" t="s">
        <v>10106</v>
      </c>
      <c r="I1552" t="s">
        <v>10169</v>
      </c>
      <c r="J1552" t="s">
        <v>10210</v>
      </c>
      <c r="K1552" t="s">
        <v>10217</v>
      </c>
      <c r="M1552" t="s">
        <v>10234</v>
      </c>
      <c r="N1552" t="s">
        <v>10650</v>
      </c>
      <c r="P1552" t="s">
        <v>10749</v>
      </c>
      <c r="Q1552" t="s">
        <v>10765</v>
      </c>
      <c r="R1552" t="s">
        <v>10821</v>
      </c>
      <c r="T1552">
        <v>36000</v>
      </c>
      <c r="U1552">
        <v>3000</v>
      </c>
      <c r="V1552">
        <v>49</v>
      </c>
      <c r="W1552">
        <v>2</v>
      </c>
      <c r="X1552">
        <v>0</v>
      </c>
      <c r="Z1552">
        <v>212.89</v>
      </c>
      <c r="AA1552">
        <v>40.840974</v>
      </c>
      <c r="AB1552">
        <v>-73.91095199999999</v>
      </c>
      <c r="AD1552" t="s">
        <v>10839</v>
      </c>
      <c r="AG1552" t="s">
        <v>10858</v>
      </c>
      <c r="AH1552" t="s">
        <v>10862</v>
      </c>
      <c r="AI1552">
        <v>230</v>
      </c>
      <c r="AJ1552" t="s">
        <v>10210</v>
      </c>
      <c r="AK1552" t="s">
        <v>10838</v>
      </c>
      <c r="AL1552">
        <v>3</v>
      </c>
      <c r="AM1552" t="s">
        <v>10884</v>
      </c>
      <c r="AN1552" t="s">
        <v>10929</v>
      </c>
      <c r="AO1552" t="s">
        <v>11000</v>
      </c>
      <c r="AP1552" t="s">
        <v>11055</v>
      </c>
      <c r="AR1552" t="s">
        <v>11257</v>
      </c>
      <c r="AS1552" t="s">
        <v>9926</v>
      </c>
      <c r="AZ1552" t="s">
        <v>11681</v>
      </c>
      <c r="BA1552" t="s">
        <v>11740</v>
      </c>
      <c r="BB1552">
        <v>0</v>
      </c>
      <c r="BC1552">
        <v>0</v>
      </c>
      <c r="BD1552">
        <v>0</v>
      </c>
      <c r="BE1552">
        <v>0</v>
      </c>
      <c r="BF1552">
        <v>2</v>
      </c>
      <c r="BG1552">
        <v>0</v>
      </c>
    </row>
    <row r="1553" spans="1:59">
      <c r="A1553" s="1">
        <f>HYPERLINK("https://lsnyc.legalserver.org/matter/dynamic-profile/view/1905412","19-1905412")</f>
        <v>0</v>
      </c>
      <c r="B1553" t="s">
        <v>1390</v>
      </c>
      <c r="C1553" t="s">
        <v>6214</v>
      </c>
      <c r="D1553" t="s">
        <v>9926</v>
      </c>
      <c r="E1553" t="s">
        <v>10075</v>
      </c>
      <c r="F1553">
        <v>10457</v>
      </c>
      <c r="G1553" t="s">
        <v>10090</v>
      </c>
      <c r="H1553" t="s">
        <v>10106</v>
      </c>
      <c r="I1553" t="s">
        <v>10168</v>
      </c>
      <c r="J1553" t="s">
        <v>10210</v>
      </c>
      <c r="K1553" t="s">
        <v>10218</v>
      </c>
      <c r="L1553" t="s">
        <v>10121</v>
      </c>
      <c r="M1553" t="s">
        <v>10234</v>
      </c>
      <c r="N1553" t="s">
        <v>10650</v>
      </c>
      <c r="P1553" t="s">
        <v>10749</v>
      </c>
      <c r="Q1553" t="s">
        <v>10765</v>
      </c>
      <c r="R1553" t="s">
        <v>10824</v>
      </c>
      <c r="T1553">
        <v>60000</v>
      </c>
      <c r="U1553">
        <v>5000</v>
      </c>
      <c r="V1553">
        <v>65</v>
      </c>
      <c r="W1553">
        <v>1</v>
      </c>
      <c r="X1553">
        <v>0</v>
      </c>
      <c r="Y1553" t="s">
        <v>10829</v>
      </c>
      <c r="Z1553">
        <v>480.38</v>
      </c>
      <c r="AA1553">
        <v>40.846756</v>
      </c>
      <c r="AB1553">
        <v>-73.903419</v>
      </c>
      <c r="AD1553" t="s">
        <v>10839</v>
      </c>
      <c r="AG1553" t="s">
        <v>10858</v>
      </c>
      <c r="AH1553" t="s">
        <v>10862</v>
      </c>
      <c r="AI1553">
        <v>230</v>
      </c>
      <c r="AJ1553" t="s">
        <v>10210</v>
      </c>
      <c r="AK1553" t="s">
        <v>10838</v>
      </c>
      <c r="AL1553">
        <v>1.25</v>
      </c>
      <c r="AM1553" t="s">
        <v>10884</v>
      </c>
      <c r="AN1553" t="s">
        <v>10931</v>
      </c>
      <c r="AO1553" t="s">
        <v>11000</v>
      </c>
      <c r="AP1553" t="s">
        <v>11056</v>
      </c>
      <c r="AR1553" t="s">
        <v>11257</v>
      </c>
      <c r="AS1553" t="s">
        <v>9926</v>
      </c>
      <c r="AY1553" t="s">
        <v>10829</v>
      </c>
      <c r="AZ1553" t="s">
        <v>11681</v>
      </c>
      <c r="BA1553" t="s">
        <v>11741</v>
      </c>
      <c r="BB1553">
        <v>0</v>
      </c>
      <c r="BC1553">
        <v>0</v>
      </c>
      <c r="BD1553">
        <v>0</v>
      </c>
      <c r="BE1553">
        <v>0</v>
      </c>
      <c r="BF1553">
        <v>1</v>
      </c>
      <c r="BG1553">
        <v>0</v>
      </c>
    </row>
    <row r="1554" spans="1:59">
      <c r="A1554" s="1">
        <f>HYPERLINK("https://lsnyc.legalserver.org/matter/dynamic-profile/view/1905413","19-1905413")</f>
        <v>0</v>
      </c>
      <c r="B1554" t="s">
        <v>986</v>
      </c>
      <c r="C1554" t="s">
        <v>5605</v>
      </c>
      <c r="D1554" t="s">
        <v>9928</v>
      </c>
      <c r="E1554" t="s">
        <v>10075</v>
      </c>
      <c r="F1554">
        <v>11221</v>
      </c>
      <c r="G1554" t="s">
        <v>10090</v>
      </c>
      <c r="H1554" t="s">
        <v>10106</v>
      </c>
      <c r="I1554" t="s">
        <v>10168</v>
      </c>
      <c r="J1554" t="s">
        <v>10210</v>
      </c>
      <c r="K1554" t="s">
        <v>10217</v>
      </c>
      <c r="M1554" t="s">
        <v>10407</v>
      </c>
      <c r="N1554" t="s">
        <v>10671</v>
      </c>
      <c r="P1554" t="s">
        <v>10754</v>
      </c>
      <c r="Q1554" t="s">
        <v>10771</v>
      </c>
      <c r="R1554" t="s">
        <v>10824</v>
      </c>
      <c r="T1554">
        <v>10296</v>
      </c>
      <c r="U1554">
        <v>858</v>
      </c>
      <c r="V1554">
        <v>57</v>
      </c>
      <c r="W1554">
        <v>1</v>
      </c>
      <c r="X1554">
        <v>0</v>
      </c>
      <c r="Z1554">
        <v>82.43000000000001</v>
      </c>
      <c r="AA1554">
        <v>40.692569</v>
      </c>
      <c r="AB1554">
        <v>-73.939413</v>
      </c>
      <c r="AD1554" t="s">
        <v>10840</v>
      </c>
      <c r="AG1554" t="s">
        <v>10858</v>
      </c>
      <c r="AH1554" t="s">
        <v>10861</v>
      </c>
      <c r="AI1554">
        <v>234</v>
      </c>
      <c r="AJ1554" t="s">
        <v>10214</v>
      </c>
      <c r="AL1554">
        <v>0.7</v>
      </c>
      <c r="AM1554" t="s">
        <v>10889</v>
      </c>
      <c r="AN1554" t="s">
        <v>10914</v>
      </c>
      <c r="AO1554" t="s">
        <v>11011</v>
      </c>
      <c r="AP1554" t="s">
        <v>11052</v>
      </c>
      <c r="AR1554" t="s">
        <v>11423</v>
      </c>
      <c r="AS1554" t="s">
        <v>11595</v>
      </c>
      <c r="AT1554" t="s">
        <v>11641</v>
      </c>
      <c r="AX1554" t="s">
        <v>10838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</row>
    <row r="1555" spans="1:59">
      <c r="A1555" s="1">
        <f>HYPERLINK("https://lsnyc.legalserver.org/matter/dynamic-profile/view/1905414","19-1905414")</f>
        <v>0</v>
      </c>
      <c r="B1555" t="s">
        <v>1391</v>
      </c>
      <c r="C1555" t="s">
        <v>6215</v>
      </c>
      <c r="D1555" t="s">
        <v>9938</v>
      </c>
      <c r="E1555" t="s">
        <v>10075</v>
      </c>
      <c r="F1555">
        <v>11433</v>
      </c>
      <c r="G1555" t="s">
        <v>10091</v>
      </c>
      <c r="H1555" t="s">
        <v>10106</v>
      </c>
      <c r="I1555" t="s">
        <v>10168</v>
      </c>
      <c r="J1555" t="s">
        <v>10214</v>
      </c>
      <c r="K1555" t="s">
        <v>10217</v>
      </c>
      <c r="M1555" t="s">
        <v>10286</v>
      </c>
      <c r="N1555" t="s">
        <v>10671</v>
      </c>
      <c r="P1555" t="s">
        <v>10751</v>
      </c>
      <c r="Q1555" t="s">
        <v>10780</v>
      </c>
      <c r="R1555" t="s">
        <v>10824</v>
      </c>
      <c r="T1555">
        <v>16756</v>
      </c>
      <c r="U1555">
        <v>1396.33</v>
      </c>
      <c r="V1555">
        <v>28</v>
      </c>
      <c r="W1555">
        <v>1</v>
      </c>
      <c r="X1555">
        <v>1</v>
      </c>
      <c r="Z1555">
        <v>99.09</v>
      </c>
      <c r="AA1555">
        <v>40.693</v>
      </c>
      <c r="AB1555">
        <v>-73.792394</v>
      </c>
      <c r="AD1555" t="s">
        <v>10839</v>
      </c>
      <c r="AG1555" t="s">
        <v>10858</v>
      </c>
      <c r="AH1555" t="s">
        <v>10861</v>
      </c>
      <c r="AI1555">
        <v>234</v>
      </c>
      <c r="AJ1555" t="s">
        <v>10214</v>
      </c>
      <c r="AL1555">
        <v>1</v>
      </c>
      <c r="AM1555" t="s">
        <v>10892</v>
      </c>
      <c r="AN1555" t="s">
        <v>10951</v>
      </c>
      <c r="AO1555" t="s">
        <v>11017</v>
      </c>
      <c r="AP1555" t="s">
        <v>11070</v>
      </c>
      <c r="AR1555" t="s">
        <v>11424</v>
      </c>
      <c r="AS1555" t="s">
        <v>11594</v>
      </c>
      <c r="AT1555" t="s">
        <v>11641</v>
      </c>
      <c r="AX1555" t="s">
        <v>11678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</row>
    <row r="1556" spans="1:59">
      <c r="A1556" s="1">
        <f>HYPERLINK("https://lsnyc.legalserver.org/matter/dynamic-profile/view/1905415","19-1905415")</f>
        <v>0</v>
      </c>
      <c r="B1556" t="s">
        <v>1392</v>
      </c>
      <c r="C1556" t="s">
        <v>6216</v>
      </c>
      <c r="D1556" t="s">
        <v>9926</v>
      </c>
      <c r="E1556" t="s">
        <v>10075</v>
      </c>
      <c r="F1556">
        <v>10458</v>
      </c>
      <c r="G1556" t="s">
        <v>10090</v>
      </c>
      <c r="H1556" t="s">
        <v>10106</v>
      </c>
      <c r="I1556" t="s">
        <v>10169</v>
      </c>
      <c r="J1556" t="s">
        <v>10210</v>
      </c>
      <c r="K1556" t="s">
        <v>10218</v>
      </c>
      <c r="L1556" t="s">
        <v>10110</v>
      </c>
      <c r="M1556" t="s">
        <v>10234</v>
      </c>
      <c r="N1556" t="s">
        <v>10650</v>
      </c>
      <c r="P1556" t="s">
        <v>10749</v>
      </c>
      <c r="Q1556" t="s">
        <v>10765</v>
      </c>
      <c r="R1556" t="s">
        <v>10823</v>
      </c>
      <c r="T1556">
        <v>45000</v>
      </c>
      <c r="U1556">
        <v>3750</v>
      </c>
      <c r="V1556">
        <v>66</v>
      </c>
      <c r="W1556">
        <v>1</v>
      </c>
      <c r="X1556">
        <v>0</v>
      </c>
      <c r="Y1556" t="s">
        <v>10830</v>
      </c>
      <c r="Z1556">
        <v>360.29</v>
      </c>
      <c r="AA1556">
        <v>40.867745</v>
      </c>
      <c r="AB1556">
        <v>-73.891952</v>
      </c>
      <c r="AD1556" t="s">
        <v>10839</v>
      </c>
      <c r="AG1556" t="s">
        <v>10858</v>
      </c>
      <c r="AH1556" t="s">
        <v>10862</v>
      </c>
      <c r="AI1556">
        <v>230</v>
      </c>
      <c r="AJ1556" t="s">
        <v>10210</v>
      </c>
      <c r="AK1556" t="s">
        <v>10838</v>
      </c>
      <c r="AL1556">
        <v>2.5</v>
      </c>
      <c r="AM1556" t="s">
        <v>10887</v>
      </c>
      <c r="AN1556" t="s">
        <v>10907</v>
      </c>
      <c r="AO1556" t="s">
        <v>11000</v>
      </c>
      <c r="AP1556" t="s">
        <v>11056</v>
      </c>
      <c r="AR1556" t="s">
        <v>11257</v>
      </c>
      <c r="AS1556" t="s">
        <v>9926</v>
      </c>
      <c r="AY1556" t="s">
        <v>10830</v>
      </c>
      <c r="AZ1556" t="s">
        <v>11690</v>
      </c>
      <c r="BA1556" t="s">
        <v>11740</v>
      </c>
      <c r="BB1556">
        <v>0</v>
      </c>
      <c r="BC1556">
        <v>0</v>
      </c>
      <c r="BD1556">
        <v>0</v>
      </c>
      <c r="BE1556">
        <v>0</v>
      </c>
      <c r="BF1556">
        <v>2</v>
      </c>
      <c r="BG1556">
        <v>0</v>
      </c>
    </row>
    <row r="1557" spans="1:59">
      <c r="A1557" s="1">
        <f>HYPERLINK("https://lsnyc.legalserver.org/matter/dynamic-profile/view/1905416","19-1905416")</f>
        <v>0</v>
      </c>
      <c r="B1557" t="s">
        <v>1393</v>
      </c>
      <c r="C1557" t="s">
        <v>6217</v>
      </c>
      <c r="D1557" t="s">
        <v>9926</v>
      </c>
      <c r="E1557" t="s">
        <v>10075</v>
      </c>
      <c r="F1557">
        <v>10458</v>
      </c>
      <c r="G1557" t="s">
        <v>10090</v>
      </c>
      <c r="H1557" t="s">
        <v>10106</v>
      </c>
      <c r="J1557" t="s">
        <v>10210</v>
      </c>
      <c r="K1557" t="s">
        <v>10218</v>
      </c>
      <c r="L1557" t="s">
        <v>10121</v>
      </c>
      <c r="M1557" t="s">
        <v>10234</v>
      </c>
      <c r="N1557" t="s">
        <v>10650</v>
      </c>
      <c r="P1557" t="s">
        <v>10749</v>
      </c>
      <c r="Q1557" t="s">
        <v>10765</v>
      </c>
      <c r="R1557" t="s">
        <v>10821</v>
      </c>
      <c r="T1557">
        <v>14000</v>
      </c>
      <c r="U1557">
        <v>1166.67</v>
      </c>
      <c r="V1557">
        <v>45</v>
      </c>
      <c r="W1557">
        <v>1</v>
      </c>
      <c r="X1557">
        <v>0</v>
      </c>
      <c r="Y1557" t="s">
        <v>10829</v>
      </c>
      <c r="Z1557">
        <v>112.09</v>
      </c>
      <c r="AA1557">
        <v>40.869664</v>
      </c>
      <c r="AB1557">
        <v>-73.883476</v>
      </c>
      <c r="AD1557" t="s">
        <v>10840</v>
      </c>
      <c r="AF1557" t="s">
        <v>10843</v>
      </c>
      <c r="AG1557" t="s">
        <v>10859</v>
      </c>
      <c r="AH1557" t="s">
        <v>10862</v>
      </c>
      <c r="AI1557">
        <v>230</v>
      </c>
      <c r="AJ1557" t="s">
        <v>10210</v>
      </c>
      <c r="AK1557" t="s">
        <v>10882</v>
      </c>
      <c r="AL1557">
        <v>1</v>
      </c>
      <c r="AM1557" t="s">
        <v>10887</v>
      </c>
      <c r="AN1557" t="s">
        <v>10907</v>
      </c>
      <c r="AO1557" t="s">
        <v>11002</v>
      </c>
      <c r="AP1557" t="s">
        <v>11057</v>
      </c>
      <c r="AR1557" t="s">
        <v>11257</v>
      </c>
      <c r="AS1557" t="s">
        <v>9926</v>
      </c>
      <c r="AY1557" t="s">
        <v>10829</v>
      </c>
      <c r="AZ1557" t="s">
        <v>11681</v>
      </c>
      <c r="BA1557" t="s">
        <v>11741</v>
      </c>
      <c r="BB1557">
        <v>0</v>
      </c>
      <c r="BC1557">
        <v>0</v>
      </c>
      <c r="BD1557">
        <v>0</v>
      </c>
      <c r="BE1557">
        <v>0</v>
      </c>
      <c r="BF1557">
        <v>1</v>
      </c>
      <c r="BG1557">
        <v>0</v>
      </c>
    </row>
    <row r="1558" spans="1:59">
      <c r="A1558" s="1">
        <f>HYPERLINK("https://lsnyc.legalserver.org/matter/dynamic-profile/view/1905417","19-1905417")</f>
        <v>0</v>
      </c>
      <c r="B1558" t="s">
        <v>1394</v>
      </c>
      <c r="C1558" t="s">
        <v>6218</v>
      </c>
      <c r="D1558" t="s">
        <v>9925</v>
      </c>
      <c r="E1558" t="s">
        <v>10075</v>
      </c>
      <c r="F1558">
        <v>10001</v>
      </c>
      <c r="G1558" t="s">
        <v>10089</v>
      </c>
      <c r="H1558" t="s">
        <v>10106</v>
      </c>
      <c r="I1558" t="s">
        <v>10168</v>
      </c>
      <c r="J1558" t="s">
        <v>10209</v>
      </c>
      <c r="K1558" t="s">
        <v>10218</v>
      </c>
      <c r="L1558" t="s">
        <v>10162</v>
      </c>
      <c r="M1558" t="s">
        <v>10229</v>
      </c>
      <c r="N1558" t="s">
        <v>10645</v>
      </c>
      <c r="P1558" t="s">
        <v>10750</v>
      </c>
      <c r="Q1558" t="s">
        <v>10779</v>
      </c>
      <c r="R1558" t="s">
        <v>10824</v>
      </c>
      <c r="T1558">
        <v>13524</v>
      </c>
      <c r="U1558">
        <v>1127</v>
      </c>
      <c r="V1558">
        <v>66</v>
      </c>
      <c r="W1558">
        <v>1</v>
      </c>
      <c r="X1558">
        <v>0</v>
      </c>
      <c r="Y1558" t="s">
        <v>10829</v>
      </c>
      <c r="Z1558">
        <v>108.28</v>
      </c>
      <c r="AA1558">
        <v>40.749268</v>
      </c>
      <c r="AB1558">
        <v>-73.99875400000001</v>
      </c>
      <c r="AC1558" t="s">
        <v>10837</v>
      </c>
      <c r="AD1558" t="s">
        <v>10840</v>
      </c>
      <c r="AG1558" t="s">
        <v>10858</v>
      </c>
      <c r="AH1558" t="s">
        <v>10861</v>
      </c>
      <c r="AI1558">
        <v>234</v>
      </c>
      <c r="AJ1558" t="s">
        <v>10214</v>
      </c>
      <c r="AK1558" t="s">
        <v>10838</v>
      </c>
      <c r="AL1558">
        <v>2.75</v>
      </c>
      <c r="AM1558" t="s">
        <v>10894</v>
      </c>
      <c r="AN1558" t="s">
        <v>10966</v>
      </c>
      <c r="AO1558" t="s">
        <v>11021</v>
      </c>
      <c r="AP1558" t="s">
        <v>11090</v>
      </c>
      <c r="AQ1558" t="s">
        <v>11095</v>
      </c>
      <c r="AR1558" t="s">
        <v>11303</v>
      </c>
      <c r="AS1558" t="s">
        <v>9925</v>
      </c>
      <c r="AT1558" t="s">
        <v>11642</v>
      </c>
      <c r="AX1558" t="s">
        <v>10838</v>
      </c>
      <c r="AY1558" t="s">
        <v>10829</v>
      </c>
      <c r="AZ1558" t="s">
        <v>11679</v>
      </c>
      <c r="BA1558" t="s">
        <v>11742</v>
      </c>
      <c r="BB1558">
        <v>0</v>
      </c>
      <c r="BC1558">
        <v>0</v>
      </c>
      <c r="BD1558">
        <v>0</v>
      </c>
      <c r="BE1558">
        <v>0</v>
      </c>
      <c r="BF1558">
        <v>7</v>
      </c>
      <c r="BG1558">
        <v>0</v>
      </c>
    </row>
    <row r="1559" spans="1:59">
      <c r="A1559" s="1">
        <f>HYPERLINK("https://lsnyc.legalserver.org/matter/dynamic-profile/view/1905418","19-1905418")</f>
        <v>0</v>
      </c>
      <c r="B1559" t="s">
        <v>1395</v>
      </c>
      <c r="C1559" t="s">
        <v>6219</v>
      </c>
      <c r="D1559" t="s">
        <v>9928</v>
      </c>
      <c r="E1559" t="s">
        <v>10075</v>
      </c>
      <c r="F1559">
        <v>11233</v>
      </c>
      <c r="G1559" t="s">
        <v>10088</v>
      </c>
      <c r="H1559" t="s">
        <v>10106</v>
      </c>
      <c r="I1559" t="s">
        <v>10169</v>
      </c>
      <c r="J1559" t="s">
        <v>10208</v>
      </c>
      <c r="K1559" t="s">
        <v>10217</v>
      </c>
      <c r="M1559" t="s">
        <v>10542</v>
      </c>
      <c r="N1559" t="s">
        <v>10729</v>
      </c>
      <c r="P1559" t="s">
        <v>10754</v>
      </c>
      <c r="Q1559" t="s">
        <v>10777</v>
      </c>
      <c r="R1559" t="s">
        <v>10821</v>
      </c>
      <c r="T1559">
        <v>17992</v>
      </c>
      <c r="U1559">
        <v>1499.33</v>
      </c>
      <c r="V1559">
        <v>31</v>
      </c>
      <c r="W1559">
        <v>1</v>
      </c>
      <c r="X1559">
        <v>1</v>
      </c>
      <c r="Z1559">
        <v>106.4</v>
      </c>
      <c r="AA1559">
        <v>40.681771</v>
      </c>
      <c r="AB1559">
        <v>-73.923737</v>
      </c>
      <c r="AD1559" t="s">
        <v>10839</v>
      </c>
      <c r="AF1559" t="s">
        <v>10842</v>
      </c>
      <c r="AG1559" t="s">
        <v>10859</v>
      </c>
      <c r="AH1559" t="s">
        <v>10861</v>
      </c>
      <c r="AI1559">
        <v>285</v>
      </c>
      <c r="AJ1559" t="s">
        <v>10208</v>
      </c>
      <c r="AL1559">
        <v>43.5</v>
      </c>
      <c r="AM1559" t="s">
        <v>10889</v>
      </c>
      <c r="AN1559" t="s">
        <v>10922</v>
      </c>
      <c r="AO1559" t="s">
        <v>11007</v>
      </c>
      <c r="AP1559" t="s">
        <v>11064</v>
      </c>
      <c r="AQ1559" t="s">
        <v>11189</v>
      </c>
      <c r="AR1559" t="s">
        <v>11383</v>
      </c>
      <c r="AS1559" t="s">
        <v>11595</v>
      </c>
      <c r="AT1559" t="s">
        <v>11641</v>
      </c>
      <c r="AX1559" t="s">
        <v>10838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</row>
    <row r="1560" spans="1:59">
      <c r="A1560" s="1">
        <f>HYPERLINK("https://lsnyc.legalserver.org/matter/dynamic-profile/view/1905419","19-1905419")</f>
        <v>0</v>
      </c>
      <c r="B1560" t="s">
        <v>1396</v>
      </c>
      <c r="C1560" t="s">
        <v>6220</v>
      </c>
      <c r="D1560" t="s">
        <v>9926</v>
      </c>
      <c r="E1560" t="s">
        <v>10075</v>
      </c>
      <c r="F1560">
        <v>10455</v>
      </c>
      <c r="G1560" t="s">
        <v>10091</v>
      </c>
      <c r="H1560" t="s">
        <v>10106</v>
      </c>
      <c r="I1560" t="s">
        <v>10169</v>
      </c>
      <c r="J1560" t="s">
        <v>10214</v>
      </c>
      <c r="K1560" t="s">
        <v>10217</v>
      </c>
      <c r="M1560" t="s">
        <v>10286</v>
      </c>
      <c r="N1560" t="s">
        <v>10671</v>
      </c>
      <c r="P1560" t="s">
        <v>10752</v>
      </c>
      <c r="Q1560" t="s">
        <v>10762</v>
      </c>
      <c r="R1560" t="s">
        <v>10821</v>
      </c>
      <c r="T1560">
        <v>8400</v>
      </c>
      <c r="U1560">
        <v>700</v>
      </c>
      <c r="V1560">
        <v>86</v>
      </c>
      <c r="W1560">
        <v>1</v>
      </c>
      <c r="X1560">
        <v>0</v>
      </c>
      <c r="Z1560">
        <v>67.25</v>
      </c>
      <c r="AA1560">
        <v>40.817144</v>
      </c>
      <c r="AB1560">
        <v>-73.905321</v>
      </c>
      <c r="AD1560" t="s">
        <v>10840</v>
      </c>
      <c r="AG1560" t="s">
        <v>10858</v>
      </c>
      <c r="AH1560" t="s">
        <v>10871</v>
      </c>
      <c r="AI1560">
        <v>234</v>
      </c>
      <c r="AJ1560" t="s">
        <v>10214</v>
      </c>
      <c r="AL1560">
        <v>1</v>
      </c>
      <c r="AM1560" t="s">
        <v>10884</v>
      </c>
      <c r="AN1560" t="s">
        <v>10924</v>
      </c>
      <c r="AO1560" t="s">
        <v>11013</v>
      </c>
      <c r="AP1560" t="s">
        <v>11062</v>
      </c>
      <c r="AR1560" t="s">
        <v>11254</v>
      </c>
      <c r="AS1560" t="s">
        <v>9926</v>
      </c>
      <c r="AT1560" t="s">
        <v>11642</v>
      </c>
      <c r="AX1560" t="s">
        <v>10838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</row>
    <row r="1561" spans="1:59">
      <c r="A1561" s="1">
        <f>HYPERLINK("https://lsnyc.legalserver.org/matter/dynamic-profile/view/1905420","19-1905420")</f>
        <v>0</v>
      </c>
      <c r="B1561" t="s">
        <v>1397</v>
      </c>
      <c r="C1561" t="s">
        <v>6221</v>
      </c>
      <c r="D1561" t="s">
        <v>9925</v>
      </c>
      <c r="E1561" t="s">
        <v>10075</v>
      </c>
      <c r="F1561">
        <v>10002</v>
      </c>
      <c r="G1561" t="s">
        <v>10089</v>
      </c>
      <c r="H1561" t="s">
        <v>10106</v>
      </c>
      <c r="I1561" t="s">
        <v>10182</v>
      </c>
      <c r="J1561" t="s">
        <v>10209</v>
      </c>
      <c r="K1561" t="s">
        <v>10217</v>
      </c>
      <c r="M1561" t="s">
        <v>10453</v>
      </c>
      <c r="N1561" t="s">
        <v>10650</v>
      </c>
      <c r="P1561" t="s">
        <v>10749</v>
      </c>
      <c r="Q1561" t="s">
        <v>10765</v>
      </c>
      <c r="R1561" t="s">
        <v>10827</v>
      </c>
      <c r="T1561">
        <v>43000</v>
      </c>
      <c r="U1561">
        <v>3583.33</v>
      </c>
      <c r="V1561">
        <v>63</v>
      </c>
      <c r="W1561">
        <v>4</v>
      </c>
      <c r="X1561">
        <v>0</v>
      </c>
      <c r="Z1561">
        <v>166.99</v>
      </c>
      <c r="AA1561">
        <v>40.713145</v>
      </c>
      <c r="AB1561">
        <v>-73.99625399999999</v>
      </c>
      <c r="AD1561" t="s">
        <v>10840</v>
      </c>
      <c r="AG1561" t="s">
        <v>10858</v>
      </c>
      <c r="AH1561" t="s">
        <v>10862</v>
      </c>
      <c r="AI1561">
        <v>236</v>
      </c>
      <c r="AJ1561" t="s">
        <v>10209</v>
      </c>
      <c r="AL1561">
        <v>0.5</v>
      </c>
      <c r="AM1561" t="s">
        <v>10886</v>
      </c>
      <c r="AN1561" t="s">
        <v>10963</v>
      </c>
      <c r="AO1561" t="s">
        <v>11004</v>
      </c>
      <c r="AP1561" t="s">
        <v>11093</v>
      </c>
      <c r="AR1561" t="s">
        <v>11257</v>
      </c>
      <c r="AS1561" t="s">
        <v>9925</v>
      </c>
      <c r="BA1561" t="s">
        <v>11742</v>
      </c>
      <c r="BB1561">
        <v>0</v>
      </c>
      <c r="BC1561">
        <v>0</v>
      </c>
      <c r="BD1561">
        <v>0</v>
      </c>
      <c r="BE1561">
        <v>0</v>
      </c>
      <c r="BF1561">
        <v>7</v>
      </c>
      <c r="BG1561">
        <v>0</v>
      </c>
    </row>
    <row r="1562" spans="1:59">
      <c r="A1562" s="1">
        <f>HYPERLINK("https://lsnyc.legalserver.org/matter/dynamic-profile/view/1905421","19-1905421")</f>
        <v>0</v>
      </c>
      <c r="B1562" t="s">
        <v>1398</v>
      </c>
      <c r="C1562" t="s">
        <v>6222</v>
      </c>
      <c r="D1562" t="s">
        <v>9928</v>
      </c>
      <c r="E1562" t="s">
        <v>10075</v>
      </c>
      <c r="F1562">
        <v>11226</v>
      </c>
      <c r="G1562" t="s">
        <v>10093</v>
      </c>
      <c r="H1562" t="s">
        <v>10106</v>
      </c>
      <c r="I1562" t="s">
        <v>10168</v>
      </c>
      <c r="J1562" t="s">
        <v>10213</v>
      </c>
      <c r="K1562" t="s">
        <v>10217</v>
      </c>
      <c r="M1562" t="s">
        <v>10265</v>
      </c>
      <c r="N1562" t="s">
        <v>10644</v>
      </c>
      <c r="P1562" t="s">
        <v>10751</v>
      </c>
      <c r="Q1562" t="s">
        <v>10761</v>
      </c>
      <c r="R1562" t="s">
        <v>10824</v>
      </c>
      <c r="T1562">
        <v>41130</v>
      </c>
      <c r="U1562">
        <v>3427.5</v>
      </c>
      <c r="V1562">
        <v>60</v>
      </c>
      <c r="W1562">
        <v>1</v>
      </c>
      <c r="X1562">
        <v>1</v>
      </c>
      <c r="Z1562">
        <v>243.23</v>
      </c>
      <c r="AA1562">
        <v>40.652147</v>
      </c>
      <c r="AB1562">
        <v>-73.95191699999999</v>
      </c>
      <c r="AD1562" t="s">
        <v>10839</v>
      </c>
      <c r="AF1562" t="s">
        <v>10843</v>
      </c>
      <c r="AG1562" t="s">
        <v>10859</v>
      </c>
      <c r="AH1562" t="s">
        <v>10862</v>
      </c>
      <c r="AI1562">
        <v>239</v>
      </c>
      <c r="AJ1562" t="s">
        <v>10213</v>
      </c>
      <c r="AL1562">
        <v>2.8</v>
      </c>
      <c r="AM1562" t="s">
        <v>10888</v>
      </c>
      <c r="AN1562" t="s">
        <v>10912</v>
      </c>
      <c r="AO1562" t="s">
        <v>11005</v>
      </c>
      <c r="AP1562" t="s">
        <v>11050</v>
      </c>
      <c r="AR1562" t="s">
        <v>11280</v>
      </c>
      <c r="AS1562" t="s">
        <v>11595</v>
      </c>
      <c r="BA1562" t="s">
        <v>11737</v>
      </c>
      <c r="BB1562">
        <v>0</v>
      </c>
      <c r="BC1562">
        <v>0</v>
      </c>
      <c r="BD1562">
        <v>0</v>
      </c>
      <c r="BE1562">
        <v>0</v>
      </c>
      <c r="BF1562">
        <v>3</v>
      </c>
      <c r="BG1562">
        <v>0</v>
      </c>
    </row>
    <row r="1563" spans="1:59">
      <c r="A1563" s="1">
        <f>HYPERLINK("https://lsnyc.legalserver.org/matter/dynamic-profile/view/1905422","19-1905422")</f>
        <v>0</v>
      </c>
      <c r="B1563" t="s">
        <v>1399</v>
      </c>
      <c r="C1563" t="s">
        <v>6223</v>
      </c>
      <c r="D1563" t="s">
        <v>9928</v>
      </c>
      <c r="E1563" t="s">
        <v>10075</v>
      </c>
      <c r="F1563">
        <v>11223</v>
      </c>
      <c r="G1563" t="s">
        <v>10093</v>
      </c>
      <c r="H1563" t="s">
        <v>10123</v>
      </c>
      <c r="I1563" t="s">
        <v>10171</v>
      </c>
      <c r="J1563" t="s">
        <v>10213</v>
      </c>
      <c r="K1563" t="s">
        <v>10218</v>
      </c>
      <c r="L1563" t="s">
        <v>10146</v>
      </c>
      <c r="M1563" t="s">
        <v>10390</v>
      </c>
      <c r="N1563" t="s">
        <v>10644</v>
      </c>
      <c r="P1563" t="s">
        <v>10751</v>
      </c>
      <c r="Q1563" t="s">
        <v>10786</v>
      </c>
      <c r="R1563" t="s">
        <v>10820</v>
      </c>
      <c r="T1563">
        <v>10296</v>
      </c>
      <c r="U1563">
        <v>858</v>
      </c>
      <c r="V1563">
        <v>73</v>
      </c>
      <c r="W1563">
        <v>1</v>
      </c>
      <c r="X1563">
        <v>0</v>
      </c>
      <c r="Y1563" t="s">
        <v>10829</v>
      </c>
      <c r="Z1563">
        <v>82.43000000000001</v>
      </c>
      <c r="AA1563">
        <v>40.593812</v>
      </c>
      <c r="AB1563">
        <v>-73.974918</v>
      </c>
      <c r="AD1563" t="s">
        <v>10840</v>
      </c>
      <c r="AG1563" t="s">
        <v>10858</v>
      </c>
      <c r="AH1563" t="s">
        <v>10869</v>
      </c>
      <c r="AI1563">
        <v>239</v>
      </c>
      <c r="AJ1563" t="s">
        <v>10213</v>
      </c>
      <c r="AK1563" t="s">
        <v>10837</v>
      </c>
      <c r="AL1563">
        <v>1.25</v>
      </c>
      <c r="AM1563" t="s">
        <v>10883</v>
      </c>
      <c r="AN1563" t="s">
        <v>10965</v>
      </c>
      <c r="AO1563" t="s">
        <v>11023</v>
      </c>
      <c r="AP1563" t="s">
        <v>11087</v>
      </c>
      <c r="AQ1563" t="s">
        <v>11134</v>
      </c>
      <c r="AR1563" t="s">
        <v>11263</v>
      </c>
      <c r="AS1563" t="s">
        <v>11595</v>
      </c>
      <c r="AY1563" t="s">
        <v>10829</v>
      </c>
      <c r="AZ1563" t="s">
        <v>11693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</row>
    <row r="1564" spans="1:59">
      <c r="A1564" s="1">
        <f>HYPERLINK("https://lsnyc.legalserver.org/matter/dynamic-profile/view/1905423","19-1905423")</f>
        <v>0</v>
      </c>
      <c r="B1564" t="s">
        <v>1400</v>
      </c>
      <c r="C1564" t="s">
        <v>6224</v>
      </c>
      <c r="D1564" t="s">
        <v>9925</v>
      </c>
      <c r="E1564" t="s">
        <v>10075</v>
      </c>
      <c r="F1564">
        <v>10128</v>
      </c>
      <c r="G1564" t="s">
        <v>10089</v>
      </c>
      <c r="H1564" t="s">
        <v>10106</v>
      </c>
      <c r="I1564" t="s">
        <v>10168</v>
      </c>
      <c r="J1564" t="s">
        <v>10209</v>
      </c>
      <c r="K1564" t="s">
        <v>10217</v>
      </c>
      <c r="M1564" t="s">
        <v>10402</v>
      </c>
      <c r="N1564" t="s">
        <v>10656</v>
      </c>
      <c r="P1564" t="s">
        <v>10751</v>
      </c>
      <c r="Q1564" t="s">
        <v>10780</v>
      </c>
      <c r="R1564" t="s">
        <v>10820</v>
      </c>
      <c r="T1564">
        <v>9012</v>
      </c>
      <c r="U1564">
        <v>751</v>
      </c>
      <c r="V1564">
        <v>62</v>
      </c>
      <c r="W1564">
        <v>1</v>
      </c>
      <c r="X1564">
        <v>0</v>
      </c>
      <c r="Z1564">
        <v>72.15000000000001</v>
      </c>
      <c r="AA1564">
        <v>40.782445</v>
      </c>
      <c r="AB1564">
        <v>-73.951684</v>
      </c>
      <c r="AD1564" t="s">
        <v>10839</v>
      </c>
      <c r="AG1564" t="s">
        <v>10858</v>
      </c>
      <c r="AH1564" t="s">
        <v>10866</v>
      </c>
      <c r="AI1564">
        <v>236</v>
      </c>
      <c r="AJ1564" t="s">
        <v>10209</v>
      </c>
      <c r="AL1564">
        <v>19.65</v>
      </c>
      <c r="AM1564" t="s">
        <v>10891</v>
      </c>
      <c r="AN1564" t="s">
        <v>10970</v>
      </c>
      <c r="AO1564" t="s">
        <v>11026</v>
      </c>
      <c r="AP1564" t="s">
        <v>11094</v>
      </c>
      <c r="AR1564" t="s">
        <v>11263</v>
      </c>
      <c r="AS1564" t="s">
        <v>9925</v>
      </c>
      <c r="AT1564" t="s">
        <v>11641</v>
      </c>
      <c r="AX1564" t="s">
        <v>10837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</row>
    <row r="1565" spans="1:59">
      <c r="A1565" s="1">
        <f>HYPERLINK("https://lsnyc.legalserver.org/matter/dynamic-profile/view/1905424","19-1905424")</f>
        <v>0</v>
      </c>
      <c r="B1565" t="s">
        <v>1401</v>
      </c>
      <c r="C1565" t="s">
        <v>6225</v>
      </c>
      <c r="D1565" t="s">
        <v>9926</v>
      </c>
      <c r="E1565" t="s">
        <v>10075</v>
      </c>
      <c r="F1565">
        <v>10457</v>
      </c>
      <c r="G1565" t="s">
        <v>10090</v>
      </c>
      <c r="H1565" t="s">
        <v>10106</v>
      </c>
      <c r="I1565" t="s">
        <v>10168</v>
      </c>
      <c r="J1565" t="s">
        <v>10210</v>
      </c>
      <c r="K1565" t="s">
        <v>10217</v>
      </c>
      <c r="M1565" t="s">
        <v>10279</v>
      </c>
      <c r="N1565" t="s">
        <v>10651</v>
      </c>
      <c r="P1565" t="s">
        <v>10749</v>
      </c>
      <c r="Q1565" t="s">
        <v>10765</v>
      </c>
      <c r="R1565" t="s">
        <v>10824</v>
      </c>
      <c r="T1565">
        <v>8760</v>
      </c>
      <c r="U1565">
        <v>730</v>
      </c>
      <c r="V1565">
        <v>31</v>
      </c>
      <c r="W1565">
        <v>1</v>
      </c>
      <c r="X1565">
        <v>0</v>
      </c>
      <c r="Z1565">
        <v>70.14</v>
      </c>
      <c r="AA1565">
        <v>40.850423</v>
      </c>
      <c r="AB1565">
        <v>-73.90041600000001</v>
      </c>
      <c r="AD1565" t="s">
        <v>10840</v>
      </c>
      <c r="AG1565" t="s">
        <v>10858</v>
      </c>
      <c r="AH1565" t="s">
        <v>10861</v>
      </c>
      <c r="AI1565">
        <v>230</v>
      </c>
      <c r="AJ1565" t="s">
        <v>10210</v>
      </c>
      <c r="AL1565">
        <v>11.5</v>
      </c>
      <c r="AM1565" t="s">
        <v>10884</v>
      </c>
      <c r="AN1565" t="s">
        <v>10931</v>
      </c>
      <c r="AO1565" t="s">
        <v>11000</v>
      </c>
      <c r="AP1565" t="s">
        <v>11056</v>
      </c>
      <c r="AR1565" t="s">
        <v>11263</v>
      </c>
      <c r="AS1565" t="s">
        <v>9926</v>
      </c>
      <c r="AT1565" t="s">
        <v>11642</v>
      </c>
      <c r="AX1565" t="s">
        <v>10837</v>
      </c>
      <c r="BA1565" t="s">
        <v>11738</v>
      </c>
      <c r="BB1565">
        <v>0</v>
      </c>
      <c r="BC1565">
        <v>0</v>
      </c>
      <c r="BD1565">
        <v>0</v>
      </c>
      <c r="BE1565">
        <v>0</v>
      </c>
      <c r="BF1565">
        <v>5</v>
      </c>
      <c r="BG1565">
        <v>0</v>
      </c>
    </row>
    <row r="1566" spans="1:59">
      <c r="A1566" s="1">
        <f>HYPERLINK("https://lsnyc.legalserver.org/matter/dynamic-profile/view/1905425","19-1905425")</f>
        <v>0</v>
      </c>
      <c r="B1566" t="s">
        <v>1402</v>
      </c>
      <c r="C1566" t="s">
        <v>6226</v>
      </c>
      <c r="D1566" t="s">
        <v>9929</v>
      </c>
      <c r="E1566" t="s">
        <v>10075</v>
      </c>
      <c r="F1566">
        <v>10306</v>
      </c>
      <c r="G1566" t="s">
        <v>10088</v>
      </c>
      <c r="H1566" t="s">
        <v>10096</v>
      </c>
      <c r="I1566" t="s">
        <v>10168</v>
      </c>
      <c r="J1566" t="s">
        <v>10208</v>
      </c>
      <c r="K1566" t="s">
        <v>10217</v>
      </c>
      <c r="M1566" t="s">
        <v>10243</v>
      </c>
      <c r="N1566" t="s">
        <v>10650</v>
      </c>
      <c r="P1566" t="s">
        <v>10749</v>
      </c>
      <c r="Q1566" t="s">
        <v>10765</v>
      </c>
      <c r="R1566" t="s">
        <v>10820</v>
      </c>
      <c r="T1566">
        <v>24000</v>
      </c>
      <c r="U1566">
        <v>2000</v>
      </c>
      <c r="V1566">
        <v>42</v>
      </c>
      <c r="W1566">
        <v>1</v>
      </c>
      <c r="X1566">
        <v>3</v>
      </c>
      <c r="Z1566">
        <v>93.2</v>
      </c>
      <c r="AA1566">
        <v>40.574515</v>
      </c>
      <c r="AB1566">
        <v>-74.109842</v>
      </c>
      <c r="AD1566" t="s">
        <v>10839</v>
      </c>
      <c r="AG1566" t="s">
        <v>10858</v>
      </c>
      <c r="AH1566" t="s">
        <v>10862</v>
      </c>
      <c r="AI1566">
        <v>285</v>
      </c>
      <c r="AJ1566" t="s">
        <v>10208</v>
      </c>
      <c r="AL1566">
        <v>4.15</v>
      </c>
      <c r="AM1566" t="s">
        <v>10883</v>
      </c>
      <c r="AN1566" t="s">
        <v>10915</v>
      </c>
      <c r="AO1566" t="s">
        <v>10999</v>
      </c>
      <c r="AP1566" t="s">
        <v>11063</v>
      </c>
      <c r="AR1566" t="s">
        <v>11401</v>
      </c>
      <c r="AS1566" t="s">
        <v>11593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</row>
    <row r="1567" spans="1:59">
      <c r="A1567" s="1">
        <f>HYPERLINK("https://lsnyc.legalserver.org/matter/dynamic-profile/view/1905426","19-1905426")</f>
        <v>0</v>
      </c>
      <c r="B1567" t="s">
        <v>1401</v>
      </c>
      <c r="C1567" t="s">
        <v>6225</v>
      </c>
      <c r="D1567" t="s">
        <v>9926</v>
      </c>
      <c r="E1567" t="s">
        <v>10075</v>
      </c>
      <c r="F1567">
        <v>10457</v>
      </c>
      <c r="G1567" t="s">
        <v>10090</v>
      </c>
      <c r="H1567" t="s">
        <v>10106</v>
      </c>
      <c r="I1567" t="s">
        <v>10168</v>
      </c>
      <c r="J1567" t="s">
        <v>10210</v>
      </c>
      <c r="K1567" t="s">
        <v>10217</v>
      </c>
      <c r="M1567" t="s">
        <v>10279</v>
      </c>
      <c r="N1567" t="s">
        <v>10671</v>
      </c>
      <c r="P1567" t="s">
        <v>10751</v>
      </c>
      <c r="Q1567" t="s">
        <v>10761</v>
      </c>
      <c r="R1567" t="s">
        <v>10824</v>
      </c>
      <c r="T1567">
        <v>8760</v>
      </c>
      <c r="U1567">
        <v>730</v>
      </c>
      <c r="V1567">
        <v>31</v>
      </c>
      <c r="W1567">
        <v>1</v>
      </c>
      <c r="X1567">
        <v>0</v>
      </c>
      <c r="Z1567">
        <v>70.14</v>
      </c>
      <c r="AA1567">
        <v>40.850423</v>
      </c>
      <c r="AB1567">
        <v>-73.90041600000001</v>
      </c>
      <c r="AD1567" t="s">
        <v>10840</v>
      </c>
      <c r="AG1567" t="s">
        <v>10858</v>
      </c>
      <c r="AH1567" t="s">
        <v>10861</v>
      </c>
      <c r="AI1567">
        <v>230</v>
      </c>
      <c r="AJ1567" t="s">
        <v>10210</v>
      </c>
      <c r="AL1567">
        <v>0</v>
      </c>
      <c r="AM1567" t="s">
        <v>10884</v>
      </c>
      <c r="AN1567" t="s">
        <v>10931</v>
      </c>
      <c r="AO1567" t="s">
        <v>11000</v>
      </c>
      <c r="AP1567" t="s">
        <v>11056</v>
      </c>
      <c r="AR1567" t="s">
        <v>11263</v>
      </c>
      <c r="AS1567" t="s">
        <v>9926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</row>
    <row r="1568" spans="1:59">
      <c r="A1568" s="1">
        <f>HYPERLINK("https://lsnyc.legalserver.org/matter/dynamic-profile/view/1905427","19-1905427")</f>
        <v>0</v>
      </c>
      <c r="B1568" t="s">
        <v>1403</v>
      </c>
      <c r="C1568" t="s">
        <v>6227</v>
      </c>
      <c r="D1568" t="s">
        <v>9926</v>
      </c>
      <c r="E1568" t="s">
        <v>10075</v>
      </c>
      <c r="F1568">
        <v>10458</v>
      </c>
      <c r="G1568" t="s">
        <v>10090</v>
      </c>
      <c r="H1568" t="s">
        <v>10106</v>
      </c>
      <c r="I1568" t="s">
        <v>10169</v>
      </c>
      <c r="J1568" t="s">
        <v>10210</v>
      </c>
      <c r="K1568" t="s">
        <v>10217</v>
      </c>
      <c r="M1568" t="s">
        <v>10297</v>
      </c>
      <c r="N1568" t="s">
        <v>10666</v>
      </c>
      <c r="P1568" t="s">
        <v>10749</v>
      </c>
      <c r="Q1568" t="s">
        <v>10765</v>
      </c>
      <c r="R1568" t="s">
        <v>10821</v>
      </c>
      <c r="T1568">
        <v>20400</v>
      </c>
      <c r="U1568">
        <v>1700</v>
      </c>
      <c r="V1568">
        <v>36</v>
      </c>
      <c r="W1568">
        <v>1</v>
      </c>
      <c r="X1568">
        <v>2</v>
      </c>
      <c r="Z1568">
        <v>95.64</v>
      </c>
      <c r="AA1568">
        <v>40.85605</v>
      </c>
      <c r="AB1568">
        <v>-73.89216</v>
      </c>
      <c r="AD1568" t="s">
        <v>10839</v>
      </c>
      <c r="AF1568" t="s">
        <v>10843</v>
      </c>
      <c r="AG1568" t="s">
        <v>10859</v>
      </c>
      <c r="AH1568" t="s">
        <v>10862</v>
      </c>
      <c r="AI1568">
        <v>230</v>
      </c>
      <c r="AJ1568" t="s">
        <v>10210</v>
      </c>
      <c r="AL1568">
        <v>6.8</v>
      </c>
      <c r="AM1568" t="s">
        <v>10884</v>
      </c>
      <c r="AN1568" t="s">
        <v>10907</v>
      </c>
      <c r="AO1568" t="s">
        <v>11000</v>
      </c>
      <c r="AP1568" t="s">
        <v>11056</v>
      </c>
      <c r="AR1568" t="s">
        <v>11281</v>
      </c>
      <c r="AS1568" t="s">
        <v>9926</v>
      </c>
      <c r="BA1568" t="s">
        <v>11738</v>
      </c>
      <c r="BB1568">
        <v>0</v>
      </c>
      <c r="BC1568">
        <v>0</v>
      </c>
      <c r="BD1568">
        <v>0</v>
      </c>
      <c r="BE1568">
        <v>0</v>
      </c>
      <c r="BF1568">
        <v>5</v>
      </c>
      <c r="BG1568">
        <v>0</v>
      </c>
    </row>
    <row r="1569" spans="1:59">
      <c r="A1569" s="1">
        <f>HYPERLINK("https://lsnyc.legalserver.org/matter/dynamic-profile/view/1905428","19-1905428")</f>
        <v>0</v>
      </c>
      <c r="B1569" t="s">
        <v>1404</v>
      </c>
      <c r="C1569" t="s">
        <v>6228</v>
      </c>
      <c r="D1569" t="s">
        <v>9928</v>
      </c>
      <c r="E1569" t="s">
        <v>10075</v>
      </c>
      <c r="F1569">
        <v>11238</v>
      </c>
      <c r="G1569" t="s">
        <v>10093</v>
      </c>
      <c r="H1569" t="s">
        <v>10106</v>
      </c>
      <c r="I1569" t="s">
        <v>10169</v>
      </c>
      <c r="J1569" t="s">
        <v>10213</v>
      </c>
      <c r="K1569" t="s">
        <v>10217</v>
      </c>
      <c r="M1569" t="s">
        <v>10358</v>
      </c>
      <c r="N1569" t="s">
        <v>10671</v>
      </c>
      <c r="P1569" t="s">
        <v>10752</v>
      </c>
      <c r="Q1569" t="s">
        <v>10783</v>
      </c>
      <c r="R1569" t="s">
        <v>10821</v>
      </c>
      <c r="T1569">
        <v>16452</v>
      </c>
      <c r="U1569">
        <v>1371</v>
      </c>
      <c r="V1569">
        <v>61</v>
      </c>
      <c r="W1569">
        <v>2</v>
      </c>
      <c r="X1569">
        <v>0</v>
      </c>
      <c r="Z1569">
        <v>97.29000000000001</v>
      </c>
      <c r="AA1569">
        <v>40.674043</v>
      </c>
      <c r="AB1569">
        <v>-73.957083</v>
      </c>
      <c r="AD1569" t="s">
        <v>10839</v>
      </c>
      <c r="AG1569" t="s">
        <v>10858</v>
      </c>
      <c r="AH1569" t="s">
        <v>10861</v>
      </c>
      <c r="AI1569">
        <v>234</v>
      </c>
      <c r="AJ1569" t="s">
        <v>10214</v>
      </c>
      <c r="AL1569">
        <v>2.25</v>
      </c>
      <c r="AM1569" t="s">
        <v>10888</v>
      </c>
      <c r="AN1569" t="s">
        <v>10923</v>
      </c>
      <c r="AO1569" t="s">
        <v>11005</v>
      </c>
      <c r="AP1569" t="s">
        <v>11061</v>
      </c>
      <c r="AQ1569" t="s">
        <v>11184</v>
      </c>
      <c r="AR1569" t="s">
        <v>11394</v>
      </c>
      <c r="AS1569" t="s">
        <v>11595</v>
      </c>
      <c r="AT1569" t="s">
        <v>11641</v>
      </c>
      <c r="AX1569" t="s">
        <v>10838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</row>
    <row r="1570" spans="1:59">
      <c r="A1570" s="1">
        <f>HYPERLINK("https://lsnyc.legalserver.org/matter/dynamic-profile/view/1905429","19-1905429")</f>
        <v>0</v>
      </c>
      <c r="B1570" t="s">
        <v>1405</v>
      </c>
      <c r="C1570" t="s">
        <v>6229</v>
      </c>
      <c r="D1570" t="s">
        <v>9925</v>
      </c>
      <c r="E1570" t="s">
        <v>10075</v>
      </c>
      <c r="F1570">
        <v>10003</v>
      </c>
      <c r="G1570" t="s">
        <v>10091</v>
      </c>
      <c r="H1570" t="s">
        <v>10106</v>
      </c>
      <c r="I1570" t="s">
        <v>10168</v>
      </c>
      <c r="J1570" t="s">
        <v>10211</v>
      </c>
      <c r="K1570" t="s">
        <v>10217</v>
      </c>
      <c r="M1570" t="s">
        <v>10307</v>
      </c>
      <c r="N1570" t="s">
        <v>10671</v>
      </c>
      <c r="P1570" t="s">
        <v>10752</v>
      </c>
      <c r="Q1570" t="s">
        <v>10762</v>
      </c>
      <c r="R1570" t="s">
        <v>10822</v>
      </c>
      <c r="T1570">
        <v>26400</v>
      </c>
      <c r="U1570">
        <v>2200</v>
      </c>
      <c r="V1570">
        <v>80</v>
      </c>
      <c r="W1570">
        <v>2</v>
      </c>
      <c r="X1570">
        <v>0</v>
      </c>
      <c r="Z1570">
        <v>156.12</v>
      </c>
      <c r="AA1570">
        <v>40.735829</v>
      </c>
      <c r="AB1570">
        <v>-73.985893</v>
      </c>
      <c r="AD1570" t="s">
        <v>10840</v>
      </c>
      <c r="AG1570" t="s">
        <v>10858</v>
      </c>
      <c r="AH1570" t="s">
        <v>10861</v>
      </c>
      <c r="AI1570">
        <v>234</v>
      </c>
      <c r="AJ1570" t="s">
        <v>10214</v>
      </c>
      <c r="AL1570">
        <v>0.5</v>
      </c>
      <c r="AM1570" t="s">
        <v>10891</v>
      </c>
      <c r="AN1570" t="s">
        <v>10910</v>
      </c>
      <c r="AO1570" t="s">
        <v>11026</v>
      </c>
      <c r="AP1570" t="s">
        <v>11048</v>
      </c>
      <c r="AR1570" t="s">
        <v>11300</v>
      </c>
      <c r="AS1570" t="s">
        <v>9925</v>
      </c>
      <c r="AT1570" t="s">
        <v>11642</v>
      </c>
      <c r="AX1570" t="s">
        <v>10838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</row>
    <row r="1571" spans="1:59">
      <c r="A1571" s="1">
        <f>HYPERLINK("https://lsnyc.legalserver.org/matter/dynamic-profile/view/1905430","19-1905430")</f>
        <v>0</v>
      </c>
      <c r="B1571" t="s">
        <v>1406</v>
      </c>
      <c r="C1571" t="s">
        <v>6230</v>
      </c>
      <c r="D1571" t="s">
        <v>9926</v>
      </c>
      <c r="E1571" t="s">
        <v>10075</v>
      </c>
      <c r="F1571">
        <v>10457</v>
      </c>
      <c r="G1571" t="s">
        <v>10090</v>
      </c>
      <c r="H1571" t="s">
        <v>10106</v>
      </c>
      <c r="I1571" t="s">
        <v>10168</v>
      </c>
      <c r="J1571" t="s">
        <v>10215</v>
      </c>
      <c r="K1571" t="s">
        <v>10217</v>
      </c>
      <c r="M1571" t="s">
        <v>10362</v>
      </c>
      <c r="N1571" t="s">
        <v>10651</v>
      </c>
      <c r="P1571" t="s">
        <v>10749</v>
      </c>
      <c r="Q1571" t="s">
        <v>10765</v>
      </c>
      <c r="R1571" t="s">
        <v>10824</v>
      </c>
      <c r="T1571">
        <v>8652</v>
      </c>
      <c r="U1571">
        <v>721</v>
      </c>
      <c r="V1571">
        <v>36</v>
      </c>
      <c r="W1571">
        <v>1</v>
      </c>
      <c r="X1571">
        <v>2</v>
      </c>
      <c r="Z1571">
        <v>40.56</v>
      </c>
      <c r="AA1571">
        <v>40.846595</v>
      </c>
      <c r="AB1571">
        <v>-73.888256</v>
      </c>
      <c r="AD1571" t="s">
        <v>10839</v>
      </c>
      <c r="AG1571" t="s">
        <v>10858</v>
      </c>
      <c r="AH1571" t="s">
        <v>10862</v>
      </c>
      <c r="AI1571">
        <v>231</v>
      </c>
      <c r="AJ1571" t="s">
        <v>10215</v>
      </c>
      <c r="AL1571">
        <v>3.1</v>
      </c>
      <c r="AM1571" t="s">
        <v>10884</v>
      </c>
      <c r="AN1571" t="s">
        <v>10918</v>
      </c>
      <c r="AO1571" t="s">
        <v>11000</v>
      </c>
      <c r="AP1571" t="s">
        <v>11056</v>
      </c>
      <c r="AR1571" t="s">
        <v>11263</v>
      </c>
      <c r="AS1571" t="s">
        <v>9926</v>
      </c>
      <c r="AX1571" t="s">
        <v>10838</v>
      </c>
      <c r="BA1571" t="s">
        <v>11738</v>
      </c>
      <c r="BB1571">
        <v>0</v>
      </c>
      <c r="BC1571">
        <v>0</v>
      </c>
      <c r="BD1571">
        <v>0</v>
      </c>
      <c r="BE1571">
        <v>0</v>
      </c>
      <c r="BF1571">
        <v>5</v>
      </c>
      <c r="BG1571">
        <v>0</v>
      </c>
    </row>
    <row r="1572" spans="1:59">
      <c r="A1572" s="1">
        <f>HYPERLINK("https://lsnyc.legalserver.org/matter/dynamic-profile/view/1905431","19-1905431")</f>
        <v>0</v>
      </c>
      <c r="B1572" t="s">
        <v>1407</v>
      </c>
      <c r="C1572" t="s">
        <v>6231</v>
      </c>
      <c r="D1572" t="s">
        <v>9946</v>
      </c>
      <c r="E1572" t="s">
        <v>10075</v>
      </c>
      <c r="F1572">
        <v>11385</v>
      </c>
      <c r="G1572" t="s">
        <v>10092</v>
      </c>
      <c r="H1572" t="s">
        <v>10106</v>
      </c>
      <c r="I1572" t="s">
        <v>10168</v>
      </c>
      <c r="J1572" t="s">
        <v>10212</v>
      </c>
      <c r="K1572" t="s">
        <v>10217</v>
      </c>
      <c r="M1572" t="s">
        <v>10335</v>
      </c>
      <c r="N1572" t="s">
        <v>10693</v>
      </c>
      <c r="P1572" t="s">
        <v>10749</v>
      </c>
      <c r="Q1572" t="s">
        <v>10765</v>
      </c>
      <c r="R1572" t="s">
        <v>10821</v>
      </c>
      <c r="T1572">
        <v>30000</v>
      </c>
      <c r="U1572">
        <v>2500</v>
      </c>
      <c r="V1572">
        <v>36</v>
      </c>
      <c r="W1572">
        <v>1</v>
      </c>
      <c r="X1572">
        <v>0</v>
      </c>
      <c r="Z1572">
        <v>240.19</v>
      </c>
      <c r="AA1572">
        <v>40.703585</v>
      </c>
      <c r="AB1572">
        <v>-73.903172</v>
      </c>
      <c r="AD1572" t="s">
        <v>10839</v>
      </c>
      <c r="AF1572" t="s">
        <v>10843</v>
      </c>
      <c r="AG1572" t="s">
        <v>10859</v>
      </c>
      <c r="AH1572" t="s">
        <v>10862</v>
      </c>
      <c r="AI1572">
        <v>237</v>
      </c>
      <c r="AJ1572" t="s">
        <v>10212</v>
      </c>
      <c r="AK1572" t="s">
        <v>10838</v>
      </c>
      <c r="AL1572">
        <v>9.67</v>
      </c>
      <c r="AM1572" t="s">
        <v>10886</v>
      </c>
      <c r="AN1572" t="s">
        <v>10961</v>
      </c>
      <c r="AO1572" t="s">
        <v>11024</v>
      </c>
      <c r="AP1572" t="s">
        <v>11077</v>
      </c>
      <c r="AQ1572" t="s">
        <v>11101</v>
      </c>
      <c r="AR1572" t="s">
        <v>11257</v>
      </c>
      <c r="AS1572" t="s">
        <v>11594</v>
      </c>
      <c r="BA1572" t="s">
        <v>11738</v>
      </c>
      <c r="BB1572">
        <v>0</v>
      </c>
      <c r="BC1572">
        <v>0</v>
      </c>
      <c r="BD1572">
        <v>0</v>
      </c>
      <c r="BE1572">
        <v>0</v>
      </c>
      <c r="BF1572">
        <v>5</v>
      </c>
      <c r="BG1572">
        <v>0</v>
      </c>
    </row>
    <row r="1573" spans="1:59">
      <c r="A1573" s="1">
        <f>HYPERLINK("https://lsnyc.legalserver.org/matter/dynamic-profile/view/1905432","19-1905432")</f>
        <v>0</v>
      </c>
      <c r="B1573" t="s">
        <v>621</v>
      </c>
      <c r="C1573" t="s">
        <v>5530</v>
      </c>
      <c r="D1573" t="s">
        <v>9932</v>
      </c>
      <c r="E1573" t="s">
        <v>10075</v>
      </c>
      <c r="F1573">
        <v>11368</v>
      </c>
      <c r="G1573" t="s">
        <v>10092</v>
      </c>
      <c r="H1573" t="s">
        <v>10106</v>
      </c>
      <c r="I1573" t="s">
        <v>10168</v>
      </c>
      <c r="J1573" t="s">
        <v>10212</v>
      </c>
      <c r="K1573" t="s">
        <v>10217</v>
      </c>
      <c r="M1573" t="s">
        <v>10343</v>
      </c>
      <c r="N1573" t="s">
        <v>10671</v>
      </c>
      <c r="P1573" t="s">
        <v>10749</v>
      </c>
      <c r="Q1573" t="s">
        <v>10765</v>
      </c>
      <c r="R1573" t="s">
        <v>10824</v>
      </c>
      <c r="T1573">
        <v>4764</v>
      </c>
      <c r="U1573">
        <v>397</v>
      </c>
      <c r="V1573">
        <v>63</v>
      </c>
      <c r="W1573">
        <v>1</v>
      </c>
      <c r="X1573">
        <v>0</v>
      </c>
      <c r="Z1573">
        <v>38.14</v>
      </c>
      <c r="AA1573">
        <v>40.755804</v>
      </c>
      <c r="AB1573">
        <v>-73.86269299999999</v>
      </c>
      <c r="AD1573" t="s">
        <v>10840</v>
      </c>
      <c r="AG1573" t="s">
        <v>10858</v>
      </c>
      <c r="AH1573" t="s">
        <v>10862</v>
      </c>
      <c r="AI1573">
        <v>237</v>
      </c>
      <c r="AJ1573" t="s">
        <v>10212</v>
      </c>
      <c r="AL1573">
        <v>6.45</v>
      </c>
      <c r="AM1573" t="s">
        <v>10885</v>
      </c>
      <c r="AN1573" t="s">
        <v>10916</v>
      </c>
      <c r="AO1573" t="s">
        <v>11014</v>
      </c>
      <c r="AP1573" t="s">
        <v>11068</v>
      </c>
      <c r="AR1573" t="s">
        <v>11255</v>
      </c>
      <c r="AS1573" t="s">
        <v>11594</v>
      </c>
      <c r="AT1573" t="s">
        <v>11642</v>
      </c>
      <c r="BA1573" t="s">
        <v>11740</v>
      </c>
      <c r="BB1573">
        <v>0</v>
      </c>
      <c r="BC1573">
        <v>0</v>
      </c>
      <c r="BD1573">
        <v>0</v>
      </c>
      <c r="BE1573">
        <v>0</v>
      </c>
      <c r="BF1573">
        <v>2</v>
      </c>
      <c r="BG1573">
        <v>0</v>
      </c>
    </row>
    <row r="1574" spans="1:59">
      <c r="A1574" s="1">
        <f>HYPERLINK("https://lsnyc.legalserver.org/matter/dynamic-profile/view/1905433","19-1905433")</f>
        <v>0</v>
      </c>
      <c r="B1574" t="s">
        <v>1408</v>
      </c>
      <c r="C1574" t="s">
        <v>6232</v>
      </c>
      <c r="D1574" t="s">
        <v>9925</v>
      </c>
      <c r="E1574" t="s">
        <v>10075</v>
      </c>
      <c r="F1574">
        <v>10010</v>
      </c>
      <c r="G1574" t="s">
        <v>10093</v>
      </c>
      <c r="H1574" t="s">
        <v>10106</v>
      </c>
      <c r="I1574" t="s">
        <v>10168</v>
      </c>
      <c r="J1574" t="s">
        <v>10213</v>
      </c>
      <c r="K1574" t="s">
        <v>10218</v>
      </c>
      <c r="L1574" t="s">
        <v>10143</v>
      </c>
      <c r="M1574" t="s">
        <v>10358</v>
      </c>
      <c r="N1574" t="s">
        <v>10646</v>
      </c>
      <c r="P1574" t="s">
        <v>10752</v>
      </c>
      <c r="Q1574" t="s">
        <v>10783</v>
      </c>
      <c r="R1574" t="s">
        <v>10820</v>
      </c>
      <c r="T1574">
        <v>40000</v>
      </c>
      <c r="U1574">
        <v>3333.33</v>
      </c>
      <c r="V1574">
        <v>35</v>
      </c>
      <c r="W1574">
        <v>1</v>
      </c>
      <c r="X1574">
        <v>0</v>
      </c>
      <c r="Y1574" t="s">
        <v>10834</v>
      </c>
      <c r="Z1574">
        <v>320.26</v>
      </c>
      <c r="AA1574">
        <v>40.738529</v>
      </c>
      <c r="AB1574">
        <v>-73.97287799999999</v>
      </c>
      <c r="AD1574" t="s">
        <v>10839</v>
      </c>
      <c r="AG1574" t="s">
        <v>10858</v>
      </c>
      <c r="AH1574" t="s">
        <v>10861</v>
      </c>
      <c r="AI1574">
        <v>234</v>
      </c>
      <c r="AJ1574" t="s">
        <v>10214</v>
      </c>
      <c r="AK1574" t="s">
        <v>10838</v>
      </c>
      <c r="AL1574">
        <v>11</v>
      </c>
      <c r="AM1574" t="s">
        <v>10891</v>
      </c>
      <c r="AN1574" t="s">
        <v>10910</v>
      </c>
      <c r="AO1574" t="s">
        <v>11021</v>
      </c>
      <c r="AP1574" t="s">
        <v>11091</v>
      </c>
      <c r="AR1574" t="s">
        <v>11257</v>
      </c>
      <c r="AS1574" t="s">
        <v>9925</v>
      </c>
      <c r="AT1574" t="s">
        <v>11641</v>
      </c>
      <c r="AX1574" t="s">
        <v>10838</v>
      </c>
      <c r="AY1574" t="s">
        <v>10834</v>
      </c>
      <c r="AZ1574" t="s">
        <v>11680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</row>
    <row r="1575" spans="1:59">
      <c r="A1575" s="1">
        <f>HYPERLINK("https://lsnyc.legalserver.org/matter/dynamic-profile/view/1905435","19-1905435")</f>
        <v>0</v>
      </c>
      <c r="B1575" t="s">
        <v>1409</v>
      </c>
      <c r="C1575" t="s">
        <v>6233</v>
      </c>
      <c r="D1575" t="s">
        <v>9926</v>
      </c>
      <c r="E1575" t="s">
        <v>10075</v>
      </c>
      <c r="F1575">
        <v>10460</v>
      </c>
      <c r="G1575" t="s">
        <v>10090</v>
      </c>
      <c r="H1575" t="s">
        <v>10106</v>
      </c>
      <c r="I1575" t="s">
        <v>10169</v>
      </c>
      <c r="J1575" t="s">
        <v>10210</v>
      </c>
      <c r="K1575" t="s">
        <v>10217</v>
      </c>
      <c r="M1575" t="s">
        <v>10303</v>
      </c>
      <c r="N1575" t="s">
        <v>10682</v>
      </c>
      <c r="P1575" t="s">
        <v>10751</v>
      </c>
      <c r="Q1575" t="s">
        <v>10761</v>
      </c>
      <c r="R1575" t="s">
        <v>10821</v>
      </c>
      <c r="T1575">
        <v>3000</v>
      </c>
      <c r="U1575">
        <v>250</v>
      </c>
      <c r="V1575">
        <v>44</v>
      </c>
      <c r="W1575">
        <v>1</v>
      </c>
      <c r="X1575">
        <v>1</v>
      </c>
      <c r="Z1575">
        <v>17.74</v>
      </c>
      <c r="AA1575">
        <v>40.842899</v>
      </c>
      <c r="AB1575">
        <v>-73.881832</v>
      </c>
      <c r="AD1575" t="s">
        <v>10839</v>
      </c>
      <c r="AF1575" t="s">
        <v>10843</v>
      </c>
      <c r="AG1575" t="s">
        <v>10859</v>
      </c>
      <c r="AH1575" t="s">
        <v>10862</v>
      </c>
      <c r="AI1575">
        <v>230</v>
      </c>
      <c r="AJ1575" t="s">
        <v>10210</v>
      </c>
      <c r="AL1575">
        <v>2.85</v>
      </c>
      <c r="AM1575" t="s">
        <v>10884</v>
      </c>
      <c r="AN1575" t="s">
        <v>10908</v>
      </c>
      <c r="AO1575" t="s">
        <v>11001</v>
      </c>
      <c r="AP1575" t="s">
        <v>11062</v>
      </c>
      <c r="AR1575" t="s">
        <v>11305</v>
      </c>
      <c r="AS1575" t="s">
        <v>9926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</row>
    <row r="1576" spans="1:59">
      <c r="A1576" s="1">
        <f>HYPERLINK("https://lsnyc.legalserver.org/matter/dynamic-profile/view/1905436","19-1905436")</f>
        <v>0</v>
      </c>
      <c r="B1576" t="s">
        <v>1410</v>
      </c>
      <c r="C1576" t="s">
        <v>6234</v>
      </c>
      <c r="D1576" t="s">
        <v>9933</v>
      </c>
      <c r="E1576" t="s">
        <v>10075</v>
      </c>
      <c r="F1576">
        <v>11420</v>
      </c>
      <c r="G1576" t="s">
        <v>10093</v>
      </c>
      <c r="H1576" t="s">
        <v>10106</v>
      </c>
      <c r="I1576" t="s">
        <v>10168</v>
      </c>
      <c r="J1576" t="s">
        <v>10213</v>
      </c>
      <c r="K1576" t="s">
        <v>10217</v>
      </c>
      <c r="M1576" t="s">
        <v>10358</v>
      </c>
      <c r="N1576" t="s">
        <v>10671</v>
      </c>
      <c r="P1576" t="s">
        <v>10755</v>
      </c>
      <c r="Q1576" t="s">
        <v>10813</v>
      </c>
      <c r="R1576" t="s">
        <v>10827</v>
      </c>
      <c r="T1576">
        <v>15600</v>
      </c>
      <c r="U1576">
        <v>1300</v>
      </c>
      <c r="V1576">
        <v>30</v>
      </c>
      <c r="W1576">
        <v>1</v>
      </c>
      <c r="X1576">
        <v>0</v>
      </c>
      <c r="Z1576">
        <v>124.9</v>
      </c>
      <c r="AA1576">
        <v>40.677764</v>
      </c>
      <c r="AB1576">
        <v>-73.81327899999999</v>
      </c>
      <c r="AD1576" t="s">
        <v>10839</v>
      </c>
      <c r="AG1576" t="s">
        <v>10858</v>
      </c>
      <c r="AH1576" t="s">
        <v>10871</v>
      </c>
      <c r="AI1576">
        <v>234</v>
      </c>
      <c r="AJ1576" t="s">
        <v>10214</v>
      </c>
      <c r="AL1576">
        <v>2</v>
      </c>
      <c r="AR1576" t="s">
        <v>11257</v>
      </c>
      <c r="AS1576" t="s">
        <v>11594</v>
      </c>
      <c r="AT1576" t="s">
        <v>11641</v>
      </c>
      <c r="AX1576" t="s">
        <v>10838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</row>
    <row r="1577" spans="1:59">
      <c r="A1577" s="1">
        <f>HYPERLINK("https://lsnyc.legalserver.org/matter/dynamic-profile/view/1905437","19-1905437")</f>
        <v>0</v>
      </c>
      <c r="B1577" t="s">
        <v>1411</v>
      </c>
      <c r="C1577" t="s">
        <v>6235</v>
      </c>
      <c r="D1577" t="s">
        <v>9925</v>
      </c>
      <c r="E1577" t="s">
        <v>10075</v>
      </c>
      <c r="F1577">
        <v>10032</v>
      </c>
      <c r="G1577" t="s">
        <v>10089</v>
      </c>
      <c r="H1577" t="s">
        <v>10106</v>
      </c>
      <c r="I1577" t="s">
        <v>10169</v>
      </c>
      <c r="J1577" t="s">
        <v>10209</v>
      </c>
      <c r="K1577" t="s">
        <v>10217</v>
      </c>
      <c r="M1577" t="s">
        <v>10543</v>
      </c>
      <c r="N1577" t="s">
        <v>10650</v>
      </c>
      <c r="P1577" t="s">
        <v>10749</v>
      </c>
      <c r="Q1577" t="s">
        <v>10765</v>
      </c>
      <c r="R1577" t="s">
        <v>10821</v>
      </c>
      <c r="T1577">
        <v>23400</v>
      </c>
      <c r="U1577">
        <v>1950</v>
      </c>
      <c r="V1577">
        <v>51</v>
      </c>
      <c r="W1577">
        <v>3</v>
      </c>
      <c r="X1577">
        <v>2</v>
      </c>
      <c r="Z1577">
        <v>77.56</v>
      </c>
      <c r="AA1577">
        <v>40.835337</v>
      </c>
      <c r="AB1577">
        <v>-73.941574</v>
      </c>
      <c r="AD1577" t="s">
        <v>10839</v>
      </c>
      <c r="AF1577" t="s">
        <v>10843</v>
      </c>
      <c r="AG1577" t="s">
        <v>10859</v>
      </c>
      <c r="AH1577" t="s">
        <v>10862</v>
      </c>
      <c r="AI1577">
        <v>236</v>
      </c>
      <c r="AJ1577" t="s">
        <v>10209</v>
      </c>
      <c r="AL1577">
        <v>0.1</v>
      </c>
      <c r="AM1577" t="s">
        <v>10887</v>
      </c>
      <c r="AN1577" t="s">
        <v>10943</v>
      </c>
      <c r="AO1577" t="s">
        <v>11019</v>
      </c>
      <c r="AP1577" t="s">
        <v>11073</v>
      </c>
      <c r="AR1577" t="s">
        <v>11257</v>
      </c>
      <c r="AS1577" t="s">
        <v>9925</v>
      </c>
      <c r="AT1577" t="s">
        <v>11641</v>
      </c>
      <c r="AX1577" t="s">
        <v>10838</v>
      </c>
      <c r="BA1577" t="s">
        <v>11739</v>
      </c>
      <c r="BB1577">
        <v>0</v>
      </c>
      <c r="BC1577">
        <v>0</v>
      </c>
      <c r="BD1577">
        <v>0</v>
      </c>
      <c r="BE1577">
        <v>0</v>
      </c>
      <c r="BF1577">
        <v>4</v>
      </c>
      <c r="BG1577">
        <v>0</v>
      </c>
    </row>
    <row r="1578" spans="1:59">
      <c r="A1578" s="1">
        <f>HYPERLINK("https://lsnyc.legalserver.org/matter/dynamic-profile/view/1905438","19-1905438")</f>
        <v>0</v>
      </c>
      <c r="B1578" t="s">
        <v>1412</v>
      </c>
      <c r="C1578" t="s">
        <v>6236</v>
      </c>
      <c r="D1578" t="s">
        <v>9926</v>
      </c>
      <c r="E1578" t="s">
        <v>10075</v>
      </c>
      <c r="F1578">
        <v>10452</v>
      </c>
      <c r="G1578" t="s">
        <v>10090</v>
      </c>
      <c r="H1578" t="s">
        <v>10106</v>
      </c>
      <c r="I1578" t="s">
        <v>10168</v>
      </c>
      <c r="J1578" t="s">
        <v>10210</v>
      </c>
      <c r="K1578" t="s">
        <v>10218</v>
      </c>
      <c r="L1578" t="s">
        <v>10110</v>
      </c>
      <c r="M1578" t="s">
        <v>10234</v>
      </c>
      <c r="N1578" t="s">
        <v>10650</v>
      </c>
      <c r="P1578" t="s">
        <v>10749</v>
      </c>
      <c r="Q1578" t="s">
        <v>10765</v>
      </c>
      <c r="R1578" t="s">
        <v>10824</v>
      </c>
      <c r="T1578">
        <v>16416</v>
      </c>
      <c r="U1578">
        <v>1368</v>
      </c>
      <c r="V1578">
        <v>68</v>
      </c>
      <c r="W1578">
        <v>1</v>
      </c>
      <c r="X1578">
        <v>0</v>
      </c>
      <c r="Y1578" t="s">
        <v>10830</v>
      </c>
      <c r="Z1578">
        <v>131.43</v>
      </c>
      <c r="AA1578">
        <v>40.832781</v>
      </c>
      <c r="AB1578">
        <v>-73.928279</v>
      </c>
      <c r="AD1578" t="s">
        <v>10839</v>
      </c>
      <c r="AG1578" t="s">
        <v>10858</v>
      </c>
      <c r="AH1578" t="s">
        <v>10862</v>
      </c>
      <c r="AI1578">
        <v>230</v>
      </c>
      <c r="AJ1578" t="s">
        <v>10210</v>
      </c>
      <c r="AK1578" t="s">
        <v>10838</v>
      </c>
      <c r="AL1578">
        <v>1</v>
      </c>
      <c r="AM1578" t="s">
        <v>10884</v>
      </c>
      <c r="AN1578" t="s">
        <v>10924</v>
      </c>
      <c r="AO1578" t="s">
        <v>11013</v>
      </c>
      <c r="AP1578" t="s">
        <v>11066</v>
      </c>
      <c r="AR1578" t="s">
        <v>11296</v>
      </c>
      <c r="AS1578" t="s">
        <v>9926</v>
      </c>
      <c r="AY1578" t="s">
        <v>10830</v>
      </c>
      <c r="AZ1578" t="s">
        <v>11707</v>
      </c>
      <c r="BA1578" t="s">
        <v>11740</v>
      </c>
      <c r="BB1578">
        <v>0</v>
      </c>
      <c r="BC1578">
        <v>0</v>
      </c>
      <c r="BD1578">
        <v>0</v>
      </c>
      <c r="BE1578">
        <v>0</v>
      </c>
      <c r="BF1578">
        <v>2</v>
      </c>
      <c r="BG1578">
        <v>0</v>
      </c>
    </row>
    <row r="1579" spans="1:59">
      <c r="A1579" s="1">
        <f>HYPERLINK("https://lsnyc.legalserver.org/matter/dynamic-profile/view/1905439","19-1905439")</f>
        <v>0</v>
      </c>
      <c r="B1579" t="s">
        <v>1413</v>
      </c>
      <c r="C1579" t="s">
        <v>6237</v>
      </c>
      <c r="D1579" t="s">
        <v>9925</v>
      </c>
      <c r="E1579" t="s">
        <v>10075</v>
      </c>
      <c r="F1579">
        <v>10011</v>
      </c>
      <c r="G1579" t="s">
        <v>10089</v>
      </c>
      <c r="H1579" t="s">
        <v>10106</v>
      </c>
      <c r="I1579" t="s">
        <v>10168</v>
      </c>
      <c r="J1579" t="s">
        <v>10209</v>
      </c>
      <c r="K1579" t="s">
        <v>10217</v>
      </c>
      <c r="M1579" t="s">
        <v>10544</v>
      </c>
      <c r="N1579" t="s">
        <v>10707</v>
      </c>
      <c r="P1579" t="s">
        <v>10749</v>
      </c>
      <c r="Q1579" t="s">
        <v>10765</v>
      </c>
      <c r="R1579" t="s">
        <v>10824</v>
      </c>
      <c r="T1579">
        <v>28068</v>
      </c>
      <c r="U1579">
        <v>2339</v>
      </c>
      <c r="V1579">
        <v>67</v>
      </c>
      <c r="W1579">
        <v>1</v>
      </c>
      <c r="X1579">
        <v>0</v>
      </c>
      <c r="Z1579">
        <v>224.72</v>
      </c>
      <c r="AA1579">
        <v>40.744584</v>
      </c>
      <c r="AB1579">
        <v>-74.00232200000001</v>
      </c>
      <c r="AD1579" t="s">
        <v>10840</v>
      </c>
      <c r="AG1579" t="s">
        <v>10858</v>
      </c>
      <c r="AH1579" t="s">
        <v>10868</v>
      </c>
      <c r="AI1579">
        <v>236</v>
      </c>
      <c r="AJ1579" t="s">
        <v>10209</v>
      </c>
      <c r="AL1579">
        <v>18</v>
      </c>
      <c r="AM1579" t="s">
        <v>10894</v>
      </c>
      <c r="AN1579" t="s">
        <v>10966</v>
      </c>
      <c r="AO1579" t="s">
        <v>11021</v>
      </c>
      <c r="AP1579" t="s">
        <v>11090</v>
      </c>
      <c r="AQ1579" t="s">
        <v>11101</v>
      </c>
      <c r="AR1579" t="s">
        <v>11379</v>
      </c>
      <c r="AS1579" t="s">
        <v>9925</v>
      </c>
      <c r="AT1579" t="s">
        <v>11642</v>
      </c>
      <c r="AX1579" t="s">
        <v>10837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</row>
    <row r="1580" spans="1:59">
      <c r="A1580" s="1">
        <f>HYPERLINK("https://lsnyc.legalserver.org/matter/dynamic-profile/view/1905440","19-1905440")</f>
        <v>0</v>
      </c>
      <c r="B1580" t="s">
        <v>1414</v>
      </c>
      <c r="C1580" t="s">
        <v>6238</v>
      </c>
      <c r="D1580" t="s">
        <v>9926</v>
      </c>
      <c r="E1580" t="s">
        <v>10075</v>
      </c>
      <c r="F1580">
        <v>10456</v>
      </c>
      <c r="G1580" t="s">
        <v>10090</v>
      </c>
      <c r="H1580" t="s">
        <v>10106</v>
      </c>
      <c r="J1580" t="s">
        <v>10210</v>
      </c>
      <c r="K1580" t="s">
        <v>10218</v>
      </c>
      <c r="L1580" t="s">
        <v>10110</v>
      </c>
      <c r="M1580" t="s">
        <v>10234</v>
      </c>
      <c r="N1580" t="s">
        <v>10650</v>
      </c>
      <c r="P1580" t="s">
        <v>10749</v>
      </c>
      <c r="Q1580" t="s">
        <v>10765</v>
      </c>
      <c r="R1580" t="s">
        <v>10824</v>
      </c>
      <c r="T1580">
        <v>9600</v>
      </c>
      <c r="U1580">
        <v>800</v>
      </c>
      <c r="V1580">
        <v>49</v>
      </c>
      <c r="W1580">
        <v>1</v>
      </c>
      <c r="X1580">
        <v>0</v>
      </c>
      <c r="Y1580" t="s">
        <v>10829</v>
      </c>
      <c r="Z1580">
        <v>76.86</v>
      </c>
      <c r="AA1580">
        <v>40.821187</v>
      </c>
      <c r="AB1580">
        <v>-73.90337100000001</v>
      </c>
      <c r="AD1580" t="s">
        <v>10840</v>
      </c>
      <c r="AG1580" t="s">
        <v>10858</v>
      </c>
      <c r="AH1580" t="s">
        <v>10862</v>
      </c>
      <c r="AI1580">
        <v>230</v>
      </c>
      <c r="AJ1580" t="s">
        <v>10210</v>
      </c>
      <c r="AK1580" t="s">
        <v>10838</v>
      </c>
      <c r="AL1580">
        <v>1</v>
      </c>
      <c r="AM1580" t="s">
        <v>10884</v>
      </c>
      <c r="AN1580" t="s">
        <v>10918</v>
      </c>
      <c r="AO1580" t="s">
        <v>11001</v>
      </c>
      <c r="AP1580" t="s">
        <v>11062</v>
      </c>
      <c r="AR1580" t="s">
        <v>11263</v>
      </c>
      <c r="AS1580" t="s">
        <v>9926</v>
      </c>
      <c r="AY1580" t="s">
        <v>10829</v>
      </c>
      <c r="AZ1580" t="s">
        <v>11681</v>
      </c>
      <c r="BA1580" t="s">
        <v>11741</v>
      </c>
      <c r="BB1580">
        <v>0</v>
      </c>
      <c r="BC1580">
        <v>0</v>
      </c>
      <c r="BD1580">
        <v>0</v>
      </c>
      <c r="BE1580">
        <v>0</v>
      </c>
      <c r="BF1580">
        <v>1</v>
      </c>
      <c r="BG1580">
        <v>0</v>
      </c>
    </row>
    <row r="1581" spans="1:59">
      <c r="A1581" s="1">
        <f>HYPERLINK("https://lsnyc.legalserver.org/matter/dynamic-profile/view/1905441","19-1905441")</f>
        <v>0</v>
      </c>
      <c r="B1581" t="s">
        <v>223</v>
      </c>
      <c r="C1581" t="s">
        <v>6239</v>
      </c>
      <c r="D1581" t="s">
        <v>9926</v>
      </c>
      <c r="E1581" t="s">
        <v>10075</v>
      </c>
      <c r="F1581">
        <v>10473</v>
      </c>
      <c r="G1581" t="s">
        <v>10090</v>
      </c>
      <c r="H1581" t="s">
        <v>10106</v>
      </c>
      <c r="I1581" t="s">
        <v>10168</v>
      </c>
      <c r="J1581" t="s">
        <v>10210</v>
      </c>
      <c r="K1581" t="s">
        <v>10217</v>
      </c>
      <c r="M1581" t="s">
        <v>10545</v>
      </c>
      <c r="N1581" t="s">
        <v>10646</v>
      </c>
      <c r="P1581" t="s">
        <v>10749</v>
      </c>
      <c r="Q1581" t="s">
        <v>10769</v>
      </c>
      <c r="R1581" t="s">
        <v>10824</v>
      </c>
      <c r="T1581">
        <v>100800</v>
      </c>
      <c r="U1581">
        <v>8400</v>
      </c>
      <c r="V1581">
        <v>62</v>
      </c>
      <c r="W1581">
        <v>2</v>
      </c>
      <c r="X1581">
        <v>0</v>
      </c>
      <c r="Z1581">
        <v>596.1</v>
      </c>
      <c r="AA1581">
        <v>40.821813</v>
      </c>
      <c r="AB1581">
        <v>-73.850441</v>
      </c>
      <c r="AD1581" t="s">
        <v>10840</v>
      </c>
      <c r="AG1581" t="s">
        <v>10858</v>
      </c>
      <c r="AH1581" t="s">
        <v>10861</v>
      </c>
      <c r="AI1581">
        <v>234</v>
      </c>
      <c r="AJ1581" t="s">
        <v>10214</v>
      </c>
      <c r="AL1581">
        <v>1</v>
      </c>
      <c r="AM1581" t="s">
        <v>10884</v>
      </c>
      <c r="AN1581" t="s">
        <v>10908</v>
      </c>
      <c r="AO1581" t="s">
        <v>11002</v>
      </c>
      <c r="AP1581" t="s">
        <v>11046</v>
      </c>
      <c r="AR1581" t="s">
        <v>11425</v>
      </c>
      <c r="AS1581" t="s">
        <v>9926</v>
      </c>
      <c r="AT1581" t="s">
        <v>11642</v>
      </c>
      <c r="AX1581" t="s">
        <v>10838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</row>
    <row r="1582" spans="1:59">
      <c r="A1582" s="1">
        <f>HYPERLINK("https://lsnyc.legalserver.org/matter/dynamic-profile/view/1905442","19-1905442")</f>
        <v>0</v>
      </c>
      <c r="B1582" t="s">
        <v>670</v>
      </c>
      <c r="C1582" t="s">
        <v>6240</v>
      </c>
      <c r="D1582" t="s">
        <v>9928</v>
      </c>
      <c r="E1582" t="s">
        <v>10075</v>
      </c>
      <c r="F1582">
        <v>11226</v>
      </c>
      <c r="G1582" t="s">
        <v>10093</v>
      </c>
      <c r="H1582" t="s">
        <v>10106</v>
      </c>
      <c r="I1582" t="s">
        <v>10168</v>
      </c>
      <c r="J1582" t="s">
        <v>10213</v>
      </c>
      <c r="K1582" t="s">
        <v>10218</v>
      </c>
      <c r="L1582" t="s">
        <v>10159</v>
      </c>
      <c r="M1582" t="s">
        <v>10265</v>
      </c>
      <c r="N1582" t="s">
        <v>10671</v>
      </c>
      <c r="P1582" t="s">
        <v>10751</v>
      </c>
      <c r="Q1582" t="s">
        <v>10761</v>
      </c>
      <c r="R1582" t="s">
        <v>10824</v>
      </c>
      <c r="T1582">
        <v>30720.43</v>
      </c>
      <c r="U1582">
        <v>2560.04</v>
      </c>
      <c r="V1582">
        <v>50</v>
      </c>
      <c r="W1582">
        <v>2</v>
      </c>
      <c r="X1582">
        <v>0</v>
      </c>
      <c r="Y1582" t="s">
        <v>10832</v>
      </c>
      <c r="Z1582">
        <v>181.67</v>
      </c>
      <c r="AA1582">
        <v>40.647025</v>
      </c>
      <c r="AB1582">
        <v>-73.959598</v>
      </c>
      <c r="AD1582" t="s">
        <v>10840</v>
      </c>
      <c r="AF1582" t="s">
        <v>10843</v>
      </c>
      <c r="AG1582" t="s">
        <v>10859</v>
      </c>
      <c r="AH1582" t="s">
        <v>10862</v>
      </c>
      <c r="AI1582">
        <v>239</v>
      </c>
      <c r="AJ1582" t="s">
        <v>10213</v>
      </c>
      <c r="AK1582" t="s">
        <v>10838</v>
      </c>
      <c r="AL1582">
        <v>3.25</v>
      </c>
      <c r="AR1582" t="s">
        <v>11257</v>
      </c>
      <c r="AS1582" t="s">
        <v>11595</v>
      </c>
      <c r="AY1582" t="s">
        <v>10832</v>
      </c>
      <c r="AZ1582" t="s">
        <v>11688</v>
      </c>
      <c r="BA1582" t="s">
        <v>11737</v>
      </c>
      <c r="BB1582">
        <v>0</v>
      </c>
      <c r="BC1582">
        <v>0</v>
      </c>
      <c r="BD1582">
        <v>0</v>
      </c>
      <c r="BE1582">
        <v>0</v>
      </c>
      <c r="BF1582">
        <v>3</v>
      </c>
      <c r="BG1582">
        <v>0</v>
      </c>
    </row>
    <row r="1583" spans="1:59">
      <c r="A1583" s="1">
        <f>HYPERLINK("https://lsnyc.legalserver.org/matter/dynamic-profile/view/1905444","19-1905444")</f>
        <v>0</v>
      </c>
      <c r="B1583" t="s">
        <v>1415</v>
      </c>
      <c r="C1583" t="s">
        <v>6241</v>
      </c>
      <c r="D1583" t="s">
        <v>9926</v>
      </c>
      <c r="E1583" t="s">
        <v>10075</v>
      </c>
      <c r="F1583">
        <v>10459</v>
      </c>
      <c r="G1583" t="s">
        <v>10090</v>
      </c>
      <c r="H1583" t="s">
        <v>10106</v>
      </c>
      <c r="I1583" t="s">
        <v>10168</v>
      </c>
      <c r="J1583" t="s">
        <v>10210</v>
      </c>
      <c r="K1583" t="s">
        <v>10218</v>
      </c>
      <c r="L1583" t="s">
        <v>10102</v>
      </c>
      <c r="M1583" t="s">
        <v>10524</v>
      </c>
      <c r="N1583" t="s">
        <v>10690</v>
      </c>
      <c r="P1583" t="s">
        <v>10749</v>
      </c>
      <c r="Q1583" t="s">
        <v>10765</v>
      </c>
      <c r="R1583" t="s">
        <v>10820</v>
      </c>
      <c r="T1583">
        <v>9252</v>
      </c>
      <c r="U1583">
        <v>771</v>
      </c>
      <c r="V1583">
        <v>77</v>
      </c>
      <c r="W1583">
        <v>1</v>
      </c>
      <c r="X1583">
        <v>0</v>
      </c>
      <c r="Y1583" t="s">
        <v>10830</v>
      </c>
      <c r="Z1583">
        <v>74.08</v>
      </c>
      <c r="AA1583">
        <v>40.827251</v>
      </c>
      <c r="AB1583">
        <v>-73.888651</v>
      </c>
      <c r="AC1583" t="s">
        <v>10837</v>
      </c>
      <c r="AD1583" t="s">
        <v>10840</v>
      </c>
      <c r="AG1583" t="s">
        <v>10858</v>
      </c>
      <c r="AH1583" t="s">
        <v>10861</v>
      </c>
      <c r="AI1583">
        <v>234</v>
      </c>
      <c r="AJ1583" t="s">
        <v>10214</v>
      </c>
      <c r="AK1583" t="s">
        <v>10882</v>
      </c>
      <c r="AL1583">
        <v>2.35</v>
      </c>
      <c r="AM1583" t="s">
        <v>10884</v>
      </c>
      <c r="AN1583" t="s">
        <v>10968</v>
      </c>
      <c r="AO1583" t="s">
        <v>11001</v>
      </c>
      <c r="AP1583" t="s">
        <v>11062</v>
      </c>
      <c r="AR1583" t="s">
        <v>11263</v>
      </c>
      <c r="AS1583" t="s">
        <v>9926</v>
      </c>
      <c r="AT1583" t="s">
        <v>11642</v>
      </c>
      <c r="AX1583" t="s">
        <v>10838</v>
      </c>
      <c r="AY1583" t="s">
        <v>10830</v>
      </c>
      <c r="AZ1583" t="s">
        <v>11690</v>
      </c>
      <c r="BA1583" t="s">
        <v>11740</v>
      </c>
      <c r="BB1583">
        <v>0</v>
      </c>
      <c r="BC1583">
        <v>0</v>
      </c>
      <c r="BD1583">
        <v>0</v>
      </c>
      <c r="BE1583">
        <v>0</v>
      </c>
      <c r="BF1583">
        <v>2</v>
      </c>
      <c r="BG1583">
        <v>0</v>
      </c>
    </row>
    <row r="1584" spans="1:59">
      <c r="A1584" s="1">
        <f>HYPERLINK("https://lsnyc.legalserver.org/matter/dynamic-profile/view/1905445","19-1905445")</f>
        <v>0</v>
      </c>
      <c r="B1584" t="s">
        <v>1416</v>
      </c>
      <c r="C1584" t="s">
        <v>6242</v>
      </c>
      <c r="D1584" t="s">
        <v>9928</v>
      </c>
      <c r="E1584" t="s">
        <v>10075</v>
      </c>
      <c r="F1584">
        <v>11211</v>
      </c>
      <c r="G1584" t="s">
        <v>10093</v>
      </c>
      <c r="H1584" t="s">
        <v>10106</v>
      </c>
      <c r="I1584" t="s">
        <v>10169</v>
      </c>
      <c r="J1584" t="s">
        <v>10213</v>
      </c>
      <c r="K1584" t="s">
        <v>10217</v>
      </c>
      <c r="M1584" t="s">
        <v>10309</v>
      </c>
      <c r="N1584" t="s">
        <v>10665</v>
      </c>
      <c r="P1584" t="s">
        <v>10750</v>
      </c>
      <c r="Q1584" t="s">
        <v>10779</v>
      </c>
      <c r="R1584" t="s">
        <v>10823</v>
      </c>
      <c r="T1584">
        <v>0</v>
      </c>
      <c r="U1584">
        <v>0</v>
      </c>
      <c r="V1584">
        <v>40</v>
      </c>
      <c r="W1584">
        <v>2</v>
      </c>
      <c r="X1584">
        <v>0</v>
      </c>
      <c r="Z1584">
        <v>0</v>
      </c>
      <c r="AA1584">
        <v>40.70546</v>
      </c>
      <c r="AB1584">
        <v>-73.955198</v>
      </c>
      <c r="AD1584" t="s">
        <v>10840</v>
      </c>
      <c r="AF1584" t="s">
        <v>10842</v>
      </c>
      <c r="AG1584" t="s">
        <v>10859</v>
      </c>
      <c r="AH1584" t="s">
        <v>10864</v>
      </c>
      <c r="AI1584">
        <v>239</v>
      </c>
      <c r="AJ1584" t="s">
        <v>10213</v>
      </c>
      <c r="AK1584" t="s">
        <v>10882</v>
      </c>
      <c r="AL1584">
        <v>2.3</v>
      </c>
      <c r="AM1584" t="s">
        <v>10886</v>
      </c>
      <c r="AN1584" t="s">
        <v>10939</v>
      </c>
      <c r="AO1584" t="s">
        <v>11004</v>
      </c>
      <c r="AP1584" t="s">
        <v>11054</v>
      </c>
      <c r="AQ1584" t="s">
        <v>11190</v>
      </c>
      <c r="AR1584" t="s">
        <v>11267</v>
      </c>
      <c r="AS1584" t="s">
        <v>11595</v>
      </c>
      <c r="AX1584" t="s">
        <v>10837</v>
      </c>
      <c r="AZ1584" t="s">
        <v>11679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</row>
    <row r="1585" spans="1:59">
      <c r="A1585" s="1">
        <f>HYPERLINK("https://lsnyc.legalserver.org/matter/dynamic-profile/view/1905446","19-1905446")</f>
        <v>0</v>
      </c>
      <c r="B1585" t="s">
        <v>1417</v>
      </c>
      <c r="C1585" t="s">
        <v>6243</v>
      </c>
      <c r="D1585" t="s">
        <v>9926</v>
      </c>
      <c r="E1585" t="s">
        <v>10075</v>
      </c>
      <c r="F1585">
        <v>10462</v>
      </c>
      <c r="G1585" t="s">
        <v>10090</v>
      </c>
      <c r="H1585" t="s">
        <v>10128</v>
      </c>
      <c r="I1585" t="s">
        <v>10168</v>
      </c>
      <c r="J1585" t="s">
        <v>10210</v>
      </c>
      <c r="K1585" t="s">
        <v>10217</v>
      </c>
      <c r="M1585" t="s">
        <v>10445</v>
      </c>
      <c r="N1585" t="s">
        <v>10712</v>
      </c>
      <c r="P1585" t="s">
        <v>10754</v>
      </c>
      <c r="Q1585" t="s">
        <v>10770</v>
      </c>
      <c r="R1585" t="s">
        <v>10828</v>
      </c>
      <c r="T1585">
        <v>0</v>
      </c>
      <c r="U1585">
        <v>0</v>
      </c>
      <c r="V1585">
        <v>37</v>
      </c>
      <c r="W1585">
        <v>2</v>
      </c>
      <c r="X1585">
        <v>0</v>
      </c>
      <c r="Z1585">
        <v>0</v>
      </c>
      <c r="AA1585">
        <v>40.837736</v>
      </c>
      <c r="AB1585">
        <v>-73.855164</v>
      </c>
      <c r="AD1585" t="s">
        <v>10839</v>
      </c>
      <c r="AG1585" t="s">
        <v>10858</v>
      </c>
      <c r="AH1585" t="s">
        <v>10865</v>
      </c>
      <c r="AI1585">
        <v>230</v>
      </c>
      <c r="AJ1585" t="s">
        <v>10210</v>
      </c>
      <c r="AL1585">
        <v>0</v>
      </c>
      <c r="AM1585" t="s">
        <v>10885</v>
      </c>
      <c r="AN1585" t="s">
        <v>10908</v>
      </c>
      <c r="AO1585" t="s">
        <v>11001</v>
      </c>
      <c r="AP1585" t="s">
        <v>11046</v>
      </c>
      <c r="AQ1585" t="s">
        <v>11122</v>
      </c>
      <c r="AR1585" t="s">
        <v>11267</v>
      </c>
      <c r="AS1585" t="s">
        <v>9926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</row>
    <row r="1586" spans="1:59">
      <c r="A1586" s="1">
        <f>HYPERLINK("https://lsnyc.legalserver.org/matter/dynamic-profile/view/1905447","19-1905447")</f>
        <v>0</v>
      </c>
      <c r="B1586" t="s">
        <v>1418</v>
      </c>
      <c r="C1586" t="s">
        <v>6244</v>
      </c>
      <c r="D1586" t="s">
        <v>9926</v>
      </c>
      <c r="E1586" t="s">
        <v>10075</v>
      </c>
      <c r="F1586">
        <v>10451</v>
      </c>
      <c r="G1586" t="s">
        <v>10090</v>
      </c>
      <c r="H1586" t="s">
        <v>10130</v>
      </c>
      <c r="I1586" t="s">
        <v>10168</v>
      </c>
      <c r="J1586" t="s">
        <v>10210</v>
      </c>
      <c r="K1586" t="s">
        <v>10217</v>
      </c>
      <c r="M1586" t="s">
        <v>10535</v>
      </c>
      <c r="N1586" t="s">
        <v>10650</v>
      </c>
      <c r="P1586" t="s">
        <v>10749</v>
      </c>
      <c r="Q1586" t="s">
        <v>10765</v>
      </c>
      <c r="R1586" t="s">
        <v>10824</v>
      </c>
      <c r="T1586">
        <v>7920</v>
      </c>
      <c r="U1586">
        <v>660</v>
      </c>
      <c r="V1586">
        <v>50</v>
      </c>
      <c r="W1586">
        <v>1</v>
      </c>
      <c r="X1586">
        <v>0</v>
      </c>
      <c r="Z1586">
        <v>63.41</v>
      </c>
      <c r="AA1586">
        <v>40.825215</v>
      </c>
      <c r="AB1586">
        <v>-73.926619</v>
      </c>
      <c r="AD1586" t="s">
        <v>10839</v>
      </c>
      <c r="AG1586" t="s">
        <v>10858</v>
      </c>
      <c r="AH1586" t="s">
        <v>10862</v>
      </c>
      <c r="AI1586">
        <v>230</v>
      </c>
      <c r="AJ1586" t="s">
        <v>10210</v>
      </c>
      <c r="AL1586">
        <v>1</v>
      </c>
      <c r="AM1586" t="s">
        <v>10884</v>
      </c>
      <c r="AN1586" t="s">
        <v>10924</v>
      </c>
      <c r="AO1586" t="s">
        <v>11013</v>
      </c>
      <c r="AP1586" t="s">
        <v>11066</v>
      </c>
      <c r="AR1586" t="s">
        <v>11268</v>
      </c>
      <c r="AS1586" t="s">
        <v>9926</v>
      </c>
      <c r="BA1586" t="s">
        <v>11741</v>
      </c>
      <c r="BB1586">
        <v>0</v>
      </c>
      <c r="BC1586">
        <v>0</v>
      </c>
      <c r="BD1586">
        <v>0</v>
      </c>
      <c r="BE1586">
        <v>0</v>
      </c>
      <c r="BF1586">
        <v>1</v>
      </c>
      <c r="BG1586">
        <v>0</v>
      </c>
    </row>
    <row r="1587" spans="1:59">
      <c r="A1587" s="1">
        <f>HYPERLINK("https://lsnyc.legalserver.org/matter/dynamic-profile/view/1905448","19-1905448")</f>
        <v>0</v>
      </c>
      <c r="B1587" t="s">
        <v>1419</v>
      </c>
      <c r="C1587" t="s">
        <v>6245</v>
      </c>
      <c r="D1587" t="s">
        <v>9925</v>
      </c>
      <c r="E1587" t="s">
        <v>10075</v>
      </c>
      <c r="F1587">
        <v>10029</v>
      </c>
      <c r="G1587" t="s">
        <v>10089</v>
      </c>
      <c r="H1587" t="s">
        <v>10106</v>
      </c>
      <c r="I1587" t="s">
        <v>10168</v>
      </c>
      <c r="J1587" t="s">
        <v>10209</v>
      </c>
      <c r="K1587" t="s">
        <v>10217</v>
      </c>
      <c r="M1587" t="s">
        <v>10305</v>
      </c>
      <c r="N1587" t="s">
        <v>10688</v>
      </c>
      <c r="P1587" t="s">
        <v>10752</v>
      </c>
      <c r="Q1587" t="s">
        <v>10805</v>
      </c>
      <c r="R1587" t="s">
        <v>10824</v>
      </c>
      <c r="T1587">
        <v>28000</v>
      </c>
      <c r="U1587">
        <v>2333.33</v>
      </c>
      <c r="V1587">
        <v>64</v>
      </c>
      <c r="W1587">
        <v>1</v>
      </c>
      <c r="X1587">
        <v>1</v>
      </c>
      <c r="Z1587">
        <v>165.58</v>
      </c>
      <c r="AA1587">
        <v>40.795947</v>
      </c>
      <c r="AB1587">
        <v>-73.93685499999999</v>
      </c>
      <c r="AD1587" t="s">
        <v>10839</v>
      </c>
      <c r="AG1587" t="s">
        <v>10858</v>
      </c>
      <c r="AH1587" t="s">
        <v>10863</v>
      </c>
      <c r="AI1587">
        <v>236</v>
      </c>
      <c r="AJ1587" t="s">
        <v>10209</v>
      </c>
      <c r="AL1587">
        <v>0.3</v>
      </c>
      <c r="AM1587" t="s">
        <v>10887</v>
      </c>
      <c r="AN1587" t="s">
        <v>10926</v>
      </c>
      <c r="AO1587" t="s">
        <v>11013</v>
      </c>
      <c r="AP1587" t="s">
        <v>11066</v>
      </c>
      <c r="AQ1587" t="s">
        <v>11155</v>
      </c>
      <c r="AR1587" t="s">
        <v>11257</v>
      </c>
      <c r="AS1587" t="s">
        <v>9925</v>
      </c>
      <c r="AT1587" t="s">
        <v>11641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</row>
    <row r="1588" spans="1:59">
      <c r="A1588" s="1">
        <f>HYPERLINK("https://lsnyc.legalserver.org/matter/dynamic-profile/view/1905449","19-1905449")</f>
        <v>0</v>
      </c>
      <c r="B1588" t="s">
        <v>1420</v>
      </c>
      <c r="C1588" t="s">
        <v>6246</v>
      </c>
      <c r="D1588" t="s">
        <v>9928</v>
      </c>
      <c r="E1588" t="s">
        <v>10075</v>
      </c>
      <c r="F1588">
        <v>11207</v>
      </c>
      <c r="G1588" t="s">
        <v>10093</v>
      </c>
      <c r="H1588" t="s">
        <v>10106</v>
      </c>
      <c r="I1588" t="s">
        <v>10168</v>
      </c>
      <c r="J1588" t="s">
        <v>10213</v>
      </c>
      <c r="K1588" t="s">
        <v>10218</v>
      </c>
      <c r="L1588" t="s">
        <v>10146</v>
      </c>
      <c r="M1588" t="s">
        <v>10317</v>
      </c>
      <c r="N1588" t="s">
        <v>10671</v>
      </c>
      <c r="P1588" t="s">
        <v>10751</v>
      </c>
      <c r="Q1588" t="s">
        <v>10761</v>
      </c>
      <c r="R1588" t="s">
        <v>10824</v>
      </c>
      <c r="T1588">
        <v>18200</v>
      </c>
      <c r="U1588">
        <v>1516.67</v>
      </c>
      <c r="V1588">
        <v>35</v>
      </c>
      <c r="W1588">
        <v>1</v>
      </c>
      <c r="X1588">
        <v>2</v>
      </c>
      <c r="Y1588" t="s">
        <v>10829</v>
      </c>
      <c r="Z1588">
        <v>85.33</v>
      </c>
      <c r="AA1588">
        <v>40.660474</v>
      </c>
      <c r="AB1588">
        <v>-73.882943</v>
      </c>
      <c r="AD1588" t="s">
        <v>10839</v>
      </c>
      <c r="AG1588" t="s">
        <v>10858</v>
      </c>
      <c r="AH1588" t="s">
        <v>10861</v>
      </c>
      <c r="AI1588">
        <v>234</v>
      </c>
      <c r="AJ1588" t="s">
        <v>10214</v>
      </c>
      <c r="AK1588" t="s">
        <v>10838</v>
      </c>
      <c r="AL1588">
        <v>1.5</v>
      </c>
      <c r="AM1588" t="s">
        <v>10889</v>
      </c>
      <c r="AN1588" t="s">
        <v>10946</v>
      </c>
      <c r="AO1588" t="s">
        <v>11012</v>
      </c>
      <c r="AP1588" t="s">
        <v>11060</v>
      </c>
      <c r="AR1588" t="s">
        <v>11262</v>
      </c>
      <c r="AS1588" t="s">
        <v>11595</v>
      </c>
      <c r="AT1588" t="s">
        <v>11641</v>
      </c>
      <c r="AX1588" t="s">
        <v>10838</v>
      </c>
      <c r="AY1588" t="s">
        <v>10829</v>
      </c>
      <c r="AZ1588" t="s">
        <v>11682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</row>
    <row r="1589" spans="1:59">
      <c r="A1589" s="1">
        <f>HYPERLINK("https://lsnyc.legalserver.org/matter/dynamic-profile/view/1905450","19-1905450")</f>
        <v>0</v>
      </c>
      <c r="B1589" t="s">
        <v>1421</v>
      </c>
      <c r="C1589" t="s">
        <v>6247</v>
      </c>
      <c r="D1589" t="s">
        <v>9925</v>
      </c>
      <c r="E1589" t="s">
        <v>10075</v>
      </c>
      <c r="F1589">
        <v>10032</v>
      </c>
      <c r="G1589" t="s">
        <v>10089</v>
      </c>
      <c r="H1589" t="s">
        <v>10106</v>
      </c>
      <c r="I1589" t="s">
        <v>10168</v>
      </c>
      <c r="J1589" t="s">
        <v>10209</v>
      </c>
      <c r="K1589" t="s">
        <v>10217</v>
      </c>
      <c r="M1589" t="s">
        <v>10301</v>
      </c>
      <c r="N1589" t="s">
        <v>10665</v>
      </c>
      <c r="P1589" t="s">
        <v>10751</v>
      </c>
      <c r="Q1589" t="s">
        <v>10773</v>
      </c>
      <c r="R1589" t="s">
        <v>10824</v>
      </c>
      <c r="T1589">
        <v>0</v>
      </c>
      <c r="U1589">
        <v>0</v>
      </c>
      <c r="V1589">
        <v>39</v>
      </c>
      <c r="W1589">
        <v>1</v>
      </c>
      <c r="X1589">
        <v>0</v>
      </c>
      <c r="Z1589">
        <v>0</v>
      </c>
      <c r="AA1589">
        <v>40.840096</v>
      </c>
      <c r="AB1589">
        <v>-73.93640499999999</v>
      </c>
      <c r="AD1589" t="s">
        <v>10840</v>
      </c>
      <c r="AG1589" t="s">
        <v>10858</v>
      </c>
      <c r="AH1589" t="s">
        <v>10871</v>
      </c>
      <c r="AI1589">
        <v>234</v>
      </c>
      <c r="AJ1589" t="s">
        <v>10214</v>
      </c>
      <c r="AL1589">
        <v>4.2</v>
      </c>
      <c r="AM1589" t="s">
        <v>10887</v>
      </c>
      <c r="AN1589" t="s">
        <v>10937</v>
      </c>
      <c r="AO1589" t="s">
        <v>11019</v>
      </c>
      <c r="AP1589" t="s">
        <v>11074</v>
      </c>
      <c r="AQ1589" t="s">
        <v>11115</v>
      </c>
      <c r="AR1589" t="s">
        <v>11267</v>
      </c>
      <c r="AS1589" t="s">
        <v>9925</v>
      </c>
      <c r="AT1589" t="s">
        <v>11642</v>
      </c>
      <c r="AX1589" t="s">
        <v>10838</v>
      </c>
      <c r="BA1589" t="s">
        <v>11741</v>
      </c>
      <c r="BB1589">
        <v>0</v>
      </c>
      <c r="BC1589">
        <v>0</v>
      </c>
      <c r="BD1589">
        <v>0</v>
      </c>
      <c r="BE1589">
        <v>0</v>
      </c>
      <c r="BF1589">
        <v>1</v>
      </c>
      <c r="BG1589">
        <v>0</v>
      </c>
    </row>
    <row r="1590" spans="1:59">
      <c r="A1590" s="1">
        <f>HYPERLINK("https://lsnyc.legalserver.org/matter/dynamic-profile/view/1905452","19-1905452")</f>
        <v>0</v>
      </c>
      <c r="B1590" t="s">
        <v>1422</v>
      </c>
      <c r="C1590" t="s">
        <v>6248</v>
      </c>
      <c r="D1590" t="s">
        <v>9926</v>
      </c>
      <c r="E1590" t="s">
        <v>10075</v>
      </c>
      <c r="F1590">
        <v>10462</v>
      </c>
      <c r="G1590" t="s">
        <v>10090</v>
      </c>
      <c r="H1590" t="s">
        <v>10106</v>
      </c>
      <c r="I1590" t="s">
        <v>10169</v>
      </c>
      <c r="J1590" t="s">
        <v>10210</v>
      </c>
      <c r="K1590" t="s">
        <v>10218</v>
      </c>
      <c r="L1590" t="s">
        <v>10129</v>
      </c>
      <c r="M1590" t="s">
        <v>10338</v>
      </c>
      <c r="N1590" t="s">
        <v>10671</v>
      </c>
      <c r="P1590" t="s">
        <v>10751</v>
      </c>
      <c r="Q1590" t="s">
        <v>10786</v>
      </c>
      <c r="R1590" t="s">
        <v>10821</v>
      </c>
      <c r="T1590">
        <v>26000</v>
      </c>
      <c r="U1590">
        <v>2166.67</v>
      </c>
      <c r="V1590">
        <v>0</v>
      </c>
      <c r="W1590">
        <v>3</v>
      </c>
      <c r="X1590">
        <v>1</v>
      </c>
      <c r="Y1590" t="s">
        <v>10829</v>
      </c>
      <c r="Z1590">
        <v>100.97</v>
      </c>
      <c r="AA1590">
        <v>40.838965</v>
      </c>
      <c r="AB1590">
        <v>-73.861349</v>
      </c>
      <c r="AD1590" t="s">
        <v>10840</v>
      </c>
      <c r="AG1590" t="s">
        <v>10858</v>
      </c>
      <c r="AH1590" t="s">
        <v>10871</v>
      </c>
      <c r="AI1590">
        <v>234</v>
      </c>
      <c r="AJ1590" t="s">
        <v>10214</v>
      </c>
      <c r="AK1590" t="s">
        <v>10882</v>
      </c>
      <c r="AL1590">
        <v>1.05</v>
      </c>
      <c r="AM1590" t="s">
        <v>10885</v>
      </c>
      <c r="AN1590" t="s">
        <v>10908</v>
      </c>
      <c r="AO1590" t="s">
        <v>11001</v>
      </c>
      <c r="AP1590" t="s">
        <v>11046</v>
      </c>
      <c r="AR1590" t="s">
        <v>11257</v>
      </c>
      <c r="AS1590" t="s">
        <v>9926</v>
      </c>
      <c r="AT1590" t="s">
        <v>11642</v>
      </c>
      <c r="AX1590" t="s">
        <v>10838</v>
      </c>
      <c r="AY1590" t="s">
        <v>10829</v>
      </c>
      <c r="AZ1590" t="s">
        <v>11682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</row>
    <row r="1591" spans="1:59">
      <c r="A1591" s="1">
        <f>HYPERLINK("https://lsnyc.legalserver.org/matter/dynamic-profile/view/1905454","19-1905454")</f>
        <v>0</v>
      </c>
      <c r="B1591" t="s">
        <v>1423</v>
      </c>
      <c r="C1591" t="s">
        <v>6249</v>
      </c>
      <c r="D1591" t="s">
        <v>9928</v>
      </c>
      <c r="E1591" t="s">
        <v>10075</v>
      </c>
      <c r="F1591">
        <v>11222</v>
      </c>
      <c r="G1591" t="s">
        <v>10091</v>
      </c>
      <c r="H1591" t="s">
        <v>10106</v>
      </c>
      <c r="I1591" t="s">
        <v>10169</v>
      </c>
      <c r="J1591" t="s">
        <v>10214</v>
      </c>
      <c r="K1591" t="s">
        <v>10217</v>
      </c>
      <c r="M1591" t="s">
        <v>10286</v>
      </c>
      <c r="N1591" t="s">
        <v>10671</v>
      </c>
      <c r="P1591" t="s">
        <v>10749</v>
      </c>
      <c r="Q1591" t="s">
        <v>10765</v>
      </c>
      <c r="R1591" t="s">
        <v>10821</v>
      </c>
      <c r="T1591">
        <v>20800</v>
      </c>
      <c r="U1591">
        <v>1733.33</v>
      </c>
      <c r="V1591">
        <v>45</v>
      </c>
      <c r="W1591">
        <v>1</v>
      </c>
      <c r="X1591">
        <v>0</v>
      </c>
      <c r="Z1591">
        <v>166.53</v>
      </c>
      <c r="AA1591">
        <v>40.730485</v>
      </c>
      <c r="AB1591">
        <v>-73.953047</v>
      </c>
      <c r="AD1591" t="s">
        <v>10839</v>
      </c>
      <c r="AF1591" t="s">
        <v>10843</v>
      </c>
      <c r="AG1591" t="s">
        <v>10859</v>
      </c>
      <c r="AH1591" t="s">
        <v>10871</v>
      </c>
      <c r="AI1591">
        <v>234</v>
      </c>
      <c r="AJ1591" t="s">
        <v>10214</v>
      </c>
      <c r="AL1591">
        <v>1</v>
      </c>
      <c r="AM1591" t="s">
        <v>10891</v>
      </c>
      <c r="AN1591" t="s">
        <v>10939</v>
      </c>
      <c r="AO1591" t="s">
        <v>11011</v>
      </c>
      <c r="AP1591" t="s">
        <v>11054</v>
      </c>
      <c r="AR1591" t="s">
        <v>11276</v>
      </c>
      <c r="AS1591" t="s">
        <v>11595</v>
      </c>
      <c r="AT1591" t="s">
        <v>11641</v>
      </c>
      <c r="AX1591" t="s">
        <v>10838</v>
      </c>
      <c r="BA1591" t="s">
        <v>11741</v>
      </c>
      <c r="BB1591">
        <v>0</v>
      </c>
      <c r="BC1591">
        <v>0</v>
      </c>
      <c r="BD1591">
        <v>0</v>
      </c>
      <c r="BE1591">
        <v>0</v>
      </c>
      <c r="BF1591">
        <v>1</v>
      </c>
      <c r="BG1591">
        <v>0</v>
      </c>
    </row>
    <row r="1592" spans="1:59">
      <c r="A1592" s="1">
        <f>HYPERLINK("https://lsnyc.legalserver.org/matter/dynamic-profile/view/1905455","19-1905455")</f>
        <v>0</v>
      </c>
      <c r="B1592" t="s">
        <v>1424</v>
      </c>
      <c r="C1592" t="s">
        <v>5778</v>
      </c>
      <c r="D1592" t="s">
        <v>9926</v>
      </c>
      <c r="E1592" t="s">
        <v>10075</v>
      </c>
      <c r="F1592">
        <v>10451</v>
      </c>
      <c r="G1592" t="s">
        <v>10090</v>
      </c>
      <c r="H1592" t="s">
        <v>10106</v>
      </c>
      <c r="I1592" t="s">
        <v>10168</v>
      </c>
      <c r="J1592" t="s">
        <v>10210</v>
      </c>
      <c r="K1592" t="s">
        <v>10218</v>
      </c>
      <c r="L1592" t="s">
        <v>10106</v>
      </c>
      <c r="M1592" t="s">
        <v>10427</v>
      </c>
      <c r="N1592" t="s">
        <v>10646</v>
      </c>
      <c r="P1592" t="s">
        <v>10749</v>
      </c>
      <c r="Q1592" t="s">
        <v>10765</v>
      </c>
      <c r="R1592" t="s">
        <v>10821</v>
      </c>
      <c r="T1592">
        <v>48000</v>
      </c>
      <c r="U1592">
        <v>4000</v>
      </c>
      <c r="V1592">
        <v>65</v>
      </c>
      <c r="W1592">
        <v>2</v>
      </c>
      <c r="X1592">
        <v>0</v>
      </c>
      <c r="Y1592" t="s">
        <v>10830</v>
      </c>
      <c r="Z1592">
        <v>283.86</v>
      </c>
      <c r="AA1592">
        <v>40.826479</v>
      </c>
      <c r="AB1592">
        <v>-73.92225000000001</v>
      </c>
      <c r="AD1592" t="s">
        <v>10839</v>
      </c>
      <c r="AG1592" t="s">
        <v>10858</v>
      </c>
      <c r="AH1592" t="s">
        <v>10862</v>
      </c>
      <c r="AI1592">
        <v>230</v>
      </c>
      <c r="AJ1592" t="s">
        <v>10210</v>
      </c>
      <c r="AK1592" t="s">
        <v>10838</v>
      </c>
      <c r="AL1592">
        <v>0.3</v>
      </c>
      <c r="AM1592" t="s">
        <v>10884</v>
      </c>
      <c r="AN1592" t="s">
        <v>10929</v>
      </c>
      <c r="AO1592" t="s">
        <v>11001</v>
      </c>
      <c r="AP1592" t="s">
        <v>11055</v>
      </c>
      <c r="AR1592" t="s">
        <v>11426</v>
      </c>
      <c r="AS1592" t="s">
        <v>9926</v>
      </c>
      <c r="AY1592" t="s">
        <v>10830</v>
      </c>
      <c r="AZ1592" t="s">
        <v>11697</v>
      </c>
      <c r="BA1592" t="s">
        <v>11740</v>
      </c>
      <c r="BB1592">
        <v>0</v>
      </c>
      <c r="BC1592">
        <v>0</v>
      </c>
      <c r="BD1592">
        <v>0</v>
      </c>
      <c r="BE1592">
        <v>0</v>
      </c>
      <c r="BF1592">
        <v>2</v>
      </c>
      <c r="BG1592">
        <v>0</v>
      </c>
    </row>
    <row r="1593" spans="1:59">
      <c r="A1593" s="1">
        <f>HYPERLINK("https://lsnyc.legalserver.org/matter/dynamic-profile/view/1905456","19-1905456")</f>
        <v>0</v>
      </c>
      <c r="B1593" t="s">
        <v>1425</v>
      </c>
      <c r="C1593" t="s">
        <v>6250</v>
      </c>
      <c r="D1593" t="s">
        <v>9926</v>
      </c>
      <c r="E1593" t="s">
        <v>10075</v>
      </c>
      <c r="F1593">
        <v>10470</v>
      </c>
      <c r="G1593" t="s">
        <v>10090</v>
      </c>
      <c r="H1593" t="s">
        <v>10128</v>
      </c>
      <c r="I1593" t="s">
        <v>10179</v>
      </c>
      <c r="J1593" t="s">
        <v>10210</v>
      </c>
      <c r="K1593" t="s">
        <v>10217</v>
      </c>
      <c r="M1593" t="s">
        <v>10445</v>
      </c>
      <c r="N1593" t="s">
        <v>10712</v>
      </c>
      <c r="P1593" t="s">
        <v>10754</v>
      </c>
      <c r="Q1593" t="s">
        <v>10777</v>
      </c>
      <c r="R1593" t="s">
        <v>10821</v>
      </c>
      <c r="T1593">
        <v>0</v>
      </c>
      <c r="U1593">
        <v>0</v>
      </c>
      <c r="V1593">
        <v>31</v>
      </c>
      <c r="W1593">
        <v>1</v>
      </c>
      <c r="X1593">
        <v>2</v>
      </c>
      <c r="Z1593">
        <v>0</v>
      </c>
      <c r="AA1593">
        <v>40.905788</v>
      </c>
      <c r="AB1593">
        <v>-73.850317</v>
      </c>
      <c r="AD1593" t="s">
        <v>10839</v>
      </c>
      <c r="AF1593" t="s">
        <v>10842</v>
      </c>
      <c r="AG1593" t="s">
        <v>10859</v>
      </c>
      <c r="AH1593" t="s">
        <v>10865</v>
      </c>
      <c r="AI1593">
        <v>230</v>
      </c>
      <c r="AJ1593" t="s">
        <v>10210</v>
      </c>
      <c r="AL1593">
        <v>0</v>
      </c>
      <c r="AM1593" t="s">
        <v>10893</v>
      </c>
      <c r="AN1593" t="s">
        <v>10919</v>
      </c>
      <c r="AO1593" t="s">
        <v>11010</v>
      </c>
      <c r="AP1593" t="s">
        <v>11057</v>
      </c>
      <c r="AQ1593" t="s">
        <v>11128</v>
      </c>
      <c r="AR1593" t="s">
        <v>11267</v>
      </c>
      <c r="AS1593" t="s">
        <v>9926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</row>
    <row r="1594" spans="1:59">
      <c r="A1594" s="1">
        <f>HYPERLINK("https://lsnyc.legalserver.org/matter/dynamic-profile/view/1905457","19-1905457")</f>
        <v>0</v>
      </c>
      <c r="B1594" t="s">
        <v>1426</v>
      </c>
      <c r="C1594" t="s">
        <v>6251</v>
      </c>
      <c r="D1594" t="s">
        <v>9926</v>
      </c>
      <c r="E1594" t="s">
        <v>10075</v>
      </c>
      <c r="F1594">
        <v>10463</v>
      </c>
      <c r="G1594" t="s">
        <v>10090</v>
      </c>
      <c r="H1594" t="s">
        <v>10106</v>
      </c>
      <c r="I1594" t="s">
        <v>10168</v>
      </c>
      <c r="J1594" t="s">
        <v>10210</v>
      </c>
      <c r="K1594" t="s">
        <v>10217</v>
      </c>
      <c r="M1594" t="s">
        <v>10395</v>
      </c>
      <c r="N1594" t="s">
        <v>10646</v>
      </c>
      <c r="P1594" t="s">
        <v>10755</v>
      </c>
      <c r="Q1594" t="s">
        <v>10772</v>
      </c>
      <c r="R1594" t="s">
        <v>10821</v>
      </c>
      <c r="T1594">
        <v>180000</v>
      </c>
      <c r="U1594">
        <v>15000</v>
      </c>
      <c r="V1594">
        <v>10</v>
      </c>
      <c r="W1594">
        <v>2</v>
      </c>
      <c r="X1594">
        <v>3</v>
      </c>
      <c r="Z1594">
        <v>596.62</v>
      </c>
      <c r="AA1594">
        <v>40.884423</v>
      </c>
      <c r="AB1594">
        <v>-73.90625300000001</v>
      </c>
      <c r="AD1594" t="s">
        <v>10840</v>
      </c>
      <c r="AG1594" t="s">
        <v>10858</v>
      </c>
      <c r="AH1594" t="s">
        <v>10862</v>
      </c>
      <c r="AI1594">
        <v>230</v>
      </c>
      <c r="AJ1594" t="s">
        <v>10210</v>
      </c>
      <c r="AL1594">
        <v>1.5</v>
      </c>
      <c r="AR1594" t="s">
        <v>11257</v>
      </c>
      <c r="AS1594" t="s">
        <v>9926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</row>
    <row r="1595" spans="1:59">
      <c r="A1595" s="1">
        <f>HYPERLINK("https://lsnyc.legalserver.org/matter/dynamic-profile/view/1905458","19-1905458")</f>
        <v>0</v>
      </c>
      <c r="B1595" t="s">
        <v>1427</v>
      </c>
      <c r="C1595" t="s">
        <v>6252</v>
      </c>
      <c r="D1595" t="s">
        <v>9927</v>
      </c>
      <c r="E1595" t="s">
        <v>10075</v>
      </c>
      <c r="F1595">
        <v>11377</v>
      </c>
      <c r="G1595" t="s">
        <v>10092</v>
      </c>
      <c r="H1595" t="s">
        <v>10106</v>
      </c>
      <c r="I1595" t="s">
        <v>10168</v>
      </c>
      <c r="J1595" t="s">
        <v>10212</v>
      </c>
      <c r="K1595" t="s">
        <v>10218</v>
      </c>
      <c r="L1595" t="s">
        <v>10102</v>
      </c>
      <c r="M1595" t="s">
        <v>10340</v>
      </c>
      <c r="N1595" t="s">
        <v>10694</v>
      </c>
      <c r="P1595" t="s">
        <v>10751</v>
      </c>
      <c r="Q1595" t="s">
        <v>10780</v>
      </c>
      <c r="R1595" t="s">
        <v>10827</v>
      </c>
      <c r="T1595">
        <v>3228</v>
      </c>
      <c r="U1595">
        <v>269</v>
      </c>
      <c r="V1595">
        <v>66</v>
      </c>
      <c r="W1595">
        <v>2</v>
      </c>
      <c r="X1595">
        <v>0</v>
      </c>
      <c r="Y1595" t="s">
        <v>10829</v>
      </c>
      <c r="Z1595">
        <v>19.09</v>
      </c>
      <c r="AA1595">
        <v>40.748176</v>
      </c>
      <c r="AB1595">
        <v>-73.909852</v>
      </c>
      <c r="AD1595" t="s">
        <v>10840</v>
      </c>
      <c r="AG1595" t="s">
        <v>10858</v>
      </c>
      <c r="AH1595" t="s">
        <v>10871</v>
      </c>
      <c r="AI1595">
        <v>234</v>
      </c>
      <c r="AJ1595" t="s">
        <v>10214</v>
      </c>
      <c r="AK1595" t="s">
        <v>10838</v>
      </c>
      <c r="AL1595">
        <v>3.7</v>
      </c>
      <c r="AM1595" t="s">
        <v>10885</v>
      </c>
      <c r="AN1595" t="s">
        <v>10935</v>
      </c>
      <c r="AO1595" t="s">
        <v>11003</v>
      </c>
      <c r="AP1595" t="s">
        <v>11047</v>
      </c>
      <c r="AR1595" t="s">
        <v>11427</v>
      </c>
      <c r="AS1595" t="s">
        <v>11594</v>
      </c>
      <c r="AT1595" t="s">
        <v>11642</v>
      </c>
      <c r="AX1595" t="s">
        <v>10838</v>
      </c>
      <c r="AY1595" t="s">
        <v>10829</v>
      </c>
      <c r="AZ1595" t="s">
        <v>11682</v>
      </c>
      <c r="BA1595" t="s">
        <v>11741</v>
      </c>
      <c r="BB1595">
        <v>0</v>
      </c>
      <c r="BC1595">
        <v>0</v>
      </c>
      <c r="BD1595">
        <v>0</v>
      </c>
      <c r="BE1595">
        <v>0</v>
      </c>
      <c r="BF1595">
        <v>1</v>
      </c>
      <c r="BG1595">
        <v>0</v>
      </c>
    </row>
    <row r="1596" spans="1:59">
      <c r="A1596" s="1">
        <f>HYPERLINK("https://lsnyc.legalserver.org/matter/dynamic-profile/view/1905460","19-1905460")</f>
        <v>0</v>
      </c>
      <c r="B1596" t="s">
        <v>1428</v>
      </c>
      <c r="C1596" t="s">
        <v>6253</v>
      </c>
      <c r="D1596" t="s">
        <v>9930</v>
      </c>
      <c r="E1596" t="s">
        <v>10075</v>
      </c>
      <c r="F1596">
        <v>11373</v>
      </c>
      <c r="G1596" t="s">
        <v>10091</v>
      </c>
      <c r="H1596" t="s">
        <v>10106</v>
      </c>
      <c r="I1596" t="s">
        <v>10169</v>
      </c>
      <c r="J1596" t="s">
        <v>10214</v>
      </c>
      <c r="K1596" t="s">
        <v>10217</v>
      </c>
      <c r="M1596" t="s">
        <v>10286</v>
      </c>
      <c r="N1596" t="s">
        <v>10671</v>
      </c>
      <c r="P1596" t="s">
        <v>10752</v>
      </c>
      <c r="Q1596" t="s">
        <v>10762</v>
      </c>
      <c r="R1596" t="s">
        <v>10821</v>
      </c>
      <c r="T1596">
        <v>4800</v>
      </c>
      <c r="U1596">
        <v>400</v>
      </c>
      <c r="V1596">
        <v>78</v>
      </c>
      <c r="W1596">
        <v>1</v>
      </c>
      <c r="X1596">
        <v>0</v>
      </c>
      <c r="Z1596">
        <v>38.43</v>
      </c>
      <c r="AA1596">
        <v>40.743084</v>
      </c>
      <c r="AB1596">
        <v>-73.88477</v>
      </c>
      <c r="AD1596" t="s">
        <v>10840</v>
      </c>
      <c r="AG1596" t="s">
        <v>10858</v>
      </c>
      <c r="AH1596" t="s">
        <v>10871</v>
      </c>
      <c r="AI1596">
        <v>234</v>
      </c>
      <c r="AJ1596" t="s">
        <v>10214</v>
      </c>
      <c r="AL1596">
        <v>1</v>
      </c>
      <c r="AM1596" t="s">
        <v>10890</v>
      </c>
      <c r="AN1596" t="s">
        <v>10949</v>
      </c>
      <c r="AO1596" t="s">
        <v>11003</v>
      </c>
      <c r="AP1596" t="s">
        <v>11053</v>
      </c>
      <c r="AR1596" t="s">
        <v>11268</v>
      </c>
      <c r="AS1596" t="s">
        <v>11594</v>
      </c>
      <c r="AT1596" t="s">
        <v>11642</v>
      </c>
      <c r="AX1596" t="s">
        <v>10838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</row>
    <row r="1597" spans="1:59">
      <c r="A1597" s="1">
        <f>HYPERLINK("https://lsnyc.legalserver.org/matter/dynamic-profile/view/1905461","19-1905461")</f>
        <v>0</v>
      </c>
      <c r="B1597" t="s">
        <v>1429</v>
      </c>
      <c r="C1597" t="s">
        <v>6254</v>
      </c>
      <c r="D1597" t="s">
        <v>9925</v>
      </c>
      <c r="E1597" t="s">
        <v>10075</v>
      </c>
      <c r="F1597">
        <v>10037</v>
      </c>
      <c r="G1597" t="s">
        <v>10089</v>
      </c>
      <c r="H1597" t="s">
        <v>10130</v>
      </c>
      <c r="J1597" t="s">
        <v>10209</v>
      </c>
      <c r="K1597" t="s">
        <v>10218</v>
      </c>
      <c r="L1597" t="s">
        <v>10104</v>
      </c>
      <c r="M1597" t="s">
        <v>10493</v>
      </c>
      <c r="N1597" t="s">
        <v>10707</v>
      </c>
      <c r="P1597" t="s">
        <v>10749</v>
      </c>
      <c r="Q1597" t="s">
        <v>10791</v>
      </c>
      <c r="R1597" t="s">
        <v>10820</v>
      </c>
      <c r="T1597">
        <v>376</v>
      </c>
      <c r="U1597">
        <v>31.33</v>
      </c>
      <c r="V1597">
        <v>43</v>
      </c>
      <c r="W1597">
        <v>1</v>
      </c>
      <c r="X1597">
        <v>0</v>
      </c>
      <c r="Y1597" t="s">
        <v>10830</v>
      </c>
      <c r="Z1597">
        <v>3.01</v>
      </c>
      <c r="AA1597">
        <v>40.812453</v>
      </c>
      <c r="AB1597">
        <v>-73.942458</v>
      </c>
      <c r="AD1597" t="s">
        <v>10840</v>
      </c>
      <c r="AF1597" t="s">
        <v>10846</v>
      </c>
      <c r="AG1597" t="s">
        <v>10859</v>
      </c>
      <c r="AH1597" t="s">
        <v>10868</v>
      </c>
      <c r="AI1597">
        <v>236</v>
      </c>
      <c r="AJ1597" t="s">
        <v>10209</v>
      </c>
      <c r="AK1597" t="s">
        <v>10838</v>
      </c>
      <c r="AL1597">
        <v>8.5</v>
      </c>
      <c r="AM1597" t="s">
        <v>10887</v>
      </c>
      <c r="AN1597" t="s">
        <v>10936</v>
      </c>
      <c r="AO1597" t="s">
        <v>11016</v>
      </c>
      <c r="AP1597" t="s">
        <v>11076</v>
      </c>
      <c r="AQ1597" t="s">
        <v>11133</v>
      </c>
      <c r="AR1597" t="s">
        <v>11387</v>
      </c>
      <c r="AS1597" t="s">
        <v>9925</v>
      </c>
      <c r="AT1597" t="s">
        <v>11642</v>
      </c>
      <c r="AX1597" t="s">
        <v>10837</v>
      </c>
      <c r="AY1597" t="s">
        <v>10830</v>
      </c>
      <c r="AZ1597" t="s">
        <v>11681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</row>
    <row r="1598" spans="1:59">
      <c r="A1598" s="1">
        <f>HYPERLINK("https://lsnyc.legalserver.org/matter/dynamic-profile/view/1905462","19-1905462")</f>
        <v>0</v>
      </c>
      <c r="B1598" t="s">
        <v>1430</v>
      </c>
      <c r="C1598" t="s">
        <v>6255</v>
      </c>
      <c r="D1598" t="s">
        <v>9949</v>
      </c>
      <c r="E1598" t="s">
        <v>10075</v>
      </c>
      <c r="F1598">
        <v>11413</v>
      </c>
      <c r="G1598" t="s">
        <v>10092</v>
      </c>
      <c r="H1598" t="s">
        <v>10106</v>
      </c>
      <c r="I1598" t="s">
        <v>10168</v>
      </c>
      <c r="J1598" t="s">
        <v>10212</v>
      </c>
      <c r="K1598" t="s">
        <v>10218</v>
      </c>
      <c r="L1598" t="s">
        <v>10098</v>
      </c>
      <c r="M1598" t="s">
        <v>10318</v>
      </c>
      <c r="N1598" t="s">
        <v>10684</v>
      </c>
      <c r="P1598" t="s">
        <v>10751</v>
      </c>
      <c r="Q1598" t="s">
        <v>10786</v>
      </c>
      <c r="R1598" t="s">
        <v>10824</v>
      </c>
      <c r="T1598">
        <v>9600</v>
      </c>
      <c r="U1598">
        <v>800</v>
      </c>
      <c r="V1598">
        <v>64</v>
      </c>
      <c r="W1598">
        <v>1</v>
      </c>
      <c r="X1598">
        <v>0</v>
      </c>
      <c r="Y1598" t="s">
        <v>10833</v>
      </c>
      <c r="Z1598">
        <v>76.86</v>
      </c>
      <c r="AA1598">
        <v>40.665374</v>
      </c>
      <c r="AB1598">
        <v>-73.761325</v>
      </c>
      <c r="AD1598" t="s">
        <v>10840</v>
      </c>
      <c r="AG1598" t="s">
        <v>10858</v>
      </c>
      <c r="AH1598" t="s">
        <v>10861</v>
      </c>
      <c r="AI1598">
        <v>234</v>
      </c>
      <c r="AJ1598" t="s">
        <v>10214</v>
      </c>
      <c r="AK1598" t="s">
        <v>10838</v>
      </c>
      <c r="AL1598">
        <v>2.75</v>
      </c>
      <c r="AM1598" t="s">
        <v>10892</v>
      </c>
      <c r="AN1598" t="s">
        <v>10930</v>
      </c>
      <c r="AO1598" t="s">
        <v>11017</v>
      </c>
      <c r="AP1598" t="s">
        <v>11082</v>
      </c>
      <c r="AR1598" t="s">
        <v>11316</v>
      </c>
      <c r="AS1598" t="s">
        <v>11594</v>
      </c>
      <c r="AT1598" t="s">
        <v>11642</v>
      </c>
      <c r="AX1598" t="s">
        <v>10838</v>
      </c>
      <c r="AY1598" t="s">
        <v>10833</v>
      </c>
      <c r="AZ1598" t="s">
        <v>11693</v>
      </c>
      <c r="BB1598">
        <v>0</v>
      </c>
      <c r="BC1598">
        <v>0</v>
      </c>
      <c r="BD1598">
        <v>0</v>
      </c>
      <c r="BE1598">
        <v>192</v>
      </c>
      <c r="BF1598">
        <v>0</v>
      </c>
      <c r="BG1598">
        <v>0</v>
      </c>
    </row>
    <row r="1599" spans="1:59">
      <c r="A1599" s="1">
        <f>HYPERLINK("https://lsnyc.legalserver.org/matter/dynamic-profile/view/1905463","19-1905463")</f>
        <v>0</v>
      </c>
      <c r="B1599" t="s">
        <v>1431</v>
      </c>
      <c r="C1599" t="s">
        <v>6256</v>
      </c>
      <c r="D1599" t="s">
        <v>9928</v>
      </c>
      <c r="E1599" t="s">
        <v>10075</v>
      </c>
      <c r="F1599">
        <v>11204</v>
      </c>
      <c r="G1599" t="s">
        <v>10093</v>
      </c>
      <c r="H1599" t="s">
        <v>10139</v>
      </c>
      <c r="J1599" t="s">
        <v>10213</v>
      </c>
      <c r="K1599" t="s">
        <v>10218</v>
      </c>
      <c r="L1599" t="s">
        <v>10146</v>
      </c>
      <c r="M1599" t="s">
        <v>10470</v>
      </c>
      <c r="N1599" t="s">
        <v>10720</v>
      </c>
      <c r="P1599" t="s">
        <v>10749</v>
      </c>
      <c r="Q1599" t="s">
        <v>10769</v>
      </c>
      <c r="R1599" t="s">
        <v>10820</v>
      </c>
      <c r="T1599">
        <v>118400</v>
      </c>
      <c r="U1599">
        <v>9866.67</v>
      </c>
      <c r="V1599">
        <v>70</v>
      </c>
      <c r="W1599">
        <v>2</v>
      </c>
      <c r="X1599">
        <v>0</v>
      </c>
      <c r="Y1599" t="s">
        <v>10829</v>
      </c>
      <c r="Z1599">
        <v>700.1799999999999</v>
      </c>
      <c r="AA1599">
        <v>40.627613</v>
      </c>
      <c r="AB1599">
        <v>-73.98248599999999</v>
      </c>
      <c r="AD1599" t="s">
        <v>10840</v>
      </c>
      <c r="AG1599" t="s">
        <v>10858</v>
      </c>
      <c r="AH1599" t="s">
        <v>10860</v>
      </c>
      <c r="AI1599">
        <v>239</v>
      </c>
      <c r="AJ1599" t="s">
        <v>10213</v>
      </c>
      <c r="AK1599" t="s">
        <v>10838</v>
      </c>
      <c r="AL1599">
        <v>2.1</v>
      </c>
      <c r="AM1599" t="s">
        <v>10894</v>
      </c>
      <c r="AN1599" t="s">
        <v>10947</v>
      </c>
      <c r="AO1599" t="s">
        <v>11015</v>
      </c>
      <c r="AP1599" t="s">
        <v>11079</v>
      </c>
      <c r="AQ1599" t="s">
        <v>11098</v>
      </c>
      <c r="AR1599" t="s">
        <v>11356</v>
      </c>
      <c r="AS1599" t="s">
        <v>11595</v>
      </c>
      <c r="AY1599" t="s">
        <v>10829</v>
      </c>
      <c r="AZ1599" t="s">
        <v>11681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</row>
    <row r="1600" spans="1:59">
      <c r="A1600" s="1">
        <f>HYPERLINK("https://lsnyc.legalserver.org/matter/dynamic-profile/view/1905464","19-1905464")</f>
        <v>0</v>
      </c>
      <c r="B1600" t="s">
        <v>1432</v>
      </c>
      <c r="C1600" t="s">
        <v>6257</v>
      </c>
      <c r="D1600" t="s">
        <v>9928</v>
      </c>
      <c r="E1600" t="s">
        <v>10075</v>
      </c>
      <c r="F1600">
        <v>11206</v>
      </c>
      <c r="G1600" t="s">
        <v>10093</v>
      </c>
      <c r="H1600" t="s">
        <v>10106</v>
      </c>
      <c r="I1600" t="s">
        <v>10168</v>
      </c>
      <c r="J1600" t="s">
        <v>10213</v>
      </c>
      <c r="K1600" t="s">
        <v>10217</v>
      </c>
      <c r="M1600" t="s">
        <v>10293</v>
      </c>
      <c r="N1600" t="s">
        <v>10644</v>
      </c>
      <c r="P1600" t="s">
        <v>10749</v>
      </c>
      <c r="Q1600" t="s">
        <v>10765</v>
      </c>
      <c r="R1600" t="s">
        <v>10824</v>
      </c>
      <c r="T1600">
        <v>16898</v>
      </c>
      <c r="U1600">
        <v>1408.17</v>
      </c>
      <c r="V1600">
        <v>65</v>
      </c>
      <c r="W1600">
        <v>2</v>
      </c>
      <c r="X1600">
        <v>0</v>
      </c>
      <c r="Z1600">
        <v>99.93000000000001</v>
      </c>
      <c r="AA1600">
        <v>40.699289</v>
      </c>
      <c r="AB1600">
        <v>-73.932159</v>
      </c>
      <c r="AD1600" t="s">
        <v>10839</v>
      </c>
      <c r="AG1600" t="s">
        <v>10858</v>
      </c>
      <c r="AH1600" t="s">
        <v>10869</v>
      </c>
      <c r="AI1600">
        <v>239</v>
      </c>
      <c r="AJ1600" t="s">
        <v>10213</v>
      </c>
      <c r="AL1600">
        <v>2.45</v>
      </c>
      <c r="AM1600" t="s">
        <v>10886</v>
      </c>
      <c r="AN1600" t="s">
        <v>10942</v>
      </c>
      <c r="AO1600" t="s">
        <v>11011</v>
      </c>
      <c r="AP1600" t="s">
        <v>11071</v>
      </c>
      <c r="AR1600" t="s">
        <v>11296</v>
      </c>
      <c r="AS1600" t="s">
        <v>11595</v>
      </c>
      <c r="AT1600" t="s">
        <v>11641</v>
      </c>
      <c r="AV1600" t="s">
        <v>11656</v>
      </c>
      <c r="AW1600" t="s">
        <v>11645</v>
      </c>
      <c r="AX1600" t="s">
        <v>10838</v>
      </c>
      <c r="BA1600" t="s">
        <v>11742</v>
      </c>
      <c r="BB1600">
        <v>0</v>
      </c>
      <c r="BC1600">
        <v>0</v>
      </c>
      <c r="BD1600">
        <v>0</v>
      </c>
      <c r="BE1600">
        <v>0</v>
      </c>
      <c r="BF1600">
        <v>7</v>
      </c>
      <c r="BG1600">
        <v>0</v>
      </c>
    </row>
    <row r="1601" spans="1:59">
      <c r="A1601" s="1">
        <f>HYPERLINK("https://lsnyc.legalserver.org/matter/dynamic-profile/view/1905465","19-1905465")</f>
        <v>0</v>
      </c>
      <c r="B1601" t="s">
        <v>1433</v>
      </c>
      <c r="C1601" t="s">
        <v>6258</v>
      </c>
      <c r="D1601" t="s">
        <v>9928</v>
      </c>
      <c r="E1601" t="s">
        <v>10075</v>
      </c>
      <c r="F1601">
        <v>11204</v>
      </c>
      <c r="G1601" t="s">
        <v>10093</v>
      </c>
      <c r="H1601" t="s">
        <v>10106</v>
      </c>
      <c r="I1601" t="s">
        <v>10171</v>
      </c>
      <c r="J1601" t="s">
        <v>10213</v>
      </c>
      <c r="K1601" t="s">
        <v>10217</v>
      </c>
      <c r="M1601" t="s">
        <v>10256</v>
      </c>
      <c r="N1601" t="s">
        <v>10644</v>
      </c>
      <c r="P1601" t="s">
        <v>10749</v>
      </c>
      <c r="Q1601" t="s">
        <v>10791</v>
      </c>
      <c r="R1601" t="s">
        <v>10820</v>
      </c>
      <c r="T1601">
        <v>30000</v>
      </c>
      <c r="U1601">
        <v>2500</v>
      </c>
      <c r="V1601">
        <v>59</v>
      </c>
      <c r="W1601">
        <v>1</v>
      </c>
      <c r="X1601">
        <v>0</v>
      </c>
      <c r="Z1601">
        <v>240.19</v>
      </c>
      <c r="AA1601">
        <v>40.62142</v>
      </c>
      <c r="AB1601">
        <v>-73.990601</v>
      </c>
      <c r="AD1601" t="s">
        <v>10839</v>
      </c>
      <c r="AG1601" t="s">
        <v>10858</v>
      </c>
      <c r="AH1601" t="s">
        <v>10869</v>
      </c>
      <c r="AI1601">
        <v>239</v>
      </c>
      <c r="AJ1601" t="s">
        <v>10213</v>
      </c>
      <c r="AL1601">
        <v>1.95</v>
      </c>
      <c r="AM1601" t="s">
        <v>10894</v>
      </c>
      <c r="AN1601" t="s">
        <v>10974</v>
      </c>
      <c r="AO1601" t="s">
        <v>11015</v>
      </c>
      <c r="AP1601" t="s">
        <v>11069</v>
      </c>
      <c r="AQ1601" t="s">
        <v>11133</v>
      </c>
      <c r="AR1601" t="s">
        <v>11257</v>
      </c>
      <c r="AS1601" t="s">
        <v>11595</v>
      </c>
      <c r="AT1601" t="s">
        <v>11641</v>
      </c>
      <c r="AX1601" t="s">
        <v>10838</v>
      </c>
      <c r="BA1601" t="s">
        <v>11741</v>
      </c>
      <c r="BB1601">
        <v>0</v>
      </c>
      <c r="BC1601">
        <v>0</v>
      </c>
      <c r="BD1601">
        <v>0</v>
      </c>
      <c r="BE1601">
        <v>0</v>
      </c>
      <c r="BF1601">
        <v>1</v>
      </c>
      <c r="BG1601">
        <v>0</v>
      </c>
    </row>
    <row r="1602" spans="1:59">
      <c r="A1602" s="1">
        <f>HYPERLINK("https://lsnyc.legalserver.org/matter/dynamic-profile/view/1905466","19-1905466")</f>
        <v>0</v>
      </c>
      <c r="B1602" t="s">
        <v>1434</v>
      </c>
      <c r="C1602" t="s">
        <v>5379</v>
      </c>
      <c r="D1602" t="s">
        <v>9926</v>
      </c>
      <c r="E1602" t="s">
        <v>10075</v>
      </c>
      <c r="F1602">
        <v>10468</v>
      </c>
      <c r="G1602" t="s">
        <v>10089</v>
      </c>
      <c r="H1602" t="s">
        <v>10130</v>
      </c>
      <c r="I1602" t="s">
        <v>10168</v>
      </c>
      <c r="J1602" t="s">
        <v>10209</v>
      </c>
      <c r="K1602" t="s">
        <v>10218</v>
      </c>
      <c r="L1602" t="s">
        <v>10120</v>
      </c>
      <c r="M1602" t="s">
        <v>10493</v>
      </c>
      <c r="N1602" t="s">
        <v>10707</v>
      </c>
      <c r="P1602" t="s">
        <v>10749</v>
      </c>
      <c r="Q1602" t="s">
        <v>10774</v>
      </c>
      <c r="R1602" t="s">
        <v>10822</v>
      </c>
      <c r="T1602">
        <v>11116.8</v>
      </c>
      <c r="U1602">
        <v>926.4</v>
      </c>
      <c r="V1602">
        <v>50</v>
      </c>
      <c r="W1602">
        <v>1</v>
      </c>
      <c r="X1602">
        <v>0</v>
      </c>
      <c r="Y1602" t="s">
        <v>10830</v>
      </c>
      <c r="Z1602">
        <v>89.01000000000001</v>
      </c>
      <c r="AA1602">
        <v>40.860764</v>
      </c>
      <c r="AB1602">
        <v>-73.908862</v>
      </c>
      <c r="AD1602" t="s">
        <v>10840</v>
      </c>
      <c r="AG1602" t="s">
        <v>10858</v>
      </c>
      <c r="AH1602" t="s">
        <v>10868</v>
      </c>
      <c r="AI1602">
        <v>236</v>
      </c>
      <c r="AJ1602" t="s">
        <v>10209</v>
      </c>
      <c r="AK1602" t="s">
        <v>10838</v>
      </c>
      <c r="AL1602">
        <v>9.5</v>
      </c>
      <c r="AM1602" t="s">
        <v>10887</v>
      </c>
      <c r="AN1602" t="s">
        <v>10931</v>
      </c>
      <c r="AO1602" t="s">
        <v>11000</v>
      </c>
      <c r="AP1602" t="s">
        <v>11045</v>
      </c>
      <c r="AQ1602" t="s">
        <v>11136</v>
      </c>
      <c r="AR1602" t="s">
        <v>11296</v>
      </c>
      <c r="AS1602" t="s">
        <v>9926</v>
      </c>
      <c r="AT1602" t="s">
        <v>11642</v>
      </c>
      <c r="AX1602" t="s">
        <v>11678</v>
      </c>
      <c r="AY1602" t="s">
        <v>10830</v>
      </c>
      <c r="AZ1602" t="s">
        <v>11697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</row>
    <row r="1603" spans="1:59">
      <c r="A1603" s="1">
        <f>HYPERLINK("https://lsnyc.legalserver.org/matter/dynamic-profile/view/1905467","19-1905467")</f>
        <v>0</v>
      </c>
      <c r="B1603" t="s">
        <v>1435</v>
      </c>
      <c r="C1603" t="s">
        <v>6259</v>
      </c>
      <c r="D1603" t="s">
        <v>9928</v>
      </c>
      <c r="E1603" t="s">
        <v>10075</v>
      </c>
      <c r="F1603">
        <v>11217</v>
      </c>
      <c r="G1603" t="s">
        <v>10093</v>
      </c>
      <c r="H1603" t="s">
        <v>10106</v>
      </c>
      <c r="I1603" t="s">
        <v>10168</v>
      </c>
      <c r="J1603" t="s">
        <v>10213</v>
      </c>
      <c r="K1603" t="s">
        <v>10218</v>
      </c>
      <c r="L1603" t="s">
        <v>10139</v>
      </c>
      <c r="M1603" t="s">
        <v>10315</v>
      </c>
      <c r="N1603" t="s">
        <v>10686</v>
      </c>
      <c r="P1603" t="s">
        <v>10750</v>
      </c>
      <c r="Q1603" t="s">
        <v>10778</v>
      </c>
      <c r="R1603" t="s">
        <v>10824</v>
      </c>
      <c r="T1603">
        <v>26400</v>
      </c>
      <c r="U1603">
        <v>2200</v>
      </c>
      <c r="V1603">
        <v>72</v>
      </c>
      <c r="W1603">
        <v>1</v>
      </c>
      <c r="X1603">
        <v>0</v>
      </c>
      <c r="Y1603" t="s">
        <v>10829</v>
      </c>
      <c r="Z1603">
        <v>211.37</v>
      </c>
      <c r="AA1603">
        <v>40.688104</v>
      </c>
      <c r="AB1603">
        <v>-73.97502799999999</v>
      </c>
      <c r="AD1603" t="s">
        <v>10839</v>
      </c>
      <c r="AG1603" t="s">
        <v>10858</v>
      </c>
      <c r="AH1603" t="s">
        <v>10861</v>
      </c>
      <c r="AI1603">
        <v>234</v>
      </c>
      <c r="AJ1603" t="s">
        <v>10214</v>
      </c>
      <c r="AK1603" t="s">
        <v>10882</v>
      </c>
      <c r="AL1603">
        <v>1.25</v>
      </c>
      <c r="AM1603" t="s">
        <v>10889</v>
      </c>
      <c r="AN1603" t="s">
        <v>10923</v>
      </c>
      <c r="AO1603" t="s">
        <v>11007</v>
      </c>
      <c r="AP1603" t="s">
        <v>11061</v>
      </c>
      <c r="AR1603" t="s">
        <v>11300</v>
      </c>
      <c r="AS1603" t="s">
        <v>11595</v>
      </c>
      <c r="AT1603" t="s">
        <v>11641</v>
      </c>
      <c r="AX1603" t="s">
        <v>10838</v>
      </c>
      <c r="AY1603" t="s">
        <v>10829</v>
      </c>
      <c r="AZ1603" t="s">
        <v>11679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</row>
    <row r="1604" spans="1:59">
      <c r="A1604" s="1">
        <f>HYPERLINK("https://lsnyc.legalserver.org/matter/dynamic-profile/view/1905468","19-1905468")</f>
        <v>0</v>
      </c>
      <c r="B1604" t="s">
        <v>1436</v>
      </c>
      <c r="C1604" t="s">
        <v>6260</v>
      </c>
      <c r="D1604" t="s">
        <v>9928</v>
      </c>
      <c r="E1604" t="s">
        <v>10075</v>
      </c>
      <c r="F1604">
        <v>11233</v>
      </c>
      <c r="G1604" t="s">
        <v>10093</v>
      </c>
      <c r="H1604" t="s">
        <v>10106</v>
      </c>
      <c r="I1604" t="s">
        <v>10168</v>
      </c>
      <c r="J1604" t="s">
        <v>10213</v>
      </c>
      <c r="K1604" t="s">
        <v>10217</v>
      </c>
      <c r="M1604" t="s">
        <v>10293</v>
      </c>
      <c r="N1604" t="s">
        <v>10644</v>
      </c>
      <c r="P1604" t="s">
        <v>10749</v>
      </c>
      <c r="Q1604" t="s">
        <v>10765</v>
      </c>
      <c r="R1604" t="s">
        <v>10824</v>
      </c>
      <c r="T1604">
        <v>0</v>
      </c>
      <c r="U1604">
        <v>0</v>
      </c>
      <c r="V1604">
        <v>61</v>
      </c>
      <c r="W1604">
        <v>1</v>
      </c>
      <c r="X1604">
        <v>0</v>
      </c>
      <c r="Z1604">
        <v>0</v>
      </c>
      <c r="AA1604">
        <v>40.681671</v>
      </c>
      <c r="AB1604">
        <v>-73.926579</v>
      </c>
      <c r="AD1604" t="s">
        <v>10840</v>
      </c>
      <c r="AG1604" t="s">
        <v>10858</v>
      </c>
      <c r="AH1604" t="s">
        <v>10869</v>
      </c>
      <c r="AI1604">
        <v>239</v>
      </c>
      <c r="AJ1604" t="s">
        <v>10213</v>
      </c>
      <c r="AL1604">
        <v>6.95</v>
      </c>
      <c r="AM1604" t="s">
        <v>10889</v>
      </c>
      <c r="AN1604" t="s">
        <v>10914</v>
      </c>
      <c r="AO1604" t="s">
        <v>11007</v>
      </c>
      <c r="AP1604" t="s">
        <v>11052</v>
      </c>
      <c r="AR1604" t="s">
        <v>11428</v>
      </c>
      <c r="AS1604" t="s">
        <v>11595</v>
      </c>
      <c r="AT1604" t="s">
        <v>11642</v>
      </c>
      <c r="AV1604" t="s">
        <v>11655</v>
      </c>
      <c r="AW1604" t="s">
        <v>11666</v>
      </c>
      <c r="AX1604" t="s">
        <v>10838</v>
      </c>
      <c r="BA1604" t="s">
        <v>11740</v>
      </c>
      <c r="BB1604">
        <v>0</v>
      </c>
      <c r="BC1604">
        <v>0</v>
      </c>
      <c r="BD1604">
        <v>0</v>
      </c>
      <c r="BE1604">
        <v>0</v>
      </c>
      <c r="BF1604">
        <v>2</v>
      </c>
      <c r="BG1604">
        <v>0</v>
      </c>
    </row>
    <row r="1605" spans="1:59">
      <c r="A1605" s="1">
        <f>HYPERLINK("https://lsnyc.legalserver.org/matter/dynamic-profile/view/1905469","19-1905469")</f>
        <v>0</v>
      </c>
      <c r="B1605" t="s">
        <v>1437</v>
      </c>
      <c r="C1605" t="s">
        <v>6261</v>
      </c>
      <c r="D1605" t="s">
        <v>9982</v>
      </c>
      <c r="E1605" t="s">
        <v>10075</v>
      </c>
      <c r="F1605">
        <v>11375</v>
      </c>
      <c r="G1605" t="s">
        <v>10092</v>
      </c>
      <c r="H1605" t="s">
        <v>10106</v>
      </c>
      <c r="I1605" t="s">
        <v>10169</v>
      </c>
      <c r="J1605" t="s">
        <v>10212</v>
      </c>
      <c r="K1605" t="s">
        <v>10217</v>
      </c>
      <c r="M1605" t="s">
        <v>10325</v>
      </c>
      <c r="N1605" t="s">
        <v>10671</v>
      </c>
      <c r="P1605" t="s">
        <v>10757</v>
      </c>
      <c r="Q1605" t="s">
        <v>10789</v>
      </c>
      <c r="R1605" t="s">
        <v>10821</v>
      </c>
      <c r="T1605">
        <v>8760</v>
      </c>
      <c r="U1605">
        <v>730</v>
      </c>
      <c r="V1605">
        <v>84</v>
      </c>
      <c r="W1605">
        <v>1</v>
      </c>
      <c r="X1605">
        <v>0</v>
      </c>
      <c r="Z1605">
        <v>70.14</v>
      </c>
      <c r="AA1605">
        <v>40.737165</v>
      </c>
      <c r="AB1605">
        <v>-73.848844</v>
      </c>
      <c r="AD1605" t="s">
        <v>10839</v>
      </c>
      <c r="AG1605" t="s">
        <v>10858</v>
      </c>
      <c r="AH1605" t="s">
        <v>10861</v>
      </c>
      <c r="AI1605">
        <v>234</v>
      </c>
      <c r="AJ1605" t="s">
        <v>10214</v>
      </c>
      <c r="AL1605">
        <v>10.5</v>
      </c>
      <c r="AM1605" t="s">
        <v>10890</v>
      </c>
      <c r="AN1605" t="s">
        <v>10962</v>
      </c>
      <c r="AO1605" t="s">
        <v>11009</v>
      </c>
      <c r="AP1605" t="s">
        <v>11083</v>
      </c>
      <c r="AR1605" t="s">
        <v>11274</v>
      </c>
      <c r="AS1605" t="s">
        <v>11594</v>
      </c>
      <c r="AT1605" t="s">
        <v>11641</v>
      </c>
      <c r="AX1605" t="s">
        <v>10838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</row>
    <row r="1606" spans="1:59">
      <c r="A1606" s="1">
        <f>HYPERLINK("https://lsnyc.legalserver.org/matter/dynamic-profile/view/1905470","19-1905470")</f>
        <v>0</v>
      </c>
      <c r="B1606" t="s">
        <v>446</v>
      </c>
      <c r="C1606" t="s">
        <v>5365</v>
      </c>
      <c r="D1606" t="s">
        <v>9928</v>
      </c>
      <c r="E1606" t="s">
        <v>10075</v>
      </c>
      <c r="F1606">
        <v>11230</v>
      </c>
      <c r="G1606" t="s">
        <v>10093</v>
      </c>
      <c r="H1606" t="s">
        <v>10106</v>
      </c>
      <c r="I1606" t="s">
        <v>10168</v>
      </c>
      <c r="J1606" t="s">
        <v>10213</v>
      </c>
      <c r="K1606" t="s">
        <v>10217</v>
      </c>
      <c r="M1606" t="s">
        <v>10352</v>
      </c>
      <c r="N1606" t="s">
        <v>10650</v>
      </c>
      <c r="P1606" t="s">
        <v>10749</v>
      </c>
      <c r="Q1606" t="s">
        <v>10765</v>
      </c>
      <c r="R1606" t="s">
        <v>10820</v>
      </c>
      <c r="T1606">
        <v>11960</v>
      </c>
      <c r="U1606">
        <v>996.67</v>
      </c>
      <c r="V1606">
        <v>50</v>
      </c>
      <c r="W1606">
        <v>2</v>
      </c>
      <c r="X1606">
        <v>0</v>
      </c>
      <c r="Z1606">
        <v>70.73</v>
      </c>
      <c r="AA1606">
        <v>40.628681</v>
      </c>
      <c r="AB1606">
        <v>-73.96909100000001</v>
      </c>
      <c r="AD1606" t="s">
        <v>10840</v>
      </c>
      <c r="AG1606" t="s">
        <v>10858</v>
      </c>
      <c r="AH1606" t="s">
        <v>10862</v>
      </c>
      <c r="AI1606">
        <v>239</v>
      </c>
      <c r="AJ1606" t="s">
        <v>10213</v>
      </c>
      <c r="AL1606">
        <v>0.7</v>
      </c>
      <c r="AM1606" t="s">
        <v>10888</v>
      </c>
      <c r="AN1606" t="s">
        <v>10941</v>
      </c>
      <c r="AO1606" t="s">
        <v>11015</v>
      </c>
      <c r="AP1606" t="s">
        <v>11065</v>
      </c>
      <c r="AQ1606" t="s">
        <v>11101</v>
      </c>
      <c r="AR1606" t="s">
        <v>11257</v>
      </c>
      <c r="AS1606" t="s">
        <v>11595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</row>
    <row r="1607" spans="1:59">
      <c r="A1607" s="1">
        <f>HYPERLINK("https://lsnyc.legalserver.org/matter/dynamic-profile/view/1905471","19-1905471")</f>
        <v>0</v>
      </c>
      <c r="B1607" t="s">
        <v>1438</v>
      </c>
      <c r="C1607" t="s">
        <v>6262</v>
      </c>
      <c r="D1607" t="s">
        <v>9925</v>
      </c>
      <c r="E1607" t="s">
        <v>10075</v>
      </c>
      <c r="F1607">
        <v>10033</v>
      </c>
      <c r="G1607" t="s">
        <v>10089</v>
      </c>
      <c r="H1607" t="s">
        <v>10106</v>
      </c>
      <c r="I1607" t="s">
        <v>10168</v>
      </c>
      <c r="J1607" t="s">
        <v>10209</v>
      </c>
      <c r="K1607" t="s">
        <v>10217</v>
      </c>
      <c r="M1607" t="s">
        <v>10301</v>
      </c>
      <c r="N1607" t="s">
        <v>10665</v>
      </c>
      <c r="P1607" t="s">
        <v>10751</v>
      </c>
      <c r="Q1607" t="s">
        <v>10773</v>
      </c>
      <c r="R1607" t="s">
        <v>10820</v>
      </c>
      <c r="T1607">
        <v>63000</v>
      </c>
      <c r="U1607">
        <v>5250</v>
      </c>
      <c r="V1607">
        <v>40</v>
      </c>
      <c r="W1607">
        <v>1</v>
      </c>
      <c r="X1607">
        <v>0</v>
      </c>
      <c r="Z1607">
        <v>504.4</v>
      </c>
      <c r="AA1607">
        <v>40.854226</v>
      </c>
      <c r="AB1607">
        <v>-73.93327600000001</v>
      </c>
      <c r="AD1607" t="s">
        <v>10839</v>
      </c>
      <c r="AG1607" t="s">
        <v>10858</v>
      </c>
      <c r="AH1607" t="s">
        <v>10871</v>
      </c>
      <c r="AI1607">
        <v>234</v>
      </c>
      <c r="AJ1607" t="s">
        <v>10214</v>
      </c>
      <c r="AL1607">
        <v>4</v>
      </c>
      <c r="AM1607" t="s">
        <v>10887</v>
      </c>
      <c r="AN1607" t="s">
        <v>10937</v>
      </c>
      <c r="AO1607" t="s">
        <v>11019</v>
      </c>
      <c r="AP1607" t="s">
        <v>11074</v>
      </c>
      <c r="AR1607" t="s">
        <v>11257</v>
      </c>
      <c r="AS1607" t="s">
        <v>9925</v>
      </c>
      <c r="AT1607" t="s">
        <v>11641</v>
      </c>
      <c r="AX1607" t="s">
        <v>10838</v>
      </c>
      <c r="BA1607" t="s">
        <v>11741</v>
      </c>
      <c r="BB1607">
        <v>0</v>
      </c>
      <c r="BC1607">
        <v>0</v>
      </c>
      <c r="BD1607">
        <v>0</v>
      </c>
      <c r="BE1607">
        <v>0</v>
      </c>
      <c r="BF1607">
        <v>1</v>
      </c>
      <c r="BG1607">
        <v>0</v>
      </c>
    </row>
    <row r="1608" spans="1:59">
      <c r="A1608" s="1">
        <f>HYPERLINK("https://lsnyc.legalserver.org/matter/dynamic-profile/view/1905472","19-1905472")</f>
        <v>0</v>
      </c>
      <c r="B1608" t="s">
        <v>1439</v>
      </c>
      <c r="C1608" t="s">
        <v>6263</v>
      </c>
      <c r="D1608" t="s">
        <v>9933</v>
      </c>
      <c r="E1608" t="s">
        <v>10075</v>
      </c>
      <c r="F1608">
        <v>11420</v>
      </c>
      <c r="G1608" t="s">
        <v>10092</v>
      </c>
      <c r="H1608" t="s">
        <v>10106</v>
      </c>
      <c r="I1608" t="s">
        <v>10168</v>
      </c>
      <c r="J1608" t="s">
        <v>10212</v>
      </c>
      <c r="K1608" t="s">
        <v>10217</v>
      </c>
      <c r="M1608" t="s">
        <v>10325</v>
      </c>
      <c r="N1608" t="s">
        <v>10671</v>
      </c>
      <c r="P1608" t="s">
        <v>10751</v>
      </c>
      <c r="Q1608" t="s">
        <v>10786</v>
      </c>
      <c r="R1608" t="s">
        <v>10824</v>
      </c>
      <c r="T1608">
        <v>33504</v>
      </c>
      <c r="U1608">
        <v>2792</v>
      </c>
      <c r="V1608">
        <v>63</v>
      </c>
      <c r="W1608">
        <v>3</v>
      </c>
      <c r="X1608">
        <v>2</v>
      </c>
      <c r="Z1608">
        <v>111.05</v>
      </c>
      <c r="AA1608">
        <v>40.685262</v>
      </c>
      <c r="AB1608">
        <v>-73.807738</v>
      </c>
      <c r="AD1608" t="s">
        <v>10840</v>
      </c>
      <c r="AG1608" t="s">
        <v>10858</v>
      </c>
      <c r="AH1608" t="s">
        <v>10861</v>
      </c>
      <c r="AI1608">
        <v>234</v>
      </c>
      <c r="AJ1608" t="s">
        <v>10214</v>
      </c>
      <c r="AL1608">
        <v>6.5</v>
      </c>
      <c r="AM1608" t="s">
        <v>10892</v>
      </c>
      <c r="AN1608" t="s">
        <v>10951</v>
      </c>
      <c r="AO1608" t="s">
        <v>11017</v>
      </c>
      <c r="AP1608" t="s">
        <v>11070</v>
      </c>
      <c r="AR1608" t="s">
        <v>11265</v>
      </c>
      <c r="AS1608" t="s">
        <v>11594</v>
      </c>
      <c r="AT1608" t="s">
        <v>11642</v>
      </c>
      <c r="AX1608" t="s">
        <v>10838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</row>
    <row r="1609" spans="1:59">
      <c r="A1609" s="1">
        <f>HYPERLINK("https://lsnyc.legalserver.org/matter/dynamic-profile/view/1905473","19-1905473")</f>
        <v>0</v>
      </c>
      <c r="B1609" t="s">
        <v>1440</v>
      </c>
      <c r="C1609" t="s">
        <v>6089</v>
      </c>
      <c r="D1609" t="s">
        <v>9926</v>
      </c>
      <c r="E1609" t="s">
        <v>10075</v>
      </c>
      <c r="F1609">
        <v>10467</v>
      </c>
      <c r="G1609" t="s">
        <v>10090</v>
      </c>
      <c r="H1609" t="s">
        <v>10106</v>
      </c>
      <c r="I1609" t="s">
        <v>10168</v>
      </c>
      <c r="J1609" t="s">
        <v>10210</v>
      </c>
      <c r="K1609" t="s">
        <v>10217</v>
      </c>
      <c r="M1609" t="s">
        <v>10357</v>
      </c>
      <c r="N1609" t="s">
        <v>10651</v>
      </c>
      <c r="P1609" t="s">
        <v>10749</v>
      </c>
      <c r="Q1609" t="s">
        <v>10765</v>
      </c>
      <c r="R1609" t="s">
        <v>10821</v>
      </c>
      <c r="T1609">
        <v>20072</v>
      </c>
      <c r="U1609">
        <v>1672.67</v>
      </c>
      <c r="V1609">
        <v>56</v>
      </c>
      <c r="W1609">
        <v>1</v>
      </c>
      <c r="X1609">
        <v>1</v>
      </c>
      <c r="Z1609">
        <v>118.7</v>
      </c>
      <c r="AA1609">
        <v>40.860167</v>
      </c>
      <c r="AB1609">
        <v>-73.865751</v>
      </c>
      <c r="AD1609" t="s">
        <v>10839</v>
      </c>
      <c r="AG1609" t="s">
        <v>10858</v>
      </c>
      <c r="AH1609" t="s">
        <v>10862</v>
      </c>
      <c r="AI1609">
        <v>230</v>
      </c>
      <c r="AJ1609" t="s">
        <v>10210</v>
      </c>
      <c r="AL1609">
        <v>8.699999999999999</v>
      </c>
      <c r="AM1609" t="s">
        <v>10885</v>
      </c>
      <c r="AN1609" t="s">
        <v>10938</v>
      </c>
      <c r="AO1609" t="s">
        <v>11002</v>
      </c>
      <c r="AP1609" t="s">
        <v>11049</v>
      </c>
      <c r="AR1609" t="s">
        <v>11257</v>
      </c>
      <c r="AS1609" t="s">
        <v>9926</v>
      </c>
      <c r="AT1609" t="s">
        <v>11641</v>
      </c>
      <c r="AV1609" t="s">
        <v>11641</v>
      </c>
      <c r="AW1609" t="s">
        <v>11645</v>
      </c>
      <c r="AX1609" t="s">
        <v>10838</v>
      </c>
      <c r="BA1609" t="s">
        <v>11738</v>
      </c>
      <c r="BB1609">
        <v>0</v>
      </c>
      <c r="BC1609">
        <v>0</v>
      </c>
      <c r="BD1609">
        <v>0</v>
      </c>
      <c r="BE1609">
        <v>0</v>
      </c>
      <c r="BF1609">
        <v>5</v>
      </c>
      <c r="BG1609">
        <v>0</v>
      </c>
    </row>
    <row r="1610" spans="1:59">
      <c r="A1610" s="1">
        <f>HYPERLINK("https://lsnyc.legalserver.org/matter/dynamic-profile/view/1905474","19-1905474")</f>
        <v>0</v>
      </c>
      <c r="B1610" t="s">
        <v>1441</v>
      </c>
      <c r="C1610" t="s">
        <v>6264</v>
      </c>
      <c r="D1610" t="s">
        <v>9928</v>
      </c>
      <c r="E1610" t="s">
        <v>10075</v>
      </c>
      <c r="F1610">
        <v>11201</v>
      </c>
      <c r="G1610" t="s">
        <v>10093</v>
      </c>
      <c r="H1610" t="s">
        <v>10106</v>
      </c>
      <c r="I1610" t="s">
        <v>10168</v>
      </c>
      <c r="J1610" t="s">
        <v>10213</v>
      </c>
      <c r="K1610" t="s">
        <v>10217</v>
      </c>
      <c r="M1610" t="s">
        <v>10414</v>
      </c>
      <c r="N1610" t="s">
        <v>10690</v>
      </c>
      <c r="P1610" t="s">
        <v>10749</v>
      </c>
      <c r="Q1610" t="s">
        <v>10765</v>
      </c>
      <c r="R1610" t="s">
        <v>10826</v>
      </c>
      <c r="T1610">
        <v>16800</v>
      </c>
      <c r="U1610">
        <v>1400</v>
      </c>
      <c r="V1610">
        <v>81</v>
      </c>
      <c r="W1610">
        <v>3</v>
      </c>
      <c r="X1610">
        <v>0</v>
      </c>
      <c r="Z1610">
        <v>78.76000000000001</v>
      </c>
      <c r="AA1610">
        <v>40.698596</v>
      </c>
      <c r="AB1610">
        <v>-73.99409900000001</v>
      </c>
      <c r="AC1610" t="s">
        <v>10837</v>
      </c>
      <c r="AD1610" t="s">
        <v>10840</v>
      </c>
      <c r="AG1610" t="s">
        <v>10858</v>
      </c>
      <c r="AH1610" t="s">
        <v>10861</v>
      </c>
      <c r="AI1610">
        <v>239</v>
      </c>
      <c r="AJ1610" t="s">
        <v>10213</v>
      </c>
      <c r="AL1610">
        <v>36.8</v>
      </c>
      <c r="AM1610" t="s">
        <v>10886</v>
      </c>
      <c r="AN1610" t="s">
        <v>10917</v>
      </c>
      <c r="AO1610" t="s">
        <v>11004</v>
      </c>
      <c r="AP1610" t="s">
        <v>11054</v>
      </c>
      <c r="AQ1610" t="s">
        <v>11101</v>
      </c>
      <c r="AR1610" t="s">
        <v>11268</v>
      </c>
      <c r="AS1610" t="s">
        <v>11595</v>
      </c>
      <c r="BA1610" t="s">
        <v>11738</v>
      </c>
      <c r="BB1610">
        <v>0</v>
      </c>
      <c r="BC1610">
        <v>0</v>
      </c>
      <c r="BD1610">
        <v>0</v>
      </c>
      <c r="BE1610">
        <v>0</v>
      </c>
      <c r="BF1610">
        <v>5</v>
      </c>
      <c r="BG1610">
        <v>0</v>
      </c>
    </row>
    <row r="1611" spans="1:59">
      <c r="A1611" s="1">
        <f>HYPERLINK("https://lsnyc.legalserver.org/matter/dynamic-profile/view/1905475","19-1905475")</f>
        <v>0</v>
      </c>
      <c r="B1611" t="s">
        <v>1442</v>
      </c>
      <c r="C1611" t="s">
        <v>6265</v>
      </c>
      <c r="D1611" t="s">
        <v>9926</v>
      </c>
      <c r="E1611" t="s">
        <v>10075</v>
      </c>
      <c r="F1611">
        <v>10460</v>
      </c>
      <c r="G1611" t="s">
        <v>10090</v>
      </c>
      <c r="H1611" t="s">
        <v>10106</v>
      </c>
      <c r="I1611" t="s">
        <v>10168</v>
      </c>
      <c r="J1611" t="s">
        <v>10210</v>
      </c>
      <c r="K1611" t="s">
        <v>10217</v>
      </c>
      <c r="M1611" t="s">
        <v>10272</v>
      </c>
      <c r="N1611" t="s">
        <v>10650</v>
      </c>
      <c r="P1611" t="s">
        <v>10749</v>
      </c>
      <c r="Q1611" t="s">
        <v>10765</v>
      </c>
      <c r="R1611" t="s">
        <v>10821</v>
      </c>
      <c r="T1611">
        <v>23040</v>
      </c>
      <c r="U1611">
        <v>1920</v>
      </c>
      <c r="V1611">
        <v>61</v>
      </c>
      <c r="W1611">
        <v>1</v>
      </c>
      <c r="X1611">
        <v>0</v>
      </c>
      <c r="Z1611">
        <v>184.47</v>
      </c>
      <c r="AA1611">
        <v>40.842872</v>
      </c>
      <c r="AB1611">
        <v>-73.86936900000001</v>
      </c>
      <c r="AD1611" t="s">
        <v>10840</v>
      </c>
      <c r="AG1611" t="s">
        <v>10858</v>
      </c>
      <c r="AH1611" t="s">
        <v>10861</v>
      </c>
      <c r="AI1611">
        <v>234</v>
      </c>
      <c r="AJ1611" t="s">
        <v>10214</v>
      </c>
      <c r="AL1611">
        <v>1.3</v>
      </c>
      <c r="AM1611" t="s">
        <v>10885</v>
      </c>
      <c r="AN1611" t="s">
        <v>10908</v>
      </c>
      <c r="AO1611" t="s">
        <v>11000</v>
      </c>
      <c r="AP1611" t="s">
        <v>11056</v>
      </c>
      <c r="AR1611" t="s">
        <v>11300</v>
      </c>
      <c r="AS1611" t="s">
        <v>9926</v>
      </c>
      <c r="AT1611" t="s">
        <v>11642</v>
      </c>
      <c r="AX1611" t="s">
        <v>10838</v>
      </c>
      <c r="BA1611" t="s">
        <v>11741</v>
      </c>
      <c r="BB1611">
        <v>0</v>
      </c>
      <c r="BC1611">
        <v>0</v>
      </c>
      <c r="BD1611">
        <v>0</v>
      </c>
      <c r="BE1611">
        <v>0</v>
      </c>
      <c r="BF1611">
        <v>1</v>
      </c>
      <c r="BG1611">
        <v>0</v>
      </c>
    </row>
    <row r="1612" spans="1:59">
      <c r="A1612" s="1">
        <f>HYPERLINK("https://lsnyc.legalserver.org/matter/dynamic-profile/view/1905477","19-1905477")</f>
        <v>0</v>
      </c>
      <c r="B1612" t="s">
        <v>1440</v>
      </c>
      <c r="C1612" t="s">
        <v>6089</v>
      </c>
      <c r="D1612" t="s">
        <v>9926</v>
      </c>
      <c r="E1612" t="s">
        <v>10075</v>
      </c>
      <c r="F1612">
        <v>10467</v>
      </c>
      <c r="G1612" t="s">
        <v>10090</v>
      </c>
      <c r="H1612" t="s">
        <v>10106</v>
      </c>
      <c r="I1612" t="s">
        <v>10168</v>
      </c>
      <c r="J1612" t="s">
        <v>10210</v>
      </c>
      <c r="K1612" t="s">
        <v>10217</v>
      </c>
      <c r="M1612" t="s">
        <v>10303</v>
      </c>
      <c r="N1612" t="s">
        <v>10688</v>
      </c>
      <c r="P1612" t="s">
        <v>10751</v>
      </c>
      <c r="Q1612" t="s">
        <v>10761</v>
      </c>
      <c r="R1612" t="s">
        <v>10821</v>
      </c>
      <c r="T1612">
        <v>1380</v>
      </c>
      <c r="U1612">
        <v>115</v>
      </c>
      <c r="V1612">
        <v>56</v>
      </c>
      <c r="W1612">
        <v>1</v>
      </c>
      <c r="X1612">
        <v>1</v>
      </c>
      <c r="Z1612">
        <v>8.16</v>
      </c>
      <c r="AA1612">
        <v>40.860167</v>
      </c>
      <c r="AB1612">
        <v>-73.865751</v>
      </c>
      <c r="AD1612" t="s">
        <v>10839</v>
      </c>
      <c r="AG1612" t="s">
        <v>10858</v>
      </c>
      <c r="AH1612" t="s">
        <v>10862</v>
      </c>
      <c r="AI1612">
        <v>230</v>
      </c>
      <c r="AJ1612" t="s">
        <v>10210</v>
      </c>
      <c r="AL1612">
        <v>0</v>
      </c>
      <c r="AR1612" t="s">
        <v>11257</v>
      </c>
      <c r="AS1612" t="s">
        <v>9926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</row>
    <row r="1613" spans="1:59">
      <c r="A1613" s="1">
        <f>HYPERLINK("https://lsnyc.legalserver.org/matter/dynamic-profile/view/1905479","19-1905479")</f>
        <v>0</v>
      </c>
      <c r="B1613" t="s">
        <v>1443</v>
      </c>
      <c r="C1613" t="s">
        <v>6266</v>
      </c>
      <c r="D1613" t="s">
        <v>9928</v>
      </c>
      <c r="E1613" t="s">
        <v>10075</v>
      </c>
      <c r="F1613">
        <v>11207</v>
      </c>
      <c r="G1613" t="s">
        <v>10089</v>
      </c>
      <c r="H1613" t="s">
        <v>10130</v>
      </c>
      <c r="J1613" t="s">
        <v>10209</v>
      </c>
      <c r="K1613" t="s">
        <v>10217</v>
      </c>
      <c r="M1613" t="s">
        <v>10544</v>
      </c>
      <c r="N1613" t="s">
        <v>10707</v>
      </c>
      <c r="P1613" t="s">
        <v>10751</v>
      </c>
      <c r="Q1613" t="s">
        <v>10780</v>
      </c>
      <c r="R1613" t="s">
        <v>10824</v>
      </c>
      <c r="T1613">
        <v>4512</v>
      </c>
      <c r="U1613">
        <v>376</v>
      </c>
      <c r="V1613">
        <v>51</v>
      </c>
      <c r="W1613">
        <v>1</v>
      </c>
      <c r="X1613">
        <v>0</v>
      </c>
      <c r="Z1613">
        <v>36.12</v>
      </c>
      <c r="AA1613">
        <v>40.672172</v>
      </c>
      <c r="AB1613">
        <v>-73.886251</v>
      </c>
      <c r="AD1613" t="s">
        <v>10839</v>
      </c>
      <c r="AG1613" t="s">
        <v>10858</v>
      </c>
      <c r="AH1613" t="s">
        <v>10868</v>
      </c>
      <c r="AI1613">
        <v>236</v>
      </c>
      <c r="AJ1613" t="s">
        <v>10209</v>
      </c>
      <c r="AL1613">
        <v>54</v>
      </c>
      <c r="AM1613" t="s">
        <v>10889</v>
      </c>
      <c r="AN1613" t="s">
        <v>10922</v>
      </c>
      <c r="AO1613" t="s">
        <v>11012</v>
      </c>
      <c r="AP1613" t="s">
        <v>11058</v>
      </c>
      <c r="AQ1613" t="s">
        <v>11191</v>
      </c>
      <c r="AR1613" t="s">
        <v>11387</v>
      </c>
      <c r="AS1613" t="s">
        <v>11595</v>
      </c>
      <c r="AT1613" t="s">
        <v>11641</v>
      </c>
      <c r="AX1613" t="s">
        <v>10838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</row>
    <row r="1614" spans="1:59">
      <c r="A1614" s="1">
        <f>HYPERLINK("https://lsnyc.legalserver.org/matter/dynamic-profile/view/1905480","19-1905480")</f>
        <v>0</v>
      </c>
      <c r="B1614" t="s">
        <v>1439</v>
      </c>
      <c r="C1614" t="s">
        <v>6263</v>
      </c>
      <c r="D1614" t="s">
        <v>9933</v>
      </c>
      <c r="E1614" t="s">
        <v>10075</v>
      </c>
      <c r="F1614">
        <v>11420</v>
      </c>
      <c r="G1614" t="s">
        <v>10091</v>
      </c>
      <c r="H1614" t="s">
        <v>10106</v>
      </c>
      <c r="I1614" t="s">
        <v>10168</v>
      </c>
      <c r="J1614" t="s">
        <v>10214</v>
      </c>
      <c r="K1614" t="s">
        <v>10217</v>
      </c>
      <c r="M1614" t="s">
        <v>10286</v>
      </c>
      <c r="N1614" t="s">
        <v>10671</v>
      </c>
      <c r="P1614" t="s">
        <v>10751</v>
      </c>
      <c r="Q1614" t="s">
        <v>10780</v>
      </c>
      <c r="R1614" t="s">
        <v>10824</v>
      </c>
      <c r="T1614">
        <v>33504</v>
      </c>
      <c r="U1614">
        <v>2792</v>
      </c>
      <c r="V1614">
        <v>63</v>
      </c>
      <c r="W1614">
        <v>3</v>
      </c>
      <c r="X1614">
        <v>2</v>
      </c>
      <c r="Z1614">
        <v>111.05</v>
      </c>
      <c r="AA1614">
        <v>40.685262</v>
      </c>
      <c r="AB1614">
        <v>-73.807738</v>
      </c>
      <c r="AC1614" t="s">
        <v>10838</v>
      </c>
      <c r="AD1614" t="s">
        <v>10840</v>
      </c>
      <c r="AG1614" t="s">
        <v>10858</v>
      </c>
      <c r="AH1614" t="s">
        <v>10861</v>
      </c>
      <c r="AI1614">
        <v>234</v>
      </c>
      <c r="AJ1614" t="s">
        <v>10214</v>
      </c>
      <c r="AL1614">
        <v>1</v>
      </c>
      <c r="AR1614" t="s">
        <v>11265</v>
      </c>
      <c r="AS1614" t="s">
        <v>11594</v>
      </c>
      <c r="AT1614" t="s">
        <v>11642</v>
      </c>
      <c r="AX1614" t="s">
        <v>10838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</row>
    <row r="1615" spans="1:59">
      <c r="A1615" s="1">
        <f>HYPERLINK("https://lsnyc.legalserver.org/matter/dynamic-profile/view/1905481","19-1905481")</f>
        <v>0</v>
      </c>
      <c r="B1615" t="s">
        <v>1444</v>
      </c>
      <c r="C1615" t="s">
        <v>6267</v>
      </c>
      <c r="D1615" t="s">
        <v>9926</v>
      </c>
      <c r="E1615" t="s">
        <v>10075</v>
      </c>
      <c r="F1615">
        <v>10453</v>
      </c>
      <c r="G1615" t="s">
        <v>10090</v>
      </c>
      <c r="H1615" t="s">
        <v>10106</v>
      </c>
      <c r="I1615" t="s">
        <v>10168</v>
      </c>
      <c r="J1615" t="s">
        <v>10210</v>
      </c>
      <c r="K1615" t="s">
        <v>10217</v>
      </c>
      <c r="M1615" t="s">
        <v>10367</v>
      </c>
      <c r="N1615" t="s">
        <v>10688</v>
      </c>
      <c r="P1615" t="s">
        <v>10751</v>
      </c>
      <c r="Q1615" t="s">
        <v>10786</v>
      </c>
      <c r="R1615" t="s">
        <v>10821</v>
      </c>
      <c r="T1615">
        <v>8880</v>
      </c>
      <c r="U1615">
        <v>740</v>
      </c>
      <c r="V1615">
        <v>38</v>
      </c>
      <c r="W1615">
        <v>2</v>
      </c>
      <c r="X1615">
        <v>0</v>
      </c>
      <c r="Z1615">
        <v>52.51</v>
      </c>
      <c r="AA1615">
        <v>40.851864</v>
      </c>
      <c r="AB1615">
        <v>-73.90756399999999</v>
      </c>
      <c r="AD1615" t="s">
        <v>10839</v>
      </c>
      <c r="AG1615" t="s">
        <v>10858</v>
      </c>
      <c r="AH1615" t="s">
        <v>10862</v>
      </c>
      <c r="AI1615">
        <v>230</v>
      </c>
      <c r="AJ1615" t="s">
        <v>10210</v>
      </c>
      <c r="AL1615">
        <v>7.7</v>
      </c>
      <c r="AM1615" t="s">
        <v>10884</v>
      </c>
      <c r="AN1615" t="s">
        <v>10931</v>
      </c>
      <c r="AO1615" t="s">
        <v>11000</v>
      </c>
      <c r="AP1615" t="s">
        <v>11045</v>
      </c>
      <c r="AR1615" t="s">
        <v>11274</v>
      </c>
      <c r="AS1615" t="s">
        <v>9926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</row>
    <row r="1616" spans="1:59">
      <c r="A1616" s="1">
        <f>HYPERLINK("https://lsnyc.legalserver.org/matter/dynamic-profile/view/1905482","19-1905482")</f>
        <v>0</v>
      </c>
      <c r="B1616" t="s">
        <v>1445</v>
      </c>
      <c r="C1616" t="s">
        <v>6268</v>
      </c>
      <c r="D1616" t="s">
        <v>9928</v>
      </c>
      <c r="E1616" t="s">
        <v>10075</v>
      </c>
      <c r="F1616">
        <v>11207</v>
      </c>
      <c r="G1616" t="s">
        <v>10093</v>
      </c>
      <c r="H1616" t="s">
        <v>10106</v>
      </c>
      <c r="I1616" t="s">
        <v>10169</v>
      </c>
      <c r="J1616" t="s">
        <v>10213</v>
      </c>
      <c r="K1616" t="s">
        <v>10217</v>
      </c>
      <c r="M1616" t="s">
        <v>10435</v>
      </c>
      <c r="N1616" t="s">
        <v>10665</v>
      </c>
      <c r="O1616" t="s">
        <v>10665</v>
      </c>
      <c r="P1616" t="s">
        <v>10750</v>
      </c>
      <c r="Q1616" t="s">
        <v>10799</v>
      </c>
      <c r="R1616" t="s">
        <v>10821</v>
      </c>
      <c r="T1616">
        <v>0</v>
      </c>
      <c r="U1616">
        <v>0</v>
      </c>
      <c r="V1616">
        <v>56</v>
      </c>
      <c r="W1616">
        <v>1</v>
      </c>
      <c r="X1616">
        <v>0</v>
      </c>
      <c r="Z1616">
        <v>0</v>
      </c>
      <c r="AA1616">
        <v>40.665589</v>
      </c>
      <c r="AB1616">
        <v>-73.893934</v>
      </c>
      <c r="AD1616" t="s">
        <v>10840</v>
      </c>
      <c r="AG1616" t="s">
        <v>10858</v>
      </c>
      <c r="AH1616" t="s">
        <v>10871</v>
      </c>
      <c r="AI1616">
        <v>234</v>
      </c>
      <c r="AJ1616" t="s">
        <v>10214</v>
      </c>
      <c r="AL1616">
        <v>7.25</v>
      </c>
      <c r="AM1616" t="s">
        <v>10889</v>
      </c>
      <c r="AN1616" t="s">
        <v>10946</v>
      </c>
      <c r="AO1616" t="s">
        <v>11012</v>
      </c>
      <c r="AP1616" t="s">
        <v>11060</v>
      </c>
      <c r="AR1616" t="s">
        <v>11267</v>
      </c>
      <c r="AS1616" t="s">
        <v>11595</v>
      </c>
      <c r="AT1616" t="s">
        <v>11642</v>
      </c>
      <c r="AX1616" t="s">
        <v>10838</v>
      </c>
      <c r="BA1616" t="s">
        <v>11742</v>
      </c>
      <c r="BB1616">
        <v>0</v>
      </c>
      <c r="BC1616">
        <v>0</v>
      </c>
      <c r="BD1616">
        <v>0</v>
      </c>
      <c r="BE1616">
        <v>0</v>
      </c>
      <c r="BF1616">
        <v>7</v>
      </c>
      <c r="BG1616">
        <v>0</v>
      </c>
    </row>
    <row r="1617" spans="1:59">
      <c r="A1617" s="1">
        <f>HYPERLINK("https://lsnyc.legalserver.org/matter/dynamic-profile/view/1905484","19-1905484")</f>
        <v>0</v>
      </c>
      <c r="B1617" t="s">
        <v>1446</v>
      </c>
      <c r="C1617" t="s">
        <v>6269</v>
      </c>
      <c r="D1617" t="s">
        <v>9929</v>
      </c>
      <c r="E1617" t="s">
        <v>10075</v>
      </c>
      <c r="F1617">
        <v>10314</v>
      </c>
      <c r="G1617" t="s">
        <v>10088</v>
      </c>
      <c r="H1617" t="s">
        <v>10134</v>
      </c>
      <c r="I1617" t="s">
        <v>10168</v>
      </c>
      <c r="J1617" t="s">
        <v>10208</v>
      </c>
      <c r="K1617" t="s">
        <v>10217</v>
      </c>
      <c r="M1617" t="s">
        <v>10243</v>
      </c>
      <c r="N1617" t="s">
        <v>10655</v>
      </c>
      <c r="P1617" t="s">
        <v>10749</v>
      </c>
      <c r="Q1617" t="s">
        <v>10765</v>
      </c>
      <c r="R1617" t="s">
        <v>10820</v>
      </c>
      <c r="T1617">
        <v>25000</v>
      </c>
      <c r="U1617">
        <v>2083.33</v>
      </c>
      <c r="V1617">
        <v>37</v>
      </c>
      <c r="W1617">
        <v>2</v>
      </c>
      <c r="X1617">
        <v>2</v>
      </c>
      <c r="Z1617">
        <v>97.09</v>
      </c>
      <c r="AA1617">
        <v>40.596278</v>
      </c>
      <c r="AB1617">
        <v>-74.16357600000001</v>
      </c>
      <c r="AD1617" t="s">
        <v>10839</v>
      </c>
      <c r="AG1617" t="s">
        <v>10858</v>
      </c>
      <c r="AH1617" t="s">
        <v>10862</v>
      </c>
      <c r="AI1617">
        <v>285</v>
      </c>
      <c r="AJ1617" t="s">
        <v>10208</v>
      </c>
      <c r="AL1617">
        <v>7.15</v>
      </c>
      <c r="AM1617" t="s">
        <v>10883</v>
      </c>
      <c r="AN1617" t="s">
        <v>10928</v>
      </c>
      <c r="AO1617" t="s">
        <v>10999</v>
      </c>
      <c r="AP1617" t="s">
        <v>11063</v>
      </c>
      <c r="AR1617" t="s">
        <v>11262</v>
      </c>
      <c r="AS1617" t="s">
        <v>11593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</row>
    <row r="1618" spans="1:59">
      <c r="A1618" s="1">
        <f>HYPERLINK("https://lsnyc.legalserver.org/matter/dynamic-profile/view/1905485","19-1905485")</f>
        <v>0</v>
      </c>
      <c r="B1618" t="s">
        <v>1447</v>
      </c>
      <c r="C1618" t="s">
        <v>6270</v>
      </c>
      <c r="D1618" t="s">
        <v>9926</v>
      </c>
      <c r="E1618" t="s">
        <v>10075</v>
      </c>
      <c r="F1618">
        <v>10467</v>
      </c>
      <c r="G1618" t="s">
        <v>10090</v>
      </c>
      <c r="H1618" t="s">
        <v>10106</v>
      </c>
      <c r="I1618" t="s">
        <v>10169</v>
      </c>
      <c r="J1618" t="s">
        <v>10210</v>
      </c>
      <c r="K1618" t="s">
        <v>10217</v>
      </c>
      <c r="M1618" t="s">
        <v>10406</v>
      </c>
      <c r="N1618" t="s">
        <v>10688</v>
      </c>
      <c r="P1618" t="s">
        <v>10751</v>
      </c>
      <c r="Q1618" t="s">
        <v>10796</v>
      </c>
      <c r="R1618" t="s">
        <v>10823</v>
      </c>
      <c r="T1618">
        <v>36400</v>
      </c>
      <c r="U1618">
        <v>3033.33</v>
      </c>
      <c r="V1618">
        <v>29</v>
      </c>
      <c r="W1618">
        <v>2</v>
      </c>
      <c r="X1618">
        <v>1</v>
      </c>
      <c r="Z1618">
        <v>170.65</v>
      </c>
      <c r="AA1618">
        <v>40.877297</v>
      </c>
      <c r="AB1618">
        <v>-73.873791</v>
      </c>
      <c r="AD1618" t="s">
        <v>10840</v>
      </c>
      <c r="AF1618" t="s">
        <v>10843</v>
      </c>
      <c r="AG1618" t="s">
        <v>10859</v>
      </c>
      <c r="AH1618" t="s">
        <v>10874</v>
      </c>
      <c r="AI1618">
        <v>230</v>
      </c>
      <c r="AJ1618" t="s">
        <v>10210</v>
      </c>
      <c r="AL1618">
        <v>7</v>
      </c>
      <c r="AM1618" t="s">
        <v>10887</v>
      </c>
      <c r="AN1618" t="s">
        <v>10938</v>
      </c>
      <c r="AO1618" t="s">
        <v>11010</v>
      </c>
      <c r="AP1618" t="s">
        <v>11057</v>
      </c>
      <c r="AR1618" t="s">
        <v>11257</v>
      </c>
      <c r="AS1618" t="s">
        <v>9926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</row>
    <row r="1619" spans="1:59">
      <c r="A1619" s="1">
        <f>HYPERLINK("https://lsnyc.legalserver.org/matter/dynamic-profile/view/1905486","19-1905486")</f>
        <v>0</v>
      </c>
      <c r="B1619" t="s">
        <v>1448</v>
      </c>
      <c r="C1619" t="s">
        <v>6271</v>
      </c>
      <c r="D1619" t="s">
        <v>9925</v>
      </c>
      <c r="E1619" t="s">
        <v>10075</v>
      </c>
      <c r="F1619">
        <v>10030</v>
      </c>
      <c r="G1619" t="s">
        <v>10089</v>
      </c>
      <c r="H1619" t="s">
        <v>10106</v>
      </c>
      <c r="I1619" t="s">
        <v>10168</v>
      </c>
      <c r="J1619" t="s">
        <v>10209</v>
      </c>
      <c r="K1619" t="s">
        <v>10217</v>
      </c>
      <c r="M1619" t="s">
        <v>10301</v>
      </c>
      <c r="N1619" t="s">
        <v>10665</v>
      </c>
      <c r="P1619" t="s">
        <v>10751</v>
      </c>
      <c r="Q1619" t="s">
        <v>10773</v>
      </c>
      <c r="R1619" t="s">
        <v>10822</v>
      </c>
      <c r="T1619">
        <v>0</v>
      </c>
      <c r="U1619">
        <v>0</v>
      </c>
      <c r="V1619">
        <v>27</v>
      </c>
      <c r="W1619">
        <v>1</v>
      </c>
      <c r="X1619">
        <v>0</v>
      </c>
      <c r="Z1619">
        <v>0</v>
      </c>
      <c r="AA1619">
        <v>40.817547</v>
      </c>
      <c r="AB1619">
        <v>-73.94441999999999</v>
      </c>
      <c r="AD1619" t="s">
        <v>10822</v>
      </c>
      <c r="AG1619" t="s">
        <v>10858</v>
      </c>
      <c r="AH1619" t="s">
        <v>10861</v>
      </c>
      <c r="AI1619">
        <v>234</v>
      </c>
      <c r="AJ1619" t="s">
        <v>10214</v>
      </c>
      <c r="AL1619">
        <v>5.75</v>
      </c>
      <c r="AM1619" t="s">
        <v>10887</v>
      </c>
      <c r="AN1619" t="s">
        <v>10936</v>
      </c>
      <c r="AO1619" t="s">
        <v>11016</v>
      </c>
      <c r="AP1619" t="s">
        <v>11076</v>
      </c>
      <c r="AQ1619" t="s">
        <v>11115</v>
      </c>
      <c r="AR1619" t="s">
        <v>11279</v>
      </c>
      <c r="AS1619" t="s">
        <v>9925</v>
      </c>
      <c r="AT1619" t="s">
        <v>11642</v>
      </c>
      <c r="AX1619" t="s">
        <v>11678</v>
      </c>
      <c r="BA1619" t="s">
        <v>11741</v>
      </c>
      <c r="BB1619">
        <v>0</v>
      </c>
      <c r="BC1619">
        <v>0</v>
      </c>
      <c r="BD1619">
        <v>0</v>
      </c>
      <c r="BE1619">
        <v>0</v>
      </c>
      <c r="BF1619">
        <v>1</v>
      </c>
      <c r="BG1619">
        <v>0</v>
      </c>
    </row>
    <row r="1620" spans="1:59">
      <c r="A1620" s="1">
        <f>HYPERLINK("https://lsnyc.legalserver.org/matter/dynamic-profile/view/1905487","19-1905487")</f>
        <v>0</v>
      </c>
      <c r="B1620" t="s">
        <v>1449</v>
      </c>
      <c r="C1620" t="s">
        <v>6272</v>
      </c>
      <c r="D1620" t="s">
        <v>9928</v>
      </c>
      <c r="E1620" t="s">
        <v>10075</v>
      </c>
      <c r="F1620">
        <v>11226</v>
      </c>
      <c r="G1620" t="s">
        <v>10093</v>
      </c>
      <c r="H1620" t="s">
        <v>10106</v>
      </c>
      <c r="I1620" t="s">
        <v>10168</v>
      </c>
      <c r="J1620" t="s">
        <v>10213</v>
      </c>
      <c r="K1620" t="s">
        <v>10218</v>
      </c>
      <c r="L1620" t="s">
        <v>10121</v>
      </c>
      <c r="M1620" t="s">
        <v>10290</v>
      </c>
      <c r="N1620" t="s">
        <v>10665</v>
      </c>
      <c r="P1620" t="s">
        <v>10751</v>
      </c>
      <c r="Q1620" t="s">
        <v>10773</v>
      </c>
      <c r="R1620" t="s">
        <v>10824</v>
      </c>
      <c r="T1620">
        <v>10296</v>
      </c>
      <c r="U1620">
        <v>858</v>
      </c>
      <c r="V1620">
        <v>30</v>
      </c>
      <c r="W1620">
        <v>1</v>
      </c>
      <c r="X1620">
        <v>0</v>
      </c>
      <c r="Y1620" t="s">
        <v>10829</v>
      </c>
      <c r="Z1620">
        <v>82.43000000000001</v>
      </c>
      <c r="AA1620">
        <v>40.651998</v>
      </c>
      <c r="AB1620">
        <v>-73.94815199999999</v>
      </c>
      <c r="AD1620" t="s">
        <v>10839</v>
      </c>
      <c r="AG1620" t="s">
        <v>10858</v>
      </c>
      <c r="AH1620" t="s">
        <v>10861</v>
      </c>
      <c r="AI1620">
        <v>234</v>
      </c>
      <c r="AJ1620" t="s">
        <v>10214</v>
      </c>
      <c r="AK1620" t="s">
        <v>10882</v>
      </c>
      <c r="AL1620">
        <v>2.5</v>
      </c>
      <c r="AM1620" t="s">
        <v>10888</v>
      </c>
      <c r="AN1620" t="s">
        <v>10912</v>
      </c>
      <c r="AO1620" t="s">
        <v>11005</v>
      </c>
      <c r="AP1620" t="s">
        <v>11050</v>
      </c>
      <c r="AR1620" t="s">
        <v>11274</v>
      </c>
      <c r="AS1620" t="s">
        <v>11595</v>
      </c>
      <c r="AT1620" t="s">
        <v>11641</v>
      </c>
      <c r="AX1620" t="s">
        <v>10837</v>
      </c>
      <c r="AY1620" t="s">
        <v>10829</v>
      </c>
      <c r="AZ1620" t="s">
        <v>11682</v>
      </c>
      <c r="BA1620" t="s">
        <v>11741</v>
      </c>
      <c r="BB1620">
        <v>0</v>
      </c>
      <c r="BC1620">
        <v>0</v>
      </c>
      <c r="BD1620">
        <v>0</v>
      </c>
      <c r="BE1620">
        <v>0</v>
      </c>
      <c r="BF1620">
        <v>1</v>
      </c>
      <c r="BG1620">
        <v>0</v>
      </c>
    </row>
    <row r="1621" spans="1:59">
      <c r="A1621" s="1">
        <f>HYPERLINK("https://lsnyc.legalserver.org/matter/dynamic-profile/view/1905488","19-1905488")</f>
        <v>0</v>
      </c>
      <c r="B1621" t="s">
        <v>1450</v>
      </c>
      <c r="C1621" t="s">
        <v>6273</v>
      </c>
      <c r="D1621" t="s">
        <v>9925</v>
      </c>
      <c r="E1621" t="s">
        <v>10075</v>
      </c>
      <c r="F1621">
        <v>10034</v>
      </c>
      <c r="G1621" t="s">
        <v>10089</v>
      </c>
      <c r="H1621" t="s">
        <v>10106</v>
      </c>
      <c r="I1621" t="s">
        <v>10168</v>
      </c>
      <c r="J1621" t="s">
        <v>10209</v>
      </c>
      <c r="K1621" t="s">
        <v>10217</v>
      </c>
      <c r="M1621" t="s">
        <v>10442</v>
      </c>
      <c r="N1621" t="s">
        <v>10650</v>
      </c>
      <c r="P1621" t="s">
        <v>10749</v>
      </c>
      <c r="Q1621" t="s">
        <v>10765</v>
      </c>
      <c r="R1621" t="s">
        <v>10824</v>
      </c>
      <c r="T1621">
        <v>55000</v>
      </c>
      <c r="U1621">
        <v>4583.33</v>
      </c>
      <c r="V1621">
        <v>49</v>
      </c>
      <c r="W1621">
        <v>1</v>
      </c>
      <c r="X1621">
        <v>1</v>
      </c>
      <c r="Z1621">
        <v>325.25</v>
      </c>
      <c r="AA1621">
        <v>40.868105</v>
      </c>
      <c r="AB1621">
        <v>-73.924547</v>
      </c>
      <c r="AD1621" t="s">
        <v>10839</v>
      </c>
      <c r="AG1621" t="s">
        <v>10858</v>
      </c>
      <c r="AH1621" t="s">
        <v>10862</v>
      </c>
      <c r="AI1621">
        <v>236</v>
      </c>
      <c r="AJ1621" t="s">
        <v>10209</v>
      </c>
      <c r="AL1621">
        <v>0</v>
      </c>
      <c r="AM1621" t="s">
        <v>10887</v>
      </c>
      <c r="AN1621" t="s">
        <v>10937</v>
      </c>
      <c r="AO1621" t="s">
        <v>11019</v>
      </c>
      <c r="AP1621" t="s">
        <v>11074</v>
      </c>
      <c r="AR1621" t="s">
        <v>11257</v>
      </c>
      <c r="AS1621" t="s">
        <v>9925</v>
      </c>
      <c r="AT1621" t="s">
        <v>11641</v>
      </c>
      <c r="AX1621" t="s">
        <v>10838</v>
      </c>
      <c r="BA1621" t="s">
        <v>11738</v>
      </c>
      <c r="BB1621">
        <v>0</v>
      </c>
      <c r="BC1621">
        <v>0</v>
      </c>
      <c r="BD1621">
        <v>0</v>
      </c>
      <c r="BE1621">
        <v>0</v>
      </c>
      <c r="BF1621">
        <v>5</v>
      </c>
      <c r="BG1621">
        <v>0</v>
      </c>
    </row>
    <row r="1622" spans="1:59">
      <c r="A1622" s="1">
        <f>HYPERLINK("https://lsnyc.legalserver.org/matter/dynamic-profile/view/1905490","19-1905490")</f>
        <v>0</v>
      </c>
      <c r="B1622" t="s">
        <v>1445</v>
      </c>
      <c r="C1622" t="s">
        <v>6268</v>
      </c>
      <c r="D1622" t="s">
        <v>9928</v>
      </c>
      <c r="E1622" t="s">
        <v>10075</v>
      </c>
      <c r="F1622">
        <v>11207</v>
      </c>
      <c r="G1622" t="s">
        <v>10093</v>
      </c>
      <c r="H1622" t="s">
        <v>10106</v>
      </c>
      <c r="I1622" t="s">
        <v>10169</v>
      </c>
      <c r="J1622" t="s">
        <v>10213</v>
      </c>
      <c r="K1622" t="s">
        <v>10218</v>
      </c>
      <c r="L1622" t="s">
        <v>10141</v>
      </c>
      <c r="M1622" t="s">
        <v>10481</v>
      </c>
      <c r="N1622" t="s">
        <v>10650</v>
      </c>
      <c r="P1622" t="s">
        <v>10749</v>
      </c>
      <c r="Q1622" t="s">
        <v>10765</v>
      </c>
      <c r="R1622" t="s">
        <v>10821</v>
      </c>
      <c r="T1622">
        <v>0</v>
      </c>
      <c r="U1622">
        <v>0</v>
      </c>
      <c r="V1622">
        <v>56</v>
      </c>
      <c r="W1622">
        <v>1</v>
      </c>
      <c r="X1622">
        <v>0</v>
      </c>
      <c r="Y1622" t="s">
        <v>10829</v>
      </c>
      <c r="Z1622">
        <v>0</v>
      </c>
      <c r="AA1622">
        <v>40.665589</v>
      </c>
      <c r="AB1622">
        <v>-73.893934</v>
      </c>
      <c r="AD1622" t="s">
        <v>10840</v>
      </c>
      <c r="AG1622" t="s">
        <v>10858</v>
      </c>
      <c r="AH1622" t="s">
        <v>10871</v>
      </c>
      <c r="AI1622">
        <v>234</v>
      </c>
      <c r="AJ1622" t="s">
        <v>10214</v>
      </c>
      <c r="AK1622" t="s">
        <v>10838</v>
      </c>
      <c r="AL1622">
        <v>1</v>
      </c>
      <c r="AQ1622" t="s">
        <v>11101</v>
      </c>
      <c r="AR1622" t="s">
        <v>11267</v>
      </c>
      <c r="AS1622" t="s">
        <v>11595</v>
      </c>
      <c r="AY1622" t="s">
        <v>10829</v>
      </c>
      <c r="AZ1622" t="s">
        <v>11681</v>
      </c>
      <c r="BA1622" t="s">
        <v>11741</v>
      </c>
      <c r="BB1622">
        <v>0</v>
      </c>
      <c r="BC1622">
        <v>0</v>
      </c>
      <c r="BD1622">
        <v>0</v>
      </c>
      <c r="BE1622">
        <v>0</v>
      </c>
      <c r="BF1622">
        <v>1</v>
      </c>
      <c r="BG1622">
        <v>0</v>
      </c>
    </row>
    <row r="1623" spans="1:59">
      <c r="A1623" s="1">
        <f>HYPERLINK("https://lsnyc.legalserver.org/matter/dynamic-profile/view/1905491","19-1905491")</f>
        <v>0</v>
      </c>
      <c r="B1623" t="s">
        <v>1451</v>
      </c>
      <c r="C1623" t="s">
        <v>5760</v>
      </c>
      <c r="D1623" t="s">
        <v>9926</v>
      </c>
      <c r="E1623" t="s">
        <v>10075</v>
      </c>
      <c r="F1623">
        <v>10468</v>
      </c>
      <c r="G1623" t="s">
        <v>10090</v>
      </c>
      <c r="H1623" t="s">
        <v>10106</v>
      </c>
      <c r="I1623" t="s">
        <v>10169</v>
      </c>
      <c r="J1623" t="s">
        <v>10210</v>
      </c>
      <c r="K1623" t="s">
        <v>10218</v>
      </c>
      <c r="L1623" t="s">
        <v>10102</v>
      </c>
      <c r="M1623" t="s">
        <v>10262</v>
      </c>
      <c r="N1623" t="s">
        <v>10651</v>
      </c>
      <c r="P1623" t="s">
        <v>10749</v>
      </c>
      <c r="Q1623" t="s">
        <v>10765</v>
      </c>
      <c r="R1623" t="s">
        <v>10821</v>
      </c>
      <c r="T1623">
        <v>53000</v>
      </c>
      <c r="U1623">
        <v>4416.67</v>
      </c>
      <c r="V1623">
        <v>62</v>
      </c>
      <c r="W1623">
        <v>2</v>
      </c>
      <c r="X1623">
        <v>1</v>
      </c>
      <c r="Y1623" t="s">
        <v>10829</v>
      </c>
      <c r="Z1623">
        <v>248.48</v>
      </c>
      <c r="AA1623">
        <v>40.870507</v>
      </c>
      <c r="AB1623">
        <v>-73.891141</v>
      </c>
      <c r="AD1623" t="s">
        <v>10840</v>
      </c>
      <c r="AG1623" t="s">
        <v>10858</v>
      </c>
      <c r="AH1623" t="s">
        <v>10862</v>
      </c>
      <c r="AI1623">
        <v>230</v>
      </c>
      <c r="AJ1623" t="s">
        <v>10210</v>
      </c>
      <c r="AK1623" t="s">
        <v>10882</v>
      </c>
      <c r="AL1623">
        <v>0.2</v>
      </c>
      <c r="AM1623" t="s">
        <v>10887</v>
      </c>
      <c r="AN1623" t="s">
        <v>10907</v>
      </c>
      <c r="AO1623" t="s">
        <v>11000</v>
      </c>
      <c r="AP1623" t="s">
        <v>11045</v>
      </c>
      <c r="AR1623" t="s">
        <v>11257</v>
      </c>
      <c r="AS1623" t="s">
        <v>9926</v>
      </c>
      <c r="AY1623" t="s">
        <v>10829</v>
      </c>
      <c r="AZ1623" t="s">
        <v>11681</v>
      </c>
      <c r="BA1623" t="s">
        <v>11741</v>
      </c>
      <c r="BB1623">
        <v>0</v>
      </c>
      <c r="BC1623">
        <v>0</v>
      </c>
      <c r="BD1623">
        <v>0</v>
      </c>
      <c r="BE1623">
        <v>0</v>
      </c>
      <c r="BF1623">
        <v>1</v>
      </c>
      <c r="BG1623">
        <v>0</v>
      </c>
    </row>
    <row r="1624" spans="1:59">
      <c r="A1624" s="1">
        <f>HYPERLINK("https://lsnyc.legalserver.org/matter/dynamic-profile/view/1905492","19-1905492")</f>
        <v>0</v>
      </c>
      <c r="B1624" t="s">
        <v>1452</v>
      </c>
      <c r="C1624" t="s">
        <v>6274</v>
      </c>
      <c r="D1624" t="s">
        <v>9925</v>
      </c>
      <c r="E1624" t="s">
        <v>10075</v>
      </c>
      <c r="F1624">
        <v>10023</v>
      </c>
      <c r="G1624" t="s">
        <v>10089</v>
      </c>
      <c r="H1624" t="s">
        <v>10106</v>
      </c>
      <c r="I1624" t="s">
        <v>10169</v>
      </c>
      <c r="J1624" t="s">
        <v>10209</v>
      </c>
      <c r="K1624" t="s">
        <v>10217</v>
      </c>
      <c r="M1624" t="s">
        <v>10459</v>
      </c>
      <c r="N1624" t="s">
        <v>10656</v>
      </c>
      <c r="P1624" t="s">
        <v>10751</v>
      </c>
      <c r="Q1624" t="s">
        <v>10768</v>
      </c>
      <c r="R1624" t="s">
        <v>10823</v>
      </c>
      <c r="T1624">
        <v>4464</v>
      </c>
      <c r="U1624">
        <v>372</v>
      </c>
      <c r="V1624">
        <v>58</v>
      </c>
      <c r="W1624">
        <v>1</v>
      </c>
      <c r="X1624">
        <v>0</v>
      </c>
      <c r="Z1624">
        <v>35.74</v>
      </c>
      <c r="AA1624">
        <v>40.772725</v>
      </c>
      <c r="AB1624">
        <v>-73.990264</v>
      </c>
      <c r="AD1624" t="s">
        <v>10840</v>
      </c>
      <c r="AG1624" t="s">
        <v>10858</v>
      </c>
      <c r="AH1624" t="s">
        <v>10866</v>
      </c>
      <c r="AI1624">
        <v>236</v>
      </c>
      <c r="AJ1624" t="s">
        <v>10209</v>
      </c>
      <c r="AL1624">
        <v>12</v>
      </c>
      <c r="AM1624" t="s">
        <v>10894</v>
      </c>
      <c r="AN1624" t="s">
        <v>10964</v>
      </c>
      <c r="AO1624" t="s">
        <v>11019</v>
      </c>
      <c r="AP1624" t="s">
        <v>11089</v>
      </c>
      <c r="AR1624" t="s">
        <v>11321</v>
      </c>
      <c r="AS1624" t="s">
        <v>9925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</row>
    <row r="1625" spans="1:59">
      <c r="A1625" s="1">
        <f>HYPERLINK("https://lsnyc.legalserver.org/matter/dynamic-profile/view/1905493","19-1905493")</f>
        <v>0</v>
      </c>
      <c r="B1625" t="s">
        <v>1453</v>
      </c>
      <c r="C1625" t="s">
        <v>6275</v>
      </c>
      <c r="D1625" t="s">
        <v>9945</v>
      </c>
      <c r="E1625" t="s">
        <v>10075</v>
      </c>
      <c r="F1625">
        <v>11422</v>
      </c>
      <c r="G1625" t="s">
        <v>10092</v>
      </c>
      <c r="H1625" t="s">
        <v>10106</v>
      </c>
      <c r="I1625" t="s">
        <v>10168</v>
      </c>
      <c r="J1625" t="s">
        <v>10212</v>
      </c>
      <c r="K1625" t="s">
        <v>10217</v>
      </c>
      <c r="M1625" t="s">
        <v>10416</v>
      </c>
      <c r="N1625" t="s">
        <v>10678</v>
      </c>
      <c r="P1625" t="s">
        <v>10749</v>
      </c>
      <c r="Q1625" t="s">
        <v>10769</v>
      </c>
      <c r="R1625" t="s">
        <v>10824</v>
      </c>
      <c r="T1625">
        <v>64000</v>
      </c>
      <c r="U1625">
        <v>5333.33</v>
      </c>
      <c r="V1625">
        <v>43</v>
      </c>
      <c r="W1625">
        <v>2</v>
      </c>
      <c r="X1625">
        <v>0</v>
      </c>
      <c r="Z1625">
        <v>378.47</v>
      </c>
      <c r="AA1625">
        <v>40.66039</v>
      </c>
      <c r="AB1625">
        <v>-73.741933</v>
      </c>
      <c r="AD1625" t="s">
        <v>10839</v>
      </c>
      <c r="AG1625" t="s">
        <v>10858</v>
      </c>
      <c r="AH1625" t="s">
        <v>10861</v>
      </c>
      <c r="AI1625">
        <v>234</v>
      </c>
      <c r="AJ1625" t="s">
        <v>10214</v>
      </c>
      <c r="AL1625">
        <v>4.8</v>
      </c>
      <c r="AM1625" t="s">
        <v>10892</v>
      </c>
      <c r="AN1625" t="s">
        <v>10930</v>
      </c>
      <c r="AO1625" t="s">
        <v>11017</v>
      </c>
      <c r="AP1625" t="s">
        <v>11082</v>
      </c>
      <c r="AR1625" t="s">
        <v>11257</v>
      </c>
      <c r="AS1625" t="s">
        <v>11594</v>
      </c>
      <c r="AT1625" t="s">
        <v>11641</v>
      </c>
      <c r="AX1625" t="s">
        <v>10838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</row>
    <row r="1626" spans="1:59">
      <c r="A1626" s="1">
        <f>HYPERLINK("https://lsnyc.legalserver.org/matter/dynamic-profile/view/1905494","19-1905494")</f>
        <v>0</v>
      </c>
      <c r="B1626" t="s">
        <v>1454</v>
      </c>
      <c r="C1626" t="s">
        <v>6276</v>
      </c>
      <c r="D1626" t="s">
        <v>9926</v>
      </c>
      <c r="E1626" t="s">
        <v>10075</v>
      </c>
      <c r="F1626">
        <v>10467</v>
      </c>
      <c r="G1626" t="s">
        <v>10090</v>
      </c>
      <c r="H1626" t="s">
        <v>10106</v>
      </c>
      <c r="I1626" t="s">
        <v>10168</v>
      </c>
      <c r="J1626" t="s">
        <v>10210</v>
      </c>
      <c r="K1626" t="s">
        <v>10217</v>
      </c>
      <c r="M1626" t="s">
        <v>10406</v>
      </c>
      <c r="N1626" t="s">
        <v>10688</v>
      </c>
      <c r="P1626" t="s">
        <v>10751</v>
      </c>
      <c r="Q1626" t="s">
        <v>10796</v>
      </c>
      <c r="R1626" t="s">
        <v>10821</v>
      </c>
      <c r="T1626">
        <v>8240</v>
      </c>
      <c r="U1626">
        <v>686.67</v>
      </c>
      <c r="V1626">
        <v>29</v>
      </c>
      <c r="W1626">
        <v>1</v>
      </c>
      <c r="X1626">
        <v>0</v>
      </c>
      <c r="Z1626">
        <v>65.97</v>
      </c>
      <c r="AA1626">
        <v>40.860714</v>
      </c>
      <c r="AB1626">
        <v>-73.86795600000001</v>
      </c>
      <c r="AD1626" t="s">
        <v>10839</v>
      </c>
      <c r="AG1626" t="s">
        <v>10858</v>
      </c>
      <c r="AH1626" t="s">
        <v>10874</v>
      </c>
      <c r="AI1626">
        <v>230</v>
      </c>
      <c r="AJ1626" t="s">
        <v>10210</v>
      </c>
      <c r="AL1626">
        <v>0</v>
      </c>
      <c r="AM1626" t="s">
        <v>10885</v>
      </c>
      <c r="AN1626" t="s">
        <v>10907</v>
      </c>
      <c r="AO1626" t="s">
        <v>11002</v>
      </c>
      <c r="AP1626" t="s">
        <v>11056</v>
      </c>
      <c r="AR1626" t="s">
        <v>11262</v>
      </c>
      <c r="AS1626" t="s">
        <v>9926</v>
      </c>
      <c r="AT1626" t="s">
        <v>11641</v>
      </c>
      <c r="AX1626" t="s">
        <v>10838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</row>
    <row r="1627" spans="1:59">
      <c r="A1627" s="1">
        <f>HYPERLINK("https://lsnyc.legalserver.org/matter/dynamic-profile/view/1905495","19-1905495")</f>
        <v>0</v>
      </c>
      <c r="B1627" t="s">
        <v>832</v>
      </c>
      <c r="C1627" t="s">
        <v>6277</v>
      </c>
      <c r="D1627" t="s">
        <v>9926</v>
      </c>
      <c r="E1627" t="s">
        <v>10075</v>
      </c>
      <c r="F1627">
        <v>10457</v>
      </c>
      <c r="G1627" t="s">
        <v>10090</v>
      </c>
      <c r="H1627" t="s">
        <v>10106</v>
      </c>
      <c r="I1627" t="s">
        <v>10168</v>
      </c>
      <c r="J1627" t="s">
        <v>10210</v>
      </c>
      <c r="K1627" t="s">
        <v>10217</v>
      </c>
      <c r="M1627" t="s">
        <v>10357</v>
      </c>
      <c r="N1627" t="s">
        <v>10651</v>
      </c>
      <c r="P1627" t="s">
        <v>10749</v>
      </c>
      <c r="Q1627" t="s">
        <v>10765</v>
      </c>
      <c r="R1627" t="s">
        <v>10824</v>
      </c>
      <c r="T1627">
        <v>20000</v>
      </c>
      <c r="U1627">
        <v>1666.67</v>
      </c>
      <c r="V1627">
        <v>55</v>
      </c>
      <c r="W1627">
        <v>2</v>
      </c>
      <c r="X1627">
        <v>0</v>
      </c>
      <c r="Z1627">
        <v>118.27</v>
      </c>
      <c r="AA1627">
        <v>40.840195</v>
      </c>
      <c r="AB1627">
        <v>-73.912513</v>
      </c>
      <c r="AD1627" t="s">
        <v>10840</v>
      </c>
      <c r="AG1627" t="s">
        <v>10858</v>
      </c>
      <c r="AH1627" t="s">
        <v>10862</v>
      </c>
      <c r="AI1627">
        <v>230</v>
      </c>
      <c r="AJ1627" t="s">
        <v>10210</v>
      </c>
      <c r="AL1627">
        <v>5</v>
      </c>
      <c r="AM1627" t="s">
        <v>10884</v>
      </c>
      <c r="AN1627" t="s">
        <v>10929</v>
      </c>
      <c r="AO1627" t="s">
        <v>11013</v>
      </c>
      <c r="AP1627" t="s">
        <v>11045</v>
      </c>
      <c r="AR1627" t="s">
        <v>11257</v>
      </c>
      <c r="AS1627" t="s">
        <v>9926</v>
      </c>
      <c r="AT1627" t="s">
        <v>11642</v>
      </c>
      <c r="AV1627" t="s">
        <v>11655</v>
      </c>
      <c r="AW1627" t="s">
        <v>11666</v>
      </c>
      <c r="AX1627" t="s">
        <v>10838</v>
      </c>
      <c r="BA1627" t="s">
        <v>11738</v>
      </c>
      <c r="BB1627">
        <v>0</v>
      </c>
      <c r="BC1627">
        <v>0</v>
      </c>
      <c r="BD1627">
        <v>0</v>
      </c>
      <c r="BE1627">
        <v>0</v>
      </c>
      <c r="BF1627">
        <v>5</v>
      </c>
      <c r="BG1627">
        <v>0</v>
      </c>
    </row>
    <row r="1628" spans="1:59">
      <c r="A1628" s="1">
        <f>HYPERLINK("https://lsnyc.legalserver.org/matter/dynamic-profile/view/1905496","19-1905496")</f>
        <v>0</v>
      </c>
      <c r="B1628" t="s">
        <v>1455</v>
      </c>
      <c r="C1628" t="s">
        <v>6278</v>
      </c>
      <c r="D1628" t="s">
        <v>9926</v>
      </c>
      <c r="E1628" t="s">
        <v>10075</v>
      </c>
      <c r="F1628">
        <v>10452</v>
      </c>
      <c r="G1628" t="s">
        <v>10090</v>
      </c>
      <c r="H1628" t="s">
        <v>10106</v>
      </c>
      <c r="I1628" t="s">
        <v>10168</v>
      </c>
      <c r="J1628" t="s">
        <v>10210</v>
      </c>
      <c r="K1628" t="s">
        <v>10217</v>
      </c>
      <c r="M1628" t="s">
        <v>10346</v>
      </c>
      <c r="N1628" t="s">
        <v>10671</v>
      </c>
      <c r="P1628" t="s">
        <v>10751</v>
      </c>
      <c r="Q1628" t="s">
        <v>10761</v>
      </c>
      <c r="R1628" t="s">
        <v>10823</v>
      </c>
      <c r="T1628">
        <v>10500</v>
      </c>
      <c r="U1628">
        <v>875</v>
      </c>
      <c r="V1628">
        <v>26</v>
      </c>
      <c r="W1628">
        <v>2</v>
      </c>
      <c r="X1628">
        <v>2</v>
      </c>
      <c r="Z1628">
        <v>40.78</v>
      </c>
      <c r="AA1628">
        <v>40.834646</v>
      </c>
      <c r="AB1628">
        <v>-73.92507500000001</v>
      </c>
      <c r="AD1628" t="s">
        <v>10839</v>
      </c>
      <c r="AG1628" t="s">
        <v>10858</v>
      </c>
      <c r="AH1628" t="s">
        <v>10874</v>
      </c>
      <c r="AI1628">
        <v>230</v>
      </c>
      <c r="AJ1628" t="s">
        <v>10210</v>
      </c>
      <c r="AL1628">
        <v>4.5</v>
      </c>
      <c r="AM1628" t="s">
        <v>10884</v>
      </c>
      <c r="AN1628" t="s">
        <v>10929</v>
      </c>
      <c r="AO1628" t="s">
        <v>11013</v>
      </c>
      <c r="AP1628" t="s">
        <v>11066</v>
      </c>
      <c r="AR1628" t="s">
        <v>11429</v>
      </c>
      <c r="AS1628" t="s">
        <v>9926</v>
      </c>
      <c r="BA1628" t="s">
        <v>11737</v>
      </c>
      <c r="BB1628">
        <v>0</v>
      </c>
      <c r="BC1628">
        <v>0</v>
      </c>
      <c r="BD1628">
        <v>0</v>
      </c>
      <c r="BE1628">
        <v>0</v>
      </c>
      <c r="BF1628">
        <v>3</v>
      </c>
      <c r="BG1628">
        <v>0</v>
      </c>
    </row>
    <row r="1629" spans="1:59">
      <c r="A1629" s="1">
        <f>HYPERLINK("https://lsnyc.legalserver.org/matter/dynamic-profile/view/1905497","19-1905497")</f>
        <v>0</v>
      </c>
      <c r="B1629" t="s">
        <v>832</v>
      </c>
      <c r="C1629" t="s">
        <v>6277</v>
      </c>
      <c r="D1629" t="s">
        <v>9926</v>
      </c>
      <c r="E1629" t="s">
        <v>10075</v>
      </c>
      <c r="F1629">
        <v>10457</v>
      </c>
      <c r="G1629" t="s">
        <v>10090</v>
      </c>
      <c r="H1629" t="s">
        <v>10106</v>
      </c>
      <c r="I1629" t="s">
        <v>10168</v>
      </c>
      <c r="J1629" t="s">
        <v>10210</v>
      </c>
      <c r="K1629" t="s">
        <v>10217</v>
      </c>
      <c r="M1629" t="s">
        <v>10303</v>
      </c>
      <c r="N1629" t="s">
        <v>10688</v>
      </c>
      <c r="P1629" t="s">
        <v>10751</v>
      </c>
      <c r="Q1629" t="s">
        <v>10761</v>
      </c>
      <c r="R1629" t="s">
        <v>10824</v>
      </c>
      <c r="T1629">
        <v>20000</v>
      </c>
      <c r="U1629">
        <v>1666.67</v>
      </c>
      <c r="V1629">
        <v>55</v>
      </c>
      <c r="W1629">
        <v>2</v>
      </c>
      <c r="X1629">
        <v>0</v>
      </c>
      <c r="Z1629">
        <v>118.27</v>
      </c>
      <c r="AA1629">
        <v>40.840195</v>
      </c>
      <c r="AB1629">
        <v>-73.912513</v>
      </c>
      <c r="AD1629" t="s">
        <v>10840</v>
      </c>
      <c r="AG1629" t="s">
        <v>10858</v>
      </c>
      <c r="AH1629" t="s">
        <v>10862</v>
      </c>
      <c r="AI1629">
        <v>230</v>
      </c>
      <c r="AJ1629" t="s">
        <v>10210</v>
      </c>
      <c r="AL1629">
        <v>0</v>
      </c>
      <c r="AR1629" t="s">
        <v>11257</v>
      </c>
      <c r="AS1629" t="s">
        <v>9926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</row>
    <row r="1630" spans="1:59">
      <c r="A1630" s="1">
        <f>HYPERLINK("https://lsnyc.legalserver.org/matter/dynamic-profile/view/1905498","19-1905498")</f>
        <v>0</v>
      </c>
      <c r="B1630" t="s">
        <v>1454</v>
      </c>
      <c r="C1630" t="s">
        <v>6276</v>
      </c>
      <c r="D1630" t="s">
        <v>9926</v>
      </c>
      <c r="E1630" t="s">
        <v>10075</v>
      </c>
      <c r="F1630">
        <v>10467</v>
      </c>
      <c r="G1630" t="s">
        <v>10090</v>
      </c>
      <c r="H1630" t="s">
        <v>10106</v>
      </c>
      <c r="I1630" t="s">
        <v>10168</v>
      </c>
      <c r="J1630" t="s">
        <v>10210</v>
      </c>
      <c r="K1630" t="s">
        <v>10217</v>
      </c>
      <c r="M1630" t="s">
        <v>10406</v>
      </c>
      <c r="N1630" t="s">
        <v>10705</v>
      </c>
      <c r="P1630" t="s">
        <v>10753</v>
      </c>
      <c r="Q1630" t="s">
        <v>10790</v>
      </c>
      <c r="R1630" t="s">
        <v>10821</v>
      </c>
      <c r="T1630">
        <v>8240</v>
      </c>
      <c r="U1630">
        <v>686.67</v>
      </c>
      <c r="V1630">
        <v>29</v>
      </c>
      <c r="W1630">
        <v>1</v>
      </c>
      <c r="X1630">
        <v>0</v>
      </c>
      <c r="Z1630">
        <v>65.97</v>
      </c>
      <c r="AA1630">
        <v>40.860714</v>
      </c>
      <c r="AB1630">
        <v>-73.86795600000001</v>
      </c>
      <c r="AD1630" t="s">
        <v>10839</v>
      </c>
      <c r="AG1630" t="s">
        <v>10858</v>
      </c>
      <c r="AH1630" t="s">
        <v>10874</v>
      </c>
      <c r="AI1630">
        <v>230</v>
      </c>
      <c r="AJ1630" t="s">
        <v>10210</v>
      </c>
      <c r="AL1630">
        <v>1.5</v>
      </c>
      <c r="AR1630" t="s">
        <v>11262</v>
      </c>
      <c r="AS1630" t="s">
        <v>9926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</row>
    <row r="1631" spans="1:59">
      <c r="A1631" s="1">
        <f>HYPERLINK("https://lsnyc.legalserver.org/matter/dynamic-profile/view/1905499","19-1905499")</f>
        <v>0</v>
      </c>
      <c r="B1631" t="s">
        <v>1456</v>
      </c>
      <c r="C1631" t="s">
        <v>6279</v>
      </c>
      <c r="D1631" t="s">
        <v>9928</v>
      </c>
      <c r="E1631" t="s">
        <v>10075</v>
      </c>
      <c r="F1631">
        <v>11205</v>
      </c>
      <c r="G1631" t="s">
        <v>10093</v>
      </c>
      <c r="H1631" t="s">
        <v>10106</v>
      </c>
      <c r="I1631" t="s">
        <v>10168</v>
      </c>
      <c r="J1631" t="s">
        <v>10213</v>
      </c>
      <c r="K1631" t="s">
        <v>10218</v>
      </c>
      <c r="L1631" t="s">
        <v>10146</v>
      </c>
      <c r="M1631" t="s">
        <v>10317</v>
      </c>
      <c r="N1631" t="s">
        <v>10671</v>
      </c>
      <c r="P1631" t="s">
        <v>10751</v>
      </c>
      <c r="Q1631" t="s">
        <v>10786</v>
      </c>
      <c r="R1631" t="s">
        <v>10820</v>
      </c>
      <c r="T1631">
        <v>37400.16</v>
      </c>
      <c r="U1631">
        <v>3116.68</v>
      </c>
      <c r="V1631">
        <v>38</v>
      </c>
      <c r="W1631">
        <v>3</v>
      </c>
      <c r="X1631">
        <v>2</v>
      </c>
      <c r="Y1631" t="s">
        <v>10829</v>
      </c>
      <c r="Z1631">
        <v>123.96</v>
      </c>
      <c r="AA1631">
        <v>40.693982</v>
      </c>
      <c r="AB1631">
        <v>-73.974119</v>
      </c>
      <c r="AD1631" t="s">
        <v>10839</v>
      </c>
      <c r="AG1631" t="s">
        <v>10858</v>
      </c>
      <c r="AH1631" t="s">
        <v>10861</v>
      </c>
      <c r="AI1631">
        <v>234</v>
      </c>
      <c r="AJ1631" t="s">
        <v>10214</v>
      </c>
      <c r="AK1631" t="s">
        <v>10838</v>
      </c>
      <c r="AL1631">
        <v>1.9</v>
      </c>
      <c r="AM1631" t="s">
        <v>10889</v>
      </c>
      <c r="AN1631" t="s">
        <v>10923</v>
      </c>
      <c r="AO1631" t="s">
        <v>11007</v>
      </c>
      <c r="AP1631" t="s">
        <v>11061</v>
      </c>
      <c r="AR1631" t="s">
        <v>11257</v>
      </c>
      <c r="AS1631" t="s">
        <v>11595</v>
      </c>
      <c r="AT1631" t="s">
        <v>11641</v>
      </c>
      <c r="AX1631" t="s">
        <v>10838</v>
      </c>
      <c r="AY1631" t="s">
        <v>10829</v>
      </c>
      <c r="AZ1631" t="s">
        <v>11682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</row>
    <row r="1632" spans="1:59">
      <c r="A1632" s="1">
        <f>HYPERLINK("https://lsnyc.legalserver.org/matter/dynamic-profile/view/1905500","19-1905500")</f>
        <v>0</v>
      </c>
      <c r="B1632" t="s">
        <v>1457</v>
      </c>
      <c r="C1632" t="s">
        <v>6280</v>
      </c>
      <c r="D1632" t="s">
        <v>9926</v>
      </c>
      <c r="E1632" t="s">
        <v>10075</v>
      </c>
      <c r="F1632">
        <v>10466</v>
      </c>
      <c r="G1632" t="s">
        <v>10090</v>
      </c>
      <c r="H1632" t="s">
        <v>10106</v>
      </c>
      <c r="I1632" t="s">
        <v>10168</v>
      </c>
      <c r="J1632" t="s">
        <v>10210</v>
      </c>
      <c r="K1632" t="s">
        <v>10218</v>
      </c>
      <c r="L1632" t="s">
        <v>10154</v>
      </c>
      <c r="M1632" t="s">
        <v>10262</v>
      </c>
      <c r="N1632" t="s">
        <v>10666</v>
      </c>
      <c r="P1632" t="s">
        <v>10749</v>
      </c>
      <c r="Q1632" t="s">
        <v>10765</v>
      </c>
      <c r="R1632" t="s">
        <v>10824</v>
      </c>
      <c r="T1632">
        <v>34560</v>
      </c>
      <c r="U1632">
        <v>2880</v>
      </c>
      <c r="V1632">
        <v>72</v>
      </c>
      <c r="W1632">
        <v>3</v>
      </c>
      <c r="X1632">
        <v>1</v>
      </c>
      <c r="Y1632" t="s">
        <v>10829</v>
      </c>
      <c r="Z1632">
        <v>134.21</v>
      </c>
      <c r="AA1632">
        <v>40.890599</v>
      </c>
      <c r="AB1632">
        <v>-73.860873</v>
      </c>
      <c r="AD1632" t="s">
        <v>10840</v>
      </c>
      <c r="AG1632" t="s">
        <v>10858</v>
      </c>
      <c r="AH1632" t="s">
        <v>10861</v>
      </c>
      <c r="AI1632">
        <v>230</v>
      </c>
      <c r="AJ1632" t="s">
        <v>10210</v>
      </c>
      <c r="AK1632" t="s">
        <v>10882</v>
      </c>
      <c r="AL1632">
        <v>0.5</v>
      </c>
      <c r="AM1632" t="s">
        <v>10893</v>
      </c>
      <c r="AN1632" t="s">
        <v>10956</v>
      </c>
      <c r="AO1632" t="s">
        <v>11010</v>
      </c>
      <c r="AP1632" t="s">
        <v>11085</v>
      </c>
      <c r="AR1632" t="s">
        <v>11358</v>
      </c>
      <c r="AS1632" t="s">
        <v>9926</v>
      </c>
      <c r="AT1632" t="s">
        <v>11642</v>
      </c>
      <c r="AX1632" t="s">
        <v>10838</v>
      </c>
      <c r="AY1632" t="s">
        <v>10829</v>
      </c>
      <c r="AZ1632" t="s">
        <v>11681</v>
      </c>
      <c r="BA1632" t="s">
        <v>11741</v>
      </c>
      <c r="BB1632">
        <v>0</v>
      </c>
      <c r="BC1632">
        <v>0</v>
      </c>
      <c r="BD1632">
        <v>0</v>
      </c>
      <c r="BE1632">
        <v>0</v>
      </c>
      <c r="BF1632">
        <v>1</v>
      </c>
      <c r="BG1632">
        <v>0</v>
      </c>
    </row>
    <row r="1633" spans="1:59">
      <c r="A1633" s="1">
        <f>HYPERLINK("https://lsnyc.legalserver.org/matter/dynamic-profile/view/1905501","19-1905501")</f>
        <v>0</v>
      </c>
      <c r="B1633" t="s">
        <v>1458</v>
      </c>
      <c r="C1633" t="s">
        <v>6281</v>
      </c>
      <c r="D1633" t="s">
        <v>9926</v>
      </c>
      <c r="E1633" t="s">
        <v>10075</v>
      </c>
      <c r="F1633">
        <v>10460</v>
      </c>
      <c r="G1633" t="s">
        <v>10090</v>
      </c>
      <c r="H1633" t="s">
        <v>10106</v>
      </c>
      <c r="I1633" t="s">
        <v>10168</v>
      </c>
      <c r="J1633" t="s">
        <v>10210</v>
      </c>
      <c r="K1633" t="s">
        <v>10218</v>
      </c>
      <c r="L1633" t="s">
        <v>10136</v>
      </c>
      <c r="M1633" t="s">
        <v>10546</v>
      </c>
      <c r="N1633" t="s">
        <v>10666</v>
      </c>
      <c r="P1633" t="s">
        <v>10749</v>
      </c>
      <c r="Q1633" t="s">
        <v>10765</v>
      </c>
      <c r="R1633" t="s">
        <v>10824</v>
      </c>
      <c r="T1633">
        <v>3720</v>
      </c>
      <c r="U1633">
        <v>310</v>
      </c>
      <c r="V1633">
        <v>26</v>
      </c>
      <c r="W1633">
        <v>1</v>
      </c>
      <c r="X1633">
        <v>2</v>
      </c>
      <c r="Y1633" t="s">
        <v>10829</v>
      </c>
      <c r="Z1633">
        <v>17.44</v>
      </c>
      <c r="AA1633">
        <v>40.842924</v>
      </c>
      <c r="AB1633">
        <v>-73.87930900000001</v>
      </c>
      <c r="AD1633" t="s">
        <v>10839</v>
      </c>
      <c r="AG1633" t="s">
        <v>10858</v>
      </c>
      <c r="AH1633" t="s">
        <v>10862</v>
      </c>
      <c r="AI1633">
        <v>230</v>
      </c>
      <c r="AJ1633" t="s">
        <v>10210</v>
      </c>
      <c r="AK1633" t="s">
        <v>10838</v>
      </c>
      <c r="AL1633">
        <v>0.9</v>
      </c>
      <c r="AM1633" t="s">
        <v>10884</v>
      </c>
      <c r="AN1633" t="s">
        <v>10908</v>
      </c>
      <c r="AO1633" t="s">
        <v>11001</v>
      </c>
      <c r="AP1633" t="s">
        <v>11056</v>
      </c>
      <c r="AR1633" t="s">
        <v>11255</v>
      </c>
      <c r="AS1633" t="s">
        <v>9926</v>
      </c>
      <c r="AY1633" t="s">
        <v>10829</v>
      </c>
      <c r="AZ1633" t="s">
        <v>11681</v>
      </c>
      <c r="BA1633" t="s">
        <v>11742</v>
      </c>
      <c r="BB1633">
        <v>0</v>
      </c>
      <c r="BC1633">
        <v>0</v>
      </c>
      <c r="BD1633">
        <v>0</v>
      </c>
      <c r="BE1633">
        <v>0</v>
      </c>
      <c r="BF1633">
        <v>7</v>
      </c>
      <c r="BG1633">
        <v>0</v>
      </c>
    </row>
    <row r="1634" spans="1:59">
      <c r="A1634" s="1">
        <f>HYPERLINK("https://lsnyc.legalserver.org/matter/dynamic-profile/view/1905502","19-1905502")</f>
        <v>0</v>
      </c>
      <c r="B1634" t="s">
        <v>1459</v>
      </c>
      <c r="C1634" t="s">
        <v>6282</v>
      </c>
      <c r="D1634" t="s">
        <v>9928</v>
      </c>
      <c r="E1634" t="s">
        <v>10075</v>
      </c>
      <c r="F1634">
        <v>11201</v>
      </c>
      <c r="G1634" t="s">
        <v>10093</v>
      </c>
      <c r="H1634" t="s">
        <v>10106</v>
      </c>
      <c r="I1634" t="s">
        <v>10168</v>
      </c>
      <c r="J1634" t="s">
        <v>10213</v>
      </c>
      <c r="K1634" t="s">
        <v>10217</v>
      </c>
      <c r="M1634" t="s">
        <v>10265</v>
      </c>
      <c r="N1634" t="s">
        <v>10644</v>
      </c>
      <c r="P1634" t="s">
        <v>10751</v>
      </c>
      <c r="Q1634" t="s">
        <v>10761</v>
      </c>
      <c r="R1634" t="s">
        <v>10824</v>
      </c>
      <c r="T1634">
        <v>16668</v>
      </c>
      <c r="U1634">
        <v>1389</v>
      </c>
      <c r="V1634">
        <v>82</v>
      </c>
      <c r="W1634">
        <v>1</v>
      </c>
      <c r="X1634">
        <v>0</v>
      </c>
      <c r="Z1634">
        <v>133.45</v>
      </c>
      <c r="AA1634">
        <v>40.69232</v>
      </c>
      <c r="AB1634">
        <v>-73.981123</v>
      </c>
      <c r="AD1634" t="s">
        <v>10822</v>
      </c>
      <c r="AG1634" t="s">
        <v>10858</v>
      </c>
      <c r="AH1634" t="s">
        <v>10862</v>
      </c>
      <c r="AI1634">
        <v>239</v>
      </c>
      <c r="AJ1634" t="s">
        <v>10213</v>
      </c>
      <c r="AL1634">
        <v>0.7</v>
      </c>
      <c r="AM1634" t="s">
        <v>10889</v>
      </c>
      <c r="AN1634" t="s">
        <v>10923</v>
      </c>
      <c r="AO1634" t="s">
        <v>11007</v>
      </c>
      <c r="AP1634" t="s">
        <v>11061</v>
      </c>
      <c r="AR1634" t="s">
        <v>11263</v>
      </c>
      <c r="AS1634" t="s">
        <v>11595</v>
      </c>
      <c r="BA1634" t="s">
        <v>11737</v>
      </c>
      <c r="BB1634">
        <v>0</v>
      </c>
      <c r="BC1634">
        <v>0</v>
      </c>
      <c r="BD1634">
        <v>0</v>
      </c>
      <c r="BE1634">
        <v>0</v>
      </c>
      <c r="BF1634">
        <v>3</v>
      </c>
      <c r="BG1634">
        <v>0</v>
      </c>
    </row>
    <row r="1635" spans="1:59">
      <c r="A1635" s="1">
        <f>HYPERLINK("https://lsnyc.legalserver.org/matter/dynamic-profile/view/1905503","19-1905503")</f>
        <v>0</v>
      </c>
      <c r="B1635" t="s">
        <v>1460</v>
      </c>
      <c r="C1635" t="s">
        <v>6283</v>
      </c>
      <c r="D1635" t="s">
        <v>9926</v>
      </c>
      <c r="E1635" t="s">
        <v>10075</v>
      </c>
      <c r="F1635">
        <v>10459</v>
      </c>
      <c r="G1635" t="s">
        <v>10090</v>
      </c>
      <c r="H1635" t="s">
        <v>10106</v>
      </c>
      <c r="I1635" t="s">
        <v>10168</v>
      </c>
      <c r="J1635" t="s">
        <v>10210</v>
      </c>
      <c r="K1635" t="s">
        <v>10217</v>
      </c>
      <c r="M1635" t="s">
        <v>10283</v>
      </c>
      <c r="N1635" t="s">
        <v>10671</v>
      </c>
      <c r="P1635" t="s">
        <v>10757</v>
      </c>
      <c r="Q1635" t="s">
        <v>10789</v>
      </c>
      <c r="R1635" t="s">
        <v>10824</v>
      </c>
      <c r="T1635">
        <v>11124</v>
      </c>
      <c r="U1635">
        <v>927</v>
      </c>
      <c r="V1635">
        <v>56</v>
      </c>
      <c r="W1635">
        <v>4</v>
      </c>
      <c r="X1635">
        <v>0</v>
      </c>
      <c r="Z1635">
        <v>43.2</v>
      </c>
      <c r="AA1635">
        <v>40.823662</v>
      </c>
      <c r="AB1635">
        <v>-73.89009799999999</v>
      </c>
      <c r="AD1635" t="s">
        <v>10840</v>
      </c>
      <c r="AG1635" t="s">
        <v>10858</v>
      </c>
      <c r="AH1635" t="s">
        <v>10861</v>
      </c>
      <c r="AI1635">
        <v>234</v>
      </c>
      <c r="AJ1635" t="s">
        <v>10214</v>
      </c>
      <c r="AL1635">
        <v>6.5</v>
      </c>
      <c r="AR1635" t="s">
        <v>11296</v>
      </c>
      <c r="AS1635" t="s">
        <v>9926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</row>
    <row r="1636" spans="1:59">
      <c r="A1636" s="1">
        <f>HYPERLINK("https://lsnyc.legalserver.org/matter/dynamic-profile/view/1905504","19-1905504")</f>
        <v>0</v>
      </c>
      <c r="B1636" t="s">
        <v>60</v>
      </c>
      <c r="C1636" t="s">
        <v>6142</v>
      </c>
      <c r="D1636" t="s">
        <v>9926</v>
      </c>
      <c r="E1636" t="s">
        <v>10075</v>
      </c>
      <c r="F1636">
        <v>10467</v>
      </c>
      <c r="G1636" t="s">
        <v>10090</v>
      </c>
      <c r="H1636" t="s">
        <v>10106</v>
      </c>
      <c r="I1636" t="s">
        <v>10168</v>
      </c>
      <c r="J1636" t="s">
        <v>10210</v>
      </c>
      <c r="K1636" t="s">
        <v>10218</v>
      </c>
      <c r="L1636" t="s">
        <v>10137</v>
      </c>
      <c r="M1636" t="s">
        <v>10346</v>
      </c>
      <c r="N1636" t="s">
        <v>10646</v>
      </c>
      <c r="P1636" t="s">
        <v>10751</v>
      </c>
      <c r="Q1636" t="s">
        <v>10776</v>
      </c>
      <c r="R1636" t="s">
        <v>10821</v>
      </c>
      <c r="T1636">
        <v>17041</v>
      </c>
      <c r="U1636">
        <v>1420.08</v>
      </c>
      <c r="V1636">
        <v>32</v>
      </c>
      <c r="W1636">
        <v>1</v>
      </c>
      <c r="X1636">
        <v>2</v>
      </c>
      <c r="Y1636" t="s">
        <v>10833</v>
      </c>
      <c r="Z1636">
        <v>79.89</v>
      </c>
      <c r="AA1636">
        <v>40.884727</v>
      </c>
      <c r="AB1636">
        <v>-73.878731</v>
      </c>
      <c r="AD1636" t="s">
        <v>10839</v>
      </c>
      <c r="AG1636" t="s">
        <v>10858</v>
      </c>
      <c r="AH1636" t="s">
        <v>10865</v>
      </c>
      <c r="AI1636">
        <v>230</v>
      </c>
      <c r="AJ1636" t="s">
        <v>10210</v>
      </c>
      <c r="AK1636" t="s">
        <v>10838</v>
      </c>
      <c r="AL1636">
        <v>4.75</v>
      </c>
      <c r="AM1636" t="s">
        <v>10887</v>
      </c>
      <c r="AN1636" t="s">
        <v>10919</v>
      </c>
      <c r="AO1636" t="s">
        <v>11010</v>
      </c>
      <c r="AP1636" t="s">
        <v>11057</v>
      </c>
      <c r="AQ1636" t="s">
        <v>11156</v>
      </c>
      <c r="AR1636" t="s">
        <v>11262</v>
      </c>
      <c r="AS1636" t="s">
        <v>9926</v>
      </c>
      <c r="AT1636" t="s">
        <v>11641</v>
      </c>
      <c r="AX1636" t="s">
        <v>10838</v>
      </c>
      <c r="AY1636" t="s">
        <v>10833</v>
      </c>
      <c r="AZ1636" t="s">
        <v>11688</v>
      </c>
      <c r="BB1636">
        <v>0</v>
      </c>
      <c r="BC1636">
        <v>0</v>
      </c>
      <c r="BD1636">
        <v>178.78</v>
      </c>
      <c r="BE1636">
        <v>0</v>
      </c>
      <c r="BF1636">
        <v>0</v>
      </c>
      <c r="BG1636">
        <v>0</v>
      </c>
    </row>
    <row r="1637" spans="1:59">
      <c r="A1637" s="1">
        <f>HYPERLINK("https://lsnyc.legalserver.org/matter/dynamic-profile/view/1905505","19-1905505")</f>
        <v>0</v>
      </c>
      <c r="B1637" t="s">
        <v>1461</v>
      </c>
      <c r="C1637" t="s">
        <v>6284</v>
      </c>
      <c r="D1637" t="s">
        <v>9925</v>
      </c>
      <c r="E1637" t="s">
        <v>10075</v>
      </c>
      <c r="F1637">
        <v>10029</v>
      </c>
      <c r="G1637" t="s">
        <v>10089</v>
      </c>
      <c r="H1637" t="s">
        <v>10106</v>
      </c>
      <c r="I1637" t="s">
        <v>10168</v>
      </c>
      <c r="J1637" t="s">
        <v>10209</v>
      </c>
      <c r="K1637" t="s">
        <v>10217</v>
      </c>
      <c r="M1637" t="s">
        <v>10503</v>
      </c>
      <c r="N1637" t="s">
        <v>10716</v>
      </c>
      <c r="P1637" t="s">
        <v>10754</v>
      </c>
      <c r="Q1637" t="s">
        <v>10766</v>
      </c>
      <c r="R1637" t="s">
        <v>10822</v>
      </c>
      <c r="T1637">
        <v>0</v>
      </c>
      <c r="U1637">
        <v>0</v>
      </c>
      <c r="V1637">
        <v>27</v>
      </c>
      <c r="W1637">
        <v>1</v>
      </c>
      <c r="X1637">
        <v>1</v>
      </c>
      <c r="Z1637">
        <v>0</v>
      </c>
      <c r="AA1637">
        <v>40.787471</v>
      </c>
      <c r="AB1637">
        <v>-73.95002100000001</v>
      </c>
      <c r="AD1637" t="s">
        <v>10839</v>
      </c>
      <c r="AG1637" t="s">
        <v>10858</v>
      </c>
      <c r="AH1637" t="s">
        <v>10861</v>
      </c>
      <c r="AI1637">
        <v>236</v>
      </c>
      <c r="AJ1637" t="s">
        <v>10209</v>
      </c>
      <c r="AK1637" t="s">
        <v>10837</v>
      </c>
      <c r="AL1637">
        <v>1.5</v>
      </c>
      <c r="AM1637" t="s">
        <v>10887</v>
      </c>
      <c r="AN1637" t="s">
        <v>10926</v>
      </c>
      <c r="AO1637" t="s">
        <v>11016</v>
      </c>
      <c r="AP1637" t="s">
        <v>11094</v>
      </c>
      <c r="AQ1637" t="s">
        <v>11175</v>
      </c>
      <c r="AR1637" t="s">
        <v>11279</v>
      </c>
      <c r="AS1637" t="s">
        <v>9925</v>
      </c>
      <c r="AT1637" t="s">
        <v>11641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</row>
    <row r="1638" spans="1:59">
      <c r="A1638" s="1">
        <f>HYPERLINK("https://lsnyc.legalserver.org/matter/dynamic-profile/view/1905506","19-1905506")</f>
        <v>0</v>
      </c>
      <c r="B1638" t="s">
        <v>1460</v>
      </c>
      <c r="C1638" t="s">
        <v>6283</v>
      </c>
      <c r="D1638" t="s">
        <v>9926</v>
      </c>
      <c r="E1638" t="s">
        <v>10075</v>
      </c>
      <c r="F1638">
        <v>10459</v>
      </c>
      <c r="G1638" t="s">
        <v>10090</v>
      </c>
      <c r="H1638" t="s">
        <v>10106</v>
      </c>
      <c r="I1638" t="s">
        <v>10168</v>
      </c>
      <c r="J1638" t="s">
        <v>10210</v>
      </c>
      <c r="K1638" t="s">
        <v>10218</v>
      </c>
      <c r="L1638" t="s">
        <v>10127</v>
      </c>
      <c r="M1638" t="s">
        <v>10283</v>
      </c>
      <c r="N1638" t="s">
        <v>10676</v>
      </c>
      <c r="P1638" t="s">
        <v>10751</v>
      </c>
      <c r="Q1638" t="s">
        <v>10786</v>
      </c>
      <c r="R1638" t="s">
        <v>10824</v>
      </c>
      <c r="T1638">
        <v>11124</v>
      </c>
      <c r="U1638">
        <v>927</v>
      </c>
      <c r="V1638">
        <v>56</v>
      </c>
      <c r="W1638">
        <v>4</v>
      </c>
      <c r="X1638">
        <v>0</v>
      </c>
      <c r="Y1638" t="s">
        <v>10829</v>
      </c>
      <c r="Z1638">
        <v>43.2</v>
      </c>
      <c r="AA1638">
        <v>40.823662</v>
      </c>
      <c r="AB1638">
        <v>-73.89009799999999</v>
      </c>
      <c r="AD1638" t="s">
        <v>10840</v>
      </c>
      <c r="AG1638" t="s">
        <v>10858</v>
      </c>
      <c r="AH1638" t="s">
        <v>10861</v>
      </c>
      <c r="AI1638">
        <v>234</v>
      </c>
      <c r="AJ1638" t="s">
        <v>10214</v>
      </c>
      <c r="AK1638" t="s">
        <v>10838</v>
      </c>
      <c r="AL1638">
        <v>1.65</v>
      </c>
      <c r="AR1638" t="s">
        <v>11296</v>
      </c>
      <c r="AS1638" t="s">
        <v>9926</v>
      </c>
      <c r="AY1638" t="s">
        <v>10829</v>
      </c>
      <c r="AZ1638" t="s">
        <v>11688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</row>
    <row r="1639" spans="1:59">
      <c r="A1639" s="1">
        <f>HYPERLINK("https://lsnyc.legalserver.org/matter/dynamic-profile/view/1905507","19-1905507")</f>
        <v>0</v>
      </c>
      <c r="B1639" t="s">
        <v>1462</v>
      </c>
      <c r="C1639" t="s">
        <v>6285</v>
      </c>
      <c r="D1639" t="s">
        <v>9929</v>
      </c>
      <c r="E1639" t="s">
        <v>10075</v>
      </c>
      <c r="F1639">
        <v>10304</v>
      </c>
      <c r="G1639" t="s">
        <v>10088</v>
      </c>
      <c r="H1639" t="s">
        <v>10109</v>
      </c>
      <c r="I1639" t="s">
        <v>10168</v>
      </c>
      <c r="J1639" t="s">
        <v>10208</v>
      </c>
      <c r="K1639" t="s">
        <v>10217</v>
      </c>
      <c r="M1639" t="s">
        <v>10254</v>
      </c>
      <c r="N1639" t="s">
        <v>10650</v>
      </c>
      <c r="P1639" t="s">
        <v>10749</v>
      </c>
      <c r="Q1639" t="s">
        <v>10765</v>
      </c>
      <c r="R1639" t="s">
        <v>10824</v>
      </c>
      <c r="T1639">
        <v>15600</v>
      </c>
      <c r="U1639">
        <v>1300</v>
      </c>
      <c r="V1639">
        <v>44</v>
      </c>
      <c r="W1639">
        <v>1</v>
      </c>
      <c r="X1639">
        <v>1</v>
      </c>
      <c r="Z1639">
        <v>92.25</v>
      </c>
      <c r="AA1639">
        <v>40.616672</v>
      </c>
      <c r="AB1639">
        <v>-74.082196</v>
      </c>
      <c r="AD1639" t="s">
        <v>10840</v>
      </c>
      <c r="AF1639" t="s">
        <v>10843</v>
      </c>
      <c r="AG1639" t="s">
        <v>10859</v>
      </c>
      <c r="AH1639" t="s">
        <v>10862</v>
      </c>
      <c r="AI1639">
        <v>285</v>
      </c>
      <c r="AJ1639" t="s">
        <v>10208</v>
      </c>
      <c r="AL1639">
        <v>6.05</v>
      </c>
      <c r="AM1639" t="s">
        <v>10883</v>
      </c>
      <c r="AN1639" t="s">
        <v>10913</v>
      </c>
      <c r="AO1639" t="s">
        <v>11006</v>
      </c>
      <c r="AP1639" t="s">
        <v>11051</v>
      </c>
      <c r="AR1639" t="s">
        <v>11257</v>
      </c>
      <c r="AS1639" t="s">
        <v>11593</v>
      </c>
      <c r="BA1639" t="s">
        <v>11738</v>
      </c>
      <c r="BB1639">
        <v>0</v>
      </c>
      <c r="BC1639">
        <v>0</v>
      </c>
      <c r="BD1639">
        <v>0</v>
      </c>
      <c r="BE1639">
        <v>0</v>
      </c>
      <c r="BF1639">
        <v>5</v>
      </c>
      <c r="BG1639">
        <v>0</v>
      </c>
    </row>
    <row r="1640" spans="1:59">
      <c r="A1640" s="1">
        <f>HYPERLINK("https://lsnyc.legalserver.org/matter/dynamic-profile/view/1905508","19-1905508")</f>
        <v>0</v>
      </c>
      <c r="B1640" t="s">
        <v>1460</v>
      </c>
      <c r="C1640" t="s">
        <v>6283</v>
      </c>
      <c r="D1640" t="s">
        <v>9926</v>
      </c>
      <c r="E1640" t="s">
        <v>10075</v>
      </c>
      <c r="F1640">
        <v>10459</v>
      </c>
      <c r="G1640" t="s">
        <v>10090</v>
      </c>
      <c r="H1640" t="s">
        <v>10106</v>
      </c>
      <c r="I1640" t="s">
        <v>10168</v>
      </c>
      <c r="J1640" t="s">
        <v>10210</v>
      </c>
      <c r="K1640" t="s">
        <v>10218</v>
      </c>
      <c r="L1640" t="s">
        <v>10108</v>
      </c>
      <c r="M1640" t="s">
        <v>10283</v>
      </c>
      <c r="N1640" t="s">
        <v>10671</v>
      </c>
      <c r="P1640" t="s">
        <v>10751</v>
      </c>
      <c r="Q1640" t="s">
        <v>10796</v>
      </c>
      <c r="R1640" t="s">
        <v>10824</v>
      </c>
      <c r="T1640">
        <v>11124</v>
      </c>
      <c r="U1640">
        <v>927</v>
      </c>
      <c r="V1640">
        <v>56</v>
      </c>
      <c r="W1640">
        <v>4</v>
      </c>
      <c r="X1640">
        <v>0</v>
      </c>
      <c r="Y1640" t="s">
        <v>10833</v>
      </c>
      <c r="Z1640">
        <v>43.2</v>
      </c>
      <c r="AA1640">
        <v>40.823662</v>
      </c>
      <c r="AB1640">
        <v>-73.89009799999999</v>
      </c>
      <c r="AD1640" t="s">
        <v>10840</v>
      </c>
      <c r="AG1640" t="s">
        <v>10858</v>
      </c>
      <c r="AH1640" t="s">
        <v>10861</v>
      </c>
      <c r="AI1640">
        <v>234</v>
      </c>
      <c r="AJ1640" t="s">
        <v>10214</v>
      </c>
      <c r="AK1640" t="s">
        <v>10838</v>
      </c>
      <c r="AL1640">
        <v>2</v>
      </c>
      <c r="AR1640" t="s">
        <v>11296</v>
      </c>
      <c r="AS1640" t="s">
        <v>9926</v>
      </c>
      <c r="AY1640" t="s">
        <v>10833</v>
      </c>
      <c r="AZ1640" t="s">
        <v>11688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</row>
    <row r="1641" spans="1:59">
      <c r="A1641" s="1">
        <f>HYPERLINK("https://lsnyc.legalserver.org/matter/dynamic-profile/view/1905509","19-1905509")</f>
        <v>0</v>
      </c>
      <c r="B1641" t="s">
        <v>1463</v>
      </c>
      <c r="C1641" t="s">
        <v>6286</v>
      </c>
      <c r="D1641" t="s">
        <v>9926</v>
      </c>
      <c r="E1641" t="s">
        <v>10075</v>
      </c>
      <c r="F1641">
        <v>10467</v>
      </c>
      <c r="G1641" t="s">
        <v>10090</v>
      </c>
      <c r="H1641" t="s">
        <v>10106</v>
      </c>
      <c r="I1641" t="s">
        <v>10168</v>
      </c>
      <c r="J1641" t="s">
        <v>10210</v>
      </c>
      <c r="K1641" t="s">
        <v>10217</v>
      </c>
      <c r="M1641" t="s">
        <v>10469</v>
      </c>
      <c r="N1641" t="s">
        <v>10671</v>
      </c>
      <c r="P1641" t="s">
        <v>10751</v>
      </c>
      <c r="Q1641" t="s">
        <v>10761</v>
      </c>
      <c r="R1641" t="s">
        <v>10821</v>
      </c>
      <c r="T1641">
        <v>11700</v>
      </c>
      <c r="U1641">
        <v>975</v>
      </c>
      <c r="V1641">
        <v>36</v>
      </c>
      <c r="W1641">
        <v>2</v>
      </c>
      <c r="X1641">
        <v>2</v>
      </c>
      <c r="Z1641">
        <v>45.44</v>
      </c>
      <c r="AA1641">
        <v>40.883987</v>
      </c>
      <c r="AB1641">
        <v>-73.86593499999999</v>
      </c>
      <c r="AD1641" t="s">
        <v>10840</v>
      </c>
      <c r="AG1641" t="s">
        <v>10858</v>
      </c>
      <c r="AH1641" t="s">
        <v>10874</v>
      </c>
      <c r="AI1641">
        <v>230</v>
      </c>
      <c r="AJ1641" t="s">
        <v>10210</v>
      </c>
      <c r="AL1641">
        <v>2.25</v>
      </c>
      <c r="AM1641" t="s">
        <v>10893</v>
      </c>
      <c r="AN1641" t="s">
        <v>10956</v>
      </c>
      <c r="AO1641" t="s">
        <v>11010</v>
      </c>
      <c r="AP1641" t="s">
        <v>11085</v>
      </c>
      <c r="AR1641" t="s">
        <v>11293</v>
      </c>
      <c r="AS1641" t="s">
        <v>9926</v>
      </c>
      <c r="BA1641" t="s">
        <v>11737</v>
      </c>
      <c r="BB1641">
        <v>0</v>
      </c>
      <c r="BC1641">
        <v>0</v>
      </c>
      <c r="BD1641">
        <v>0</v>
      </c>
      <c r="BE1641">
        <v>0</v>
      </c>
      <c r="BF1641">
        <v>3</v>
      </c>
      <c r="BG1641">
        <v>0</v>
      </c>
    </row>
    <row r="1642" spans="1:59">
      <c r="A1642" s="1">
        <f>HYPERLINK("https://lsnyc.legalserver.org/matter/dynamic-profile/view/1905510","19-1905510")</f>
        <v>0</v>
      </c>
      <c r="B1642" t="s">
        <v>1461</v>
      </c>
      <c r="C1642" t="s">
        <v>6284</v>
      </c>
      <c r="D1642" t="s">
        <v>9925</v>
      </c>
      <c r="E1642" t="s">
        <v>10075</v>
      </c>
      <c r="F1642">
        <v>10029</v>
      </c>
      <c r="G1642" t="s">
        <v>10089</v>
      </c>
      <c r="H1642" t="s">
        <v>10106</v>
      </c>
      <c r="I1642" t="s">
        <v>10168</v>
      </c>
      <c r="J1642" t="s">
        <v>10209</v>
      </c>
      <c r="K1642" t="s">
        <v>10217</v>
      </c>
      <c r="M1642" t="s">
        <v>10503</v>
      </c>
      <c r="N1642" t="s">
        <v>10716</v>
      </c>
      <c r="P1642" t="s">
        <v>10754</v>
      </c>
      <c r="Q1642" t="s">
        <v>10777</v>
      </c>
      <c r="R1642" t="s">
        <v>10822</v>
      </c>
      <c r="T1642">
        <v>0</v>
      </c>
      <c r="U1642">
        <v>0</v>
      </c>
      <c r="V1642">
        <v>27</v>
      </c>
      <c r="W1642">
        <v>1</v>
      </c>
      <c r="X1642">
        <v>1</v>
      </c>
      <c r="Z1642">
        <v>0</v>
      </c>
      <c r="AA1642">
        <v>40.787471</v>
      </c>
      <c r="AB1642">
        <v>-73.95002100000001</v>
      </c>
      <c r="AD1642" t="s">
        <v>10839</v>
      </c>
      <c r="AG1642" t="s">
        <v>10858</v>
      </c>
      <c r="AH1642" t="s">
        <v>10861</v>
      </c>
      <c r="AI1642">
        <v>236</v>
      </c>
      <c r="AJ1642" t="s">
        <v>10209</v>
      </c>
      <c r="AK1642" t="s">
        <v>10837</v>
      </c>
      <c r="AL1642">
        <v>2.75</v>
      </c>
      <c r="AM1642" t="s">
        <v>10887</v>
      </c>
      <c r="AN1642" t="s">
        <v>10926</v>
      </c>
      <c r="AO1642" t="s">
        <v>11016</v>
      </c>
      <c r="AP1642" t="s">
        <v>11094</v>
      </c>
      <c r="AQ1642" t="s">
        <v>11128</v>
      </c>
      <c r="AR1642" t="s">
        <v>11279</v>
      </c>
      <c r="AS1642" t="s">
        <v>9925</v>
      </c>
      <c r="AT1642" t="s">
        <v>11641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</row>
    <row r="1643" spans="1:59">
      <c r="A1643" s="1">
        <f>HYPERLINK("https://lsnyc.legalserver.org/matter/dynamic-profile/view/1905511","19-1905511")</f>
        <v>0</v>
      </c>
      <c r="B1643" t="s">
        <v>1330</v>
      </c>
      <c r="C1643" t="s">
        <v>6153</v>
      </c>
      <c r="D1643" t="s">
        <v>9926</v>
      </c>
      <c r="E1643" t="s">
        <v>10075</v>
      </c>
      <c r="F1643">
        <v>10462</v>
      </c>
      <c r="G1643" t="s">
        <v>10090</v>
      </c>
      <c r="H1643" t="s">
        <v>10106</v>
      </c>
      <c r="I1643" t="s">
        <v>10168</v>
      </c>
      <c r="J1643" t="s">
        <v>10210</v>
      </c>
      <c r="K1643" t="s">
        <v>10217</v>
      </c>
      <c r="M1643" t="s">
        <v>10346</v>
      </c>
      <c r="N1643" t="s">
        <v>10646</v>
      </c>
      <c r="P1643" t="s">
        <v>10751</v>
      </c>
      <c r="Q1643" t="s">
        <v>10761</v>
      </c>
      <c r="R1643" t="s">
        <v>10824</v>
      </c>
      <c r="T1643">
        <v>60000</v>
      </c>
      <c r="U1643">
        <v>5000</v>
      </c>
      <c r="V1643">
        <v>45</v>
      </c>
      <c r="W1643">
        <v>2</v>
      </c>
      <c r="X1643">
        <v>1</v>
      </c>
      <c r="Z1643">
        <v>281.29</v>
      </c>
      <c r="AA1643">
        <v>40.83334</v>
      </c>
      <c r="AB1643">
        <v>-73.85415399999999</v>
      </c>
      <c r="AD1643" t="s">
        <v>10839</v>
      </c>
      <c r="AG1643" t="s">
        <v>10858</v>
      </c>
      <c r="AH1643" t="s">
        <v>10862</v>
      </c>
      <c r="AI1643">
        <v>230</v>
      </c>
      <c r="AJ1643" t="s">
        <v>10210</v>
      </c>
      <c r="AL1643">
        <v>1</v>
      </c>
      <c r="AR1643" t="s">
        <v>11257</v>
      </c>
      <c r="AS1643" t="s">
        <v>9926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</row>
    <row r="1644" spans="1:59">
      <c r="A1644" s="1">
        <f>HYPERLINK("https://lsnyc.legalserver.org/matter/dynamic-profile/view/1905512","19-1905512")</f>
        <v>0</v>
      </c>
      <c r="B1644" t="s">
        <v>1464</v>
      </c>
      <c r="C1644" t="s">
        <v>6287</v>
      </c>
      <c r="D1644" t="s">
        <v>9926</v>
      </c>
      <c r="E1644" t="s">
        <v>10075</v>
      </c>
      <c r="F1644">
        <v>10454</v>
      </c>
      <c r="G1644" t="s">
        <v>10089</v>
      </c>
      <c r="H1644" t="s">
        <v>10130</v>
      </c>
      <c r="J1644" t="s">
        <v>10209</v>
      </c>
      <c r="K1644" t="s">
        <v>10217</v>
      </c>
      <c r="M1644" t="s">
        <v>10544</v>
      </c>
      <c r="N1644" t="s">
        <v>10707</v>
      </c>
      <c r="P1644" t="s">
        <v>10751</v>
      </c>
      <c r="Q1644" t="s">
        <v>10780</v>
      </c>
      <c r="R1644" t="s">
        <v>10821</v>
      </c>
      <c r="T1644">
        <v>9600</v>
      </c>
      <c r="U1644">
        <v>800</v>
      </c>
      <c r="V1644">
        <v>44</v>
      </c>
      <c r="W1644">
        <v>2</v>
      </c>
      <c r="X1644">
        <v>2</v>
      </c>
      <c r="Z1644">
        <v>37.28</v>
      </c>
      <c r="AA1644">
        <v>40.809256</v>
      </c>
      <c r="AB1644">
        <v>-73.92628999999999</v>
      </c>
      <c r="AD1644" t="s">
        <v>10839</v>
      </c>
      <c r="AG1644" t="s">
        <v>10858</v>
      </c>
      <c r="AH1644" t="s">
        <v>10868</v>
      </c>
      <c r="AI1644">
        <v>236</v>
      </c>
      <c r="AJ1644" t="s">
        <v>10209</v>
      </c>
      <c r="AL1644">
        <v>25.75</v>
      </c>
      <c r="AM1644" t="s">
        <v>10884</v>
      </c>
      <c r="AN1644" t="s">
        <v>10924</v>
      </c>
      <c r="AO1644" t="s">
        <v>11013</v>
      </c>
      <c r="AP1644" t="s">
        <v>11066</v>
      </c>
      <c r="AQ1644" t="s">
        <v>11191</v>
      </c>
      <c r="AR1644" t="s">
        <v>11298</v>
      </c>
      <c r="AS1644" t="s">
        <v>9926</v>
      </c>
      <c r="AT1644" t="s">
        <v>11641</v>
      </c>
      <c r="AX1644" t="s">
        <v>10838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</row>
    <row r="1645" spans="1:59">
      <c r="A1645" s="1">
        <f>HYPERLINK("https://lsnyc.legalserver.org/matter/dynamic-profile/view/1905513","19-1905513")</f>
        <v>0</v>
      </c>
      <c r="B1645" t="s">
        <v>1465</v>
      </c>
      <c r="C1645" t="s">
        <v>6288</v>
      </c>
      <c r="D1645" t="s">
        <v>9926</v>
      </c>
      <c r="E1645" t="s">
        <v>10075</v>
      </c>
      <c r="F1645">
        <v>10457</v>
      </c>
      <c r="G1645" t="s">
        <v>10090</v>
      </c>
      <c r="H1645" t="s">
        <v>10106</v>
      </c>
      <c r="J1645" t="s">
        <v>10210</v>
      </c>
      <c r="K1645" t="s">
        <v>10218</v>
      </c>
      <c r="L1645" t="s">
        <v>10102</v>
      </c>
      <c r="M1645" t="s">
        <v>10262</v>
      </c>
      <c r="N1645" t="s">
        <v>10651</v>
      </c>
      <c r="P1645" t="s">
        <v>10749</v>
      </c>
      <c r="Q1645" t="s">
        <v>10765</v>
      </c>
      <c r="R1645" t="s">
        <v>10824</v>
      </c>
      <c r="T1645">
        <v>38000</v>
      </c>
      <c r="U1645">
        <v>3166.67</v>
      </c>
      <c r="V1645">
        <v>47</v>
      </c>
      <c r="W1645">
        <v>1</v>
      </c>
      <c r="X1645">
        <v>0</v>
      </c>
      <c r="Y1645" t="s">
        <v>10829</v>
      </c>
      <c r="Z1645">
        <v>304.24</v>
      </c>
      <c r="AA1645">
        <v>40.842014</v>
      </c>
      <c r="AB1645">
        <v>-73.893348</v>
      </c>
      <c r="AD1645" t="s">
        <v>10840</v>
      </c>
      <c r="AG1645" t="s">
        <v>10858</v>
      </c>
      <c r="AH1645" t="s">
        <v>10861</v>
      </c>
      <c r="AI1645">
        <v>230</v>
      </c>
      <c r="AJ1645" t="s">
        <v>10210</v>
      </c>
      <c r="AK1645" t="s">
        <v>10882</v>
      </c>
      <c r="AL1645">
        <v>0.3</v>
      </c>
      <c r="AM1645" t="s">
        <v>10884</v>
      </c>
      <c r="AN1645" t="s">
        <v>10918</v>
      </c>
      <c r="AO1645" t="s">
        <v>11000</v>
      </c>
      <c r="AP1645" t="s">
        <v>11062</v>
      </c>
      <c r="AR1645" t="s">
        <v>11257</v>
      </c>
      <c r="AS1645" t="s">
        <v>9926</v>
      </c>
      <c r="AX1645" t="s">
        <v>10838</v>
      </c>
      <c r="AY1645" t="s">
        <v>10829</v>
      </c>
      <c r="AZ1645" t="s">
        <v>11681</v>
      </c>
      <c r="BA1645" t="s">
        <v>11741</v>
      </c>
      <c r="BB1645">
        <v>0</v>
      </c>
      <c r="BC1645">
        <v>0</v>
      </c>
      <c r="BD1645">
        <v>0</v>
      </c>
      <c r="BE1645">
        <v>0</v>
      </c>
      <c r="BF1645">
        <v>1</v>
      </c>
      <c r="BG1645">
        <v>0</v>
      </c>
    </row>
    <row r="1646" spans="1:59">
      <c r="A1646" s="1">
        <f>HYPERLINK("https://lsnyc.legalserver.org/matter/dynamic-profile/view/1905514","19-1905514")</f>
        <v>0</v>
      </c>
      <c r="B1646" t="s">
        <v>1466</v>
      </c>
      <c r="C1646" t="s">
        <v>6289</v>
      </c>
      <c r="D1646" t="s">
        <v>9962</v>
      </c>
      <c r="E1646" t="s">
        <v>10075</v>
      </c>
      <c r="F1646">
        <v>11423</v>
      </c>
      <c r="G1646" t="s">
        <v>10092</v>
      </c>
      <c r="H1646" t="s">
        <v>10106</v>
      </c>
      <c r="I1646" t="s">
        <v>10179</v>
      </c>
      <c r="J1646" t="s">
        <v>10212</v>
      </c>
      <c r="K1646" t="s">
        <v>10217</v>
      </c>
      <c r="M1646" t="s">
        <v>10342</v>
      </c>
      <c r="N1646" t="s">
        <v>10650</v>
      </c>
      <c r="P1646" t="s">
        <v>10749</v>
      </c>
      <c r="Q1646" t="s">
        <v>10765</v>
      </c>
      <c r="R1646" t="s">
        <v>10827</v>
      </c>
      <c r="T1646">
        <v>4800</v>
      </c>
      <c r="U1646">
        <v>400</v>
      </c>
      <c r="V1646">
        <v>34</v>
      </c>
      <c r="W1646">
        <v>1</v>
      </c>
      <c r="X1646">
        <v>1</v>
      </c>
      <c r="Z1646">
        <v>28.39</v>
      </c>
      <c r="AA1646">
        <v>40.711995</v>
      </c>
      <c r="AB1646">
        <v>-73.778547</v>
      </c>
      <c r="AD1646" t="s">
        <v>10839</v>
      </c>
      <c r="AF1646" t="s">
        <v>10842</v>
      </c>
      <c r="AG1646" t="s">
        <v>10859</v>
      </c>
      <c r="AH1646" t="s">
        <v>10862</v>
      </c>
      <c r="AI1646">
        <v>237</v>
      </c>
      <c r="AJ1646" t="s">
        <v>10212</v>
      </c>
      <c r="AL1646">
        <v>20.36</v>
      </c>
      <c r="AM1646" t="s">
        <v>10892</v>
      </c>
      <c r="AN1646" t="s">
        <v>10955</v>
      </c>
      <c r="AO1646" t="s">
        <v>11022</v>
      </c>
      <c r="AP1646" t="s">
        <v>11075</v>
      </c>
      <c r="AR1646" t="s">
        <v>11257</v>
      </c>
      <c r="AS1646" t="s">
        <v>11594</v>
      </c>
      <c r="BA1646" t="s">
        <v>11738</v>
      </c>
      <c r="BB1646">
        <v>0</v>
      </c>
      <c r="BC1646">
        <v>0</v>
      </c>
      <c r="BD1646">
        <v>0</v>
      </c>
      <c r="BE1646">
        <v>0</v>
      </c>
      <c r="BF1646">
        <v>5</v>
      </c>
      <c r="BG1646">
        <v>0</v>
      </c>
    </row>
    <row r="1647" spans="1:59">
      <c r="A1647" s="1">
        <f>HYPERLINK("https://lsnyc.legalserver.org/matter/dynamic-profile/view/1905515","19-1905515")</f>
        <v>0</v>
      </c>
      <c r="B1647" t="s">
        <v>1467</v>
      </c>
      <c r="C1647" t="s">
        <v>6290</v>
      </c>
      <c r="D1647" t="s">
        <v>9926</v>
      </c>
      <c r="E1647" t="s">
        <v>10075</v>
      </c>
      <c r="F1647">
        <v>10452</v>
      </c>
      <c r="G1647" t="s">
        <v>10090</v>
      </c>
      <c r="H1647" t="s">
        <v>10106</v>
      </c>
      <c r="I1647" t="s">
        <v>10168</v>
      </c>
      <c r="J1647" t="s">
        <v>10210</v>
      </c>
      <c r="K1647" t="s">
        <v>10217</v>
      </c>
      <c r="M1647" t="s">
        <v>10513</v>
      </c>
      <c r="N1647" t="s">
        <v>10650</v>
      </c>
      <c r="P1647" t="s">
        <v>10749</v>
      </c>
      <c r="Q1647" t="s">
        <v>10765</v>
      </c>
      <c r="R1647" t="s">
        <v>10824</v>
      </c>
      <c r="T1647">
        <v>12108</v>
      </c>
      <c r="U1647">
        <v>1009</v>
      </c>
      <c r="V1647">
        <v>53</v>
      </c>
      <c r="W1647">
        <v>1</v>
      </c>
      <c r="X1647">
        <v>1</v>
      </c>
      <c r="Z1647">
        <v>71.59999999999999</v>
      </c>
      <c r="AA1647">
        <v>40.837527</v>
      </c>
      <c r="AB1647">
        <v>-73.922985</v>
      </c>
      <c r="AD1647" t="s">
        <v>10840</v>
      </c>
      <c r="AG1647" t="s">
        <v>10858</v>
      </c>
      <c r="AH1647" t="s">
        <v>10862</v>
      </c>
      <c r="AI1647">
        <v>230</v>
      </c>
      <c r="AJ1647" t="s">
        <v>10210</v>
      </c>
      <c r="AL1647">
        <v>3.1</v>
      </c>
      <c r="AM1647" t="s">
        <v>10884</v>
      </c>
      <c r="AN1647" t="s">
        <v>10924</v>
      </c>
      <c r="AO1647" t="s">
        <v>11013</v>
      </c>
      <c r="AP1647" t="s">
        <v>11055</v>
      </c>
      <c r="AQ1647" t="s">
        <v>11120</v>
      </c>
      <c r="AR1647" t="s">
        <v>11296</v>
      </c>
      <c r="AS1647" t="s">
        <v>9926</v>
      </c>
      <c r="BA1647" t="s">
        <v>11738</v>
      </c>
      <c r="BB1647">
        <v>0</v>
      </c>
      <c r="BC1647">
        <v>0</v>
      </c>
      <c r="BD1647">
        <v>0</v>
      </c>
      <c r="BE1647">
        <v>0</v>
      </c>
      <c r="BF1647">
        <v>5</v>
      </c>
      <c r="BG1647">
        <v>0</v>
      </c>
    </row>
    <row r="1648" spans="1:59">
      <c r="A1648" s="1">
        <f>HYPERLINK("https://lsnyc.legalserver.org/matter/dynamic-profile/view/1905516","19-1905516")</f>
        <v>0</v>
      </c>
      <c r="B1648" t="s">
        <v>1468</v>
      </c>
      <c r="C1648" t="s">
        <v>6291</v>
      </c>
      <c r="D1648" t="s">
        <v>9928</v>
      </c>
      <c r="E1648" t="s">
        <v>10075</v>
      </c>
      <c r="F1648">
        <v>11212</v>
      </c>
      <c r="G1648" t="s">
        <v>10090</v>
      </c>
      <c r="H1648" t="s">
        <v>10109</v>
      </c>
      <c r="I1648" t="s">
        <v>10168</v>
      </c>
      <c r="J1648" t="s">
        <v>10210</v>
      </c>
      <c r="K1648" t="s">
        <v>10217</v>
      </c>
      <c r="M1648" t="s">
        <v>10412</v>
      </c>
      <c r="N1648" t="s">
        <v>10708</v>
      </c>
      <c r="P1648" t="s">
        <v>10753</v>
      </c>
      <c r="Q1648" t="s">
        <v>10763</v>
      </c>
      <c r="R1648" t="s">
        <v>10824</v>
      </c>
      <c r="T1648">
        <v>5200</v>
      </c>
      <c r="U1648">
        <v>433.33</v>
      </c>
      <c r="V1648">
        <v>28</v>
      </c>
      <c r="W1648">
        <v>1</v>
      </c>
      <c r="X1648">
        <v>1</v>
      </c>
      <c r="Z1648">
        <v>30.75</v>
      </c>
      <c r="AA1648">
        <v>40.663587</v>
      </c>
      <c r="AB1648">
        <v>-73.903902</v>
      </c>
      <c r="AD1648" t="s">
        <v>10839</v>
      </c>
      <c r="AF1648" t="s">
        <v>10846</v>
      </c>
      <c r="AG1648" t="s">
        <v>10859</v>
      </c>
      <c r="AH1648" t="s">
        <v>10864</v>
      </c>
      <c r="AI1648">
        <v>230</v>
      </c>
      <c r="AJ1648" t="s">
        <v>10210</v>
      </c>
      <c r="AL1648">
        <v>18.45</v>
      </c>
      <c r="AM1648" t="s">
        <v>10888</v>
      </c>
      <c r="AN1648" t="s">
        <v>10922</v>
      </c>
      <c r="AO1648" t="s">
        <v>11012</v>
      </c>
      <c r="AP1648" t="s">
        <v>11064</v>
      </c>
      <c r="AQ1648" t="s">
        <v>11096</v>
      </c>
      <c r="AR1648" t="s">
        <v>10180</v>
      </c>
      <c r="AS1648" t="s">
        <v>11595</v>
      </c>
      <c r="AT1648" t="s">
        <v>11641</v>
      </c>
      <c r="AV1648" t="s">
        <v>11656</v>
      </c>
      <c r="AW1648" t="s">
        <v>11645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</row>
    <row r="1649" spans="1:59">
      <c r="A1649" s="1">
        <f>HYPERLINK("https://lsnyc.legalserver.org/matter/dynamic-profile/view/1905517","19-1905517")</f>
        <v>0</v>
      </c>
      <c r="B1649" t="s">
        <v>1165</v>
      </c>
      <c r="C1649" t="s">
        <v>5601</v>
      </c>
      <c r="D1649" t="s">
        <v>9926</v>
      </c>
      <c r="E1649" t="s">
        <v>10075</v>
      </c>
      <c r="F1649">
        <v>10453</v>
      </c>
      <c r="G1649" t="s">
        <v>10090</v>
      </c>
      <c r="H1649" t="s">
        <v>10109</v>
      </c>
      <c r="I1649" t="s">
        <v>10169</v>
      </c>
      <c r="J1649" t="s">
        <v>10210</v>
      </c>
      <c r="K1649" t="s">
        <v>10217</v>
      </c>
      <c r="M1649" t="s">
        <v>10463</v>
      </c>
      <c r="N1649" t="s">
        <v>10650</v>
      </c>
      <c r="P1649" t="s">
        <v>10749</v>
      </c>
      <c r="Q1649" t="s">
        <v>10765</v>
      </c>
      <c r="R1649" t="s">
        <v>10821</v>
      </c>
      <c r="T1649">
        <v>6276</v>
      </c>
      <c r="U1649">
        <v>523</v>
      </c>
      <c r="V1649">
        <v>36</v>
      </c>
      <c r="W1649">
        <v>2</v>
      </c>
      <c r="X1649">
        <v>0</v>
      </c>
      <c r="Z1649">
        <v>37.11</v>
      </c>
      <c r="AA1649">
        <v>40.846849</v>
      </c>
      <c r="AB1649">
        <v>-73.90953500000001</v>
      </c>
      <c r="AD1649" t="s">
        <v>10840</v>
      </c>
      <c r="AG1649" t="s">
        <v>10858</v>
      </c>
      <c r="AH1649" t="s">
        <v>10862</v>
      </c>
      <c r="AI1649">
        <v>230</v>
      </c>
      <c r="AJ1649" t="s">
        <v>10210</v>
      </c>
      <c r="AL1649">
        <v>0</v>
      </c>
      <c r="AM1649" t="s">
        <v>10884</v>
      </c>
      <c r="AN1649" t="s">
        <v>10931</v>
      </c>
      <c r="AO1649" t="s">
        <v>11000</v>
      </c>
      <c r="AP1649" t="s">
        <v>11045</v>
      </c>
      <c r="AR1649" t="s">
        <v>10180</v>
      </c>
      <c r="AS1649" t="s">
        <v>9926</v>
      </c>
      <c r="BA1649" t="s">
        <v>11739</v>
      </c>
      <c r="BB1649">
        <v>0</v>
      </c>
      <c r="BC1649">
        <v>0</v>
      </c>
      <c r="BD1649">
        <v>0</v>
      </c>
      <c r="BE1649">
        <v>0</v>
      </c>
      <c r="BF1649">
        <v>4</v>
      </c>
      <c r="BG1649">
        <v>0</v>
      </c>
    </row>
    <row r="1650" spans="1:59">
      <c r="A1650" s="1">
        <f>HYPERLINK("https://lsnyc.legalserver.org/matter/dynamic-profile/view/1905518","19-1905518")</f>
        <v>0</v>
      </c>
      <c r="B1650" t="s">
        <v>1165</v>
      </c>
      <c r="C1650" t="s">
        <v>5601</v>
      </c>
      <c r="D1650" t="s">
        <v>9926</v>
      </c>
      <c r="E1650" t="s">
        <v>10075</v>
      </c>
      <c r="F1650">
        <v>10453</v>
      </c>
      <c r="G1650" t="s">
        <v>10090</v>
      </c>
      <c r="H1650" t="s">
        <v>10109</v>
      </c>
      <c r="I1650" t="s">
        <v>10169</v>
      </c>
      <c r="J1650" t="s">
        <v>10210</v>
      </c>
      <c r="K1650" t="s">
        <v>10217</v>
      </c>
      <c r="M1650" t="s">
        <v>10463</v>
      </c>
      <c r="N1650" t="s">
        <v>10650</v>
      </c>
      <c r="P1650" t="s">
        <v>10749</v>
      </c>
      <c r="Q1650" t="s">
        <v>10765</v>
      </c>
      <c r="R1650" t="s">
        <v>10821</v>
      </c>
      <c r="T1650">
        <v>6276</v>
      </c>
      <c r="U1650">
        <v>523</v>
      </c>
      <c r="V1650">
        <v>36</v>
      </c>
      <c r="W1650">
        <v>2</v>
      </c>
      <c r="X1650">
        <v>0</v>
      </c>
      <c r="Z1650">
        <v>37.11</v>
      </c>
      <c r="AA1650">
        <v>40.846849</v>
      </c>
      <c r="AB1650">
        <v>-73.90953500000001</v>
      </c>
      <c r="AD1650" t="s">
        <v>10840</v>
      </c>
      <c r="AG1650" t="s">
        <v>10858</v>
      </c>
      <c r="AH1650" t="s">
        <v>10862</v>
      </c>
      <c r="AI1650">
        <v>230</v>
      </c>
      <c r="AJ1650" t="s">
        <v>10210</v>
      </c>
      <c r="AL1650">
        <v>0</v>
      </c>
      <c r="AM1650" t="s">
        <v>10884</v>
      </c>
      <c r="AN1650" t="s">
        <v>10931</v>
      </c>
      <c r="AO1650" t="s">
        <v>11000</v>
      </c>
      <c r="AP1650" t="s">
        <v>11045</v>
      </c>
      <c r="AR1650" t="s">
        <v>10180</v>
      </c>
      <c r="AS1650" t="s">
        <v>9926</v>
      </c>
      <c r="BA1650" t="s">
        <v>11739</v>
      </c>
      <c r="BB1650">
        <v>0</v>
      </c>
      <c r="BC1650">
        <v>0</v>
      </c>
      <c r="BD1650">
        <v>0</v>
      </c>
      <c r="BE1650">
        <v>0</v>
      </c>
      <c r="BF1650">
        <v>4</v>
      </c>
      <c r="BG1650">
        <v>0</v>
      </c>
    </row>
    <row r="1651" spans="1:59">
      <c r="A1651" s="1">
        <f>HYPERLINK("https://lsnyc.legalserver.org/matter/dynamic-profile/view/1905519","19-1905519")</f>
        <v>0</v>
      </c>
      <c r="B1651" t="s">
        <v>1469</v>
      </c>
      <c r="C1651" t="s">
        <v>6196</v>
      </c>
      <c r="D1651" t="s">
        <v>9938</v>
      </c>
      <c r="E1651" t="s">
        <v>10075</v>
      </c>
      <c r="F1651">
        <v>11432</v>
      </c>
      <c r="G1651" t="s">
        <v>10092</v>
      </c>
      <c r="H1651" t="s">
        <v>10130</v>
      </c>
      <c r="I1651" t="s">
        <v>10169</v>
      </c>
      <c r="J1651" t="s">
        <v>10212</v>
      </c>
      <c r="K1651" t="s">
        <v>10217</v>
      </c>
      <c r="M1651" t="s">
        <v>10232</v>
      </c>
      <c r="N1651" t="s">
        <v>10679</v>
      </c>
      <c r="P1651" t="s">
        <v>10753</v>
      </c>
      <c r="Q1651" t="s">
        <v>10763</v>
      </c>
      <c r="R1651" t="s">
        <v>10823</v>
      </c>
      <c r="T1651">
        <v>30800</v>
      </c>
      <c r="U1651">
        <v>2566.67</v>
      </c>
      <c r="V1651">
        <v>4</v>
      </c>
      <c r="W1651">
        <v>2</v>
      </c>
      <c r="X1651">
        <v>3</v>
      </c>
      <c r="Z1651">
        <v>102.09</v>
      </c>
      <c r="AA1651">
        <v>40.705203</v>
      </c>
      <c r="AB1651">
        <v>-73.798963</v>
      </c>
      <c r="AD1651" t="s">
        <v>10840</v>
      </c>
      <c r="AF1651" t="s">
        <v>10851</v>
      </c>
      <c r="AG1651" t="s">
        <v>10859</v>
      </c>
      <c r="AH1651" t="s">
        <v>10864</v>
      </c>
      <c r="AI1651">
        <v>237</v>
      </c>
      <c r="AJ1651" t="s">
        <v>10212</v>
      </c>
      <c r="AL1651">
        <v>0.7</v>
      </c>
      <c r="AM1651" t="s">
        <v>10892</v>
      </c>
      <c r="AN1651" t="s">
        <v>10951</v>
      </c>
      <c r="AO1651" t="s">
        <v>11020</v>
      </c>
      <c r="AP1651" t="s">
        <v>11081</v>
      </c>
      <c r="AQ1651" t="s">
        <v>11119</v>
      </c>
      <c r="AR1651" t="s">
        <v>11257</v>
      </c>
      <c r="AS1651" t="s">
        <v>11594</v>
      </c>
      <c r="BA1651" t="s">
        <v>11743</v>
      </c>
      <c r="BB1651">
        <v>0</v>
      </c>
      <c r="BC1651">
        <v>0</v>
      </c>
      <c r="BD1651">
        <v>0</v>
      </c>
      <c r="BE1651">
        <v>0</v>
      </c>
      <c r="BF1651">
        <v>40</v>
      </c>
      <c r="BG1651">
        <v>0</v>
      </c>
    </row>
    <row r="1652" spans="1:59">
      <c r="A1652" s="1">
        <f>HYPERLINK("https://lsnyc.legalserver.org/matter/dynamic-profile/view/1905520","19-1905520")</f>
        <v>0</v>
      </c>
      <c r="B1652" t="s">
        <v>1470</v>
      </c>
      <c r="C1652" t="s">
        <v>6292</v>
      </c>
      <c r="D1652" t="s">
        <v>9926</v>
      </c>
      <c r="E1652" t="s">
        <v>10075</v>
      </c>
      <c r="F1652">
        <v>10467</v>
      </c>
      <c r="G1652" t="s">
        <v>10090</v>
      </c>
      <c r="H1652" t="s">
        <v>10109</v>
      </c>
      <c r="I1652" t="s">
        <v>10168</v>
      </c>
      <c r="J1652" t="s">
        <v>10215</v>
      </c>
      <c r="K1652" t="s">
        <v>10217</v>
      </c>
      <c r="M1652" t="s">
        <v>10306</v>
      </c>
      <c r="N1652" t="s">
        <v>10651</v>
      </c>
      <c r="P1652" t="s">
        <v>10749</v>
      </c>
      <c r="Q1652" t="s">
        <v>10765</v>
      </c>
      <c r="R1652" t="s">
        <v>10824</v>
      </c>
      <c r="T1652">
        <v>36000</v>
      </c>
      <c r="U1652">
        <v>3000</v>
      </c>
      <c r="V1652">
        <v>43</v>
      </c>
      <c r="W1652">
        <v>2</v>
      </c>
      <c r="X1652">
        <v>1</v>
      </c>
      <c r="Z1652">
        <v>168.78</v>
      </c>
      <c r="AA1652">
        <v>40.875852</v>
      </c>
      <c r="AB1652">
        <v>-73.87742</v>
      </c>
      <c r="AD1652" t="s">
        <v>10840</v>
      </c>
      <c r="AG1652" t="s">
        <v>10858</v>
      </c>
      <c r="AH1652" t="s">
        <v>10862</v>
      </c>
      <c r="AI1652">
        <v>231</v>
      </c>
      <c r="AJ1652" t="s">
        <v>10215</v>
      </c>
      <c r="AL1652">
        <v>15.7</v>
      </c>
      <c r="AM1652" t="s">
        <v>10887</v>
      </c>
      <c r="AN1652" t="s">
        <v>10919</v>
      </c>
      <c r="AO1652" t="s">
        <v>11010</v>
      </c>
      <c r="AP1652" t="s">
        <v>11057</v>
      </c>
      <c r="AR1652" t="s">
        <v>11257</v>
      </c>
      <c r="AS1652" t="s">
        <v>9926</v>
      </c>
      <c r="AT1652" t="s">
        <v>11642</v>
      </c>
      <c r="AV1652" t="s">
        <v>11655</v>
      </c>
      <c r="AX1652" t="s">
        <v>10838</v>
      </c>
      <c r="BA1652" t="s">
        <v>11738</v>
      </c>
      <c r="BB1652">
        <v>0</v>
      </c>
      <c r="BC1652">
        <v>0</v>
      </c>
      <c r="BD1652">
        <v>0</v>
      </c>
      <c r="BE1652">
        <v>0</v>
      </c>
      <c r="BF1652">
        <v>5</v>
      </c>
      <c r="BG1652">
        <v>0</v>
      </c>
    </row>
    <row r="1653" spans="1:59">
      <c r="A1653" s="1">
        <f>HYPERLINK("https://lsnyc.legalserver.org/matter/dynamic-profile/view/1905521","19-1905521")</f>
        <v>0</v>
      </c>
      <c r="B1653" t="s">
        <v>1471</v>
      </c>
      <c r="C1653" t="s">
        <v>6293</v>
      </c>
      <c r="D1653" t="s">
        <v>9926</v>
      </c>
      <c r="E1653" t="s">
        <v>10075</v>
      </c>
      <c r="F1653">
        <v>10451</v>
      </c>
      <c r="G1653" t="s">
        <v>10090</v>
      </c>
      <c r="H1653" t="s">
        <v>10109</v>
      </c>
      <c r="I1653" t="s">
        <v>10168</v>
      </c>
      <c r="J1653" t="s">
        <v>10210</v>
      </c>
      <c r="K1653" t="s">
        <v>10217</v>
      </c>
      <c r="M1653" t="s">
        <v>10525</v>
      </c>
      <c r="N1653" t="s">
        <v>10666</v>
      </c>
      <c r="P1653" t="s">
        <v>10749</v>
      </c>
      <c r="Q1653" t="s">
        <v>10765</v>
      </c>
      <c r="R1653" t="s">
        <v>10824</v>
      </c>
      <c r="T1653">
        <v>0</v>
      </c>
      <c r="U1653">
        <v>0</v>
      </c>
      <c r="V1653">
        <v>27</v>
      </c>
      <c r="W1653">
        <v>1</v>
      </c>
      <c r="X1653">
        <v>1</v>
      </c>
      <c r="Z1653">
        <v>0</v>
      </c>
      <c r="AA1653">
        <v>40.824714</v>
      </c>
      <c r="AB1653">
        <v>-73.92682499999999</v>
      </c>
      <c r="AD1653" t="s">
        <v>10839</v>
      </c>
      <c r="AG1653" t="s">
        <v>10858</v>
      </c>
      <c r="AH1653" t="s">
        <v>10862</v>
      </c>
      <c r="AI1653">
        <v>230</v>
      </c>
      <c r="AJ1653" t="s">
        <v>10210</v>
      </c>
      <c r="AL1653">
        <v>8.9</v>
      </c>
      <c r="AM1653" t="s">
        <v>10884</v>
      </c>
      <c r="AN1653" t="s">
        <v>10924</v>
      </c>
      <c r="AO1653" t="s">
        <v>11013</v>
      </c>
      <c r="AP1653" t="s">
        <v>11066</v>
      </c>
      <c r="AR1653" t="s">
        <v>11279</v>
      </c>
      <c r="AS1653" t="s">
        <v>9926</v>
      </c>
      <c r="BA1653" t="s">
        <v>11738</v>
      </c>
      <c r="BB1653">
        <v>0</v>
      </c>
      <c r="BC1653">
        <v>0</v>
      </c>
      <c r="BD1653">
        <v>0</v>
      </c>
      <c r="BE1653">
        <v>0</v>
      </c>
      <c r="BF1653">
        <v>5</v>
      </c>
      <c r="BG1653">
        <v>0</v>
      </c>
    </row>
    <row r="1654" spans="1:59">
      <c r="A1654" s="1">
        <f>HYPERLINK("https://lsnyc.legalserver.org/matter/dynamic-profile/view/1905522","19-1905522")</f>
        <v>0</v>
      </c>
      <c r="B1654" t="s">
        <v>1470</v>
      </c>
      <c r="C1654" t="s">
        <v>6292</v>
      </c>
      <c r="D1654" t="s">
        <v>9926</v>
      </c>
      <c r="E1654" t="s">
        <v>10075</v>
      </c>
      <c r="F1654">
        <v>10467</v>
      </c>
      <c r="G1654" t="s">
        <v>10090</v>
      </c>
      <c r="H1654" t="s">
        <v>10109</v>
      </c>
      <c r="I1654" t="s">
        <v>10168</v>
      </c>
      <c r="J1654" t="s">
        <v>10210</v>
      </c>
      <c r="K1654" t="s">
        <v>10217</v>
      </c>
      <c r="M1654" t="s">
        <v>10303</v>
      </c>
      <c r="N1654" t="s">
        <v>10688</v>
      </c>
      <c r="P1654" t="s">
        <v>10751</v>
      </c>
      <c r="Q1654" t="s">
        <v>10761</v>
      </c>
      <c r="R1654" t="s">
        <v>10824</v>
      </c>
      <c r="T1654">
        <v>36000</v>
      </c>
      <c r="U1654">
        <v>3000</v>
      </c>
      <c r="V1654">
        <v>43</v>
      </c>
      <c r="W1654">
        <v>2</v>
      </c>
      <c r="X1654">
        <v>1</v>
      </c>
      <c r="Z1654">
        <v>168.78</v>
      </c>
      <c r="AA1654">
        <v>40.875852</v>
      </c>
      <c r="AB1654">
        <v>-73.87742</v>
      </c>
      <c r="AD1654" t="s">
        <v>10840</v>
      </c>
      <c r="AG1654" t="s">
        <v>10858</v>
      </c>
      <c r="AH1654" t="s">
        <v>10862</v>
      </c>
      <c r="AI1654">
        <v>231</v>
      </c>
      <c r="AJ1654" t="s">
        <v>10215</v>
      </c>
      <c r="AL1654">
        <v>0.1</v>
      </c>
      <c r="AR1654" t="s">
        <v>11257</v>
      </c>
      <c r="AS1654" t="s">
        <v>9926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</row>
    <row r="1655" spans="1:59">
      <c r="A1655" s="1">
        <f>HYPERLINK("https://lsnyc.legalserver.org/matter/dynamic-profile/view/1905523","19-1905523")</f>
        <v>0</v>
      </c>
      <c r="B1655" t="s">
        <v>1472</v>
      </c>
      <c r="C1655" t="s">
        <v>6213</v>
      </c>
      <c r="D1655" t="s">
        <v>9926</v>
      </c>
      <c r="E1655" t="s">
        <v>10075</v>
      </c>
      <c r="F1655">
        <v>10457</v>
      </c>
      <c r="G1655" t="s">
        <v>10090</v>
      </c>
      <c r="H1655" t="s">
        <v>10109</v>
      </c>
      <c r="I1655" t="s">
        <v>10168</v>
      </c>
      <c r="J1655" t="s">
        <v>10210</v>
      </c>
      <c r="K1655" t="s">
        <v>10217</v>
      </c>
      <c r="M1655" t="s">
        <v>10339</v>
      </c>
      <c r="N1655" t="s">
        <v>10651</v>
      </c>
      <c r="P1655" t="s">
        <v>10749</v>
      </c>
      <c r="Q1655" t="s">
        <v>10765</v>
      </c>
      <c r="R1655" t="s">
        <v>10821</v>
      </c>
      <c r="T1655">
        <v>3540</v>
      </c>
      <c r="U1655">
        <v>295</v>
      </c>
      <c r="V1655">
        <v>60</v>
      </c>
      <c r="W1655">
        <v>5</v>
      </c>
      <c r="X1655">
        <v>1</v>
      </c>
      <c r="Z1655">
        <v>10.23</v>
      </c>
      <c r="AA1655">
        <v>40.840974</v>
      </c>
      <c r="AB1655">
        <v>-73.91095199999999</v>
      </c>
      <c r="AD1655" t="s">
        <v>10839</v>
      </c>
      <c r="AG1655" t="s">
        <v>10858</v>
      </c>
      <c r="AH1655" t="s">
        <v>10862</v>
      </c>
      <c r="AI1655">
        <v>230</v>
      </c>
      <c r="AJ1655" t="s">
        <v>10210</v>
      </c>
      <c r="AL1655">
        <v>5.5</v>
      </c>
      <c r="AM1655" t="s">
        <v>10884</v>
      </c>
      <c r="AN1655" t="s">
        <v>10929</v>
      </c>
      <c r="AO1655" t="s">
        <v>11000</v>
      </c>
      <c r="AP1655" t="s">
        <v>11055</v>
      </c>
      <c r="AR1655" t="s">
        <v>11263</v>
      </c>
      <c r="AS1655" t="s">
        <v>9926</v>
      </c>
      <c r="BA1655" t="s">
        <v>11738</v>
      </c>
      <c r="BB1655">
        <v>0</v>
      </c>
      <c r="BC1655">
        <v>0</v>
      </c>
      <c r="BD1655">
        <v>0</v>
      </c>
      <c r="BE1655">
        <v>0</v>
      </c>
      <c r="BF1655">
        <v>5</v>
      </c>
      <c r="BG1655">
        <v>0</v>
      </c>
    </row>
    <row r="1656" spans="1:59">
      <c r="A1656" s="1">
        <f>HYPERLINK("https://lsnyc.legalserver.org/matter/dynamic-profile/view/1905525","19-1905525")</f>
        <v>0</v>
      </c>
      <c r="B1656" t="s">
        <v>1359</v>
      </c>
      <c r="C1656" t="s">
        <v>6182</v>
      </c>
      <c r="D1656" t="s">
        <v>9928</v>
      </c>
      <c r="E1656" t="s">
        <v>10075</v>
      </c>
      <c r="F1656">
        <v>11216</v>
      </c>
      <c r="G1656" t="s">
        <v>10093</v>
      </c>
      <c r="H1656" t="s">
        <v>10109</v>
      </c>
      <c r="J1656" t="s">
        <v>10213</v>
      </c>
      <c r="K1656" t="s">
        <v>10218</v>
      </c>
      <c r="L1656" t="s">
        <v>10166</v>
      </c>
      <c r="M1656" t="s">
        <v>10378</v>
      </c>
      <c r="N1656" t="s">
        <v>10667</v>
      </c>
      <c r="P1656" t="s">
        <v>10749</v>
      </c>
      <c r="Q1656" t="s">
        <v>10765</v>
      </c>
      <c r="R1656" t="s">
        <v>10820</v>
      </c>
      <c r="T1656">
        <v>4888</v>
      </c>
      <c r="U1656">
        <v>407.33</v>
      </c>
      <c r="V1656">
        <v>50</v>
      </c>
      <c r="W1656">
        <v>1</v>
      </c>
      <c r="X1656">
        <v>0</v>
      </c>
      <c r="Y1656" t="s">
        <v>10831</v>
      </c>
      <c r="Z1656">
        <v>39.14</v>
      </c>
      <c r="AA1656">
        <v>40.679935</v>
      </c>
      <c r="AB1656">
        <v>-73.95131600000001</v>
      </c>
      <c r="AD1656" t="s">
        <v>10840</v>
      </c>
      <c r="AG1656" t="s">
        <v>10858</v>
      </c>
      <c r="AH1656" t="s">
        <v>10868</v>
      </c>
      <c r="AI1656">
        <v>239</v>
      </c>
      <c r="AJ1656" t="s">
        <v>10213</v>
      </c>
      <c r="AK1656" t="s">
        <v>10838</v>
      </c>
      <c r="AL1656">
        <v>3.7</v>
      </c>
      <c r="AM1656" t="s">
        <v>10889</v>
      </c>
      <c r="AN1656" t="s">
        <v>10923</v>
      </c>
      <c r="AO1656" t="s">
        <v>11007</v>
      </c>
      <c r="AP1656" t="s">
        <v>11052</v>
      </c>
      <c r="AR1656" t="s">
        <v>11255</v>
      </c>
      <c r="AS1656" t="s">
        <v>11595</v>
      </c>
      <c r="AT1656" t="s">
        <v>11642</v>
      </c>
      <c r="AX1656" t="s">
        <v>10837</v>
      </c>
      <c r="AY1656" t="s">
        <v>10831</v>
      </c>
      <c r="AZ1656" t="s">
        <v>11687</v>
      </c>
      <c r="BA1656" t="s">
        <v>11738</v>
      </c>
      <c r="BB1656">
        <v>0</v>
      </c>
      <c r="BC1656">
        <v>0</v>
      </c>
      <c r="BD1656">
        <v>0</v>
      </c>
      <c r="BE1656">
        <v>0</v>
      </c>
      <c r="BF1656">
        <v>5</v>
      </c>
      <c r="BG1656">
        <v>0</v>
      </c>
    </row>
    <row r="1657" spans="1:59">
      <c r="A1657" s="1">
        <f>HYPERLINK("https://lsnyc.legalserver.org/matter/dynamic-profile/view/1905526","19-1905526")</f>
        <v>0</v>
      </c>
      <c r="B1657" t="s">
        <v>1473</v>
      </c>
      <c r="C1657" t="s">
        <v>6294</v>
      </c>
      <c r="D1657" t="s">
        <v>9928</v>
      </c>
      <c r="E1657" t="s">
        <v>10075</v>
      </c>
      <c r="F1657">
        <v>11238</v>
      </c>
      <c r="G1657" t="s">
        <v>10093</v>
      </c>
      <c r="H1657" t="s">
        <v>10109</v>
      </c>
      <c r="I1657" t="s">
        <v>10168</v>
      </c>
      <c r="J1657" t="s">
        <v>10213</v>
      </c>
      <c r="K1657" t="s">
        <v>10217</v>
      </c>
      <c r="M1657" t="s">
        <v>10290</v>
      </c>
      <c r="N1657" t="s">
        <v>10694</v>
      </c>
      <c r="P1657" t="s">
        <v>10751</v>
      </c>
      <c r="Q1657" t="s">
        <v>10773</v>
      </c>
      <c r="R1657" t="s">
        <v>10822</v>
      </c>
      <c r="T1657">
        <v>0</v>
      </c>
      <c r="U1657">
        <v>0</v>
      </c>
      <c r="V1657">
        <v>43</v>
      </c>
      <c r="W1657">
        <v>1</v>
      </c>
      <c r="X1657">
        <v>0</v>
      </c>
      <c r="Z1657">
        <v>0</v>
      </c>
      <c r="AA1657">
        <v>40.68814</v>
      </c>
      <c r="AB1657">
        <v>-73.960792</v>
      </c>
      <c r="AD1657" t="s">
        <v>10822</v>
      </c>
      <c r="AG1657" t="s">
        <v>10858</v>
      </c>
      <c r="AH1657" t="s">
        <v>10861</v>
      </c>
      <c r="AI1657">
        <v>234</v>
      </c>
      <c r="AJ1657" t="s">
        <v>10214</v>
      </c>
      <c r="AL1657">
        <v>1</v>
      </c>
      <c r="AM1657" t="s">
        <v>10889</v>
      </c>
      <c r="AN1657" t="s">
        <v>10923</v>
      </c>
      <c r="AO1657" t="s">
        <v>11007</v>
      </c>
      <c r="AP1657" t="s">
        <v>11061</v>
      </c>
      <c r="AR1657" t="s">
        <v>11267</v>
      </c>
      <c r="AS1657" t="s">
        <v>11595</v>
      </c>
      <c r="AT1657" t="s">
        <v>10822</v>
      </c>
      <c r="AX1657" t="s">
        <v>11678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</row>
    <row r="1658" spans="1:59">
      <c r="A1658" s="1">
        <f>HYPERLINK("https://lsnyc.legalserver.org/matter/dynamic-profile/view/1905527","19-1905527")</f>
        <v>0</v>
      </c>
      <c r="B1658" t="s">
        <v>1406</v>
      </c>
      <c r="C1658" t="s">
        <v>6230</v>
      </c>
      <c r="D1658" t="s">
        <v>9926</v>
      </c>
      <c r="E1658" t="s">
        <v>10075</v>
      </c>
      <c r="F1658">
        <v>10457</v>
      </c>
      <c r="G1658" t="s">
        <v>10090</v>
      </c>
      <c r="H1658" t="s">
        <v>10109</v>
      </c>
      <c r="I1658" t="s">
        <v>10168</v>
      </c>
      <c r="J1658" t="s">
        <v>10210</v>
      </c>
      <c r="K1658" t="s">
        <v>10217</v>
      </c>
      <c r="M1658" t="s">
        <v>10367</v>
      </c>
      <c r="N1658" t="s">
        <v>10688</v>
      </c>
      <c r="P1658" t="s">
        <v>10751</v>
      </c>
      <c r="Q1658" t="s">
        <v>10761</v>
      </c>
      <c r="R1658" t="s">
        <v>10824</v>
      </c>
      <c r="T1658">
        <v>8652</v>
      </c>
      <c r="U1658">
        <v>721</v>
      </c>
      <c r="V1658">
        <v>36</v>
      </c>
      <c r="W1658">
        <v>1</v>
      </c>
      <c r="X1658">
        <v>2</v>
      </c>
      <c r="Z1658">
        <v>40.56</v>
      </c>
      <c r="AA1658">
        <v>40.846595</v>
      </c>
      <c r="AB1658">
        <v>-73.888256</v>
      </c>
      <c r="AD1658" t="s">
        <v>10839</v>
      </c>
      <c r="AG1658" t="s">
        <v>10858</v>
      </c>
      <c r="AH1658" t="s">
        <v>10862</v>
      </c>
      <c r="AI1658">
        <v>231</v>
      </c>
      <c r="AJ1658" t="s">
        <v>10215</v>
      </c>
      <c r="AL1658">
        <v>0.1</v>
      </c>
      <c r="AR1658" t="s">
        <v>11263</v>
      </c>
      <c r="AS1658" t="s">
        <v>9926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</row>
    <row r="1659" spans="1:59">
      <c r="A1659" s="1">
        <f>HYPERLINK("https://lsnyc.legalserver.org/matter/dynamic-profile/view/1905528","19-1905528")</f>
        <v>0</v>
      </c>
      <c r="B1659" t="s">
        <v>1474</v>
      </c>
      <c r="C1659" t="s">
        <v>6295</v>
      </c>
      <c r="D1659" t="s">
        <v>9926</v>
      </c>
      <c r="E1659" t="s">
        <v>10075</v>
      </c>
      <c r="F1659">
        <v>10463</v>
      </c>
      <c r="G1659" t="s">
        <v>10089</v>
      </c>
      <c r="H1659" t="s">
        <v>10109</v>
      </c>
      <c r="I1659" t="s">
        <v>10169</v>
      </c>
      <c r="J1659" t="s">
        <v>10209</v>
      </c>
      <c r="K1659" t="s">
        <v>10218</v>
      </c>
      <c r="L1659" t="s">
        <v>10160</v>
      </c>
      <c r="M1659" t="s">
        <v>10442</v>
      </c>
      <c r="N1659" t="s">
        <v>10650</v>
      </c>
      <c r="P1659" t="s">
        <v>10749</v>
      </c>
      <c r="Q1659" t="s">
        <v>10765</v>
      </c>
      <c r="R1659" t="s">
        <v>10822</v>
      </c>
      <c r="T1659">
        <v>16800</v>
      </c>
      <c r="U1659">
        <v>1400</v>
      </c>
      <c r="V1659">
        <v>34</v>
      </c>
      <c r="W1659">
        <v>1</v>
      </c>
      <c r="X1659">
        <v>0</v>
      </c>
      <c r="Y1659" t="s">
        <v>10829</v>
      </c>
      <c r="Z1659">
        <v>134.51</v>
      </c>
      <c r="AA1659">
        <v>40.879633</v>
      </c>
      <c r="AB1659">
        <v>-73.905129</v>
      </c>
      <c r="AD1659" t="s">
        <v>10839</v>
      </c>
      <c r="AF1659" t="s">
        <v>10843</v>
      </c>
      <c r="AG1659" t="s">
        <v>10859</v>
      </c>
      <c r="AH1659" t="s">
        <v>10862</v>
      </c>
      <c r="AI1659">
        <v>236</v>
      </c>
      <c r="AJ1659" t="s">
        <v>10209</v>
      </c>
      <c r="AK1659" t="s">
        <v>10838</v>
      </c>
      <c r="AL1659">
        <v>1</v>
      </c>
      <c r="AM1659" t="s">
        <v>10887</v>
      </c>
      <c r="AN1659" t="s">
        <v>10919</v>
      </c>
      <c r="AO1659" t="s">
        <v>11000</v>
      </c>
      <c r="AP1659" t="s">
        <v>11057</v>
      </c>
      <c r="AR1659" t="s">
        <v>11257</v>
      </c>
      <c r="AS1659" t="s">
        <v>9926</v>
      </c>
      <c r="AT1659" t="s">
        <v>11641</v>
      </c>
      <c r="AX1659" t="s">
        <v>10838</v>
      </c>
      <c r="AY1659" t="s">
        <v>10829</v>
      </c>
      <c r="AZ1659" t="s">
        <v>11681</v>
      </c>
      <c r="BA1659" t="s">
        <v>11741</v>
      </c>
      <c r="BB1659">
        <v>0</v>
      </c>
      <c r="BC1659">
        <v>0</v>
      </c>
      <c r="BD1659">
        <v>0</v>
      </c>
      <c r="BE1659">
        <v>0</v>
      </c>
      <c r="BF1659">
        <v>1</v>
      </c>
      <c r="BG1659">
        <v>0</v>
      </c>
    </row>
    <row r="1660" spans="1:59">
      <c r="A1660" s="1">
        <f>HYPERLINK("https://lsnyc.legalserver.org/matter/dynamic-profile/view/1905529","19-1905529")</f>
        <v>0</v>
      </c>
      <c r="B1660" t="s">
        <v>1475</v>
      </c>
      <c r="C1660" t="s">
        <v>6296</v>
      </c>
      <c r="D1660" t="s">
        <v>9926</v>
      </c>
      <c r="E1660" t="s">
        <v>10075</v>
      </c>
      <c r="F1660">
        <v>10455</v>
      </c>
      <c r="G1660" t="s">
        <v>10090</v>
      </c>
      <c r="H1660" t="s">
        <v>10109</v>
      </c>
      <c r="I1660" t="s">
        <v>10169</v>
      </c>
      <c r="J1660" t="s">
        <v>10210</v>
      </c>
      <c r="K1660" t="s">
        <v>10217</v>
      </c>
      <c r="M1660" t="s">
        <v>10296</v>
      </c>
      <c r="N1660" t="s">
        <v>10673</v>
      </c>
      <c r="P1660" t="s">
        <v>10753</v>
      </c>
      <c r="Q1660" t="s">
        <v>10763</v>
      </c>
      <c r="R1660" t="s">
        <v>10823</v>
      </c>
      <c r="T1660">
        <v>0</v>
      </c>
      <c r="U1660">
        <v>0</v>
      </c>
      <c r="V1660">
        <v>36</v>
      </c>
      <c r="W1660">
        <v>1</v>
      </c>
      <c r="X1660">
        <v>3</v>
      </c>
      <c r="Z1660">
        <v>0</v>
      </c>
      <c r="AA1660">
        <v>40.817794</v>
      </c>
      <c r="AB1660">
        <v>-73.91756599999999</v>
      </c>
      <c r="AD1660" t="s">
        <v>10839</v>
      </c>
      <c r="AF1660" t="s">
        <v>10842</v>
      </c>
      <c r="AG1660" t="s">
        <v>10859</v>
      </c>
      <c r="AH1660" t="s">
        <v>10864</v>
      </c>
      <c r="AI1660">
        <v>230</v>
      </c>
      <c r="AJ1660" t="s">
        <v>10210</v>
      </c>
      <c r="AL1660">
        <v>8</v>
      </c>
      <c r="AM1660" t="s">
        <v>10884</v>
      </c>
      <c r="AN1660" t="s">
        <v>10924</v>
      </c>
      <c r="AO1660" t="s">
        <v>11001</v>
      </c>
      <c r="AP1660" t="s">
        <v>11062</v>
      </c>
      <c r="AQ1660" t="s">
        <v>11109</v>
      </c>
      <c r="AR1660" t="s">
        <v>11267</v>
      </c>
      <c r="AS1660" t="s">
        <v>9926</v>
      </c>
      <c r="AT1660" t="s">
        <v>11641</v>
      </c>
      <c r="AV1660" t="s">
        <v>11656</v>
      </c>
      <c r="AW1660" t="s">
        <v>11645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</row>
    <row r="1661" spans="1:59">
      <c r="A1661" s="1">
        <f>HYPERLINK("https://lsnyc.legalserver.org/matter/dynamic-profile/view/1905530","19-1905530")</f>
        <v>0</v>
      </c>
      <c r="B1661" t="s">
        <v>1476</v>
      </c>
      <c r="C1661" t="s">
        <v>6297</v>
      </c>
      <c r="D1661" t="s">
        <v>9928</v>
      </c>
      <c r="E1661" t="s">
        <v>10075</v>
      </c>
      <c r="F1661">
        <v>11211</v>
      </c>
      <c r="G1661" t="s">
        <v>10093</v>
      </c>
      <c r="H1661" t="s">
        <v>10109</v>
      </c>
      <c r="I1661" t="s">
        <v>10168</v>
      </c>
      <c r="J1661" t="s">
        <v>10213</v>
      </c>
      <c r="K1661" t="s">
        <v>10217</v>
      </c>
      <c r="M1661" t="s">
        <v>10327</v>
      </c>
      <c r="N1661" t="s">
        <v>10671</v>
      </c>
      <c r="P1661" t="s">
        <v>10749</v>
      </c>
      <c r="Q1661" t="s">
        <v>10767</v>
      </c>
      <c r="R1661" t="s">
        <v>10824</v>
      </c>
      <c r="T1661">
        <v>13356</v>
      </c>
      <c r="U1661">
        <v>1113</v>
      </c>
      <c r="V1661">
        <v>27</v>
      </c>
      <c r="W1661">
        <v>1</v>
      </c>
      <c r="X1661">
        <v>0</v>
      </c>
      <c r="Z1661">
        <v>106.93</v>
      </c>
      <c r="AA1661">
        <v>40.707555</v>
      </c>
      <c r="AB1661">
        <v>-73.95909</v>
      </c>
      <c r="AC1661" t="s">
        <v>10837</v>
      </c>
      <c r="AD1661" t="s">
        <v>10840</v>
      </c>
      <c r="AG1661" t="s">
        <v>10858</v>
      </c>
      <c r="AH1661" t="s">
        <v>10861</v>
      </c>
      <c r="AI1661">
        <v>234</v>
      </c>
      <c r="AJ1661" t="s">
        <v>10214</v>
      </c>
      <c r="AL1661">
        <v>3.8</v>
      </c>
      <c r="AM1661" t="s">
        <v>10886</v>
      </c>
      <c r="AN1661" t="s">
        <v>10939</v>
      </c>
      <c r="AO1661" t="s">
        <v>11011</v>
      </c>
      <c r="AP1661" t="s">
        <v>11054</v>
      </c>
      <c r="AR1661" t="s">
        <v>11303</v>
      </c>
      <c r="AS1661" t="s">
        <v>11595</v>
      </c>
      <c r="AT1661" t="s">
        <v>11642</v>
      </c>
      <c r="AX1661" t="s">
        <v>10838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</row>
    <row r="1662" spans="1:59">
      <c r="A1662" s="1">
        <f>HYPERLINK("https://lsnyc.legalserver.org/matter/dynamic-profile/view/1905531","19-1905531")</f>
        <v>0</v>
      </c>
      <c r="B1662" t="s">
        <v>1477</v>
      </c>
      <c r="C1662" t="s">
        <v>6298</v>
      </c>
      <c r="D1662" t="s">
        <v>9926</v>
      </c>
      <c r="E1662" t="s">
        <v>10075</v>
      </c>
      <c r="F1662">
        <v>10459</v>
      </c>
      <c r="G1662" t="s">
        <v>10089</v>
      </c>
      <c r="H1662" t="s">
        <v>10109</v>
      </c>
      <c r="I1662" t="s">
        <v>10169</v>
      </c>
      <c r="J1662" t="s">
        <v>10209</v>
      </c>
      <c r="K1662" t="s">
        <v>10217</v>
      </c>
      <c r="M1662" t="s">
        <v>10381</v>
      </c>
      <c r="N1662" t="s">
        <v>10694</v>
      </c>
      <c r="P1662" t="s">
        <v>10751</v>
      </c>
      <c r="Q1662" t="s">
        <v>10768</v>
      </c>
      <c r="R1662" t="s">
        <v>10823</v>
      </c>
      <c r="T1662">
        <v>2392</v>
      </c>
      <c r="U1662">
        <v>199.33</v>
      </c>
      <c r="V1662">
        <v>60</v>
      </c>
      <c r="W1662">
        <v>1</v>
      </c>
      <c r="X1662">
        <v>0</v>
      </c>
      <c r="Z1662">
        <v>19.15</v>
      </c>
      <c r="AA1662">
        <v>40.821412</v>
      </c>
      <c r="AB1662">
        <v>-73.890017</v>
      </c>
      <c r="AD1662" t="s">
        <v>10840</v>
      </c>
      <c r="AG1662" t="s">
        <v>10858</v>
      </c>
      <c r="AH1662" t="s">
        <v>10866</v>
      </c>
      <c r="AI1662">
        <v>236</v>
      </c>
      <c r="AJ1662" t="s">
        <v>10209</v>
      </c>
      <c r="AL1662">
        <v>0.25</v>
      </c>
      <c r="AM1662" t="s">
        <v>10884</v>
      </c>
      <c r="AN1662" t="s">
        <v>10968</v>
      </c>
      <c r="AO1662" t="s">
        <v>11001</v>
      </c>
      <c r="AP1662" t="s">
        <v>11062</v>
      </c>
      <c r="AR1662" t="s">
        <v>11344</v>
      </c>
      <c r="AS1662" t="s">
        <v>9926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</row>
    <row r="1663" spans="1:59">
      <c r="A1663" s="1">
        <f>HYPERLINK("https://lsnyc.legalserver.org/matter/dynamic-profile/view/1905532","19-1905532")</f>
        <v>0</v>
      </c>
      <c r="B1663" t="s">
        <v>1478</v>
      </c>
      <c r="C1663" t="s">
        <v>6299</v>
      </c>
      <c r="D1663" t="s">
        <v>9926</v>
      </c>
      <c r="E1663" t="s">
        <v>10075</v>
      </c>
      <c r="F1663">
        <v>10452</v>
      </c>
      <c r="G1663" t="s">
        <v>10091</v>
      </c>
      <c r="H1663" t="s">
        <v>10109</v>
      </c>
      <c r="I1663" t="s">
        <v>10169</v>
      </c>
      <c r="J1663" t="s">
        <v>10214</v>
      </c>
      <c r="K1663" t="s">
        <v>10217</v>
      </c>
      <c r="M1663" t="s">
        <v>10286</v>
      </c>
      <c r="N1663" t="s">
        <v>10671</v>
      </c>
      <c r="P1663" t="s">
        <v>10749</v>
      </c>
      <c r="Q1663" t="s">
        <v>10765</v>
      </c>
      <c r="R1663" t="s">
        <v>10821</v>
      </c>
      <c r="T1663">
        <v>23400</v>
      </c>
      <c r="U1663">
        <v>1950</v>
      </c>
      <c r="V1663">
        <v>56</v>
      </c>
      <c r="W1663">
        <v>1</v>
      </c>
      <c r="X1663">
        <v>0</v>
      </c>
      <c r="Z1663">
        <v>187.35</v>
      </c>
      <c r="AA1663">
        <v>40.838654</v>
      </c>
      <c r="AB1663">
        <v>-73.914413</v>
      </c>
      <c r="AD1663" t="s">
        <v>10840</v>
      </c>
      <c r="AG1663" t="s">
        <v>10858</v>
      </c>
      <c r="AH1663" t="s">
        <v>10871</v>
      </c>
      <c r="AI1663">
        <v>234</v>
      </c>
      <c r="AJ1663" t="s">
        <v>10214</v>
      </c>
      <c r="AL1663">
        <v>1.2</v>
      </c>
      <c r="AM1663" t="s">
        <v>10884</v>
      </c>
      <c r="AN1663" t="s">
        <v>10929</v>
      </c>
      <c r="AO1663" t="s">
        <v>11013</v>
      </c>
      <c r="AP1663" t="s">
        <v>11055</v>
      </c>
      <c r="AR1663" t="s">
        <v>11257</v>
      </c>
      <c r="AS1663" t="s">
        <v>9926</v>
      </c>
      <c r="AT1663" t="s">
        <v>11642</v>
      </c>
      <c r="AX1663" t="s">
        <v>10838</v>
      </c>
      <c r="BA1663" t="s">
        <v>11741</v>
      </c>
      <c r="BB1663">
        <v>0</v>
      </c>
      <c r="BC1663">
        <v>0</v>
      </c>
      <c r="BD1663">
        <v>0</v>
      </c>
      <c r="BE1663">
        <v>0</v>
      </c>
      <c r="BF1663">
        <v>1</v>
      </c>
      <c r="BG1663">
        <v>0</v>
      </c>
    </row>
    <row r="1664" spans="1:59">
      <c r="A1664" s="1">
        <f>HYPERLINK("https://lsnyc.legalserver.org/matter/dynamic-profile/view/1905533","19-1905533")</f>
        <v>0</v>
      </c>
      <c r="B1664" t="s">
        <v>1479</v>
      </c>
      <c r="C1664" t="s">
        <v>5809</v>
      </c>
      <c r="D1664" t="s">
        <v>9926</v>
      </c>
      <c r="E1664" t="s">
        <v>10075</v>
      </c>
      <c r="F1664">
        <v>10460</v>
      </c>
      <c r="G1664" t="s">
        <v>10090</v>
      </c>
      <c r="H1664" t="s">
        <v>10106</v>
      </c>
      <c r="I1664" t="s">
        <v>10170</v>
      </c>
      <c r="J1664" t="s">
        <v>10210</v>
      </c>
      <c r="K1664" t="s">
        <v>10217</v>
      </c>
      <c r="M1664" t="s">
        <v>10445</v>
      </c>
      <c r="N1664" t="s">
        <v>10712</v>
      </c>
      <c r="P1664" t="s">
        <v>10753</v>
      </c>
      <c r="Q1664" t="s">
        <v>10763</v>
      </c>
      <c r="R1664" t="s">
        <v>10824</v>
      </c>
      <c r="T1664">
        <v>23000</v>
      </c>
      <c r="U1664">
        <v>1916.67</v>
      </c>
      <c r="V1664">
        <v>54</v>
      </c>
      <c r="W1664">
        <v>3</v>
      </c>
      <c r="X1664">
        <v>2</v>
      </c>
      <c r="Z1664">
        <v>76.23</v>
      </c>
      <c r="AA1664">
        <v>40.845387</v>
      </c>
      <c r="AB1664">
        <v>-73.882757</v>
      </c>
      <c r="AD1664" t="s">
        <v>10839</v>
      </c>
      <c r="AF1664" t="s">
        <v>10842</v>
      </c>
      <c r="AG1664" t="s">
        <v>10859</v>
      </c>
      <c r="AH1664" t="s">
        <v>10864</v>
      </c>
      <c r="AI1664">
        <v>230</v>
      </c>
      <c r="AJ1664" t="s">
        <v>10210</v>
      </c>
      <c r="AL1664">
        <v>0</v>
      </c>
      <c r="AM1664" t="s">
        <v>10884</v>
      </c>
      <c r="AN1664" t="s">
        <v>10908</v>
      </c>
      <c r="AO1664" t="s">
        <v>11001</v>
      </c>
      <c r="AP1664" t="s">
        <v>11062</v>
      </c>
      <c r="AQ1664" t="s">
        <v>11161</v>
      </c>
      <c r="AR1664" t="s">
        <v>11257</v>
      </c>
      <c r="AS1664" t="s">
        <v>9926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</row>
    <row r="1665" spans="1:59">
      <c r="A1665" s="1">
        <f>HYPERLINK("https://lsnyc.legalserver.org/matter/dynamic-profile/view/1905534","19-1905534")</f>
        <v>0</v>
      </c>
      <c r="B1665" t="s">
        <v>1480</v>
      </c>
      <c r="C1665" t="s">
        <v>6300</v>
      </c>
      <c r="D1665" t="s">
        <v>9928</v>
      </c>
      <c r="E1665" t="s">
        <v>10075</v>
      </c>
      <c r="F1665">
        <v>11225</v>
      </c>
      <c r="G1665" t="s">
        <v>10093</v>
      </c>
      <c r="H1665" t="s">
        <v>10109</v>
      </c>
      <c r="I1665" t="s">
        <v>10168</v>
      </c>
      <c r="J1665" t="s">
        <v>10213</v>
      </c>
      <c r="K1665" t="s">
        <v>10217</v>
      </c>
      <c r="M1665" t="s">
        <v>10239</v>
      </c>
      <c r="N1665" t="s">
        <v>10671</v>
      </c>
      <c r="P1665" t="s">
        <v>10749</v>
      </c>
      <c r="Q1665" t="s">
        <v>10765</v>
      </c>
      <c r="R1665" t="s">
        <v>10824</v>
      </c>
      <c r="T1665">
        <v>10800</v>
      </c>
      <c r="U1665">
        <v>900</v>
      </c>
      <c r="V1665">
        <v>61</v>
      </c>
      <c r="W1665">
        <v>1</v>
      </c>
      <c r="X1665">
        <v>0</v>
      </c>
      <c r="Z1665">
        <v>86.47</v>
      </c>
      <c r="AA1665">
        <v>40.667558</v>
      </c>
      <c r="AB1665">
        <v>-73.95275100000001</v>
      </c>
      <c r="AD1665" t="s">
        <v>10839</v>
      </c>
      <c r="AG1665" t="s">
        <v>10858</v>
      </c>
      <c r="AH1665" t="s">
        <v>10861</v>
      </c>
      <c r="AI1665">
        <v>234</v>
      </c>
      <c r="AJ1665" t="s">
        <v>10214</v>
      </c>
      <c r="AL1665">
        <v>0.5</v>
      </c>
      <c r="AM1665" t="s">
        <v>10888</v>
      </c>
      <c r="AN1665" t="s">
        <v>10912</v>
      </c>
      <c r="AO1665" t="s">
        <v>11005</v>
      </c>
      <c r="AP1665" t="s">
        <v>11061</v>
      </c>
      <c r="AR1665" t="s">
        <v>11270</v>
      </c>
      <c r="AS1665" t="s">
        <v>11595</v>
      </c>
      <c r="AT1665" t="s">
        <v>11641</v>
      </c>
      <c r="AX1665" t="s">
        <v>10838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</row>
    <row r="1666" spans="1:59">
      <c r="A1666" s="1">
        <f>HYPERLINK("https://lsnyc.legalserver.org/matter/dynamic-profile/view/1905535","19-1905535")</f>
        <v>0</v>
      </c>
      <c r="B1666" t="s">
        <v>1481</v>
      </c>
      <c r="C1666" t="s">
        <v>6301</v>
      </c>
      <c r="D1666" t="s">
        <v>9929</v>
      </c>
      <c r="E1666" t="s">
        <v>10075</v>
      </c>
      <c r="F1666">
        <v>10304</v>
      </c>
      <c r="G1666" t="s">
        <v>10088</v>
      </c>
      <c r="H1666" t="s">
        <v>10140</v>
      </c>
      <c r="I1666" t="s">
        <v>10168</v>
      </c>
      <c r="J1666" t="s">
        <v>10208</v>
      </c>
      <c r="K1666" t="s">
        <v>10218</v>
      </c>
      <c r="L1666" t="s">
        <v>10136</v>
      </c>
      <c r="M1666" t="s">
        <v>10259</v>
      </c>
      <c r="N1666" t="s">
        <v>10654</v>
      </c>
      <c r="P1666" t="s">
        <v>10749</v>
      </c>
      <c r="Q1666" t="s">
        <v>10767</v>
      </c>
      <c r="R1666" t="s">
        <v>10824</v>
      </c>
      <c r="T1666">
        <v>26491.88</v>
      </c>
      <c r="U1666">
        <v>2207.66</v>
      </c>
      <c r="V1666">
        <v>68</v>
      </c>
      <c r="W1666">
        <v>1</v>
      </c>
      <c r="X1666">
        <v>0</v>
      </c>
      <c r="Y1666" t="s">
        <v>10831</v>
      </c>
      <c r="Z1666">
        <v>212.1</v>
      </c>
      <c r="AA1666">
        <v>40.623564</v>
      </c>
      <c r="AB1666">
        <v>-74.08139799999999</v>
      </c>
      <c r="AD1666" t="s">
        <v>10839</v>
      </c>
      <c r="AG1666" t="s">
        <v>10858</v>
      </c>
      <c r="AH1666" t="s">
        <v>10862</v>
      </c>
      <c r="AI1666">
        <v>285</v>
      </c>
      <c r="AJ1666" t="s">
        <v>10208</v>
      </c>
      <c r="AK1666" t="s">
        <v>10838</v>
      </c>
      <c r="AL1666">
        <v>7.05</v>
      </c>
      <c r="AM1666" t="s">
        <v>10883</v>
      </c>
      <c r="AN1666" t="s">
        <v>10913</v>
      </c>
      <c r="AO1666" t="s">
        <v>11006</v>
      </c>
      <c r="AP1666" t="s">
        <v>11051</v>
      </c>
      <c r="AR1666" t="s">
        <v>11430</v>
      </c>
      <c r="AS1666" t="s">
        <v>11593</v>
      </c>
      <c r="AY1666" t="s">
        <v>10831</v>
      </c>
      <c r="AZ1666" t="s">
        <v>11685</v>
      </c>
      <c r="BA1666" t="s">
        <v>11739</v>
      </c>
      <c r="BB1666">
        <v>0</v>
      </c>
      <c r="BC1666">
        <v>0</v>
      </c>
      <c r="BD1666">
        <v>0</v>
      </c>
      <c r="BE1666">
        <v>0</v>
      </c>
      <c r="BF1666">
        <v>4</v>
      </c>
      <c r="BG1666">
        <v>0</v>
      </c>
    </row>
    <row r="1667" spans="1:59">
      <c r="A1667" s="1">
        <f>HYPERLINK("https://lsnyc.legalserver.org/matter/dynamic-profile/view/1905537","19-1905537")</f>
        <v>0</v>
      </c>
      <c r="B1667" t="s">
        <v>1482</v>
      </c>
      <c r="C1667" t="s">
        <v>6302</v>
      </c>
      <c r="D1667" t="s">
        <v>10002</v>
      </c>
      <c r="E1667" t="s">
        <v>10075</v>
      </c>
      <c r="F1667">
        <v>13905</v>
      </c>
      <c r="G1667" t="s">
        <v>10089</v>
      </c>
      <c r="H1667" t="s">
        <v>10109</v>
      </c>
      <c r="I1667" t="s">
        <v>10168</v>
      </c>
      <c r="J1667" t="s">
        <v>10209</v>
      </c>
      <c r="K1667" t="s">
        <v>10218</v>
      </c>
      <c r="L1667" t="s">
        <v>10158</v>
      </c>
      <c r="M1667" t="s">
        <v>10506</v>
      </c>
      <c r="N1667" t="s">
        <v>10694</v>
      </c>
      <c r="P1667" t="s">
        <v>10751</v>
      </c>
      <c r="Q1667" t="s">
        <v>10768</v>
      </c>
      <c r="R1667" t="s">
        <v>10824</v>
      </c>
      <c r="T1667">
        <v>0</v>
      </c>
      <c r="U1667">
        <v>0</v>
      </c>
      <c r="V1667">
        <v>42</v>
      </c>
      <c r="W1667">
        <v>1</v>
      </c>
      <c r="X1667">
        <v>0</v>
      </c>
      <c r="Y1667" t="s">
        <v>10830</v>
      </c>
      <c r="Z1667">
        <v>0</v>
      </c>
      <c r="AA1667">
        <v>42.10824</v>
      </c>
      <c r="AB1667">
        <v>-75.93881399999999</v>
      </c>
      <c r="AD1667" t="s">
        <v>10840</v>
      </c>
      <c r="AG1667" t="s">
        <v>10858</v>
      </c>
      <c r="AH1667" t="s">
        <v>10866</v>
      </c>
      <c r="AI1667">
        <v>236</v>
      </c>
      <c r="AJ1667" t="s">
        <v>10209</v>
      </c>
      <c r="AK1667" t="s">
        <v>10838</v>
      </c>
      <c r="AL1667">
        <v>1.05</v>
      </c>
      <c r="AM1667" t="s">
        <v>10902</v>
      </c>
      <c r="AN1667" t="s">
        <v>10981</v>
      </c>
      <c r="AO1667" t="s">
        <v>11034</v>
      </c>
      <c r="AR1667" t="s">
        <v>11267</v>
      </c>
      <c r="AS1667" t="s">
        <v>11614</v>
      </c>
      <c r="AY1667" t="s">
        <v>10830</v>
      </c>
      <c r="AZ1667" t="s">
        <v>11682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</row>
    <row r="1668" spans="1:59">
      <c r="A1668" s="1">
        <f>HYPERLINK("https://lsnyc.legalserver.org/matter/dynamic-profile/view/1905538","19-1905538")</f>
        <v>0</v>
      </c>
      <c r="C1668" t="s">
        <v>6303</v>
      </c>
      <c r="D1668" t="s">
        <v>9926</v>
      </c>
      <c r="E1668" t="s">
        <v>10075</v>
      </c>
      <c r="F1668">
        <v>10467</v>
      </c>
      <c r="G1668" t="s">
        <v>10090</v>
      </c>
      <c r="H1668" t="s">
        <v>10109</v>
      </c>
      <c r="I1668" t="s">
        <v>10168</v>
      </c>
      <c r="J1668" t="s">
        <v>10215</v>
      </c>
      <c r="K1668" t="s">
        <v>10217</v>
      </c>
      <c r="M1668" t="s">
        <v>10235</v>
      </c>
      <c r="N1668" t="s">
        <v>10651</v>
      </c>
      <c r="P1668" t="s">
        <v>10749</v>
      </c>
      <c r="Q1668" t="s">
        <v>10765</v>
      </c>
      <c r="R1668" t="s">
        <v>10821</v>
      </c>
      <c r="T1668">
        <v>9252</v>
      </c>
      <c r="U1668">
        <v>771</v>
      </c>
      <c r="V1668">
        <v>0</v>
      </c>
      <c r="W1668">
        <v>1</v>
      </c>
      <c r="X1668">
        <v>0</v>
      </c>
      <c r="Z1668">
        <v>74.08</v>
      </c>
      <c r="AA1668">
        <v>40.88528</v>
      </c>
      <c r="AB1668">
        <v>-73.864919</v>
      </c>
      <c r="AD1668" t="s">
        <v>10840</v>
      </c>
      <c r="AG1668" t="s">
        <v>10858</v>
      </c>
      <c r="AH1668" t="s">
        <v>10862</v>
      </c>
      <c r="AI1668">
        <v>231</v>
      </c>
      <c r="AJ1668" t="s">
        <v>10215</v>
      </c>
      <c r="AL1668">
        <v>0.2</v>
      </c>
      <c r="AM1668" t="s">
        <v>10893</v>
      </c>
      <c r="AN1668" t="s">
        <v>10956</v>
      </c>
      <c r="AO1668" t="s">
        <v>11010</v>
      </c>
      <c r="AP1668" t="s">
        <v>11085</v>
      </c>
      <c r="AR1668" t="s">
        <v>11263</v>
      </c>
      <c r="AS1668" t="s">
        <v>9926</v>
      </c>
      <c r="AT1668" t="s">
        <v>11642</v>
      </c>
      <c r="AX1668" t="s">
        <v>10838</v>
      </c>
      <c r="BA1668" t="s">
        <v>11738</v>
      </c>
      <c r="BB1668">
        <v>0</v>
      </c>
      <c r="BC1668">
        <v>0</v>
      </c>
      <c r="BD1668">
        <v>0</v>
      </c>
      <c r="BE1668">
        <v>0</v>
      </c>
      <c r="BF1668">
        <v>5</v>
      </c>
      <c r="BG1668">
        <v>0</v>
      </c>
    </row>
    <row r="1669" spans="1:59">
      <c r="A1669" s="1">
        <f>HYPERLINK("https://lsnyc.legalserver.org/matter/dynamic-profile/view/1905539","19-1905539")</f>
        <v>0</v>
      </c>
      <c r="B1669" t="s">
        <v>1131</v>
      </c>
      <c r="C1669" t="s">
        <v>6304</v>
      </c>
      <c r="D1669" t="s">
        <v>9929</v>
      </c>
      <c r="E1669" t="s">
        <v>10075</v>
      </c>
      <c r="F1669">
        <v>10309</v>
      </c>
      <c r="G1669" t="s">
        <v>10088</v>
      </c>
      <c r="H1669" t="s">
        <v>10109</v>
      </c>
      <c r="I1669" t="s">
        <v>10168</v>
      </c>
      <c r="J1669" t="s">
        <v>10208</v>
      </c>
      <c r="K1669" t="s">
        <v>10218</v>
      </c>
      <c r="L1669" t="s">
        <v>10111</v>
      </c>
      <c r="M1669" t="s">
        <v>10542</v>
      </c>
      <c r="N1669" t="s">
        <v>10729</v>
      </c>
      <c r="P1669" t="s">
        <v>10754</v>
      </c>
      <c r="Q1669" t="s">
        <v>10766</v>
      </c>
      <c r="R1669" t="s">
        <v>10824</v>
      </c>
      <c r="T1669">
        <v>520</v>
      </c>
      <c r="U1669">
        <v>43.33</v>
      </c>
      <c r="V1669">
        <v>54</v>
      </c>
      <c r="W1669">
        <v>3</v>
      </c>
      <c r="X1669">
        <v>0</v>
      </c>
      <c r="Y1669" t="s">
        <v>10829</v>
      </c>
      <c r="Z1669">
        <v>2.44</v>
      </c>
      <c r="AA1669">
        <v>40.534416</v>
      </c>
      <c r="AB1669">
        <v>-74.206445</v>
      </c>
      <c r="AD1669" t="s">
        <v>10839</v>
      </c>
      <c r="AF1669" t="s">
        <v>10843</v>
      </c>
      <c r="AG1669" t="s">
        <v>10859</v>
      </c>
      <c r="AH1669" t="s">
        <v>10865</v>
      </c>
      <c r="AI1669">
        <v>285</v>
      </c>
      <c r="AJ1669" t="s">
        <v>10208</v>
      </c>
      <c r="AK1669" t="s">
        <v>10837</v>
      </c>
      <c r="AL1669">
        <v>1.3</v>
      </c>
      <c r="AM1669" t="s">
        <v>10883</v>
      </c>
      <c r="AN1669" t="s">
        <v>10906</v>
      </c>
      <c r="AO1669" t="s">
        <v>10999</v>
      </c>
      <c r="AP1669" t="s">
        <v>11044</v>
      </c>
      <c r="AQ1669" t="s">
        <v>11112</v>
      </c>
      <c r="AR1669" t="s">
        <v>11382</v>
      </c>
      <c r="AS1669" t="s">
        <v>11593</v>
      </c>
      <c r="AT1669" t="s">
        <v>11641</v>
      </c>
      <c r="AY1669" t="s">
        <v>10829</v>
      </c>
      <c r="AZ1669" t="s">
        <v>11683</v>
      </c>
      <c r="BA1669" t="s">
        <v>11741</v>
      </c>
      <c r="BB1669">
        <v>0</v>
      </c>
      <c r="BC1669">
        <v>0</v>
      </c>
      <c r="BD1669">
        <v>0</v>
      </c>
      <c r="BE1669">
        <v>0</v>
      </c>
      <c r="BF1669">
        <v>1</v>
      </c>
      <c r="BG1669">
        <v>0</v>
      </c>
    </row>
    <row r="1670" spans="1:59">
      <c r="A1670" s="1">
        <f>HYPERLINK("https://lsnyc.legalserver.org/matter/dynamic-profile/view/1905540","19-1905540")</f>
        <v>0</v>
      </c>
      <c r="B1670" t="s">
        <v>1483</v>
      </c>
      <c r="C1670" t="s">
        <v>6305</v>
      </c>
      <c r="D1670" t="s">
        <v>9925</v>
      </c>
      <c r="E1670" t="s">
        <v>10075</v>
      </c>
      <c r="F1670">
        <v>10018</v>
      </c>
      <c r="G1670" t="s">
        <v>10089</v>
      </c>
      <c r="H1670" t="s">
        <v>10109</v>
      </c>
      <c r="I1670" t="s">
        <v>10169</v>
      </c>
      <c r="J1670" t="s">
        <v>10209</v>
      </c>
      <c r="K1670" t="s">
        <v>10217</v>
      </c>
      <c r="M1670" t="s">
        <v>10300</v>
      </c>
      <c r="N1670" t="s">
        <v>10716</v>
      </c>
      <c r="P1670" t="s">
        <v>10754</v>
      </c>
      <c r="Q1670" t="s">
        <v>10775</v>
      </c>
      <c r="R1670" t="s">
        <v>10821</v>
      </c>
      <c r="T1670">
        <v>23400</v>
      </c>
      <c r="U1670">
        <v>1950</v>
      </c>
      <c r="V1670">
        <v>62</v>
      </c>
      <c r="W1670">
        <v>1</v>
      </c>
      <c r="X1670">
        <v>0</v>
      </c>
      <c r="Z1670">
        <v>187.35</v>
      </c>
      <c r="AA1670">
        <v>40.752043</v>
      </c>
      <c r="AB1670">
        <v>-73.98558800000001</v>
      </c>
      <c r="AD1670" t="s">
        <v>10840</v>
      </c>
      <c r="AG1670" t="s">
        <v>10858</v>
      </c>
      <c r="AH1670" t="s">
        <v>10871</v>
      </c>
      <c r="AI1670">
        <v>234</v>
      </c>
      <c r="AJ1670" t="s">
        <v>10214</v>
      </c>
      <c r="AK1670" t="s">
        <v>10837</v>
      </c>
      <c r="AL1670">
        <v>4.1</v>
      </c>
      <c r="AM1670" t="s">
        <v>10891</v>
      </c>
      <c r="AN1670" t="s">
        <v>10966</v>
      </c>
      <c r="AO1670" t="s">
        <v>11021</v>
      </c>
      <c r="AP1670" t="s">
        <v>11091</v>
      </c>
      <c r="AR1670" t="s">
        <v>11257</v>
      </c>
      <c r="AS1670" t="s">
        <v>9925</v>
      </c>
      <c r="AT1670" t="s">
        <v>11642</v>
      </c>
      <c r="AX1670" t="s">
        <v>10838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</row>
    <row r="1671" spans="1:59">
      <c r="A1671" s="1">
        <f>HYPERLINK("https://lsnyc.legalserver.org/matter/dynamic-profile/view/1905541","19-1905541")</f>
        <v>0</v>
      </c>
      <c r="B1671" t="s">
        <v>1484</v>
      </c>
      <c r="C1671" t="s">
        <v>6306</v>
      </c>
      <c r="D1671" t="s">
        <v>9926</v>
      </c>
      <c r="E1671" t="s">
        <v>10075</v>
      </c>
      <c r="F1671">
        <v>10475</v>
      </c>
      <c r="G1671" t="s">
        <v>10090</v>
      </c>
      <c r="H1671" t="s">
        <v>10109</v>
      </c>
      <c r="I1671" t="s">
        <v>10168</v>
      </c>
      <c r="J1671" t="s">
        <v>10210</v>
      </c>
      <c r="K1671" t="s">
        <v>10217</v>
      </c>
      <c r="M1671" t="s">
        <v>10336</v>
      </c>
      <c r="N1671" t="s">
        <v>10671</v>
      </c>
      <c r="P1671" t="s">
        <v>10758</v>
      </c>
      <c r="Q1671" t="s">
        <v>10793</v>
      </c>
      <c r="R1671" t="s">
        <v>10821</v>
      </c>
      <c r="T1671">
        <v>9360</v>
      </c>
      <c r="U1671">
        <v>780</v>
      </c>
      <c r="V1671">
        <v>51</v>
      </c>
      <c r="W1671">
        <v>1</v>
      </c>
      <c r="X1671">
        <v>2</v>
      </c>
      <c r="Z1671">
        <v>43.88</v>
      </c>
      <c r="AA1671">
        <v>40.872797</v>
      </c>
      <c r="AB1671">
        <v>-73.82995099999999</v>
      </c>
      <c r="AD1671" t="s">
        <v>10839</v>
      </c>
      <c r="AG1671" t="s">
        <v>10858</v>
      </c>
      <c r="AH1671" t="s">
        <v>10871</v>
      </c>
      <c r="AI1671">
        <v>234</v>
      </c>
      <c r="AJ1671" t="s">
        <v>10214</v>
      </c>
      <c r="AL1671">
        <v>2.55</v>
      </c>
      <c r="AM1671" t="s">
        <v>10893</v>
      </c>
      <c r="AN1671" t="s">
        <v>10911</v>
      </c>
      <c r="AO1671" t="s">
        <v>11010</v>
      </c>
      <c r="AP1671" t="s">
        <v>11085</v>
      </c>
      <c r="AR1671" t="s">
        <v>11319</v>
      </c>
      <c r="AS1671" t="s">
        <v>9926</v>
      </c>
      <c r="AT1671" t="s">
        <v>11641</v>
      </c>
      <c r="AX1671" t="s">
        <v>10838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</row>
    <row r="1672" spans="1:59">
      <c r="A1672" s="1">
        <f>HYPERLINK("https://lsnyc.legalserver.org/matter/dynamic-profile/view/1905542","19-1905542")</f>
        <v>0</v>
      </c>
      <c r="B1672" t="s">
        <v>1485</v>
      </c>
      <c r="C1672" t="s">
        <v>6307</v>
      </c>
      <c r="D1672" t="s">
        <v>9926</v>
      </c>
      <c r="E1672" t="s">
        <v>10075</v>
      </c>
      <c r="F1672">
        <v>10457</v>
      </c>
      <c r="G1672" t="s">
        <v>10090</v>
      </c>
      <c r="H1672" t="s">
        <v>10109</v>
      </c>
      <c r="I1672" t="s">
        <v>10168</v>
      </c>
      <c r="J1672" t="s">
        <v>10210</v>
      </c>
      <c r="K1672" t="s">
        <v>10217</v>
      </c>
      <c r="M1672" t="s">
        <v>10407</v>
      </c>
      <c r="N1672" t="s">
        <v>10671</v>
      </c>
      <c r="P1672" t="s">
        <v>10758</v>
      </c>
      <c r="Q1672" t="s">
        <v>10793</v>
      </c>
      <c r="R1672" t="s">
        <v>10824</v>
      </c>
      <c r="T1672">
        <v>25000</v>
      </c>
      <c r="U1672">
        <v>2083.33</v>
      </c>
      <c r="V1672">
        <v>29</v>
      </c>
      <c r="W1672">
        <v>1</v>
      </c>
      <c r="X1672">
        <v>2</v>
      </c>
      <c r="Z1672">
        <v>117.21</v>
      </c>
      <c r="AA1672">
        <v>40.847494</v>
      </c>
      <c r="AB1672">
        <v>-73.907099</v>
      </c>
      <c r="AD1672" t="s">
        <v>10839</v>
      </c>
      <c r="AF1672" t="s">
        <v>10843</v>
      </c>
      <c r="AG1672" t="s">
        <v>10859</v>
      </c>
      <c r="AH1672" t="s">
        <v>10861</v>
      </c>
      <c r="AI1672">
        <v>234</v>
      </c>
      <c r="AJ1672" t="s">
        <v>10214</v>
      </c>
      <c r="AL1672">
        <v>2.5</v>
      </c>
      <c r="AM1672" t="s">
        <v>10884</v>
      </c>
      <c r="AN1672" t="s">
        <v>10931</v>
      </c>
      <c r="AO1672" t="s">
        <v>11000</v>
      </c>
      <c r="AP1672" t="s">
        <v>11056</v>
      </c>
      <c r="AR1672" t="s">
        <v>11257</v>
      </c>
      <c r="AS1672" t="s">
        <v>9926</v>
      </c>
      <c r="AT1672" t="s">
        <v>11641</v>
      </c>
      <c r="AX1672" t="s">
        <v>10838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</row>
    <row r="1673" spans="1:59">
      <c r="A1673" s="1">
        <f>HYPERLINK("https://lsnyc.legalserver.org/matter/dynamic-profile/view/1905543","19-1905543")</f>
        <v>0</v>
      </c>
      <c r="B1673" t="s">
        <v>1486</v>
      </c>
      <c r="C1673" t="s">
        <v>6308</v>
      </c>
      <c r="D1673" t="s">
        <v>9926</v>
      </c>
      <c r="E1673" t="s">
        <v>10075</v>
      </c>
      <c r="F1673">
        <v>10451</v>
      </c>
      <c r="G1673" t="s">
        <v>10090</v>
      </c>
      <c r="H1673" t="s">
        <v>10106</v>
      </c>
      <c r="I1673" t="s">
        <v>10169</v>
      </c>
      <c r="J1673" t="s">
        <v>10210</v>
      </c>
      <c r="K1673" t="s">
        <v>10217</v>
      </c>
      <c r="M1673" t="s">
        <v>10445</v>
      </c>
      <c r="N1673" t="s">
        <v>10712</v>
      </c>
      <c r="P1673" t="s">
        <v>10753</v>
      </c>
      <c r="Q1673" t="s">
        <v>10763</v>
      </c>
      <c r="R1673" t="s">
        <v>10821</v>
      </c>
      <c r="T1673">
        <v>0</v>
      </c>
      <c r="U1673">
        <v>0</v>
      </c>
      <c r="V1673">
        <v>30</v>
      </c>
      <c r="W1673">
        <v>1</v>
      </c>
      <c r="X1673">
        <v>3</v>
      </c>
      <c r="Z1673">
        <v>0</v>
      </c>
      <c r="AA1673">
        <v>40.818468</v>
      </c>
      <c r="AB1673">
        <v>-73.918369</v>
      </c>
      <c r="AD1673" t="s">
        <v>10839</v>
      </c>
      <c r="AF1673" t="s">
        <v>10848</v>
      </c>
      <c r="AG1673" t="s">
        <v>10859</v>
      </c>
      <c r="AH1673" t="s">
        <v>10864</v>
      </c>
      <c r="AI1673">
        <v>230</v>
      </c>
      <c r="AJ1673" t="s">
        <v>10210</v>
      </c>
      <c r="AL1673">
        <v>0</v>
      </c>
      <c r="AM1673" t="s">
        <v>10884</v>
      </c>
      <c r="AN1673" t="s">
        <v>10924</v>
      </c>
      <c r="AO1673" t="s">
        <v>11001</v>
      </c>
      <c r="AP1673" t="s">
        <v>11062</v>
      </c>
      <c r="AQ1673" t="s">
        <v>11168</v>
      </c>
      <c r="AR1673" t="s">
        <v>11267</v>
      </c>
      <c r="AS1673" t="s">
        <v>9926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</row>
    <row r="1674" spans="1:59">
      <c r="A1674" s="1">
        <f>HYPERLINK("https://lsnyc.legalserver.org/matter/dynamic-profile/view/1905544","19-1905544")</f>
        <v>0</v>
      </c>
      <c r="B1674" t="s">
        <v>1487</v>
      </c>
      <c r="C1674" t="s">
        <v>6309</v>
      </c>
      <c r="D1674" t="s">
        <v>9926</v>
      </c>
      <c r="E1674" t="s">
        <v>10075</v>
      </c>
      <c r="F1674">
        <v>10466</v>
      </c>
      <c r="G1674" t="s">
        <v>10090</v>
      </c>
      <c r="H1674" t="s">
        <v>10109</v>
      </c>
      <c r="I1674" t="s">
        <v>10168</v>
      </c>
      <c r="J1674" t="s">
        <v>10210</v>
      </c>
      <c r="K1674" t="s">
        <v>10217</v>
      </c>
      <c r="M1674" t="s">
        <v>10525</v>
      </c>
      <c r="N1674" t="s">
        <v>10666</v>
      </c>
      <c r="P1674" t="s">
        <v>10749</v>
      </c>
      <c r="Q1674" t="s">
        <v>10765</v>
      </c>
      <c r="R1674" t="s">
        <v>10821</v>
      </c>
      <c r="T1674">
        <v>33020</v>
      </c>
      <c r="U1674">
        <v>2751.67</v>
      </c>
      <c r="V1674">
        <v>39</v>
      </c>
      <c r="W1674">
        <v>1</v>
      </c>
      <c r="X1674">
        <v>2</v>
      </c>
      <c r="Z1674">
        <v>154.81</v>
      </c>
      <c r="AA1674">
        <v>40.887164</v>
      </c>
      <c r="AB1674">
        <v>-73.864465</v>
      </c>
      <c r="AC1674" t="s">
        <v>10838</v>
      </c>
      <c r="AD1674" t="s">
        <v>10839</v>
      </c>
      <c r="AG1674" t="s">
        <v>10858</v>
      </c>
      <c r="AH1674" t="s">
        <v>10862</v>
      </c>
      <c r="AI1674">
        <v>230</v>
      </c>
      <c r="AJ1674" t="s">
        <v>10210</v>
      </c>
      <c r="AL1674">
        <v>14.05</v>
      </c>
      <c r="AM1674" t="s">
        <v>10893</v>
      </c>
      <c r="AN1674" t="s">
        <v>10956</v>
      </c>
      <c r="AO1674" t="s">
        <v>11010</v>
      </c>
      <c r="AP1674" t="s">
        <v>11085</v>
      </c>
      <c r="AR1674" t="s">
        <v>11257</v>
      </c>
      <c r="AS1674" t="s">
        <v>9926</v>
      </c>
      <c r="BA1674" t="s">
        <v>11738</v>
      </c>
      <c r="BB1674">
        <v>0</v>
      </c>
      <c r="BC1674">
        <v>0</v>
      </c>
      <c r="BD1674">
        <v>0</v>
      </c>
      <c r="BE1674">
        <v>0</v>
      </c>
      <c r="BF1674">
        <v>5</v>
      </c>
      <c r="BG1674">
        <v>0</v>
      </c>
    </row>
    <row r="1675" spans="1:59">
      <c r="A1675" s="1">
        <f>HYPERLINK("https://lsnyc.legalserver.org/matter/dynamic-profile/view/1905545","19-1905545")</f>
        <v>0</v>
      </c>
      <c r="B1675" t="s">
        <v>1488</v>
      </c>
      <c r="C1675" t="s">
        <v>6310</v>
      </c>
      <c r="D1675" t="s">
        <v>9951</v>
      </c>
      <c r="E1675" t="s">
        <v>10075</v>
      </c>
      <c r="F1675">
        <v>11416</v>
      </c>
      <c r="G1675" t="s">
        <v>10092</v>
      </c>
      <c r="H1675" t="s">
        <v>10109</v>
      </c>
      <c r="I1675" t="s">
        <v>10168</v>
      </c>
      <c r="J1675" t="s">
        <v>10212</v>
      </c>
      <c r="K1675" t="s">
        <v>10217</v>
      </c>
      <c r="M1675" t="s">
        <v>10547</v>
      </c>
      <c r="N1675" t="s">
        <v>10671</v>
      </c>
      <c r="P1675" t="s">
        <v>10753</v>
      </c>
      <c r="Q1675" t="s">
        <v>10763</v>
      </c>
      <c r="R1675" t="s">
        <v>10826</v>
      </c>
      <c r="T1675">
        <v>11700</v>
      </c>
      <c r="U1675">
        <v>975</v>
      </c>
      <c r="V1675">
        <v>64</v>
      </c>
      <c r="W1675">
        <v>1</v>
      </c>
      <c r="X1675">
        <v>0</v>
      </c>
      <c r="Z1675">
        <v>93.67</v>
      </c>
      <c r="AA1675">
        <v>40.681598</v>
      </c>
      <c r="AB1675">
        <v>-73.853281</v>
      </c>
      <c r="AD1675" t="s">
        <v>10839</v>
      </c>
      <c r="AF1675" t="s">
        <v>10842</v>
      </c>
      <c r="AG1675" t="s">
        <v>10859</v>
      </c>
      <c r="AH1675" t="s">
        <v>10861</v>
      </c>
      <c r="AI1675">
        <v>234</v>
      </c>
      <c r="AJ1675" t="s">
        <v>10214</v>
      </c>
      <c r="AL1675">
        <v>4.9</v>
      </c>
      <c r="AM1675" t="s">
        <v>10886</v>
      </c>
      <c r="AN1675" t="s">
        <v>10958</v>
      </c>
      <c r="AO1675" t="s">
        <v>11024</v>
      </c>
      <c r="AP1675" t="s">
        <v>11088</v>
      </c>
      <c r="AR1675" t="s">
        <v>11257</v>
      </c>
      <c r="AS1675" t="s">
        <v>11594</v>
      </c>
      <c r="AT1675" t="s">
        <v>11641</v>
      </c>
      <c r="AX1675" t="s">
        <v>10838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</row>
    <row r="1676" spans="1:59">
      <c r="A1676" s="1">
        <f>HYPERLINK("https://lsnyc.legalserver.org/matter/dynamic-profile/view/1905546","19-1905546")</f>
        <v>0</v>
      </c>
      <c r="B1676" t="s">
        <v>1489</v>
      </c>
      <c r="C1676" t="s">
        <v>6311</v>
      </c>
      <c r="D1676" t="s">
        <v>9938</v>
      </c>
      <c r="E1676" t="s">
        <v>10075</v>
      </c>
      <c r="F1676">
        <v>11432</v>
      </c>
      <c r="G1676" t="s">
        <v>10092</v>
      </c>
      <c r="H1676" t="s">
        <v>10109</v>
      </c>
      <c r="I1676" t="s">
        <v>10168</v>
      </c>
      <c r="J1676" t="s">
        <v>10212</v>
      </c>
      <c r="K1676" t="s">
        <v>10218</v>
      </c>
      <c r="L1676" t="s">
        <v>10155</v>
      </c>
      <c r="M1676" t="s">
        <v>10318</v>
      </c>
      <c r="N1676" t="s">
        <v>10684</v>
      </c>
      <c r="P1676" t="s">
        <v>10751</v>
      </c>
      <c r="Q1676" t="s">
        <v>10786</v>
      </c>
      <c r="R1676" t="s">
        <v>10824</v>
      </c>
      <c r="T1676">
        <v>33894</v>
      </c>
      <c r="U1676">
        <v>2824.5</v>
      </c>
      <c r="V1676">
        <v>35</v>
      </c>
      <c r="W1676">
        <v>1</v>
      </c>
      <c r="X1676">
        <v>4</v>
      </c>
      <c r="Y1676" t="s">
        <v>10833</v>
      </c>
      <c r="Z1676">
        <v>112.34</v>
      </c>
      <c r="AA1676">
        <v>40.706288</v>
      </c>
      <c r="AB1676">
        <v>-73.797521</v>
      </c>
      <c r="AD1676" t="s">
        <v>10839</v>
      </c>
      <c r="AG1676" t="s">
        <v>10858</v>
      </c>
      <c r="AH1676" t="s">
        <v>10861</v>
      </c>
      <c r="AI1676">
        <v>234</v>
      </c>
      <c r="AJ1676" t="s">
        <v>10214</v>
      </c>
      <c r="AK1676" t="s">
        <v>10838</v>
      </c>
      <c r="AL1676">
        <v>2.2</v>
      </c>
      <c r="AM1676" t="s">
        <v>10892</v>
      </c>
      <c r="AN1676" t="s">
        <v>10955</v>
      </c>
      <c r="AO1676" t="s">
        <v>11020</v>
      </c>
      <c r="AP1676" t="s">
        <v>11081</v>
      </c>
      <c r="AR1676" t="s">
        <v>11262</v>
      </c>
      <c r="AS1676" t="s">
        <v>11594</v>
      </c>
      <c r="AT1676" t="s">
        <v>11641</v>
      </c>
      <c r="AX1676" t="s">
        <v>10838</v>
      </c>
      <c r="AY1676" t="s">
        <v>10833</v>
      </c>
      <c r="AZ1676" t="s">
        <v>11693</v>
      </c>
      <c r="BB1676">
        <v>0</v>
      </c>
      <c r="BC1676">
        <v>0</v>
      </c>
      <c r="BD1676">
        <v>0</v>
      </c>
      <c r="BE1676">
        <v>266</v>
      </c>
      <c r="BF1676">
        <v>0</v>
      </c>
      <c r="BG1676">
        <v>0</v>
      </c>
    </row>
    <row r="1677" spans="1:59">
      <c r="A1677" s="1">
        <f>HYPERLINK("https://lsnyc.legalserver.org/matter/dynamic-profile/view/1905547","19-1905547")</f>
        <v>0</v>
      </c>
      <c r="B1677" t="s">
        <v>1490</v>
      </c>
      <c r="C1677" t="s">
        <v>6312</v>
      </c>
      <c r="D1677" t="s">
        <v>9925</v>
      </c>
      <c r="E1677" t="s">
        <v>10075</v>
      </c>
      <c r="F1677">
        <v>10035</v>
      </c>
      <c r="G1677" t="s">
        <v>10089</v>
      </c>
      <c r="H1677" t="s">
        <v>10109</v>
      </c>
      <c r="I1677" t="s">
        <v>10168</v>
      </c>
      <c r="J1677" t="s">
        <v>10209</v>
      </c>
      <c r="K1677" t="s">
        <v>10218</v>
      </c>
      <c r="L1677" t="s">
        <v>10109</v>
      </c>
      <c r="M1677" t="s">
        <v>10543</v>
      </c>
      <c r="N1677" t="s">
        <v>10650</v>
      </c>
      <c r="P1677" t="s">
        <v>10749</v>
      </c>
      <c r="Q1677" t="s">
        <v>10765</v>
      </c>
      <c r="R1677" t="s">
        <v>10823</v>
      </c>
      <c r="T1677">
        <v>43000</v>
      </c>
      <c r="U1677">
        <v>3583.33</v>
      </c>
      <c r="V1677">
        <v>44</v>
      </c>
      <c r="W1677">
        <v>3</v>
      </c>
      <c r="X1677">
        <v>1</v>
      </c>
      <c r="Y1677" t="s">
        <v>10833</v>
      </c>
      <c r="Z1677">
        <v>166.99</v>
      </c>
      <c r="AA1677">
        <v>40.796815</v>
      </c>
      <c r="AB1677">
        <v>-73.935776</v>
      </c>
      <c r="AC1677" t="s">
        <v>10838</v>
      </c>
      <c r="AD1677" t="s">
        <v>10839</v>
      </c>
      <c r="AG1677" t="s">
        <v>10858</v>
      </c>
      <c r="AH1677" t="s">
        <v>10862</v>
      </c>
      <c r="AI1677">
        <v>236</v>
      </c>
      <c r="AJ1677" t="s">
        <v>10209</v>
      </c>
      <c r="AK1677" t="s">
        <v>10838</v>
      </c>
      <c r="AL1677">
        <v>0.1</v>
      </c>
      <c r="AM1677" t="s">
        <v>10887</v>
      </c>
      <c r="AN1677" t="s">
        <v>10926</v>
      </c>
      <c r="AO1677" t="s">
        <v>11013</v>
      </c>
      <c r="AP1677" t="s">
        <v>11066</v>
      </c>
      <c r="AR1677" t="s">
        <v>11257</v>
      </c>
      <c r="AS1677" t="s">
        <v>9925</v>
      </c>
      <c r="AT1677" t="s">
        <v>11641</v>
      </c>
      <c r="AX1677" t="s">
        <v>10838</v>
      </c>
      <c r="AY1677" t="s">
        <v>10833</v>
      </c>
      <c r="AZ1677" t="s">
        <v>11697</v>
      </c>
      <c r="BA1677" t="s">
        <v>11739</v>
      </c>
      <c r="BB1677">
        <v>0</v>
      </c>
      <c r="BC1677">
        <v>0</v>
      </c>
      <c r="BD1677">
        <v>0</v>
      </c>
      <c r="BE1677">
        <v>0</v>
      </c>
      <c r="BF1677">
        <v>4</v>
      </c>
      <c r="BG1677">
        <v>0</v>
      </c>
    </row>
    <row r="1678" spans="1:59">
      <c r="A1678" s="1">
        <f>HYPERLINK("https://lsnyc.legalserver.org/matter/dynamic-profile/view/1905548","19-1905548")</f>
        <v>0</v>
      </c>
      <c r="B1678" t="s">
        <v>1491</v>
      </c>
      <c r="C1678" t="s">
        <v>5185</v>
      </c>
      <c r="D1678" t="s">
        <v>9926</v>
      </c>
      <c r="E1678" t="s">
        <v>10075</v>
      </c>
      <c r="F1678">
        <v>10467</v>
      </c>
      <c r="G1678" t="s">
        <v>10091</v>
      </c>
      <c r="H1678" t="s">
        <v>10109</v>
      </c>
      <c r="I1678" t="s">
        <v>10168</v>
      </c>
      <c r="J1678" t="s">
        <v>10214</v>
      </c>
      <c r="K1678" t="s">
        <v>10217</v>
      </c>
      <c r="M1678" t="s">
        <v>10286</v>
      </c>
      <c r="N1678" t="s">
        <v>10671</v>
      </c>
      <c r="P1678" t="s">
        <v>10749</v>
      </c>
      <c r="Q1678" t="s">
        <v>10765</v>
      </c>
      <c r="R1678" t="s">
        <v>10824</v>
      </c>
      <c r="T1678">
        <v>6500</v>
      </c>
      <c r="U1678">
        <v>541.67</v>
      </c>
      <c r="V1678">
        <v>28</v>
      </c>
      <c r="W1678">
        <v>1</v>
      </c>
      <c r="X1678">
        <v>0</v>
      </c>
      <c r="Z1678">
        <v>52.04</v>
      </c>
      <c r="AA1678">
        <v>40.881117</v>
      </c>
      <c r="AB1678">
        <v>-73.86736500000001</v>
      </c>
      <c r="AD1678" t="s">
        <v>10839</v>
      </c>
      <c r="AG1678" t="s">
        <v>10858</v>
      </c>
      <c r="AH1678" t="s">
        <v>10871</v>
      </c>
      <c r="AI1678">
        <v>234</v>
      </c>
      <c r="AJ1678" t="s">
        <v>10214</v>
      </c>
      <c r="AL1678">
        <v>1</v>
      </c>
      <c r="AM1678" t="s">
        <v>10893</v>
      </c>
      <c r="AN1678" t="s">
        <v>10956</v>
      </c>
      <c r="AO1678" t="s">
        <v>11010</v>
      </c>
      <c r="AP1678" t="s">
        <v>11085</v>
      </c>
      <c r="AR1678" t="s">
        <v>11311</v>
      </c>
      <c r="AS1678" t="s">
        <v>9926</v>
      </c>
      <c r="AT1678" t="s">
        <v>11641</v>
      </c>
      <c r="AX1678" t="s">
        <v>10838</v>
      </c>
      <c r="BA1678" t="s">
        <v>11741</v>
      </c>
      <c r="BB1678">
        <v>0</v>
      </c>
      <c r="BC1678">
        <v>0</v>
      </c>
      <c r="BD1678">
        <v>0</v>
      </c>
      <c r="BE1678">
        <v>0</v>
      </c>
      <c r="BF1678">
        <v>1</v>
      </c>
      <c r="BG1678">
        <v>0</v>
      </c>
    </row>
    <row r="1679" spans="1:59">
      <c r="A1679" s="1">
        <f>HYPERLINK("https://lsnyc.legalserver.org/matter/dynamic-profile/view/1905549","19-1905549")</f>
        <v>0</v>
      </c>
      <c r="B1679" t="s">
        <v>1492</v>
      </c>
      <c r="C1679" t="s">
        <v>6313</v>
      </c>
      <c r="D1679" t="s">
        <v>9925</v>
      </c>
      <c r="E1679" t="s">
        <v>10075</v>
      </c>
      <c r="F1679">
        <v>10037</v>
      </c>
      <c r="G1679" t="s">
        <v>10089</v>
      </c>
      <c r="H1679" t="s">
        <v>10109</v>
      </c>
      <c r="I1679" t="s">
        <v>10168</v>
      </c>
      <c r="J1679" t="s">
        <v>10209</v>
      </c>
      <c r="K1679" t="s">
        <v>10217</v>
      </c>
      <c r="M1679" t="s">
        <v>10301</v>
      </c>
      <c r="N1679" t="s">
        <v>10665</v>
      </c>
      <c r="P1679" t="s">
        <v>10751</v>
      </c>
      <c r="Q1679" t="s">
        <v>10773</v>
      </c>
      <c r="R1679" t="s">
        <v>10822</v>
      </c>
      <c r="T1679">
        <v>0</v>
      </c>
      <c r="U1679">
        <v>0</v>
      </c>
      <c r="V1679">
        <v>38</v>
      </c>
      <c r="W1679">
        <v>1</v>
      </c>
      <c r="X1679">
        <v>0</v>
      </c>
      <c r="Z1679">
        <v>0</v>
      </c>
      <c r="AA1679">
        <v>40.81208</v>
      </c>
      <c r="AB1679">
        <v>-73.93859999999999</v>
      </c>
      <c r="AD1679" t="s">
        <v>10822</v>
      </c>
      <c r="AG1679" t="s">
        <v>10858</v>
      </c>
      <c r="AH1679" t="s">
        <v>10861</v>
      </c>
      <c r="AI1679">
        <v>234</v>
      </c>
      <c r="AJ1679" t="s">
        <v>10214</v>
      </c>
      <c r="AL1679">
        <v>2.35</v>
      </c>
      <c r="AM1679" t="s">
        <v>10887</v>
      </c>
      <c r="AN1679" t="s">
        <v>10936</v>
      </c>
      <c r="AO1679" t="s">
        <v>11016</v>
      </c>
      <c r="AP1679" t="s">
        <v>11076</v>
      </c>
      <c r="AQ1679" t="s">
        <v>11115</v>
      </c>
      <c r="AR1679" t="s">
        <v>11267</v>
      </c>
      <c r="AS1679" t="s">
        <v>9925</v>
      </c>
      <c r="AT1679" t="s">
        <v>11642</v>
      </c>
      <c r="AX1679" t="s">
        <v>11678</v>
      </c>
      <c r="BA1679" t="s">
        <v>11741</v>
      </c>
      <c r="BB1679">
        <v>0</v>
      </c>
      <c r="BC1679">
        <v>0</v>
      </c>
      <c r="BD1679">
        <v>0</v>
      </c>
      <c r="BE1679">
        <v>0</v>
      </c>
      <c r="BF1679">
        <v>1</v>
      </c>
      <c r="BG1679">
        <v>0</v>
      </c>
    </row>
    <row r="1680" spans="1:59">
      <c r="A1680" s="1">
        <f>HYPERLINK("https://lsnyc.legalserver.org/matter/dynamic-profile/view/1905550","19-1905550")</f>
        <v>0</v>
      </c>
      <c r="B1680" t="s">
        <v>1490</v>
      </c>
      <c r="C1680" t="s">
        <v>6312</v>
      </c>
      <c r="D1680" t="s">
        <v>9925</v>
      </c>
      <c r="E1680" t="s">
        <v>10075</v>
      </c>
      <c r="F1680">
        <v>10035</v>
      </c>
      <c r="G1680" t="s">
        <v>10089</v>
      </c>
      <c r="H1680" t="s">
        <v>10109</v>
      </c>
      <c r="I1680" t="s">
        <v>10168</v>
      </c>
      <c r="J1680" t="s">
        <v>10209</v>
      </c>
      <c r="K1680" t="s">
        <v>10217</v>
      </c>
      <c r="M1680" t="s">
        <v>10543</v>
      </c>
      <c r="N1680" t="s">
        <v>10650</v>
      </c>
      <c r="P1680" t="s">
        <v>10749</v>
      </c>
      <c r="Q1680" t="s">
        <v>10765</v>
      </c>
      <c r="R1680" t="s">
        <v>10823</v>
      </c>
      <c r="T1680">
        <v>43000</v>
      </c>
      <c r="U1680">
        <v>3583.33</v>
      </c>
      <c r="V1680">
        <v>44</v>
      </c>
      <c r="W1680">
        <v>3</v>
      </c>
      <c r="X1680">
        <v>1</v>
      </c>
      <c r="Z1680">
        <v>166.99</v>
      </c>
      <c r="AA1680">
        <v>40.796815</v>
      </c>
      <c r="AB1680">
        <v>-73.935776</v>
      </c>
      <c r="AD1680" t="s">
        <v>10839</v>
      </c>
      <c r="AG1680" t="s">
        <v>10858</v>
      </c>
      <c r="AH1680" t="s">
        <v>10862</v>
      </c>
      <c r="AI1680">
        <v>236</v>
      </c>
      <c r="AJ1680" t="s">
        <v>10209</v>
      </c>
      <c r="AL1680">
        <v>0</v>
      </c>
      <c r="AM1680" t="s">
        <v>10887</v>
      </c>
      <c r="AN1680" t="s">
        <v>10926</v>
      </c>
      <c r="AO1680" t="s">
        <v>11013</v>
      </c>
      <c r="AP1680" t="s">
        <v>11066</v>
      </c>
      <c r="AR1680" t="s">
        <v>11257</v>
      </c>
      <c r="AS1680" t="s">
        <v>9925</v>
      </c>
      <c r="AT1680" t="s">
        <v>11641</v>
      </c>
      <c r="AX1680" t="s">
        <v>10838</v>
      </c>
      <c r="BA1680" t="s">
        <v>11738</v>
      </c>
      <c r="BB1680">
        <v>0</v>
      </c>
      <c r="BC1680">
        <v>0</v>
      </c>
      <c r="BD1680">
        <v>0</v>
      </c>
      <c r="BE1680">
        <v>0</v>
      </c>
      <c r="BF1680">
        <v>5</v>
      </c>
      <c r="BG1680">
        <v>0</v>
      </c>
    </row>
    <row r="1681" spans="1:59">
      <c r="A1681" s="1">
        <f>HYPERLINK("https://lsnyc.legalserver.org/matter/dynamic-profile/view/1905551","19-1905551")</f>
        <v>0</v>
      </c>
      <c r="B1681" t="s">
        <v>1493</v>
      </c>
      <c r="C1681" t="s">
        <v>6314</v>
      </c>
      <c r="D1681" t="s">
        <v>9926</v>
      </c>
      <c r="E1681" t="s">
        <v>10075</v>
      </c>
      <c r="F1681">
        <v>10468</v>
      </c>
      <c r="G1681" t="s">
        <v>10090</v>
      </c>
      <c r="H1681" t="s">
        <v>10109</v>
      </c>
      <c r="J1681" t="s">
        <v>10210</v>
      </c>
      <c r="K1681" t="s">
        <v>10217</v>
      </c>
      <c r="M1681" t="s">
        <v>10349</v>
      </c>
      <c r="N1681" t="s">
        <v>10651</v>
      </c>
      <c r="P1681" t="s">
        <v>10749</v>
      </c>
      <c r="Q1681" t="s">
        <v>10765</v>
      </c>
      <c r="R1681" t="s">
        <v>10824</v>
      </c>
      <c r="T1681">
        <v>18200</v>
      </c>
      <c r="U1681">
        <v>1516.67</v>
      </c>
      <c r="V1681">
        <v>23</v>
      </c>
      <c r="W1681">
        <v>1</v>
      </c>
      <c r="X1681">
        <v>0</v>
      </c>
      <c r="Z1681">
        <v>145.72</v>
      </c>
      <c r="AA1681">
        <v>40.861032</v>
      </c>
      <c r="AB1681">
        <v>-73.898734</v>
      </c>
      <c r="AD1681" t="s">
        <v>10840</v>
      </c>
      <c r="AG1681" t="s">
        <v>10858</v>
      </c>
      <c r="AH1681" t="s">
        <v>10861</v>
      </c>
      <c r="AI1681">
        <v>230</v>
      </c>
      <c r="AJ1681" t="s">
        <v>10210</v>
      </c>
      <c r="AL1681">
        <v>5.5</v>
      </c>
      <c r="AM1681" t="s">
        <v>10884</v>
      </c>
      <c r="AN1681" t="s">
        <v>10931</v>
      </c>
      <c r="AO1681" t="s">
        <v>11000</v>
      </c>
      <c r="AP1681" t="s">
        <v>11045</v>
      </c>
      <c r="AR1681" t="s">
        <v>11257</v>
      </c>
      <c r="AS1681" t="s">
        <v>9926</v>
      </c>
      <c r="AT1681" t="s">
        <v>11642</v>
      </c>
      <c r="AX1681" t="s">
        <v>10838</v>
      </c>
      <c r="BA1681" t="s">
        <v>11738</v>
      </c>
      <c r="BB1681">
        <v>0</v>
      </c>
      <c r="BC1681">
        <v>0</v>
      </c>
      <c r="BD1681">
        <v>0</v>
      </c>
      <c r="BE1681">
        <v>0</v>
      </c>
      <c r="BF1681">
        <v>5</v>
      </c>
      <c r="BG1681">
        <v>0</v>
      </c>
    </row>
    <row r="1682" spans="1:59">
      <c r="A1682" s="1">
        <f>HYPERLINK("https://lsnyc.legalserver.org/matter/dynamic-profile/view/1905552","19-1905552")</f>
        <v>0</v>
      </c>
      <c r="B1682" t="s">
        <v>1494</v>
      </c>
      <c r="C1682" t="s">
        <v>6315</v>
      </c>
      <c r="D1682" t="s">
        <v>9926</v>
      </c>
      <c r="E1682" t="s">
        <v>10075</v>
      </c>
      <c r="F1682">
        <v>10475</v>
      </c>
      <c r="G1682" t="s">
        <v>10090</v>
      </c>
      <c r="H1682" t="s">
        <v>10109</v>
      </c>
      <c r="I1682" t="s">
        <v>10168</v>
      </c>
      <c r="J1682" t="s">
        <v>10210</v>
      </c>
      <c r="K1682" t="s">
        <v>10217</v>
      </c>
      <c r="M1682" t="s">
        <v>10548</v>
      </c>
      <c r="N1682" t="s">
        <v>10676</v>
      </c>
      <c r="P1682" t="s">
        <v>10757</v>
      </c>
      <c r="Q1682" t="s">
        <v>10789</v>
      </c>
      <c r="R1682" t="s">
        <v>10823</v>
      </c>
      <c r="T1682">
        <v>20364</v>
      </c>
      <c r="U1682">
        <v>1697</v>
      </c>
      <c r="V1682">
        <v>44</v>
      </c>
      <c r="W1682">
        <v>1</v>
      </c>
      <c r="X1682">
        <v>0</v>
      </c>
      <c r="Z1682">
        <v>163.04</v>
      </c>
      <c r="AA1682">
        <v>40.88078</v>
      </c>
      <c r="AB1682">
        <v>-73.82768299999999</v>
      </c>
      <c r="AD1682" t="s">
        <v>10839</v>
      </c>
      <c r="AG1682" t="s">
        <v>10858</v>
      </c>
      <c r="AH1682" t="s">
        <v>10861</v>
      </c>
      <c r="AI1682">
        <v>234</v>
      </c>
      <c r="AJ1682" t="s">
        <v>10214</v>
      </c>
      <c r="AL1682">
        <v>15.8</v>
      </c>
      <c r="AR1682" t="s">
        <v>11298</v>
      </c>
      <c r="AS1682" t="s">
        <v>9926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</row>
    <row r="1683" spans="1:59">
      <c r="A1683" s="1">
        <f>HYPERLINK("https://lsnyc.legalserver.org/matter/dynamic-profile/view/1905553","19-1905553")</f>
        <v>0</v>
      </c>
      <c r="B1683" t="s">
        <v>1495</v>
      </c>
      <c r="C1683" t="s">
        <v>6316</v>
      </c>
      <c r="D1683" t="s">
        <v>9926</v>
      </c>
      <c r="E1683" t="s">
        <v>10075</v>
      </c>
      <c r="F1683">
        <v>10468</v>
      </c>
      <c r="G1683" t="s">
        <v>10090</v>
      </c>
      <c r="H1683" t="s">
        <v>10109</v>
      </c>
      <c r="I1683" t="s">
        <v>10168</v>
      </c>
      <c r="J1683" t="s">
        <v>10210</v>
      </c>
      <c r="K1683" t="s">
        <v>10217</v>
      </c>
      <c r="M1683" t="s">
        <v>10372</v>
      </c>
      <c r="N1683" t="s">
        <v>10704</v>
      </c>
      <c r="P1683" t="s">
        <v>10750</v>
      </c>
      <c r="Q1683" t="s">
        <v>10778</v>
      </c>
      <c r="R1683" t="s">
        <v>10821</v>
      </c>
      <c r="T1683">
        <v>12256</v>
      </c>
      <c r="U1683">
        <v>1021.33</v>
      </c>
      <c r="V1683">
        <v>56</v>
      </c>
      <c r="W1683">
        <v>1</v>
      </c>
      <c r="X1683">
        <v>0</v>
      </c>
      <c r="Z1683">
        <v>98.13</v>
      </c>
      <c r="AA1683">
        <v>40.864495</v>
      </c>
      <c r="AB1683">
        <v>-73.906267</v>
      </c>
      <c r="AD1683" t="s">
        <v>10839</v>
      </c>
      <c r="AF1683" t="s">
        <v>10843</v>
      </c>
      <c r="AG1683" t="s">
        <v>10859</v>
      </c>
      <c r="AH1683" t="s">
        <v>10871</v>
      </c>
      <c r="AI1683">
        <v>234</v>
      </c>
      <c r="AJ1683" t="s">
        <v>10214</v>
      </c>
      <c r="AL1683">
        <v>3.97</v>
      </c>
      <c r="AM1683" t="s">
        <v>10887</v>
      </c>
      <c r="AN1683" t="s">
        <v>10907</v>
      </c>
      <c r="AO1683" t="s">
        <v>11000</v>
      </c>
      <c r="AP1683" t="s">
        <v>11045</v>
      </c>
      <c r="AR1683" t="s">
        <v>11280</v>
      </c>
      <c r="AS1683" t="s">
        <v>9926</v>
      </c>
      <c r="AT1683" t="s">
        <v>11641</v>
      </c>
      <c r="AX1683" t="s">
        <v>10838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</row>
    <row r="1684" spans="1:59">
      <c r="A1684" s="1">
        <f>HYPERLINK("https://lsnyc.legalserver.org/matter/dynamic-profile/view/1905554","19-1905554")</f>
        <v>0</v>
      </c>
      <c r="B1684" t="s">
        <v>1496</v>
      </c>
      <c r="C1684" t="s">
        <v>6317</v>
      </c>
      <c r="D1684" t="s">
        <v>9925</v>
      </c>
      <c r="E1684" t="s">
        <v>10075</v>
      </c>
      <c r="F1684">
        <v>10028</v>
      </c>
      <c r="G1684" t="s">
        <v>10089</v>
      </c>
      <c r="H1684" t="s">
        <v>10109</v>
      </c>
      <c r="I1684" t="s">
        <v>10168</v>
      </c>
      <c r="J1684" t="s">
        <v>10209</v>
      </c>
      <c r="K1684" t="s">
        <v>10217</v>
      </c>
      <c r="M1684" t="s">
        <v>10332</v>
      </c>
      <c r="N1684" t="s">
        <v>10690</v>
      </c>
      <c r="P1684" t="s">
        <v>10754</v>
      </c>
      <c r="Q1684" t="s">
        <v>10770</v>
      </c>
      <c r="R1684" t="s">
        <v>10820</v>
      </c>
      <c r="T1684">
        <v>32400</v>
      </c>
      <c r="U1684">
        <v>2700</v>
      </c>
      <c r="V1684">
        <v>81</v>
      </c>
      <c r="W1684">
        <v>1</v>
      </c>
      <c r="X1684">
        <v>0</v>
      </c>
      <c r="Z1684">
        <v>259.41</v>
      </c>
      <c r="AA1684">
        <v>40.77865</v>
      </c>
      <c r="AB1684">
        <v>-73.95474900000001</v>
      </c>
      <c r="AC1684" t="s">
        <v>10837</v>
      </c>
      <c r="AD1684" t="s">
        <v>10840</v>
      </c>
      <c r="AG1684" t="s">
        <v>10858</v>
      </c>
      <c r="AH1684" t="s">
        <v>10861</v>
      </c>
      <c r="AI1684">
        <v>234</v>
      </c>
      <c r="AJ1684" t="s">
        <v>10214</v>
      </c>
      <c r="AL1684">
        <v>8</v>
      </c>
      <c r="AM1684" t="s">
        <v>10891</v>
      </c>
      <c r="AN1684" t="s">
        <v>10970</v>
      </c>
      <c r="AO1684" t="s">
        <v>11026</v>
      </c>
      <c r="AP1684" t="s">
        <v>11094</v>
      </c>
      <c r="AR1684" t="s">
        <v>11263</v>
      </c>
      <c r="AS1684" t="s">
        <v>9925</v>
      </c>
      <c r="AT1684" t="s">
        <v>11642</v>
      </c>
      <c r="AX1684" t="s">
        <v>10838</v>
      </c>
      <c r="BA1684" t="s">
        <v>11742</v>
      </c>
      <c r="BB1684">
        <v>0</v>
      </c>
      <c r="BC1684">
        <v>0</v>
      </c>
      <c r="BD1684">
        <v>0</v>
      </c>
      <c r="BE1684">
        <v>0</v>
      </c>
      <c r="BF1684">
        <v>7</v>
      </c>
      <c r="BG1684">
        <v>0</v>
      </c>
    </row>
    <row r="1685" spans="1:59">
      <c r="A1685" s="1">
        <f>HYPERLINK("https://lsnyc.legalserver.org/matter/dynamic-profile/view/1905555","19-1905555")</f>
        <v>0</v>
      </c>
      <c r="B1685" t="s">
        <v>1497</v>
      </c>
      <c r="C1685" t="s">
        <v>6318</v>
      </c>
      <c r="D1685" t="s">
        <v>9926</v>
      </c>
      <c r="E1685" t="s">
        <v>10075</v>
      </c>
      <c r="F1685">
        <v>10453</v>
      </c>
      <c r="G1685" t="s">
        <v>10093</v>
      </c>
      <c r="H1685" t="s">
        <v>10109</v>
      </c>
      <c r="I1685" t="s">
        <v>10169</v>
      </c>
      <c r="J1685" t="s">
        <v>10213</v>
      </c>
      <c r="K1685" t="s">
        <v>10218</v>
      </c>
      <c r="L1685" t="s">
        <v>10149</v>
      </c>
      <c r="M1685" t="s">
        <v>10315</v>
      </c>
      <c r="N1685" t="s">
        <v>10686</v>
      </c>
      <c r="P1685" t="s">
        <v>10750</v>
      </c>
      <c r="Q1685" t="s">
        <v>10778</v>
      </c>
      <c r="R1685" t="s">
        <v>10823</v>
      </c>
      <c r="T1685">
        <v>4888</v>
      </c>
      <c r="U1685">
        <v>407.33</v>
      </c>
      <c r="V1685">
        <v>33</v>
      </c>
      <c r="W1685">
        <v>1</v>
      </c>
      <c r="X1685">
        <v>0</v>
      </c>
      <c r="Y1685" t="s">
        <v>10829</v>
      </c>
      <c r="Z1685">
        <v>39.14</v>
      </c>
      <c r="AA1685">
        <v>40.851734</v>
      </c>
      <c r="AB1685">
        <v>-73.914509</v>
      </c>
      <c r="AD1685" t="s">
        <v>10840</v>
      </c>
      <c r="AF1685" t="s">
        <v>10844</v>
      </c>
      <c r="AG1685" t="s">
        <v>10859</v>
      </c>
      <c r="AH1685" t="s">
        <v>10864</v>
      </c>
      <c r="AI1685">
        <v>239</v>
      </c>
      <c r="AJ1685" t="s">
        <v>10213</v>
      </c>
      <c r="AK1685" t="s">
        <v>10882</v>
      </c>
      <c r="AL1685">
        <v>1</v>
      </c>
      <c r="AM1685" t="s">
        <v>10884</v>
      </c>
      <c r="AN1685" t="s">
        <v>10931</v>
      </c>
      <c r="AO1685" t="s">
        <v>11013</v>
      </c>
      <c r="AP1685" t="s">
        <v>11045</v>
      </c>
      <c r="AR1685" t="s">
        <v>11333</v>
      </c>
      <c r="AS1685" t="s">
        <v>9926</v>
      </c>
      <c r="AT1685" t="s">
        <v>11642</v>
      </c>
      <c r="AX1685" t="s">
        <v>10837</v>
      </c>
      <c r="AY1685" t="s">
        <v>10829</v>
      </c>
      <c r="AZ1685" t="s">
        <v>11679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</row>
    <row r="1686" spans="1:59">
      <c r="A1686" s="1">
        <f>HYPERLINK("https://lsnyc.legalserver.org/matter/dynamic-profile/view/1905556","19-1905556")</f>
        <v>0</v>
      </c>
      <c r="B1686" t="s">
        <v>1498</v>
      </c>
      <c r="C1686" t="s">
        <v>6319</v>
      </c>
      <c r="D1686" t="s">
        <v>9928</v>
      </c>
      <c r="E1686" t="s">
        <v>10075</v>
      </c>
      <c r="F1686">
        <v>11237</v>
      </c>
      <c r="G1686" t="s">
        <v>10091</v>
      </c>
      <c r="H1686" t="s">
        <v>10109</v>
      </c>
      <c r="I1686" t="s">
        <v>10168</v>
      </c>
      <c r="J1686" t="s">
        <v>10211</v>
      </c>
      <c r="K1686" t="s">
        <v>10217</v>
      </c>
      <c r="M1686" t="s">
        <v>10231</v>
      </c>
      <c r="N1686" t="s">
        <v>10647</v>
      </c>
      <c r="P1686" t="s">
        <v>10752</v>
      </c>
      <c r="Q1686" t="s">
        <v>10762</v>
      </c>
      <c r="R1686" t="s">
        <v>10822</v>
      </c>
      <c r="T1686">
        <v>0</v>
      </c>
      <c r="U1686">
        <v>0</v>
      </c>
      <c r="V1686">
        <v>49</v>
      </c>
      <c r="W1686">
        <v>1</v>
      </c>
      <c r="X1686">
        <v>0</v>
      </c>
      <c r="Z1686">
        <v>0</v>
      </c>
      <c r="AA1686">
        <v>40.698045</v>
      </c>
      <c r="AB1686">
        <v>-73.913398</v>
      </c>
      <c r="AD1686" t="s">
        <v>10840</v>
      </c>
      <c r="AG1686" t="s">
        <v>10858</v>
      </c>
      <c r="AH1686" t="s">
        <v>10861</v>
      </c>
      <c r="AI1686">
        <v>234</v>
      </c>
      <c r="AJ1686" t="s">
        <v>10214</v>
      </c>
      <c r="AL1686">
        <v>1.9</v>
      </c>
      <c r="AM1686" t="s">
        <v>10886</v>
      </c>
      <c r="AN1686" t="s">
        <v>10942</v>
      </c>
      <c r="AO1686" t="s">
        <v>11011</v>
      </c>
      <c r="AP1686" t="s">
        <v>11058</v>
      </c>
      <c r="AR1686" t="s">
        <v>11267</v>
      </c>
      <c r="AS1686" t="s">
        <v>11595</v>
      </c>
      <c r="AT1686" t="s">
        <v>11642</v>
      </c>
      <c r="AX1686" t="s">
        <v>10838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</row>
    <row r="1687" spans="1:59">
      <c r="A1687" s="1">
        <f>HYPERLINK("https://lsnyc.legalserver.org/matter/dynamic-profile/view/1905557","19-1905557")</f>
        <v>0</v>
      </c>
      <c r="B1687" t="s">
        <v>1493</v>
      </c>
      <c r="C1687" t="s">
        <v>6314</v>
      </c>
      <c r="D1687" t="s">
        <v>9926</v>
      </c>
      <c r="E1687" t="s">
        <v>10075</v>
      </c>
      <c r="F1687">
        <v>10468</v>
      </c>
      <c r="G1687" t="s">
        <v>10090</v>
      </c>
      <c r="H1687" t="s">
        <v>10109</v>
      </c>
      <c r="J1687" t="s">
        <v>10210</v>
      </c>
      <c r="K1687" t="s">
        <v>10217</v>
      </c>
      <c r="M1687" t="s">
        <v>10353</v>
      </c>
      <c r="N1687" t="s">
        <v>10671</v>
      </c>
      <c r="P1687" t="s">
        <v>10751</v>
      </c>
      <c r="Q1687" t="s">
        <v>10761</v>
      </c>
      <c r="R1687" t="s">
        <v>10824</v>
      </c>
      <c r="T1687">
        <v>18200</v>
      </c>
      <c r="U1687">
        <v>1516.67</v>
      </c>
      <c r="V1687">
        <v>23</v>
      </c>
      <c r="W1687">
        <v>1</v>
      </c>
      <c r="X1687">
        <v>0</v>
      </c>
      <c r="Z1687">
        <v>145.72</v>
      </c>
      <c r="AA1687">
        <v>40.861032</v>
      </c>
      <c r="AB1687">
        <v>-73.898734</v>
      </c>
      <c r="AD1687" t="s">
        <v>10840</v>
      </c>
      <c r="AG1687" t="s">
        <v>10858</v>
      </c>
      <c r="AH1687" t="s">
        <v>10861</v>
      </c>
      <c r="AI1687">
        <v>230</v>
      </c>
      <c r="AJ1687" t="s">
        <v>10210</v>
      </c>
      <c r="AL1687">
        <v>0.1</v>
      </c>
      <c r="AM1687" t="s">
        <v>10884</v>
      </c>
      <c r="AN1687" t="s">
        <v>10931</v>
      </c>
      <c r="AO1687" t="s">
        <v>11000</v>
      </c>
      <c r="AP1687" t="s">
        <v>11045</v>
      </c>
      <c r="AR1687" t="s">
        <v>11257</v>
      </c>
      <c r="AS1687" t="s">
        <v>9926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</row>
    <row r="1688" spans="1:59">
      <c r="A1688" s="1">
        <f>HYPERLINK("https://lsnyc.legalserver.org/matter/dynamic-profile/view/1905559","19-1905559")</f>
        <v>0</v>
      </c>
      <c r="B1688" t="s">
        <v>1192</v>
      </c>
      <c r="C1688" t="s">
        <v>6038</v>
      </c>
      <c r="D1688" t="s">
        <v>9926</v>
      </c>
      <c r="E1688" t="s">
        <v>10075</v>
      </c>
      <c r="F1688">
        <v>10453</v>
      </c>
      <c r="G1688" t="s">
        <v>10090</v>
      </c>
      <c r="H1688" t="s">
        <v>10109</v>
      </c>
      <c r="I1688" t="s">
        <v>10169</v>
      </c>
      <c r="J1688" t="s">
        <v>10210</v>
      </c>
      <c r="K1688" t="s">
        <v>10217</v>
      </c>
      <c r="M1688" t="s">
        <v>10272</v>
      </c>
      <c r="N1688" t="s">
        <v>10650</v>
      </c>
      <c r="P1688" t="s">
        <v>10749</v>
      </c>
      <c r="Q1688" t="s">
        <v>10765</v>
      </c>
      <c r="R1688" t="s">
        <v>10821</v>
      </c>
      <c r="T1688">
        <v>0</v>
      </c>
      <c r="U1688">
        <v>0</v>
      </c>
      <c r="V1688">
        <v>52</v>
      </c>
      <c r="W1688">
        <v>4</v>
      </c>
      <c r="X1688">
        <v>0</v>
      </c>
      <c r="Z1688">
        <v>0</v>
      </c>
      <c r="AA1688">
        <v>40.854143</v>
      </c>
      <c r="AB1688">
        <v>-73.905995</v>
      </c>
      <c r="AD1688" t="s">
        <v>10839</v>
      </c>
      <c r="AG1688" t="s">
        <v>10858</v>
      </c>
      <c r="AH1688" t="s">
        <v>10862</v>
      </c>
      <c r="AI1688">
        <v>230</v>
      </c>
      <c r="AJ1688" t="s">
        <v>10210</v>
      </c>
      <c r="AL1688">
        <v>6</v>
      </c>
      <c r="AM1688" t="s">
        <v>10884</v>
      </c>
      <c r="AN1688" t="s">
        <v>10931</v>
      </c>
      <c r="AO1688" t="s">
        <v>11000</v>
      </c>
      <c r="AP1688" t="s">
        <v>11045</v>
      </c>
      <c r="AR1688" t="s">
        <v>11267</v>
      </c>
      <c r="AS1688" t="s">
        <v>9926</v>
      </c>
      <c r="BA1688" t="s">
        <v>11738</v>
      </c>
      <c r="BB1688">
        <v>0</v>
      </c>
      <c r="BC1688">
        <v>0</v>
      </c>
      <c r="BD1688">
        <v>0</v>
      </c>
      <c r="BE1688">
        <v>0</v>
      </c>
      <c r="BF1688">
        <v>5</v>
      </c>
      <c r="BG1688">
        <v>0</v>
      </c>
    </row>
    <row r="1689" spans="1:59">
      <c r="A1689" s="1">
        <f>HYPERLINK("https://lsnyc.legalserver.org/matter/dynamic-profile/view/1905560","19-1905560")</f>
        <v>0</v>
      </c>
      <c r="B1689" t="s">
        <v>1499</v>
      </c>
      <c r="C1689" t="s">
        <v>6320</v>
      </c>
      <c r="D1689" t="s">
        <v>9926</v>
      </c>
      <c r="E1689" t="s">
        <v>10075</v>
      </c>
      <c r="F1689">
        <v>10468</v>
      </c>
      <c r="G1689" t="s">
        <v>10090</v>
      </c>
      <c r="H1689" t="s">
        <v>10109</v>
      </c>
      <c r="I1689" t="s">
        <v>10168</v>
      </c>
      <c r="J1689" t="s">
        <v>10210</v>
      </c>
      <c r="K1689" t="s">
        <v>10217</v>
      </c>
      <c r="M1689" t="s">
        <v>10338</v>
      </c>
      <c r="N1689" t="s">
        <v>10677</v>
      </c>
      <c r="P1689" t="s">
        <v>10751</v>
      </c>
      <c r="Q1689" t="s">
        <v>10761</v>
      </c>
      <c r="R1689" t="s">
        <v>10824</v>
      </c>
      <c r="T1689">
        <v>9492</v>
      </c>
      <c r="U1689">
        <v>791</v>
      </c>
      <c r="V1689">
        <v>63</v>
      </c>
      <c r="W1689">
        <v>1</v>
      </c>
      <c r="X1689">
        <v>0</v>
      </c>
      <c r="Z1689">
        <v>76</v>
      </c>
      <c r="AA1689">
        <v>40.870918</v>
      </c>
      <c r="AB1689">
        <v>-73.891785</v>
      </c>
      <c r="AD1689" t="s">
        <v>10840</v>
      </c>
      <c r="AG1689" t="s">
        <v>10858</v>
      </c>
      <c r="AH1689" t="s">
        <v>10861</v>
      </c>
      <c r="AI1689">
        <v>234</v>
      </c>
      <c r="AJ1689" t="s">
        <v>10214</v>
      </c>
      <c r="AL1689">
        <v>2.6</v>
      </c>
      <c r="AM1689" t="s">
        <v>10887</v>
      </c>
      <c r="AN1689" t="s">
        <v>10907</v>
      </c>
      <c r="AO1689" t="s">
        <v>11000</v>
      </c>
      <c r="AP1689" t="s">
        <v>11045</v>
      </c>
      <c r="AR1689" t="s">
        <v>11274</v>
      </c>
      <c r="AS1689" t="s">
        <v>9926</v>
      </c>
      <c r="AT1689" t="s">
        <v>11642</v>
      </c>
      <c r="AX1689" t="s">
        <v>10838</v>
      </c>
      <c r="BA1689" t="s">
        <v>11740</v>
      </c>
      <c r="BB1689">
        <v>0</v>
      </c>
      <c r="BC1689">
        <v>0</v>
      </c>
      <c r="BD1689">
        <v>0</v>
      </c>
      <c r="BE1689">
        <v>0</v>
      </c>
      <c r="BF1689">
        <v>2</v>
      </c>
      <c r="BG1689">
        <v>0</v>
      </c>
    </row>
    <row r="1690" spans="1:59">
      <c r="A1690" s="1">
        <f>HYPERLINK("https://lsnyc.legalserver.org/matter/dynamic-profile/view/1905561","19-1905561")</f>
        <v>0</v>
      </c>
      <c r="B1690" t="s">
        <v>1500</v>
      </c>
      <c r="C1690" t="s">
        <v>6321</v>
      </c>
      <c r="D1690" t="s">
        <v>9928</v>
      </c>
      <c r="E1690" t="s">
        <v>10075</v>
      </c>
      <c r="F1690">
        <v>11203</v>
      </c>
      <c r="G1690" t="s">
        <v>10093</v>
      </c>
      <c r="H1690" t="s">
        <v>10109</v>
      </c>
      <c r="I1690" t="s">
        <v>10168</v>
      </c>
      <c r="J1690" t="s">
        <v>10213</v>
      </c>
      <c r="K1690" t="s">
        <v>10218</v>
      </c>
      <c r="L1690" t="s">
        <v>10109</v>
      </c>
      <c r="M1690" t="s">
        <v>10317</v>
      </c>
      <c r="N1690" t="s">
        <v>10671</v>
      </c>
      <c r="P1690" t="s">
        <v>10751</v>
      </c>
      <c r="Q1690" t="s">
        <v>10786</v>
      </c>
      <c r="R1690" t="s">
        <v>10824</v>
      </c>
      <c r="T1690">
        <v>13064.4</v>
      </c>
      <c r="U1690">
        <v>1088.7</v>
      </c>
      <c r="V1690">
        <v>57</v>
      </c>
      <c r="W1690">
        <v>1</v>
      </c>
      <c r="X1690">
        <v>0</v>
      </c>
      <c r="Y1690" t="s">
        <v>10829</v>
      </c>
      <c r="Z1690">
        <v>104.6</v>
      </c>
      <c r="AA1690">
        <v>40.656511</v>
      </c>
      <c r="AB1690">
        <v>-73.939932</v>
      </c>
      <c r="AD1690" t="s">
        <v>10840</v>
      </c>
      <c r="AG1690" t="s">
        <v>10858</v>
      </c>
      <c r="AH1690" t="s">
        <v>10874</v>
      </c>
      <c r="AI1690">
        <v>239</v>
      </c>
      <c r="AJ1690" t="s">
        <v>10213</v>
      </c>
      <c r="AK1690" t="s">
        <v>10838</v>
      </c>
      <c r="AL1690">
        <v>2.55</v>
      </c>
      <c r="AM1690" t="s">
        <v>10888</v>
      </c>
      <c r="AN1690" t="s">
        <v>10912</v>
      </c>
      <c r="AO1690" t="s">
        <v>11005</v>
      </c>
      <c r="AP1690" t="s">
        <v>11050</v>
      </c>
      <c r="AR1690" t="s">
        <v>11298</v>
      </c>
      <c r="AS1690" t="s">
        <v>11595</v>
      </c>
      <c r="AT1690" t="s">
        <v>11642</v>
      </c>
      <c r="AX1690" t="s">
        <v>10838</v>
      </c>
      <c r="AY1690" t="s">
        <v>10829</v>
      </c>
      <c r="AZ1690" t="s">
        <v>11682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</row>
    <row r="1691" spans="1:59">
      <c r="A1691" s="1">
        <f>HYPERLINK("https://lsnyc.legalserver.org/matter/dynamic-profile/view/1905562","19-1905562")</f>
        <v>0</v>
      </c>
      <c r="B1691" t="s">
        <v>1501</v>
      </c>
      <c r="C1691" t="s">
        <v>6322</v>
      </c>
      <c r="D1691" t="s">
        <v>9926</v>
      </c>
      <c r="E1691" t="s">
        <v>10075</v>
      </c>
      <c r="F1691">
        <v>10457</v>
      </c>
      <c r="G1691" t="s">
        <v>10090</v>
      </c>
      <c r="H1691" t="s">
        <v>10109</v>
      </c>
      <c r="I1691" t="s">
        <v>10168</v>
      </c>
      <c r="J1691" t="s">
        <v>10210</v>
      </c>
      <c r="K1691" t="s">
        <v>10217</v>
      </c>
      <c r="M1691" t="s">
        <v>10287</v>
      </c>
      <c r="N1691" t="s">
        <v>10671</v>
      </c>
      <c r="P1691" t="s">
        <v>10751</v>
      </c>
      <c r="Q1691" t="s">
        <v>10761</v>
      </c>
      <c r="R1691" t="s">
        <v>10824</v>
      </c>
      <c r="T1691">
        <v>1820</v>
      </c>
      <c r="U1691">
        <v>151.67</v>
      </c>
      <c r="V1691">
        <v>58</v>
      </c>
      <c r="W1691">
        <v>1</v>
      </c>
      <c r="X1691">
        <v>0</v>
      </c>
      <c r="Z1691">
        <v>14.57</v>
      </c>
      <c r="AA1691">
        <v>40.841686</v>
      </c>
      <c r="AB1691">
        <v>-73.893058</v>
      </c>
      <c r="AD1691" t="s">
        <v>10840</v>
      </c>
      <c r="AG1691" t="s">
        <v>10858</v>
      </c>
      <c r="AH1691" t="s">
        <v>10862</v>
      </c>
      <c r="AI1691">
        <v>230</v>
      </c>
      <c r="AJ1691" t="s">
        <v>10210</v>
      </c>
      <c r="AL1691">
        <v>3</v>
      </c>
      <c r="AM1691" t="s">
        <v>10884</v>
      </c>
      <c r="AN1691" t="s">
        <v>10918</v>
      </c>
      <c r="AO1691" t="s">
        <v>11000</v>
      </c>
      <c r="AP1691" t="s">
        <v>11062</v>
      </c>
      <c r="AR1691" t="s">
        <v>11255</v>
      </c>
      <c r="AS1691" t="s">
        <v>9926</v>
      </c>
      <c r="BA1691" t="s">
        <v>11737</v>
      </c>
      <c r="BB1691">
        <v>0</v>
      </c>
      <c r="BC1691">
        <v>0</v>
      </c>
      <c r="BD1691">
        <v>0</v>
      </c>
      <c r="BE1691">
        <v>0</v>
      </c>
      <c r="BF1691">
        <v>3</v>
      </c>
      <c r="BG1691">
        <v>0</v>
      </c>
    </row>
    <row r="1692" spans="1:59">
      <c r="A1692" s="1">
        <f>HYPERLINK("https://lsnyc.legalserver.org/matter/dynamic-profile/view/1905563","19-1905563")</f>
        <v>0</v>
      </c>
      <c r="B1692" t="s">
        <v>1502</v>
      </c>
      <c r="C1692" t="s">
        <v>6323</v>
      </c>
      <c r="D1692" t="s">
        <v>9926</v>
      </c>
      <c r="E1692" t="s">
        <v>10075</v>
      </c>
      <c r="F1692">
        <v>10459</v>
      </c>
      <c r="G1692" t="s">
        <v>10090</v>
      </c>
      <c r="H1692" t="s">
        <v>10109</v>
      </c>
      <c r="I1692" t="s">
        <v>10168</v>
      </c>
      <c r="J1692" t="s">
        <v>10210</v>
      </c>
      <c r="K1692" t="s">
        <v>10217</v>
      </c>
      <c r="M1692" t="s">
        <v>10234</v>
      </c>
      <c r="N1692" t="s">
        <v>10650</v>
      </c>
      <c r="P1692" t="s">
        <v>10749</v>
      </c>
      <c r="Q1692" t="s">
        <v>10765</v>
      </c>
      <c r="R1692" t="s">
        <v>10824</v>
      </c>
      <c r="T1692">
        <v>8880</v>
      </c>
      <c r="U1692">
        <v>740</v>
      </c>
      <c r="V1692">
        <v>54</v>
      </c>
      <c r="W1692">
        <v>1</v>
      </c>
      <c r="X1692">
        <v>0</v>
      </c>
      <c r="Z1692">
        <v>71.09999999999999</v>
      </c>
      <c r="AA1692">
        <v>40.822859</v>
      </c>
      <c r="AB1692">
        <v>-73.89115700000001</v>
      </c>
      <c r="AD1692" t="s">
        <v>10839</v>
      </c>
      <c r="AG1692" t="s">
        <v>10858</v>
      </c>
      <c r="AH1692" t="s">
        <v>10861</v>
      </c>
      <c r="AI1692">
        <v>234</v>
      </c>
      <c r="AJ1692" t="s">
        <v>10214</v>
      </c>
      <c r="AL1692">
        <v>6.25</v>
      </c>
      <c r="AM1692" t="s">
        <v>10884</v>
      </c>
      <c r="AN1692" t="s">
        <v>10968</v>
      </c>
      <c r="AO1692" t="s">
        <v>11001</v>
      </c>
      <c r="AP1692" t="s">
        <v>11062</v>
      </c>
      <c r="AR1692" t="s">
        <v>11274</v>
      </c>
      <c r="AS1692" t="s">
        <v>9926</v>
      </c>
      <c r="AT1692" t="s">
        <v>11641</v>
      </c>
      <c r="AX1692" t="s">
        <v>10838</v>
      </c>
      <c r="BA1692" t="s">
        <v>11740</v>
      </c>
      <c r="BB1692">
        <v>0</v>
      </c>
      <c r="BC1692">
        <v>0</v>
      </c>
      <c r="BD1692">
        <v>0</v>
      </c>
      <c r="BE1692">
        <v>0</v>
      </c>
      <c r="BF1692">
        <v>2</v>
      </c>
      <c r="BG1692">
        <v>0</v>
      </c>
    </row>
    <row r="1693" spans="1:59">
      <c r="A1693" s="1">
        <f>HYPERLINK("https://lsnyc.legalserver.org/matter/dynamic-profile/view/1905564","19-1905564")</f>
        <v>0</v>
      </c>
      <c r="B1693" t="s">
        <v>1503</v>
      </c>
      <c r="C1693" t="s">
        <v>6324</v>
      </c>
      <c r="D1693" t="s">
        <v>9925</v>
      </c>
      <c r="E1693" t="s">
        <v>10075</v>
      </c>
      <c r="F1693">
        <v>10040</v>
      </c>
      <c r="G1693" t="s">
        <v>10091</v>
      </c>
      <c r="H1693" t="s">
        <v>10109</v>
      </c>
      <c r="I1693" t="s">
        <v>10169</v>
      </c>
      <c r="J1693" t="s">
        <v>10214</v>
      </c>
      <c r="K1693" t="s">
        <v>10217</v>
      </c>
      <c r="M1693" t="s">
        <v>10286</v>
      </c>
      <c r="N1693" t="s">
        <v>10671</v>
      </c>
      <c r="P1693" t="s">
        <v>10751</v>
      </c>
      <c r="Q1693" t="s">
        <v>10768</v>
      </c>
      <c r="R1693" t="s">
        <v>10821</v>
      </c>
      <c r="T1693">
        <v>20800</v>
      </c>
      <c r="U1693">
        <v>1733.33</v>
      </c>
      <c r="V1693">
        <v>19</v>
      </c>
      <c r="W1693">
        <v>2</v>
      </c>
      <c r="X1693">
        <v>0</v>
      </c>
      <c r="Z1693">
        <v>123</v>
      </c>
      <c r="AA1693">
        <v>40.857206</v>
      </c>
      <c r="AB1693">
        <v>-73.92968999999999</v>
      </c>
      <c r="AD1693" t="s">
        <v>10840</v>
      </c>
      <c r="AG1693" t="s">
        <v>10858</v>
      </c>
      <c r="AH1693" t="s">
        <v>10871</v>
      </c>
      <c r="AI1693">
        <v>234</v>
      </c>
      <c r="AJ1693" t="s">
        <v>10214</v>
      </c>
      <c r="AL1693">
        <v>1</v>
      </c>
      <c r="AM1693" t="s">
        <v>10887</v>
      </c>
      <c r="AN1693" t="s">
        <v>10937</v>
      </c>
      <c r="AO1693" t="s">
        <v>11019</v>
      </c>
      <c r="AP1693" t="s">
        <v>11074</v>
      </c>
      <c r="AR1693" t="s">
        <v>11257</v>
      </c>
      <c r="AS1693" t="s">
        <v>9925</v>
      </c>
      <c r="AT1693" t="s">
        <v>11642</v>
      </c>
      <c r="AX1693" t="s">
        <v>10838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</row>
    <row r="1694" spans="1:59">
      <c r="A1694" s="1">
        <f>HYPERLINK("https://lsnyc.legalserver.org/matter/dynamic-profile/view/1905565","19-1905565")</f>
        <v>0</v>
      </c>
      <c r="B1694" t="s">
        <v>1504</v>
      </c>
      <c r="C1694" t="s">
        <v>6325</v>
      </c>
      <c r="D1694" t="s">
        <v>9925</v>
      </c>
      <c r="E1694" t="s">
        <v>10075</v>
      </c>
      <c r="F1694">
        <v>10027</v>
      </c>
      <c r="G1694" t="s">
        <v>10089</v>
      </c>
      <c r="H1694" t="s">
        <v>10109</v>
      </c>
      <c r="I1694" t="s">
        <v>10168</v>
      </c>
      <c r="J1694" t="s">
        <v>10209</v>
      </c>
      <c r="K1694" t="s">
        <v>10217</v>
      </c>
      <c r="M1694" t="s">
        <v>10383</v>
      </c>
      <c r="N1694" t="s">
        <v>10656</v>
      </c>
      <c r="P1694" t="s">
        <v>10751</v>
      </c>
      <c r="Q1694" t="s">
        <v>10768</v>
      </c>
      <c r="R1694" t="s">
        <v>10824</v>
      </c>
      <c r="T1694">
        <v>7800</v>
      </c>
      <c r="U1694">
        <v>650</v>
      </c>
      <c r="V1694">
        <v>51</v>
      </c>
      <c r="W1694">
        <v>1</v>
      </c>
      <c r="X1694">
        <v>1</v>
      </c>
      <c r="Z1694">
        <v>46.13</v>
      </c>
      <c r="AA1694">
        <v>40.811974</v>
      </c>
      <c r="AB1694">
        <v>-73.956638</v>
      </c>
      <c r="AD1694" t="s">
        <v>10840</v>
      </c>
      <c r="AG1694" t="s">
        <v>10858</v>
      </c>
      <c r="AH1694" t="s">
        <v>10861</v>
      </c>
      <c r="AI1694">
        <v>234</v>
      </c>
      <c r="AJ1694" t="s">
        <v>10214</v>
      </c>
      <c r="AL1694">
        <v>8.15</v>
      </c>
      <c r="AM1694" t="s">
        <v>10887</v>
      </c>
      <c r="AN1694" t="s">
        <v>10953</v>
      </c>
      <c r="AO1694" t="s">
        <v>11016</v>
      </c>
      <c r="AP1694" t="s">
        <v>11073</v>
      </c>
      <c r="AR1694" t="s">
        <v>11262</v>
      </c>
      <c r="AS1694" t="s">
        <v>9925</v>
      </c>
      <c r="AT1694" t="s">
        <v>11642</v>
      </c>
      <c r="AX1694" t="s">
        <v>10838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</row>
    <row r="1695" spans="1:59">
      <c r="A1695" s="1">
        <f>HYPERLINK("https://lsnyc.legalserver.org/matter/dynamic-profile/view/1905566","19-1905566")</f>
        <v>0</v>
      </c>
      <c r="B1695" t="s">
        <v>1505</v>
      </c>
      <c r="C1695" t="s">
        <v>6326</v>
      </c>
      <c r="D1695" t="s">
        <v>9926</v>
      </c>
      <c r="E1695" t="s">
        <v>10075</v>
      </c>
      <c r="F1695">
        <v>10451</v>
      </c>
      <c r="G1695" t="s">
        <v>10091</v>
      </c>
      <c r="H1695" t="s">
        <v>10109</v>
      </c>
      <c r="I1695" t="s">
        <v>10168</v>
      </c>
      <c r="J1695" t="s">
        <v>10211</v>
      </c>
      <c r="K1695" t="s">
        <v>10217</v>
      </c>
      <c r="M1695" t="s">
        <v>10231</v>
      </c>
      <c r="N1695" t="s">
        <v>10647</v>
      </c>
      <c r="P1695" t="s">
        <v>10752</v>
      </c>
      <c r="Q1695" t="s">
        <v>10762</v>
      </c>
      <c r="R1695" t="s">
        <v>10824</v>
      </c>
      <c r="T1695">
        <v>0</v>
      </c>
      <c r="U1695">
        <v>0</v>
      </c>
      <c r="V1695">
        <v>53</v>
      </c>
      <c r="W1695">
        <v>1</v>
      </c>
      <c r="X1695">
        <v>0</v>
      </c>
      <c r="Z1695">
        <v>0</v>
      </c>
      <c r="AA1695">
        <v>40.82366</v>
      </c>
      <c r="AB1695">
        <v>-73.9224</v>
      </c>
      <c r="AD1695" t="s">
        <v>10839</v>
      </c>
      <c r="AG1695" t="s">
        <v>10858</v>
      </c>
      <c r="AH1695" t="s">
        <v>10861</v>
      </c>
      <c r="AI1695">
        <v>234</v>
      </c>
      <c r="AJ1695" t="s">
        <v>10214</v>
      </c>
      <c r="AL1695">
        <v>1.4</v>
      </c>
      <c r="AM1695" t="s">
        <v>10884</v>
      </c>
      <c r="AN1695" t="s">
        <v>10918</v>
      </c>
      <c r="AO1695" t="s">
        <v>11001</v>
      </c>
      <c r="AP1695" t="s">
        <v>11055</v>
      </c>
      <c r="AR1695" t="s">
        <v>11267</v>
      </c>
      <c r="AS1695" t="s">
        <v>9926</v>
      </c>
      <c r="AT1695" t="s">
        <v>11641</v>
      </c>
      <c r="AX1695" t="s">
        <v>10838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</row>
    <row r="1696" spans="1:59">
      <c r="A1696" s="1">
        <f>HYPERLINK("https://lsnyc.legalserver.org/matter/dynamic-profile/view/1905567","19-1905567")</f>
        <v>0</v>
      </c>
      <c r="B1696" t="s">
        <v>1506</v>
      </c>
      <c r="C1696" t="s">
        <v>6327</v>
      </c>
      <c r="D1696" t="s">
        <v>9926</v>
      </c>
      <c r="E1696" t="s">
        <v>10075</v>
      </c>
      <c r="F1696">
        <v>10457</v>
      </c>
      <c r="G1696" t="s">
        <v>10090</v>
      </c>
      <c r="H1696" t="s">
        <v>10109</v>
      </c>
      <c r="I1696" t="s">
        <v>10169</v>
      </c>
      <c r="J1696" t="s">
        <v>10210</v>
      </c>
      <c r="K1696" t="s">
        <v>10217</v>
      </c>
      <c r="M1696" t="s">
        <v>10546</v>
      </c>
      <c r="N1696" t="s">
        <v>10651</v>
      </c>
      <c r="P1696" t="s">
        <v>10749</v>
      </c>
      <c r="Q1696" t="s">
        <v>10765</v>
      </c>
      <c r="R1696" t="s">
        <v>10823</v>
      </c>
      <c r="T1696">
        <v>3130</v>
      </c>
      <c r="U1696">
        <v>260.83</v>
      </c>
      <c r="V1696">
        <v>59</v>
      </c>
      <c r="W1696">
        <v>1</v>
      </c>
      <c r="X1696">
        <v>0</v>
      </c>
      <c r="Z1696">
        <v>25.06</v>
      </c>
      <c r="AA1696">
        <v>40.844139</v>
      </c>
      <c r="AB1696">
        <v>-73.897769</v>
      </c>
      <c r="AD1696" t="s">
        <v>10840</v>
      </c>
      <c r="AG1696" t="s">
        <v>10858</v>
      </c>
      <c r="AH1696" t="s">
        <v>10862</v>
      </c>
      <c r="AI1696">
        <v>230</v>
      </c>
      <c r="AJ1696" t="s">
        <v>10210</v>
      </c>
      <c r="AL1696">
        <v>12.2</v>
      </c>
      <c r="AR1696" t="s">
        <v>11255</v>
      </c>
      <c r="AS1696" t="s">
        <v>9926</v>
      </c>
      <c r="AT1696" t="s">
        <v>11642</v>
      </c>
      <c r="AX1696" t="s">
        <v>10838</v>
      </c>
      <c r="BA1696" t="s">
        <v>11738</v>
      </c>
      <c r="BB1696">
        <v>0</v>
      </c>
      <c r="BC1696">
        <v>0</v>
      </c>
      <c r="BD1696">
        <v>0</v>
      </c>
      <c r="BE1696">
        <v>0</v>
      </c>
      <c r="BF1696">
        <v>5</v>
      </c>
      <c r="BG1696">
        <v>0</v>
      </c>
    </row>
    <row r="1697" spans="1:59">
      <c r="A1697" s="1">
        <f>HYPERLINK("https://lsnyc.legalserver.org/matter/dynamic-profile/view/1905568","19-1905568")</f>
        <v>0</v>
      </c>
      <c r="B1697" t="s">
        <v>1507</v>
      </c>
      <c r="C1697" t="s">
        <v>6328</v>
      </c>
      <c r="D1697" t="s">
        <v>9925</v>
      </c>
      <c r="E1697" t="s">
        <v>10075</v>
      </c>
      <c r="F1697">
        <v>10025</v>
      </c>
      <c r="G1697" t="s">
        <v>10089</v>
      </c>
      <c r="H1697" t="s">
        <v>10109</v>
      </c>
      <c r="I1697" t="s">
        <v>10168</v>
      </c>
      <c r="J1697" t="s">
        <v>10209</v>
      </c>
      <c r="K1697" t="s">
        <v>10217</v>
      </c>
      <c r="M1697" t="s">
        <v>10529</v>
      </c>
      <c r="N1697" t="s">
        <v>10694</v>
      </c>
      <c r="P1697" t="s">
        <v>10751</v>
      </c>
      <c r="Q1697" t="s">
        <v>10780</v>
      </c>
      <c r="R1697" t="s">
        <v>10824</v>
      </c>
      <c r="T1697">
        <v>8976</v>
      </c>
      <c r="U1697">
        <v>748</v>
      </c>
      <c r="V1697">
        <v>14</v>
      </c>
      <c r="W1697">
        <v>2</v>
      </c>
      <c r="X1697">
        <v>2</v>
      </c>
      <c r="Z1697">
        <v>34.86</v>
      </c>
      <c r="AA1697">
        <v>40.797203</v>
      </c>
      <c r="AB1697">
        <v>-73.968448</v>
      </c>
      <c r="AD1697" t="s">
        <v>10840</v>
      </c>
      <c r="AG1697" t="s">
        <v>10858</v>
      </c>
      <c r="AH1697" t="s">
        <v>10866</v>
      </c>
      <c r="AI1697">
        <v>236</v>
      </c>
      <c r="AJ1697" t="s">
        <v>10209</v>
      </c>
      <c r="AL1697">
        <v>0</v>
      </c>
      <c r="AM1697" t="s">
        <v>10894</v>
      </c>
      <c r="AN1697" t="s">
        <v>10953</v>
      </c>
      <c r="AO1697" t="s">
        <v>11016</v>
      </c>
      <c r="AP1697" t="s">
        <v>11073</v>
      </c>
      <c r="AR1697" t="s">
        <v>11274</v>
      </c>
      <c r="AS1697" t="s">
        <v>9925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</row>
    <row r="1698" spans="1:59">
      <c r="A1698" s="1">
        <f>HYPERLINK("https://lsnyc.legalserver.org/matter/dynamic-profile/view/1905569","19-1905569")</f>
        <v>0</v>
      </c>
      <c r="B1698" t="s">
        <v>730</v>
      </c>
      <c r="C1698" t="s">
        <v>6329</v>
      </c>
      <c r="D1698" t="s">
        <v>9926</v>
      </c>
      <c r="E1698" t="s">
        <v>10075</v>
      </c>
      <c r="F1698">
        <v>10453</v>
      </c>
      <c r="G1698" t="s">
        <v>10090</v>
      </c>
      <c r="H1698" t="s">
        <v>10109</v>
      </c>
      <c r="I1698" t="s">
        <v>10168</v>
      </c>
      <c r="J1698" t="s">
        <v>10210</v>
      </c>
      <c r="K1698" t="s">
        <v>10217</v>
      </c>
      <c r="M1698" t="s">
        <v>10276</v>
      </c>
      <c r="N1698" t="s">
        <v>10666</v>
      </c>
      <c r="P1698" t="s">
        <v>10749</v>
      </c>
      <c r="Q1698" t="s">
        <v>10765</v>
      </c>
      <c r="R1698" t="s">
        <v>10824</v>
      </c>
      <c r="T1698">
        <v>27732</v>
      </c>
      <c r="U1698">
        <v>2311</v>
      </c>
      <c r="V1698">
        <v>47</v>
      </c>
      <c r="W1698">
        <v>3</v>
      </c>
      <c r="X1698">
        <v>3</v>
      </c>
      <c r="Z1698">
        <v>80.17</v>
      </c>
      <c r="AA1698">
        <v>40.849656</v>
      </c>
      <c r="AB1698">
        <v>-73.917822</v>
      </c>
      <c r="AD1698" t="s">
        <v>10839</v>
      </c>
      <c r="AG1698" t="s">
        <v>10858</v>
      </c>
      <c r="AH1698" t="s">
        <v>10862</v>
      </c>
      <c r="AI1698">
        <v>230</v>
      </c>
      <c r="AJ1698" t="s">
        <v>10210</v>
      </c>
      <c r="AL1698">
        <v>5.5</v>
      </c>
      <c r="AM1698" t="s">
        <v>10884</v>
      </c>
      <c r="AN1698" t="s">
        <v>10931</v>
      </c>
      <c r="AO1698" t="s">
        <v>11013</v>
      </c>
      <c r="AP1698" t="s">
        <v>11045</v>
      </c>
      <c r="AR1698" t="s">
        <v>11431</v>
      </c>
      <c r="AS1698" t="s">
        <v>9926</v>
      </c>
      <c r="AT1698" t="s">
        <v>11641</v>
      </c>
      <c r="AX1698" t="s">
        <v>10838</v>
      </c>
      <c r="BA1698" t="s">
        <v>11738</v>
      </c>
      <c r="BB1698">
        <v>0</v>
      </c>
      <c r="BC1698">
        <v>0</v>
      </c>
      <c r="BD1698">
        <v>0</v>
      </c>
      <c r="BE1698">
        <v>0</v>
      </c>
      <c r="BF1698">
        <v>5</v>
      </c>
      <c r="BG1698">
        <v>0</v>
      </c>
    </row>
    <row r="1699" spans="1:59">
      <c r="A1699" s="1">
        <f>HYPERLINK("https://lsnyc.legalserver.org/matter/dynamic-profile/view/1905570","19-1905570")</f>
        <v>0</v>
      </c>
      <c r="B1699" t="s">
        <v>1508</v>
      </c>
      <c r="C1699" t="s">
        <v>6330</v>
      </c>
      <c r="D1699" t="s">
        <v>9928</v>
      </c>
      <c r="E1699" t="s">
        <v>10075</v>
      </c>
      <c r="F1699">
        <v>11236</v>
      </c>
      <c r="G1699" t="s">
        <v>10093</v>
      </c>
      <c r="H1699" t="s">
        <v>10109</v>
      </c>
      <c r="I1699" t="s">
        <v>10168</v>
      </c>
      <c r="J1699" t="s">
        <v>10213</v>
      </c>
      <c r="K1699" t="s">
        <v>10218</v>
      </c>
      <c r="L1699" t="s">
        <v>10155</v>
      </c>
      <c r="M1699" t="s">
        <v>10289</v>
      </c>
      <c r="N1699" t="s">
        <v>10698</v>
      </c>
      <c r="P1699" t="s">
        <v>10757</v>
      </c>
      <c r="Q1699" t="s">
        <v>10789</v>
      </c>
      <c r="R1699" t="s">
        <v>10824</v>
      </c>
      <c r="T1699">
        <v>36864</v>
      </c>
      <c r="U1699">
        <v>3072</v>
      </c>
      <c r="V1699">
        <v>59</v>
      </c>
      <c r="W1699">
        <v>3</v>
      </c>
      <c r="X1699">
        <v>0</v>
      </c>
      <c r="Y1699" t="s">
        <v>10829</v>
      </c>
      <c r="Z1699">
        <v>172.83</v>
      </c>
      <c r="AA1699">
        <v>40.630937</v>
      </c>
      <c r="AB1699">
        <v>-73.888898</v>
      </c>
      <c r="AD1699" t="s">
        <v>10839</v>
      </c>
      <c r="AG1699" t="s">
        <v>10858</v>
      </c>
      <c r="AH1699" t="s">
        <v>10871</v>
      </c>
      <c r="AI1699">
        <v>234</v>
      </c>
      <c r="AJ1699" t="s">
        <v>10214</v>
      </c>
      <c r="AK1699" t="s">
        <v>10838</v>
      </c>
      <c r="AL1699">
        <v>7.75</v>
      </c>
      <c r="AM1699" t="s">
        <v>10889</v>
      </c>
      <c r="AN1699" t="s">
        <v>10959</v>
      </c>
      <c r="AO1699" t="s">
        <v>11012</v>
      </c>
      <c r="AP1699" t="s">
        <v>11072</v>
      </c>
      <c r="AR1699" t="s">
        <v>11369</v>
      </c>
      <c r="AS1699" t="s">
        <v>11595</v>
      </c>
      <c r="AT1699" t="s">
        <v>11641</v>
      </c>
      <c r="AX1699" t="s">
        <v>10838</v>
      </c>
      <c r="AY1699" t="s">
        <v>10829</v>
      </c>
      <c r="AZ1699" t="s">
        <v>11703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</row>
    <row r="1700" spans="1:59">
      <c r="A1700" s="1">
        <f>HYPERLINK("https://lsnyc.legalserver.org/matter/dynamic-profile/view/1905571","19-1905571")</f>
        <v>0</v>
      </c>
      <c r="B1700" t="s">
        <v>1509</v>
      </c>
      <c r="C1700" t="s">
        <v>6331</v>
      </c>
      <c r="D1700" t="s">
        <v>9926</v>
      </c>
      <c r="E1700" t="s">
        <v>10075</v>
      </c>
      <c r="F1700">
        <v>10460</v>
      </c>
      <c r="G1700" t="s">
        <v>10090</v>
      </c>
      <c r="H1700" t="s">
        <v>10109</v>
      </c>
      <c r="I1700" t="s">
        <v>10168</v>
      </c>
      <c r="J1700" t="s">
        <v>10210</v>
      </c>
      <c r="K1700" t="s">
        <v>10217</v>
      </c>
      <c r="M1700" t="s">
        <v>10415</v>
      </c>
      <c r="N1700" t="s">
        <v>10666</v>
      </c>
      <c r="P1700" t="s">
        <v>10749</v>
      </c>
      <c r="Q1700" t="s">
        <v>10765</v>
      </c>
      <c r="R1700" t="s">
        <v>10824</v>
      </c>
      <c r="T1700">
        <v>9252</v>
      </c>
      <c r="U1700">
        <v>771</v>
      </c>
      <c r="V1700">
        <v>56</v>
      </c>
      <c r="W1700">
        <v>1</v>
      </c>
      <c r="X1700">
        <v>0</v>
      </c>
      <c r="Z1700">
        <v>74.08</v>
      </c>
      <c r="AA1700">
        <v>40.844371</v>
      </c>
      <c r="AB1700">
        <v>-73.878775</v>
      </c>
      <c r="AD1700" t="s">
        <v>10839</v>
      </c>
      <c r="AG1700" t="s">
        <v>10858</v>
      </c>
      <c r="AH1700" t="s">
        <v>10862</v>
      </c>
      <c r="AI1700">
        <v>230</v>
      </c>
      <c r="AJ1700" t="s">
        <v>10210</v>
      </c>
      <c r="AL1700">
        <v>49.85</v>
      </c>
      <c r="AM1700" t="s">
        <v>10884</v>
      </c>
      <c r="AN1700" t="s">
        <v>10908</v>
      </c>
      <c r="AO1700" t="s">
        <v>11001</v>
      </c>
      <c r="AP1700" t="s">
        <v>11056</v>
      </c>
      <c r="AR1700" t="s">
        <v>11263</v>
      </c>
      <c r="AS1700" t="s">
        <v>9926</v>
      </c>
      <c r="BA1700" t="s">
        <v>11738</v>
      </c>
      <c r="BB1700">
        <v>0</v>
      </c>
      <c r="BC1700">
        <v>0</v>
      </c>
      <c r="BD1700">
        <v>0</v>
      </c>
      <c r="BE1700">
        <v>0</v>
      </c>
      <c r="BF1700">
        <v>5</v>
      </c>
      <c r="BG1700">
        <v>0</v>
      </c>
    </row>
    <row r="1701" spans="1:59">
      <c r="A1701" s="1">
        <f>HYPERLINK("https://lsnyc.legalserver.org/matter/dynamic-profile/view/1905573","19-1905573")</f>
        <v>0</v>
      </c>
      <c r="B1701" t="s">
        <v>1510</v>
      </c>
      <c r="C1701" t="s">
        <v>6332</v>
      </c>
      <c r="D1701" t="s">
        <v>9925</v>
      </c>
      <c r="E1701" t="s">
        <v>10075</v>
      </c>
      <c r="F1701">
        <v>10018</v>
      </c>
      <c r="G1701" t="s">
        <v>10093</v>
      </c>
      <c r="H1701" t="s">
        <v>10109</v>
      </c>
      <c r="I1701" t="s">
        <v>10168</v>
      </c>
      <c r="J1701" t="s">
        <v>10213</v>
      </c>
      <c r="K1701" t="s">
        <v>10218</v>
      </c>
      <c r="L1701" t="s">
        <v>10121</v>
      </c>
      <c r="M1701" t="s">
        <v>10358</v>
      </c>
      <c r="N1701" t="s">
        <v>10644</v>
      </c>
      <c r="P1701" t="s">
        <v>10752</v>
      </c>
      <c r="Q1701" t="s">
        <v>10783</v>
      </c>
      <c r="R1701" t="s">
        <v>10821</v>
      </c>
      <c r="T1701">
        <v>16176</v>
      </c>
      <c r="U1701">
        <v>1348</v>
      </c>
      <c r="V1701">
        <v>68</v>
      </c>
      <c r="W1701">
        <v>1</v>
      </c>
      <c r="X1701">
        <v>0</v>
      </c>
      <c r="Y1701" t="s">
        <v>10830</v>
      </c>
      <c r="Z1701">
        <v>129.51</v>
      </c>
      <c r="AA1701">
        <v>40.756517</v>
      </c>
      <c r="AB1701">
        <v>-73.997326</v>
      </c>
      <c r="AD1701" t="s">
        <v>10839</v>
      </c>
      <c r="AG1701" t="s">
        <v>10858</v>
      </c>
      <c r="AH1701" t="s">
        <v>10871</v>
      </c>
      <c r="AI1701">
        <v>239</v>
      </c>
      <c r="AJ1701" t="s">
        <v>10213</v>
      </c>
      <c r="AK1701" t="s">
        <v>10838</v>
      </c>
      <c r="AL1701">
        <v>1.25</v>
      </c>
      <c r="AM1701" t="s">
        <v>10894</v>
      </c>
      <c r="AN1701" t="s">
        <v>10966</v>
      </c>
      <c r="AO1701" t="s">
        <v>11021</v>
      </c>
      <c r="AP1701" t="s">
        <v>11090</v>
      </c>
      <c r="AQ1701" t="s">
        <v>11184</v>
      </c>
      <c r="AR1701" t="s">
        <v>11300</v>
      </c>
      <c r="AS1701" t="s">
        <v>9925</v>
      </c>
      <c r="AY1701" t="s">
        <v>10830</v>
      </c>
      <c r="AZ1701" t="s">
        <v>11718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</row>
    <row r="1702" spans="1:59">
      <c r="A1702" s="1">
        <f>HYPERLINK("https://lsnyc.legalserver.org/matter/dynamic-profile/view/1905574","19-1905574")</f>
        <v>0</v>
      </c>
      <c r="B1702" t="s">
        <v>231</v>
      </c>
      <c r="C1702" t="s">
        <v>5162</v>
      </c>
      <c r="D1702" t="s">
        <v>9926</v>
      </c>
      <c r="E1702" t="s">
        <v>10075</v>
      </c>
      <c r="F1702">
        <v>10452</v>
      </c>
      <c r="G1702" t="s">
        <v>10090</v>
      </c>
      <c r="H1702" t="s">
        <v>10109</v>
      </c>
      <c r="I1702" t="s">
        <v>10168</v>
      </c>
      <c r="J1702" t="s">
        <v>10210</v>
      </c>
      <c r="K1702" t="s">
        <v>10218</v>
      </c>
      <c r="L1702" t="s">
        <v>10140</v>
      </c>
      <c r="M1702" t="s">
        <v>10333</v>
      </c>
      <c r="N1702" t="s">
        <v>10683</v>
      </c>
      <c r="P1702" t="s">
        <v>10751</v>
      </c>
      <c r="Q1702" t="s">
        <v>10796</v>
      </c>
      <c r="R1702" t="s">
        <v>10821</v>
      </c>
      <c r="T1702">
        <v>11420.4</v>
      </c>
      <c r="U1702">
        <v>951.7</v>
      </c>
      <c r="V1702">
        <v>44</v>
      </c>
      <c r="W1702">
        <v>1</v>
      </c>
      <c r="X1702">
        <v>3</v>
      </c>
      <c r="Y1702" t="s">
        <v>10831</v>
      </c>
      <c r="Z1702">
        <v>44.35</v>
      </c>
      <c r="AA1702">
        <v>40.833545</v>
      </c>
      <c r="AB1702">
        <v>-73.919242</v>
      </c>
      <c r="AD1702" t="s">
        <v>10839</v>
      </c>
      <c r="AG1702" t="s">
        <v>10858</v>
      </c>
      <c r="AH1702" t="s">
        <v>10874</v>
      </c>
      <c r="AI1702">
        <v>230</v>
      </c>
      <c r="AJ1702" t="s">
        <v>10210</v>
      </c>
      <c r="AK1702" t="s">
        <v>10837</v>
      </c>
      <c r="AL1702">
        <v>4.55</v>
      </c>
      <c r="AM1702" t="s">
        <v>10884</v>
      </c>
      <c r="AN1702" t="s">
        <v>10929</v>
      </c>
      <c r="AO1702" t="s">
        <v>11013</v>
      </c>
      <c r="AP1702" t="s">
        <v>11055</v>
      </c>
      <c r="AR1702" t="s">
        <v>11273</v>
      </c>
      <c r="AS1702" t="s">
        <v>9926</v>
      </c>
      <c r="AY1702" t="s">
        <v>10831</v>
      </c>
      <c r="AZ1702" t="s">
        <v>11688</v>
      </c>
      <c r="BB1702">
        <v>0</v>
      </c>
      <c r="BC1702">
        <v>0</v>
      </c>
      <c r="BD1702">
        <v>768.9400000000001</v>
      </c>
      <c r="BE1702">
        <v>879.98</v>
      </c>
      <c r="BF1702">
        <v>0</v>
      </c>
      <c r="BG1702">
        <v>0</v>
      </c>
    </row>
    <row r="1703" spans="1:59">
      <c r="A1703" s="1">
        <f>HYPERLINK("https://lsnyc.legalserver.org/matter/dynamic-profile/view/1905575","19-1905575")</f>
        <v>0</v>
      </c>
      <c r="B1703" t="s">
        <v>1506</v>
      </c>
      <c r="C1703" t="s">
        <v>6333</v>
      </c>
      <c r="D1703" t="s">
        <v>9926</v>
      </c>
      <c r="E1703" t="s">
        <v>10075</v>
      </c>
      <c r="F1703">
        <v>10457</v>
      </c>
      <c r="G1703" t="s">
        <v>10090</v>
      </c>
      <c r="H1703" t="s">
        <v>10112</v>
      </c>
      <c r="I1703" t="s">
        <v>10169</v>
      </c>
      <c r="J1703" t="s">
        <v>10210</v>
      </c>
      <c r="K1703" t="s">
        <v>10217</v>
      </c>
      <c r="M1703" t="s">
        <v>10546</v>
      </c>
      <c r="N1703" t="s">
        <v>10671</v>
      </c>
      <c r="P1703" t="s">
        <v>10751</v>
      </c>
      <c r="Q1703" t="s">
        <v>10761</v>
      </c>
      <c r="R1703" t="s">
        <v>10823</v>
      </c>
      <c r="T1703">
        <v>3130</v>
      </c>
      <c r="U1703">
        <v>260.83</v>
      </c>
      <c r="V1703">
        <v>59</v>
      </c>
      <c r="W1703">
        <v>1</v>
      </c>
      <c r="X1703">
        <v>0</v>
      </c>
      <c r="Z1703">
        <v>25.06</v>
      </c>
      <c r="AA1703">
        <v>40.854804</v>
      </c>
      <c r="AB1703">
        <v>-73.893181</v>
      </c>
      <c r="AD1703" t="s">
        <v>10840</v>
      </c>
      <c r="AG1703" t="s">
        <v>10858</v>
      </c>
      <c r="AH1703" t="s">
        <v>10862</v>
      </c>
      <c r="AI1703">
        <v>230</v>
      </c>
      <c r="AJ1703" t="s">
        <v>10210</v>
      </c>
      <c r="AL1703">
        <v>2.3</v>
      </c>
      <c r="AM1703" t="s">
        <v>10884</v>
      </c>
      <c r="AN1703" t="s">
        <v>10907</v>
      </c>
      <c r="AO1703" t="s">
        <v>11000</v>
      </c>
      <c r="AP1703" t="s">
        <v>11056</v>
      </c>
      <c r="AR1703" t="s">
        <v>11255</v>
      </c>
      <c r="AS1703" t="s">
        <v>9926</v>
      </c>
      <c r="AT1703" t="s">
        <v>11642</v>
      </c>
      <c r="AX1703" t="s">
        <v>10838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</row>
    <row r="1704" spans="1:59">
      <c r="A1704" s="1">
        <f>HYPERLINK("https://lsnyc.legalserver.org/matter/dynamic-profile/view/1905576","19-1905576")</f>
        <v>0</v>
      </c>
      <c r="B1704" t="s">
        <v>1511</v>
      </c>
      <c r="C1704" t="s">
        <v>6334</v>
      </c>
      <c r="D1704" t="s">
        <v>9928</v>
      </c>
      <c r="E1704" t="s">
        <v>10075</v>
      </c>
      <c r="F1704">
        <v>11226</v>
      </c>
      <c r="G1704" t="s">
        <v>10093</v>
      </c>
      <c r="H1704" t="s">
        <v>10109</v>
      </c>
      <c r="I1704" t="s">
        <v>10169</v>
      </c>
      <c r="J1704" t="s">
        <v>10213</v>
      </c>
      <c r="K1704" t="s">
        <v>10217</v>
      </c>
      <c r="M1704" t="s">
        <v>10435</v>
      </c>
      <c r="N1704" t="s">
        <v>10665</v>
      </c>
      <c r="P1704" t="s">
        <v>10750</v>
      </c>
      <c r="Q1704" t="s">
        <v>10799</v>
      </c>
      <c r="R1704" t="s">
        <v>10821</v>
      </c>
      <c r="T1704">
        <v>0</v>
      </c>
      <c r="U1704">
        <v>0</v>
      </c>
      <c r="V1704">
        <v>43</v>
      </c>
      <c r="W1704">
        <v>1</v>
      </c>
      <c r="X1704">
        <v>0</v>
      </c>
      <c r="Z1704">
        <v>0</v>
      </c>
      <c r="AA1704">
        <v>40.648335</v>
      </c>
      <c r="AB1704">
        <v>-73.961631</v>
      </c>
      <c r="AD1704" t="s">
        <v>10840</v>
      </c>
      <c r="AF1704" t="s">
        <v>10843</v>
      </c>
      <c r="AG1704" t="s">
        <v>10859</v>
      </c>
      <c r="AH1704" t="s">
        <v>10871</v>
      </c>
      <c r="AI1704">
        <v>234</v>
      </c>
      <c r="AJ1704" t="s">
        <v>10214</v>
      </c>
      <c r="AL1704">
        <v>8.75</v>
      </c>
      <c r="AM1704" t="s">
        <v>10888</v>
      </c>
      <c r="AN1704" t="s">
        <v>10932</v>
      </c>
      <c r="AO1704" t="s">
        <v>11008</v>
      </c>
      <c r="AP1704" t="s">
        <v>11050</v>
      </c>
      <c r="AR1704" t="s">
        <v>11267</v>
      </c>
      <c r="AS1704" t="s">
        <v>11595</v>
      </c>
      <c r="AT1704" t="s">
        <v>11642</v>
      </c>
      <c r="AX1704" t="s">
        <v>10838</v>
      </c>
      <c r="BA1704" t="s">
        <v>11742</v>
      </c>
      <c r="BB1704">
        <v>0</v>
      </c>
      <c r="BC1704">
        <v>0</v>
      </c>
      <c r="BD1704">
        <v>0</v>
      </c>
      <c r="BE1704">
        <v>0</v>
      </c>
      <c r="BF1704">
        <v>7</v>
      </c>
      <c r="BG1704">
        <v>0</v>
      </c>
    </row>
    <row r="1705" spans="1:59">
      <c r="A1705" s="1">
        <f>HYPERLINK("https://lsnyc.legalserver.org/matter/dynamic-profile/view/1905577","19-1905577")</f>
        <v>0</v>
      </c>
      <c r="B1705" t="s">
        <v>1512</v>
      </c>
      <c r="C1705" t="s">
        <v>6335</v>
      </c>
      <c r="D1705" t="s">
        <v>9928</v>
      </c>
      <c r="E1705" t="s">
        <v>10075</v>
      </c>
      <c r="F1705">
        <v>11239</v>
      </c>
      <c r="G1705" t="s">
        <v>10093</v>
      </c>
      <c r="H1705" t="s">
        <v>10109</v>
      </c>
      <c r="I1705" t="s">
        <v>10168</v>
      </c>
      <c r="J1705" t="s">
        <v>10213</v>
      </c>
      <c r="K1705" t="s">
        <v>10217</v>
      </c>
      <c r="M1705" t="s">
        <v>10505</v>
      </c>
      <c r="N1705" t="s">
        <v>10650</v>
      </c>
      <c r="P1705" t="s">
        <v>10749</v>
      </c>
      <c r="Q1705" t="s">
        <v>10765</v>
      </c>
      <c r="R1705" t="s">
        <v>10824</v>
      </c>
      <c r="T1705">
        <v>20800</v>
      </c>
      <c r="U1705">
        <v>1733.33</v>
      </c>
      <c r="V1705">
        <v>29</v>
      </c>
      <c r="W1705">
        <v>1</v>
      </c>
      <c r="X1705">
        <v>0</v>
      </c>
      <c r="Z1705">
        <v>166.53</v>
      </c>
      <c r="AA1705">
        <v>40.656108</v>
      </c>
      <c r="AB1705">
        <v>-73.87359499999999</v>
      </c>
      <c r="AC1705" t="s">
        <v>10838</v>
      </c>
      <c r="AD1705" t="s">
        <v>10840</v>
      </c>
      <c r="AG1705" t="s">
        <v>10858</v>
      </c>
      <c r="AH1705" t="s">
        <v>10871</v>
      </c>
      <c r="AI1705">
        <v>234</v>
      </c>
      <c r="AJ1705" t="s">
        <v>10214</v>
      </c>
      <c r="AL1705">
        <v>0.5</v>
      </c>
      <c r="AM1705" t="s">
        <v>10889</v>
      </c>
      <c r="AN1705" t="s">
        <v>10946</v>
      </c>
      <c r="AO1705" t="s">
        <v>11012</v>
      </c>
      <c r="AP1705" t="s">
        <v>11060</v>
      </c>
      <c r="AR1705" t="s">
        <v>11257</v>
      </c>
      <c r="AS1705" t="s">
        <v>11595</v>
      </c>
      <c r="AT1705" t="s">
        <v>11642</v>
      </c>
      <c r="AX1705" t="s">
        <v>10838</v>
      </c>
      <c r="BA1705" t="s">
        <v>11741</v>
      </c>
      <c r="BB1705">
        <v>0</v>
      </c>
      <c r="BC1705">
        <v>0</v>
      </c>
      <c r="BD1705">
        <v>0</v>
      </c>
      <c r="BE1705">
        <v>0</v>
      </c>
      <c r="BF1705">
        <v>1</v>
      </c>
      <c r="BG1705">
        <v>0</v>
      </c>
    </row>
    <row r="1706" spans="1:59">
      <c r="A1706" s="1">
        <f>HYPERLINK("https://lsnyc.legalserver.org/matter/dynamic-profile/view/1905578","19-1905578")</f>
        <v>0</v>
      </c>
      <c r="B1706" t="s">
        <v>1513</v>
      </c>
      <c r="C1706" t="s">
        <v>6336</v>
      </c>
      <c r="D1706" t="s">
        <v>9928</v>
      </c>
      <c r="E1706" t="s">
        <v>10075</v>
      </c>
      <c r="F1706">
        <v>11203</v>
      </c>
      <c r="G1706" t="s">
        <v>10093</v>
      </c>
      <c r="H1706" t="s">
        <v>10109</v>
      </c>
      <c r="I1706" t="s">
        <v>10168</v>
      </c>
      <c r="J1706" t="s">
        <v>10213</v>
      </c>
      <c r="K1706" t="s">
        <v>10218</v>
      </c>
      <c r="L1706" t="s">
        <v>10098</v>
      </c>
      <c r="M1706" t="s">
        <v>10373</v>
      </c>
      <c r="N1706" t="s">
        <v>10665</v>
      </c>
      <c r="P1706" t="s">
        <v>10751</v>
      </c>
      <c r="Q1706" t="s">
        <v>10773</v>
      </c>
      <c r="R1706" t="s">
        <v>10822</v>
      </c>
      <c r="T1706">
        <v>0</v>
      </c>
      <c r="U1706">
        <v>0</v>
      </c>
      <c r="V1706">
        <v>31</v>
      </c>
      <c r="W1706">
        <v>1</v>
      </c>
      <c r="X1706">
        <v>0</v>
      </c>
      <c r="Y1706" t="s">
        <v>10829</v>
      </c>
      <c r="Z1706">
        <v>0</v>
      </c>
      <c r="AA1706">
        <v>40.640543</v>
      </c>
      <c r="AB1706">
        <v>-73.928439</v>
      </c>
      <c r="AD1706" t="s">
        <v>10840</v>
      </c>
      <c r="AG1706" t="s">
        <v>10858</v>
      </c>
      <c r="AH1706" t="s">
        <v>10861</v>
      </c>
      <c r="AI1706">
        <v>234</v>
      </c>
      <c r="AJ1706" t="s">
        <v>10214</v>
      </c>
      <c r="AK1706" t="s">
        <v>10838</v>
      </c>
      <c r="AL1706">
        <v>4.2</v>
      </c>
      <c r="AM1706" t="s">
        <v>10888</v>
      </c>
      <c r="AN1706" t="s">
        <v>10957</v>
      </c>
      <c r="AO1706" t="s">
        <v>11008</v>
      </c>
      <c r="AP1706" t="s">
        <v>11065</v>
      </c>
      <c r="AR1706" t="s">
        <v>11267</v>
      </c>
      <c r="AS1706" t="s">
        <v>11595</v>
      </c>
      <c r="AT1706" t="s">
        <v>11642</v>
      </c>
      <c r="AX1706" t="s">
        <v>10838</v>
      </c>
      <c r="AY1706" t="s">
        <v>10829</v>
      </c>
      <c r="AZ1706" t="s">
        <v>11682</v>
      </c>
      <c r="BA1706" t="s">
        <v>11741</v>
      </c>
      <c r="BB1706">
        <v>0</v>
      </c>
      <c r="BC1706">
        <v>0</v>
      </c>
      <c r="BD1706">
        <v>0</v>
      </c>
      <c r="BE1706">
        <v>0</v>
      </c>
      <c r="BF1706">
        <v>1</v>
      </c>
      <c r="BG1706">
        <v>0</v>
      </c>
    </row>
    <row r="1707" spans="1:59">
      <c r="A1707" s="1">
        <f>HYPERLINK("https://lsnyc.legalserver.org/matter/dynamic-profile/view/1905579","19-1905579")</f>
        <v>0</v>
      </c>
      <c r="B1707" t="s">
        <v>1511</v>
      </c>
      <c r="C1707" t="s">
        <v>6334</v>
      </c>
      <c r="D1707" t="s">
        <v>9928</v>
      </c>
      <c r="E1707" t="s">
        <v>10075</v>
      </c>
      <c r="F1707">
        <v>11226</v>
      </c>
      <c r="G1707" t="s">
        <v>10093</v>
      </c>
      <c r="H1707" t="s">
        <v>10109</v>
      </c>
      <c r="I1707" t="s">
        <v>10169</v>
      </c>
      <c r="J1707" t="s">
        <v>10213</v>
      </c>
      <c r="K1707" t="s">
        <v>10217</v>
      </c>
      <c r="M1707" t="s">
        <v>10304</v>
      </c>
      <c r="N1707" t="s">
        <v>10671</v>
      </c>
      <c r="P1707" t="s">
        <v>10750</v>
      </c>
      <c r="Q1707" t="s">
        <v>10799</v>
      </c>
      <c r="R1707" t="s">
        <v>10821</v>
      </c>
      <c r="T1707">
        <v>0</v>
      </c>
      <c r="U1707">
        <v>0</v>
      </c>
      <c r="V1707">
        <v>43</v>
      </c>
      <c r="W1707">
        <v>1</v>
      </c>
      <c r="X1707">
        <v>0</v>
      </c>
      <c r="Z1707">
        <v>0</v>
      </c>
      <c r="AA1707">
        <v>40.648335</v>
      </c>
      <c r="AB1707">
        <v>-73.961631</v>
      </c>
      <c r="AD1707" t="s">
        <v>10840</v>
      </c>
      <c r="AF1707" t="s">
        <v>10843</v>
      </c>
      <c r="AG1707" t="s">
        <v>10859</v>
      </c>
      <c r="AH1707" t="s">
        <v>10871</v>
      </c>
      <c r="AI1707">
        <v>234</v>
      </c>
      <c r="AJ1707" t="s">
        <v>10214</v>
      </c>
      <c r="AL1707">
        <v>1</v>
      </c>
      <c r="AR1707" t="s">
        <v>11267</v>
      </c>
      <c r="AS1707" t="s">
        <v>11595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</row>
    <row r="1708" spans="1:59">
      <c r="A1708" s="1">
        <f>HYPERLINK("https://lsnyc.legalserver.org/matter/dynamic-profile/view/1905580","19-1905580")</f>
        <v>0</v>
      </c>
      <c r="B1708" t="s">
        <v>429</v>
      </c>
      <c r="C1708" t="s">
        <v>5350</v>
      </c>
      <c r="D1708" t="s">
        <v>9926</v>
      </c>
      <c r="E1708" t="s">
        <v>10075</v>
      </c>
      <c r="F1708">
        <v>10467</v>
      </c>
      <c r="G1708" t="s">
        <v>10090</v>
      </c>
      <c r="H1708" t="s">
        <v>10109</v>
      </c>
      <c r="I1708" t="s">
        <v>10174</v>
      </c>
      <c r="J1708" t="s">
        <v>10210</v>
      </c>
      <c r="K1708" t="s">
        <v>10218</v>
      </c>
      <c r="L1708" t="s">
        <v>10098</v>
      </c>
      <c r="M1708" t="s">
        <v>10353</v>
      </c>
      <c r="N1708" t="s">
        <v>10671</v>
      </c>
      <c r="P1708" t="s">
        <v>10751</v>
      </c>
      <c r="Q1708" t="s">
        <v>10786</v>
      </c>
      <c r="R1708" t="s">
        <v>10827</v>
      </c>
      <c r="T1708">
        <v>14616</v>
      </c>
      <c r="U1708">
        <v>1218</v>
      </c>
      <c r="V1708">
        <v>54</v>
      </c>
      <c r="W1708">
        <v>2</v>
      </c>
      <c r="X1708">
        <v>3</v>
      </c>
      <c r="Y1708" t="s">
        <v>10830</v>
      </c>
      <c r="Z1708">
        <v>48.45</v>
      </c>
      <c r="AA1708">
        <v>40.874677</v>
      </c>
      <c r="AB1708">
        <v>-73.87418099999999</v>
      </c>
      <c r="AD1708" t="s">
        <v>10840</v>
      </c>
      <c r="AG1708" t="s">
        <v>10858</v>
      </c>
      <c r="AH1708" t="s">
        <v>10862</v>
      </c>
      <c r="AI1708">
        <v>230</v>
      </c>
      <c r="AJ1708" t="s">
        <v>10210</v>
      </c>
      <c r="AK1708" t="s">
        <v>10838</v>
      </c>
      <c r="AL1708">
        <v>2.25</v>
      </c>
      <c r="AR1708" t="s">
        <v>11336</v>
      </c>
      <c r="AS1708" t="s">
        <v>9926</v>
      </c>
      <c r="AY1708" t="s">
        <v>10830</v>
      </c>
      <c r="AZ1708" t="s">
        <v>11688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</row>
    <row r="1709" spans="1:59">
      <c r="A1709" s="1">
        <f>HYPERLINK("https://lsnyc.legalserver.org/matter/dynamic-profile/view/1905581","19-1905581")</f>
        <v>0</v>
      </c>
      <c r="B1709" t="s">
        <v>429</v>
      </c>
      <c r="C1709" t="s">
        <v>5350</v>
      </c>
      <c r="D1709" t="s">
        <v>9926</v>
      </c>
      <c r="E1709" t="s">
        <v>10075</v>
      </c>
      <c r="F1709">
        <v>10467</v>
      </c>
      <c r="G1709" t="s">
        <v>10090</v>
      </c>
      <c r="H1709" t="s">
        <v>10109</v>
      </c>
      <c r="I1709" t="s">
        <v>10174</v>
      </c>
      <c r="J1709" t="s">
        <v>10210</v>
      </c>
      <c r="K1709" t="s">
        <v>10218</v>
      </c>
      <c r="L1709" t="s">
        <v>10160</v>
      </c>
      <c r="M1709" t="s">
        <v>10353</v>
      </c>
      <c r="N1709" t="s">
        <v>10671</v>
      </c>
      <c r="P1709" t="s">
        <v>10751</v>
      </c>
      <c r="Q1709" t="s">
        <v>10776</v>
      </c>
      <c r="R1709" t="s">
        <v>10827</v>
      </c>
      <c r="T1709">
        <v>14616</v>
      </c>
      <c r="U1709">
        <v>1218</v>
      </c>
      <c r="V1709">
        <v>54</v>
      </c>
      <c r="W1709">
        <v>2</v>
      </c>
      <c r="X1709">
        <v>3</v>
      </c>
      <c r="Y1709" t="s">
        <v>10829</v>
      </c>
      <c r="Z1709">
        <v>48.45</v>
      </c>
      <c r="AA1709">
        <v>40.874677</v>
      </c>
      <c r="AB1709">
        <v>-73.87418099999999</v>
      </c>
      <c r="AD1709" t="s">
        <v>10840</v>
      </c>
      <c r="AG1709" t="s">
        <v>10858</v>
      </c>
      <c r="AH1709" t="s">
        <v>10862</v>
      </c>
      <c r="AI1709">
        <v>230</v>
      </c>
      <c r="AJ1709" t="s">
        <v>10210</v>
      </c>
      <c r="AK1709" t="s">
        <v>10838</v>
      </c>
      <c r="AL1709">
        <v>0.5</v>
      </c>
      <c r="AQ1709" t="s">
        <v>11192</v>
      </c>
      <c r="AR1709" t="s">
        <v>11336</v>
      </c>
      <c r="AS1709" t="s">
        <v>9926</v>
      </c>
      <c r="AY1709" t="s">
        <v>10829</v>
      </c>
      <c r="AZ1709" t="s">
        <v>11682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</row>
    <row r="1710" spans="1:59">
      <c r="A1710" s="1">
        <f>HYPERLINK("https://lsnyc.legalserver.org/matter/dynamic-profile/view/1905582","19-1905582")</f>
        <v>0</v>
      </c>
      <c r="B1710" t="s">
        <v>1514</v>
      </c>
      <c r="C1710" t="s">
        <v>6337</v>
      </c>
      <c r="D1710" t="s">
        <v>9928</v>
      </c>
      <c r="E1710" t="s">
        <v>10075</v>
      </c>
      <c r="F1710">
        <v>11229</v>
      </c>
      <c r="G1710" t="s">
        <v>10093</v>
      </c>
      <c r="H1710" t="s">
        <v>10109</v>
      </c>
      <c r="I1710" t="s">
        <v>10171</v>
      </c>
      <c r="J1710" t="s">
        <v>10213</v>
      </c>
      <c r="K1710" t="s">
        <v>10217</v>
      </c>
      <c r="M1710" t="s">
        <v>10293</v>
      </c>
      <c r="N1710" t="s">
        <v>10680</v>
      </c>
      <c r="P1710" t="s">
        <v>10749</v>
      </c>
      <c r="Q1710" t="s">
        <v>10765</v>
      </c>
      <c r="R1710" t="s">
        <v>10820</v>
      </c>
      <c r="T1710">
        <v>10248</v>
      </c>
      <c r="U1710">
        <v>854</v>
      </c>
      <c r="V1710">
        <v>86</v>
      </c>
      <c r="W1710">
        <v>1</v>
      </c>
      <c r="X1710">
        <v>0</v>
      </c>
      <c r="Z1710">
        <v>82.05</v>
      </c>
      <c r="AA1710">
        <v>40.599644</v>
      </c>
      <c r="AB1710">
        <v>-73.947141</v>
      </c>
      <c r="AD1710" t="s">
        <v>10839</v>
      </c>
      <c r="AG1710" t="s">
        <v>10858</v>
      </c>
      <c r="AH1710" t="s">
        <v>10869</v>
      </c>
      <c r="AI1710">
        <v>239</v>
      </c>
      <c r="AJ1710" t="s">
        <v>10213</v>
      </c>
      <c r="AL1710">
        <v>9.25</v>
      </c>
      <c r="AM1710" t="s">
        <v>10888</v>
      </c>
      <c r="AN1710" t="s">
        <v>10957</v>
      </c>
      <c r="AO1710" t="s">
        <v>11012</v>
      </c>
      <c r="AP1710" t="s">
        <v>11092</v>
      </c>
      <c r="AR1710" t="s">
        <v>11263</v>
      </c>
      <c r="AS1710" t="s">
        <v>11595</v>
      </c>
      <c r="BA1710" t="s">
        <v>11742</v>
      </c>
      <c r="BB1710">
        <v>0</v>
      </c>
      <c r="BC1710">
        <v>0</v>
      </c>
      <c r="BD1710">
        <v>0</v>
      </c>
      <c r="BE1710">
        <v>0</v>
      </c>
      <c r="BF1710">
        <v>7</v>
      </c>
      <c r="BG1710">
        <v>0</v>
      </c>
    </row>
    <row r="1711" spans="1:59">
      <c r="A1711" s="1">
        <f>HYPERLINK("https://lsnyc.legalserver.org/matter/dynamic-profile/view/1905583","19-1905583")</f>
        <v>0</v>
      </c>
      <c r="B1711" t="s">
        <v>1515</v>
      </c>
      <c r="C1711" t="s">
        <v>6338</v>
      </c>
      <c r="D1711" t="s">
        <v>9926</v>
      </c>
      <c r="E1711" t="s">
        <v>10075</v>
      </c>
      <c r="F1711">
        <v>10463</v>
      </c>
      <c r="G1711" t="s">
        <v>10090</v>
      </c>
      <c r="H1711" t="s">
        <v>10109</v>
      </c>
      <c r="I1711" t="s">
        <v>10168</v>
      </c>
      <c r="J1711" t="s">
        <v>10210</v>
      </c>
      <c r="K1711" t="s">
        <v>10217</v>
      </c>
      <c r="M1711" t="s">
        <v>10438</v>
      </c>
      <c r="N1711" t="s">
        <v>10677</v>
      </c>
      <c r="P1711" t="s">
        <v>10752</v>
      </c>
      <c r="Q1711" t="s">
        <v>10783</v>
      </c>
      <c r="R1711" t="s">
        <v>10821</v>
      </c>
      <c r="T1711">
        <v>28800</v>
      </c>
      <c r="U1711">
        <v>2400</v>
      </c>
      <c r="V1711">
        <v>82</v>
      </c>
      <c r="W1711">
        <v>1</v>
      </c>
      <c r="X1711">
        <v>0</v>
      </c>
      <c r="Z1711">
        <v>230.58</v>
      </c>
      <c r="AA1711">
        <v>40.885611</v>
      </c>
      <c r="AB1711">
        <v>-73.914317</v>
      </c>
      <c r="AC1711" t="s">
        <v>10837</v>
      </c>
      <c r="AD1711" t="s">
        <v>10840</v>
      </c>
      <c r="AG1711" t="s">
        <v>10858</v>
      </c>
      <c r="AH1711" t="s">
        <v>10871</v>
      </c>
      <c r="AI1711">
        <v>234</v>
      </c>
      <c r="AJ1711" t="s">
        <v>10214</v>
      </c>
      <c r="AL1711">
        <v>0.6</v>
      </c>
      <c r="AM1711" t="s">
        <v>10893</v>
      </c>
      <c r="AN1711" t="s">
        <v>10919</v>
      </c>
      <c r="AO1711" t="s">
        <v>11002</v>
      </c>
      <c r="AP1711" t="s">
        <v>11057</v>
      </c>
      <c r="AR1711" t="s">
        <v>11300</v>
      </c>
      <c r="AS1711" t="s">
        <v>9926</v>
      </c>
      <c r="AT1711" t="s">
        <v>11642</v>
      </c>
      <c r="AX1711" t="s">
        <v>10838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</row>
    <row r="1712" spans="1:59">
      <c r="A1712" s="1">
        <f>HYPERLINK("https://lsnyc.legalserver.org/matter/dynamic-profile/view/1905584","19-1905584")</f>
        <v>0</v>
      </c>
      <c r="B1712" t="s">
        <v>1516</v>
      </c>
      <c r="C1712" t="s">
        <v>6339</v>
      </c>
      <c r="D1712" t="s">
        <v>9956</v>
      </c>
      <c r="E1712" t="s">
        <v>10075</v>
      </c>
      <c r="F1712">
        <v>11365</v>
      </c>
      <c r="G1712" t="s">
        <v>10092</v>
      </c>
      <c r="H1712" t="s">
        <v>10109</v>
      </c>
      <c r="I1712" t="s">
        <v>10168</v>
      </c>
      <c r="J1712" t="s">
        <v>10212</v>
      </c>
      <c r="K1712" t="s">
        <v>10217</v>
      </c>
      <c r="M1712" t="s">
        <v>10342</v>
      </c>
      <c r="N1712" t="s">
        <v>10711</v>
      </c>
      <c r="P1712" t="s">
        <v>10749</v>
      </c>
      <c r="Q1712" t="s">
        <v>10765</v>
      </c>
      <c r="R1712" t="s">
        <v>10824</v>
      </c>
      <c r="T1712">
        <v>20400</v>
      </c>
      <c r="U1712">
        <v>1700</v>
      </c>
      <c r="V1712">
        <v>61</v>
      </c>
      <c r="W1712">
        <v>1</v>
      </c>
      <c r="X1712">
        <v>0</v>
      </c>
      <c r="Z1712">
        <v>163.33</v>
      </c>
      <c r="AA1712">
        <v>40.738002</v>
      </c>
      <c r="AB1712">
        <v>-73.805396</v>
      </c>
      <c r="AD1712" t="s">
        <v>10839</v>
      </c>
      <c r="AG1712" t="s">
        <v>10858</v>
      </c>
      <c r="AH1712" t="s">
        <v>10862</v>
      </c>
      <c r="AI1712">
        <v>237</v>
      </c>
      <c r="AJ1712" t="s">
        <v>10212</v>
      </c>
      <c r="AL1712">
        <v>24.81</v>
      </c>
      <c r="AM1712" t="s">
        <v>10890</v>
      </c>
      <c r="AN1712" t="s">
        <v>10934</v>
      </c>
      <c r="AO1712" t="s">
        <v>11009</v>
      </c>
      <c r="AP1712" t="s">
        <v>11081</v>
      </c>
      <c r="AR1712" t="s">
        <v>11270</v>
      </c>
      <c r="AS1712" t="s">
        <v>11594</v>
      </c>
      <c r="BA1712" t="s">
        <v>11738</v>
      </c>
      <c r="BB1712">
        <v>0</v>
      </c>
      <c r="BC1712">
        <v>0</v>
      </c>
      <c r="BD1712">
        <v>0</v>
      </c>
      <c r="BE1712">
        <v>0</v>
      </c>
      <c r="BF1712">
        <v>5</v>
      </c>
      <c r="BG1712">
        <v>0</v>
      </c>
    </row>
    <row r="1713" spans="1:59">
      <c r="A1713" s="1">
        <f>HYPERLINK("https://lsnyc.legalserver.org/matter/dynamic-profile/view/1905585","19-1905585")</f>
        <v>0</v>
      </c>
      <c r="B1713" t="s">
        <v>1517</v>
      </c>
      <c r="C1713" t="s">
        <v>6340</v>
      </c>
      <c r="D1713" t="s">
        <v>9928</v>
      </c>
      <c r="E1713" t="s">
        <v>10075</v>
      </c>
      <c r="F1713">
        <v>11217</v>
      </c>
      <c r="G1713" t="s">
        <v>10093</v>
      </c>
      <c r="H1713" t="s">
        <v>10109</v>
      </c>
      <c r="I1713" t="s">
        <v>10168</v>
      </c>
      <c r="J1713" t="s">
        <v>10213</v>
      </c>
      <c r="K1713" t="s">
        <v>10218</v>
      </c>
      <c r="L1713" t="s">
        <v>10153</v>
      </c>
      <c r="M1713" t="s">
        <v>10358</v>
      </c>
      <c r="N1713" t="s">
        <v>10671</v>
      </c>
      <c r="P1713" t="s">
        <v>10752</v>
      </c>
      <c r="Q1713" t="s">
        <v>10783</v>
      </c>
      <c r="R1713" t="s">
        <v>10824</v>
      </c>
      <c r="T1713">
        <v>11700</v>
      </c>
      <c r="U1713">
        <v>975</v>
      </c>
      <c r="V1713">
        <v>63</v>
      </c>
      <c r="W1713">
        <v>1</v>
      </c>
      <c r="X1713">
        <v>0</v>
      </c>
      <c r="Y1713" t="s">
        <v>10829</v>
      </c>
      <c r="Z1713">
        <v>93.67</v>
      </c>
      <c r="AA1713">
        <v>40.685827</v>
      </c>
      <c r="AB1713">
        <v>-73.980555</v>
      </c>
      <c r="AD1713" t="s">
        <v>10839</v>
      </c>
      <c r="AG1713" t="s">
        <v>10858</v>
      </c>
      <c r="AH1713" t="s">
        <v>10861</v>
      </c>
      <c r="AI1713">
        <v>234</v>
      </c>
      <c r="AJ1713" t="s">
        <v>10214</v>
      </c>
      <c r="AK1713" t="s">
        <v>10838</v>
      </c>
      <c r="AL1713">
        <v>2.25</v>
      </c>
      <c r="AM1713" t="s">
        <v>10889</v>
      </c>
      <c r="AN1713" t="s">
        <v>10917</v>
      </c>
      <c r="AO1713" t="s">
        <v>11007</v>
      </c>
      <c r="AP1713" t="s">
        <v>11054</v>
      </c>
      <c r="AQ1713" t="s">
        <v>11184</v>
      </c>
      <c r="AR1713" t="s">
        <v>11296</v>
      </c>
      <c r="AS1713" t="s">
        <v>11595</v>
      </c>
      <c r="AT1713" t="s">
        <v>11641</v>
      </c>
      <c r="AX1713" t="s">
        <v>10838</v>
      </c>
      <c r="AY1713" t="s">
        <v>10829</v>
      </c>
      <c r="AZ1713" t="s">
        <v>11680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</row>
    <row r="1714" spans="1:59">
      <c r="A1714" s="1">
        <f>HYPERLINK("https://lsnyc.legalserver.org/matter/dynamic-profile/view/1905589","19-1905589")</f>
        <v>0</v>
      </c>
      <c r="B1714" t="s">
        <v>1518</v>
      </c>
      <c r="C1714" t="s">
        <v>6341</v>
      </c>
      <c r="D1714" t="s">
        <v>9928</v>
      </c>
      <c r="E1714" t="s">
        <v>10075</v>
      </c>
      <c r="F1714">
        <v>11211</v>
      </c>
      <c r="G1714" t="s">
        <v>10091</v>
      </c>
      <c r="H1714" t="s">
        <v>10109</v>
      </c>
      <c r="I1714" t="s">
        <v>10169</v>
      </c>
      <c r="J1714" t="s">
        <v>10214</v>
      </c>
      <c r="K1714" t="s">
        <v>10217</v>
      </c>
      <c r="M1714" t="s">
        <v>10286</v>
      </c>
      <c r="N1714" t="s">
        <v>10671</v>
      </c>
      <c r="P1714" t="s">
        <v>10751</v>
      </c>
      <c r="Q1714" t="s">
        <v>10768</v>
      </c>
      <c r="R1714" t="s">
        <v>10821</v>
      </c>
      <c r="T1714">
        <v>20800</v>
      </c>
      <c r="U1714">
        <v>1733.33</v>
      </c>
      <c r="V1714">
        <v>27</v>
      </c>
      <c r="W1714">
        <v>3</v>
      </c>
      <c r="X1714">
        <v>1</v>
      </c>
      <c r="Z1714">
        <v>80.78</v>
      </c>
      <c r="AA1714">
        <v>40.709086</v>
      </c>
      <c r="AB1714">
        <v>-73.961997</v>
      </c>
      <c r="AD1714" t="s">
        <v>10839</v>
      </c>
      <c r="AG1714" t="s">
        <v>10858</v>
      </c>
      <c r="AH1714" t="s">
        <v>10871</v>
      </c>
      <c r="AI1714">
        <v>234</v>
      </c>
      <c r="AJ1714" t="s">
        <v>10214</v>
      </c>
      <c r="AL1714">
        <v>0.5</v>
      </c>
      <c r="AM1714" t="s">
        <v>10886</v>
      </c>
      <c r="AN1714" t="s">
        <v>10939</v>
      </c>
      <c r="AO1714" t="s">
        <v>11011</v>
      </c>
      <c r="AP1714" t="s">
        <v>11071</v>
      </c>
      <c r="AR1714" t="s">
        <v>11257</v>
      </c>
      <c r="AS1714" t="s">
        <v>11595</v>
      </c>
      <c r="AT1714" t="s">
        <v>11641</v>
      </c>
      <c r="AX1714" t="s">
        <v>10838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</row>
    <row r="1715" spans="1:59">
      <c r="A1715" s="1">
        <f>HYPERLINK("https://lsnyc.legalserver.org/matter/dynamic-profile/view/1905591","19-1905591")</f>
        <v>0</v>
      </c>
      <c r="B1715" t="s">
        <v>1519</v>
      </c>
      <c r="C1715" t="s">
        <v>6342</v>
      </c>
      <c r="D1715" t="s">
        <v>9928</v>
      </c>
      <c r="E1715" t="s">
        <v>10075</v>
      </c>
      <c r="F1715">
        <v>11209</v>
      </c>
      <c r="G1715" t="s">
        <v>10091</v>
      </c>
      <c r="H1715" t="s">
        <v>10109</v>
      </c>
      <c r="I1715" t="s">
        <v>10168</v>
      </c>
      <c r="J1715" t="s">
        <v>10211</v>
      </c>
      <c r="K1715" t="s">
        <v>10217</v>
      </c>
      <c r="M1715" t="s">
        <v>10231</v>
      </c>
      <c r="N1715" t="s">
        <v>10647</v>
      </c>
      <c r="P1715" t="s">
        <v>10752</v>
      </c>
      <c r="Q1715" t="s">
        <v>10762</v>
      </c>
      <c r="R1715" t="s">
        <v>10824</v>
      </c>
      <c r="T1715">
        <v>23400</v>
      </c>
      <c r="U1715">
        <v>1950</v>
      </c>
      <c r="V1715">
        <v>48</v>
      </c>
      <c r="W1715">
        <v>2</v>
      </c>
      <c r="X1715">
        <v>0</v>
      </c>
      <c r="Z1715">
        <v>138.38</v>
      </c>
      <c r="AA1715">
        <v>40.63445</v>
      </c>
      <c r="AB1715">
        <v>-74.033074</v>
      </c>
      <c r="AD1715" t="s">
        <v>10839</v>
      </c>
      <c r="AG1715" t="s">
        <v>10858</v>
      </c>
      <c r="AH1715" t="s">
        <v>10861</v>
      </c>
      <c r="AI1715">
        <v>234</v>
      </c>
      <c r="AJ1715" t="s">
        <v>10214</v>
      </c>
      <c r="AL1715">
        <v>2.12</v>
      </c>
      <c r="AM1715" t="s">
        <v>10883</v>
      </c>
      <c r="AN1715" t="s">
        <v>10915</v>
      </c>
      <c r="AO1715" t="s">
        <v>11023</v>
      </c>
      <c r="AP1715" t="s">
        <v>11086</v>
      </c>
      <c r="AR1715" t="s">
        <v>11293</v>
      </c>
      <c r="AS1715" t="s">
        <v>11595</v>
      </c>
      <c r="AT1715" t="s">
        <v>11642</v>
      </c>
      <c r="AX1715" t="s">
        <v>10838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</row>
    <row r="1716" spans="1:59">
      <c r="A1716" s="1">
        <f>HYPERLINK("https://lsnyc.legalserver.org/matter/dynamic-profile/view/1905592","19-1905592")</f>
        <v>0</v>
      </c>
      <c r="B1716" t="s">
        <v>1520</v>
      </c>
      <c r="C1716" t="s">
        <v>6343</v>
      </c>
      <c r="D1716" t="s">
        <v>9928</v>
      </c>
      <c r="E1716" t="s">
        <v>10075</v>
      </c>
      <c r="F1716">
        <v>11207</v>
      </c>
      <c r="G1716" t="s">
        <v>10093</v>
      </c>
      <c r="H1716" t="s">
        <v>10109</v>
      </c>
      <c r="I1716" t="s">
        <v>10168</v>
      </c>
      <c r="J1716" t="s">
        <v>10213</v>
      </c>
      <c r="K1716" t="s">
        <v>10217</v>
      </c>
      <c r="M1716" t="s">
        <v>10309</v>
      </c>
      <c r="N1716" t="s">
        <v>10662</v>
      </c>
      <c r="P1716" t="s">
        <v>10751</v>
      </c>
      <c r="Q1716" t="s">
        <v>10780</v>
      </c>
      <c r="R1716" t="s">
        <v>10824</v>
      </c>
      <c r="T1716">
        <v>9084</v>
      </c>
      <c r="U1716">
        <v>757</v>
      </c>
      <c r="V1716">
        <v>52</v>
      </c>
      <c r="W1716">
        <v>1</v>
      </c>
      <c r="X1716">
        <v>0</v>
      </c>
      <c r="Z1716">
        <v>72.73</v>
      </c>
      <c r="AA1716">
        <v>40.665737</v>
      </c>
      <c r="AB1716">
        <v>-73.891649</v>
      </c>
      <c r="AD1716" t="s">
        <v>10839</v>
      </c>
      <c r="AG1716" t="s">
        <v>10858</v>
      </c>
      <c r="AH1716" t="s">
        <v>10861</v>
      </c>
      <c r="AI1716">
        <v>234</v>
      </c>
      <c r="AJ1716" t="s">
        <v>10214</v>
      </c>
      <c r="AL1716">
        <v>8</v>
      </c>
      <c r="AM1716" t="s">
        <v>10889</v>
      </c>
      <c r="AN1716" t="s">
        <v>10946</v>
      </c>
      <c r="AO1716" t="s">
        <v>11012</v>
      </c>
      <c r="AP1716" t="s">
        <v>11060</v>
      </c>
      <c r="AR1716" t="s">
        <v>11274</v>
      </c>
      <c r="AS1716" t="s">
        <v>11595</v>
      </c>
      <c r="AT1716" t="s">
        <v>11641</v>
      </c>
      <c r="AX1716" t="s">
        <v>10837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</row>
    <row r="1717" spans="1:59">
      <c r="A1717" s="1">
        <f>HYPERLINK("https://lsnyc.legalserver.org/matter/dynamic-profile/view/1905593","19-1905593")</f>
        <v>0</v>
      </c>
      <c r="B1717" t="s">
        <v>1521</v>
      </c>
      <c r="C1717" t="s">
        <v>5080</v>
      </c>
      <c r="D1717" t="s">
        <v>9926</v>
      </c>
      <c r="E1717" t="s">
        <v>10075</v>
      </c>
      <c r="F1717">
        <v>10453</v>
      </c>
      <c r="G1717" t="s">
        <v>10091</v>
      </c>
      <c r="H1717" t="s">
        <v>10109</v>
      </c>
      <c r="I1717" t="s">
        <v>10168</v>
      </c>
      <c r="J1717" t="s">
        <v>10211</v>
      </c>
      <c r="K1717" t="s">
        <v>10217</v>
      </c>
      <c r="M1717" t="s">
        <v>10307</v>
      </c>
      <c r="N1717" t="s">
        <v>10671</v>
      </c>
      <c r="P1717" t="s">
        <v>10752</v>
      </c>
      <c r="Q1717" t="s">
        <v>10762</v>
      </c>
      <c r="R1717" t="s">
        <v>10822</v>
      </c>
      <c r="T1717">
        <v>18720</v>
      </c>
      <c r="U1717">
        <v>1560</v>
      </c>
      <c r="V1717">
        <v>57</v>
      </c>
      <c r="W1717">
        <v>1</v>
      </c>
      <c r="X1717">
        <v>0</v>
      </c>
      <c r="Z1717">
        <v>149.88</v>
      </c>
      <c r="AA1717">
        <v>40.848105</v>
      </c>
      <c r="AB1717">
        <v>-73.92245699999999</v>
      </c>
      <c r="AD1717" t="s">
        <v>10822</v>
      </c>
      <c r="AF1717" t="s">
        <v>10843</v>
      </c>
      <c r="AG1717" t="s">
        <v>10859</v>
      </c>
      <c r="AH1717" t="s">
        <v>10861</v>
      </c>
      <c r="AI1717">
        <v>234</v>
      </c>
      <c r="AJ1717" t="s">
        <v>10214</v>
      </c>
      <c r="AL1717">
        <v>0.5</v>
      </c>
      <c r="AM1717" t="s">
        <v>10887</v>
      </c>
      <c r="AN1717" t="s">
        <v>10929</v>
      </c>
      <c r="AO1717" t="s">
        <v>11013</v>
      </c>
      <c r="AP1717" t="s">
        <v>11055</v>
      </c>
      <c r="AR1717" t="s">
        <v>11257</v>
      </c>
      <c r="AS1717" t="s">
        <v>9926</v>
      </c>
      <c r="AT1717" t="s">
        <v>10822</v>
      </c>
      <c r="AX1717" t="s">
        <v>11678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</row>
    <row r="1718" spans="1:59">
      <c r="A1718" s="1">
        <f>HYPERLINK("https://lsnyc.legalserver.org/matter/dynamic-profile/view/1905594","19-1905594")</f>
        <v>0</v>
      </c>
      <c r="B1718" t="s">
        <v>1522</v>
      </c>
      <c r="C1718" t="s">
        <v>6344</v>
      </c>
      <c r="D1718" t="s">
        <v>9981</v>
      </c>
      <c r="E1718" t="s">
        <v>10075</v>
      </c>
      <c r="F1718">
        <v>11378</v>
      </c>
      <c r="G1718" t="s">
        <v>10092</v>
      </c>
      <c r="H1718" t="s">
        <v>10109</v>
      </c>
      <c r="I1718" t="s">
        <v>10169</v>
      </c>
      <c r="J1718" t="s">
        <v>10212</v>
      </c>
      <c r="K1718" t="s">
        <v>10217</v>
      </c>
      <c r="M1718" t="s">
        <v>10547</v>
      </c>
      <c r="N1718" t="s">
        <v>10671</v>
      </c>
      <c r="P1718" t="s">
        <v>10753</v>
      </c>
      <c r="Q1718" t="s">
        <v>10763</v>
      </c>
      <c r="R1718" t="s">
        <v>10821</v>
      </c>
      <c r="T1718">
        <v>23400</v>
      </c>
      <c r="U1718">
        <v>1950</v>
      </c>
      <c r="V1718">
        <v>35</v>
      </c>
      <c r="W1718">
        <v>2</v>
      </c>
      <c r="X1718">
        <v>2</v>
      </c>
      <c r="Z1718">
        <v>90.87</v>
      </c>
      <c r="AA1718">
        <v>40.717909</v>
      </c>
      <c r="AB1718">
        <v>-73.89806799999999</v>
      </c>
      <c r="AD1718" t="s">
        <v>10839</v>
      </c>
      <c r="AF1718" t="s">
        <v>10843</v>
      </c>
      <c r="AG1718" t="s">
        <v>10859</v>
      </c>
      <c r="AH1718" t="s">
        <v>10861</v>
      </c>
      <c r="AI1718">
        <v>234</v>
      </c>
      <c r="AJ1718" t="s">
        <v>10214</v>
      </c>
      <c r="AL1718">
        <v>0.5</v>
      </c>
      <c r="AM1718" t="s">
        <v>10890</v>
      </c>
      <c r="AN1718" t="s">
        <v>10935</v>
      </c>
      <c r="AO1718" t="s">
        <v>11024</v>
      </c>
      <c r="AP1718" t="s">
        <v>11077</v>
      </c>
      <c r="AR1718" t="s">
        <v>11257</v>
      </c>
      <c r="AS1718" t="s">
        <v>11594</v>
      </c>
      <c r="AT1718" t="s">
        <v>11641</v>
      </c>
      <c r="AX1718" t="s">
        <v>10838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</row>
    <row r="1719" spans="1:59">
      <c r="A1719" s="1">
        <f>HYPERLINK("https://lsnyc.legalserver.org/matter/dynamic-profile/view/1905595","19-1905595")</f>
        <v>0</v>
      </c>
      <c r="B1719" t="s">
        <v>1523</v>
      </c>
      <c r="C1719" t="s">
        <v>6345</v>
      </c>
      <c r="D1719" t="s">
        <v>10003</v>
      </c>
      <c r="E1719" t="s">
        <v>10075</v>
      </c>
      <c r="F1719">
        <v>11003</v>
      </c>
      <c r="G1719" t="s">
        <v>10092</v>
      </c>
      <c r="H1719" t="s">
        <v>10109</v>
      </c>
      <c r="I1719" t="s">
        <v>10168</v>
      </c>
      <c r="J1719" t="s">
        <v>10212</v>
      </c>
      <c r="K1719" t="s">
        <v>10217</v>
      </c>
      <c r="M1719" t="s">
        <v>10318</v>
      </c>
      <c r="N1719" t="s">
        <v>10684</v>
      </c>
      <c r="P1719" t="s">
        <v>10751</v>
      </c>
      <c r="Q1719" t="s">
        <v>10786</v>
      </c>
      <c r="R1719" t="s">
        <v>10827</v>
      </c>
      <c r="T1719">
        <v>15600</v>
      </c>
      <c r="U1719">
        <v>1300</v>
      </c>
      <c r="V1719">
        <v>49</v>
      </c>
      <c r="W1719">
        <v>2</v>
      </c>
      <c r="X1719">
        <v>0</v>
      </c>
      <c r="Z1719">
        <v>92.25</v>
      </c>
      <c r="AA1719">
        <v>40.705314</v>
      </c>
      <c r="AB1719">
        <v>-73.69301900000001</v>
      </c>
      <c r="AD1719" t="s">
        <v>10839</v>
      </c>
      <c r="AG1719" t="s">
        <v>10858</v>
      </c>
      <c r="AH1719" t="s">
        <v>10873</v>
      </c>
      <c r="AI1719">
        <v>237</v>
      </c>
      <c r="AJ1719" t="s">
        <v>10212</v>
      </c>
      <c r="AL1719">
        <v>1.5</v>
      </c>
      <c r="AM1719" t="s">
        <v>10892</v>
      </c>
      <c r="AN1719" t="s">
        <v>10967</v>
      </c>
      <c r="AO1719" t="s">
        <v>11035</v>
      </c>
      <c r="AR1719" t="s">
        <v>11257</v>
      </c>
      <c r="AS1719" t="s">
        <v>11594</v>
      </c>
      <c r="AT1719" t="s">
        <v>11641</v>
      </c>
      <c r="AX1719" t="s">
        <v>10838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</row>
    <row r="1720" spans="1:59">
      <c r="A1720" s="1">
        <f>HYPERLINK("https://lsnyc.legalserver.org/matter/dynamic-profile/view/1905596","19-1905596")</f>
        <v>0</v>
      </c>
      <c r="B1720" t="s">
        <v>1524</v>
      </c>
      <c r="C1720" t="s">
        <v>6346</v>
      </c>
      <c r="D1720" t="s">
        <v>9928</v>
      </c>
      <c r="E1720" t="s">
        <v>10075</v>
      </c>
      <c r="F1720">
        <v>11233</v>
      </c>
      <c r="G1720" t="s">
        <v>10093</v>
      </c>
      <c r="H1720" t="s">
        <v>10109</v>
      </c>
      <c r="I1720" t="s">
        <v>10168</v>
      </c>
      <c r="J1720" t="s">
        <v>10213</v>
      </c>
      <c r="K1720" t="s">
        <v>10217</v>
      </c>
      <c r="M1720" t="s">
        <v>10494</v>
      </c>
      <c r="N1720" t="s">
        <v>10657</v>
      </c>
      <c r="P1720" t="s">
        <v>10749</v>
      </c>
      <c r="Q1720" t="s">
        <v>10767</v>
      </c>
      <c r="R1720" t="s">
        <v>10821</v>
      </c>
      <c r="T1720">
        <v>18588</v>
      </c>
      <c r="U1720">
        <v>1549</v>
      </c>
      <c r="V1720">
        <v>54</v>
      </c>
      <c r="W1720">
        <v>2</v>
      </c>
      <c r="X1720">
        <v>0</v>
      </c>
      <c r="Z1720">
        <v>109.92</v>
      </c>
      <c r="AA1720">
        <v>40.679998</v>
      </c>
      <c r="AB1720">
        <v>-73.92441599999999</v>
      </c>
      <c r="AD1720" t="s">
        <v>10840</v>
      </c>
      <c r="AG1720" t="s">
        <v>10858</v>
      </c>
      <c r="AH1720" t="s">
        <v>10862</v>
      </c>
      <c r="AI1720">
        <v>239</v>
      </c>
      <c r="AJ1720" t="s">
        <v>10213</v>
      </c>
      <c r="AL1720">
        <v>1</v>
      </c>
      <c r="AM1720" t="s">
        <v>10889</v>
      </c>
      <c r="AN1720" t="s">
        <v>10922</v>
      </c>
      <c r="AO1720" t="s">
        <v>11007</v>
      </c>
      <c r="AP1720" t="s">
        <v>11064</v>
      </c>
      <c r="AR1720" t="s">
        <v>11318</v>
      </c>
      <c r="AS1720" t="s">
        <v>11595</v>
      </c>
      <c r="AT1720" t="s">
        <v>11642</v>
      </c>
      <c r="BA1720" t="s">
        <v>11741</v>
      </c>
      <c r="BB1720">
        <v>0</v>
      </c>
      <c r="BC1720">
        <v>0</v>
      </c>
      <c r="BD1720">
        <v>0</v>
      </c>
      <c r="BE1720">
        <v>0</v>
      </c>
      <c r="BF1720">
        <v>1</v>
      </c>
      <c r="BG1720">
        <v>0</v>
      </c>
    </row>
    <row r="1721" spans="1:59">
      <c r="A1721" s="1">
        <f>HYPERLINK("https://lsnyc.legalserver.org/matter/dynamic-profile/view/1905597","19-1905597")</f>
        <v>0</v>
      </c>
      <c r="B1721" t="s">
        <v>1525</v>
      </c>
      <c r="C1721" t="s">
        <v>6347</v>
      </c>
      <c r="D1721" t="s">
        <v>9925</v>
      </c>
      <c r="E1721" t="s">
        <v>10075</v>
      </c>
      <c r="F1721">
        <v>10002</v>
      </c>
      <c r="G1721" t="s">
        <v>10093</v>
      </c>
      <c r="H1721" t="s">
        <v>10109</v>
      </c>
      <c r="I1721" t="s">
        <v>10168</v>
      </c>
      <c r="J1721" t="s">
        <v>10213</v>
      </c>
      <c r="K1721" t="s">
        <v>10218</v>
      </c>
      <c r="L1721" t="s">
        <v>10153</v>
      </c>
      <c r="M1721" t="s">
        <v>10358</v>
      </c>
      <c r="N1721" t="s">
        <v>10671</v>
      </c>
      <c r="P1721" t="s">
        <v>10752</v>
      </c>
      <c r="Q1721" t="s">
        <v>10783</v>
      </c>
      <c r="R1721" t="s">
        <v>10827</v>
      </c>
      <c r="T1721">
        <v>1200</v>
      </c>
      <c r="U1721">
        <v>100</v>
      </c>
      <c r="V1721">
        <v>32</v>
      </c>
      <c r="W1721">
        <v>1</v>
      </c>
      <c r="X1721">
        <v>0</v>
      </c>
      <c r="Y1721" t="s">
        <v>10829</v>
      </c>
      <c r="Z1721">
        <v>9.609999999999999</v>
      </c>
      <c r="AA1721">
        <v>40.722771</v>
      </c>
      <c r="AB1721">
        <v>-73.992672</v>
      </c>
      <c r="AD1721" t="s">
        <v>10839</v>
      </c>
      <c r="AG1721" t="s">
        <v>10858</v>
      </c>
      <c r="AH1721" t="s">
        <v>10861</v>
      </c>
      <c r="AI1721">
        <v>234</v>
      </c>
      <c r="AJ1721" t="s">
        <v>10214</v>
      </c>
      <c r="AK1721" t="s">
        <v>10838</v>
      </c>
      <c r="AL1721">
        <v>3.1</v>
      </c>
      <c r="AM1721" t="s">
        <v>10886</v>
      </c>
      <c r="AN1721" t="s">
        <v>10963</v>
      </c>
      <c r="AO1721" t="s">
        <v>11004</v>
      </c>
      <c r="AP1721" t="s">
        <v>11093</v>
      </c>
      <c r="AQ1721" t="s">
        <v>11184</v>
      </c>
      <c r="AR1721" t="s">
        <v>11344</v>
      </c>
      <c r="AS1721" t="s">
        <v>9925</v>
      </c>
      <c r="AT1721" t="s">
        <v>11641</v>
      </c>
      <c r="AX1721" t="s">
        <v>10838</v>
      </c>
      <c r="AY1721" t="s">
        <v>10829</v>
      </c>
      <c r="AZ1721" t="s">
        <v>11680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</row>
    <row r="1722" spans="1:59">
      <c r="A1722" s="1">
        <f>HYPERLINK("https://lsnyc.legalserver.org/matter/dynamic-profile/view/1905598","19-1905598")</f>
        <v>0</v>
      </c>
      <c r="B1722" t="s">
        <v>1526</v>
      </c>
      <c r="C1722" t="s">
        <v>6348</v>
      </c>
      <c r="D1722" t="s">
        <v>9926</v>
      </c>
      <c r="E1722" t="s">
        <v>10075</v>
      </c>
      <c r="F1722">
        <v>10474</v>
      </c>
      <c r="G1722" t="s">
        <v>10091</v>
      </c>
      <c r="H1722" t="s">
        <v>10109</v>
      </c>
      <c r="I1722" t="s">
        <v>10168</v>
      </c>
      <c r="J1722" t="s">
        <v>10211</v>
      </c>
      <c r="K1722" t="s">
        <v>10217</v>
      </c>
      <c r="M1722" t="s">
        <v>10307</v>
      </c>
      <c r="N1722" t="s">
        <v>10671</v>
      </c>
      <c r="P1722" t="s">
        <v>10752</v>
      </c>
      <c r="Q1722" t="s">
        <v>10762</v>
      </c>
      <c r="R1722" t="s">
        <v>10824</v>
      </c>
      <c r="T1722">
        <v>3328</v>
      </c>
      <c r="U1722">
        <v>277.33</v>
      </c>
      <c r="V1722">
        <v>34</v>
      </c>
      <c r="W1722">
        <v>1</v>
      </c>
      <c r="X1722">
        <v>2</v>
      </c>
      <c r="Z1722">
        <v>15.6</v>
      </c>
      <c r="AA1722">
        <v>40.81257</v>
      </c>
      <c r="AB1722">
        <v>-73.888023</v>
      </c>
      <c r="AD1722" t="s">
        <v>10839</v>
      </c>
      <c r="AG1722" t="s">
        <v>10858</v>
      </c>
      <c r="AH1722" t="s">
        <v>10861</v>
      </c>
      <c r="AI1722">
        <v>234</v>
      </c>
      <c r="AJ1722" t="s">
        <v>10214</v>
      </c>
      <c r="AL1722">
        <v>1</v>
      </c>
      <c r="AM1722" t="s">
        <v>10884</v>
      </c>
      <c r="AN1722" t="s">
        <v>10924</v>
      </c>
      <c r="AO1722" t="s">
        <v>11002</v>
      </c>
      <c r="AP1722" t="s">
        <v>11062</v>
      </c>
      <c r="AR1722" t="s">
        <v>11255</v>
      </c>
      <c r="AS1722" t="s">
        <v>9926</v>
      </c>
      <c r="AT1722" t="s">
        <v>11641</v>
      </c>
      <c r="AX1722" t="s">
        <v>10837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</row>
    <row r="1723" spans="1:59">
      <c r="A1723" s="1">
        <f>HYPERLINK("https://lsnyc.legalserver.org/matter/dynamic-profile/view/1905599","19-1905599")</f>
        <v>0</v>
      </c>
      <c r="B1723" t="s">
        <v>1527</v>
      </c>
      <c r="C1723" t="s">
        <v>6349</v>
      </c>
      <c r="D1723" t="s">
        <v>9926</v>
      </c>
      <c r="E1723" t="s">
        <v>10075</v>
      </c>
      <c r="F1723">
        <v>10452</v>
      </c>
      <c r="G1723" t="s">
        <v>10090</v>
      </c>
      <c r="H1723" t="s">
        <v>10109</v>
      </c>
      <c r="I1723" t="s">
        <v>10169</v>
      </c>
      <c r="J1723" t="s">
        <v>10210</v>
      </c>
      <c r="K1723" t="s">
        <v>10217</v>
      </c>
      <c r="M1723" t="s">
        <v>10367</v>
      </c>
      <c r="N1723" t="s">
        <v>10677</v>
      </c>
      <c r="P1723" t="s">
        <v>10749</v>
      </c>
      <c r="Q1723" t="s">
        <v>10791</v>
      </c>
      <c r="R1723" t="s">
        <v>10821</v>
      </c>
      <c r="T1723">
        <v>9312</v>
      </c>
      <c r="U1723">
        <v>776</v>
      </c>
      <c r="V1723">
        <v>62</v>
      </c>
      <c r="W1723">
        <v>2</v>
      </c>
      <c r="X1723">
        <v>0</v>
      </c>
      <c r="Z1723">
        <v>55.07</v>
      </c>
      <c r="AA1723">
        <v>40.840191</v>
      </c>
      <c r="AB1723">
        <v>-73.91690699999999</v>
      </c>
      <c r="AD1723" t="s">
        <v>10840</v>
      </c>
      <c r="AF1723" t="s">
        <v>10843</v>
      </c>
      <c r="AG1723" t="s">
        <v>10859</v>
      </c>
      <c r="AH1723" t="s">
        <v>10869</v>
      </c>
      <c r="AI1723">
        <v>230</v>
      </c>
      <c r="AJ1723" t="s">
        <v>10210</v>
      </c>
      <c r="AL1723">
        <v>4.7</v>
      </c>
      <c r="AM1723" t="s">
        <v>10884</v>
      </c>
      <c r="AN1723" t="s">
        <v>10929</v>
      </c>
      <c r="AO1723" t="s">
        <v>11013</v>
      </c>
      <c r="AP1723" t="s">
        <v>11055</v>
      </c>
      <c r="AQ1723" t="s">
        <v>11100</v>
      </c>
      <c r="AR1723" t="s">
        <v>11432</v>
      </c>
      <c r="AS1723" t="s">
        <v>9926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</row>
    <row r="1724" spans="1:59">
      <c r="A1724" s="1">
        <f>HYPERLINK("https://lsnyc.legalserver.org/matter/dynamic-profile/view/1905601","19-1905601")</f>
        <v>0</v>
      </c>
      <c r="B1724" t="s">
        <v>1528</v>
      </c>
      <c r="C1724" t="s">
        <v>6350</v>
      </c>
      <c r="D1724" t="s">
        <v>9925</v>
      </c>
      <c r="E1724" t="s">
        <v>10075</v>
      </c>
      <c r="F1724">
        <v>10029</v>
      </c>
      <c r="G1724" t="s">
        <v>10091</v>
      </c>
      <c r="H1724" t="s">
        <v>10109</v>
      </c>
      <c r="I1724" t="s">
        <v>10168</v>
      </c>
      <c r="J1724" t="s">
        <v>10211</v>
      </c>
      <c r="K1724" t="s">
        <v>10217</v>
      </c>
      <c r="M1724" t="s">
        <v>10231</v>
      </c>
      <c r="N1724" t="s">
        <v>10647</v>
      </c>
      <c r="P1724" t="s">
        <v>10752</v>
      </c>
      <c r="Q1724" t="s">
        <v>10762</v>
      </c>
      <c r="R1724" t="s">
        <v>10824</v>
      </c>
      <c r="T1724">
        <v>2184</v>
      </c>
      <c r="U1724">
        <v>182</v>
      </c>
      <c r="V1724">
        <v>26</v>
      </c>
      <c r="W1724">
        <v>1</v>
      </c>
      <c r="X1724">
        <v>1</v>
      </c>
      <c r="Z1724">
        <v>12.92</v>
      </c>
      <c r="AA1724">
        <v>40.796967</v>
      </c>
      <c r="AB1724">
        <v>-73.94229</v>
      </c>
      <c r="AD1724" t="s">
        <v>10839</v>
      </c>
      <c r="AG1724" t="s">
        <v>10858</v>
      </c>
      <c r="AH1724" t="s">
        <v>10861</v>
      </c>
      <c r="AI1724">
        <v>234</v>
      </c>
      <c r="AJ1724" t="s">
        <v>10214</v>
      </c>
      <c r="AL1724">
        <v>0.9</v>
      </c>
      <c r="AM1724" t="s">
        <v>10887</v>
      </c>
      <c r="AN1724" t="s">
        <v>10926</v>
      </c>
      <c r="AO1724" t="s">
        <v>11016</v>
      </c>
      <c r="AP1724" t="s">
        <v>11066</v>
      </c>
      <c r="AR1724" t="s">
        <v>11344</v>
      </c>
      <c r="AS1724" t="s">
        <v>9925</v>
      </c>
      <c r="AT1724" t="s">
        <v>11641</v>
      </c>
      <c r="AX1724" t="s">
        <v>10838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</row>
    <row r="1725" spans="1:59">
      <c r="A1725" s="1">
        <f>HYPERLINK("https://lsnyc.legalserver.org/matter/dynamic-profile/view/1905602","19-1905602")</f>
        <v>0</v>
      </c>
      <c r="B1725" t="s">
        <v>1529</v>
      </c>
      <c r="C1725" t="s">
        <v>6351</v>
      </c>
      <c r="D1725" t="s">
        <v>9925</v>
      </c>
      <c r="E1725" t="s">
        <v>10075</v>
      </c>
      <c r="F1725">
        <v>10027</v>
      </c>
      <c r="G1725" t="s">
        <v>10091</v>
      </c>
      <c r="H1725" t="s">
        <v>10109</v>
      </c>
      <c r="I1725" t="s">
        <v>10168</v>
      </c>
      <c r="J1725" t="s">
        <v>10214</v>
      </c>
      <c r="K1725" t="s">
        <v>10217</v>
      </c>
      <c r="M1725" t="s">
        <v>10286</v>
      </c>
      <c r="N1725" t="s">
        <v>10671</v>
      </c>
      <c r="P1725" t="s">
        <v>10754</v>
      </c>
      <c r="Q1725" t="s">
        <v>10777</v>
      </c>
      <c r="R1725" t="s">
        <v>10821</v>
      </c>
      <c r="T1725">
        <v>26800</v>
      </c>
      <c r="U1725">
        <v>2233.33</v>
      </c>
      <c r="V1725">
        <v>54</v>
      </c>
      <c r="W1725">
        <v>1</v>
      </c>
      <c r="X1725">
        <v>2</v>
      </c>
      <c r="Z1725">
        <v>125.64</v>
      </c>
      <c r="AA1725">
        <v>40.813854</v>
      </c>
      <c r="AB1725">
        <v>-73.95167499999999</v>
      </c>
      <c r="AD1725" t="s">
        <v>10822</v>
      </c>
      <c r="AG1725" t="s">
        <v>10858</v>
      </c>
      <c r="AH1725" t="s">
        <v>10861</v>
      </c>
      <c r="AI1725">
        <v>234</v>
      </c>
      <c r="AJ1725" t="s">
        <v>10214</v>
      </c>
      <c r="AL1725">
        <v>0.5</v>
      </c>
      <c r="AM1725" t="s">
        <v>10887</v>
      </c>
      <c r="AN1725" t="s">
        <v>10936</v>
      </c>
      <c r="AO1725" t="s">
        <v>11016</v>
      </c>
      <c r="AP1725" t="s">
        <v>11076</v>
      </c>
      <c r="AQ1725" t="s">
        <v>11128</v>
      </c>
      <c r="AR1725" t="s">
        <v>11262</v>
      </c>
      <c r="AS1725" t="s">
        <v>9925</v>
      </c>
      <c r="AT1725" t="s">
        <v>11641</v>
      </c>
      <c r="AX1725" t="s">
        <v>10838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</row>
    <row r="1726" spans="1:59">
      <c r="A1726" s="1">
        <f>HYPERLINK("https://lsnyc.legalserver.org/matter/dynamic-profile/view/1905603","19-1905603")</f>
        <v>0</v>
      </c>
      <c r="B1726" t="s">
        <v>1530</v>
      </c>
      <c r="C1726" t="s">
        <v>6352</v>
      </c>
      <c r="D1726" t="s">
        <v>9928</v>
      </c>
      <c r="E1726" t="s">
        <v>10075</v>
      </c>
      <c r="F1726">
        <v>11233</v>
      </c>
      <c r="G1726" t="s">
        <v>10093</v>
      </c>
      <c r="H1726" t="s">
        <v>10109</v>
      </c>
      <c r="I1726" t="s">
        <v>10168</v>
      </c>
      <c r="J1726" t="s">
        <v>10213</v>
      </c>
      <c r="K1726" t="s">
        <v>10218</v>
      </c>
      <c r="L1726" t="s">
        <v>10145</v>
      </c>
      <c r="M1726" t="s">
        <v>10308</v>
      </c>
      <c r="N1726" t="s">
        <v>10657</v>
      </c>
      <c r="P1726" t="s">
        <v>10749</v>
      </c>
      <c r="Q1726" t="s">
        <v>10774</v>
      </c>
      <c r="R1726" t="s">
        <v>10824</v>
      </c>
      <c r="T1726">
        <v>9252</v>
      </c>
      <c r="U1726">
        <v>771</v>
      </c>
      <c r="V1726">
        <v>54</v>
      </c>
      <c r="W1726">
        <v>2</v>
      </c>
      <c r="X1726">
        <v>0</v>
      </c>
      <c r="Y1726" t="s">
        <v>10829</v>
      </c>
      <c r="Z1726">
        <v>54.71</v>
      </c>
      <c r="AA1726">
        <v>40.678343</v>
      </c>
      <c r="AB1726">
        <v>-73.929041</v>
      </c>
      <c r="AD1726" t="s">
        <v>10839</v>
      </c>
      <c r="AG1726" t="s">
        <v>10858</v>
      </c>
      <c r="AH1726" t="s">
        <v>10862</v>
      </c>
      <c r="AI1726">
        <v>239</v>
      </c>
      <c r="AJ1726" t="s">
        <v>10213</v>
      </c>
      <c r="AK1726" t="s">
        <v>10838</v>
      </c>
      <c r="AL1726">
        <v>1</v>
      </c>
      <c r="AM1726" t="s">
        <v>10889</v>
      </c>
      <c r="AN1726" t="s">
        <v>10914</v>
      </c>
      <c r="AO1726" t="s">
        <v>11007</v>
      </c>
      <c r="AP1726" t="s">
        <v>11052</v>
      </c>
      <c r="AQ1726" t="s">
        <v>11148</v>
      </c>
      <c r="AR1726" t="s">
        <v>11274</v>
      </c>
      <c r="AS1726" t="s">
        <v>11595</v>
      </c>
      <c r="AT1726" t="s">
        <v>11641</v>
      </c>
      <c r="AX1726" t="s">
        <v>10838</v>
      </c>
      <c r="AY1726" t="s">
        <v>10829</v>
      </c>
      <c r="AZ1726" t="s">
        <v>11681</v>
      </c>
      <c r="BA1726" t="s">
        <v>11741</v>
      </c>
      <c r="BB1726">
        <v>0</v>
      </c>
      <c r="BC1726">
        <v>0</v>
      </c>
      <c r="BD1726">
        <v>0</v>
      </c>
      <c r="BE1726">
        <v>0</v>
      </c>
      <c r="BF1726">
        <v>1</v>
      </c>
      <c r="BG1726">
        <v>0</v>
      </c>
    </row>
    <row r="1727" spans="1:59">
      <c r="A1727" s="1">
        <f>HYPERLINK("https://lsnyc.legalserver.org/matter/dynamic-profile/view/1905604","19-1905604")</f>
        <v>0</v>
      </c>
      <c r="B1727" t="s">
        <v>1531</v>
      </c>
      <c r="C1727" t="s">
        <v>6353</v>
      </c>
      <c r="D1727" t="s">
        <v>9926</v>
      </c>
      <c r="E1727" t="s">
        <v>10075</v>
      </c>
      <c r="F1727">
        <v>10475</v>
      </c>
      <c r="G1727" t="s">
        <v>10090</v>
      </c>
      <c r="H1727" t="s">
        <v>10109</v>
      </c>
      <c r="I1727" t="s">
        <v>10168</v>
      </c>
      <c r="J1727" t="s">
        <v>10210</v>
      </c>
      <c r="K1727" t="s">
        <v>10217</v>
      </c>
      <c r="M1727" t="s">
        <v>10549</v>
      </c>
      <c r="N1727" t="s">
        <v>10682</v>
      </c>
      <c r="P1727" t="s">
        <v>10753</v>
      </c>
      <c r="Q1727" t="s">
        <v>10763</v>
      </c>
      <c r="R1727" t="s">
        <v>10823</v>
      </c>
      <c r="T1727">
        <v>10000</v>
      </c>
      <c r="U1727">
        <v>833.33</v>
      </c>
      <c r="V1727">
        <v>29</v>
      </c>
      <c r="W1727">
        <v>2</v>
      </c>
      <c r="X1727">
        <v>0</v>
      </c>
      <c r="Z1727">
        <v>59.14</v>
      </c>
      <c r="AA1727">
        <v>40.881121</v>
      </c>
      <c r="AB1727">
        <v>-73.835184</v>
      </c>
      <c r="AD1727" t="s">
        <v>10839</v>
      </c>
      <c r="AG1727" t="s">
        <v>10858</v>
      </c>
      <c r="AH1727" t="s">
        <v>10864</v>
      </c>
      <c r="AI1727">
        <v>230</v>
      </c>
      <c r="AJ1727" t="s">
        <v>10210</v>
      </c>
      <c r="AL1727">
        <v>2.25</v>
      </c>
      <c r="AM1727" t="s">
        <v>10893</v>
      </c>
      <c r="AN1727" t="s">
        <v>10956</v>
      </c>
      <c r="AO1727" t="s">
        <v>11010</v>
      </c>
      <c r="AP1727" t="s">
        <v>11085</v>
      </c>
      <c r="AR1727" t="s">
        <v>11257</v>
      </c>
      <c r="AS1727" t="s">
        <v>9926</v>
      </c>
      <c r="AT1727" t="s">
        <v>11641</v>
      </c>
      <c r="AX1727" t="s">
        <v>10837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</row>
    <row r="1728" spans="1:59">
      <c r="A1728" s="1">
        <f>HYPERLINK("https://lsnyc.legalserver.org/matter/dynamic-profile/view/1905605","19-1905605")</f>
        <v>0</v>
      </c>
      <c r="B1728" t="s">
        <v>1532</v>
      </c>
      <c r="C1728" t="s">
        <v>6354</v>
      </c>
      <c r="D1728" t="s">
        <v>10004</v>
      </c>
      <c r="E1728" t="s">
        <v>10075</v>
      </c>
      <c r="F1728">
        <v>11550</v>
      </c>
      <c r="G1728" t="s">
        <v>10092</v>
      </c>
      <c r="H1728" t="s">
        <v>10119</v>
      </c>
      <c r="I1728" t="s">
        <v>10169</v>
      </c>
      <c r="J1728" t="s">
        <v>10212</v>
      </c>
      <c r="K1728" t="s">
        <v>10217</v>
      </c>
      <c r="M1728" t="s">
        <v>10232</v>
      </c>
      <c r="N1728" t="s">
        <v>10679</v>
      </c>
      <c r="P1728" t="s">
        <v>10753</v>
      </c>
      <c r="Q1728" t="s">
        <v>10763</v>
      </c>
      <c r="R1728" t="s">
        <v>10823</v>
      </c>
      <c r="T1728">
        <v>0</v>
      </c>
      <c r="U1728">
        <v>0</v>
      </c>
      <c r="V1728">
        <v>16</v>
      </c>
      <c r="W1728">
        <v>3</v>
      </c>
      <c r="X1728">
        <v>3</v>
      </c>
      <c r="Z1728">
        <v>0</v>
      </c>
      <c r="AA1728">
        <v>40.71136</v>
      </c>
      <c r="AB1728">
        <v>-73.627101</v>
      </c>
      <c r="AD1728" t="s">
        <v>10839</v>
      </c>
      <c r="AF1728" t="s">
        <v>10842</v>
      </c>
      <c r="AG1728" t="s">
        <v>10859</v>
      </c>
      <c r="AH1728" t="s">
        <v>10864</v>
      </c>
      <c r="AI1728">
        <v>237</v>
      </c>
      <c r="AJ1728" t="s">
        <v>10212</v>
      </c>
      <c r="AL1728">
        <v>16.5</v>
      </c>
      <c r="AM1728" t="s">
        <v>10900</v>
      </c>
      <c r="AN1728" t="s">
        <v>10978</v>
      </c>
      <c r="AO1728" t="s">
        <v>11032</v>
      </c>
      <c r="AQ1728" t="s">
        <v>11119</v>
      </c>
      <c r="AR1728" t="s">
        <v>11267</v>
      </c>
      <c r="AS1728" t="s">
        <v>11612</v>
      </c>
      <c r="BA1728" t="s">
        <v>11743</v>
      </c>
      <c r="BB1728">
        <v>0</v>
      </c>
      <c r="BC1728">
        <v>0</v>
      </c>
      <c r="BD1728">
        <v>0</v>
      </c>
      <c r="BE1728">
        <v>0</v>
      </c>
      <c r="BF1728">
        <v>40</v>
      </c>
      <c r="BG1728">
        <v>0</v>
      </c>
    </row>
    <row r="1729" spans="1:59">
      <c r="A1729" s="1">
        <f>HYPERLINK("https://lsnyc.legalserver.org/matter/dynamic-profile/view/1905606","19-1905606")</f>
        <v>0</v>
      </c>
      <c r="B1729" t="s">
        <v>1533</v>
      </c>
      <c r="C1729" t="s">
        <v>6355</v>
      </c>
      <c r="D1729" t="s">
        <v>9928</v>
      </c>
      <c r="E1729" t="s">
        <v>10075</v>
      </c>
      <c r="F1729">
        <v>11207</v>
      </c>
      <c r="G1729" t="s">
        <v>10093</v>
      </c>
      <c r="H1729" t="s">
        <v>10109</v>
      </c>
      <c r="I1729" t="s">
        <v>10168</v>
      </c>
      <c r="J1729" t="s">
        <v>10213</v>
      </c>
      <c r="K1729" t="s">
        <v>10218</v>
      </c>
      <c r="L1729" t="s">
        <v>10109</v>
      </c>
      <c r="M1729" t="s">
        <v>10345</v>
      </c>
      <c r="N1729" t="s">
        <v>10650</v>
      </c>
      <c r="P1729" t="s">
        <v>10751</v>
      </c>
      <c r="Q1729" t="s">
        <v>10761</v>
      </c>
      <c r="R1729" t="s">
        <v>10824</v>
      </c>
      <c r="T1729">
        <v>41154.28</v>
      </c>
      <c r="U1729">
        <v>3429.52</v>
      </c>
      <c r="V1729">
        <v>49</v>
      </c>
      <c r="W1729">
        <v>3</v>
      </c>
      <c r="X1729">
        <v>0</v>
      </c>
      <c r="Y1729" t="s">
        <v>10832</v>
      </c>
      <c r="Z1729">
        <v>192.94</v>
      </c>
      <c r="AA1729">
        <v>40.66584</v>
      </c>
      <c r="AB1729">
        <v>-73.89055999999999</v>
      </c>
      <c r="AD1729" t="s">
        <v>10839</v>
      </c>
      <c r="AG1729" t="s">
        <v>10858</v>
      </c>
      <c r="AH1729" t="s">
        <v>10862</v>
      </c>
      <c r="AI1729">
        <v>239</v>
      </c>
      <c r="AJ1729" t="s">
        <v>10213</v>
      </c>
      <c r="AK1729" t="s">
        <v>10838</v>
      </c>
      <c r="AL1729">
        <v>0.25</v>
      </c>
      <c r="AM1729" t="s">
        <v>10889</v>
      </c>
      <c r="AN1729" t="s">
        <v>10946</v>
      </c>
      <c r="AO1729" t="s">
        <v>11012</v>
      </c>
      <c r="AP1729" t="s">
        <v>11060</v>
      </c>
      <c r="AR1729" t="s">
        <v>11295</v>
      </c>
      <c r="AS1729" t="s">
        <v>11595</v>
      </c>
      <c r="AY1729" t="s">
        <v>10832</v>
      </c>
      <c r="AZ1729" t="s">
        <v>11688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</row>
    <row r="1730" spans="1:59">
      <c r="A1730" s="1">
        <f>HYPERLINK("https://lsnyc.legalserver.org/matter/dynamic-profile/view/1905607","19-1905607")</f>
        <v>0</v>
      </c>
      <c r="B1730" t="s">
        <v>1534</v>
      </c>
      <c r="C1730" t="s">
        <v>6321</v>
      </c>
      <c r="D1730" t="s">
        <v>9928</v>
      </c>
      <c r="E1730" t="s">
        <v>10075</v>
      </c>
      <c r="F1730">
        <v>11203</v>
      </c>
      <c r="G1730" t="s">
        <v>10093</v>
      </c>
      <c r="H1730" t="s">
        <v>10109</v>
      </c>
      <c r="I1730" t="s">
        <v>10168</v>
      </c>
      <c r="J1730" t="s">
        <v>10213</v>
      </c>
      <c r="K1730" t="s">
        <v>10217</v>
      </c>
      <c r="M1730" t="s">
        <v>10280</v>
      </c>
      <c r="N1730" t="s">
        <v>10657</v>
      </c>
      <c r="P1730" t="s">
        <v>10751</v>
      </c>
      <c r="Q1730" t="s">
        <v>10800</v>
      </c>
      <c r="R1730" t="s">
        <v>10821</v>
      </c>
      <c r="T1730">
        <v>33276</v>
      </c>
      <c r="U1730">
        <v>2773</v>
      </c>
      <c r="V1730">
        <v>20</v>
      </c>
      <c r="W1730">
        <v>3</v>
      </c>
      <c r="X1730">
        <v>0</v>
      </c>
      <c r="Z1730">
        <v>156.01</v>
      </c>
      <c r="AA1730">
        <v>40.656511</v>
      </c>
      <c r="AB1730">
        <v>-73.939932</v>
      </c>
      <c r="AD1730" t="s">
        <v>10839</v>
      </c>
      <c r="AG1730" t="s">
        <v>10858</v>
      </c>
      <c r="AH1730" t="s">
        <v>10862</v>
      </c>
      <c r="AI1730">
        <v>239</v>
      </c>
      <c r="AJ1730" t="s">
        <v>10213</v>
      </c>
      <c r="AL1730">
        <v>0.5</v>
      </c>
      <c r="AM1730" t="s">
        <v>10888</v>
      </c>
      <c r="AN1730" t="s">
        <v>10912</v>
      </c>
      <c r="AO1730" t="s">
        <v>11005</v>
      </c>
      <c r="AP1730" t="s">
        <v>11050</v>
      </c>
      <c r="AR1730" t="s">
        <v>11298</v>
      </c>
      <c r="AS1730" t="s">
        <v>11595</v>
      </c>
      <c r="AT1730" t="s">
        <v>11641</v>
      </c>
      <c r="AX1730" t="s">
        <v>10837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</row>
    <row r="1731" spans="1:59">
      <c r="A1731" s="1">
        <f>HYPERLINK("https://lsnyc.legalserver.org/matter/dynamic-profile/view/1905608","19-1905608")</f>
        <v>0</v>
      </c>
      <c r="B1731" t="s">
        <v>1535</v>
      </c>
      <c r="C1731" t="s">
        <v>6356</v>
      </c>
      <c r="D1731" t="s">
        <v>9926</v>
      </c>
      <c r="E1731" t="s">
        <v>10075</v>
      </c>
      <c r="F1731">
        <v>10460</v>
      </c>
      <c r="G1731" t="s">
        <v>10090</v>
      </c>
      <c r="H1731" t="s">
        <v>10109</v>
      </c>
      <c r="I1731" t="s">
        <v>10168</v>
      </c>
      <c r="J1731" t="s">
        <v>10210</v>
      </c>
      <c r="K1731" t="s">
        <v>10217</v>
      </c>
      <c r="M1731" t="s">
        <v>10458</v>
      </c>
      <c r="N1731" t="s">
        <v>10666</v>
      </c>
      <c r="P1731" t="s">
        <v>10749</v>
      </c>
      <c r="Q1731" t="s">
        <v>10765</v>
      </c>
      <c r="R1731" t="s">
        <v>10821</v>
      </c>
      <c r="T1731">
        <v>22480</v>
      </c>
      <c r="U1731">
        <v>1873.33</v>
      </c>
      <c r="V1731">
        <v>37</v>
      </c>
      <c r="W1731">
        <v>4</v>
      </c>
      <c r="X1731">
        <v>0</v>
      </c>
      <c r="Z1731">
        <v>87.3</v>
      </c>
      <c r="AA1731">
        <v>40.845416</v>
      </c>
      <c r="AB1731">
        <v>-73.88380600000001</v>
      </c>
      <c r="AD1731" t="s">
        <v>10839</v>
      </c>
      <c r="AG1731" t="s">
        <v>10858</v>
      </c>
      <c r="AH1731" t="s">
        <v>10862</v>
      </c>
      <c r="AI1731">
        <v>230</v>
      </c>
      <c r="AJ1731" t="s">
        <v>10210</v>
      </c>
      <c r="AL1731">
        <v>4.9</v>
      </c>
      <c r="AM1731" t="s">
        <v>10884</v>
      </c>
      <c r="AN1731" t="s">
        <v>10908</v>
      </c>
      <c r="AO1731" t="s">
        <v>11001</v>
      </c>
      <c r="AP1731" t="s">
        <v>11062</v>
      </c>
      <c r="AR1731" t="s">
        <v>11295</v>
      </c>
      <c r="AS1731" t="s">
        <v>9926</v>
      </c>
      <c r="AT1731" t="s">
        <v>11641</v>
      </c>
      <c r="AV1731" t="s">
        <v>11656</v>
      </c>
      <c r="AW1731" t="s">
        <v>11645</v>
      </c>
      <c r="AX1731" t="s">
        <v>10838</v>
      </c>
      <c r="BA1731" t="s">
        <v>11738</v>
      </c>
      <c r="BB1731">
        <v>0</v>
      </c>
      <c r="BC1731">
        <v>0</v>
      </c>
      <c r="BD1731">
        <v>0</v>
      </c>
      <c r="BE1731">
        <v>0</v>
      </c>
      <c r="BF1731">
        <v>5</v>
      </c>
      <c r="BG1731">
        <v>0</v>
      </c>
    </row>
    <row r="1732" spans="1:59">
      <c r="A1732" s="1">
        <f>HYPERLINK("https://lsnyc.legalserver.org/matter/dynamic-profile/view/1905611","19-1905611")</f>
        <v>0</v>
      </c>
      <c r="B1732" t="s">
        <v>1535</v>
      </c>
      <c r="C1732" t="s">
        <v>6356</v>
      </c>
      <c r="D1732" t="s">
        <v>9926</v>
      </c>
      <c r="E1732" t="s">
        <v>10075</v>
      </c>
      <c r="F1732">
        <v>10460</v>
      </c>
      <c r="G1732" t="s">
        <v>10090</v>
      </c>
      <c r="H1732" t="s">
        <v>10109</v>
      </c>
      <c r="I1732" t="s">
        <v>10168</v>
      </c>
      <c r="J1732" t="s">
        <v>10210</v>
      </c>
      <c r="K1732" t="s">
        <v>10217</v>
      </c>
      <c r="M1732" t="s">
        <v>10303</v>
      </c>
      <c r="N1732" t="s">
        <v>10688</v>
      </c>
      <c r="P1732" t="s">
        <v>10751</v>
      </c>
      <c r="Q1732" t="s">
        <v>10761</v>
      </c>
      <c r="R1732" t="s">
        <v>10821</v>
      </c>
      <c r="T1732">
        <v>22480</v>
      </c>
      <c r="U1732">
        <v>1873.33</v>
      </c>
      <c r="V1732">
        <v>37</v>
      </c>
      <c r="W1732">
        <v>4</v>
      </c>
      <c r="X1732">
        <v>0</v>
      </c>
      <c r="Z1732">
        <v>87.3</v>
      </c>
      <c r="AA1732">
        <v>40.845416</v>
      </c>
      <c r="AB1732">
        <v>-73.88380600000001</v>
      </c>
      <c r="AD1732" t="s">
        <v>10839</v>
      </c>
      <c r="AG1732" t="s">
        <v>10858</v>
      </c>
      <c r="AH1732" t="s">
        <v>10862</v>
      </c>
      <c r="AI1732">
        <v>230</v>
      </c>
      <c r="AJ1732" t="s">
        <v>10210</v>
      </c>
      <c r="AL1732">
        <v>3.85</v>
      </c>
      <c r="AR1732" t="s">
        <v>11295</v>
      </c>
      <c r="AS1732" t="s">
        <v>9926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</row>
    <row r="1733" spans="1:59">
      <c r="A1733" s="1">
        <f>HYPERLINK("https://lsnyc.legalserver.org/matter/dynamic-profile/view/1905612","19-1905612")</f>
        <v>0</v>
      </c>
      <c r="B1733" t="s">
        <v>1241</v>
      </c>
      <c r="C1733" t="s">
        <v>5601</v>
      </c>
      <c r="D1733" t="s">
        <v>9926</v>
      </c>
      <c r="E1733" t="s">
        <v>10075</v>
      </c>
      <c r="F1733">
        <v>10453</v>
      </c>
      <c r="G1733" t="s">
        <v>10090</v>
      </c>
      <c r="H1733" t="s">
        <v>10121</v>
      </c>
      <c r="I1733" t="s">
        <v>10169</v>
      </c>
      <c r="J1733" t="s">
        <v>10210</v>
      </c>
      <c r="K1733" t="s">
        <v>10217</v>
      </c>
      <c r="M1733" t="s">
        <v>10333</v>
      </c>
      <c r="N1733" t="s">
        <v>10683</v>
      </c>
      <c r="P1733" t="s">
        <v>10751</v>
      </c>
      <c r="Q1733" t="s">
        <v>10796</v>
      </c>
      <c r="R1733" t="s">
        <v>10821</v>
      </c>
      <c r="T1733">
        <v>0</v>
      </c>
      <c r="U1733">
        <v>0</v>
      </c>
      <c r="V1733">
        <v>60</v>
      </c>
      <c r="W1733">
        <v>1</v>
      </c>
      <c r="X1733">
        <v>1</v>
      </c>
      <c r="Z1733">
        <v>0</v>
      </c>
      <c r="AA1733">
        <v>40.846849</v>
      </c>
      <c r="AB1733">
        <v>-73.90953500000001</v>
      </c>
      <c r="AD1733" t="s">
        <v>10839</v>
      </c>
      <c r="AF1733" t="s">
        <v>10843</v>
      </c>
      <c r="AG1733" t="s">
        <v>10859</v>
      </c>
      <c r="AH1733" t="s">
        <v>10874</v>
      </c>
      <c r="AI1733">
        <v>230</v>
      </c>
      <c r="AJ1733" t="s">
        <v>10210</v>
      </c>
      <c r="AL1733">
        <v>5.1</v>
      </c>
      <c r="AM1733" t="s">
        <v>10884</v>
      </c>
      <c r="AN1733" t="s">
        <v>10931</v>
      </c>
      <c r="AO1733" t="s">
        <v>11000</v>
      </c>
      <c r="AP1733" t="s">
        <v>11045</v>
      </c>
      <c r="AR1733" t="s">
        <v>11267</v>
      </c>
      <c r="AS1733" t="s">
        <v>9926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</row>
    <row r="1734" spans="1:59">
      <c r="A1734" s="1">
        <f>HYPERLINK("https://lsnyc.legalserver.org/matter/dynamic-profile/view/1905613","19-1905613")</f>
        <v>0</v>
      </c>
      <c r="B1734" t="s">
        <v>1536</v>
      </c>
      <c r="C1734" t="s">
        <v>6357</v>
      </c>
      <c r="D1734" t="s">
        <v>9928</v>
      </c>
      <c r="E1734" t="s">
        <v>10075</v>
      </c>
      <c r="F1734">
        <v>11216</v>
      </c>
      <c r="G1734" t="s">
        <v>10093</v>
      </c>
      <c r="H1734" t="s">
        <v>10109</v>
      </c>
      <c r="I1734" t="s">
        <v>10168</v>
      </c>
      <c r="J1734" t="s">
        <v>10213</v>
      </c>
      <c r="K1734" t="s">
        <v>10217</v>
      </c>
      <c r="M1734" t="s">
        <v>10280</v>
      </c>
      <c r="N1734" t="s">
        <v>10657</v>
      </c>
      <c r="P1734" t="s">
        <v>10751</v>
      </c>
      <c r="Q1734" t="s">
        <v>10768</v>
      </c>
      <c r="R1734" t="s">
        <v>10824</v>
      </c>
      <c r="T1734">
        <v>2196</v>
      </c>
      <c r="U1734">
        <v>183</v>
      </c>
      <c r="V1734">
        <v>51</v>
      </c>
      <c r="W1734">
        <v>1</v>
      </c>
      <c r="X1734">
        <v>0</v>
      </c>
      <c r="Z1734">
        <v>17.58</v>
      </c>
      <c r="AA1734">
        <v>40.67677</v>
      </c>
      <c r="AB1734">
        <v>-73.943718</v>
      </c>
      <c r="AD1734" t="s">
        <v>10839</v>
      </c>
      <c r="AG1734" t="s">
        <v>10858</v>
      </c>
      <c r="AH1734" t="s">
        <v>10862</v>
      </c>
      <c r="AI1734">
        <v>239</v>
      </c>
      <c r="AJ1734" t="s">
        <v>10213</v>
      </c>
      <c r="AL1734">
        <v>0.5</v>
      </c>
      <c r="AM1734" t="s">
        <v>10889</v>
      </c>
      <c r="AN1734" t="s">
        <v>10914</v>
      </c>
      <c r="AO1734" t="s">
        <v>11007</v>
      </c>
      <c r="AP1734" t="s">
        <v>11052</v>
      </c>
      <c r="AR1734" t="s">
        <v>11255</v>
      </c>
      <c r="AS1734" t="s">
        <v>11595</v>
      </c>
      <c r="AT1734" t="s">
        <v>11641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</row>
    <row r="1735" spans="1:59">
      <c r="A1735" s="1">
        <f>HYPERLINK("https://lsnyc.legalserver.org/matter/dynamic-profile/view/1905614","19-1905614")</f>
        <v>0</v>
      </c>
      <c r="B1735" t="s">
        <v>1537</v>
      </c>
      <c r="C1735" t="s">
        <v>6358</v>
      </c>
      <c r="D1735" t="s">
        <v>9929</v>
      </c>
      <c r="E1735" t="s">
        <v>10075</v>
      </c>
      <c r="F1735">
        <v>10314</v>
      </c>
      <c r="G1735" t="s">
        <v>10089</v>
      </c>
      <c r="H1735" t="s">
        <v>10109</v>
      </c>
      <c r="I1735" t="s">
        <v>10168</v>
      </c>
      <c r="J1735" t="s">
        <v>10209</v>
      </c>
      <c r="K1735" t="s">
        <v>10217</v>
      </c>
      <c r="M1735" t="s">
        <v>10301</v>
      </c>
      <c r="N1735" t="s">
        <v>10665</v>
      </c>
      <c r="P1735" t="s">
        <v>10751</v>
      </c>
      <c r="Q1735" t="s">
        <v>10773</v>
      </c>
      <c r="R1735" t="s">
        <v>10820</v>
      </c>
      <c r="T1735">
        <v>0</v>
      </c>
      <c r="U1735">
        <v>0</v>
      </c>
      <c r="V1735">
        <v>28</v>
      </c>
      <c r="W1735">
        <v>1</v>
      </c>
      <c r="X1735">
        <v>0</v>
      </c>
      <c r="Z1735">
        <v>0</v>
      </c>
      <c r="AA1735">
        <v>40.586957</v>
      </c>
      <c r="AB1735">
        <v>-74.16149799999999</v>
      </c>
      <c r="AD1735" t="s">
        <v>10839</v>
      </c>
      <c r="AG1735" t="s">
        <v>10858</v>
      </c>
      <c r="AH1735" t="s">
        <v>10871</v>
      </c>
      <c r="AI1735">
        <v>234</v>
      </c>
      <c r="AJ1735" t="s">
        <v>10214</v>
      </c>
      <c r="AL1735">
        <v>4.25</v>
      </c>
      <c r="AM1735" t="s">
        <v>10883</v>
      </c>
      <c r="AN1735" t="s">
        <v>10928</v>
      </c>
      <c r="AO1735" t="s">
        <v>10999</v>
      </c>
      <c r="AP1735" t="s">
        <v>11044</v>
      </c>
      <c r="AQ1735" t="s">
        <v>11115</v>
      </c>
      <c r="AR1735" t="s">
        <v>11267</v>
      </c>
      <c r="AS1735" t="s">
        <v>11593</v>
      </c>
      <c r="AT1735" t="s">
        <v>11641</v>
      </c>
      <c r="AX1735" t="s">
        <v>10838</v>
      </c>
      <c r="BA1735" t="s">
        <v>11741</v>
      </c>
      <c r="BB1735">
        <v>0</v>
      </c>
      <c r="BC1735">
        <v>0</v>
      </c>
      <c r="BD1735">
        <v>0</v>
      </c>
      <c r="BE1735">
        <v>0</v>
      </c>
      <c r="BF1735">
        <v>1</v>
      </c>
      <c r="BG1735">
        <v>0</v>
      </c>
    </row>
    <row r="1736" spans="1:59">
      <c r="A1736" s="1">
        <f>HYPERLINK("https://lsnyc.legalserver.org/matter/dynamic-profile/view/1905616","19-1905616")</f>
        <v>0</v>
      </c>
      <c r="B1736" t="s">
        <v>1538</v>
      </c>
      <c r="C1736" t="s">
        <v>6359</v>
      </c>
      <c r="D1736" t="s">
        <v>9926</v>
      </c>
      <c r="E1736" t="s">
        <v>10075</v>
      </c>
      <c r="F1736">
        <v>10467</v>
      </c>
      <c r="G1736" t="s">
        <v>10090</v>
      </c>
      <c r="H1736" t="s">
        <v>10109</v>
      </c>
      <c r="I1736" t="s">
        <v>10168</v>
      </c>
      <c r="J1736" t="s">
        <v>10210</v>
      </c>
      <c r="K1736" t="s">
        <v>10217</v>
      </c>
      <c r="M1736" t="s">
        <v>10303</v>
      </c>
      <c r="N1736" t="s">
        <v>10671</v>
      </c>
      <c r="P1736" t="s">
        <v>10751</v>
      </c>
      <c r="Q1736" t="s">
        <v>10761</v>
      </c>
      <c r="R1736" t="s">
        <v>10821</v>
      </c>
      <c r="T1736">
        <v>27200</v>
      </c>
      <c r="U1736">
        <v>2266.67</v>
      </c>
      <c r="V1736">
        <v>27</v>
      </c>
      <c r="W1736">
        <v>1</v>
      </c>
      <c r="X1736">
        <v>2</v>
      </c>
      <c r="Z1736">
        <v>127.52</v>
      </c>
      <c r="AA1736">
        <v>40.859468</v>
      </c>
      <c r="AB1736">
        <v>-73.869748</v>
      </c>
      <c r="AD1736" t="s">
        <v>10839</v>
      </c>
      <c r="AG1736" t="s">
        <v>10858</v>
      </c>
      <c r="AH1736" t="s">
        <v>10874</v>
      </c>
      <c r="AI1736">
        <v>230</v>
      </c>
      <c r="AJ1736" t="s">
        <v>10210</v>
      </c>
      <c r="AL1736">
        <v>12.15</v>
      </c>
      <c r="AM1736" t="s">
        <v>10885</v>
      </c>
      <c r="AN1736" t="s">
        <v>10907</v>
      </c>
      <c r="AO1736" t="s">
        <v>11002</v>
      </c>
      <c r="AP1736" t="s">
        <v>11056</v>
      </c>
      <c r="AR1736" t="s">
        <v>11433</v>
      </c>
      <c r="AS1736" t="s">
        <v>9926</v>
      </c>
      <c r="BA1736" t="s">
        <v>11738</v>
      </c>
      <c r="BB1736">
        <v>0</v>
      </c>
      <c r="BC1736">
        <v>0</v>
      </c>
      <c r="BD1736">
        <v>0</v>
      </c>
      <c r="BE1736">
        <v>0</v>
      </c>
      <c r="BF1736">
        <v>5</v>
      </c>
      <c r="BG1736">
        <v>0</v>
      </c>
    </row>
    <row r="1737" spans="1:59">
      <c r="A1737" s="1">
        <f>HYPERLINK("https://lsnyc.legalserver.org/matter/dynamic-profile/view/1905617","19-1905617")</f>
        <v>0</v>
      </c>
      <c r="B1737" t="s">
        <v>1539</v>
      </c>
      <c r="C1737" t="s">
        <v>6360</v>
      </c>
      <c r="D1737" t="s">
        <v>9928</v>
      </c>
      <c r="E1737" t="s">
        <v>10075</v>
      </c>
      <c r="F1737">
        <v>11208</v>
      </c>
      <c r="G1737" t="s">
        <v>10093</v>
      </c>
      <c r="H1737" t="s">
        <v>10121</v>
      </c>
      <c r="I1737" t="s">
        <v>10168</v>
      </c>
      <c r="J1737" t="s">
        <v>10213</v>
      </c>
      <c r="K1737" t="s">
        <v>10217</v>
      </c>
      <c r="M1737" t="s">
        <v>10308</v>
      </c>
      <c r="N1737" t="s">
        <v>10657</v>
      </c>
      <c r="P1737" t="s">
        <v>10749</v>
      </c>
      <c r="Q1737" t="s">
        <v>10765</v>
      </c>
      <c r="R1737" t="s">
        <v>10824</v>
      </c>
      <c r="T1737">
        <v>2500</v>
      </c>
      <c r="U1737">
        <v>208.33</v>
      </c>
      <c r="V1737">
        <v>48</v>
      </c>
      <c r="W1737">
        <v>2</v>
      </c>
      <c r="X1737">
        <v>2</v>
      </c>
      <c r="Z1737">
        <v>9.710000000000001</v>
      </c>
      <c r="AA1737">
        <v>40.672781</v>
      </c>
      <c r="AB1737">
        <v>-73.87929200000001</v>
      </c>
      <c r="AD1737" t="s">
        <v>10839</v>
      </c>
      <c r="AG1737" t="s">
        <v>10858</v>
      </c>
      <c r="AH1737" t="s">
        <v>10862</v>
      </c>
      <c r="AI1737">
        <v>239</v>
      </c>
      <c r="AJ1737" t="s">
        <v>10213</v>
      </c>
      <c r="AL1737">
        <v>2.5</v>
      </c>
      <c r="AM1737" t="s">
        <v>10889</v>
      </c>
      <c r="AN1737" t="s">
        <v>10946</v>
      </c>
      <c r="AO1737" t="s">
        <v>11012</v>
      </c>
      <c r="AP1737" t="s">
        <v>11060</v>
      </c>
      <c r="AQ1737" t="s">
        <v>11147</v>
      </c>
      <c r="AR1737" t="s">
        <v>11262</v>
      </c>
      <c r="AS1737" t="s">
        <v>11595</v>
      </c>
      <c r="AT1737" t="s">
        <v>11641</v>
      </c>
      <c r="AX1737" t="s">
        <v>10838</v>
      </c>
      <c r="BA1737" t="s">
        <v>11741</v>
      </c>
      <c r="BB1737">
        <v>0</v>
      </c>
      <c r="BC1737">
        <v>0</v>
      </c>
      <c r="BD1737">
        <v>0</v>
      </c>
      <c r="BE1737">
        <v>0</v>
      </c>
      <c r="BF1737">
        <v>1</v>
      </c>
      <c r="BG1737">
        <v>0</v>
      </c>
    </row>
    <row r="1738" spans="1:59">
      <c r="A1738" s="1">
        <f>HYPERLINK("https://lsnyc.legalserver.org/matter/dynamic-profile/view/1905618","19-1905618")</f>
        <v>0</v>
      </c>
      <c r="B1738" t="s">
        <v>1540</v>
      </c>
      <c r="C1738" t="s">
        <v>6361</v>
      </c>
      <c r="D1738" t="s">
        <v>9926</v>
      </c>
      <c r="E1738" t="s">
        <v>10075</v>
      </c>
      <c r="F1738">
        <v>10458</v>
      </c>
      <c r="G1738" t="s">
        <v>10090</v>
      </c>
      <c r="H1738" t="s">
        <v>10109</v>
      </c>
      <c r="I1738" t="s">
        <v>10168</v>
      </c>
      <c r="J1738" t="s">
        <v>10210</v>
      </c>
      <c r="K1738" t="s">
        <v>10217</v>
      </c>
      <c r="M1738" t="s">
        <v>10283</v>
      </c>
      <c r="N1738" t="s">
        <v>10688</v>
      </c>
      <c r="P1738" t="s">
        <v>10757</v>
      </c>
      <c r="Q1738" t="s">
        <v>10789</v>
      </c>
      <c r="R1738" t="s">
        <v>10824</v>
      </c>
      <c r="T1738">
        <v>15606</v>
      </c>
      <c r="U1738">
        <v>1300.5</v>
      </c>
      <c r="V1738">
        <v>56</v>
      </c>
      <c r="W1738">
        <v>1</v>
      </c>
      <c r="X1738">
        <v>0</v>
      </c>
      <c r="Z1738">
        <v>124.95</v>
      </c>
      <c r="AA1738">
        <v>40.870925</v>
      </c>
      <c r="AB1738">
        <v>-73.88482999999999</v>
      </c>
      <c r="AD1738" t="s">
        <v>10839</v>
      </c>
      <c r="AG1738" t="s">
        <v>10858</v>
      </c>
      <c r="AH1738" t="s">
        <v>10874</v>
      </c>
      <c r="AI1738">
        <v>230</v>
      </c>
      <c r="AJ1738" t="s">
        <v>10210</v>
      </c>
      <c r="AL1738">
        <v>0.5</v>
      </c>
      <c r="AM1738" t="s">
        <v>10887</v>
      </c>
      <c r="AN1738" t="s">
        <v>10907</v>
      </c>
      <c r="AO1738" t="s">
        <v>11002</v>
      </c>
      <c r="AP1738" t="s">
        <v>11057</v>
      </c>
      <c r="AQ1738" t="s">
        <v>11145</v>
      </c>
      <c r="AR1738" t="s">
        <v>11296</v>
      </c>
      <c r="AS1738" t="s">
        <v>9926</v>
      </c>
      <c r="AT1738" t="s">
        <v>11641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</row>
    <row r="1739" spans="1:59">
      <c r="A1739" s="1">
        <f>HYPERLINK("https://lsnyc.legalserver.org/matter/dynamic-profile/view/1905619","19-1905619")</f>
        <v>0</v>
      </c>
      <c r="B1739" t="s">
        <v>1541</v>
      </c>
      <c r="C1739" t="s">
        <v>6362</v>
      </c>
      <c r="D1739" t="s">
        <v>9928</v>
      </c>
      <c r="E1739" t="s">
        <v>10075</v>
      </c>
      <c r="F1739">
        <v>11203</v>
      </c>
      <c r="G1739" t="s">
        <v>10091</v>
      </c>
      <c r="H1739" t="s">
        <v>10109</v>
      </c>
      <c r="I1739" t="s">
        <v>10168</v>
      </c>
      <c r="J1739" t="s">
        <v>10214</v>
      </c>
      <c r="K1739" t="s">
        <v>10217</v>
      </c>
      <c r="M1739" t="s">
        <v>10550</v>
      </c>
      <c r="N1739" t="s">
        <v>10671</v>
      </c>
      <c r="P1739" t="s">
        <v>10753</v>
      </c>
      <c r="Q1739" t="s">
        <v>10763</v>
      </c>
      <c r="R1739" t="s">
        <v>10824</v>
      </c>
      <c r="T1739">
        <v>25324</v>
      </c>
      <c r="U1739">
        <v>2110.33</v>
      </c>
      <c r="V1739">
        <v>15</v>
      </c>
      <c r="W1739">
        <v>1</v>
      </c>
      <c r="X1739">
        <v>1</v>
      </c>
      <c r="Z1739">
        <v>149.76</v>
      </c>
      <c r="AA1739">
        <v>40.650114</v>
      </c>
      <c r="AB1739">
        <v>-73.926131</v>
      </c>
      <c r="AD1739" t="s">
        <v>10839</v>
      </c>
      <c r="AF1739" t="s">
        <v>10843</v>
      </c>
      <c r="AG1739" t="s">
        <v>10859</v>
      </c>
      <c r="AH1739" t="s">
        <v>10864</v>
      </c>
      <c r="AI1739">
        <v>234</v>
      </c>
      <c r="AJ1739" t="s">
        <v>10214</v>
      </c>
      <c r="AL1739">
        <v>0.4</v>
      </c>
      <c r="AM1739" t="s">
        <v>10888</v>
      </c>
      <c r="AN1739" t="s">
        <v>10925</v>
      </c>
      <c r="AO1739" t="s">
        <v>11008</v>
      </c>
      <c r="AP1739" t="s">
        <v>11065</v>
      </c>
      <c r="AQ1739" t="s">
        <v>11183</v>
      </c>
      <c r="AR1739" t="s">
        <v>11257</v>
      </c>
      <c r="AS1739" t="s">
        <v>11595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</row>
    <row r="1740" spans="1:59">
      <c r="A1740" s="1">
        <f>HYPERLINK("https://lsnyc.legalserver.org/matter/dynamic-profile/view/1905620","19-1905620")</f>
        <v>0</v>
      </c>
      <c r="B1740" t="s">
        <v>1542</v>
      </c>
      <c r="C1740" t="s">
        <v>6363</v>
      </c>
      <c r="D1740" t="s">
        <v>9928</v>
      </c>
      <c r="E1740" t="s">
        <v>10075</v>
      </c>
      <c r="F1740">
        <v>11216</v>
      </c>
      <c r="G1740" t="s">
        <v>10091</v>
      </c>
      <c r="H1740" t="s">
        <v>10121</v>
      </c>
      <c r="I1740" t="s">
        <v>10168</v>
      </c>
      <c r="J1740" t="s">
        <v>10214</v>
      </c>
      <c r="K1740" t="s">
        <v>10217</v>
      </c>
      <c r="M1740" t="s">
        <v>10286</v>
      </c>
      <c r="N1740" t="s">
        <v>10646</v>
      </c>
      <c r="P1740" t="s">
        <v>10749</v>
      </c>
      <c r="Q1740" t="s">
        <v>10767</v>
      </c>
      <c r="R1740" t="s">
        <v>10821</v>
      </c>
      <c r="T1740">
        <v>63780</v>
      </c>
      <c r="U1740">
        <v>5315</v>
      </c>
      <c r="V1740">
        <v>32</v>
      </c>
      <c r="W1740">
        <v>2</v>
      </c>
      <c r="X1740">
        <v>0</v>
      </c>
      <c r="Z1740">
        <v>377.17</v>
      </c>
      <c r="AA1740">
        <v>40.688434</v>
      </c>
      <c r="AB1740">
        <v>-73.94569799999999</v>
      </c>
      <c r="AD1740" t="s">
        <v>10840</v>
      </c>
      <c r="AG1740" t="s">
        <v>10858</v>
      </c>
      <c r="AH1740" t="s">
        <v>10871</v>
      </c>
      <c r="AI1740">
        <v>234</v>
      </c>
      <c r="AJ1740" t="s">
        <v>10214</v>
      </c>
      <c r="AL1740">
        <v>0.66</v>
      </c>
      <c r="AM1740" t="s">
        <v>10889</v>
      </c>
      <c r="AN1740" t="s">
        <v>10914</v>
      </c>
      <c r="AO1740" t="s">
        <v>11007</v>
      </c>
      <c r="AP1740" t="s">
        <v>11052</v>
      </c>
      <c r="AR1740" t="s">
        <v>11257</v>
      </c>
      <c r="AS1740" t="s">
        <v>11595</v>
      </c>
      <c r="AT1740" t="s">
        <v>11642</v>
      </c>
      <c r="AX1740" t="s">
        <v>10837</v>
      </c>
      <c r="BA1740" t="s">
        <v>11741</v>
      </c>
      <c r="BB1740">
        <v>0</v>
      </c>
      <c r="BC1740">
        <v>0</v>
      </c>
      <c r="BD1740">
        <v>0</v>
      </c>
      <c r="BE1740">
        <v>0</v>
      </c>
      <c r="BF1740">
        <v>1</v>
      </c>
      <c r="BG1740">
        <v>0</v>
      </c>
    </row>
    <row r="1741" spans="1:59">
      <c r="A1741" s="1">
        <f>HYPERLINK("https://lsnyc.legalserver.org/matter/dynamic-profile/view/1905621","19-1905621")</f>
        <v>0</v>
      </c>
      <c r="B1741" t="s">
        <v>1543</v>
      </c>
      <c r="C1741" t="s">
        <v>6364</v>
      </c>
      <c r="D1741" t="s">
        <v>9928</v>
      </c>
      <c r="E1741" t="s">
        <v>10075</v>
      </c>
      <c r="F1741">
        <v>11216</v>
      </c>
      <c r="G1741" t="s">
        <v>10093</v>
      </c>
      <c r="H1741" t="s">
        <v>10109</v>
      </c>
      <c r="I1741" t="s">
        <v>10168</v>
      </c>
      <c r="J1741" t="s">
        <v>10213</v>
      </c>
      <c r="K1741" t="s">
        <v>10217</v>
      </c>
      <c r="M1741" t="s">
        <v>10280</v>
      </c>
      <c r="N1741" t="s">
        <v>10657</v>
      </c>
      <c r="P1741" t="s">
        <v>10751</v>
      </c>
      <c r="Q1741" t="s">
        <v>10768</v>
      </c>
      <c r="R1741" t="s">
        <v>10824</v>
      </c>
      <c r="T1741">
        <v>37160</v>
      </c>
      <c r="U1741">
        <v>3096.67</v>
      </c>
      <c r="V1741">
        <v>31</v>
      </c>
      <c r="W1741">
        <v>2</v>
      </c>
      <c r="X1741">
        <v>0</v>
      </c>
      <c r="Z1741">
        <v>219.75</v>
      </c>
      <c r="AA1741">
        <v>40.680702</v>
      </c>
      <c r="AB1741">
        <v>-73.93925400000001</v>
      </c>
      <c r="AD1741" t="s">
        <v>10840</v>
      </c>
      <c r="AG1741" t="s">
        <v>10858</v>
      </c>
      <c r="AH1741" t="s">
        <v>10862</v>
      </c>
      <c r="AI1741">
        <v>239</v>
      </c>
      <c r="AJ1741" t="s">
        <v>10213</v>
      </c>
      <c r="AL1741">
        <v>0.5</v>
      </c>
      <c r="AM1741" t="s">
        <v>10889</v>
      </c>
      <c r="AN1741" t="s">
        <v>10914</v>
      </c>
      <c r="AO1741" t="s">
        <v>11007</v>
      </c>
      <c r="AP1741" t="s">
        <v>11052</v>
      </c>
      <c r="AR1741" t="s">
        <v>11434</v>
      </c>
      <c r="AS1741" t="s">
        <v>11595</v>
      </c>
      <c r="AT1741" t="s">
        <v>11642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</row>
    <row r="1742" spans="1:59">
      <c r="A1742" s="1">
        <f>HYPERLINK("https://lsnyc.legalserver.org/matter/dynamic-profile/view/1905622","19-1905622")</f>
        <v>0</v>
      </c>
      <c r="B1742" t="s">
        <v>1544</v>
      </c>
      <c r="C1742" t="s">
        <v>5907</v>
      </c>
      <c r="D1742" t="s">
        <v>9926</v>
      </c>
      <c r="E1742" t="s">
        <v>10075</v>
      </c>
      <c r="F1742">
        <v>10456</v>
      </c>
      <c r="G1742" t="s">
        <v>10090</v>
      </c>
      <c r="H1742" t="s">
        <v>10109</v>
      </c>
      <c r="I1742" t="s">
        <v>10169</v>
      </c>
      <c r="J1742" t="s">
        <v>10210</v>
      </c>
      <c r="K1742" t="s">
        <v>10217</v>
      </c>
      <c r="M1742" t="s">
        <v>10296</v>
      </c>
      <c r="N1742" t="s">
        <v>10673</v>
      </c>
      <c r="P1742" t="s">
        <v>10753</v>
      </c>
      <c r="Q1742" t="s">
        <v>10763</v>
      </c>
      <c r="R1742" t="s">
        <v>10823</v>
      </c>
      <c r="T1742">
        <v>0</v>
      </c>
      <c r="U1742">
        <v>0</v>
      </c>
      <c r="V1742">
        <v>39</v>
      </c>
      <c r="W1742">
        <v>1</v>
      </c>
      <c r="X1742">
        <v>2</v>
      </c>
      <c r="Z1742">
        <v>0</v>
      </c>
      <c r="AA1742">
        <v>40.833359</v>
      </c>
      <c r="AB1742">
        <v>-73.898432</v>
      </c>
      <c r="AD1742" t="s">
        <v>10839</v>
      </c>
      <c r="AF1742" t="s">
        <v>10842</v>
      </c>
      <c r="AG1742" t="s">
        <v>10859</v>
      </c>
      <c r="AH1742" t="s">
        <v>10864</v>
      </c>
      <c r="AI1742">
        <v>230</v>
      </c>
      <c r="AJ1742" t="s">
        <v>10210</v>
      </c>
      <c r="AL1742">
        <v>8.75</v>
      </c>
      <c r="AM1742" t="s">
        <v>10884</v>
      </c>
      <c r="AN1742" t="s">
        <v>10918</v>
      </c>
      <c r="AO1742" t="s">
        <v>11000</v>
      </c>
      <c r="AP1742" t="s">
        <v>11055</v>
      </c>
      <c r="AQ1742" t="s">
        <v>11109</v>
      </c>
      <c r="AR1742" t="s">
        <v>11267</v>
      </c>
      <c r="AS1742" t="s">
        <v>9926</v>
      </c>
      <c r="AT1742" t="s">
        <v>11641</v>
      </c>
      <c r="AV1742" t="s">
        <v>11656</v>
      </c>
      <c r="AW1742" t="s">
        <v>11645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</row>
    <row r="1743" spans="1:59">
      <c r="A1743" s="1">
        <f>HYPERLINK("https://lsnyc.legalserver.org/matter/dynamic-profile/view/1905623","19-1905623")</f>
        <v>0</v>
      </c>
      <c r="B1743" t="s">
        <v>795</v>
      </c>
      <c r="C1743" t="s">
        <v>5697</v>
      </c>
      <c r="D1743" t="s">
        <v>9930</v>
      </c>
      <c r="E1743" t="s">
        <v>10075</v>
      </c>
      <c r="F1743">
        <v>11373</v>
      </c>
      <c r="G1743" t="s">
        <v>10092</v>
      </c>
      <c r="H1743" t="s">
        <v>10109</v>
      </c>
      <c r="I1743" t="s">
        <v>10169</v>
      </c>
      <c r="J1743" t="s">
        <v>10212</v>
      </c>
      <c r="K1743" t="s">
        <v>10218</v>
      </c>
      <c r="L1743" t="s">
        <v>10134</v>
      </c>
      <c r="M1743" t="s">
        <v>10282</v>
      </c>
      <c r="N1743" t="s">
        <v>10648</v>
      </c>
      <c r="P1743" t="s">
        <v>10753</v>
      </c>
      <c r="Q1743" t="s">
        <v>10763</v>
      </c>
      <c r="R1743" t="s">
        <v>10821</v>
      </c>
      <c r="T1743">
        <v>20800</v>
      </c>
      <c r="U1743">
        <v>1733.33</v>
      </c>
      <c r="V1743">
        <v>48</v>
      </c>
      <c r="W1743">
        <v>2</v>
      </c>
      <c r="X1743">
        <v>1</v>
      </c>
      <c r="Y1743" t="s">
        <v>10829</v>
      </c>
      <c r="Z1743">
        <v>97.52</v>
      </c>
      <c r="AA1743">
        <v>40.743742</v>
      </c>
      <c r="AB1743">
        <v>-73.87678</v>
      </c>
      <c r="AD1743" t="s">
        <v>10839</v>
      </c>
      <c r="AF1743" t="s">
        <v>10843</v>
      </c>
      <c r="AG1743" t="s">
        <v>10859</v>
      </c>
      <c r="AH1743" t="s">
        <v>10865</v>
      </c>
      <c r="AI1743">
        <v>237</v>
      </c>
      <c r="AJ1743" t="s">
        <v>10212</v>
      </c>
      <c r="AK1743" t="s">
        <v>10837</v>
      </c>
      <c r="AL1743">
        <v>1.4</v>
      </c>
      <c r="AQ1743" t="s">
        <v>11097</v>
      </c>
      <c r="AR1743" t="s">
        <v>11257</v>
      </c>
      <c r="AS1743" t="s">
        <v>11594</v>
      </c>
      <c r="AY1743" t="s">
        <v>10829</v>
      </c>
      <c r="AZ1743" t="s">
        <v>11709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</row>
    <row r="1744" spans="1:59">
      <c r="A1744" s="1">
        <f>HYPERLINK("https://lsnyc.legalserver.org/matter/dynamic-profile/view/1905624","19-1905624")</f>
        <v>0</v>
      </c>
      <c r="B1744" t="s">
        <v>1545</v>
      </c>
      <c r="C1744" t="s">
        <v>6365</v>
      </c>
      <c r="D1744" t="s">
        <v>9926</v>
      </c>
      <c r="E1744" t="s">
        <v>10075</v>
      </c>
      <c r="F1744">
        <v>10455</v>
      </c>
      <c r="G1744" t="s">
        <v>10090</v>
      </c>
      <c r="H1744" t="s">
        <v>10109</v>
      </c>
      <c r="I1744" t="s">
        <v>10169</v>
      </c>
      <c r="J1744" t="s">
        <v>10210</v>
      </c>
      <c r="K1744" t="s">
        <v>10217</v>
      </c>
      <c r="M1744" t="s">
        <v>10279</v>
      </c>
      <c r="N1744" t="s">
        <v>10651</v>
      </c>
      <c r="P1744" t="s">
        <v>10749</v>
      </c>
      <c r="Q1744" t="s">
        <v>10765</v>
      </c>
      <c r="R1744" t="s">
        <v>10820</v>
      </c>
      <c r="T1744">
        <v>40000</v>
      </c>
      <c r="U1744">
        <v>3333.33</v>
      </c>
      <c r="V1744">
        <v>49</v>
      </c>
      <c r="W1744">
        <v>2</v>
      </c>
      <c r="X1744">
        <v>1</v>
      </c>
      <c r="Z1744">
        <v>187.53</v>
      </c>
      <c r="AA1744">
        <v>40.81434</v>
      </c>
      <c r="AB1744">
        <v>-73.898715</v>
      </c>
      <c r="AD1744" t="s">
        <v>10840</v>
      </c>
      <c r="AG1744" t="s">
        <v>10858</v>
      </c>
      <c r="AH1744" t="s">
        <v>10861</v>
      </c>
      <c r="AI1744">
        <v>230</v>
      </c>
      <c r="AJ1744" t="s">
        <v>10210</v>
      </c>
      <c r="AL1744">
        <v>1</v>
      </c>
      <c r="AM1744" t="s">
        <v>10884</v>
      </c>
      <c r="AN1744" t="s">
        <v>10968</v>
      </c>
      <c r="AO1744" t="s">
        <v>11001</v>
      </c>
      <c r="AP1744" t="s">
        <v>11066</v>
      </c>
      <c r="AR1744" t="s">
        <v>11257</v>
      </c>
      <c r="AS1744" t="s">
        <v>9926</v>
      </c>
      <c r="AT1744" t="s">
        <v>11642</v>
      </c>
      <c r="AX1744" t="s">
        <v>10838</v>
      </c>
      <c r="BA1744" t="s">
        <v>11741</v>
      </c>
      <c r="BB1744">
        <v>0</v>
      </c>
      <c r="BC1744">
        <v>0</v>
      </c>
      <c r="BD1744">
        <v>0</v>
      </c>
      <c r="BE1744">
        <v>0</v>
      </c>
      <c r="BF1744">
        <v>1</v>
      </c>
      <c r="BG1744">
        <v>0</v>
      </c>
    </row>
    <row r="1745" spans="1:59">
      <c r="A1745" s="1">
        <f>HYPERLINK("https://lsnyc.legalserver.org/matter/dynamic-profile/view/1905625","19-1905625")</f>
        <v>0</v>
      </c>
      <c r="B1745" t="s">
        <v>1546</v>
      </c>
      <c r="C1745" t="s">
        <v>6366</v>
      </c>
      <c r="D1745" t="s">
        <v>9928</v>
      </c>
      <c r="E1745" t="s">
        <v>10075</v>
      </c>
      <c r="F1745">
        <v>11233</v>
      </c>
      <c r="G1745" t="s">
        <v>10093</v>
      </c>
      <c r="H1745" t="s">
        <v>10109</v>
      </c>
      <c r="I1745" t="s">
        <v>10168</v>
      </c>
      <c r="J1745" t="s">
        <v>10213</v>
      </c>
      <c r="K1745" t="s">
        <v>10217</v>
      </c>
      <c r="M1745" t="s">
        <v>10494</v>
      </c>
      <c r="N1745" t="s">
        <v>10657</v>
      </c>
      <c r="P1745" t="s">
        <v>10753</v>
      </c>
      <c r="Q1745" t="s">
        <v>10809</v>
      </c>
      <c r="R1745" t="s">
        <v>10824</v>
      </c>
      <c r="T1745">
        <v>25000</v>
      </c>
      <c r="U1745">
        <v>2083.33</v>
      </c>
      <c r="V1745">
        <v>51</v>
      </c>
      <c r="W1745">
        <v>1</v>
      </c>
      <c r="X1745">
        <v>0</v>
      </c>
      <c r="Z1745">
        <v>200.16</v>
      </c>
      <c r="AA1745">
        <v>40.670379</v>
      </c>
      <c r="AB1745">
        <v>-73.917221</v>
      </c>
      <c r="AD1745" t="s">
        <v>10840</v>
      </c>
      <c r="AG1745" t="s">
        <v>10858</v>
      </c>
      <c r="AH1745" t="s">
        <v>10862</v>
      </c>
      <c r="AI1745">
        <v>239</v>
      </c>
      <c r="AJ1745" t="s">
        <v>10213</v>
      </c>
      <c r="AL1745">
        <v>0.5</v>
      </c>
      <c r="AM1745" t="s">
        <v>10888</v>
      </c>
      <c r="AN1745" t="s">
        <v>10922</v>
      </c>
      <c r="AO1745" t="s">
        <v>11005</v>
      </c>
      <c r="AP1745" t="s">
        <v>11064</v>
      </c>
      <c r="AQ1745" t="s">
        <v>11193</v>
      </c>
      <c r="AR1745" t="s">
        <v>11296</v>
      </c>
      <c r="AS1745" t="s">
        <v>11595</v>
      </c>
      <c r="AT1745" t="s">
        <v>11642</v>
      </c>
      <c r="BA1745" t="s">
        <v>11741</v>
      </c>
      <c r="BB1745">
        <v>0</v>
      </c>
      <c r="BC1745">
        <v>0</v>
      </c>
      <c r="BD1745">
        <v>0</v>
      </c>
      <c r="BE1745">
        <v>0</v>
      </c>
      <c r="BF1745">
        <v>1</v>
      </c>
      <c r="BG1745">
        <v>0</v>
      </c>
    </row>
    <row r="1746" spans="1:59">
      <c r="A1746" s="1">
        <f>HYPERLINK("https://lsnyc.legalserver.org/matter/dynamic-profile/view/1905626","19-1905626")</f>
        <v>0</v>
      </c>
      <c r="B1746" t="s">
        <v>1547</v>
      </c>
      <c r="C1746" t="s">
        <v>6367</v>
      </c>
      <c r="D1746" t="s">
        <v>9928</v>
      </c>
      <c r="E1746" t="s">
        <v>10075</v>
      </c>
      <c r="F1746">
        <v>11238</v>
      </c>
      <c r="G1746" t="s">
        <v>10093</v>
      </c>
      <c r="H1746" t="s">
        <v>10109</v>
      </c>
      <c r="I1746" t="s">
        <v>10168</v>
      </c>
      <c r="J1746" t="s">
        <v>10213</v>
      </c>
      <c r="K1746" t="s">
        <v>10218</v>
      </c>
      <c r="L1746" t="s">
        <v>10146</v>
      </c>
      <c r="M1746" t="s">
        <v>10470</v>
      </c>
      <c r="N1746" t="s">
        <v>10657</v>
      </c>
      <c r="P1746" t="s">
        <v>10749</v>
      </c>
      <c r="Q1746" t="s">
        <v>10806</v>
      </c>
      <c r="R1746" t="s">
        <v>10820</v>
      </c>
      <c r="T1746">
        <v>5000</v>
      </c>
      <c r="U1746">
        <v>416.67</v>
      </c>
      <c r="V1746">
        <v>42</v>
      </c>
      <c r="W1746">
        <v>1</v>
      </c>
      <c r="X1746">
        <v>0</v>
      </c>
      <c r="Y1746" t="s">
        <v>10829</v>
      </c>
      <c r="Z1746">
        <v>40.03</v>
      </c>
      <c r="AA1746">
        <v>40.685093</v>
      </c>
      <c r="AB1746">
        <v>-73.966864</v>
      </c>
      <c r="AD1746" t="s">
        <v>10839</v>
      </c>
      <c r="AG1746" t="s">
        <v>10858</v>
      </c>
      <c r="AH1746" t="s">
        <v>10862</v>
      </c>
      <c r="AI1746">
        <v>239</v>
      </c>
      <c r="AJ1746" t="s">
        <v>10213</v>
      </c>
      <c r="AK1746" t="s">
        <v>10838</v>
      </c>
      <c r="AL1746">
        <v>0.7</v>
      </c>
      <c r="AM1746" t="s">
        <v>10889</v>
      </c>
      <c r="AN1746" t="s">
        <v>10923</v>
      </c>
      <c r="AO1746" t="s">
        <v>11007</v>
      </c>
      <c r="AP1746" t="s">
        <v>11061</v>
      </c>
      <c r="AR1746" t="s">
        <v>11276</v>
      </c>
      <c r="AS1746" t="s">
        <v>11595</v>
      </c>
      <c r="AT1746" t="s">
        <v>11641</v>
      </c>
      <c r="AY1746" t="s">
        <v>10829</v>
      </c>
      <c r="AZ1746" t="s">
        <v>11681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</row>
    <row r="1747" spans="1:59">
      <c r="A1747" s="1">
        <f>HYPERLINK("https://lsnyc.legalserver.org/matter/dynamic-profile/view/1905627","19-1905627")</f>
        <v>0</v>
      </c>
      <c r="B1747" t="s">
        <v>1548</v>
      </c>
      <c r="C1747" t="s">
        <v>6368</v>
      </c>
      <c r="D1747" t="s">
        <v>9928</v>
      </c>
      <c r="E1747" t="s">
        <v>10075</v>
      </c>
      <c r="F1747">
        <v>11235</v>
      </c>
      <c r="G1747" t="s">
        <v>10093</v>
      </c>
      <c r="H1747" t="s">
        <v>10130</v>
      </c>
      <c r="I1747" t="s">
        <v>10171</v>
      </c>
      <c r="J1747" t="s">
        <v>10213</v>
      </c>
      <c r="K1747" t="s">
        <v>10217</v>
      </c>
      <c r="M1747" t="s">
        <v>10390</v>
      </c>
      <c r="N1747" t="s">
        <v>10644</v>
      </c>
      <c r="P1747" t="s">
        <v>10751</v>
      </c>
      <c r="Q1747" t="s">
        <v>10786</v>
      </c>
      <c r="R1747" t="s">
        <v>10820</v>
      </c>
      <c r="T1747">
        <v>10296</v>
      </c>
      <c r="U1747">
        <v>858</v>
      </c>
      <c r="V1747">
        <v>82</v>
      </c>
      <c r="W1747">
        <v>1</v>
      </c>
      <c r="X1747">
        <v>0</v>
      </c>
      <c r="Z1747">
        <v>82.43000000000001</v>
      </c>
      <c r="AA1747">
        <v>40.576147</v>
      </c>
      <c r="AB1747">
        <v>-73.96939399999999</v>
      </c>
      <c r="AD1747" t="s">
        <v>10839</v>
      </c>
      <c r="AG1747" t="s">
        <v>10858</v>
      </c>
      <c r="AH1747" t="s">
        <v>10869</v>
      </c>
      <c r="AI1747">
        <v>239</v>
      </c>
      <c r="AJ1747" t="s">
        <v>10213</v>
      </c>
      <c r="AL1747">
        <v>2.5</v>
      </c>
      <c r="AM1747" t="s">
        <v>10889</v>
      </c>
      <c r="AN1747" t="s">
        <v>10960</v>
      </c>
      <c r="AO1747" t="s">
        <v>11006</v>
      </c>
      <c r="AP1747" t="s">
        <v>11092</v>
      </c>
      <c r="AQ1747" t="s">
        <v>11134</v>
      </c>
      <c r="AR1747" t="s">
        <v>11263</v>
      </c>
      <c r="AS1747" t="s">
        <v>11595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</row>
    <row r="1748" spans="1:59">
      <c r="A1748" s="1">
        <f>HYPERLINK("https://lsnyc.legalserver.org/matter/dynamic-profile/view/1905628","19-1905628")</f>
        <v>0</v>
      </c>
      <c r="B1748" t="s">
        <v>776</v>
      </c>
      <c r="C1748" t="s">
        <v>5678</v>
      </c>
      <c r="D1748" t="s">
        <v>9933</v>
      </c>
      <c r="E1748" t="s">
        <v>10075</v>
      </c>
      <c r="F1748">
        <v>11420</v>
      </c>
      <c r="G1748" t="s">
        <v>10092</v>
      </c>
      <c r="H1748" t="s">
        <v>10109</v>
      </c>
      <c r="I1748" t="s">
        <v>10169</v>
      </c>
      <c r="J1748" t="s">
        <v>10212</v>
      </c>
      <c r="K1748" t="s">
        <v>10217</v>
      </c>
      <c r="M1748" t="s">
        <v>10422</v>
      </c>
      <c r="N1748" t="s">
        <v>10673</v>
      </c>
      <c r="P1748" t="s">
        <v>10753</v>
      </c>
      <c r="Q1748" t="s">
        <v>10763</v>
      </c>
      <c r="R1748" t="s">
        <v>10823</v>
      </c>
      <c r="T1748">
        <v>14400</v>
      </c>
      <c r="U1748">
        <v>1200</v>
      </c>
      <c r="V1748">
        <v>19</v>
      </c>
      <c r="W1748">
        <v>2</v>
      </c>
      <c r="X1748">
        <v>0</v>
      </c>
      <c r="Z1748">
        <v>85.16</v>
      </c>
      <c r="AA1748">
        <v>40.67815</v>
      </c>
      <c r="AB1748">
        <v>-73.81786099999999</v>
      </c>
      <c r="AD1748" t="s">
        <v>10839</v>
      </c>
      <c r="AF1748" t="s">
        <v>10842</v>
      </c>
      <c r="AG1748" t="s">
        <v>10859</v>
      </c>
      <c r="AH1748" t="s">
        <v>10864</v>
      </c>
      <c r="AI1748">
        <v>237</v>
      </c>
      <c r="AJ1748" t="s">
        <v>10212</v>
      </c>
      <c r="AL1748">
        <v>3.87</v>
      </c>
      <c r="AQ1748" t="s">
        <v>11109</v>
      </c>
      <c r="AR1748" t="s">
        <v>11257</v>
      </c>
      <c r="AS1748" t="s">
        <v>11594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</row>
    <row r="1749" spans="1:59">
      <c r="A1749" s="1">
        <f>HYPERLINK("https://lsnyc.legalserver.org/matter/dynamic-profile/view/1905629","19-1905629")</f>
        <v>0</v>
      </c>
      <c r="B1749" t="s">
        <v>776</v>
      </c>
      <c r="C1749" t="s">
        <v>5678</v>
      </c>
      <c r="D1749" t="s">
        <v>9933</v>
      </c>
      <c r="E1749" t="s">
        <v>10075</v>
      </c>
      <c r="F1749">
        <v>11420</v>
      </c>
      <c r="G1749" t="s">
        <v>10092</v>
      </c>
      <c r="H1749" t="s">
        <v>10109</v>
      </c>
      <c r="I1749" t="s">
        <v>10169</v>
      </c>
      <c r="J1749" t="s">
        <v>10212</v>
      </c>
      <c r="K1749" t="s">
        <v>10217</v>
      </c>
      <c r="M1749" t="s">
        <v>10422</v>
      </c>
      <c r="N1749" t="s">
        <v>10673</v>
      </c>
      <c r="P1749" t="s">
        <v>10753</v>
      </c>
      <c r="Q1749" t="s">
        <v>10763</v>
      </c>
      <c r="R1749" t="s">
        <v>10823</v>
      </c>
      <c r="T1749">
        <v>14400</v>
      </c>
      <c r="U1749">
        <v>1200</v>
      </c>
      <c r="V1749">
        <v>19</v>
      </c>
      <c r="W1749">
        <v>2</v>
      </c>
      <c r="X1749">
        <v>0</v>
      </c>
      <c r="Z1749">
        <v>85.16</v>
      </c>
      <c r="AA1749">
        <v>40.67815</v>
      </c>
      <c r="AB1749">
        <v>-73.81786099999999</v>
      </c>
      <c r="AD1749" t="s">
        <v>10839</v>
      </c>
      <c r="AF1749" t="s">
        <v>10842</v>
      </c>
      <c r="AG1749" t="s">
        <v>10859</v>
      </c>
      <c r="AH1749" t="s">
        <v>10864</v>
      </c>
      <c r="AI1749">
        <v>237</v>
      </c>
      <c r="AJ1749" t="s">
        <v>10212</v>
      </c>
      <c r="AL1749">
        <v>1</v>
      </c>
      <c r="AQ1749" t="s">
        <v>11194</v>
      </c>
      <c r="AR1749" t="s">
        <v>11257</v>
      </c>
      <c r="AS1749" t="s">
        <v>11594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</row>
    <row r="1750" spans="1:59">
      <c r="A1750" s="1">
        <f>HYPERLINK("https://lsnyc.legalserver.org/matter/dynamic-profile/view/1905630","19-1905630")</f>
        <v>0</v>
      </c>
      <c r="B1750" t="s">
        <v>1549</v>
      </c>
      <c r="C1750" t="s">
        <v>5249</v>
      </c>
      <c r="D1750" t="s">
        <v>9928</v>
      </c>
      <c r="E1750" t="s">
        <v>10075</v>
      </c>
      <c r="F1750">
        <v>11226</v>
      </c>
      <c r="G1750" t="s">
        <v>10093</v>
      </c>
      <c r="H1750" t="s">
        <v>10109</v>
      </c>
      <c r="I1750" t="s">
        <v>10169</v>
      </c>
      <c r="J1750" t="s">
        <v>10213</v>
      </c>
      <c r="K1750" t="s">
        <v>10217</v>
      </c>
      <c r="M1750" t="s">
        <v>10384</v>
      </c>
      <c r="N1750" t="s">
        <v>10650</v>
      </c>
      <c r="O1750" t="s">
        <v>10653</v>
      </c>
      <c r="P1750" t="s">
        <v>10749</v>
      </c>
      <c r="Q1750" t="s">
        <v>10765</v>
      </c>
      <c r="R1750" t="s">
        <v>10821</v>
      </c>
      <c r="T1750">
        <v>30000</v>
      </c>
      <c r="U1750">
        <v>2500</v>
      </c>
      <c r="V1750">
        <v>48</v>
      </c>
      <c r="W1750">
        <v>2</v>
      </c>
      <c r="X1750">
        <v>0</v>
      </c>
      <c r="Z1750">
        <v>177.41</v>
      </c>
      <c r="AA1750">
        <v>40.646763</v>
      </c>
      <c r="AB1750">
        <v>-73.962706</v>
      </c>
      <c r="AD1750" t="s">
        <v>10839</v>
      </c>
      <c r="AG1750" t="s">
        <v>10858</v>
      </c>
      <c r="AH1750" t="s">
        <v>10862</v>
      </c>
      <c r="AI1750">
        <v>239</v>
      </c>
      <c r="AJ1750" t="s">
        <v>10213</v>
      </c>
      <c r="AL1750">
        <v>0.2</v>
      </c>
      <c r="AM1750" t="s">
        <v>10888</v>
      </c>
      <c r="AN1750" t="s">
        <v>10932</v>
      </c>
      <c r="AO1750" t="s">
        <v>11008</v>
      </c>
      <c r="AP1750" t="s">
        <v>11050</v>
      </c>
      <c r="AR1750" t="s">
        <v>11276</v>
      </c>
      <c r="AS1750" t="s">
        <v>11595</v>
      </c>
      <c r="BA1750" t="s">
        <v>11738</v>
      </c>
      <c r="BB1750">
        <v>0</v>
      </c>
      <c r="BC1750">
        <v>0</v>
      </c>
      <c r="BD1750">
        <v>0</v>
      </c>
      <c r="BE1750">
        <v>0</v>
      </c>
      <c r="BF1750">
        <v>5</v>
      </c>
      <c r="BG1750">
        <v>0</v>
      </c>
    </row>
    <row r="1751" spans="1:59">
      <c r="A1751" s="1">
        <f>HYPERLINK("https://lsnyc.legalserver.org/matter/dynamic-profile/view/1905631","19-1905631")</f>
        <v>0</v>
      </c>
      <c r="B1751" t="s">
        <v>1550</v>
      </c>
      <c r="C1751" t="s">
        <v>6369</v>
      </c>
      <c r="D1751" t="s">
        <v>9926</v>
      </c>
      <c r="E1751" t="s">
        <v>10075</v>
      </c>
      <c r="F1751">
        <v>10462</v>
      </c>
      <c r="G1751" t="s">
        <v>10090</v>
      </c>
      <c r="H1751" t="s">
        <v>10109</v>
      </c>
      <c r="I1751" t="s">
        <v>10168</v>
      </c>
      <c r="J1751" t="s">
        <v>10210</v>
      </c>
      <c r="K1751" t="s">
        <v>10217</v>
      </c>
      <c r="M1751" t="s">
        <v>10406</v>
      </c>
      <c r="N1751" t="s">
        <v>10705</v>
      </c>
      <c r="P1751" t="s">
        <v>10751</v>
      </c>
      <c r="Q1751" t="s">
        <v>10761</v>
      </c>
      <c r="R1751" t="s">
        <v>10824</v>
      </c>
      <c r="T1751">
        <v>0</v>
      </c>
      <c r="U1751">
        <v>0</v>
      </c>
      <c r="V1751">
        <v>46</v>
      </c>
      <c r="W1751">
        <v>1</v>
      </c>
      <c r="X1751">
        <v>0</v>
      </c>
      <c r="Z1751">
        <v>0</v>
      </c>
      <c r="AA1751">
        <v>40.855232</v>
      </c>
      <c r="AB1751">
        <v>-73.864097</v>
      </c>
      <c r="AD1751" t="s">
        <v>10840</v>
      </c>
      <c r="AG1751" t="s">
        <v>10858</v>
      </c>
      <c r="AH1751" t="s">
        <v>10874</v>
      </c>
      <c r="AI1751">
        <v>230</v>
      </c>
      <c r="AJ1751" t="s">
        <v>10210</v>
      </c>
      <c r="AL1751">
        <v>23.9</v>
      </c>
      <c r="AM1751" t="s">
        <v>10885</v>
      </c>
      <c r="AN1751" t="s">
        <v>10938</v>
      </c>
      <c r="AO1751" t="s">
        <v>11002</v>
      </c>
      <c r="AP1751" t="s">
        <v>11049</v>
      </c>
      <c r="AR1751" t="s">
        <v>11267</v>
      </c>
      <c r="AS1751" t="s">
        <v>9926</v>
      </c>
      <c r="BA1751" t="s">
        <v>11737</v>
      </c>
      <c r="BB1751">
        <v>0</v>
      </c>
      <c r="BC1751">
        <v>0</v>
      </c>
      <c r="BD1751">
        <v>0</v>
      </c>
      <c r="BE1751">
        <v>0</v>
      </c>
      <c r="BF1751">
        <v>3</v>
      </c>
      <c r="BG1751">
        <v>0</v>
      </c>
    </row>
    <row r="1752" spans="1:59">
      <c r="A1752" s="1">
        <f>HYPERLINK("https://lsnyc.legalserver.org/matter/dynamic-profile/view/1905632","19-1905632")</f>
        <v>0</v>
      </c>
      <c r="B1752" t="s">
        <v>1550</v>
      </c>
      <c r="C1752" t="s">
        <v>6369</v>
      </c>
      <c r="D1752" t="s">
        <v>9926</v>
      </c>
      <c r="E1752" t="s">
        <v>10075</v>
      </c>
      <c r="F1752">
        <v>10462</v>
      </c>
      <c r="G1752" t="s">
        <v>10090</v>
      </c>
      <c r="H1752" t="s">
        <v>10109</v>
      </c>
      <c r="I1752" t="s">
        <v>10168</v>
      </c>
      <c r="J1752" t="s">
        <v>10210</v>
      </c>
      <c r="K1752" t="s">
        <v>10217</v>
      </c>
      <c r="M1752" t="s">
        <v>10406</v>
      </c>
      <c r="N1752" t="s">
        <v>10705</v>
      </c>
      <c r="P1752" t="s">
        <v>10751</v>
      </c>
      <c r="Q1752" t="s">
        <v>10776</v>
      </c>
      <c r="R1752" t="s">
        <v>10824</v>
      </c>
      <c r="T1752">
        <v>0</v>
      </c>
      <c r="U1752">
        <v>0</v>
      </c>
      <c r="V1752">
        <v>46</v>
      </c>
      <c r="W1752">
        <v>1</v>
      </c>
      <c r="X1752">
        <v>0</v>
      </c>
      <c r="Z1752">
        <v>0</v>
      </c>
      <c r="AA1752">
        <v>40.855232</v>
      </c>
      <c r="AB1752">
        <v>-73.864097</v>
      </c>
      <c r="AD1752" t="s">
        <v>10840</v>
      </c>
      <c r="AG1752" t="s">
        <v>10858</v>
      </c>
      <c r="AH1752" t="s">
        <v>10874</v>
      </c>
      <c r="AI1752">
        <v>230</v>
      </c>
      <c r="AJ1752" t="s">
        <v>10210</v>
      </c>
      <c r="AL1752">
        <v>0.25</v>
      </c>
      <c r="AM1752" t="s">
        <v>10885</v>
      </c>
      <c r="AN1752" t="s">
        <v>10938</v>
      </c>
      <c r="AO1752" t="s">
        <v>11002</v>
      </c>
      <c r="AP1752" t="s">
        <v>11049</v>
      </c>
      <c r="AQ1752" t="s">
        <v>11105</v>
      </c>
      <c r="AR1752" t="s">
        <v>11267</v>
      </c>
      <c r="AS1752" t="s">
        <v>9926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</row>
    <row r="1753" spans="1:59">
      <c r="A1753" s="1">
        <f>HYPERLINK("https://lsnyc.legalserver.org/matter/dynamic-profile/view/1905633","19-1905633")</f>
        <v>0</v>
      </c>
      <c r="B1753" t="s">
        <v>1550</v>
      </c>
      <c r="C1753" t="s">
        <v>6369</v>
      </c>
      <c r="D1753" t="s">
        <v>9926</v>
      </c>
      <c r="E1753" t="s">
        <v>10075</v>
      </c>
      <c r="F1753">
        <v>10462</v>
      </c>
      <c r="G1753" t="s">
        <v>10090</v>
      </c>
      <c r="H1753" t="s">
        <v>10109</v>
      </c>
      <c r="I1753" t="s">
        <v>10168</v>
      </c>
      <c r="J1753" t="s">
        <v>10210</v>
      </c>
      <c r="K1753" t="s">
        <v>10217</v>
      </c>
      <c r="M1753" t="s">
        <v>10406</v>
      </c>
      <c r="N1753" t="s">
        <v>10705</v>
      </c>
      <c r="P1753" t="s">
        <v>10757</v>
      </c>
      <c r="Q1753" t="s">
        <v>10789</v>
      </c>
      <c r="R1753" t="s">
        <v>10824</v>
      </c>
      <c r="T1753">
        <v>0</v>
      </c>
      <c r="U1753">
        <v>0</v>
      </c>
      <c r="V1753">
        <v>46</v>
      </c>
      <c r="W1753">
        <v>1</v>
      </c>
      <c r="X1753">
        <v>0</v>
      </c>
      <c r="Z1753">
        <v>0</v>
      </c>
      <c r="AA1753">
        <v>40.855232</v>
      </c>
      <c r="AB1753">
        <v>-73.864097</v>
      </c>
      <c r="AD1753" t="s">
        <v>10840</v>
      </c>
      <c r="AG1753" t="s">
        <v>10858</v>
      </c>
      <c r="AH1753" t="s">
        <v>10874</v>
      </c>
      <c r="AI1753">
        <v>230</v>
      </c>
      <c r="AJ1753" t="s">
        <v>10210</v>
      </c>
      <c r="AL1753">
        <v>1.5</v>
      </c>
      <c r="AM1753" t="s">
        <v>10885</v>
      </c>
      <c r="AN1753" t="s">
        <v>10938</v>
      </c>
      <c r="AO1753" t="s">
        <v>11002</v>
      </c>
      <c r="AP1753" t="s">
        <v>11049</v>
      </c>
      <c r="AR1753" t="s">
        <v>11267</v>
      </c>
      <c r="AS1753" t="s">
        <v>9926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</row>
    <row r="1754" spans="1:59">
      <c r="A1754" s="1">
        <f>HYPERLINK("https://lsnyc.legalserver.org/matter/dynamic-profile/view/1905634","19-1905634")</f>
        <v>0</v>
      </c>
      <c r="B1754" t="s">
        <v>1550</v>
      </c>
      <c r="C1754" t="s">
        <v>6369</v>
      </c>
      <c r="D1754" t="s">
        <v>9926</v>
      </c>
      <c r="E1754" t="s">
        <v>10075</v>
      </c>
      <c r="F1754">
        <v>10462</v>
      </c>
      <c r="G1754" t="s">
        <v>10090</v>
      </c>
      <c r="H1754" t="s">
        <v>10109</v>
      </c>
      <c r="I1754" t="s">
        <v>10168</v>
      </c>
      <c r="J1754" t="s">
        <v>10210</v>
      </c>
      <c r="K1754" t="s">
        <v>10217</v>
      </c>
      <c r="M1754" t="s">
        <v>10406</v>
      </c>
      <c r="N1754" t="s">
        <v>10705</v>
      </c>
      <c r="P1754" t="s">
        <v>10753</v>
      </c>
      <c r="Q1754" t="s">
        <v>10790</v>
      </c>
      <c r="R1754" t="s">
        <v>10824</v>
      </c>
      <c r="T1754">
        <v>0</v>
      </c>
      <c r="U1754">
        <v>0</v>
      </c>
      <c r="V1754">
        <v>46</v>
      </c>
      <c r="W1754">
        <v>1</v>
      </c>
      <c r="X1754">
        <v>0</v>
      </c>
      <c r="Z1754">
        <v>0</v>
      </c>
      <c r="AA1754">
        <v>40.855232</v>
      </c>
      <c r="AB1754">
        <v>-73.864097</v>
      </c>
      <c r="AD1754" t="s">
        <v>10840</v>
      </c>
      <c r="AG1754" t="s">
        <v>10858</v>
      </c>
      <c r="AH1754" t="s">
        <v>10874</v>
      </c>
      <c r="AI1754">
        <v>230</v>
      </c>
      <c r="AJ1754" t="s">
        <v>10210</v>
      </c>
      <c r="AL1754">
        <v>5.7</v>
      </c>
      <c r="AM1754" t="s">
        <v>10885</v>
      </c>
      <c r="AN1754" t="s">
        <v>10938</v>
      </c>
      <c r="AO1754" t="s">
        <v>11002</v>
      </c>
      <c r="AP1754" t="s">
        <v>11049</v>
      </c>
      <c r="AR1754" t="s">
        <v>11267</v>
      </c>
      <c r="AS1754" t="s">
        <v>9926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</row>
    <row r="1755" spans="1:59">
      <c r="A1755" s="1">
        <f>HYPERLINK("https://lsnyc.legalserver.org/matter/dynamic-profile/view/1905635","19-1905635")</f>
        <v>0</v>
      </c>
      <c r="B1755" t="s">
        <v>1550</v>
      </c>
      <c r="C1755" t="s">
        <v>6369</v>
      </c>
      <c r="D1755" t="s">
        <v>9926</v>
      </c>
      <c r="E1755" t="s">
        <v>10075</v>
      </c>
      <c r="F1755">
        <v>10462</v>
      </c>
      <c r="G1755" t="s">
        <v>10090</v>
      </c>
      <c r="H1755" t="s">
        <v>10109</v>
      </c>
      <c r="I1755" t="s">
        <v>10168</v>
      </c>
      <c r="J1755" t="s">
        <v>10210</v>
      </c>
      <c r="K1755" t="s">
        <v>10217</v>
      </c>
      <c r="M1755" t="s">
        <v>10406</v>
      </c>
      <c r="N1755" t="s">
        <v>10705</v>
      </c>
      <c r="P1755" t="s">
        <v>10751</v>
      </c>
      <c r="Q1755" t="s">
        <v>10768</v>
      </c>
      <c r="R1755" t="s">
        <v>10824</v>
      </c>
      <c r="T1755">
        <v>0</v>
      </c>
      <c r="U1755">
        <v>0</v>
      </c>
      <c r="V1755">
        <v>46</v>
      </c>
      <c r="W1755">
        <v>1</v>
      </c>
      <c r="X1755">
        <v>0</v>
      </c>
      <c r="Z1755">
        <v>0</v>
      </c>
      <c r="AA1755">
        <v>40.855232</v>
      </c>
      <c r="AB1755">
        <v>-73.864097</v>
      </c>
      <c r="AD1755" t="s">
        <v>10840</v>
      </c>
      <c r="AG1755" t="s">
        <v>10858</v>
      </c>
      <c r="AH1755" t="s">
        <v>10874</v>
      </c>
      <c r="AI1755">
        <v>230</v>
      </c>
      <c r="AJ1755" t="s">
        <v>10210</v>
      </c>
      <c r="AL1755">
        <v>0.25</v>
      </c>
      <c r="AM1755" t="s">
        <v>10885</v>
      </c>
      <c r="AN1755" t="s">
        <v>10938</v>
      </c>
      <c r="AO1755" t="s">
        <v>11002</v>
      </c>
      <c r="AP1755" t="s">
        <v>11049</v>
      </c>
      <c r="AR1755" t="s">
        <v>11267</v>
      </c>
      <c r="AS1755" t="s">
        <v>9926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</row>
    <row r="1756" spans="1:59">
      <c r="A1756" s="1">
        <f>HYPERLINK("https://lsnyc.legalserver.org/matter/dynamic-profile/view/1905636","19-1905636")</f>
        <v>0</v>
      </c>
      <c r="B1756" t="s">
        <v>1551</v>
      </c>
      <c r="C1756" t="s">
        <v>6370</v>
      </c>
      <c r="D1756" t="s">
        <v>9928</v>
      </c>
      <c r="E1756" t="s">
        <v>10075</v>
      </c>
      <c r="F1756">
        <v>11223</v>
      </c>
      <c r="G1756" t="s">
        <v>10093</v>
      </c>
      <c r="H1756" t="s">
        <v>10121</v>
      </c>
      <c r="I1756" t="s">
        <v>10193</v>
      </c>
      <c r="J1756" t="s">
        <v>10213</v>
      </c>
      <c r="K1756" t="s">
        <v>10218</v>
      </c>
      <c r="L1756" t="s">
        <v>10121</v>
      </c>
      <c r="M1756" t="s">
        <v>10358</v>
      </c>
      <c r="N1756" t="s">
        <v>10688</v>
      </c>
      <c r="P1756" t="s">
        <v>10751</v>
      </c>
      <c r="Q1756" t="s">
        <v>10786</v>
      </c>
      <c r="R1756" t="s">
        <v>10827</v>
      </c>
      <c r="T1756">
        <v>9600</v>
      </c>
      <c r="U1756">
        <v>800</v>
      </c>
      <c r="V1756">
        <v>56</v>
      </c>
      <c r="W1756">
        <v>1</v>
      </c>
      <c r="X1756">
        <v>0</v>
      </c>
      <c r="Y1756" t="s">
        <v>10829</v>
      </c>
      <c r="Z1756">
        <v>76.86</v>
      </c>
      <c r="AA1756">
        <v>40.603225</v>
      </c>
      <c r="AB1756">
        <v>-73.982372</v>
      </c>
      <c r="AD1756" t="s">
        <v>10839</v>
      </c>
      <c r="AG1756" t="s">
        <v>10858</v>
      </c>
      <c r="AH1756" t="s">
        <v>10863</v>
      </c>
      <c r="AI1756">
        <v>239</v>
      </c>
      <c r="AJ1756" t="s">
        <v>10213</v>
      </c>
      <c r="AK1756" t="s">
        <v>10882</v>
      </c>
      <c r="AL1756">
        <v>1.2</v>
      </c>
      <c r="AM1756" t="s">
        <v>10894</v>
      </c>
      <c r="AN1756" t="s">
        <v>10969</v>
      </c>
      <c r="AO1756" t="s">
        <v>11023</v>
      </c>
      <c r="AP1756" t="s">
        <v>11087</v>
      </c>
      <c r="AR1756" t="s">
        <v>11263</v>
      </c>
      <c r="AS1756" t="s">
        <v>11595</v>
      </c>
      <c r="AY1756" t="s">
        <v>10829</v>
      </c>
      <c r="AZ1756" t="s">
        <v>11682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</row>
    <row r="1757" spans="1:59">
      <c r="A1757" s="1">
        <f>HYPERLINK("https://lsnyc.legalserver.org/matter/dynamic-profile/view/1905637","19-1905637")</f>
        <v>0</v>
      </c>
      <c r="B1757" t="s">
        <v>1552</v>
      </c>
      <c r="C1757" t="s">
        <v>6371</v>
      </c>
      <c r="D1757" t="s">
        <v>9928</v>
      </c>
      <c r="E1757" t="s">
        <v>10075</v>
      </c>
      <c r="F1757">
        <v>11221</v>
      </c>
      <c r="G1757" t="s">
        <v>10093</v>
      </c>
      <c r="H1757" t="s">
        <v>10121</v>
      </c>
      <c r="I1757" t="s">
        <v>10168</v>
      </c>
      <c r="J1757" t="s">
        <v>10213</v>
      </c>
      <c r="K1757" t="s">
        <v>10217</v>
      </c>
      <c r="M1757" t="s">
        <v>10465</v>
      </c>
      <c r="N1757" t="s">
        <v>10664</v>
      </c>
      <c r="P1757" t="s">
        <v>10749</v>
      </c>
      <c r="Q1757" t="s">
        <v>10765</v>
      </c>
      <c r="R1757" t="s">
        <v>10821</v>
      </c>
      <c r="T1757">
        <v>2247.09</v>
      </c>
      <c r="U1757">
        <v>187.26</v>
      </c>
      <c r="V1757">
        <v>20</v>
      </c>
      <c r="W1757">
        <v>1</v>
      </c>
      <c r="X1757">
        <v>0</v>
      </c>
      <c r="Z1757">
        <v>17.99</v>
      </c>
      <c r="AA1757">
        <v>40.690475</v>
      </c>
      <c r="AB1757">
        <v>-73.94153900000001</v>
      </c>
      <c r="AD1757" t="s">
        <v>10839</v>
      </c>
      <c r="AG1757" t="s">
        <v>10858</v>
      </c>
      <c r="AH1757" t="s">
        <v>10862</v>
      </c>
      <c r="AI1757">
        <v>239</v>
      </c>
      <c r="AJ1757" t="s">
        <v>10213</v>
      </c>
      <c r="AL1757">
        <v>29.15</v>
      </c>
      <c r="AM1757" t="s">
        <v>10889</v>
      </c>
      <c r="AN1757" t="s">
        <v>10914</v>
      </c>
      <c r="AO1757" t="s">
        <v>11007</v>
      </c>
      <c r="AP1757" t="s">
        <v>11052</v>
      </c>
      <c r="AQ1757" t="s">
        <v>11101</v>
      </c>
      <c r="AR1757" t="s">
        <v>11257</v>
      </c>
      <c r="AS1757" t="s">
        <v>11595</v>
      </c>
      <c r="AX1757" t="s">
        <v>10838</v>
      </c>
      <c r="BA1757" t="s">
        <v>11738</v>
      </c>
      <c r="BB1757">
        <v>0</v>
      </c>
      <c r="BC1757">
        <v>0</v>
      </c>
      <c r="BD1757">
        <v>0</v>
      </c>
      <c r="BE1757">
        <v>0</v>
      </c>
      <c r="BF1757">
        <v>5</v>
      </c>
      <c r="BG1757">
        <v>0</v>
      </c>
    </row>
    <row r="1758" spans="1:59">
      <c r="A1758" s="1">
        <f>HYPERLINK("https://lsnyc.legalserver.org/matter/dynamic-profile/view/1905638","19-1905638")</f>
        <v>0</v>
      </c>
      <c r="B1758" t="s">
        <v>1553</v>
      </c>
      <c r="C1758" t="s">
        <v>6372</v>
      </c>
      <c r="D1758" t="s">
        <v>9929</v>
      </c>
      <c r="E1758" t="s">
        <v>10075</v>
      </c>
      <c r="F1758">
        <v>10301</v>
      </c>
      <c r="G1758" t="s">
        <v>10088</v>
      </c>
      <c r="H1758" t="s">
        <v>10121</v>
      </c>
      <c r="I1758" t="s">
        <v>10169</v>
      </c>
      <c r="J1758" t="s">
        <v>10208</v>
      </c>
      <c r="K1758" t="s">
        <v>10217</v>
      </c>
      <c r="M1758" t="s">
        <v>10376</v>
      </c>
      <c r="N1758" t="s">
        <v>10649</v>
      </c>
      <c r="P1758" t="s">
        <v>10753</v>
      </c>
      <c r="Q1758" t="s">
        <v>10763</v>
      </c>
      <c r="R1758" t="s">
        <v>10821</v>
      </c>
      <c r="T1758">
        <v>31200</v>
      </c>
      <c r="U1758">
        <v>2600</v>
      </c>
      <c r="V1758">
        <v>57</v>
      </c>
      <c r="W1758">
        <v>3</v>
      </c>
      <c r="X1758">
        <v>1</v>
      </c>
      <c r="Z1758">
        <v>121.17</v>
      </c>
      <c r="AA1758">
        <v>40.636494</v>
      </c>
      <c r="AB1758">
        <v>-74.088735</v>
      </c>
      <c r="AD1758" t="s">
        <v>10839</v>
      </c>
      <c r="AF1758" t="s">
        <v>10842</v>
      </c>
      <c r="AG1758" t="s">
        <v>10859</v>
      </c>
      <c r="AH1758" t="s">
        <v>10861</v>
      </c>
      <c r="AI1758">
        <v>285</v>
      </c>
      <c r="AJ1758" t="s">
        <v>10208</v>
      </c>
      <c r="AL1758">
        <v>1</v>
      </c>
      <c r="AM1758" t="s">
        <v>10883</v>
      </c>
      <c r="AN1758" t="s">
        <v>10913</v>
      </c>
      <c r="AO1758" t="s">
        <v>11006</v>
      </c>
      <c r="AP1758" t="s">
        <v>11051</v>
      </c>
      <c r="AR1758" t="s">
        <v>11257</v>
      </c>
      <c r="AS1758" t="s">
        <v>11593</v>
      </c>
      <c r="AT1758" t="s">
        <v>11641</v>
      </c>
      <c r="AX1758" t="s">
        <v>10838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</row>
    <row r="1759" spans="1:59">
      <c r="A1759" s="1">
        <f>HYPERLINK("https://lsnyc.legalserver.org/matter/dynamic-profile/view/1905639","19-1905639")</f>
        <v>0</v>
      </c>
      <c r="B1759" t="s">
        <v>1554</v>
      </c>
      <c r="C1759" t="s">
        <v>5892</v>
      </c>
      <c r="D1759" t="s">
        <v>9938</v>
      </c>
      <c r="E1759" t="s">
        <v>10075</v>
      </c>
      <c r="F1759">
        <v>11418</v>
      </c>
      <c r="G1759" t="s">
        <v>10091</v>
      </c>
      <c r="H1759" t="s">
        <v>10121</v>
      </c>
      <c r="I1759" t="s">
        <v>10180</v>
      </c>
      <c r="J1759" t="s">
        <v>10214</v>
      </c>
      <c r="K1759" t="s">
        <v>10217</v>
      </c>
      <c r="M1759" t="s">
        <v>10522</v>
      </c>
      <c r="N1759" t="s">
        <v>10646</v>
      </c>
      <c r="P1759" t="s">
        <v>10753</v>
      </c>
      <c r="Q1759" t="s">
        <v>10763</v>
      </c>
      <c r="R1759" t="s">
        <v>10826</v>
      </c>
      <c r="T1759">
        <v>40300</v>
      </c>
      <c r="U1759">
        <v>3358.33</v>
      </c>
      <c r="V1759">
        <v>16</v>
      </c>
      <c r="W1759">
        <v>1</v>
      </c>
      <c r="X1759">
        <v>1</v>
      </c>
      <c r="Z1759">
        <v>238.32</v>
      </c>
      <c r="AA1759">
        <v>40.69498</v>
      </c>
      <c r="AB1759">
        <v>-73.842096</v>
      </c>
      <c r="AD1759" t="s">
        <v>10839</v>
      </c>
      <c r="AF1759" t="s">
        <v>10842</v>
      </c>
      <c r="AG1759" t="s">
        <v>10859</v>
      </c>
      <c r="AH1759" t="s">
        <v>10864</v>
      </c>
      <c r="AI1759">
        <v>234</v>
      </c>
      <c r="AJ1759" t="s">
        <v>10214</v>
      </c>
      <c r="AL1759">
        <v>6.75</v>
      </c>
      <c r="AM1759" t="s">
        <v>10892</v>
      </c>
      <c r="AN1759" t="s">
        <v>10945</v>
      </c>
      <c r="AO1759" t="s">
        <v>11017</v>
      </c>
      <c r="AP1759" t="s">
        <v>11088</v>
      </c>
      <c r="AR1759" t="s">
        <v>11257</v>
      </c>
      <c r="AS1759" t="s">
        <v>11594</v>
      </c>
      <c r="BA1759" t="s">
        <v>11742</v>
      </c>
      <c r="BB1759">
        <v>0</v>
      </c>
      <c r="BC1759">
        <v>0</v>
      </c>
      <c r="BD1759">
        <v>0</v>
      </c>
      <c r="BE1759">
        <v>0</v>
      </c>
      <c r="BF1759">
        <v>7</v>
      </c>
      <c r="BG1759">
        <v>0</v>
      </c>
    </row>
    <row r="1760" spans="1:59">
      <c r="A1760" s="1">
        <f>HYPERLINK("https://lsnyc.legalserver.org/matter/dynamic-profile/view/1905640","19-1905640")</f>
        <v>0</v>
      </c>
      <c r="B1760" t="s">
        <v>1555</v>
      </c>
      <c r="C1760" t="s">
        <v>6372</v>
      </c>
      <c r="D1760" t="s">
        <v>9929</v>
      </c>
      <c r="E1760" t="s">
        <v>10075</v>
      </c>
      <c r="F1760">
        <v>10301</v>
      </c>
      <c r="G1760" t="s">
        <v>10088</v>
      </c>
      <c r="H1760" t="s">
        <v>10121</v>
      </c>
      <c r="I1760" t="s">
        <v>10169</v>
      </c>
      <c r="J1760" t="s">
        <v>10208</v>
      </c>
      <c r="K1760" t="s">
        <v>10217</v>
      </c>
      <c r="M1760" t="s">
        <v>10376</v>
      </c>
      <c r="N1760" t="s">
        <v>10649</v>
      </c>
      <c r="P1760" t="s">
        <v>10753</v>
      </c>
      <c r="Q1760" t="s">
        <v>10763</v>
      </c>
      <c r="R1760" t="s">
        <v>10821</v>
      </c>
      <c r="T1760">
        <v>31200</v>
      </c>
      <c r="U1760">
        <v>2600</v>
      </c>
      <c r="V1760">
        <v>58</v>
      </c>
      <c r="W1760">
        <v>3</v>
      </c>
      <c r="X1760">
        <v>1</v>
      </c>
      <c r="Z1760">
        <v>121.17</v>
      </c>
      <c r="AA1760">
        <v>40.636494</v>
      </c>
      <c r="AB1760">
        <v>-74.088735</v>
      </c>
      <c r="AD1760" t="s">
        <v>10839</v>
      </c>
      <c r="AF1760" t="s">
        <v>10842</v>
      </c>
      <c r="AG1760" t="s">
        <v>10859</v>
      </c>
      <c r="AH1760" t="s">
        <v>10861</v>
      </c>
      <c r="AI1760">
        <v>285</v>
      </c>
      <c r="AJ1760" t="s">
        <v>10208</v>
      </c>
      <c r="AL1760">
        <v>1</v>
      </c>
      <c r="AM1760" t="s">
        <v>10883</v>
      </c>
      <c r="AN1760" t="s">
        <v>10913</v>
      </c>
      <c r="AO1760" t="s">
        <v>11006</v>
      </c>
      <c r="AP1760" t="s">
        <v>11051</v>
      </c>
      <c r="AR1760" t="s">
        <v>11257</v>
      </c>
      <c r="AS1760" t="s">
        <v>11593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</row>
    <row r="1761" spans="1:59">
      <c r="A1761" s="1">
        <f>HYPERLINK("https://lsnyc.legalserver.org/matter/dynamic-profile/view/1905641","19-1905641")</f>
        <v>0</v>
      </c>
      <c r="B1761" t="s">
        <v>1464</v>
      </c>
      <c r="C1761" t="s">
        <v>6287</v>
      </c>
      <c r="D1761" t="s">
        <v>9926</v>
      </c>
      <c r="E1761" t="s">
        <v>10075</v>
      </c>
      <c r="F1761">
        <v>10454</v>
      </c>
      <c r="G1761" t="s">
        <v>10089</v>
      </c>
      <c r="H1761" t="s">
        <v>10130</v>
      </c>
      <c r="J1761" t="s">
        <v>10209</v>
      </c>
      <c r="K1761" t="s">
        <v>10217</v>
      </c>
      <c r="M1761" t="s">
        <v>10493</v>
      </c>
      <c r="N1761" t="s">
        <v>10707</v>
      </c>
      <c r="P1761" t="s">
        <v>10749</v>
      </c>
      <c r="Q1761" t="s">
        <v>10774</v>
      </c>
      <c r="R1761" t="s">
        <v>10821</v>
      </c>
      <c r="T1761">
        <v>9600</v>
      </c>
      <c r="U1761">
        <v>800</v>
      </c>
      <c r="V1761">
        <v>44</v>
      </c>
      <c r="W1761">
        <v>2</v>
      </c>
      <c r="X1761">
        <v>2</v>
      </c>
      <c r="Z1761">
        <v>37.28</v>
      </c>
      <c r="AA1761">
        <v>40.809256</v>
      </c>
      <c r="AB1761">
        <v>-73.92628999999999</v>
      </c>
      <c r="AD1761" t="s">
        <v>10839</v>
      </c>
      <c r="AG1761" t="s">
        <v>10858</v>
      </c>
      <c r="AH1761" t="s">
        <v>10868</v>
      </c>
      <c r="AI1761">
        <v>236</v>
      </c>
      <c r="AJ1761" t="s">
        <v>10209</v>
      </c>
      <c r="AL1761">
        <v>2.25</v>
      </c>
      <c r="AM1761" t="s">
        <v>10884</v>
      </c>
      <c r="AN1761" t="s">
        <v>10924</v>
      </c>
      <c r="AO1761" t="s">
        <v>11013</v>
      </c>
      <c r="AP1761" t="s">
        <v>11066</v>
      </c>
      <c r="AQ1761" t="s">
        <v>11195</v>
      </c>
      <c r="AR1761" t="s">
        <v>11298</v>
      </c>
      <c r="AS1761" t="s">
        <v>9926</v>
      </c>
      <c r="AT1761" t="s">
        <v>11641</v>
      </c>
      <c r="AX1761" t="s">
        <v>10838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</row>
    <row r="1762" spans="1:59">
      <c r="A1762" s="1">
        <f>HYPERLINK("https://lsnyc.legalserver.org/matter/dynamic-profile/view/1905643","19-1905643")</f>
        <v>0</v>
      </c>
      <c r="B1762" t="s">
        <v>1556</v>
      </c>
      <c r="C1762" t="s">
        <v>5601</v>
      </c>
      <c r="D1762" t="s">
        <v>9926</v>
      </c>
      <c r="E1762" t="s">
        <v>10075</v>
      </c>
      <c r="F1762">
        <v>10453</v>
      </c>
      <c r="G1762" t="s">
        <v>10090</v>
      </c>
      <c r="H1762" t="s">
        <v>10121</v>
      </c>
      <c r="I1762" t="s">
        <v>10169</v>
      </c>
      <c r="J1762" t="s">
        <v>10210</v>
      </c>
      <c r="K1762" t="s">
        <v>10217</v>
      </c>
      <c r="M1762" t="s">
        <v>10463</v>
      </c>
      <c r="N1762" t="s">
        <v>10650</v>
      </c>
      <c r="P1762" t="s">
        <v>10749</v>
      </c>
      <c r="Q1762" t="s">
        <v>10765</v>
      </c>
      <c r="R1762" t="s">
        <v>10821</v>
      </c>
      <c r="T1762">
        <v>20400</v>
      </c>
      <c r="U1762">
        <v>1700</v>
      </c>
      <c r="V1762">
        <v>54</v>
      </c>
      <c r="W1762">
        <v>2</v>
      </c>
      <c r="X1762">
        <v>4</v>
      </c>
      <c r="Z1762">
        <v>58.98</v>
      </c>
      <c r="AA1762">
        <v>40.846849</v>
      </c>
      <c r="AB1762">
        <v>-73.90953500000001</v>
      </c>
      <c r="AD1762" t="s">
        <v>10840</v>
      </c>
      <c r="AF1762" t="s">
        <v>10843</v>
      </c>
      <c r="AG1762" t="s">
        <v>10859</v>
      </c>
      <c r="AH1762" t="s">
        <v>10862</v>
      </c>
      <c r="AI1762">
        <v>230</v>
      </c>
      <c r="AJ1762" t="s">
        <v>10210</v>
      </c>
      <c r="AL1762">
        <v>0</v>
      </c>
      <c r="AM1762" t="s">
        <v>10884</v>
      </c>
      <c r="AN1762" t="s">
        <v>10931</v>
      </c>
      <c r="AO1762" t="s">
        <v>11000</v>
      </c>
      <c r="AP1762" t="s">
        <v>11045</v>
      </c>
      <c r="AR1762" t="s">
        <v>11268</v>
      </c>
      <c r="AS1762" t="s">
        <v>9926</v>
      </c>
      <c r="AT1762" t="s">
        <v>11642</v>
      </c>
      <c r="AX1762" t="s">
        <v>10838</v>
      </c>
      <c r="BA1762" t="s">
        <v>11739</v>
      </c>
      <c r="BB1762">
        <v>0</v>
      </c>
      <c r="BC1762">
        <v>0</v>
      </c>
      <c r="BD1762">
        <v>0</v>
      </c>
      <c r="BE1762">
        <v>0</v>
      </c>
      <c r="BF1762">
        <v>4</v>
      </c>
      <c r="BG1762">
        <v>0</v>
      </c>
    </row>
    <row r="1763" spans="1:59">
      <c r="A1763" s="1">
        <f>HYPERLINK("https://lsnyc.legalserver.org/matter/dynamic-profile/view/1905644","19-1905644")</f>
        <v>0</v>
      </c>
      <c r="B1763" t="s">
        <v>1557</v>
      </c>
      <c r="C1763" t="s">
        <v>6373</v>
      </c>
      <c r="D1763" t="s">
        <v>9928</v>
      </c>
      <c r="E1763" t="s">
        <v>10075</v>
      </c>
      <c r="F1763">
        <v>11238</v>
      </c>
      <c r="G1763" t="s">
        <v>10091</v>
      </c>
      <c r="H1763" t="s">
        <v>10121</v>
      </c>
      <c r="I1763" t="s">
        <v>10168</v>
      </c>
      <c r="J1763" t="s">
        <v>10211</v>
      </c>
      <c r="K1763" t="s">
        <v>10217</v>
      </c>
      <c r="M1763" t="s">
        <v>10231</v>
      </c>
      <c r="N1763" t="s">
        <v>10647</v>
      </c>
      <c r="P1763" t="s">
        <v>10752</v>
      </c>
      <c r="Q1763" t="s">
        <v>10762</v>
      </c>
      <c r="R1763" t="s">
        <v>10824</v>
      </c>
      <c r="T1763">
        <v>18000</v>
      </c>
      <c r="U1763">
        <v>1500</v>
      </c>
      <c r="V1763">
        <v>40</v>
      </c>
      <c r="W1763">
        <v>1</v>
      </c>
      <c r="X1763">
        <v>0</v>
      </c>
      <c r="Z1763">
        <v>144.12</v>
      </c>
      <c r="AA1763">
        <v>40.682695</v>
      </c>
      <c r="AB1763">
        <v>-73.960183</v>
      </c>
      <c r="AD1763" t="s">
        <v>10840</v>
      </c>
      <c r="AG1763" t="s">
        <v>10858</v>
      </c>
      <c r="AH1763" t="s">
        <v>10861</v>
      </c>
      <c r="AI1763">
        <v>234</v>
      </c>
      <c r="AJ1763" t="s">
        <v>10214</v>
      </c>
      <c r="AL1763">
        <v>1.4</v>
      </c>
      <c r="AM1763" t="s">
        <v>10889</v>
      </c>
      <c r="AN1763" t="s">
        <v>10923</v>
      </c>
      <c r="AO1763" t="s">
        <v>11007</v>
      </c>
      <c r="AP1763" t="s">
        <v>11061</v>
      </c>
      <c r="AR1763" t="s">
        <v>11257</v>
      </c>
      <c r="AS1763" t="s">
        <v>11595</v>
      </c>
      <c r="AT1763" t="s">
        <v>11642</v>
      </c>
      <c r="AX1763" t="s">
        <v>10837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</row>
    <row r="1764" spans="1:59">
      <c r="A1764" s="1">
        <f>HYPERLINK("https://lsnyc.legalserver.org/matter/dynamic-profile/view/1905646","19-1905646")</f>
        <v>0</v>
      </c>
      <c r="B1764" t="s">
        <v>1558</v>
      </c>
      <c r="C1764" t="s">
        <v>6374</v>
      </c>
      <c r="D1764" t="s">
        <v>9928</v>
      </c>
      <c r="E1764" t="s">
        <v>10075</v>
      </c>
      <c r="F1764">
        <v>11210</v>
      </c>
      <c r="G1764" t="s">
        <v>10093</v>
      </c>
      <c r="H1764" t="s">
        <v>10121</v>
      </c>
      <c r="I1764" t="s">
        <v>10169</v>
      </c>
      <c r="J1764" t="s">
        <v>10213</v>
      </c>
      <c r="K1764" t="s">
        <v>10217</v>
      </c>
      <c r="M1764" t="s">
        <v>10239</v>
      </c>
      <c r="N1764" t="s">
        <v>10671</v>
      </c>
      <c r="P1764" t="s">
        <v>10749</v>
      </c>
      <c r="Q1764" t="s">
        <v>10765</v>
      </c>
      <c r="R1764" t="s">
        <v>10821</v>
      </c>
      <c r="T1764">
        <v>0</v>
      </c>
      <c r="U1764">
        <v>0</v>
      </c>
      <c r="V1764">
        <v>58</v>
      </c>
      <c r="W1764">
        <v>1</v>
      </c>
      <c r="X1764">
        <v>0</v>
      </c>
      <c r="Z1764">
        <v>0</v>
      </c>
      <c r="AA1764">
        <v>40.635583</v>
      </c>
      <c r="AB1764">
        <v>-73.95370800000001</v>
      </c>
      <c r="AD1764" t="s">
        <v>10839</v>
      </c>
      <c r="AF1764" t="s">
        <v>10843</v>
      </c>
      <c r="AG1764" t="s">
        <v>10859</v>
      </c>
      <c r="AH1764" t="s">
        <v>10861</v>
      </c>
      <c r="AI1764">
        <v>234</v>
      </c>
      <c r="AJ1764" t="s">
        <v>10214</v>
      </c>
      <c r="AL1764">
        <v>10</v>
      </c>
      <c r="AM1764" t="s">
        <v>10888</v>
      </c>
      <c r="AN1764" t="s">
        <v>10932</v>
      </c>
      <c r="AO1764" t="s">
        <v>11008</v>
      </c>
      <c r="AP1764" t="s">
        <v>11065</v>
      </c>
      <c r="AR1764" t="s">
        <v>11267</v>
      </c>
      <c r="AS1764" t="s">
        <v>11595</v>
      </c>
      <c r="AT1764" t="s">
        <v>11641</v>
      </c>
      <c r="AX1764" t="s">
        <v>10838</v>
      </c>
      <c r="BA1764" t="s">
        <v>11741</v>
      </c>
      <c r="BB1764">
        <v>0</v>
      </c>
      <c r="BC1764">
        <v>0</v>
      </c>
      <c r="BD1764">
        <v>0</v>
      </c>
      <c r="BE1764">
        <v>0</v>
      </c>
      <c r="BF1764">
        <v>1</v>
      </c>
      <c r="BG1764">
        <v>0</v>
      </c>
    </row>
    <row r="1765" spans="1:59">
      <c r="A1765" s="1">
        <f>HYPERLINK("https://lsnyc.legalserver.org/matter/dynamic-profile/view/1905647","19-1905647")</f>
        <v>0</v>
      </c>
      <c r="B1765" t="s">
        <v>1556</v>
      </c>
      <c r="C1765" t="s">
        <v>5601</v>
      </c>
      <c r="D1765" t="s">
        <v>9926</v>
      </c>
      <c r="E1765" t="s">
        <v>10075</v>
      </c>
      <c r="F1765">
        <v>10453</v>
      </c>
      <c r="G1765" t="s">
        <v>10090</v>
      </c>
      <c r="H1765" t="s">
        <v>10121</v>
      </c>
      <c r="I1765" t="s">
        <v>10169</v>
      </c>
      <c r="J1765" t="s">
        <v>10210</v>
      </c>
      <c r="K1765" t="s">
        <v>10217</v>
      </c>
      <c r="M1765" t="s">
        <v>10463</v>
      </c>
      <c r="N1765" t="s">
        <v>10650</v>
      </c>
      <c r="P1765" t="s">
        <v>10749</v>
      </c>
      <c r="Q1765" t="s">
        <v>10765</v>
      </c>
      <c r="R1765" t="s">
        <v>10821</v>
      </c>
      <c r="T1765">
        <v>20400</v>
      </c>
      <c r="U1765">
        <v>1700</v>
      </c>
      <c r="V1765">
        <v>54</v>
      </c>
      <c r="W1765">
        <v>2</v>
      </c>
      <c r="X1765">
        <v>4</v>
      </c>
      <c r="Z1765">
        <v>58.98</v>
      </c>
      <c r="AA1765">
        <v>40.846849</v>
      </c>
      <c r="AB1765">
        <v>-73.90953500000001</v>
      </c>
      <c r="AD1765" t="s">
        <v>10840</v>
      </c>
      <c r="AF1765" t="s">
        <v>10843</v>
      </c>
      <c r="AG1765" t="s">
        <v>10859</v>
      </c>
      <c r="AH1765" t="s">
        <v>10862</v>
      </c>
      <c r="AI1765">
        <v>230</v>
      </c>
      <c r="AJ1765" t="s">
        <v>10210</v>
      </c>
      <c r="AL1765">
        <v>0</v>
      </c>
      <c r="AM1765" t="s">
        <v>10884</v>
      </c>
      <c r="AN1765" t="s">
        <v>10931</v>
      </c>
      <c r="AO1765" t="s">
        <v>11000</v>
      </c>
      <c r="AP1765" t="s">
        <v>11045</v>
      </c>
      <c r="AR1765" t="s">
        <v>11268</v>
      </c>
      <c r="AS1765" t="s">
        <v>9926</v>
      </c>
      <c r="AT1765" t="s">
        <v>11642</v>
      </c>
      <c r="AX1765" t="s">
        <v>10838</v>
      </c>
      <c r="BA1765" t="s">
        <v>11739</v>
      </c>
      <c r="BB1765">
        <v>0</v>
      </c>
      <c r="BC1765">
        <v>0</v>
      </c>
      <c r="BD1765">
        <v>0</v>
      </c>
      <c r="BE1765">
        <v>0</v>
      </c>
      <c r="BF1765">
        <v>4</v>
      </c>
      <c r="BG1765">
        <v>0</v>
      </c>
    </row>
    <row r="1766" spans="1:59">
      <c r="A1766" s="1">
        <f>HYPERLINK("https://lsnyc.legalserver.org/matter/dynamic-profile/view/1905648","19-1905648")</f>
        <v>0</v>
      </c>
      <c r="B1766" t="s">
        <v>1559</v>
      </c>
      <c r="C1766" t="s">
        <v>6375</v>
      </c>
      <c r="D1766" t="s">
        <v>9926</v>
      </c>
      <c r="E1766" t="s">
        <v>10075</v>
      </c>
      <c r="F1766">
        <v>10457</v>
      </c>
      <c r="G1766" t="s">
        <v>10090</v>
      </c>
      <c r="H1766" t="s">
        <v>10121</v>
      </c>
      <c r="I1766" t="s">
        <v>10168</v>
      </c>
      <c r="J1766" t="s">
        <v>10210</v>
      </c>
      <c r="K1766" t="s">
        <v>10217</v>
      </c>
      <c r="M1766" t="s">
        <v>10399</v>
      </c>
      <c r="N1766" t="s">
        <v>10651</v>
      </c>
      <c r="P1766" t="s">
        <v>10749</v>
      </c>
      <c r="Q1766" t="s">
        <v>10765</v>
      </c>
      <c r="R1766" t="s">
        <v>10824</v>
      </c>
      <c r="T1766">
        <v>6000</v>
      </c>
      <c r="U1766">
        <v>500</v>
      </c>
      <c r="V1766">
        <v>64</v>
      </c>
      <c r="W1766">
        <v>1</v>
      </c>
      <c r="X1766">
        <v>0</v>
      </c>
      <c r="Z1766">
        <v>48.04</v>
      </c>
      <c r="AA1766">
        <v>40.849507</v>
      </c>
      <c r="AB1766">
        <v>-73.904338</v>
      </c>
      <c r="AD1766" t="s">
        <v>10839</v>
      </c>
      <c r="AG1766" t="s">
        <v>10858</v>
      </c>
      <c r="AH1766" t="s">
        <v>10862</v>
      </c>
      <c r="AI1766">
        <v>230</v>
      </c>
      <c r="AJ1766" t="s">
        <v>10210</v>
      </c>
      <c r="AL1766">
        <v>7.3</v>
      </c>
      <c r="AM1766" t="s">
        <v>10884</v>
      </c>
      <c r="AN1766" t="s">
        <v>10931</v>
      </c>
      <c r="AO1766" t="s">
        <v>11000</v>
      </c>
      <c r="AP1766" t="s">
        <v>11056</v>
      </c>
      <c r="AR1766" t="s">
        <v>11262</v>
      </c>
      <c r="AS1766" t="s">
        <v>9926</v>
      </c>
      <c r="AT1766" t="s">
        <v>11641</v>
      </c>
      <c r="BA1766" t="s">
        <v>11738</v>
      </c>
      <c r="BB1766">
        <v>0</v>
      </c>
      <c r="BC1766">
        <v>0</v>
      </c>
      <c r="BD1766">
        <v>0</v>
      </c>
      <c r="BE1766">
        <v>0</v>
      </c>
      <c r="BF1766">
        <v>5</v>
      </c>
      <c r="BG1766">
        <v>0</v>
      </c>
    </row>
    <row r="1767" spans="1:59">
      <c r="A1767" s="1">
        <f>HYPERLINK("https://lsnyc.legalserver.org/matter/dynamic-profile/view/1905649","19-1905649")</f>
        <v>0</v>
      </c>
      <c r="B1767" t="s">
        <v>1552</v>
      </c>
      <c r="C1767" t="s">
        <v>6371</v>
      </c>
      <c r="D1767" t="s">
        <v>9928</v>
      </c>
      <c r="E1767" t="s">
        <v>10075</v>
      </c>
      <c r="F1767">
        <v>11221</v>
      </c>
      <c r="G1767" t="s">
        <v>10093</v>
      </c>
      <c r="H1767" t="s">
        <v>10121</v>
      </c>
      <c r="I1767" t="s">
        <v>10168</v>
      </c>
      <c r="J1767" t="s">
        <v>10213</v>
      </c>
      <c r="K1767" t="s">
        <v>10217</v>
      </c>
      <c r="M1767" t="s">
        <v>10265</v>
      </c>
      <c r="N1767" t="s">
        <v>10668</v>
      </c>
      <c r="P1767" t="s">
        <v>10751</v>
      </c>
      <c r="Q1767" t="s">
        <v>10761</v>
      </c>
      <c r="R1767" t="s">
        <v>10821</v>
      </c>
      <c r="T1767">
        <v>2247.09</v>
      </c>
      <c r="U1767">
        <v>187.26</v>
      </c>
      <c r="V1767">
        <v>20</v>
      </c>
      <c r="W1767">
        <v>1</v>
      </c>
      <c r="X1767">
        <v>0</v>
      </c>
      <c r="Z1767">
        <v>17.99</v>
      </c>
      <c r="AA1767">
        <v>40.690475</v>
      </c>
      <c r="AB1767">
        <v>-73.94153900000001</v>
      </c>
      <c r="AD1767" t="s">
        <v>10839</v>
      </c>
      <c r="AG1767" t="s">
        <v>10858</v>
      </c>
      <c r="AH1767" t="s">
        <v>10862</v>
      </c>
      <c r="AI1767">
        <v>239</v>
      </c>
      <c r="AJ1767" t="s">
        <v>10213</v>
      </c>
      <c r="AL1767">
        <v>15.85</v>
      </c>
      <c r="AM1767" t="s">
        <v>10889</v>
      </c>
      <c r="AN1767" t="s">
        <v>10914</v>
      </c>
      <c r="AO1767" t="s">
        <v>11007</v>
      </c>
      <c r="AP1767" t="s">
        <v>11052</v>
      </c>
      <c r="AR1767" t="s">
        <v>11257</v>
      </c>
      <c r="AS1767" t="s">
        <v>11595</v>
      </c>
      <c r="BA1767" t="s">
        <v>11737</v>
      </c>
      <c r="BB1767">
        <v>0</v>
      </c>
      <c r="BC1767">
        <v>0</v>
      </c>
      <c r="BD1767">
        <v>0</v>
      </c>
      <c r="BE1767">
        <v>0</v>
      </c>
      <c r="BF1767">
        <v>3</v>
      </c>
      <c r="BG1767">
        <v>0</v>
      </c>
    </row>
    <row r="1768" spans="1:59">
      <c r="A1768" s="1">
        <f>HYPERLINK("https://lsnyc.legalserver.org/matter/dynamic-profile/view/1905650","19-1905650")</f>
        <v>0</v>
      </c>
      <c r="B1768" t="s">
        <v>1560</v>
      </c>
      <c r="C1768" t="s">
        <v>5601</v>
      </c>
      <c r="D1768" t="s">
        <v>9926</v>
      </c>
      <c r="E1768" t="s">
        <v>10075</v>
      </c>
      <c r="F1768">
        <v>10453</v>
      </c>
      <c r="G1768" t="s">
        <v>10090</v>
      </c>
      <c r="H1768" t="s">
        <v>10121</v>
      </c>
      <c r="I1768" t="s">
        <v>10169</v>
      </c>
      <c r="J1768" t="s">
        <v>10210</v>
      </c>
      <c r="K1768" t="s">
        <v>10217</v>
      </c>
      <c r="M1768" t="s">
        <v>10463</v>
      </c>
      <c r="N1768" t="s">
        <v>10650</v>
      </c>
      <c r="P1768" t="s">
        <v>10749</v>
      </c>
      <c r="Q1768" t="s">
        <v>10765</v>
      </c>
      <c r="R1768" t="s">
        <v>10823</v>
      </c>
      <c r="T1768">
        <v>20400</v>
      </c>
      <c r="U1768">
        <v>1700</v>
      </c>
      <c r="V1768">
        <v>34</v>
      </c>
      <c r="W1768">
        <v>1</v>
      </c>
      <c r="X1768">
        <v>1</v>
      </c>
      <c r="Z1768">
        <v>120.64</v>
      </c>
      <c r="AA1768">
        <v>40.846849</v>
      </c>
      <c r="AB1768">
        <v>-73.90953500000001</v>
      </c>
      <c r="AD1768" t="s">
        <v>10839</v>
      </c>
      <c r="AG1768" t="s">
        <v>10858</v>
      </c>
      <c r="AH1768" t="s">
        <v>10862</v>
      </c>
      <c r="AI1768">
        <v>230</v>
      </c>
      <c r="AJ1768" t="s">
        <v>10210</v>
      </c>
      <c r="AL1768">
        <v>0</v>
      </c>
      <c r="AM1768" t="s">
        <v>10884</v>
      </c>
      <c r="AN1768" t="s">
        <v>10931</v>
      </c>
      <c r="AO1768" t="s">
        <v>11000</v>
      </c>
      <c r="AP1768" t="s">
        <v>11045</v>
      </c>
      <c r="AR1768" t="s">
        <v>11268</v>
      </c>
      <c r="AS1768" t="s">
        <v>9926</v>
      </c>
      <c r="AT1768" t="s">
        <v>11641</v>
      </c>
      <c r="AX1768" t="s">
        <v>10838</v>
      </c>
      <c r="BA1768" t="s">
        <v>11739</v>
      </c>
      <c r="BB1768">
        <v>0</v>
      </c>
      <c r="BC1768">
        <v>0</v>
      </c>
      <c r="BD1768">
        <v>0</v>
      </c>
      <c r="BE1768">
        <v>0</v>
      </c>
      <c r="BF1768">
        <v>4</v>
      </c>
      <c r="BG1768">
        <v>0</v>
      </c>
    </row>
    <row r="1769" spans="1:59">
      <c r="A1769" s="1">
        <f>HYPERLINK("https://lsnyc.legalserver.org/matter/dynamic-profile/view/1905651","19-1905651")</f>
        <v>0</v>
      </c>
      <c r="B1769" t="s">
        <v>1561</v>
      </c>
      <c r="C1769" t="s">
        <v>6376</v>
      </c>
      <c r="D1769" t="s">
        <v>9925</v>
      </c>
      <c r="E1769" t="s">
        <v>10075</v>
      </c>
      <c r="F1769">
        <v>10039</v>
      </c>
      <c r="G1769" t="s">
        <v>10089</v>
      </c>
      <c r="H1769" t="s">
        <v>10121</v>
      </c>
      <c r="I1769" t="s">
        <v>10168</v>
      </c>
      <c r="J1769" t="s">
        <v>10209</v>
      </c>
      <c r="K1769" t="s">
        <v>10217</v>
      </c>
      <c r="M1769" t="s">
        <v>10488</v>
      </c>
      <c r="N1769" t="s">
        <v>10679</v>
      </c>
      <c r="P1769" t="s">
        <v>10753</v>
      </c>
      <c r="Q1769" t="s">
        <v>10763</v>
      </c>
      <c r="R1769" t="s">
        <v>10824</v>
      </c>
      <c r="T1769">
        <v>0</v>
      </c>
      <c r="U1769">
        <v>0</v>
      </c>
      <c r="V1769">
        <v>18</v>
      </c>
      <c r="W1769">
        <v>1</v>
      </c>
      <c r="X1769">
        <v>0</v>
      </c>
      <c r="Z1769">
        <v>0</v>
      </c>
      <c r="AA1769">
        <v>40.82714</v>
      </c>
      <c r="AB1769">
        <v>-73.937842</v>
      </c>
      <c r="AD1769" t="s">
        <v>10839</v>
      </c>
      <c r="AF1769" t="s">
        <v>10843</v>
      </c>
      <c r="AG1769" t="s">
        <v>10859</v>
      </c>
      <c r="AH1769" t="s">
        <v>10861</v>
      </c>
      <c r="AI1769">
        <v>234</v>
      </c>
      <c r="AJ1769" t="s">
        <v>10214</v>
      </c>
      <c r="AL1769">
        <v>33.67</v>
      </c>
      <c r="AM1769" t="s">
        <v>10887</v>
      </c>
      <c r="AN1769" t="s">
        <v>10943</v>
      </c>
      <c r="AO1769" t="s">
        <v>11016</v>
      </c>
      <c r="AP1769" t="s">
        <v>11076</v>
      </c>
      <c r="AQ1769" t="s">
        <v>11119</v>
      </c>
      <c r="AR1769" t="s">
        <v>11267</v>
      </c>
      <c r="AS1769" t="s">
        <v>9925</v>
      </c>
      <c r="AT1769" t="s">
        <v>11641</v>
      </c>
      <c r="AX1769" t="s">
        <v>10838</v>
      </c>
      <c r="BA1769" t="s">
        <v>11743</v>
      </c>
      <c r="BB1769">
        <v>0</v>
      </c>
      <c r="BC1769">
        <v>0</v>
      </c>
      <c r="BD1769">
        <v>0</v>
      </c>
      <c r="BE1769">
        <v>0</v>
      </c>
      <c r="BF1769">
        <v>40</v>
      </c>
      <c r="BG1769">
        <v>0</v>
      </c>
    </row>
    <row r="1770" spans="1:59">
      <c r="A1770" s="1">
        <f>HYPERLINK("https://lsnyc.legalserver.org/matter/dynamic-profile/view/1905652","19-1905652")</f>
        <v>0</v>
      </c>
      <c r="B1770" t="s">
        <v>1562</v>
      </c>
      <c r="C1770" t="s">
        <v>6377</v>
      </c>
      <c r="D1770" t="s">
        <v>9928</v>
      </c>
      <c r="E1770" t="s">
        <v>10075</v>
      </c>
      <c r="F1770">
        <v>11203</v>
      </c>
      <c r="G1770" t="s">
        <v>10092</v>
      </c>
      <c r="H1770" t="s">
        <v>10121</v>
      </c>
      <c r="I1770" t="s">
        <v>10169</v>
      </c>
      <c r="J1770" t="s">
        <v>10212</v>
      </c>
      <c r="K1770" t="s">
        <v>10218</v>
      </c>
      <c r="L1770" t="s">
        <v>10158</v>
      </c>
      <c r="M1770" t="s">
        <v>10325</v>
      </c>
      <c r="N1770" t="s">
        <v>10657</v>
      </c>
      <c r="P1770" t="s">
        <v>10751</v>
      </c>
      <c r="Q1770" t="s">
        <v>10796</v>
      </c>
      <c r="R1770" t="s">
        <v>10821</v>
      </c>
      <c r="T1770">
        <v>486</v>
      </c>
      <c r="U1770">
        <v>40.5</v>
      </c>
      <c r="V1770">
        <v>52</v>
      </c>
      <c r="W1770">
        <v>1</v>
      </c>
      <c r="X1770">
        <v>0</v>
      </c>
      <c r="Y1770" t="s">
        <v>10829</v>
      </c>
      <c r="Z1770">
        <v>3.89</v>
      </c>
      <c r="AA1770">
        <v>40.658805</v>
      </c>
      <c r="AB1770">
        <v>-73.93079299999999</v>
      </c>
      <c r="AD1770" t="s">
        <v>10840</v>
      </c>
      <c r="AG1770" t="s">
        <v>10858</v>
      </c>
      <c r="AH1770" t="s">
        <v>10874</v>
      </c>
      <c r="AI1770">
        <v>237</v>
      </c>
      <c r="AJ1770" t="s">
        <v>10212</v>
      </c>
      <c r="AK1770" t="s">
        <v>10838</v>
      </c>
      <c r="AL1770">
        <v>0.75</v>
      </c>
      <c r="AM1770" t="s">
        <v>10888</v>
      </c>
      <c r="AN1770" t="s">
        <v>10925</v>
      </c>
      <c r="AO1770" t="s">
        <v>11005</v>
      </c>
      <c r="AP1770" t="s">
        <v>11064</v>
      </c>
      <c r="AR1770" t="s">
        <v>11255</v>
      </c>
      <c r="AS1770" t="s">
        <v>11595</v>
      </c>
      <c r="AY1770" t="s">
        <v>10829</v>
      </c>
      <c r="AZ1770" t="s">
        <v>11682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</row>
    <row r="1771" spans="1:59">
      <c r="A1771" s="1">
        <f>HYPERLINK("https://lsnyc.legalserver.org/matter/dynamic-profile/view/1905653","19-1905653")</f>
        <v>0</v>
      </c>
      <c r="B1771" t="s">
        <v>1563</v>
      </c>
      <c r="C1771" t="s">
        <v>6378</v>
      </c>
      <c r="D1771" t="s">
        <v>9936</v>
      </c>
      <c r="E1771" t="s">
        <v>10075</v>
      </c>
      <c r="F1771">
        <v>11106</v>
      </c>
      <c r="G1771" t="s">
        <v>10091</v>
      </c>
      <c r="H1771" t="s">
        <v>10121</v>
      </c>
      <c r="I1771" t="s">
        <v>10169</v>
      </c>
      <c r="J1771" t="s">
        <v>10214</v>
      </c>
      <c r="K1771" t="s">
        <v>10217</v>
      </c>
      <c r="M1771" t="s">
        <v>10286</v>
      </c>
      <c r="N1771" t="s">
        <v>10671</v>
      </c>
      <c r="P1771" t="s">
        <v>10751</v>
      </c>
      <c r="Q1771" t="s">
        <v>10768</v>
      </c>
      <c r="R1771" t="s">
        <v>10821</v>
      </c>
      <c r="T1771">
        <v>9000</v>
      </c>
      <c r="U1771">
        <v>750</v>
      </c>
      <c r="V1771">
        <v>63</v>
      </c>
      <c r="W1771">
        <v>1</v>
      </c>
      <c r="X1771">
        <v>0</v>
      </c>
      <c r="Z1771">
        <v>72.06</v>
      </c>
      <c r="AA1771">
        <v>40.761527</v>
      </c>
      <c r="AB1771">
        <v>-73.93658499999999</v>
      </c>
      <c r="AD1771" t="s">
        <v>10839</v>
      </c>
      <c r="AG1771" t="s">
        <v>10858</v>
      </c>
      <c r="AH1771" t="s">
        <v>10871</v>
      </c>
      <c r="AI1771">
        <v>234</v>
      </c>
      <c r="AJ1771" t="s">
        <v>10214</v>
      </c>
      <c r="AL1771">
        <v>1</v>
      </c>
      <c r="AM1771" t="s">
        <v>10891</v>
      </c>
      <c r="AN1771" t="s">
        <v>10961</v>
      </c>
      <c r="AO1771" t="s">
        <v>11003</v>
      </c>
      <c r="AP1771" t="s">
        <v>11047</v>
      </c>
      <c r="AR1771" t="s">
        <v>11254</v>
      </c>
      <c r="AS1771" t="s">
        <v>11594</v>
      </c>
      <c r="AT1771" t="s">
        <v>11641</v>
      </c>
      <c r="AX1771" t="s">
        <v>10838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</row>
    <row r="1772" spans="1:59">
      <c r="A1772" s="1">
        <f>HYPERLINK("https://lsnyc.legalserver.org/matter/dynamic-profile/view/1905655","19-1905655")</f>
        <v>0</v>
      </c>
      <c r="B1772" t="s">
        <v>561</v>
      </c>
      <c r="C1772" t="s">
        <v>6379</v>
      </c>
      <c r="D1772" t="s">
        <v>9997</v>
      </c>
      <c r="E1772" t="s">
        <v>10075</v>
      </c>
      <c r="F1772">
        <v>11414</v>
      </c>
      <c r="G1772" t="s">
        <v>10092</v>
      </c>
      <c r="H1772" t="s">
        <v>10121</v>
      </c>
      <c r="I1772" t="s">
        <v>10168</v>
      </c>
      <c r="J1772" t="s">
        <v>10212</v>
      </c>
      <c r="K1772" t="s">
        <v>10217</v>
      </c>
      <c r="M1772" t="s">
        <v>10441</v>
      </c>
      <c r="N1772" t="s">
        <v>10656</v>
      </c>
      <c r="P1772" t="s">
        <v>10751</v>
      </c>
      <c r="Q1772" t="s">
        <v>10768</v>
      </c>
      <c r="R1772" t="s">
        <v>10823</v>
      </c>
      <c r="T1772">
        <v>3678</v>
      </c>
      <c r="U1772">
        <v>306.5</v>
      </c>
      <c r="V1772">
        <v>35</v>
      </c>
      <c r="W1772">
        <v>1</v>
      </c>
      <c r="X1772">
        <v>0</v>
      </c>
      <c r="Z1772">
        <v>29.45</v>
      </c>
      <c r="AA1772">
        <v>40.6692</v>
      </c>
      <c r="AB1772">
        <v>-73.846497</v>
      </c>
      <c r="AD1772" t="s">
        <v>10839</v>
      </c>
      <c r="AG1772" t="s">
        <v>10858</v>
      </c>
      <c r="AH1772" t="s">
        <v>10871</v>
      </c>
      <c r="AI1772">
        <v>234</v>
      </c>
      <c r="AJ1772" t="s">
        <v>10214</v>
      </c>
      <c r="AL1772">
        <v>16.63</v>
      </c>
      <c r="AM1772" t="s">
        <v>10889</v>
      </c>
      <c r="AN1772" t="s">
        <v>10958</v>
      </c>
      <c r="AO1772" t="s">
        <v>11024</v>
      </c>
      <c r="AP1772" t="s">
        <v>11088</v>
      </c>
      <c r="AR1772" t="s">
        <v>11405</v>
      </c>
      <c r="AS1772" t="s">
        <v>11594</v>
      </c>
      <c r="AT1772" t="s">
        <v>11641</v>
      </c>
      <c r="AX1772" t="s">
        <v>10838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</row>
    <row r="1773" spans="1:59">
      <c r="A1773" s="1">
        <f>HYPERLINK("https://lsnyc.legalserver.org/matter/dynamic-profile/view/1905656","19-1905656")</f>
        <v>0</v>
      </c>
      <c r="B1773" t="s">
        <v>1395</v>
      </c>
      <c r="C1773" t="s">
        <v>6219</v>
      </c>
      <c r="D1773" t="s">
        <v>9928</v>
      </c>
      <c r="E1773" t="s">
        <v>10075</v>
      </c>
      <c r="F1773">
        <v>11233</v>
      </c>
      <c r="G1773" t="s">
        <v>10088</v>
      </c>
      <c r="H1773" t="s">
        <v>10106</v>
      </c>
      <c r="I1773" t="s">
        <v>10169</v>
      </c>
      <c r="J1773" t="s">
        <v>10208</v>
      </c>
      <c r="K1773" t="s">
        <v>10217</v>
      </c>
      <c r="M1773" t="s">
        <v>10542</v>
      </c>
      <c r="N1773" t="s">
        <v>10729</v>
      </c>
      <c r="P1773" t="s">
        <v>10754</v>
      </c>
      <c r="Q1773" t="s">
        <v>10766</v>
      </c>
      <c r="R1773" t="s">
        <v>10821</v>
      </c>
      <c r="T1773">
        <v>17992</v>
      </c>
      <c r="U1773">
        <v>1499.33</v>
      </c>
      <c r="V1773">
        <v>31</v>
      </c>
      <c r="W1773">
        <v>1</v>
      </c>
      <c r="X1773">
        <v>1</v>
      </c>
      <c r="Z1773">
        <v>106.4</v>
      </c>
      <c r="AA1773">
        <v>40.681771</v>
      </c>
      <c r="AB1773">
        <v>-73.923737</v>
      </c>
      <c r="AD1773" t="s">
        <v>10839</v>
      </c>
      <c r="AF1773" t="s">
        <v>10842</v>
      </c>
      <c r="AG1773" t="s">
        <v>10859</v>
      </c>
      <c r="AH1773" t="s">
        <v>10861</v>
      </c>
      <c r="AI1773">
        <v>285</v>
      </c>
      <c r="AJ1773" t="s">
        <v>10208</v>
      </c>
      <c r="AL1773">
        <v>30.2</v>
      </c>
      <c r="AM1773" t="s">
        <v>10889</v>
      </c>
      <c r="AN1773" t="s">
        <v>10922</v>
      </c>
      <c r="AO1773" t="s">
        <v>11007</v>
      </c>
      <c r="AP1773" t="s">
        <v>11064</v>
      </c>
      <c r="AQ1773" t="s">
        <v>11175</v>
      </c>
      <c r="AR1773" t="s">
        <v>11383</v>
      </c>
      <c r="AS1773" t="s">
        <v>11595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</row>
    <row r="1774" spans="1:59">
      <c r="A1774" s="1">
        <f>HYPERLINK("https://lsnyc.legalserver.org/matter/dynamic-profile/view/1905657","19-1905657")</f>
        <v>0</v>
      </c>
      <c r="B1774" t="s">
        <v>1564</v>
      </c>
      <c r="C1774" t="s">
        <v>6380</v>
      </c>
      <c r="D1774" t="s">
        <v>9925</v>
      </c>
      <c r="E1774" t="s">
        <v>10075</v>
      </c>
      <c r="F1774">
        <v>10026</v>
      </c>
      <c r="G1774" t="s">
        <v>10091</v>
      </c>
      <c r="H1774" t="s">
        <v>10121</v>
      </c>
      <c r="I1774" t="s">
        <v>10168</v>
      </c>
      <c r="J1774" t="s">
        <v>10214</v>
      </c>
      <c r="K1774" t="s">
        <v>10217</v>
      </c>
      <c r="M1774" t="s">
        <v>10286</v>
      </c>
      <c r="N1774" t="s">
        <v>10671</v>
      </c>
      <c r="P1774" t="s">
        <v>10752</v>
      </c>
      <c r="Q1774" t="s">
        <v>10762</v>
      </c>
      <c r="R1774" t="s">
        <v>10824</v>
      </c>
      <c r="T1774">
        <v>13608</v>
      </c>
      <c r="U1774">
        <v>1134</v>
      </c>
      <c r="V1774">
        <v>67</v>
      </c>
      <c r="W1774">
        <v>1</v>
      </c>
      <c r="X1774">
        <v>0</v>
      </c>
      <c r="Z1774">
        <v>108.95</v>
      </c>
      <c r="AA1774">
        <v>40.801431</v>
      </c>
      <c r="AB1774">
        <v>-73.950999</v>
      </c>
      <c r="AD1774" t="s">
        <v>10839</v>
      </c>
      <c r="AG1774" t="s">
        <v>10858</v>
      </c>
      <c r="AH1774" t="s">
        <v>10861</v>
      </c>
      <c r="AI1774">
        <v>234</v>
      </c>
      <c r="AJ1774" t="s">
        <v>10214</v>
      </c>
      <c r="AL1774">
        <v>0.5</v>
      </c>
      <c r="AM1774" t="s">
        <v>10887</v>
      </c>
      <c r="AN1774" t="s">
        <v>10936</v>
      </c>
      <c r="AO1774" t="s">
        <v>11016</v>
      </c>
      <c r="AP1774" t="s">
        <v>11076</v>
      </c>
      <c r="AR1774" t="s">
        <v>11298</v>
      </c>
      <c r="AS1774" t="s">
        <v>9925</v>
      </c>
      <c r="AT1774" t="s">
        <v>11641</v>
      </c>
      <c r="AX1774" t="s">
        <v>10838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</row>
    <row r="1775" spans="1:59">
      <c r="A1775" s="1">
        <f>HYPERLINK("https://lsnyc.legalserver.org/matter/dynamic-profile/view/1905658","19-1905658")</f>
        <v>0</v>
      </c>
      <c r="B1775" t="s">
        <v>1183</v>
      </c>
      <c r="C1775" t="s">
        <v>6031</v>
      </c>
      <c r="D1775" t="s">
        <v>9928</v>
      </c>
      <c r="E1775" t="s">
        <v>10075</v>
      </c>
      <c r="F1775">
        <v>11218</v>
      </c>
      <c r="G1775" t="s">
        <v>10093</v>
      </c>
      <c r="H1775" t="s">
        <v>10121</v>
      </c>
      <c r="I1775" t="s">
        <v>10168</v>
      </c>
      <c r="J1775" t="s">
        <v>10213</v>
      </c>
      <c r="K1775" t="s">
        <v>10218</v>
      </c>
      <c r="L1775" t="s">
        <v>10129</v>
      </c>
      <c r="M1775" t="s">
        <v>10317</v>
      </c>
      <c r="N1775" t="s">
        <v>10671</v>
      </c>
      <c r="P1775" t="s">
        <v>10751</v>
      </c>
      <c r="Q1775" t="s">
        <v>10761</v>
      </c>
      <c r="R1775" t="s">
        <v>10820</v>
      </c>
      <c r="T1775">
        <v>11616</v>
      </c>
      <c r="U1775">
        <v>968</v>
      </c>
      <c r="V1775">
        <v>59</v>
      </c>
      <c r="W1775">
        <v>1</v>
      </c>
      <c r="X1775">
        <v>0</v>
      </c>
      <c r="Y1775" t="s">
        <v>10829</v>
      </c>
      <c r="Z1775">
        <v>93</v>
      </c>
      <c r="AA1775">
        <v>40.636784</v>
      </c>
      <c r="AB1775">
        <v>-73.975909</v>
      </c>
      <c r="AD1775" t="s">
        <v>10839</v>
      </c>
      <c r="AG1775" t="s">
        <v>10858</v>
      </c>
      <c r="AH1775" t="s">
        <v>10861</v>
      </c>
      <c r="AI1775">
        <v>234</v>
      </c>
      <c r="AJ1775" t="s">
        <v>10214</v>
      </c>
      <c r="AK1775" t="s">
        <v>10838</v>
      </c>
      <c r="AL1775">
        <v>2.15</v>
      </c>
      <c r="AR1775" t="s">
        <v>11319</v>
      </c>
      <c r="AS1775" t="s">
        <v>11595</v>
      </c>
      <c r="AY1775" t="s">
        <v>10829</v>
      </c>
      <c r="AZ1775" t="s">
        <v>11682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</row>
    <row r="1776" spans="1:59">
      <c r="A1776" s="1">
        <f>HYPERLINK("https://lsnyc.legalserver.org/matter/dynamic-profile/view/1905659","19-1905659")</f>
        <v>0</v>
      </c>
      <c r="B1776" t="s">
        <v>1560</v>
      </c>
      <c r="C1776" t="s">
        <v>5601</v>
      </c>
      <c r="D1776" t="s">
        <v>9926</v>
      </c>
      <c r="E1776" t="s">
        <v>10075</v>
      </c>
      <c r="F1776">
        <v>10453</v>
      </c>
      <c r="G1776" t="s">
        <v>10090</v>
      </c>
      <c r="H1776" t="s">
        <v>10121</v>
      </c>
      <c r="I1776" t="s">
        <v>10169</v>
      </c>
      <c r="J1776" t="s">
        <v>10210</v>
      </c>
      <c r="K1776" t="s">
        <v>10217</v>
      </c>
      <c r="M1776" t="s">
        <v>10463</v>
      </c>
      <c r="N1776" t="s">
        <v>10650</v>
      </c>
      <c r="P1776" t="s">
        <v>10749</v>
      </c>
      <c r="Q1776" t="s">
        <v>10765</v>
      </c>
      <c r="R1776" t="s">
        <v>10823</v>
      </c>
      <c r="T1776">
        <v>26000</v>
      </c>
      <c r="U1776">
        <v>2166.67</v>
      </c>
      <c r="V1776">
        <v>34</v>
      </c>
      <c r="W1776">
        <v>1</v>
      </c>
      <c r="X1776">
        <v>1</v>
      </c>
      <c r="Z1776">
        <v>153.76</v>
      </c>
      <c r="AA1776">
        <v>40.846849</v>
      </c>
      <c r="AB1776">
        <v>-73.90953500000001</v>
      </c>
      <c r="AD1776" t="s">
        <v>10839</v>
      </c>
      <c r="AG1776" t="s">
        <v>10858</v>
      </c>
      <c r="AH1776" t="s">
        <v>10862</v>
      </c>
      <c r="AI1776">
        <v>230</v>
      </c>
      <c r="AJ1776" t="s">
        <v>10210</v>
      </c>
      <c r="AL1776">
        <v>0</v>
      </c>
      <c r="AM1776" t="s">
        <v>10884</v>
      </c>
      <c r="AN1776" t="s">
        <v>10931</v>
      </c>
      <c r="AO1776" t="s">
        <v>11000</v>
      </c>
      <c r="AP1776" t="s">
        <v>11045</v>
      </c>
      <c r="AR1776" t="s">
        <v>11257</v>
      </c>
      <c r="AS1776" t="s">
        <v>9926</v>
      </c>
      <c r="AT1776" t="s">
        <v>11641</v>
      </c>
      <c r="AX1776" t="s">
        <v>10838</v>
      </c>
      <c r="BA1776" t="s">
        <v>11739</v>
      </c>
      <c r="BB1776">
        <v>0</v>
      </c>
      <c r="BC1776">
        <v>0</v>
      </c>
      <c r="BD1776">
        <v>0</v>
      </c>
      <c r="BE1776">
        <v>0</v>
      </c>
      <c r="BF1776">
        <v>4</v>
      </c>
      <c r="BG1776">
        <v>0</v>
      </c>
    </row>
    <row r="1777" spans="1:59">
      <c r="A1777" s="1">
        <f>HYPERLINK("https://lsnyc.legalserver.org/matter/dynamic-profile/view/1905660","19-1905660")</f>
        <v>0</v>
      </c>
      <c r="B1777" t="s">
        <v>1557</v>
      </c>
      <c r="C1777" t="s">
        <v>6381</v>
      </c>
      <c r="D1777" t="s">
        <v>9928</v>
      </c>
      <c r="E1777" t="s">
        <v>10075</v>
      </c>
      <c r="F1777">
        <v>11229</v>
      </c>
      <c r="G1777" t="s">
        <v>10093</v>
      </c>
      <c r="H1777" t="s">
        <v>10121</v>
      </c>
      <c r="I1777" t="s">
        <v>10168</v>
      </c>
      <c r="J1777" t="s">
        <v>10213</v>
      </c>
      <c r="K1777" t="s">
        <v>10217</v>
      </c>
      <c r="M1777" t="s">
        <v>10435</v>
      </c>
      <c r="N1777" t="s">
        <v>10671</v>
      </c>
      <c r="P1777" t="s">
        <v>10750</v>
      </c>
      <c r="Q1777" t="s">
        <v>10760</v>
      </c>
      <c r="R1777" t="s">
        <v>10820</v>
      </c>
      <c r="T1777">
        <v>50400</v>
      </c>
      <c r="U1777">
        <v>4200</v>
      </c>
      <c r="V1777">
        <v>40</v>
      </c>
      <c r="W1777">
        <v>2</v>
      </c>
      <c r="X1777">
        <v>2</v>
      </c>
      <c r="Z1777">
        <v>195.73</v>
      </c>
      <c r="AA1777">
        <v>40.593541</v>
      </c>
      <c r="AB1777">
        <v>-73.94524699999999</v>
      </c>
      <c r="AD1777" t="s">
        <v>10840</v>
      </c>
      <c r="AG1777" t="s">
        <v>10858</v>
      </c>
      <c r="AH1777" t="s">
        <v>10871</v>
      </c>
      <c r="AI1777">
        <v>234</v>
      </c>
      <c r="AJ1777" t="s">
        <v>10214</v>
      </c>
      <c r="AL1777">
        <v>6.5</v>
      </c>
      <c r="AM1777" t="s">
        <v>10888</v>
      </c>
      <c r="AN1777" t="s">
        <v>10957</v>
      </c>
      <c r="AO1777" t="s">
        <v>11012</v>
      </c>
      <c r="AP1777" t="s">
        <v>11092</v>
      </c>
      <c r="AR1777" t="s">
        <v>11276</v>
      </c>
      <c r="AS1777" t="s">
        <v>11595</v>
      </c>
      <c r="AT1777" t="s">
        <v>11642</v>
      </c>
      <c r="AX1777" t="s">
        <v>10838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</row>
    <row r="1778" spans="1:59">
      <c r="A1778" s="1">
        <f>HYPERLINK("https://lsnyc.legalserver.org/matter/dynamic-profile/view/1905662","19-1905662")</f>
        <v>0</v>
      </c>
      <c r="B1778" t="s">
        <v>1565</v>
      </c>
      <c r="C1778" t="s">
        <v>6167</v>
      </c>
      <c r="D1778" t="s">
        <v>9929</v>
      </c>
      <c r="E1778" t="s">
        <v>10075</v>
      </c>
      <c r="F1778">
        <v>10304</v>
      </c>
      <c r="G1778" t="s">
        <v>10088</v>
      </c>
      <c r="H1778" t="s">
        <v>10141</v>
      </c>
      <c r="I1778" t="s">
        <v>10168</v>
      </c>
      <c r="J1778" t="s">
        <v>10208</v>
      </c>
      <c r="K1778" t="s">
        <v>10217</v>
      </c>
      <c r="M1778" t="s">
        <v>10240</v>
      </c>
      <c r="N1778" t="s">
        <v>10650</v>
      </c>
      <c r="P1778" t="s">
        <v>10749</v>
      </c>
      <c r="Q1778" t="s">
        <v>10765</v>
      </c>
      <c r="R1778" t="s">
        <v>10824</v>
      </c>
      <c r="T1778">
        <v>25000</v>
      </c>
      <c r="U1778">
        <v>2083.33</v>
      </c>
      <c r="V1778">
        <v>33</v>
      </c>
      <c r="W1778">
        <v>1</v>
      </c>
      <c r="X1778">
        <v>0</v>
      </c>
      <c r="Z1778">
        <v>200.16</v>
      </c>
      <c r="AA1778">
        <v>40.613808</v>
      </c>
      <c r="AB1778">
        <v>-74.082196</v>
      </c>
      <c r="AD1778" t="s">
        <v>10839</v>
      </c>
      <c r="AG1778" t="s">
        <v>10858</v>
      </c>
      <c r="AH1778" t="s">
        <v>10861</v>
      </c>
      <c r="AI1778">
        <v>285</v>
      </c>
      <c r="AJ1778" t="s">
        <v>10208</v>
      </c>
      <c r="AL1778">
        <v>7.35</v>
      </c>
      <c r="AM1778" t="s">
        <v>10883</v>
      </c>
      <c r="AN1778" t="s">
        <v>10913</v>
      </c>
      <c r="AO1778" t="s">
        <v>11006</v>
      </c>
      <c r="AP1778" t="s">
        <v>11051</v>
      </c>
      <c r="AR1778" t="s">
        <v>11257</v>
      </c>
      <c r="AS1778" t="s">
        <v>11593</v>
      </c>
      <c r="AT1778" t="s">
        <v>11641</v>
      </c>
      <c r="AX1778" t="s">
        <v>10838</v>
      </c>
      <c r="BA1778" t="s">
        <v>11738</v>
      </c>
      <c r="BB1778">
        <v>0</v>
      </c>
      <c r="BC1778">
        <v>0</v>
      </c>
      <c r="BD1778">
        <v>0</v>
      </c>
      <c r="BE1778">
        <v>0</v>
      </c>
      <c r="BF1778">
        <v>5</v>
      </c>
      <c r="BG1778">
        <v>0</v>
      </c>
    </row>
    <row r="1779" spans="1:59">
      <c r="A1779" s="1">
        <f>HYPERLINK("https://lsnyc.legalserver.org/matter/dynamic-profile/view/1905663","19-1905663")</f>
        <v>0</v>
      </c>
      <c r="B1779" t="s">
        <v>1566</v>
      </c>
      <c r="C1779" t="s">
        <v>5601</v>
      </c>
      <c r="D1779" t="s">
        <v>9926</v>
      </c>
      <c r="E1779" t="s">
        <v>10075</v>
      </c>
      <c r="F1779">
        <v>10453</v>
      </c>
      <c r="G1779" t="s">
        <v>10090</v>
      </c>
      <c r="H1779" t="s">
        <v>10121</v>
      </c>
      <c r="I1779" t="s">
        <v>10169</v>
      </c>
      <c r="J1779" t="s">
        <v>10210</v>
      </c>
      <c r="K1779" t="s">
        <v>10217</v>
      </c>
      <c r="M1779" t="s">
        <v>10463</v>
      </c>
      <c r="N1779" t="s">
        <v>10650</v>
      </c>
      <c r="P1779" t="s">
        <v>10749</v>
      </c>
      <c r="Q1779" t="s">
        <v>10765</v>
      </c>
      <c r="R1779" t="s">
        <v>10823</v>
      </c>
      <c r="T1779">
        <v>25000</v>
      </c>
      <c r="U1779">
        <v>2083.33</v>
      </c>
      <c r="V1779">
        <v>39</v>
      </c>
      <c r="W1779">
        <v>2</v>
      </c>
      <c r="X1779">
        <v>2</v>
      </c>
      <c r="Z1779">
        <v>97.09</v>
      </c>
      <c r="AA1779">
        <v>40.846849</v>
      </c>
      <c r="AB1779">
        <v>-73.90953500000001</v>
      </c>
      <c r="AD1779" t="s">
        <v>10840</v>
      </c>
      <c r="AG1779" t="s">
        <v>10858</v>
      </c>
      <c r="AH1779" t="s">
        <v>10862</v>
      </c>
      <c r="AI1779">
        <v>230</v>
      </c>
      <c r="AJ1779" t="s">
        <v>10210</v>
      </c>
      <c r="AL1779">
        <v>0</v>
      </c>
      <c r="AM1779" t="s">
        <v>10884</v>
      </c>
      <c r="AN1779" t="s">
        <v>10931</v>
      </c>
      <c r="AO1779" t="s">
        <v>11000</v>
      </c>
      <c r="AP1779" t="s">
        <v>11045</v>
      </c>
      <c r="AR1779" t="s">
        <v>11257</v>
      </c>
      <c r="AS1779" t="s">
        <v>9926</v>
      </c>
      <c r="AT1779" t="s">
        <v>11642</v>
      </c>
      <c r="AX1779" t="s">
        <v>10838</v>
      </c>
      <c r="BA1779" t="s">
        <v>11739</v>
      </c>
      <c r="BB1779">
        <v>0</v>
      </c>
      <c r="BC1779">
        <v>0</v>
      </c>
      <c r="BD1779">
        <v>0</v>
      </c>
      <c r="BE1779">
        <v>0</v>
      </c>
      <c r="BF1779">
        <v>4</v>
      </c>
      <c r="BG1779">
        <v>0</v>
      </c>
    </row>
    <row r="1780" spans="1:59">
      <c r="A1780" s="1">
        <f>HYPERLINK("https://lsnyc.legalserver.org/matter/dynamic-profile/view/1905665","19-1905665")</f>
        <v>0</v>
      </c>
      <c r="B1780" t="s">
        <v>642</v>
      </c>
      <c r="C1780" t="s">
        <v>6382</v>
      </c>
      <c r="D1780" t="s">
        <v>9926</v>
      </c>
      <c r="E1780" t="s">
        <v>10075</v>
      </c>
      <c r="F1780">
        <v>10453</v>
      </c>
      <c r="G1780" t="s">
        <v>10090</v>
      </c>
      <c r="H1780" t="s">
        <v>10121</v>
      </c>
      <c r="I1780" t="s">
        <v>10168</v>
      </c>
      <c r="J1780" t="s">
        <v>10210</v>
      </c>
      <c r="K1780" t="s">
        <v>10217</v>
      </c>
      <c r="M1780" t="s">
        <v>10477</v>
      </c>
      <c r="N1780" t="s">
        <v>10650</v>
      </c>
      <c r="P1780" t="s">
        <v>10749</v>
      </c>
      <c r="Q1780" t="s">
        <v>10765</v>
      </c>
      <c r="R1780" t="s">
        <v>10824</v>
      </c>
      <c r="T1780">
        <v>13000</v>
      </c>
      <c r="U1780">
        <v>1083.33</v>
      </c>
      <c r="V1780">
        <v>68</v>
      </c>
      <c r="W1780">
        <v>1</v>
      </c>
      <c r="X1780">
        <v>0</v>
      </c>
      <c r="Z1780">
        <v>104.08</v>
      </c>
      <c r="AA1780">
        <v>40.847867</v>
      </c>
      <c r="AB1780">
        <v>-73.909333</v>
      </c>
      <c r="AD1780" t="s">
        <v>10840</v>
      </c>
      <c r="AG1780" t="s">
        <v>10858</v>
      </c>
      <c r="AH1780" t="s">
        <v>10861</v>
      </c>
      <c r="AI1780">
        <v>234</v>
      </c>
      <c r="AJ1780" t="s">
        <v>10214</v>
      </c>
      <c r="AL1780">
        <v>1.66</v>
      </c>
      <c r="AM1780" t="s">
        <v>10884</v>
      </c>
      <c r="AN1780" t="s">
        <v>10931</v>
      </c>
      <c r="AO1780" t="s">
        <v>11000</v>
      </c>
      <c r="AP1780" t="s">
        <v>11045</v>
      </c>
      <c r="AR1780" t="s">
        <v>11262</v>
      </c>
      <c r="AS1780" t="s">
        <v>9926</v>
      </c>
      <c r="AT1780" t="s">
        <v>11642</v>
      </c>
      <c r="AX1780" t="s">
        <v>10838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</row>
    <row r="1781" spans="1:59">
      <c r="A1781" s="1">
        <f>HYPERLINK("https://lsnyc.legalserver.org/matter/dynamic-profile/view/1905666","19-1905666")</f>
        <v>0</v>
      </c>
      <c r="B1781" t="s">
        <v>1566</v>
      </c>
      <c r="C1781" t="s">
        <v>5601</v>
      </c>
      <c r="D1781" t="s">
        <v>9926</v>
      </c>
      <c r="E1781" t="s">
        <v>10075</v>
      </c>
      <c r="F1781">
        <v>10453</v>
      </c>
      <c r="G1781" t="s">
        <v>10090</v>
      </c>
      <c r="H1781" t="s">
        <v>10121</v>
      </c>
      <c r="I1781" t="s">
        <v>10169</v>
      </c>
      <c r="J1781" t="s">
        <v>10210</v>
      </c>
      <c r="K1781" t="s">
        <v>10217</v>
      </c>
      <c r="M1781" t="s">
        <v>10463</v>
      </c>
      <c r="N1781" t="s">
        <v>10650</v>
      </c>
      <c r="P1781" t="s">
        <v>10749</v>
      </c>
      <c r="Q1781" t="s">
        <v>10765</v>
      </c>
      <c r="R1781" t="s">
        <v>10823</v>
      </c>
      <c r="T1781">
        <v>25000</v>
      </c>
      <c r="U1781">
        <v>2083.33</v>
      </c>
      <c r="V1781">
        <v>39</v>
      </c>
      <c r="W1781">
        <v>2</v>
      </c>
      <c r="X1781">
        <v>2</v>
      </c>
      <c r="Z1781">
        <v>97.09</v>
      </c>
      <c r="AA1781">
        <v>40.846849</v>
      </c>
      <c r="AB1781">
        <v>-73.90953500000001</v>
      </c>
      <c r="AD1781" t="s">
        <v>10840</v>
      </c>
      <c r="AG1781" t="s">
        <v>10858</v>
      </c>
      <c r="AH1781" t="s">
        <v>10862</v>
      </c>
      <c r="AI1781">
        <v>230</v>
      </c>
      <c r="AJ1781" t="s">
        <v>10210</v>
      </c>
      <c r="AL1781">
        <v>0</v>
      </c>
      <c r="AM1781" t="s">
        <v>10884</v>
      </c>
      <c r="AN1781" t="s">
        <v>10931</v>
      </c>
      <c r="AO1781" t="s">
        <v>11000</v>
      </c>
      <c r="AP1781" t="s">
        <v>11045</v>
      </c>
      <c r="AR1781" t="s">
        <v>11257</v>
      </c>
      <c r="AS1781" t="s">
        <v>9926</v>
      </c>
      <c r="AT1781" t="s">
        <v>11642</v>
      </c>
      <c r="AX1781" t="s">
        <v>10838</v>
      </c>
      <c r="BA1781" t="s">
        <v>11739</v>
      </c>
      <c r="BB1781">
        <v>0</v>
      </c>
      <c r="BC1781">
        <v>0</v>
      </c>
      <c r="BD1781">
        <v>0</v>
      </c>
      <c r="BE1781">
        <v>0</v>
      </c>
      <c r="BF1781">
        <v>4</v>
      </c>
      <c r="BG1781">
        <v>0</v>
      </c>
    </row>
    <row r="1782" spans="1:59">
      <c r="A1782" s="1">
        <f>HYPERLINK("https://lsnyc.legalserver.org/matter/dynamic-profile/view/1905667","19-1905667")</f>
        <v>0</v>
      </c>
      <c r="B1782" t="s">
        <v>1567</v>
      </c>
      <c r="C1782" t="s">
        <v>6383</v>
      </c>
      <c r="D1782" t="s">
        <v>9948</v>
      </c>
      <c r="E1782" t="s">
        <v>10075</v>
      </c>
      <c r="F1782">
        <v>11691</v>
      </c>
      <c r="G1782" t="s">
        <v>10092</v>
      </c>
      <c r="H1782" t="s">
        <v>10121</v>
      </c>
      <c r="I1782" t="s">
        <v>10168</v>
      </c>
      <c r="J1782" t="s">
        <v>10212</v>
      </c>
      <c r="K1782" t="s">
        <v>10217</v>
      </c>
      <c r="M1782" t="s">
        <v>10408</v>
      </c>
      <c r="N1782" t="s">
        <v>10671</v>
      </c>
      <c r="P1782" t="s">
        <v>10751</v>
      </c>
      <c r="Q1782" t="s">
        <v>10761</v>
      </c>
      <c r="R1782" t="s">
        <v>10824</v>
      </c>
      <c r="T1782">
        <v>14400</v>
      </c>
      <c r="U1782">
        <v>1200</v>
      </c>
      <c r="V1782">
        <v>60</v>
      </c>
      <c r="W1782">
        <v>1</v>
      </c>
      <c r="X1782">
        <v>0</v>
      </c>
      <c r="Z1782">
        <v>115.29</v>
      </c>
      <c r="AA1782">
        <v>40.597147</v>
      </c>
      <c r="AB1782">
        <v>-73.772278</v>
      </c>
      <c r="AD1782" t="s">
        <v>10839</v>
      </c>
      <c r="AG1782" t="s">
        <v>10858</v>
      </c>
      <c r="AH1782" t="s">
        <v>10862</v>
      </c>
      <c r="AI1782">
        <v>237</v>
      </c>
      <c r="AJ1782" t="s">
        <v>10212</v>
      </c>
      <c r="AL1782">
        <v>0.3</v>
      </c>
      <c r="AM1782" t="s">
        <v>10892</v>
      </c>
      <c r="AN1782" t="s">
        <v>10930</v>
      </c>
      <c r="AO1782" t="s">
        <v>11017</v>
      </c>
      <c r="AP1782" t="s">
        <v>11082</v>
      </c>
      <c r="AR1782" t="s">
        <v>10180</v>
      </c>
      <c r="AS1782" t="s">
        <v>11594</v>
      </c>
      <c r="BA1782" t="s">
        <v>11737</v>
      </c>
      <c r="BB1782">
        <v>0</v>
      </c>
      <c r="BC1782">
        <v>0</v>
      </c>
      <c r="BD1782">
        <v>0</v>
      </c>
      <c r="BE1782">
        <v>0</v>
      </c>
      <c r="BF1782">
        <v>3</v>
      </c>
      <c r="BG1782">
        <v>0</v>
      </c>
    </row>
    <row r="1783" spans="1:59">
      <c r="A1783" s="1">
        <f>HYPERLINK("https://lsnyc.legalserver.org/matter/dynamic-profile/view/1905669","19-1905669")</f>
        <v>0</v>
      </c>
      <c r="B1783" t="s">
        <v>1568</v>
      </c>
      <c r="C1783" t="s">
        <v>6384</v>
      </c>
      <c r="D1783" t="s">
        <v>9928</v>
      </c>
      <c r="E1783" t="s">
        <v>10075</v>
      </c>
      <c r="F1783">
        <v>11236</v>
      </c>
      <c r="G1783" t="s">
        <v>10091</v>
      </c>
      <c r="H1783" t="s">
        <v>10121</v>
      </c>
      <c r="I1783" t="s">
        <v>10168</v>
      </c>
      <c r="J1783" t="s">
        <v>10211</v>
      </c>
      <c r="K1783" t="s">
        <v>10217</v>
      </c>
      <c r="M1783" t="s">
        <v>10231</v>
      </c>
      <c r="N1783" t="s">
        <v>10647</v>
      </c>
      <c r="P1783" t="s">
        <v>10752</v>
      </c>
      <c r="Q1783" t="s">
        <v>10762</v>
      </c>
      <c r="R1783" t="s">
        <v>10824</v>
      </c>
      <c r="T1783">
        <v>24000</v>
      </c>
      <c r="U1783">
        <v>2000</v>
      </c>
      <c r="V1783">
        <v>62</v>
      </c>
      <c r="W1783">
        <v>1</v>
      </c>
      <c r="X1783">
        <v>0</v>
      </c>
      <c r="Z1783">
        <v>192.15</v>
      </c>
      <c r="AA1783">
        <v>40.650472</v>
      </c>
      <c r="AB1783">
        <v>-73.915097</v>
      </c>
      <c r="AD1783" t="s">
        <v>10839</v>
      </c>
      <c r="AG1783" t="s">
        <v>10858</v>
      </c>
      <c r="AH1783" t="s">
        <v>10871</v>
      </c>
      <c r="AI1783">
        <v>234</v>
      </c>
      <c r="AJ1783" t="s">
        <v>10214</v>
      </c>
      <c r="AL1783">
        <v>1.4</v>
      </c>
      <c r="AM1783" t="s">
        <v>10889</v>
      </c>
      <c r="AN1783" t="s">
        <v>10925</v>
      </c>
      <c r="AO1783" t="s">
        <v>11008</v>
      </c>
      <c r="AP1783" t="s">
        <v>11060</v>
      </c>
      <c r="AR1783" t="s">
        <v>11276</v>
      </c>
      <c r="AS1783" t="s">
        <v>11595</v>
      </c>
      <c r="AT1783" t="s">
        <v>11641</v>
      </c>
      <c r="AX1783" t="s">
        <v>10838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</row>
    <row r="1784" spans="1:59">
      <c r="A1784" s="1">
        <f>HYPERLINK("https://lsnyc.legalserver.org/matter/dynamic-profile/view/1905671","19-1905671")</f>
        <v>0</v>
      </c>
      <c r="B1784" t="s">
        <v>1569</v>
      </c>
      <c r="C1784" t="s">
        <v>6385</v>
      </c>
      <c r="D1784" t="s">
        <v>9946</v>
      </c>
      <c r="E1784" t="s">
        <v>10075</v>
      </c>
      <c r="F1784">
        <v>11385</v>
      </c>
      <c r="G1784" t="s">
        <v>10092</v>
      </c>
      <c r="H1784" t="s">
        <v>10121</v>
      </c>
      <c r="I1784" t="s">
        <v>10168</v>
      </c>
      <c r="J1784" t="s">
        <v>10212</v>
      </c>
      <c r="K1784" t="s">
        <v>10217</v>
      </c>
      <c r="M1784" t="s">
        <v>10260</v>
      </c>
      <c r="N1784" t="s">
        <v>10665</v>
      </c>
      <c r="P1784" t="s">
        <v>10751</v>
      </c>
      <c r="Q1784" t="s">
        <v>10773</v>
      </c>
      <c r="R1784" t="s">
        <v>10821</v>
      </c>
      <c r="T1784">
        <v>0</v>
      </c>
      <c r="U1784">
        <v>0</v>
      </c>
      <c r="V1784">
        <v>34</v>
      </c>
      <c r="W1784">
        <v>1</v>
      </c>
      <c r="X1784">
        <v>0</v>
      </c>
      <c r="Z1784">
        <v>0</v>
      </c>
      <c r="AA1784">
        <v>40.696019</v>
      </c>
      <c r="AB1784">
        <v>-73.90206999999999</v>
      </c>
      <c r="AD1784" t="s">
        <v>10840</v>
      </c>
      <c r="AG1784" t="s">
        <v>10858</v>
      </c>
      <c r="AH1784" t="s">
        <v>10861</v>
      </c>
      <c r="AI1784">
        <v>234</v>
      </c>
      <c r="AJ1784" t="s">
        <v>10214</v>
      </c>
      <c r="AL1784">
        <v>14.75</v>
      </c>
      <c r="AM1784" t="s">
        <v>10886</v>
      </c>
      <c r="AN1784" t="s">
        <v>10945</v>
      </c>
      <c r="AO1784" t="s">
        <v>11003</v>
      </c>
      <c r="AP1784" t="s">
        <v>11071</v>
      </c>
      <c r="AR1784" t="s">
        <v>11267</v>
      </c>
      <c r="AS1784" t="s">
        <v>11594</v>
      </c>
      <c r="AT1784" t="s">
        <v>11642</v>
      </c>
      <c r="AX1784" t="s">
        <v>10838</v>
      </c>
      <c r="BA1784" t="s">
        <v>11741</v>
      </c>
      <c r="BB1784">
        <v>0</v>
      </c>
      <c r="BC1784">
        <v>0</v>
      </c>
      <c r="BD1784">
        <v>0</v>
      </c>
      <c r="BE1784">
        <v>0</v>
      </c>
      <c r="BF1784">
        <v>1</v>
      </c>
      <c r="BG1784">
        <v>0</v>
      </c>
    </row>
    <row r="1785" spans="1:59">
      <c r="A1785" s="1">
        <f>HYPERLINK("https://lsnyc.legalserver.org/matter/dynamic-profile/view/1905672","19-1905672")</f>
        <v>0</v>
      </c>
      <c r="B1785" t="s">
        <v>1570</v>
      </c>
      <c r="C1785" t="s">
        <v>6386</v>
      </c>
      <c r="D1785" t="s">
        <v>9925</v>
      </c>
      <c r="E1785" t="s">
        <v>10075</v>
      </c>
      <c r="F1785">
        <v>10025</v>
      </c>
      <c r="G1785" t="s">
        <v>10089</v>
      </c>
      <c r="H1785" t="s">
        <v>10121</v>
      </c>
      <c r="I1785" t="s">
        <v>10168</v>
      </c>
      <c r="J1785" t="s">
        <v>10209</v>
      </c>
      <c r="K1785" t="s">
        <v>10217</v>
      </c>
      <c r="M1785" t="s">
        <v>10332</v>
      </c>
      <c r="N1785" t="s">
        <v>10691</v>
      </c>
      <c r="P1785" t="s">
        <v>10749</v>
      </c>
      <c r="Q1785" t="s">
        <v>10765</v>
      </c>
      <c r="R1785" t="s">
        <v>10820</v>
      </c>
      <c r="T1785">
        <v>26000</v>
      </c>
      <c r="U1785">
        <v>2166.67</v>
      </c>
      <c r="V1785">
        <v>76</v>
      </c>
      <c r="W1785">
        <v>2</v>
      </c>
      <c r="X1785">
        <v>0</v>
      </c>
      <c r="Z1785">
        <v>153.76</v>
      </c>
      <c r="AA1785">
        <v>40.792404</v>
      </c>
      <c r="AB1785">
        <v>-73.97088599999999</v>
      </c>
      <c r="AC1785" t="s">
        <v>10837</v>
      </c>
      <c r="AD1785" t="s">
        <v>10840</v>
      </c>
      <c r="AG1785" t="s">
        <v>10858</v>
      </c>
      <c r="AH1785" t="s">
        <v>10861</v>
      </c>
      <c r="AI1785">
        <v>234</v>
      </c>
      <c r="AJ1785" t="s">
        <v>10214</v>
      </c>
      <c r="AL1785">
        <v>2.5</v>
      </c>
      <c r="AM1785" t="s">
        <v>10894</v>
      </c>
      <c r="AN1785" t="s">
        <v>10953</v>
      </c>
      <c r="AO1785" t="s">
        <v>11016</v>
      </c>
      <c r="AP1785" t="s">
        <v>11089</v>
      </c>
      <c r="AR1785" t="s">
        <v>11268</v>
      </c>
      <c r="AS1785" t="s">
        <v>9925</v>
      </c>
      <c r="AT1785" t="s">
        <v>11642</v>
      </c>
      <c r="AX1785" t="s">
        <v>10838</v>
      </c>
      <c r="BA1785" t="s">
        <v>11742</v>
      </c>
      <c r="BB1785">
        <v>0</v>
      </c>
      <c r="BC1785">
        <v>0</v>
      </c>
      <c r="BD1785">
        <v>0</v>
      </c>
      <c r="BE1785">
        <v>0</v>
      </c>
      <c r="BF1785">
        <v>7</v>
      </c>
      <c r="BG1785">
        <v>0</v>
      </c>
    </row>
    <row r="1786" spans="1:59">
      <c r="A1786" s="1">
        <f>HYPERLINK("https://lsnyc.legalserver.org/matter/dynamic-profile/view/1905673","19-1905673")</f>
        <v>0</v>
      </c>
      <c r="B1786" t="s">
        <v>1571</v>
      </c>
      <c r="C1786" t="s">
        <v>6387</v>
      </c>
      <c r="D1786" t="s">
        <v>9932</v>
      </c>
      <c r="E1786" t="s">
        <v>10075</v>
      </c>
      <c r="F1786">
        <v>11368</v>
      </c>
      <c r="G1786" t="s">
        <v>10091</v>
      </c>
      <c r="H1786" t="s">
        <v>10121</v>
      </c>
      <c r="I1786" t="s">
        <v>10169</v>
      </c>
      <c r="J1786" t="s">
        <v>10211</v>
      </c>
      <c r="K1786" t="s">
        <v>10217</v>
      </c>
      <c r="M1786" t="s">
        <v>10307</v>
      </c>
      <c r="N1786" t="s">
        <v>10671</v>
      </c>
      <c r="P1786" t="s">
        <v>10752</v>
      </c>
      <c r="Q1786" t="s">
        <v>10762</v>
      </c>
      <c r="R1786" t="s">
        <v>10821</v>
      </c>
      <c r="T1786">
        <v>0</v>
      </c>
      <c r="U1786">
        <v>0</v>
      </c>
      <c r="V1786">
        <v>28</v>
      </c>
      <c r="W1786">
        <v>1</v>
      </c>
      <c r="X1786">
        <v>2</v>
      </c>
      <c r="Z1786">
        <v>0</v>
      </c>
      <c r="AA1786">
        <v>40.744883</v>
      </c>
      <c r="AB1786">
        <v>-73.852705</v>
      </c>
      <c r="AD1786" t="s">
        <v>10839</v>
      </c>
      <c r="AG1786" t="s">
        <v>10858</v>
      </c>
      <c r="AH1786" t="s">
        <v>10861</v>
      </c>
      <c r="AI1786">
        <v>234</v>
      </c>
      <c r="AJ1786" t="s">
        <v>10214</v>
      </c>
      <c r="AL1786">
        <v>0.75</v>
      </c>
      <c r="AM1786" t="s">
        <v>10885</v>
      </c>
      <c r="AN1786" t="s">
        <v>10949</v>
      </c>
      <c r="AO1786" t="s">
        <v>11014</v>
      </c>
      <c r="AP1786" t="s">
        <v>11068</v>
      </c>
      <c r="AR1786" t="s">
        <v>11267</v>
      </c>
      <c r="AS1786" t="s">
        <v>11594</v>
      </c>
      <c r="AT1786" t="s">
        <v>11641</v>
      </c>
      <c r="AX1786" t="s">
        <v>10838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</row>
    <row r="1787" spans="1:59">
      <c r="A1787" s="1">
        <f>HYPERLINK("https://lsnyc.legalserver.org/matter/dynamic-profile/view/1905676","19-1905676")</f>
        <v>0</v>
      </c>
      <c r="B1787" t="s">
        <v>320</v>
      </c>
      <c r="C1787" t="s">
        <v>5249</v>
      </c>
      <c r="D1787" t="s">
        <v>9928</v>
      </c>
      <c r="E1787" t="s">
        <v>10075</v>
      </c>
      <c r="F1787">
        <v>11226</v>
      </c>
      <c r="G1787" t="s">
        <v>10093</v>
      </c>
      <c r="H1787" t="s">
        <v>10121</v>
      </c>
      <c r="I1787" t="s">
        <v>10177</v>
      </c>
      <c r="J1787" t="s">
        <v>10213</v>
      </c>
      <c r="K1787" t="s">
        <v>10217</v>
      </c>
      <c r="M1787" t="s">
        <v>10384</v>
      </c>
      <c r="N1787" t="s">
        <v>10650</v>
      </c>
      <c r="O1787" t="s">
        <v>10653</v>
      </c>
      <c r="P1787" t="s">
        <v>10749</v>
      </c>
      <c r="Q1787" t="s">
        <v>10765</v>
      </c>
      <c r="R1787" t="s">
        <v>10824</v>
      </c>
      <c r="T1787">
        <v>12000</v>
      </c>
      <c r="U1787">
        <v>1000</v>
      </c>
      <c r="V1787">
        <v>74</v>
      </c>
      <c r="W1787">
        <v>1</v>
      </c>
      <c r="X1787">
        <v>0</v>
      </c>
      <c r="Z1787">
        <v>96.08</v>
      </c>
      <c r="AA1787">
        <v>40.646763</v>
      </c>
      <c r="AB1787">
        <v>-73.962706</v>
      </c>
      <c r="AD1787" t="s">
        <v>10839</v>
      </c>
      <c r="AG1787" t="s">
        <v>10858</v>
      </c>
      <c r="AH1787" t="s">
        <v>10862</v>
      </c>
      <c r="AI1787">
        <v>239</v>
      </c>
      <c r="AJ1787" t="s">
        <v>10213</v>
      </c>
      <c r="AL1787">
        <v>0.2</v>
      </c>
      <c r="AM1787" t="s">
        <v>10888</v>
      </c>
      <c r="AN1787" t="s">
        <v>10932</v>
      </c>
      <c r="AO1787" t="s">
        <v>11008</v>
      </c>
      <c r="AP1787" t="s">
        <v>11050</v>
      </c>
      <c r="AR1787" t="s">
        <v>11300</v>
      </c>
      <c r="AS1787" t="s">
        <v>11595</v>
      </c>
      <c r="BA1787" t="s">
        <v>11739</v>
      </c>
      <c r="BB1787">
        <v>0</v>
      </c>
      <c r="BC1787">
        <v>0</v>
      </c>
      <c r="BD1787">
        <v>0</v>
      </c>
      <c r="BE1787">
        <v>0</v>
      </c>
      <c r="BF1787">
        <v>4</v>
      </c>
      <c r="BG1787">
        <v>0</v>
      </c>
    </row>
    <row r="1788" spans="1:59">
      <c r="A1788" s="1">
        <f>HYPERLINK("https://lsnyc.legalserver.org/matter/dynamic-profile/view/1905677","19-1905677")</f>
        <v>0</v>
      </c>
      <c r="B1788" t="s">
        <v>1572</v>
      </c>
      <c r="C1788" t="s">
        <v>6388</v>
      </c>
      <c r="D1788" t="s">
        <v>9928</v>
      </c>
      <c r="E1788" t="s">
        <v>10075</v>
      </c>
      <c r="F1788">
        <v>11212</v>
      </c>
      <c r="G1788" t="s">
        <v>10093</v>
      </c>
      <c r="H1788" t="s">
        <v>10121</v>
      </c>
      <c r="I1788" t="s">
        <v>10168</v>
      </c>
      <c r="J1788" t="s">
        <v>10213</v>
      </c>
      <c r="K1788" t="s">
        <v>10217</v>
      </c>
      <c r="M1788" t="s">
        <v>10505</v>
      </c>
      <c r="N1788" t="s">
        <v>10650</v>
      </c>
      <c r="P1788" t="s">
        <v>10749</v>
      </c>
      <c r="Q1788" t="s">
        <v>10765</v>
      </c>
      <c r="R1788" t="s">
        <v>10824</v>
      </c>
      <c r="T1788">
        <v>48550</v>
      </c>
      <c r="U1788">
        <v>4045.83</v>
      </c>
      <c r="V1788">
        <v>44</v>
      </c>
      <c r="W1788">
        <v>2</v>
      </c>
      <c r="X1788">
        <v>1</v>
      </c>
      <c r="Z1788">
        <v>227.61</v>
      </c>
      <c r="AA1788">
        <v>40.658633</v>
      </c>
      <c r="AB1788">
        <v>-73.916222</v>
      </c>
      <c r="AC1788" t="s">
        <v>10838</v>
      </c>
      <c r="AD1788" t="s">
        <v>10839</v>
      </c>
      <c r="AG1788" t="s">
        <v>10858</v>
      </c>
      <c r="AH1788" t="s">
        <v>10871</v>
      </c>
      <c r="AI1788">
        <v>234</v>
      </c>
      <c r="AJ1788" t="s">
        <v>10214</v>
      </c>
      <c r="AL1788">
        <v>0.75</v>
      </c>
      <c r="AM1788" t="s">
        <v>10888</v>
      </c>
      <c r="AN1788" t="s">
        <v>10925</v>
      </c>
      <c r="AO1788" t="s">
        <v>11005</v>
      </c>
      <c r="AP1788" t="s">
        <v>11064</v>
      </c>
      <c r="AR1788" t="s">
        <v>11435</v>
      </c>
      <c r="AS1788" t="s">
        <v>11595</v>
      </c>
      <c r="AT1788" t="s">
        <v>11641</v>
      </c>
      <c r="AX1788" t="s">
        <v>10838</v>
      </c>
      <c r="BA1788" t="s">
        <v>11741</v>
      </c>
      <c r="BB1788">
        <v>0</v>
      </c>
      <c r="BC1788">
        <v>0</v>
      </c>
      <c r="BD1788">
        <v>0</v>
      </c>
      <c r="BE1788">
        <v>0</v>
      </c>
      <c r="BF1788">
        <v>1</v>
      </c>
      <c r="BG1788">
        <v>0</v>
      </c>
    </row>
    <row r="1789" spans="1:59">
      <c r="A1789" s="1">
        <f>HYPERLINK("https://lsnyc.legalserver.org/matter/dynamic-profile/view/1905678","19-1905678")</f>
        <v>0</v>
      </c>
      <c r="B1789" t="s">
        <v>1573</v>
      </c>
      <c r="C1789" t="s">
        <v>6389</v>
      </c>
      <c r="D1789" t="s">
        <v>9928</v>
      </c>
      <c r="E1789" t="s">
        <v>10075</v>
      </c>
      <c r="F1789">
        <v>11207</v>
      </c>
      <c r="G1789" t="s">
        <v>10093</v>
      </c>
      <c r="H1789" t="s">
        <v>10121</v>
      </c>
      <c r="I1789" t="s">
        <v>10168</v>
      </c>
      <c r="J1789" t="s">
        <v>10213</v>
      </c>
      <c r="K1789" t="s">
        <v>10217</v>
      </c>
      <c r="M1789" t="s">
        <v>10315</v>
      </c>
      <c r="N1789" t="s">
        <v>10686</v>
      </c>
      <c r="P1789" t="s">
        <v>10750</v>
      </c>
      <c r="Q1789" t="s">
        <v>10778</v>
      </c>
      <c r="R1789" t="s">
        <v>10824</v>
      </c>
      <c r="T1789">
        <v>31200</v>
      </c>
      <c r="U1789">
        <v>2600</v>
      </c>
      <c r="V1789">
        <v>49</v>
      </c>
      <c r="W1789">
        <v>2</v>
      </c>
      <c r="X1789">
        <v>1</v>
      </c>
      <c r="Z1789">
        <v>146.27</v>
      </c>
      <c r="AA1789">
        <v>40.666233</v>
      </c>
      <c r="AB1789">
        <v>-73.89409000000001</v>
      </c>
      <c r="AD1789" t="s">
        <v>10839</v>
      </c>
      <c r="AG1789" t="s">
        <v>10858</v>
      </c>
      <c r="AH1789" t="s">
        <v>10861</v>
      </c>
      <c r="AI1789">
        <v>234</v>
      </c>
      <c r="AJ1789" t="s">
        <v>10214</v>
      </c>
      <c r="AL1789">
        <v>2.85</v>
      </c>
      <c r="AM1789" t="s">
        <v>10889</v>
      </c>
      <c r="AN1789" t="s">
        <v>10946</v>
      </c>
      <c r="AO1789" t="s">
        <v>11012</v>
      </c>
      <c r="AP1789" t="s">
        <v>11060</v>
      </c>
      <c r="AR1789" t="s">
        <v>11257</v>
      </c>
      <c r="AS1789" t="s">
        <v>11595</v>
      </c>
      <c r="AT1789" t="s">
        <v>11641</v>
      </c>
      <c r="AX1789" t="s">
        <v>10838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</row>
    <row r="1790" spans="1:59">
      <c r="A1790" s="1">
        <f>HYPERLINK("https://lsnyc.legalserver.org/matter/dynamic-profile/view/1905679","19-1905679")</f>
        <v>0</v>
      </c>
      <c r="B1790" t="s">
        <v>1574</v>
      </c>
      <c r="C1790" t="s">
        <v>5249</v>
      </c>
      <c r="D1790" t="s">
        <v>9928</v>
      </c>
      <c r="E1790" t="s">
        <v>10075</v>
      </c>
      <c r="F1790">
        <v>11226</v>
      </c>
      <c r="G1790" t="s">
        <v>10093</v>
      </c>
      <c r="H1790" t="s">
        <v>10121</v>
      </c>
      <c r="I1790" t="s">
        <v>10168</v>
      </c>
      <c r="J1790" t="s">
        <v>10213</v>
      </c>
      <c r="K1790" t="s">
        <v>10217</v>
      </c>
      <c r="M1790" t="s">
        <v>10384</v>
      </c>
      <c r="N1790" t="s">
        <v>10650</v>
      </c>
      <c r="O1790" t="s">
        <v>10653</v>
      </c>
      <c r="P1790" t="s">
        <v>10749</v>
      </c>
      <c r="Q1790" t="s">
        <v>10765</v>
      </c>
      <c r="R1790" t="s">
        <v>10820</v>
      </c>
      <c r="T1790">
        <v>90000</v>
      </c>
      <c r="U1790">
        <v>7500</v>
      </c>
      <c r="V1790">
        <v>35</v>
      </c>
      <c r="W1790">
        <v>2</v>
      </c>
      <c r="X1790">
        <v>0</v>
      </c>
      <c r="Z1790">
        <v>532.23</v>
      </c>
      <c r="AA1790">
        <v>40.646763</v>
      </c>
      <c r="AB1790">
        <v>-73.962706</v>
      </c>
      <c r="AD1790" t="s">
        <v>10839</v>
      </c>
      <c r="AG1790" t="s">
        <v>10858</v>
      </c>
      <c r="AH1790" t="s">
        <v>10862</v>
      </c>
      <c r="AI1790">
        <v>239</v>
      </c>
      <c r="AJ1790" t="s">
        <v>10213</v>
      </c>
      <c r="AL1790">
        <v>0.2</v>
      </c>
      <c r="AM1790" t="s">
        <v>10888</v>
      </c>
      <c r="AN1790" t="s">
        <v>10932</v>
      </c>
      <c r="AO1790" t="s">
        <v>11008</v>
      </c>
      <c r="AP1790" t="s">
        <v>11050</v>
      </c>
      <c r="AR1790" t="s">
        <v>11257</v>
      </c>
      <c r="AS1790" t="s">
        <v>11595</v>
      </c>
      <c r="BA1790" t="s">
        <v>11739</v>
      </c>
      <c r="BB1790">
        <v>0</v>
      </c>
      <c r="BC1790">
        <v>0</v>
      </c>
      <c r="BD1790">
        <v>0</v>
      </c>
      <c r="BE1790">
        <v>0</v>
      </c>
      <c r="BF1790">
        <v>4</v>
      </c>
      <c r="BG1790">
        <v>0</v>
      </c>
    </row>
    <row r="1791" spans="1:59">
      <c r="A1791" s="1">
        <f>HYPERLINK("https://lsnyc.legalserver.org/matter/dynamic-profile/view/1905680","19-1905680")</f>
        <v>0</v>
      </c>
      <c r="B1791" t="s">
        <v>1575</v>
      </c>
      <c r="C1791" t="s">
        <v>6390</v>
      </c>
      <c r="D1791" t="s">
        <v>9926</v>
      </c>
      <c r="E1791" t="s">
        <v>10075</v>
      </c>
      <c r="F1791">
        <v>10455</v>
      </c>
      <c r="G1791" t="s">
        <v>10090</v>
      </c>
      <c r="H1791" t="s">
        <v>10121</v>
      </c>
      <c r="I1791" t="s">
        <v>10169</v>
      </c>
      <c r="J1791" t="s">
        <v>10210</v>
      </c>
      <c r="K1791" t="s">
        <v>10217</v>
      </c>
      <c r="M1791" t="s">
        <v>10296</v>
      </c>
      <c r="N1791" t="s">
        <v>10673</v>
      </c>
      <c r="P1791" t="s">
        <v>10753</v>
      </c>
      <c r="Q1791" t="s">
        <v>10763</v>
      </c>
      <c r="R1791" t="s">
        <v>10821</v>
      </c>
      <c r="T1791">
        <v>0</v>
      </c>
      <c r="U1791">
        <v>0</v>
      </c>
      <c r="V1791">
        <v>32</v>
      </c>
      <c r="W1791">
        <v>1</v>
      </c>
      <c r="X1791">
        <v>1</v>
      </c>
      <c r="Z1791">
        <v>0</v>
      </c>
      <c r="AA1791">
        <v>40.816781</v>
      </c>
      <c r="AB1791">
        <v>-73.904521</v>
      </c>
      <c r="AD1791" t="s">
        <v>10839</v>
      </c>
      <c r="AF1791" t="s">
        <v>10842</v>
      </c>
      <c r="AG1791" t="s">
        <v>10859</v>
      </c>
      <c r="AH1791" t="s">
        <v>10864</v>
      </c>
      <c r="AI1791">
        <v>230</v>
      </c>
      <c r="AJ1791" t="s">
        <v>10210</v>
      </c>
      <c r="AL1791">
        <v>5.75</v>
      </c>
      <c r="AM1791" t="s">
        <v>10884</v>
      </c>
      <c r="AN1791" t="s">
        <v>10924</v>
      </c>
      <c r="AO1791" t="s">
        <v>11013</v>
      </c>
      <c r="AP1791" t="s">
        <v>11062</v>
      </c>
      <c r="AQ1791" t="s">
        <v>11109</v>
      </c>
      <c r="AR1791" t="s">
        <v>11267</v>
      </c>
      <c r="AS1791" t="s">
        <v>9926</v>
      </c>
      <c r="AT1791" t="s">
        <v>11641</v>
      </c>
      <c r="AV1791" t="s">
        <v>11656</v>
      </c>
      <c r="AW1791" t="s">
        <v>11645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</row>
    <row r="1792" spans="1:59">
      <c r="A1792" s="1">
        <f>HYPERLINK("https://lsnyc.legalserver.org/matter/dynamic-profile/view/1905681","19-1905681")</f>
        <v>0</v>
      </c>
      <c r="B1792" t="s">
        <v>1576</v>
      </c>
      <c r="C1792" t="s">
        <v>5249</v>
      </c>
      <c r="D1792" t="s">
        <v>9928</v>
      </c>
      <c r="E1792" t="s">
        <v>10075</v>
      </c>
      <c r="F1792">
        <v>11226</v>
      </c>
      <c r="G1792" t="s">
        <v>10093</v>
      </c>
      <c r="H1792" t="s">
        <v>10121</v>
      </c>
      <c r="I1792" t="s">
        <v>10169</v>
      </c>
      <c r="J1792" t="s">
        <v>10213</v>
      </c>
      <c r="K1792" t="s">
        <v>10217</v>
      </c>
      <c r="M1792" t="s">
        <v>10384</v>
      </c>
      <c r="N1792" t="s">
        <v>10650</v>
      </c>
      <c r="P1792" t="s">
        <v>10749</v>
      </c>
      <c r="Q1792" t="s">
        <v>10765</v>
      </c>
      <c r="R1792" t="s">
        <v>10821</v>
      </c>
      <c r="T1792">
        <v>26000</v>
      </c>
      <c r="U1792">
        <v>2166.67</v>
      </c>
      <c r="V1792">
        <v>70</v>
      </c>
      <c r="W1792">
        <v>4</v>
      </c>
      <c r="X1792">
        <v>0</v>
      </c>
      <c r="Z1792">
        <v>100.97</v>
      </c>
      <c r="AA1792">
        <v>40.646763</v>
      </c>
      <c r="AB1792">
        <v>-73.962706</v>
      </c>
      <c r="AD1792" t="s">
        <v>10839</v>
      </c>
      <c r="AG1792" t="s">
        <v>10858</v>
      </c>
      <c r="AH1792" t="s">
        <v>10862</v>
      </c>
      <c r="AI1792">
        <v>239</v>
      </c>
      <c r="AJ1792" t="s">
        <v>10213</v>
      </c>
      <c r="AL1792">
        <v>0.2</v>
      </c>
      <c r="AM1792" t="s">
        <v>10888</v>
      </c>
      <c r="AN1792" t="s">
        <v>10932</v>
      </c>
      <c r="AO1792" t="s">
        <v>11008</v>
      </c>
      <c r="AP1792" t="s">
        <v>11050</v>
      </c>
      <c r="AR1792" t="s">
        <v>11257</v>
      </c>
      <c r="AS1792" t="s">
        <v>11595</v>
      </c>
      <c r="BA1792" t="s">
        <v>11739</v>
      </c>
      <c r="BB1792">
        <v>0</v>
      </c>
      <c r="BC1792">
        <v>0</v>
      </c>
      <c r="BD1792">
        <v>0</v>
      </c>
      <c r="BE1792">
        <v>0</v>
      </c>
      <c r="BF1792">
        <v>4</v>
      </c>
      <c r="BG1792">
        <v>0</v>
      </c>
    </row>
    <row r="1793" spans="1:59">
      <c r="A1793" s="1">
        <f>HYPERLINK("https://lsnyc.legalserver.org/matter/dynamic-profile/view/1905682","19-1905682")</f>
        <v>0</v>
      </c>
      <c r="B1793" t="s">
        <v>1205</v>
      </c>
      <c r="C1793" t="s">
        <v>6391</v>
      </c>
      <c r="D1793" t="s">
        <v>9928</v>
      </c>
      <c r="E1793" t="s">
        <v>10075</v>
      </c>
      <c r="F1793">
        <v>11224</v>
      </c>
      <c r="G1793" t="s">
        <v>10093</v>
      </c>
      <c r="H1793" t="s">
        <v>10121</v>
      </c>
      <c r="I1793" t="s">
        <v>10168</v>
      </c>
      <c r="J1793" t="s">
        <v>10213</v>
      </c>
      <c r="K1793" t="s">
        <v>10218</v>
      </c>
      <c r="L1793" t="s">
        <v>10146</v>
      </c>
      <c r="M1793" t="s">
        <v>10414</v>
      </c>
      <c r="N1793" t="s">
        <v>10690</v>
      </c>
      <c r="P1793" t="s">
        <v>10751</v>
      </c>
      <c r="Q1793" t="s">
        <v>10786</v>
      </c>
      <c r="R1793" t="s">
        <v>10824</v>
      </c>
      <c r="T1793">
        <v>10920</v>
      </c>
      <c r="U1793">
        <v>910</v>
      </c>
      <c r="V1793">
        <v>56</v>
      </c>
      <c r="W1793">
        <v>1</v>
      </c>
      <c r="X1793">
        <v>0</v>
      </c>
      <c r="Y1793" t="s">
        <v>10829</v>
      </c>
      <c r="Z1793">
        <v>87.43000000000001</v>
      </c>
      <c r="AA1793">
        <v>40.57689</v>
      </c>
      <c r="AB1793">
        <v>-74.00157400000001</v>
      </c>
      <c r="AC1793" t="s">
        <v>10837</v>
      </c>
      <c r="AD1793" t="s">
        <v>10840</v>
      </c>
      <c r="AG1793" t="s">
        <v>10858</v>
      </c>
      <c r="AH1793" t="s">
        <v>10862</v>
      </c>
      <c r="AI1793">
        <v>239</v>
      </c>
      <c r="AJ1793" t="s">
        <v>10213</v>
      </c>
      <c r="AK1793" t="s">
        <v>10838</v>
      </c>
      <c r="AL1793">
        <v>2.2</v>
      </c>
      <c r="AM1793" t="s">
        <v>10889</v>
      </c>
      <c r="AN1793" t="s">
        <v>10960</v>
      </c>
      <c r="AO1793" t="s">
        <v>11006</v>
      </c>
      <c r="AP1793" t="s">
        <v>11087</v>
      </c>
      <c r="AR1793" t="s">
        <v>11257</v>
      </c>
      <c r="AS1793" t="s">
        <v>11595</v>
      </c>
      <c r="AT1793" t="s">
        <v>11642</v>
      </c>
      <c r="AY1793" t="s">
        <v>10829</v>
      </c>
      <c r="AZ1793" t="s">
        <v>11682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</row>
    <row r="1794" spans="1:59">
      <c r="A1794" s="1">
        <f>HYPERLINK("https://lsnyc.legalserver.org/matter/dynamic-profile/view/1905683","19-1905683")</f>
        <v>0</v>
      </c>
      <c r="B1794" t="s">
        <v>1577</v>
      </c>
      <c r="C1794" t="s">
        <v>6392</v>
      </c>
      <c r="D1794" t="s">
        <v>9926</v>
      </c>
      <c r="E1794" t="s">
        <v>10075</v>
      </c>
      <c r="F1794">
        <v>10472</v>
      </c>
      <c r="G1794" t="s">
        <v>10091</v>
      </c>
      <c r="H1794" t="s">
        <v>10121</v>
      </c>
      <c r="I1794" t="s">
        <v>10169</v>
      </c>
      <c r="J1794" t="s">
        <v>10214</v>
      </c>
      <c r="K1794" t="s">
        <v>10217</v>
      </c>
      <c r="M1794" t="s">
        <v>10286</v>
      </c>
      <c r="N1794" t="s">
        <v>10671</v>
      </c>
      <c r="P1794" t="s">
        <v>10749</v>
      </c>
      <c r="Q1794" t="s">
        <v>10765</v>
      </c>
      <c r="R1794" t="s">
        <v>10821</v>
      </c>
      <c r="T1794">
        <v>0</v>
      </c>
      <c r="U1794">
        <v>0</v>
      </c>
      <c r="V1794">
        <v>62</v>
      </c>
      <c r="W1794">
        <v>1</v>
      </c>
      <c r="X1794">
        <v>0</v>
      </c>
      <c r="Z1794">
        <v>0</v>
      </c>
      <c r="AA1794">
        <v>40.834307</v>
      </c>
      <c r="AB1794">
        <v>-73.870093</v>
      </c>
      <c r="AD1794" t="s">
        <v>10839</v>
      </c>
      <c r="AG1794" t="s">
        <v>10858</v>
      </c>
      <c r="AH1794" t="s">
        <v>10871</v>
      </c>
      <c r="AI1794">
        <v>234</v>
      </c>
      <c r="AJ1794" t="s">
        <v>10214</v>
      </c>
      <c r="AL1794">
        <v>1</v>
      </c>
      <c r="AM1794" t="s">
        <v>10884</v>
      </c>
      <c r="AN1794" t="s">
        <v>10908</v>
      </c>
      <c r="AO1794" t="s">
        <v>11001</v>
      </c>
      <c r="AP1794" t="s">
        <v>11046</v>
      </c>
      <c r="AR1794" t="s">
        <v>11279</v>
      </c>
      <c r="AS1794" t="s">
        <v>9926</v>
      </c>
      <c r="AT1794" t="s">
        <v>11641</v>
      </c>
      <c r="AX1794" t="s">
        <v>10838</v>
      </c>
      <c r="BA1794" t="s">
        <v>11741</v>
      </c>
      <c r="BB1794">
        <v>0</v>
      </c>
      <c r="BC1794">
        <v>0</v>
      </c>
      <c r="BD1794">
        <v>0</v>
      </c>
      <c r="BE1794">
        <v>0</v>
      </c>
      <c r="BF1794">
        <v>1</v>
      </c>
      <c r="BG1794">
        <v>0</v>
      </c>
    </row>
    <row r="1795" spans="1:59">
      <c r="A1795" s="1">
        <f>HYPERLINK("https://lsnyc.legalserver.org/matter/dynamic-profile/view/1905684","19-1905684")</f>
        <v>0</v>
      </c>
      <c r="B1795" t="s">
        <v>1578</v>
      </c>
      <c r="C1795" t="s">
        <v>6393</v>
      </c>
      <c r="D1795" t="s">
        <v>9928</v>
      </c>
      <c r="E1795" t="s">
        <v>10075</v>
      </c>
      <c r="F1795">
        <v>11212</v>
      </c>
      <c r="G1795" t="s">
        <v>10093</v>
      </c>
      <c r="H1795" t="s">
        <v>10129</v>
      </c>
      <c r="I1795" t="s">
        <v>10168</v>
      </c>
      <c r="J1795" t="s">
        <v>10213</v>
      </c>
      <c r="K1795" t="s">
        <v>10218</v>
      </c>
      <c r="L1795" t="s">
        <v>10129</v>
      </c>
      <c r="M1795" t="s">
        <v>10351</v>
      </c>
      <c r="N1795" t="s">
        <v>10696</v>
      </c>
      <c r="P1795" t="s">
        <v>10754</v>
      </c>
      <c r="Q1795" t="s">
        <v>10777</v>
      </c>
      <c r="R1795" t="s">
        <v>10824</v>
      </c>
      <c r="T1795">
        <v>27300</v>
      </c>
      <c r="U1795">
        <v>2275</v>
      </c>
      <c r="V1795">
        <v>26</v>
      </c>
      <c r="W1795">
        <v>2</v>
      </c>
      <c r="X1795">
        <v>2</v>
      </c>
      <c r="Y1795" t="s">
        <v>10829</v>
      </c>
      <c r="Z1795">
        <v>106.02</v>
      </c>
      <c r="AA1795">
        <v>40.67377</v>
      </c>
      <c r="AB1795">
        <v>-73.903741</v>
      </c>
      <c r="AD1795" t="s">
        <v>10839</v>
      </c>
      <c r="AG1795" t="s">
        <v>10858</v>
      </c>
      <c r="AH1795" t="s">
        <v>10865</v>
      </c>
      <c r="AI1795">
        <v>239</v>
      </c>
      <c r="AJ1795" t="s">
        <v>10213</v>
      </c>
      <c r="AK1795" t="s">
        <v>10837</v>
      </c>
      <c r="AL1795">
        <v>1.4</v>
      </c>
      <c r="AM1795" t="s">
        <v>10889</v>
      </c>
      <c r="AN1795" t="s">
        <v>10922</v>
      </c>
      <c r="AO1795" t="s">
        <v>11012</v>
      </c>
      <c r="AP1795" t="s">
        <v>11058</v>
      </c>
      <c r="AQ1795" t="s">
        <v>11165</v>
      </c>
      <c r="AR1795" t="s">
        <v>11257</v>
      </c>
      <c r="AS1795" t="s">
        <v>11595</v>
      </c>
      <c r="AY1795" t="s">
        <v>10829</v>
      </c>
      <c r="AZ1795" t="s">
        <v>11683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</row>
    <row r="1796" spans="1:59">
      <c r="A1796" s="1">
        <f>HYPERLINK("https://lsnyc.legalserver.org/matter/dynamic-profile/view/1905685","19-1905685")</f>
        <v>0</v>
      </c>
      <c r="B1796" t="s">
        <v>1579</v>
      </c>
      <c r="C1796" t="s">
        <v>5249</v>
      </c>
      <c r="D1796" t="s">
        <v>9928</v>
      </c>
      <c r="E1796" t="s">
        <v>10075</v>
      </c>
      <c r="F1796">
        <v>11226</v>
      </c>
      <c r="G1796" t="s">
        <v>10093</v>
      </c>
      <c r="H1796" t="s">
        <v>10121</v>
      </c>
      <c r="I1796" t="s">
        <v>10177</v>
      </c>
      <c r="J1796" t="s">
        <v>10213</v>
      </c>
      <c r="K1796" t="s">
        <v>10217</v>
      </c>
      <c r="M1796" t="s">
        <v>10384</v>
      </c>
      <c r="N1796" t="s">
        <v>10650</v>
      </c>
      <c r="P1796" t="s">
        <v>10749</v>
      </c>
      <c r="Q1796" t="s">
        <v>10765</v>
      </c>
      <c r="R1796" t="s">
        <v>10824</v>
      </c>
      <c r="T1796">
        <v>20800</v>
      </c>
      <c r="U1796">
        <v>1733.33</v>
      </c>
      <c r="V1796">
        <v>59</v>
      </c>
      <c r="W1796">
        <v>2</v>
      </c>
      <c r="X1796">
        <v>0</v>
      </c>
      <c r="Z1796">
        <v>123</v>
      </c>
      <c r="AA1796">
        <v>40.646763</v>
      </c>
      <c r="AB1796">
        <v>-73.962706</v>
      </c>
      <c r="AD1796" t="s">
        <v>10840</v>
      </c>
      <c r="AG1796" t="s">
        <v>10858</v>
      </c>
      <c r="AH1796" t="s">
        <v>10862</v>
      </c>
      <c r="AI1796">
        <v>239</v>
      </c>
      <c r="AJ1796" t="s">
        <v>10213</v>
      </c>
      <c r="AL1796">
        <v>0.2</v>
      </c>
      <c r="AM1796" t="s">
        <v>10888</v>
      </c>
      <c r="AN1796" t="s">
        <v>10932</v>
      </c>
      <c r="AO1796" t="s">
        <v>11008</v>
      </c>
      <c r="AP1796" t="s">
        <v>11050</v>
      </c>
      <c r="AR1796" t="s">
        <v>11257</v>
      </c>
      <c r="AS1796" t="s">
        <v>11595</v>
      </c>
      <c r="BA1796" t="s">
        <v>11739</v>
      </c>
      <c r="BB1796">
        <v>0</v>
      </c>
      <c r="BC1796">
        <v>0</v>
      </c>
      <c r="BD1796">
        <v>0</v>
      </c>
      <c r="BE1796">
        <v>0</v>
      </c>
      <c r="BF1796">
        <v>4</v>
      </c>
      <c r="BG1796">
        <v>0</v>
      </c>
    </row>
    <row r="1797" spans="1:59">
      <c r="A1797" s="1">
        <f>HYPERLINK("https://lsnyc.legalserver.org/matter/dynamic-profile/view/1905686","19-1905686")</f>
        <v>0</v>
      </c>
      <c r="B1797" t="s">
        <v>1580</v>
      </c>
      <c r="C1797" t="s">
        <v>6007</v>
      </c>
      <c r="D1797" t="s">
        <v>9926</v>
      </c>
      <c r="E1797" t="s">
        <v>10075</v>
      </c>
      <c r="F1797">
        <v>10453</v>
      </c>
      <c r="G1797" t="s">
        <v>10090</v>
      </c>
      <c r="H1797" t="s">
        <v>10121</v>
      </c>
      <c r="I1797" t="s">
        <v>10168</v>
      </c>
      <c r="J1797" t="s">
        <v>10210</v>
      </c>
      <c r="K1797" t="s">
        <v>10217</v>
      </c>
      <c r="M1797" t="s">
        <v>10463</v>
      </c>
      <c r="N1797" t="s">
        <v>10650</v>
      </c>
      <c r="P1797" t="s">
        <v>10749</v>
      </c>
      <c r="Q1797" t="s">
        <v>10765</v>
      </c>
      <c r="R1797" t="s">
        <v>10824</v>
      </c>
      <c r="T1797">
        <v>10500</v>
      </c>
      <c r="U1797">
        <v>875</v>
      </c>
      <c r="V1797">
        <v>56</v>
      </c>
      <c r="W1797">
        <v>1</v>
      </c>
      <c r="X1797">
        <v>0</v>
      </c>
      <c r="Z1797">
        <v>84.06999999999999</v>
      </c>
      <c r="AA1797">
        <v>40.846849</v>
      </c>
      <c r="AB1797">
        <v>-73.90953500000001</v>
      </c>
      <c r="AD1797" t="s">
        <v>10839</v>
      </c>
      <c r="AG1797" t="s">
        <v>10858</v>
      </c>
      <c r="AH1797" t="s">
        <v>10862</v>
      </c>
      <c r="AI1797">
        <v>230</v>
      </c>
      <c r="AJ1797" t="s">
        <v>10210</v>
      </c>
      <c r="AL1797">
        <v>0</v>
      </c>
      <c r="AM1797" t="s">
        <v>10884</v>
      </c>
      <c r="AN1797" t="s">
        <v>10931</v>
      </c>
      <c r="AO1797" t="s">
        <v>11000</v>
      </c>
      <c r="AP1797" t="s">
        <v>11045</v>
      </c>
      <c r="AR1797" t="s">
        <v>11327</v>
      </c>
      <c r="AS1797" t="s">
        <v>9926</v>
      </c>
      <c r="AT1797" t="s">
        <v>11641</v>
      </c>
      <c r="BA1797" t="s">
        <v>11739</v>
      </c>
      <c r="BB1797">
        <v>0</v>
      </c>
      <c r="BC1797">
        <v>0</v>
      </c>
      <c r="BD1797">
        <v>0</v>
      </c>
      <c r="BE1797">
        <v>0</v>
      </c>
      <c r="BF1797">
        <v>4</v>
      </c>
      <c r="BG1797">
        <v>0</v>
      </c>
    </row>
    <row r="1798" spans="1:59">
      <c r="A1798" s="1">
        <f>HYPERLINK("https://lsnyc.legalserver.org/matter/dynamic-profile/view/1905687","19-1905687")</f>
        <v>0</v>
      </c>
      <c r="B1798" t="s">
        <v>1121</v>
      </c>
      <c r="C1798" t="s">
        <v>5249</v>
      </c>
      <c r="D1798" t="s">
        <v>9928</v>
      </c>
      <c r="E1798" t="s">
        <v>10075</v>
      </c>
      <c r="F1798">
        <v>11226</v>
      </c>
      <c r="G1798" t="s">
        <v>10093</v>
      </c>
      <c r="H1798" t="s">
        <v>10121</v>
      </c>
      <c r="I1798" t="s">
        <v>10168</v>
      </c>
      <c r="J1798" t="s">
        <v>10213</v>
      </c>
      <c r="K1798" t="s">
        <v>10217</v>
      </c>
      <c r="M1798" t="s">
        <v>10384</v>
      </c>
      <c r="N1798" t="s">
        <v>10650</v>
      </c>
      <c r="P1798" t="s">
        <v>10749</v>
      </c>
      <c r="Q1798" t="s">
        <v>10765</v>
      </c>
      <c r="R1798" t="s">
        <v>10824</v>
      </c>
      <c r="T1798">
        <v>100000</v>
      </c>
      <c r="U1798">
        <v>8333.33</v>
      </c>
      <c r="V1798">
        <v>58</v>
      </c>
      <c r="W1798">
        <v>3</v>
      </c>
      <c r="X1798">
        <v>1</v>
      </c>
      <c r="Z1798">
        <v>388.35</v>
      </c>
      <c r="AA1798">
        <v>40.646763</v>
      </c>
      <c r="AB1798">
        <v>-73.962706</v>
      </c>
      <c r="AC1798" t="s">
        <v>10837</v>
      </c>
      <c r="AD1798" t="s">
        <v>10840</v>
      </c>
      <c r="AG1798" t="s">
        <v>10858</v>
      </c>
      <c r="AH1798" t="s">
        <v>10862</v>
      </c>
      <c r="AI1798">
        <v>239</v>
      </c>
      <c r="AJ1798" t="s">
        <v>10213</v>
      </c>
      <c r="AL1798">
        <v>0.2</v>
      </c>
      <c r="AM1798" t="s">
        <v>10888</v>
      </c>
      <c r="AN1798" t="s">
        <v>10932</v>
      </c>
      <c r="AO1798" t="s">
        <v>11008</v>
      </c>
      <c r="AP1798" t="s">
        <v>11050</v>
      </c>
      <c r="AR1798" t="s">
        <v>11257</v>
      </c>
      <c r="AS1798" t="s">
        <v>11595</v>
      </c>
      <c r="BA1798" t="s">
        <v>11739</v>
      </c>
      <c r="BB1798">
        <v>0</v>
      </c>
      <c r="BC1798">
        <v>0</v>
      </c>
      <c r="BD1798">
        <v>0</v>
      </c>
      <c r="BE1798">
        <v>0</v>
      </c>
      <c r="BF1798">
        <v>4</v>
      </c>
      <c r="BG1798">
        <v>0</v>
      </c>
    </row>
    <row r="1799" spans="1:59">
      <c r="A1799" s="1">
        <f>HYPERLINK("https://lsnyc.legalserver.org/matter/dynamic-profile/view/1905688","19-1905688")</f>
        <v>0</v>
      </c>
      <c r="B1799" t="s">
        <v>1581</v>
      </c>
      <c r="C1799" t="s">
        <v>5257</v>
      </c>
      <c r="D1799" t="s">
        <v>9925</v>
      </c>
      <c r="E1799" t="s">
        <v>10075</v>
      </c>
      <c r="F1799">
        <v>10027</v>
      </c>
      <c r="G1799" t="s">
        <v>10089</v>
      </c>
      <c r="H1799" t="s">
        <v>10121</v>
      </c>
      <c r="I1799" t="s">
        <v>10168</v>
      </c>
      <c r="J1799" t="s">
        <v>10209</v>
      </c>
      <c r="K1799" t="s">
        <v>10217</v>
      </c>
      <c r="M1799" t="s">
        <v>10453</v>
      </c>
      <c r="N1799" t="s">
        <v>10702</v>
      </c>
      <c r="P1799" t="s">
        <v>10749</v>
      </c>
      <c r="Q1799" t="s">
        <v>10765</v>
      </c>
      <c r="R1799" t="s">
        <v>10822</v>
      </c>
      <c r="T1799">
        <v>17000</v>
      </c>
      <c r="U1799">
        <v>1416.67</v>
      </c>
      <c r="V1799">
        <v>56</v>
      </c>
      <c r="W1799">
        <v>1</v>
      </c>
      <c r="X1799">
        <v>0</v>
      </c>
      <c r="Z1799">
        <v>136.11</v>
      </c>
      <c r="AA1799">
        <v>40.811982</v>
      </c>
      <c r="AB1799">
        <v>-73.950907</v>
      </c>
      <c r="AD1799" t="s">
        <v>10822</v>
      </c>
      <c r="AG1799" t="s">
        <v>10858</v>
      </c>
      <c r="AH1799" t="s">
        <v>10862</v>
      </c>
      <c r="AI1799">
        <v>236</v>
      </c>
      <c r="AJ1799" t="s">
        <v>10209</v>
      </c>
      <c r="AL1799">
        <v>6</v>
      </c>
      <c r="AM1799" t="s">
        <v>10887</v>
      </c>
      <c r="AN1799" t="s">
        <v>10936</v>
      </c>
      <c r="AO1799" t="s">
        <v>11016</v>
      </c>
      <c r="AP1799" t="s">
        <v>11076</v>
      </c>
      <c r="AR1799" t="s">
        <v>11257</v>
      </c>
      <c r="AS1799" t="s">
        <v>9925</v>
      </c>
      <c r="BA1799" t="s">
        <v>11738</v>
      </c>
      <c r="BB1799">
        <v>0</v>
      </c>
      <c r="BC1799">
        <v>0</v>
      </c>
      <c r="BD1799">
        <v>0</v>
      </c>
      <c r="BE1799">
        <v>0</v>
      </c>
      <c r="BF1799">
        <v>5</v>
      </c>
      <c r="BG1799">
        <v>0</v>
      </c>
    </row>
    <row r="1800" spans="1:59">
      <c r="A1800" s="1">
        <f>HYPERLINK("https://lsnyc.legalserver.org/matter/dynamic-profile/view/1905689","19-1905689")</f>
        <v>0</v>
      </c>
      <c r="B1800" t="s">
        <v>1582</v>
      </c>
      <c r="C1800" t="s">
        <v>5249</v>
      </c>
      <c r="D1800" t="s">
        <v>9928</v>
      </c>
      <c r="E1800" t="s">
        <v>10075</v>
      </c>
      <c r="F1800">
        <v>11226</v>
      </c>
      <c r="G1800" t="s">
        <v>10093</v>
      </c>
      <c r="H1800" t="s">
        <v>10142</v>
      </c>
      <c r="I1800" t="s">
        <v>10168</v>
      </c>
      <c r="J1800" t="s">
        <v>10213</v>
      </c>
      <c r="K1800" t="s">
        <v>10217</v>
      </c>
      <c r="M1800" t="s">
        <v>10384</v>
      </c>
      <c r="N1800" t="s">
        <v>10650</v>
      </c>
      <c r="P1800" t="s">
        <v>10749</v>
      </c>
      <c r="Q1800" t="s">
        <v>10765</v>
      </c>
      <c r="R1800" t="s">
        <v>10822</v>
      </c>
      <c r="T1800">
        <v>14400</v>
      </c>
      <c r="U1800">
        <v>1200</v>
      </c>
      <c r="V1800">
        <v>66</v>
      </c>
      <c r="W1800">
        <v>2</v>
      </c>
      <c r="X1800">
        <v>0</v>
      </c>
      <c r="Z1800">
        <v>85.16</v>
      </c>
      <c r="AA1800">
        <v>40.646763</v>
      </c>
      <c r="AB1800">
        <v>-73.962706</v>
      </c>
      <c r="AD1800" t="s">
        <v>10822</v>
      </c>
      <c r="AG1800" t="s">
        <v>10858</v>
      </c>
      <c r="AH1800" t="s">
        <v>10862</v>
      </c>
      <c r="AI1800">
        <v>239</v>
      </c>
      <c r="AJ1800" t="s">
        <v>10213</v>
      </c>
      <c r="AL1800">
        <v>0.1</v>
      </c>
      <c r="AM1800" t="s">
        <v>10888</v>
      </c>
      <c r="AN1800" t="s">
        <v>10932</v>
      </c>
      <c r="AO1800" t="s">
        <v>11008</v>
      </c>
      <c r="AP1800" t="s">
        <v>11050</v>
      </c>
      <c r="AR1800" t="s">
        <v>11268</v>
      </c>
      <c r="AS1800" t="s">
        <v>11595</v>
      </c>
      <c r="BA1800" t="s">
        <v>11739</v>
      </c>
      <c r="BB1800">
        <v>0</v>
      </c>
      <c r="BC1800">
        <v>0</v>
      </c>
      <c r="BD1800">
        <v>0</v>
      </c>
      <c r="BE1800">
        <v>0</v>
      </c>
      <c r="BF1800">
        <v>4</v>
      </c>
      <c r="BG1800">
        <v>0</v>
      </c>
    </row>
    <row r="1801" spans="1:59">
      <c r="A1801" s="1">
        <f>HYPERLINK("https://lsnyc.legalserver.org/matter/dynamic-profile/view/1905690","19-1905690")</f>
        <v>0</v>
      </c>
      <c r="B1801" t="s">
        <v>1583</v>
      </c>
      <c r="C1801" t="s">
        <v>6394</v>
      </c>
      <c r="D1801" t="s">
        <v>9928</v>
      </c>
      <c r="E1801" t="s">
        <v>10075</v>
      </c>
      <c r="F1801">
        <v>11233</v>
      </c>
      <c r="G1801" t="s">
        <v>10093</v>
      </c>
      <c r="H1801" t="s">
        <v>10121</v>
      </c>
      <c r="I1801" t="s">
        <v>10168</v>
      </c>
      <c r="J1801" t="s">
        <v>10213</v>
      </c>
      <c r="K1801" t="s">
        <v>10217</v>
      </c>
      <c r="M1801" t="s">
        <v>10551</v>
      </c>
      <c r="N1801" t="s">
        <v>10650</v>
      </c>
      <c r="P1801" t="s">
        <v>10749</v>
      </c>
      <c r="Q1801" t="s">
        <v>10765</v>
      </c>
      <c r="R1801" t="s">
        <v>10824</v>
      </c>
      <c r="T1801">
        <v>12792</v>
      </c>
      <c r="U1801">
        <v>1066</v>
      </c>
      <c r="V1801">
        <v>58</v>
      </c>
      <c r="W1801">
        <v>2</v>
      </c>
      <c r="X1801">
        <v>0</v>
      </c>
      <c r="Z1801">
        <v>75.65000000000001</v>
      </c>
      <c r="AA1801">
        <v>40.680397</v>
      </c>
      <c r="AB1801">
        <v>-73.917407</v>
      </c>
      <c r="AD1801" t="s">
        <v>10839</v>
      </c>
      <c r="AG1801" t="s">
        <v>10858</v>
      </c>
      <c r="AH1801" t="s">
        <v>10862</v>
      </c>
      <c r="AI1801">
        <v>239</v>
      </c>
      <c r="AJ1801" t="s">
        <v>10213</v>
      </c>
      <c r="AL1801">
        <v>0</v>
      </c>
      <c r="AM1801" t="s">
        <v>10889</v>
      </c>
      <c r="AN1801" t="s">
        <v>10922</v>
      </c>
      <c r="AO1801" t="s">
        <v>11007</v>
      </c>
      <c r="AP1801" t="s">
        <v>11064</v>
      </c>
      <c r="AR1801" t="s">
        <v>11335</v>
      </c>
      <c r="AS1801" t="s">
        <v>11595</v>
      </c>
      <c r="AT1801" t="s">
        <v>11641</v>
      </c>
      <c r="BA1801" t="s">
        <v>11740</v>
      </c>
      <c r="BB1801">
        <v>0</v>
      </c>
      <c r="BC1801">
        <v>0</v>
      </c>
      <c r="BD1801">
        <v>0</v>
      </c>
      <c r="BE1801">
        <v>0</v>
      </c>
      <c r="BF1801">
        <v>2</v>
      </c>
      <c r="BG1801">
        <v>0</v>
      </c>
    </row>
    <row r="1802" spans="1:59">
      <c r="A1802" s="1">
        <f>HYPERLINK("https://lsnyc.legalserver.org/matter/dynamic-profile/view/1905691","19-1905691")</f>
        <v>0</v>
      </c>
      <c r="B1802" t="s">
        <v>1584</v>
      </c>
      <c r="C1802" t="s">
        <v>6395</v>
      </c>
      <c r="D1802" t="s">
        <v>9928</v>
      </c>
      <c r="E1802" t="s">
        <v>10075</v>
      </c>
      <c r="F1802">
        <v>11239</v>
      </c>
      <c r="G1802" t="s">
        <v>10093</v>
      </c>
      <c r="H1802" t="s">
        <v>10121</v>
      </c>
      <c r="I1802" t="s">
        <v>10168</v>
      </c>
      <c r="J1802" t="s">
        <v>10213</v>
      </c>
      <c r="K1802" t="s">
        <v>10218</v>
      </c>
      <c r="L1802" t="s">
        <v>10100</v>
      </c>
      <c r="M1802" t="s">
        <v>10405</v>
      </c>
      <c r="N1802" t="s">
        <v>10646</v>
      </c>
      <c r="P1802" t="s">
        <v>10749</v>
      </c>
      <c r="Q1802" t="s">
        <v>10791</v>
      </c>
      <c r="R1802" t="s">
        <v>10826</v>
      </c>
      <c r="T1802">
        <v>36400</v>
      </c>
      <c r="U1802">
        <v>3033.33</v>
      </c>
      <c r="V1802">
        <v>32</v>
      </c>
      <c r="W1802">
        <v>1</v>
      </c>
      <c r="X1802">
        <v>0</v>
      </c>
      <c r="Y1802" t="s">
        <v>10829</v>
      </c>
      <c r="Z1802">
        <v>291.43</v>
      </c>
      <c r="AA1802">
        <v>40.655419</v>
      </c>
      <c r="AB1802">
        <v>-73.872918</v>
      </c>
      <c r="AD1802" t="s">
        <v>10839</v>
      </c>
      <c r="AG1802" t="s">
        <v>10858</v>
      </c>
      <c r="AH1802" t="s">
        <v>10871</v>
      </c>
      <c r="AI1802">
        <v>234</v>
      </c>
      <c r="AJ1802" t="s">
        <v>10214</v>
      </c>
      <c r="AK1802" t="s">
        <v>10838</v>
      </c>
      <c r="AL1802">
        <v>2.5</v>
      </c>
      <c r="AM1802" t="s">
        <v>10889</v>
      </c>
      <c r="AN1802" t="s">
        <v>10946</v>
      </c>
      <c r="AO1802" t="s">
        <v>11012</v>
      </c>
      <c r="AP1802" t="s">
        <v>11060</v>
      </c>
      <c r="AR1802" t="s">
        <v>11257</v>
      </c>
      <c r="AS1802" t="s">
        <v>11595</v>
      </c>
      <c r="AT1802" t="s">
        <v>11641</v>
      </c>
      <c r="AX1802" t="s">
        <v>10838</v>
      </c>
      <c r="AY1802" t="s">
        <v>10829</v>
      </c>
      <c r="AZ1802" t="s">
        <v>11681</v>
      </c>
      <c r="BA1802" t="s">
        <v>11741</v>
      </c>
      <c r="BB1802">
        <v>0</v>
      </c>
      <c r="BC1802">
        <v>0</v>
      </c>
      <c r="BD1802">
        <v>0</v>
      </c>
      <c r="BE1802">
        <v>0</v>
      </c>
      <c r="BF1802">
        <v>1</v>
      </c>
      <c r="BG1802">
        <v>0</v>
      </c>
    </row>
    <row r="1803" spans="1:59">
      <c r="A1803" s="1">
        <f>HYPERLINK("https://lsnyc.legalserver.org/matter/dynamic-profile/view/1905692","19-1905692")</f>
        <v>0</v>
      </c>
      <c r="B1803" t="s">
        <v>1580</v>
      </c>
      <c r="C1803" t="s">
        <v>6007</v>
      </c>
      <c r="D1803" t="s">
        <v>9926</v>
      </c>
      <c r="E1803" t="s">
        <v>10075</v>
      </c>
      <c r="F1803">
        <v>10453</v>
      </c>
      <c r="G1803" t="s">
        <v>10090</v>
      </c>
      <c r="H1803" t="s">
        <v>10121</v>
      </c>
      <c r="I1803" t="s">
        <v>10168</v>
      </c>
      <c r="J1803" t="s">
        <v>10210</v>
      </c>
      <c r="K1803" t="s">
        <v>10217</v>
      </c>
      <c r="M1803" t="s">
        <v>10463</v>
      </c>
      <c r="N1803" t="s">
        <v>10650</v>
      </c>
      <c r="P1803" t="s">
        <v>10749</v>
      </c>
      <c r="Q1803" t="s">
        <v>10765</v>
      </c>
      <c r="R1803" t="s">
        <v>10824</v>
      </c>
      <c r="T1803">
        <v>10500</v>
      </c>
      <c r="U1803">
        <v>875</v>
      </c>
      <c r="V1803">
        <v>56</v>
      </c>
      <c r="W1803">
        <v>1</v>
      </c>
      <c r="X1803">
        <v>0</v>
      </c>
      <c r="Z1803">
        <v>84.06999999999999</v>
      </c>
      <c r="AA1803">
        <v>40.846849</v>
      </c>
      <c r="AB1803">
        <v>-73.90953500000001</v>
      </c>
      <c r="AD1803" t="s">
        <v>10839</v>
      </c>
      <c r="AG1803" t="s">
        <v>10858</v>
      </c>
      <c r="AH1803" t="s">
        <v>10862</v>
      </c>
      <c r="AI1803">
        <v>230</v>
      </c>
      <c r="AJ1803" t="s">
        <v>10210</v>
      </c>
      <c r="AL1803">
        <v>0</v>
      </c>
      <c r="AM1803" t="s">
        <v>10884</v>
      </c>
      <c r="AN1803" t="s">
        <v>10931</v>
      </c>
      <c r="AO1803" t="s">
        <v>11000</v>
      </c>
      <c r="AP1803" t="s">
        <v>11045</v>
      </c>
      <c r="AR1803" t="s">
        <v>11327</v>
      </c>
      <c r="AS1803" t="s">
        <v>9926</v>
      </c>
      <c r="AT1803" t="s">
        <v>11641</v>
      </c>
      <c r="BA1803" t="s">
        <v>11739</v>
      </c>
      <c r="BB1803">
        <v>0</v>
      </c>
      <c r="BC1803">
        <v>0</v>
      </c>
      <c r="BD1803">
        <v>0</v>
      </c>
      <c r="BE1803">
        <v>0</v>
      </c>
      <c r="BF1803">
        <v>4</v>
      </c>
      <c r="BG1803">
        <v>0</v>
      </c>
    </row>
    <row r="1804" spans="1:59">
      <c r="A1804" s="1">
        <f>HYPERLINK("https://lsnyc.legalserver.org/matter/dynamic-profile/view/1905693","19-1905693")</f>
        <v>0</v>
      </c>
      <c r="B1804" t="s">
        <v>1585</v>
      </c>
      <c r="C1804" t="s">
        <v>6396</v>
      </c>
      <c r="D1804" t="s">
        <v>9928</v>
      </c>
      <c r="E1804" t="s">
        <v>10075</v>
      </c>
      <c r="F1804">
        <v>11210</v>
      </c>
      <c r="G1804" t="s">
        <v>10093</v>
      </c>
      <c r="H1804" t="s">
        <v>10109</v>
      </c>
      <c r="I1804" t="s">
        <v>10168</v>
      </c>
      <c r="J1804" t="s">
        <v>10213</v>
      </c>
      <c r="K1804" t="s">
        <v>10217</v>
      </c>
      <c r="M1804" t="s">
        <v>10400</v>
      </c>
      <c r="N1804" t="s">
        <v>10671</v>
      </c>
      <c r="P1804" t="s">
        <v>10751</v>
      </c>
      <c r="Q1804" t="s">
        <v>10761</v>
      </c>
      <c r="R1804" t="s">
        <v>10824</v>
      </c>
      <c r="T1804">
        <v>22212</v>
      </c>
      <c r="U1804">
        <v>1851</v>
      </c>
      <c r="V1804">
        <v>59</v>
      </c>
      <c r="W1804">
        <v>4</v>
      </c>
      <c r="X1804">
        <v>3</v>
      </c>
      <c r="Z1804">
        <v>56.94</v>
      </c>
      <c r="AA1804">
        <v>40.6261</v>
      </c>
      <c r="AB1804">
        <v>-73.934916</v>
      </c>
      <c r="AD1804" t="s">
        <v>10839</v>
      </c>
      <c r="AG1804" t="s">
        <v>10858</v>
      </c>
      <c r="AH1804" t="s">
        <v>10862</v>
      </c>
      <c r="AI1804">
        <v>239</v>
      </c>
      <c r="AJ1804" t="s">
        <v>10213</v>
      </c>
      <c r="AL1804">
        <v>0.55</v>
      </c>
      <c r="AM1804" t="s">
        <v>10888</v>
      </c>
      <c r="AN1804" t="s">
        <v>10957</v>
      </c>
      <c r="AO1804" t="s">
        <v>11008</v>
      </c>
      <c r="AP1804" t="s">
        <v>11065</v>
      </c>
      <c r="AR1804" t="s">
        <v>11344</v>
      </c>
      <c r="AS1804" t="s">
        <v>11595</v>
      </c>
      <c r="AT1804" t="s">
        <v>11641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</row>
    <row r="1805" spans="1:59">
      <c r="A1805" s="1">
        <f>HYPERLINK("https://lsnyc.legalserver.org/matter/dynamic-profile/view/1905694","19-1905694")</f>
        <v>0</v>
      </c>
      <c r="B1805" t="s">
        <v>1583</v>
      </c>
      <c r="C1805" t="s">
        <v>6394</v>
      </c>
      <c r="D1805" t="s">
        <v>9928</v>
      </c>
      <c r="E1805" t="s">
        <v>10075</v>
      </c>
      <c r="F1805">
        <v>11233</v>
      </c>
      <c r="G1805" t="s">
        <v>10093</v>
      </c>
      <c r="H1805" t="s">
        <v>10121</v>
      </c>
      <c r="I1805" t="s">
        <v>10168</v>
      </c>
      <c r="J1805" t="s">
        <v>10213</v>
      </c>
      <c r="K1805" t="s">
        <v>10217</v>
      </c>
      <c r="M1805" t="s">
        <v>10551</v>
      </c>
      <c r="N1805" t="s">
        <v>10650</v>
      </c>
      <c r="P1805" t="s">
        <v>10749</v>
      </c>
      <c r="Q1805" t="s">
        <v>10765</v>
      </c>
      <c r="R1805" t="s">
        <v>10824</v>
      </c>
      <c r="T1805">
        <v>12792</v>
      </c>
      <c r="U1805">
        <v>1066</v>
      </c>
      <c r="V1805">
        <v>58</v>
      </c>
      <c r="W1805">
        <v>2</v>
      </c>
      <c r="X1805">
        <v>0</v>
      </c>
      <c r="Z1805">
        <v>75.65000000000001</v>
      </c>
      <c r="AA1805">
        <v>40.680397</v>
      </c>
      <c r="AB1805">
        <v>-73.917407</v>
      </c>
      <c r="AD1805" t="s">
        <v>10839</v>
      </c>
      <c r="AG1805" t="s">
        <v>10858</v>
      </c>
      <c r="AH1805" t="s">
        <v>10862</v>
      </c>
      <c r="AI1805">
        <v>239</v>
      </c>
      <c r="AJ1805" t="s">
        <v>10213</v>
      </c>
      <c r="AL1805">
        <v>0</v>
      </c>
      <c r="AM1805" t="s">
        <v>10889</v>
      </c>
      <c r="AN1805" t="s">
        <v>10922</v>
      </c>
      <c r="AO1805" t="s">
        <v>11007</v>
      </c>
      <c r="AP1805" t="s">
        <v>11064</v>
      </c>
      <c r="AR1805" t="s">
        <v>11335</v>
      </c>
      <c r="AS1805" t="s">
        <v>11595</v>
      </c>
      <c r="AT1805" t="s">
        <v>11641</v>
      </c>
      <c r="BA1805" t="s">
        <v>11740</v>
      </c>
      <c r="BB1805">
        <v>0</v>
      </c>
      <c r="BC1805">
        <v>0</v>
      </c>
      <c r="BD1805">
        <v>0</v>
      </c>
      <c r="BE1805">
        <v>0</v>
      </c>
      <c r="BF1805">
        <v>2</v>
      </c>
      <c r="BG1805">
        <v>0</v>
      </c>
    </row>
    <row r="1806" spans="1:59">
      <c r="A1806" s="1">
        <f>HYPERLINK("https://lsnyc.legalserver.org/matter/dynamic-profile/view/1905695","19-1905695")</f>
        <v>0</v>
      </c>
      <c r="B1806" t="s">
        <v>1586</v>
      </c>
      <c r="C1806" t="s">
        <v>6397</v>
      </c>
      <c r="D1806" t="s">
        <v>9926</v>
      </c>
      <c r="E1806" t="s">
        <v>10075</v>
      </c>
      <c r="F1806">
        <v>10468</v>
      </c>
      <c r="G1806" t="s">
        <v>10090</v>
      </c>
      <c r="H1806" t="s">
        <v>10121</v>
      </c>
      <c r="I1806" t="s">
        <v>10168</v>
      </c>
      <c r="J1806" t="s">
        <v>10210</v>
      </c>
      <c r="K1806" t="s">
        <v>10217</v>
      </c>
      <c r="M1806" t="s">
        <v>10399</v>
      </c>
      <c r="N1806" t="s">
        <v>10651</v>
      </c>
      <c r="P1806" t="s">
        <v>10749</v>
      </c>
      <c r="Q1806" t="s">
        <v>10765</v>
      </c>
      <c r="R1806" t="s">
        <v>10824</v>
      </c>
      <c r="T1806">
        <v>0</v>
      </c>
      <c r="U1806">
        <v>0</v>
      </c>
      <c r="V1806">
        <v>37</v>
      </c>
      <c r="W1806">
        <v>1</v>
      </c>
      <c r="X1806">
        <v>0</v>
      </c>
      <c r="Z1806">
        <v>0</v>
      </c>
      <c r="AA1806">
        <v>40.864107</v>
      </c>
      <c r="AB1806">
        <v>-73.89896400000001</v>
      </c>
      <c r="AD1806" t="s">
        <v>10840</v>
      </c>
      <c r="AG1806" t="s">
        <v>10858</v>
      </c>
      <c r="AH1806" t="s">
        <v>10862</v>
      </c>
      <c r="AI1806">
        <v>230</v>
      </c>
      <c r="AJ1806" t="s">
        <v>10210</v>
      </c>
      <c r="AL1806">
        <v>6.8</v>
      </c>
      <c r="AM1806" t="s">
        <v>10887</v>
      </c>
      <c r="AN1806" t="s">
        <v>10907</v>
      </c>
      <c r="AO1806" t="s">
        <v>11000</v>
      </c>
      <c r="AP1806" t="s">
        <v>11045</v>
      </c>
      <c r="AR1806" t="s">
        <v>11279</v>
      </c>
      <c r="AS1806" t="s">
        <v>9926</v>
      </c>
      <c r="AT1806" t="s">
        <v>11642</v>
      </c>
      <c r="AX1806" t="s">
        <v>10838</v>
      </c>
      <c r="BA1806" t="s">
        <v>11738</v>
      </c>
      <c r="BB1806">
        <v>0</v>
      </c>
      <c r="BC1806">
        <v>0</v>
      </c>
      <c r="BD1806">
        <v>0</v>
      </c>
      <c r="BE1806">
        <v>0</v>
      </c>
      <c r="BF1806">
        <v>5</v>
      </c>
      <c r="BG1806">
        <v>0</v>
      </c>
    </row>
    <row r="1807" spans="1:59">
      <c r="A1807" s="1">
        <f>HYPERLINK("https://lsnyc.legalserver.org/matter/dynamic-profile/view/1905696","19-1905696")</f>
        <v>0</v>
      </c>
      <c r="B1807" t="s">
        <v>1583</v>
      </c>
      <c r="C1807" t="s">
        <v>6394</v>
      </c>
      <c r="D1807" t="s">
        <v>9928</v>
      </c>
      <c r="E1807" t="s">
        <v>10075</v>
      </c>
      <c r="F1807">
        <v>11233</v>
      </c>
      <c r="G1807" t="s">
        <v>10093</v>
      </c>
      <c r="H1807" t="s">
        <v>10121</v>
      </c>
      <c r="I1807" t="s">
        <v>10168</v>
      </c>
      <c r="J1807" t="s">
        <v>10213</v>
      </c>
      <c r="K1807" t="s">
        <v>10217</v>
      </c>
      <c r="M1807" t="s">
        <v>10551</v>
      </c>
      <c r="N1807" t="s">
        <v>10650</v>
      </c>
      <c r="P1807" t="s">
        <v>10749</v>
      </c>
      <c r="Q1807" t="s">
        <v>10765</v>
      </c>
      <c r="R1807" t="s">
        <v>10824</v>
      </c>
      <c r="T1807">
        <v>12792</v>
      </c>
      <c r="U1807">
        <v>1066</v>
      </c>
      <c r="V1807">
        <v>58</v>
      </c>
      <c r="W1807">
        <v>2</v>
      </c>
      <c r="X1807">
        <v>0</v>
      </c>
      <c r="Z1807">
        <v>75.65000000000001</v>
      </c>
      <c r="AA1807">
        <v>40.680397</v>
      </c>
      <c r="AB1807">
        <v>-73.917407</v>
      </c>
      <c r="AD1807" t="s">
        <v>10839</v>
      </c>
      <c r="AG1807" t="s">
        <v>10858</v>
      </c>
      <c r="AH1807" t="s">
        <v>10862</v>
      </c>
      <c r="AI1807">
        <v>239</v>
      </c>
      <c r="AJ1807" t="s">
        <v>10213</v>
      </c>
      <c r="AL1807">
        <v>0</v>
      </c>
      <c r="AR1807" t="s">
        <v>11335</v>
      </c>
      <c r="AS1807" t="s">
        <v>11595</v>
      </c>
      <c r="BA1807" t="s">
        <v>11740</v>
      </c>
      <c r="BB1807">
        <v>0</v>
      </c>
      <c r="BC1807">
        <v>0</v>
      </c>
      <c r="BD1807">
        <v>0</v>
      </c>
      <c r="BE1807">
        <v>0</v>
      </c>
      <c r="BF1807">
        <v>2</v>
      </c>
      <c r="BG1807">
        <v>0</v>
      </c>
    </row>
    <row r="1808" spans="1:59">
      <c r="A1808" s="1">
        <f>HYPERLINK("https://lsnyc.legalserver.org/matter/dynamic-profile/view/1905697","19-1905697")</f>
        <v>0</v>
      </c>
      <c r="B1808" t="s">
        <v>1587</v>
      </c>
      <c r="C1808" t="s">
        <v>6398</v>
      </c>
      <c r="D1808" t="s">
        <v>9959</v>
      </c>
      <c r="E1808" t="s">
        <v>10075</v>
      </c>
      <c r="F1808">
        <v>11356</v>
      </c>
      <c r="G1808" t="s">
        <v>10092</v>
      </c>
      <c r="H1808" t="s">
        <v>10128</v>
      </c>
      <c r="I1808" t="s">
        <v>10169</v>
      </c>
      <c r="J1808" t="s">
        <v>10212</v>
      </c>
      <c r="K1808" t="s">
        <v>10217</v>
      </c>
      <c r="M1808" t="s">
        <v>10486</v>
      </c>
      <c r="N1808" t="s">
        <v>10648</v>
      </c>
      <c r="P1808" t="s">
        <v>10753</v>
      </c>
      <c r="Q1808" t="s">
        <v>10763</v>
      </c>
      <c r="R1808" t="s">
        <v>10823</v>
      </c>
      <c r="T1808">
        <v>0</v>
      </c>
      <c r="U1808">
        <v>0</v>
      </c>
      <c r="V1808">
        <v>29</v>
      </c>
      <c r="W1808">
        <v>1</v>
      </c>
      <c r="X1808">
        <v>0</v>
      </c>
      <c r="Z1808">
        <v>0</v>
      </c>
      <c r="AA1808">
        <v>40.793554</v>
      </c>
      <c r="AB1808">
        <v>-73.845979</v>
      </c>
      <c r="AD1808" t="s">
        <v>10839</v>
      </c>
      <c r="AF1808" t="s">
        <v>10842</v>
      </c>
      <c r="AG1808" t="s">
        <v>10859</v>
      </c>
      <c r="AH1808" t="s">
        <v>10864</v>
      </c>
      <c r="AI1808">
        <v>237</v>
      </c>
      <c r="AJ1808" t="s">
        <v>10212</v>
      </c>
      <c r="AL1808">
        <v>2.75</v>
      </c>
      <c r="AM1808" t="s">
        <v>10885</v>
      </c>
      <c r="AN1808" t="s">
        <v>10962</v>
      </c>
      <c r="AO1808" t="s">
        <v>11022</v>
      </c>
      <c r="AP1808" t="s">
        <v>11080</v>
      </c>
      <c r="AQ1808" t="s">
        <v>11178</v>
      </c>
      <c r="AR1808" t="s">
        <v>11267</v>
      </c>
      <c r="AS1808" t="s">
        <v>11594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</row>
    <row r="1809" spans="1:59">
      <c r="A1809" s="1">
        <f>HYPERLINK("https://lsnyc.legalserver.org/matter/dynamic-profile/view/1905698","19-1905698")</f>
        <v>0</v>
      </c>
      <c r="B1809" t="s">
        <v>1588</v>
      </c>
      <c r="C1809" t="s">
        <v>6399</v>
      </c>
      <c r="D1809" t="s">
        <v>9926</v>
      </c>
      <c r="E1809" t="s">
        <v>10075</v>
      </c>
      <c r="F1809">
        <v>10468</v>
      </c>
      <c r="G1809" t="s">
        <v>10092</v>
      </c>
      <c r="H1809" t="s">
        <v>10121</v>
      </c>
      <c r="I1809" t="s">
        <v>10168</v>
      </c>
      <c r="J1809" t="s">
        <v>10212</v>
      </c>
      <c r="K1809" t="s">
        <v>10218</v>
      </c>
      <c r="L1809" t="s">
        <v>10166</v>
      </c>
      <c r="M1809" t="s">
        <v>10340</v>
      </c>
      <c r="N1809" t="s">
        <v>10694</v>
      </c>
      <c r="O1809" t="s">
        <v>10657</v>
      </c>
      <c r="P1809" t="s">
        <v>10751</v>
      </c>
      <c r="Q1809" t="s">
        <v>10780</v>
      </c>
      <c r="R1809" t="s">
        <v>10825</v>
      </c>
      <c r="T1809">
        <v>240</v>
      </c>
      <c r="U1809">
        <v>20</v>
      </c>
      <c r="V1809">
        <v>47</v>
      </c>
      <c r="W1809">
        <v>1</v>
      </c>
      <c r="X1809">
        <v>0</v>
      </c>
      <c r="Y1809" t="s">
        <v>10829</v>
      </c>
      <c r="Z1809">
        <v>1.92</v>
      </c>
      <c r="AA1809">
        <v>40.862258</v>
      </c>
      <c r="AB1809">
        <v>-73.910528</v>
      </c>
      <c r="AD1809" t="s">
        <v>10840</v>
      </c>
      <c r="AG1809" t="s">
        <v>10858</v>
      </c>
      <c r="AH1809" t="s">
        <v>10874</v>
      </c>
      <c r="AI1809">
        <v>237</v>
      </c>
      <c r="AJ1809" t="s">
        <v>10212</v>
      </c>
      <c r="AK1809" t="s">
        <v>10838</v>
      </c>
      <c r="AL1809">
        <v>5.5</v>
      </c>
      <c r="AM1809" t="s">
        <v>10887</v>
      </c>
      <c r="AN1809" t="s">
        <v>10931</v>
      </c>
      <c r="AO1809" t="s">
        <v>11000</v>
      </c>
      <c r="AP1809" t="s">
        <v>11045</v>
      </c>
      <c r="AR1809" t="s">
        <v>11255</v>
      </c>
      <c r="AS1809" t="s">
        <v>9926</v>
      </c>
      <c r="AT1809" t="s">
        <v>11642</v>
      </c>
      <c r="AY1809" t="s">
        <v>10829</v>
      </c>
      <c r="AZ1809" t="s">
        <v>11682</v>
      </c>
      <c r="BA1809" t="s">
        <v>11741</v>
      </c>
      <c r="BB1809">
        <v>0</v>
      </c>
      <c r="BC1809">
        <v>0</v>
      </c>
      <c r="BD1809">
        <v>0</v>
      </c>
      <c r="BE1809">
        <v>0</v>
      </c>
      <c r="BF1809">
        <v>1</v>
      </c>
      <c r="BG1809">
        <v>0</v>
      </c>
    </row>
    <row r="1810" spans="1:59">
      <c r="A1810" s="1">
        <f>HYPERLINK("https://lsnyc.legalserver.org/matter/dynamic-profile/view/1905699","19-1905699")</f>
        <v>0</v>
      </c>
      <c r="B1810" t="s">
        <v>1134</v>
      </c>
      <c r="C1810" t="s">
        <v>6400</v>
      </c>
      <c r="D1810" t="s">
        <v>9928</v>
      </c>
      <c r="E1810" t="s">
        <v>10075</v>
      </c>
      <c r="F1810">
        <v>11213</v>
      </c>
      <c r="G1810" t="s">
        <v>10091</v>
      </c>
      <c r="H1810" t="s">
        <v>10121</v>
      </c>
      <c r="I1810" t="s">
        <v>10168</v>
      </c>
      <c r="J1810" t="s">
        <v>10214</v>
      </c>
      <c r="K1810" t="s">
        <v>10217</v>
      </c>
      <c r="M1810" t="s">
        <v>10286</v>
      </c>
      <c r="N1810" t="s">
        <v>10671</v>
      </c>
      <c r="P1810" t="s">
        <v>10751</v>
      </c>
      <c r="Q1810" t="s">
        <v>10800</v>
      </c>
      <c r="R1810" t="s">
        <v>10824</v>
      </c>
      <c r="T1810">
        <v>21078</v>
      </c>
      <c r="U1810">
        <v>1756.5</v>
      </c>
      <c r="V1810">
        <v>74</v>
      </c>
      <c r="W1810">
        <v>2</v>
      </c>
      <c r="X1810">
        <v>0</v>
      </c>
      <c r="Z1810">
        <v>124.65</v>
      </c>
      <c r="AA1810">
        <v>40.674513</v>
      </c>
      <c r="AB1810">
        <v>-73.933089</v>
      </c>
      <c r="AD1810" t="s">
        <v>10840</v>
      </c>
      <c r="AG1810" t="s">
        <v>10858</v>
      </c>
      <c r="AH1810" t="s">
        <v>10861</v>
      </c>
      <c r="AI1810">
        <v>234</v>
      </c>
      <c r="AJ1810" t="s">
        <v>10214</v>
      </c>
      <c r="AL1810">
        <v>1</v>
      </c>
      <c r="AM1810" t="s">
        <v>10888</v>
      </c>
      <c r="AN1810" t="s">
        <v>10914</v>
      </c>
      <c r="AO1810" t="s">
        <v>11007</v>
      </c>
      <c r="AP1810" t="s">
        <v>11052</v>
      </c>
      <c r="AR1810" t="s">
        <v>11370</v>
      </c>
      <c r="AS1810" t="s">
        <v>11595</v>
      </c>
      <c r="AT1810" t="s">
        <v>11642</v>
      </c>
      <c r="AX1810" t="s">
        <v>10838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</row>
    <row r="1811" spans="1:59">
      <c r="A1811" s="1">
        <f>HYPERLINK("https://lsnyc.legalserver.org/matter/dynamic-profile/view/1905700","19-1905700")</f>
        <v>0</v>
      </c>
      <c r="B1811" t="s">
        <v>1589</v>
      </c>
      <c r="C1811" t="s">
        <v>6401</v>
      </c>
      <c r="D1811" t="s">
        <v>9928</v>
      </c>
      <c r="E1811" t="s">
        <v>10075</v>
      </c>
      <c r="F1811">
        <v>11226</v>
      </c>
      <c r="G1811" t="s">
        <v>10093</v>
      </c>
      <c r="H1811" t="s">
        <v>10109</v>
      </c>
      <c r="I1811" t="s">
        <v>10169</v>
      </c>
      <c r="J1811" t="s">
        <v>10213</v>
      </c>
      <c r="K1811" t="s">
        <v>10217</v>
      </c>
      <c r="M1811" t="s">
        <v>10400</v>
      </c>
      <c r="N1811" t="s">
        <v>10668</v>
      </c>
      <c r="P1811" t="s">
        <v>10751</v>
      </c>
      <c r="Q1811" t="s">
        <v>10761</v>
      </c>
      <c r="R1811" t="s">
        <v>10821</v>
      </c>
      <c r="T1811">
        <v>18596</v>
      </c>
      <c r="U1811">
        <v>1549.67</v>
      </c>
      <c r="V1811">
        <v>32</v>
      </c>
      <c r="W1811">
        <v>2</v>
      </c>
      <c r="X1811">
        <v>3</v>
      </c>
      <c r="Z1811">
        <v>61.64</v>
      </c>
      <c r="AA1811">
        <v>40.653892</v>
      </c>
      <c r="AB1811">
        <v>-73.962693</v>
      </c>
      <c r="AD1811" t="s">
        <v>10839</v>
      </c>
      <c r="AF1811" t="s">
        <v>10842</v>
      </c>
      <c r="AG1811" t="s">
        <v>10859</v>
      </c>
      <c r="AH1811" t="s">
        <v>10862</v>
      </c>
      <c r="AI1811">
        <v>239</v>
      </c>
      <c r="AJ1811" t="s">
        <v>10213</v>
      </c>
      <c r="AL1811">
        <v>4.55</v>
      </c>
      <c r="AM1811" t="s">
        <v>10888</v>
      </c>
      <c r="AN1811" t="s">
        <v>10932</v>
      </c>
      <c r="AO1811" t="s">
        <v>11008</v>
      </c>
      <c r="AP1811" t="s">
        <v>11050</v>
      </c>
      <c r="AR1811" t="s">
        <v>11436</v>
      </c>
      <c r="AS1811" t="s">
        <v>11595</v>
      </c>
      <c r="AT1811" t="s">
        <v>11641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</row>
    <row r="1812" spans="1:59">
      <c r="A1812" s="1">
        <f>HYPERLINK("https://lsnyc.legalserver.org/matter/dynamic-profile/view/1905701","19-1905701")</f>
        <v>0</v>
      </c>
      <c r="B1812" t="s">
        <v>1583</v>
      </c>
      <c r="C1812" t="s">
        <v>6394</v>
      </c>
      <c r="D1812" t="s">
        <v>9928</v>
      </c>
      <c r="E1812" t="s">
        <v>10075</v>
      </c>
      <c r="F1812">
        <v>11233</v>
      </c>
      <c r="G1812" t="s">
        <v>10093</v>
      </c>
      <c r="H1812" t="s">
        <v>10121</v>
      </c>
      <c r="I1812" t="s">
        <v>10168</v>
      </c>
      <c r="J1812" t="s">
        <v>10213</v>
      </c>
      <c r="K1812" t="s">
        <v>10217</v>
      </c>
      <c r="M1812" t="s">
        <v>10551</v>
      </c>
      <c r="N1812" t="s">
        <v>10650</v>
      </c>
      <c r="P1812" t="s">
        <v>10749</v>
      </c>
      <c r="Q1812" t="s">
        <v>10765</v>
      </c>
      <c r="R1812" t="s">
        <v>10824</v>
      </c>
      <c r="T1812">
        <v>12792</v>
      </c>
      <c r="U1812">
        <v>1066</v>
      </c>
      <c r="V1812">
        <v>58</v>
      </c>
      <c r="W1812">
        <v>2</v>
      </c>
      <c r="X1812">
        <v>0</v>
      </c>
      <c r="Z1812">
        <v>75.65000000000001</v>
      </c>
      <c r="AA1812">
        <v>40.680397</v>
      </c>
      <c r="AB1812">
        <v>-73.917407</v>
      </c>
      <c r="AD1812" t="s">
        <v>10839</v>
      </c>
      <c r="AG1812" t="s">
        <v>10858</v>
      </c>
      <c r="AH1812" t="s">
        <v>10862</v>
      </c>
      <c r="AI1812">
        <v>239</v>
      </c>
      <c r="AJ1812" t="s">
        <v>10213</v>
      </c>
      <c r="AL1812">
        <v>0</v>
      </c>
      <c r="AM1812" t="s">
        <v>10889</v>
      </c>
      <c r="AN1812" t="s">
        <v>10922</v>
      </c>
      <c r="AO1812" t="s">
        <v>11007</v>
      </c>
      <c r="AP1812" t="s">
        <v>11064</v>
      </c>
      <c r="AQ1812" t="s">
        <v>11120</v>
      </c>
      <c r="AR1812" t="s">
        <v>11335</v>
      </c>
      <c r="AS1812" t="s">
        <v>11595</v>
      </c>
      <c r="AT1812" t="s">
        <v>11641</v>
      </c>
      <c r="BA1812" t="s">
        <v>11738</v>
      </c>
      <c r="BB1812">
        <v>0</v>
      </c>
      <c r="BC1812">
        <v>0</v>
      </c>
      <c r="BD1812">
        <v>0</v>
      </c>
      <c r="BE1812">
        <v>0</v>
      </c>
      <c r="BF1812">
        <v>5</v>
      </c>
      <c r="BG1812">
        <v>0</v>
      </c>
    </row>
    <row r="1813" spans="1:59">
      <c r="A1813" s="1">
        <f>HYPERLINK("https://lsnyc.legalserver.org/matter/dynamic-profile/view/1905702","19-1905702")</f>
        <v>0</v>
      </c>
      <c r="B1813" t="s">
        <v>1590</v>
      </c>
      <c r="C1813" t="s">
        <v>6402</v>
      </c>
      <c r="D1813" t="s">
        <v>9925</v>
      </c>
      <c r="E1813" t="s">
        <v>10075</v>
      </c>
      <c r="F1813">
        <v>10027</v>
      </c>
      <c r="G1813" t="s">
        <v>10090</v>
      </c>
      <c r="H1813" t="s">
        <v>10121</v>
      </c>
      <c r="I1813" t="s">
        <v>10169</v>
      </c>
      <c r="J1813" t="s">
        <v>10210</v>
      </c>
      <c r="K1813" t="s">
        <v>10217</v>
      </c>
      <c r="M1813" t="s">
        <v>10412</v>
      </c>
      <c r="N1813" t="s">
        <v>10679</v>
      </c>
      <c r="P1813" t="s">
        <v>10753</v>
      </c>
      <c r="Q1813" t="s">
        <v>10763</v>
      </c>
      <c r="R1813" t="s">
        <v>10821</v>
      </c>
      <c r="T1813">
        <v>0</v>
      </c>
      <c r="U1813">
        <v>0</v>
      </c>
      <c r="V1813">
        <v>13</v>
      </c>
      <c r="W1813">
        <v>1</v>
      </c>
      <c r="X1813">
        <v>2</v>
      </c>
      <c r="Z1813">
        <v>0</v>
      </c>
      <c r="AA1813">
        <v>40.806582</v>
      </c>
      <c r="AB1813">
        <v>-73.949746</v>
      </c>
      <c r="AD1813" t="s">
        <v>10839</v>
      </c>
      <c r="AF1813" t="s">
        <v>10846</v>
      </c>
      <c r="AG1813" t="s">
        <v>10859</v>
      </c>
      <c r="AH1813" t="s">
        <v>10864</v>
      </c>
      <c r="AI1813">
        <v>230</v>
      </c>
      <c r="AJ1813" t="s">
        <v>10210</v>
      </c>
      <c r="AL1813">
        <v>5.1</v>
      </c>
      <c r="AM1813" t="s">
        <v>10887</v>
      </c>
      <c r="AN1813" t="s">
        <v>10936</v>
      </c>
      <c r="AO1813" t="s">
        <v>11016</v>
      </c>
      <c r="AP1813" t="s">
        <v>11076</v>
      </c>
      <c r="AQ1813" t="s">
        <v>11109</v>
      </c>
      <c r="AR1813" t="s">
        <v>11267</v>
      </c>
      <c r="AS1813" t="s">
        <v>9925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</row>
    <row r="1814" spans="1:59">
      <c r="A1814" s="1">
        <f>HYPERLINK("https://lsnyc.legalserver.org/matter/dynamic-profile/view/1905703","19-1905703")</f>
        <v>0</v>
      </c>
      <c r="B1814" t="s">
        <v>1591</v>
      </c>
      <c r="C1814" t="s">
        <v>6403</v>
      </c>
      <c r="D1814" t="s">
        <v>9928</v>
      </c>
      <c r="E1814" t="s">
        <v>10075</v>
      </c>
      <c r="F1814">
        <v>11226</v>
      </c>
      <c r="G1814" t="s">
        <v>10093</v>
      </c>
      <c r="H1814" t="s">
        <v>10121</v>
      </c>
      <c r="I1814" t="s">
        <v>10168</v>
      </c>
      <c r="J1814" t="s">
        <v>10213</v>
      </c>
      <c r="K1814" t="s">
        <v>10217</v>
      </c>
      <c r="M1814" t="s">
        <v>10400</v>
      </c>
      <c r="N1814" t="s">
        <v>10668</v>
      </c>
      <c r="P1814" t="s">
        <v>10751</v>
      </c>
      <c r="Q1814" t="s">
        <v>10761</v>
      </c>
      <c r="R1814" t="s">
        <v>10821</v>
      </c>
      <c r="T1814">
        <v>33852</v>
      </c>
      <c r="U1814">
        <v>2821</v>
      </c>
      <c r="V1814">
        <v>27</v>
      </c>
      <c r="W1814">
        <v>2</v>
      </c>
      <c r="X1814">
        <v>2</v>
      </c>
      <c r="Z1814">
        <v>131.46</v>
      </c>
      <c r="AA1814">
        <v>40.644285</v>
      </c>
      <c r="AB1814">
        <v>-73.95862200000001</v>
      </c>
      <c r="AD1814" t="s">
        <v>10822</v>
      </c>
      <c r="AG1814" t="s">
        <v>10858</v>
      </c>
      <c r="AH1814" t="s">
        <v>10862</v>
      </c>
      <c r="AI1814">
        <v>239</v>
      </c>
      <c r="AJ1814" t="s">
        <v>10213</v>
      </c>
      <c r="AL1814">
        <v>0.6</v>
      </c>
      <c r="AM1814" t="s">
        <v>10888</v>
      </c>
      <c r="AN1814" t="s">
        <v>10932</v>
      </c>
      <c r="AO1814" t="s">
        <v>11008</v>
      </c>
      <c r="AP1814" t="s">
        <v>11050</v>
      </c>
      <c r="AR1814" t="s">
        <v>11257</v>
      </c>
      <c r="AS1814" t="s">
        <v>11595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</row>
    <row r="1815" spans="1:59">
      <c r="A1815" s="1">
        <f>HYPERLINK("https://lsnyc.legalserver.org/matter/dynamic-profile/view/1905704","19-1905704")</f>
        <v>0</v>
      </c>
      <c r="B1815" t="s">
        <v>1592</v>
      </c>
      <c r="C1815" t="s">
        <v>6404</v>
      </c>
      <c r="D1815" t="s">
        <v>9926</v>
      </c>
      <c r="E1815" t="s">
        <v>10075</v>
      </c>
      <c r="F1815">
        <v>10461</v>
      </c>
      <c r="G1815" t="s">
        <v>10091</v>
      </c>
      <c r="H1815" t="s">
        <v>10121</v>
      </c>
      <c r="I1815" t="s">
        <v>10168</v>
      </c>
      <c r="J1815" t="s">
        <v>10214</v>
      </c>
      <c r="K1815" t="s">
        <v>10217</v>
      </c>
      <c r="M1815" t="s">
        <v>10286</v>
      </c>
      <c r="N1815" t="s">
        <v>10646</v>
      </c>
      <c r="P1815" t="s">
        <v>10752</v>
      </c>
      <c r="Q1815" t="s">
        <v>10762</v>
      </c>
      <c r="R1815" t="s">
        <v>10820</v>
      </c>
      <c r="T1815">
        <v>27636</v>
      </c>
      <c r="U1815">
        <v>2303</v>
      </c>
      <c r="V1815">
        <v>71</v>
      </c>
      <c r="W1815">
        <v>1</v>
      </c>
      <c r="X1815">
        <v>0</v>
      </c>
      <c r="Z1815">
        <v>221.27</v>
      </c>
      <c r="AA1815">
        <v>40.851442</v>
      </c>
      <c r="AB1815">
        <v>-73.829151</v>
      </c>
      <c r="AC1815" t="s">
        <v>10837</v>
      </c>
      <c r="AD1815" t="s">
        <v>10840</v>
      </c>
      <c r="AG1815" t="s">
        <v>10858</v>
      </c>
      <c r="AH1815" t="s">
        <v>10871</v>
      </c>
      <c r="AI1815">
        <v>234</v>
      </c>
      <c r="AJ1815" t="s">
        <v>10214</v>
      </c>
      <c r="AL1815">
        <v>0.86</v>
      </c>
      <c r="AM1815" t="s">
        <v>10885</v>
      </c>
      <c r="AN1815" t="s">
        <v>10911</v>
      </c>
      <c r="AO1815" t="s">
        <v>11002</v>
      </c>
      <c r="AP1815" t="s">
        <v>11049</v>
      </c>
      <c r="AR1815" t="s">
        <v>11349</v>
      </c>
      <c r="AS1815" t="s">
        <v>9926</v>
      </c>
      <c r="AT1815" t="s">
        <v>11642</v>
      </c>
      <c r="AX1815" t="s">
        <v>10838</v>
      </c>
      <c r="BA1815" t="s">
        <v>11741</v>
      </c>
      <c r="BB1815">
        <v>0</v>
      </c>
      <c r="BC1815">
        <v>0</v>
      </c>
      <c r="BD1815">
        <v>0</v>
      </c>
      <c r="BE1815">
        <v>0</v>
      </c>
      <c r="BF1815">
        <v>1</v>
      </c>
      <c r="BG1815">
        <v>0</v>
      </c>
    </row>
    <row r="1816" spans="1:59">
      <c r="A1816" s="1">
        <f>HYPERLINK("https://lsnyc.legalserver.org/matter/dynamic-profile/view/1905705","19-1905705")</f>
        <v>0</v>
      </c>
      <c r="B1816" t="s">
        <v>1593</v>
      </c>
      <c r="C1816" t="s">
        <v>5258</v>
      </c>
      <c r="D1816" t="s">
        <v>9928</v>
      </c>
      <c r="E1816" t="s">
        <v>10075</v>
      </c>
      <c r="F1816">
        <v>11213</v>
      </c>
      <c r="G1816" t="s">
        <v>10093</v>
      </c>
      <c r="H1816" t="s">
        <v>10121</v>
      </c>
      <c r="I1816" t="s">
        <v>10168</v>
      </c>
      <c r="J1816" t="s">
        <v>10213</v>
      </c>
      <c r="K1816" t="s">
        <v>10217</v>
      </c>
      <c r="M1816" t="s">
        <v>10392</v>
      </c>
      <c r="N1816" t="s">
        <v>10650</v>
      </c>
      <c r="P1816" t="s">
        <v>10749</v>
      </c>
      <c r="Q1816" t="s">
        <v>10769</v>
      </c>
      <c r="R1816" t="s">
        <v>10824</v>
      </c>
      <c r="T1816">
        <v>50000</v>
      </c>
      <c r="U1816">
        <v>4166.67</v>
      </c>
      <c r="V1816">
        <v>60</v>
      </c>
      <c r="W1816">
        <v>2</v>
      </c>
      <c r="X1816">
        <v>1</v>
      </c>
      <c r="Z1816">
        <v>234.41</v>
      </c>
      <c r="AA1816">
        <v>40.672207</v>
      </c>
      <c r="AB1816">
        <v>-73.93263</v>
      </c>
      <c r="AD1816" t="s">
        <v>10839</v>
      </c>
      <c r="AG1816" t="s">
        <v>10858</v>
      </c>
      <c r="AH1816" t="s">
        <v>10862</v>
      </c>
      <c r="AI1816">
        <v>239</v>
      </c>
      <c r="AJ1816" t="s">
        <v>10213</v>
      </c>
      <c r="AL1816">
        <v>0</v>
      </c>
      <c r="AM1816" t="s">
        <v>10888</v>
      </c>
      <c r="AN1816" t="s">
        <v>10914</v>
      </c>
      <c r="AO1816" t="s">
        <v>11007</v>
      </c>
      <c r="AP1816" t="s">
        <v>11052</v>
      </c>
      <c r="AR1816" t="s">
        <v>11257</v>
      </c>
      <c r="AS1816" t="s">
        <v>11595</v>
      </c>
      <c r="AT1816" t="s">
        <v>11641</v>
      </c>
      <c r="BA1816" t="s">
        <v>11740</v>
      </c>
      <c r="BB1816">
        <v>0</v>
      </c>
      <c r="BC1816">
        <v>0</v>
      </c>
      <c r="BD1816">
        <v>0</v>
      </c>
      <c r="BE1816">
        <v>0</v>
      </c>
      <c r="BF1816">
        <v>2</v>
      </c>
      <c r="BG1816">
        <v>0</v>
      </c>
    </row>
    <row r="1817" spans="1:59">
      <c r="A1817" s="1">
        <f>HYPERLINK("https://lsnyc.legalserver.org/matter/dynamic-profile/view/1905706","19-1905706")</f>
        <v>0</v>
      </c>
      <c r="B1817" t="s">
        <v>1594</v>
      </c>
      <c r="C1817" t="s">
        <v>6405</v>
      </c>
      <c r="D1817" t="s">
        <v>9925</v>
      </c>
      <c r="E1817" t="s">
        <v>10075</v>
      </c>
      <c r="F1817">
        <v>10031</v>
      </c>
      <c r="G1817" t="s">
        <v>10089</v>
      </c>
      <c r="H1817" t="s">
        <v>10121</v>
      </c>
      <c r="I1817" t="s">
        <v>10168</v>
      </c>
      <c r="J1817" t="s">
        <v>10209</v>
      </c>
      <c r="K1817" t="s">
        <v>10217</v>
      </c>
      <c r="M1817" t="s">
        <v>10431</v>
      </c>
      <c r="N1817" t="s">
        <v>10702</v>
      </c>
      <c r="P1817" t="s">
        <v>10749</v>
      </c>
      <c r="Q1817" t="s">
        <v>10765</v>
      </c>
      <c r="R1817" t="s">
        <v>10824</v>
      </c>
      <c r="T1817">
        <v>23400</v>
      </c>
      <c r="U1817">
        <v>1950</v>
      </c>
      <c r="V1817">
        <v>53</v>
      </c>
      <c r="W1817">
        <v>1</v>
      </c>
      <c r="X1817">
        <v>0</v>
      </c>
      <c r="Z1817">
        <v>187.35</v>
      </c>
      <c r="AA1817">
        <v>40.826877</v>
      </c>
      <c r="AB1817">
        <v>-73.94817500000001</v>
      </c>
      <c r="AD1817" t="s">
        <v>10839</v>
      </c>
      <c r="AG1817" t="s">
        <v>10858</v>
      </c>
      <c r="AH1817" t="s">
        <v>10861</v>
      </c>
      <c r="AI1817">
        <v>236</v>
      </c>
      <c r="AJ1817" t="s">
        <v>10209</v>
      </c>
      <c r="AL1817">
        <v>8</v>
      </c>
      <c r="AM1817" t="s">
        <v>10887</v>
      </c>
      <c r="AN1817" t="s">
        <v>10943</v>
      </c>
      <c r="AO1817" t="s">
        <v>11019</v>
      </c>
      <c r="AP1817" t="s">
        <v>11073</v>
      </c>
      <c r="AR1817" t="s">
        <v>11293</v>
      </c>
      <c r="AS1817" t="s">
        <v>9925</v>
      </c>
      <c r="BA1817" t="s">
        <v>11738</v>
      </c>
      <c r="BB1817">
        <v>0</v>
      </c>
      <c r="BC1817">
        <v>0</v>
      </c>
      <c r="BD1817">
        <v>0</v>
      </c>
      <c r="BE1817">
        <v>0</v>
      </c>
      <c r="BF1817">
        <v>5</v>
      </c>
      <c r="BG1817">
        <v>0</v>
      </c>
    </row>
    <row r="1818" spans="1:59">
      <c r="A1818" s="1">
        <f>HYPERLINK("https://lsnyc.legalserver.org/matter/dynamic-profile/view/1905708","19-1905708")</f>
        <v>0</v>
      </c>
      <c r="B1818" t="s">
        <v>1595</v>
      </c>
      <c r="C1818" t="s">
        <v>6406</v>
      </c>
      <c r="D1818" t="s">
        <v>9928</v>
      </c>
      <c r="E1818" t="s">
        <v>10075</v>
      </c>
      <c r="F1818">
        <v>11226</v>
      </c>
      <c r="G1818" t="s">
        <v>10093</v>
      </c>
      <c r="H1818" t="s">
        <v>10109</v>
      </c>
      <c r="I1818" t="s">
        <v>10168</v>
      </c>
      <c r="J1818" t="s">
        <v>10213</v>
      </c>
      <c r="K1818" t="s">
        <v>10217</v>
      </c>
      <c r="M1818" t="s">
        <v>10400</v>
      </c>
      <c r="N1818" t="s">
        <v>10668</v>
      </c>
      <c r="P1818" t="s">
        <v>10751</v>
      </c>
      <c r="Q1818" t="s">
        <v>10761</v>
      </c>
      <c r="R1818" t="s">
        <v>10824</v>
      </c>
      <c r="T1818">
        <v>8796</v>
      </c>
      <c r="U1818">
        <v>733</v>
      </c>
      <c r="V1818">
        <v>48</v>
      </c>
      <c r="W1818">
        <v>3</v>
      </c>
      <c r="X1818">
        <v>2</v>
      </c>
      <c r="Z1818">
        <v>29.15</v>
      </c>
      <c r="AA1818">
        <v>40.654001</v>
      </c>
      <c r="AB1818">
        <v>-73.958383</v>
      </c>
      <c r="AD1818" t="s">
        <v>10839</v>
      </c>
      <c r="AG1818" t="s">
        <v>10858</v>
      </c>
      <c r="AH1818" t="s">
        <v>10862</v>
      </c>
      <c r="AI1818">
        <v>239</v>
      </c>
      <c r="AJ1818" t="s">
        <v>10213</v>
      </c>
      <c r="AL1818">
        <v>30.9</v>
      </c>
      <c r="AM1818" t="s">
        <v>10888</v>
      </c>
      <c r="AN1818" t="s">
        <v>10912</v>
      </c>
      <c r="AO1818" t="s">
        <v>11008</v>
      </c>
      <c r="AP1818" t="s">
        <v>11050</v>
      </c>
      <c r="AR1818" t="s">
        <v>11274</v>
      </c>
      <c r="AS1818" t="s">
        <v>11595</v>
      </c>
      <c r="AT1818" t="s">
        <v>11641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</row>
    <row r="1819" spans="1:59">
      <c r="A1819" s="1">
        <f>HYPERLINK("https://lsnyc.legalserver.org/matter/dynamic-profile/view/1905709","19-1905709")</f>
        <v>0</v>
      </c>
      <c r="B1819" t="s">
        <v>1596</v>
      </c>
      <c r="C1819" t="s">
        <v>6407</v>
      </c>
      <c r="D1819" t="s">
        <v>9926</v>
      </c>
      <c r="E1819" t="s">
        <v>10075</v>
      </c>
      <c r="F1819">
        <v>10469</v>
      </c>
      <c r="G1819" t="s">
        <v>10090</v>
      </c>
      <c r="H1819" t="s">
        <v>10121</v>
      </c>
      <c r="I1819" t="s">
        <v>10168</v>
      </c>
      <c r="J1819" t="s">
        <v>10210</v>
      </c>
      <c r="K1819" t="s">
        <v>10217</v>
      </c>
      <c r="M1819" t="s">
        <v>10338</v>
      </c>
      <c r="N1819" t="s">
        <v>10677</v>
      </c>
      <c r="P1819" t="s">
        <v>10757</v>
      </c>
      <c r="Q1819" t="s">
        <v>10789</v>
      </c>
      <c r="R1819" t="s">
        <v>10825</v>
      </c>
      <c r="T1819">
        <v>13200</v>
      </c>
      <c r="U1819">
        <v>1100</v>
      </c>
      <c r="V1819">
        <v>60</v>
      </c>
      <c r="W1819">
        <v>1</v>
      </c>
      <c r="X1819">
        <v>0</v>
      </c>
      <c r="Z1819">
        <v>105.68</v>
      </c>
      <c r="AA1819">
        <v>40.878476</v>
      </c>
      <c r="AB1819">
        <v>-73.853781</v>
      </c>
      <c r="AD1819" t="s">
        <v>10839</v>
      </c>
      <c r="AG1819" t="s">
        <v>10858</v>
      </c>
      <c r="AH1819" t="s">
        <v>10874</v>
      </c>
      <c r="AI1819">
        <v>230</v>
      </c>
      <c r="AJ1819" t="s">
        <v>10210</v>
      </c>
      <c r="AL1819">
        <v>2.2</v>
      </c>
      <c r="AM1819" t="s">
        <v>10893</v>
      </c>
      <c r="AN1819" t="s">
        <v>10956</v>
      </c>
      <c r="AO1819" t="s">
        <v>11010</v>
      </c>
      <c r="AP1819" t="s">
        <v>11085</v>
      </c>
      <c r="AQ1819" t="s">
        <v>11196</v>
      </c>
      <c r="AR1819" t="s">
        <v>11296</v>
      </c>
      <c r="AS1819" t="s">
        <v>9926</v>
      </c>
      <c r="BA1819" t="s">
        <v>11739</v>
      </c>
      <c r="BB1819">
        <v>0</v>
      </c>
      <c r="BC1819">
        <v>0</v>
      </c>
      <c r="BD1819">
        <v>0</v>
      </c>
      <c r="BE1819">
        <v>0</v>
      </c>
      <c r="BF1819">
        <v>4</v>
      </c>
      <c r="BG1819">
        <v>0</v>
      </c>
    </row>
    <row r="1820" spans="1:59">
      <c r="A1820" s="1">
        <f>HYPERLINK("https://lsnyc.legalserver.org/matter/dynamic-profile/view/1905711","19-1905711")</f>
        <v>0</v>
      </c>
      <c r="B1820" t="s">
        <v>1597</v>
      </c>
      <c r="C1820" t="s">
        <v>6408</v>
      </c>
      <c r="D1820" t="s">
        <v>9928</v>
      </c>
      <c r="E1820" t="s">
        <v>10075</v>
      </c>
      <c r="F1820">
        <v>11212</v>
      </c>
      <c r="G1820" t="s">
        <v>10093</v>
      </c>
      <c r="H1820" t="s">
        <v>10121</v>
      </c>
      <c r="I1820" t="s">
        <v>10168</v>
      </c>
      <c r="J1820" t="s">
        <v>10213</v>
      </c>
      <c r="K1820" t="s">
        <v>10217</v>
      </c>
      <c r="M1820" t="s">
        <v>10392</v>
      </c>
      <c r="N1820" t="s">
        <v>10650</v>
      </c>
      <c r="P1820" t="s">
        <v>10749</v>
      </c>
      <c r="Q1820" t="s">
        <v>10769</v>
      </c>
      <c r="R1820" t="s">
        <v>10824</v>
      </c>
      <c r="T1820">
        <v>100000</v>
      </c>
      <c r="U1820">
        <v>8333.33</v>
      </c>
      <c r="V1820">
        <v>62</v>
      </c>
      <c r="W1820">
        <v>3</v>
      </c>
      <c r="X1820">
        <v>0</v>
      </c>
      <c r="Z1820">
        <v>468.82</v>
      </c>
      <c r="AA1820">
        <v>40.66376</v>
      </c>
      <c r="AB1820">
        <v>-73.918232</v>
      </c>
      <c r="AD1820" t="s">
        <v>10839</v>
      </c>
      <c r="AG1820" t="s">
        <v>10858</v>
      </c>
      <c r="AH1820" t="s">
        <v>10862</v>
      </c>
      <c r="AI1820">
        <v>239</v>
      </c>
      <c r="AJ1820" t="s">
        <v>10213</v>
      </c>
      <c r="AL1820">
        <v>0</v>
      </c>
      <c r="AM1820" t="s">
        <v>10888</v>
      </c>
      <c r="AN1820" t="s">
        <v>10922</v>
      </c>
      <c r="AO1820" t="s">
        <v>11005</v>
      </c>
      <c r="AP1820" t="s">
        <v>11064</v>
      </c>
      <c r="AR1820" t="s">
        <v>11257</v>
      </c>
      <c r="AS1820" t="s">
        <v>11595</v>
      </c>
      <c r="AT1820" t="s">
        <v>11641</v>
      </c>
      <c r="BA1820" t="s">
        <v>11740</v>
      </c>
      <c r="BB1820">
        <v>0</v>
      </c>
      <c r="BC1820">
        <v>0</v>
      </c>
      <c r="BD1820">
        <v>0</v>
      </c>
      <c r="BE1820">
        <v>0</v>
      </c>
      <c r="BF1820">
        <v>2</v>
      </c>
      <c r="BG1820">
        <v>0</v>
      </c>
    </row>
    <row r="1821" spans="1:59">
      <c r="A1821" s="1">
        <f>HYPERLINK("https://lsnyc.legalserver.org/matter/dynamic-profile/view/1905712","19-1905712")</f>
        <v>0</v>
      </c>
      <c r="B1821" t="s">
        <v>1598</v>
      </c>
      <c r="C1821" t="s">
        <v>6409</v>
      </c>
      <c r="D1821" t="s">
        <v>9930</v>
      </c>
      <c r="E1821" t="s">
        <v>10075</v>
      </c>
      <c r="F1821">
        <v>11373</v>
      </c>
      <c r="G1821" t="s">
        <v>10092</v>
      </c>
      <c r="H1821" t="s">
        <v>10128</v>
      </c>
      <c r="I1821" t="s">
        <v>10169</v>
      </c>
      <c r="J1821" t="s">
        <v>10212</v>
      </c>
      <c r="K1821" t="s">
        <v>10217</v>
      </c>
      <c r="M1821" t="s">
        <v>10232</v>
      </c>
      <c r="N1821" t="s">
        <v>10648</v>
      </c>
      <c r="P1821" t="s">
        <v>10753</v>
      </c>
      <c r="Q1821" t="s">
        <v>10763</v>
      </c>
      <c r="R1821" t="s">
        <v>10823</v>
      </c>
      <c r="T1821">
        <v>15840</v>
      </c>
      <c r="U1821">
        <v>1320</v>
      </c>
      <c r="V1821">
        <v>46</v>
      </c>
      <c r="W1821">
        <v>2</v>
      </c>
      <c r="X1821">
        <v>2</v>
      </c>
      <c r="Z1821">
        <v>61.51</v>
      </c>
      <c r="AA1821">
        <v>40.748397</v>
      </c>
      <c r="AB1821">
        <v>-73.87180600000001</v>
      </c>
      <c r="AD1821" t="s">
        <v>10839</v>
      </c>
      <c r="AF1821" t="s">
        <v>10842</v>
      </c>
      <c r="AG1821" t="s">
        <v>10859</v>
      </c>
      <c r="AH1821" t="s">
        <v>10864</v>
      </c>
      <c r="AI1821">
        <v>237</v>
      </c>
      <c r="AJ1821" t="s">
        <v>10212</v>
      </c>
      <c r="AL1821">
        <v>2.25</v>
      </c>
      <c r="AM1821" t="s">
        <v>10885</v>
      </c>
      <c r="AN1821" t="s">
        <v>10909</v>
      </c>
      <c r="AO1821" t="s">
        <v>11014</v>
      </c>
      <c r="AP1821" t="s">
        <v>11068</v>
      </c>
      <c r="AQ1821" t="s">
        <v>11178</v>
      </c>
      <c r="AR1821" t="s">
        <v>11282</v>
      </c>
      <c r="AS1821" t="s">
        <v>11594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</row>
    <row r="1822" spans="1:59">
      <c r="A1822" s="1">
        <f>HYPERLINK("https://lsnyc.legalserver.org/matter/dynamic-profile/view/1905713","19-1905713")</f>
        <v>0</v>
      </c>
      <c r="B1822" t="s">
        <v>1599</v>
      </c>
      <c r="C1822" t="s">
        <v>6394</v>
      </c>
      <c r="D1822" t="s">
        <v>9928</v>
      </c>
      <c r="E1822" t="s">
        <v>10075</v>
      </c>
      <c r="F1822">
        <v>11233</v>
      </c>
      <c r="G1822" t="s">
        <v>10093</v>
      </c>
      <c r="H1822" t="s">
        <v>10121</v>
      </c>
      <c r="I1822" t="s">
        <v>10168</v>
      </c>
      <c r="J1822" t="s">
        <v>10213</v>
      </c>
      <c r="K1822" t="s">
        <v>10217</v>
      </c>
      <c r="M1822" t="s">
        <v>10551</v>
      </c>
      <c r="N1822" t="s">
        <v>10650</v>
      </c>
      <c r="P1822" t="s">
        <v>10749</v>
      </c>
      <c r="Q1822" t="s">
        <v>10765</v>
      </c>
      <c r="R1822" t="s">
        <v>10824</v>
      </c>
      <c r="T1822">
        <v>11256</v>
      </c>
      <c r="U1822">
        <v>938</v>
      </c>
      <c r="V1822">
        <v>91</v>
      </c>
      <c r="W1822">
        <v>2</v>
      </c>
      <c r="X1822">
        <v>1</v>
      </c>
      <c r="Z1822">
        <v>52.77</v>
      </c>
      <c r="AA1822">
        <v>40.680397</v>
      </c>
      <c r="AB1822">
        <v>-73.917407</v>
      </c>
      <c r="AD1822" t="s">
        <v>10839</v>
      </c>
      <c r="AG1822" t="s">
        <v>10858</v>
      </c>
      <c r="AH1822" t="s">
        <v>10862</v>
      </c>
      <c r="AI1822">
        <v>239</v>
      </c>
      <c r="AJ1822" t="s">
        <v>10213</v>
      </c>
      <c r="AL1822">
        <v>0</v>
      </c>
      <c r="AM1822" t="s">
        <v>10889</v>
      </c>
      <c r="AN1822" t="s">
        <v>10922</v>
      </c>
      <c r="AO1822" t="s">
        <v>11007</v>
      </c>
      <c r="AP1822" t="s">
        <v>11064</v>
      </c>
      <c r="AR1822" t="s">
        <v>11316</v>
      </c>
      <c r="AS1822" t="s">
        <v>11595</v>
      </c>
      <c r="BA1822" t="s">
        <v>11740</v>
      </c>
      <c r="BB1822">
        <v>0</v>
      </c>
      <c r="BC1822">
        <v>0</v>
      </c>
      <c r="BD1822">
        <v>0</v>
      </c>
      <c r="BE1822">
        <v>0</v>
      </c>
      <c r="BF1822">
        <v>2</v>
      </c>
      <c r="BG1822">
        <v>0</v>
      </c>
    </row>
    <row r="1823" spans="1:59">
      <c r="A1823" s="1">
        <f>HYPERLINK("https://lsnyc.legalserver.org/matter/dynamic-profile/view/1905715","19-1905715")</f>
        <v>0</v>
      </c>
      <c r="B1823" t="s">
        <v>1134</v>
      </c>
      <c r="C1823" t="s">
        <v>6410</v>
      </c>
      <c r="D1823" t="s">
        <v>9928</v>
      </c>
      <c r="E1823" t="s">
        <v>10075</v>
      </c>
      <c r="F1823">
        <v>11213</v>
      </c>
      <c r="G1823" t="s">
        <v>10093</v>
      </c>
      <c r="H1823" t="s">
        <v>10121</v>
      </c>
      <c r="I1823" t="s">
        <v>10168</v>
      </c>
      <c r="J1823" t="s">
        <v>10213</v>
      </c>
      <c r="K1823" t="s">
        <v>10218</v>
      </c>
      <c r="L1823" t="s">
        <v>10154</v>
      </c>
      <c r="M1823" t="s">
        <v>10317</v>
      </c>
      <c r="N1823" t="s">
        <v>10671</v>
      </c>
      <c r="P1823" t="s">
        <v>10757</v>
      </c>
      <c r="Q1823" t="s">
        <v>10789</v>
      </c>
      <c r="R1823" t="s">
        <v>10824</v>
      </c>
      <c r="T1823">
        <v>21315.6</v>
      </c>
      <c r="U1823">
        <v>1776.3</v>
      </c>
      <c r="V1823">
        <v>74</v>
      </c>
      <c r="W1823">
        <v>2</v>
      </c>
      <c r="X1823">
        <v>0</v>
      </c>
      <c r="Y1823" t="s">
        <v>10829</v>
      </c>
      <c r="Z1823">
        <v>126.05</v>
      </c>
      <c r="AA1823">
        <v>40.674513</v>
      </c>
      <c r="AB1823">
        <v>-73.933089</v>
      </c>
      <c r="AD1823" t="s">
        <v>10840</v>
      </c>
      <c r="AG1823" t="s">
        <v>10858</v>
      </c>
      <c r="AH1823" t="s">
        <v>10861</v>
      </c>
      <c r="AI1823">
        <v>234</v>
      </c>
      <c r="AJ1823" t="s">
        <v>10214</v>
      </c>
      <c r="AK1823" t="s">
        <v>10838</v>
      </c>
      <c r="AL1823">
        <v>3.05</v>
      </c>
      <c r="AM1823" t="s">
        <v>10888</v>
      </c>
      <c r="AN1823" t="s">
        <v>10914</v>
      </c>
      <c r="AO1823" t="s">
        <v>11007</v>
      </c>
      <c r="AP1823" t="s">
        <v>11052</v>
      </c>
      <c r="AQ1823" t="s">
        <v>11197</v>
      </c>
      <c r="AR1823" t="s">
        <v>11345</v>
      </c>
      <c r="AS1823" t="s">
        <v>11595</v>
      </c>
      <c r="AT1823" t="s">
        <v>11641</v>
      </c>
      <c r="AX1823" t="s">
        <v>10838</v>
      </c>
      <c r="AY1823" t="s">
        <v>10829</v>
      </c>
      <c r="AZ1823" t="s">
        <v>11703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</row>
    <row r="1824" spans="1:59">
      <c r="A1824" s="1">
        <f>HYPERLINK("https://lsnyc.legalserver.org/matter/dynamic-profile/view/1905716","19-1905716")</f>
        <v>0</v>
      </c>
      <c r="B1824" t="s">
        <v>1600</v>
      </c>
      <c r="C1824" t="s">
        <v>6411</v>
      </c>
      <c r="D1824" t="s">
        <v>9928</v>
      </c>
      <c r="E1824" t="s">
        <v>10075</v>
      </c>
      <c r="F1824">
        <v>11203</v>
      </c>
      <c r="G1824" t="s">
        <v>10093</v>
      </c>
      <c r="H1824" t="s">
        <v>10121</v>
      </c>
      <c r="I1824" t="s">
        <v>10168</v>
      </c>
      <c r="J1824" t="s">
        <v>10213</v>
      </c>
      <c r="K1824" t="s">
        <v>10217</v>
      </c>
      <c r="M1824" t="s">
        <v>10304</v>
      </c>
      <c r="N1824" t="s">
        <v>10671</v>
      </c>
      <c r="P1824" t="s">
        <v>10749</v>
      </c>
      <c r="Q1824" t="s">
        <v>10765</v>
      </c>
      <c r="R1824" t="s">
        <v>10824</v>
      </c>
      <c r="T1824">
        <v>23400</v>
      </c>
      <c r="U1824">
        <v>1950</v>
      </c>
      <c r="V1824">
        <v>65</v>
      </c>
      <c r="W1824">
        <v>1</v>
      </c>
      <c r="X1824">
        <v>0</v>
      </c>
      <c r="Z1824">
        <v>187.35</v>
      </c>
      <c r="AA1824">
        <v>40.658084</v>
      </c>
      <c r="AB1824">
        <v>-73.93773899999999</v>
      </c>
      <c r="AD1824" t="s">
        <v>10840</v>
      </c>
      <c r="AG1824" t="s">
        <v>10858</v>
      </c>
      <c r="AH1824" t="s">
        <v>10871</v>
      </c>
      <c r="AI1824">
        <v>234</v>
      </c>
      <c r="AJ1824" t="s">
        <v>10214</v>
      </c>
      <c r="AL1824">
        <v>1</v>
      </c>
      <c r="AM1824" t="s">
        <v>10888</v>
      </c>
      <c r="AN1824" t="s">
        <v>10912</v>
      </c>
      <c r="AO1824" t="s">
        <v>11005</v>
      </c>
      <c r="AP1824" t="s">
        <v>11064</v>
      </c>
      <c r="AR1824" t="s">
        <v>11257</v>
      </c>
      <c r="AS1824" t="s">
        <v>11595</v>
      </c>
      <c r="AT1824" t="s">
        <v>11642</v>
      </c>
      <c r="AX1824" t="s">
        <v>10838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</row>
    <row r="1825" spans="1:59">
      <c r="A1825" s="1">
        <f>HYPERLINK("https://lsnyc.legalserver.org/matter/dynamic-profile/view/1905717","19-1905717")</f>
        <v>0</v>
      </c>
      <c r="B1825" t="s">
        <v>1599</v>
      </c>
      <c r="C1825" t="s">
        <v>6394</v>
      </c>
      <c r="D1825" t="s">
        <v>9928</v>
      </c>
      <c r="E1825" t="s">
        <v>10075</v>
      </c>
      <c r="F1825">
        <v>11233</v>
      </c>
      <c r="G1825" t="s">
        <v>10093</v>
      </c>
      <c r="H1825" t="s">
        <v>10121</v>
      </c>
      <c r="I1825" t="s">
        <v>10168</v>
      </c>
      <c r="J1825" t="s">
        <v>10213</v>
      </c>
      <c r="K1825" t="s">
        <v>10217</v>
      </c>
      <c r="M1825" t="s">
        <v>10551</v>
      </c>
      <c r="N1825" t="s">
        <v>10650</v>
      </c>
      <c r="P1825" t="s">
        <v>10749</v>
      </c>
      <c r="Q1825" t="s">
        <v>10765</v>
      </c>
      <c r="R1825" t="s">
        <v>10824</v>
      </c>
      <c r="T1825">
        <v>11256</v>
      </c>
      <c r="U1825">
        <v>938</v>
      </c>
      <c r="V1825">
        <v>91</v>
      </c>
      <c r="W1825">
        <v>2</v>
      </c>
      <c r="X1825">
        <v>1</v>
      </c>
      <c r="Z1825">
        <v>52.77</v>
      </c>
      <c r="AA1825">
        <v>40.680397</v>
      </c>
      <c r="AB1825">
        <v>-73.917407</v>
      </c>
      <c r="AD1825" t="s">
        <v>10839</v>
      </c>
      <c r="AG1825" t="s">
        <v>10858</v>
      </c>
      <c r="AH1825" t="s">
        <v>10862</v>
      </c>
      <c r="AI1825">
        <v>239</v>
      </c>
      <c r="AJ1825" t="s">
        <v>10213</v>
      </c>
      <c r="AL1825">
        <v>0</v>
      </c>
      <c r="AR1825" t="s">
        <v>11316</v>
      </c>
      <c r="AS1825" t="s">
        <v>11595</v>
      </c>
      <c r="BA1825" t="s">
        <v>11740</v>
      </c>
      <c r="BB1825">
        <v>0</v>
      </c>
      <c r="BC1825">
        <v>0</v>
      </c>
      <c r="BD1825">
        <v>0</v>
      </c>
      <c r="BE1825">
        <v>0</v>
      </c>
      <c r="BF1825">
        <v>2</v>
      </c>
      <c r="BG1825">
        <v>0</v>
      </c>
    </row>
    <row r="1826" spans="1:59">
      <c r="A1826" s="1">
        <f>HYPERLINK("https://lsnyc.legalserver.org/matter/dynamic-profile/view/1905718","19-1905718")</f>
        <v>0</v>
      </c>
      <c r="B1826" t="s">
        <v>1601</v>
      </c>
      <c r="C1826" t="s">
        <v>6408</v>
      </c>
      <c r="D1826" t="s">
        <v>9928</v>
      </c>
      <c r="E1826" t="s">
        <v>10075</v>
      </c>
      <c r="F1826">
        <v>11212</v>
      </c>
      <c r="G1826" t="s">
        <v>10093</v>
      </c>
      <c r="H1826" t="s">
        <v>10121</v>
      </c>
      <c r="I1826" t="s">
        <v>10168</v>
      </c>
      <c r="J1826" t="s">
        <v>10213</v>
      </c>
      <c r="K1826" t="s">
        <v>10217</v>
      </c>
      <c r="M1826" t="s">
        <v>10392</v>
      </c>
      <c r="N1826" t="s">
        <v>10650</v>
      </c>
      <c r="P1826" t="s">
        <v>10749</v>
      </c>
      <c r="Q1826" t="s">
        <v>10769</v>
      </c>
      <c r="R1826" t="s">
        <v>10824</v>
      </c>
      <c r="T1826">
        <v>11028</v>
      </c>
      <c r="U1826">
        <v>919</v>
      </c>
      <c r="V1826">
        <v>69</v>
      </c>
      <c r="W1826">
        <v>1</v>
      </c>
      <c r="X1826">
        <v>0</v>
      </c>
      <c r="Z1826">
        <v>88.29000000000001</v>
      </c>
      <c r="AA1826">
        <v>40.66376</v>
      </c>
      <c r="AB1826">
        <v>-73.918232</v>
      </c>
      <c r="AD1826" t="s">
        <v>10840</v>
      </c>
      <c r="AG1826" t="s">
        <v>10858</v>
      </c>
      <c r="AH1826" t="s">
        <v>10862</v>
      </c>
      <c r="AI1826">
        <v>239</v>
      </c>
      <c r="AJ1826" t="s">
        <v>10213</v>
      </c>
      <c r="AL1826">
        <v>0</v>
      </c>
      <c r="AM1826" t="s">
        <v>10888</v>
      </c>
      <c r="AN1826" t="s">
        <v>10922</v>
      </c>
      <c r="AO1826" t="s">
        <v>11005</v>
      </c>
      <c r="AP1826" t="s">
        <v>11064</v>
      </c>
      <c r="AR1826" t="s">
        <v>11270</v>
      </c>
      <c r="AS1826" t="s">
        <v>11595</v>
      </c>
      <c r="AT1826" t="s">
        <v>11642</v>
      </c>
      <c r="BA1826" t="s">
        <v>11740</v>
      </c>
      <c r="BB1826">
        <v>0</v>
      </c>
      <c r="BC1826">
        <v>0</v>
      </c>
      <c r="BD1826">
        <v>0</v>
      </c>
      <c r="BE1826">
        <v>0</v>
      </c>
      <c r="BF1826">
        <v>2</v>
      </c>
      <c r="BG1826">
        <v>0</v>
      </c>
    </row>
    <row r="1827" spans="1:59">
      <c r="A1827" s="1">
        <f>HYPERLINK("https://lsnyc.legalserver.org/matter/dynamic-profile/view/1905719","19-1905719")</f>
        <v>0</v>
      </c>
      <c r="B1827" t="s">
        <v>1602</v>
      </c>
      <c r="C1827" t="s">
        <v>6412</v>
      </c>
      <c r="D1827" t="s">
        <v>9929</v>
      </c>
      <c r="E1827" t="s">
        <v>10075</v>
      </c>
      <c r="F1827">
        <v>10306</v>
      </c>
      <c r="G1827" t="s">
        <v>10088</v>
      </c>
      <c r="H1827" t="s">
        <v>10139</v>
      </c>
      <c r="I1827" t="s">
        <v>10168</v>
      </c>
      <c r="J1827" t="s">
        <v>10208</v>
      </c>
      <c r="K1827" t="s">
        <v>10217</v>
      </c>
      <c r="M1827" t="s">
        <v>10254</v>
      </c>
      <c r="N1827" t="s">
        <v>10711</v>
      </c>
      <c r="P1827" t="s">
        <v>10749</v>
      </c>
      <c r="Q1827" t="s">
        <v>10767</v>
      </c>
      <c r="R1827" t="s">
        <v>10824</v>
      </c>
      <c r="T1827">
        <v>30852</v>
      </c>
      <c r="U1827">
        <v>2571</v>
      </c>
      <c r="V1827">
        <v>25</v>
      </c>
      <c r="W1827">
        <v>1</v>
      </c>
      <c r="X1827">
        <v>2</v>
      </c>
      <c r="Z1827">
        <v>144.64</v>
      </c>
      <c r="AA1827">
        <v>40.588183</v>
      </c>
      <c r="AB1827">
        <v>-74.10159899999999</v>
      </c>
      <c r="AD1827" t="s">
        <v>10839</v>
      </c>
      <c r="AG1827" t="s">
        <v>10858</v>
      </c>
      <c r="AH1827" t="s">
        <v>10862</v>
      </c>
      <c r="AI1827">
        <v>285</v>
      </c>
      <c r="AJ1827" t="s">
        <v>10208</v>
      </c>
      <c r="AL1827">
        <v>6.6</v>
      </c>
      <c r="AM1827" t="s">
        <v>10883</v>
      </c>
      <c r="AN1827" t="s">
        <v>10928</v>
      </c>
      <c r="AO1827" t="s">
        <v>10999</v>
      </c>
      <c r="AP1827" t="s">
        <v>11063</v>
      </c>
      <c r="AR1827" t="s">
        <v>11437</v>
      </c>
      <c r="AS1827" t="s">
        <v>11593</v>
      </c>
      <c r="BA1827" t="s">
        <v>11738</v>
      </c>
      <c r="BB1827">
        <v>0</v>
      </c>
      <c r="BC1827">
        <v>0</v>
      </c>
      <c r="BD1827">
        <v>0</v>
      </c>
      <c r="BE1827">
        <v>0</v>
      </c>
      <c r="BF1827">
        <v>5</v>
      </c>
      <c r="BG1827">
        <v>0</v>
      </c>
    </row>
    <row r="1828" spans="1:59">
      <c r="A1828" s="1">
        <f>HYPERLINK("https://lsnyc.legalserver.org/matter/dynamic-profile/view/1905720","19-1905720")</f>
        <v>0</v>
      </c>
      <c r="B1828" t="s">
        <v>1603</v>
      </c>
      <c r="C1828" t="s">
        <v>6413</v>
      </c>
      <c r="D1828" t="s">
        <v>9929</v>
      </c>
      <c r="E1828" t="s">
        <v>10075</v>
      </c>
      <c r="F1828">
        <v>10310</v>
      </c>
      <c r="G1828" t="s">
        <v>10093</v>
      </c>
      <c r="H1828" t="s">
        <v>10121</v>
      </c>
      <c r="I1828" t="s">
        <v>10168</v>
      </c>
      <c r="J1828" t="s">
        <v>10213</v>
      </c>
      <c r="K1828" t="s">
        <v>10217</v>
      </c>
      <c r="M1828" t="s">
        <v>10327</v>
      </c>
      <c r="N1828" t="s">
        <v>10671</v>
      </c>
      <c r="P1828" t="s">
        <v>10757</v>
      </c>
      <c r="Q1828" t="s">
        <v>10814</v>
      </c>
      <c r="R1828" t="s">
        <v>10824</v>
      </c>
      <c r="T1828">
        <v>24000</v>
      </c>
      <c r="U1828">
        <v>2000</v>
      </c>
      <c r="V1828">
        <v>62</v>
      </c>
      <c r="W1828">
        <v>1</v>
      </c>
      <c r="X1828">
        <v>0</v>
      </c>
      <c r="Z1828">
        <v>192.15</v>
      </c>
      <c r="AA1828">
        <v>40.63736</v>
      </c>
      <c r="AB1828">
        <v>-74.11300799999999</v>
      </c>
      <c r="AC1828" t="s">
        <v>10837</v>
      </c>
      <c r="AD1828" t="s">
        <v>10840</v>
      </c>
      <c r="AG1828" t="s">
        <v>10858</v>
      </c>
      <c r="AH1828" t="s">
        <v>10871</v>
      </c>
      <c r="AI1828">
        <v>234</v>
      </c>
      <c r="AJ1828" t="s">
        <v>10214</v>
      </c>
      <c r="AL1828">
        <v>3.1</v>
      </c>
      <c r="AM1828" t="s">
        <v>10883</v>
      </c>
      <c r="AN1828" t="s">
        <v>10913</v>
      </c>
      <c r="AO1828" t="s">
        <v>11006</v>
      </c>
      <c r="AP1828" t="s">
        <v>11051</v>
      </c>
      <c r="AR1828" t="s">
        <v>11270</v>
      </c>
      <c r="AS1828" t="s">
        <v>11593</v>
      </c>
      <c r="AT1828" t="s">
        <v>11642</v>
      </c>
      <c r="AX1828" t="s">
        <v>10838</v>
      </c>
      <c r="BA1828" t="s">
        <v>11741</v>
      </c>
      <c r="BB1828">
        <v>0</v>
      </c>
      <c r="BC1828">
        <v>0</v>
      </c>
      <c r="BD1828">
        <v>0</v>
      </c>
      <c r="BE1828">
        <v>0</v>
      </c>
      <c r="BF1828">
        <v>1</v>
      </c>
      <c r="BG1828">
        <v>0</v>
      </c>
    </row>
    <row r="1829" spans="1:59">
      <c r="A1829" s="1">
        <f>HYPERLINK("https://lsnyc.legalserver.org/matter/dynamic-profile/view/1905721","19-1905721")</f>
        <v>0</v>
      </c>
      <c r="B1829" t="s">
        <v>1604</v>
      </c>
      <c r="C1829" t="s">
        <v>5752</v>
      </c>
      <c r="D1829" t="s">
        <v>9938</v>
      </c>
      <c r="E1829" t="s">
        <v>10075</v>
      </c>
      <c r="F1829">
        <v>11435</v>
      </c>
      <c r="G1829" t="s">
        <v>10092</v>
      </c>
      <c r="H1829" t="s">
        <v>10121</v>
      </c>
      <c r="I1829" t="s">
        <v>10169</v>
      </c>
      <c r="J1829" t="s">
        <v>10212</v>
      </c>
      <c r="K1829" t="s">
        <v>10217</v>
      </c>
      <c r="M1829" t="s">
        <v>10547</v>
      </c>
      <c r="N1829" t="s">
        <v>10646</v>
      </c>
      <c r="P1829" t="s">
        <v>10753</v>
      </c>
      <c r="Q1829" t="s">
        <v>10763</v>
      </c>
      <c r="R1829" t="s">
        <v>10821</v>
      </c>
      <c r="T1829">
        <v>29052.36</v>
      </c>
      <c r="U1829">
        <v>2421.03</v>
      </c>
      <c r="V1829">
        <v>68</v>
      </c>
      <c r="W1829">
        <v>1</v>
      </c>
      <c r="X1829">
        <v>0</v>
      </c>
      <c r="Z1829">
        <v>232.6</v>
      </c>
      <c r="AA1829">
        <v>40.703069</v>
      </c>
      <c r="AB1829">
        <v>-73.806708</v>
      </c>
      <c r="AD1829" t="s">
        <v>10839</v>
      </c>
      <c r="AF1829" t="s">
        <v>10843</v>
      </c>
      <c r="AG1829" t="s">
        <v>10859</v>
      </c>
      <c r="AH1829" t="s">
        <v>10861</v>
      </c>
      <c r="AI1829">
        <v>234</v>
      </c>
      <c r="AJ1829" t="s">
        <v>10214</v>
      </c>
      <c r="AL1829">
        <v>0.8</v>
      </c>
      <c r="AM1829" t="s">
        <v>10892</v>
      </c>
      <c r="AN1829" t="s">
        <v>10951</v>
      </c>
      <c r="AO1829" t="s">
        <v>11020</v>
      </c>
      <c r="AP1829" t="s">
        <v>11081</v>
      </c>
      <c r="AR1829" t="s">
        <v>11257</v>
      </c>
      <c r="AS1829" t="s">
        <v>11594</v>
      </c>
      <c r="AT1829" t="s">
        <v>11641</v>
      </c>
      <c r="AX1829" t="s">
        <v>10838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</row>
    <row r="1830" spans="1:59">
      <c r="A1830" s="1">
        <f>HYPERLINK("https://lsnyc.legalserver.org/matter/dynamic-profile/view/1905722","19-1905722")</f>
        <v>0</v>
      </c>
      <c r="B1830" t="s">
        <v>1605</v>
      </c>
      <c r="C1830" t="s">
        <v>6414</v>
      </c>
      <c r="D1830" t="s">
        <v>9928</v>
      </c>
      <c r="E1830" t="s">
        <v>10075</v>
      </c>
      <c r="F1830">
        <v>11213</v>
      </c>
      <c r="G1830" t="s">
        <v>10093</v>
      </c>
      <c r="H1830" t="s">
        <v>10121</v>
      </c>
      <c r="I1830" t="s">
        <v>10168</v>
      </c>
      <c r="J1830" t="s">
        <v>10213</v>
      </c>
      <c r="K1830" t="s">
        <v>10218</v>
      </c>
      <c r="L1830" t="s">
        <v>10163</v>
      </c>
      <c r="M1830" t="s">
        <v>10405</v>
      </c>
      <c r="N1830" t="s">
        <v>10650</v>
      </c>
      <c r="P1830" t="s">
        <v>10749</v>
      </c>
      <c r="Q1830" t="s">
        <v>10765</v>
      </c>
      <c r="R1830" t="s">
        <v>10824</v>
      </c>
      <c r="T1830">
        <v>0</v>
      </c>
      <c r="U1830">
        <v>0</v>
      </c>
      <c r="V1830">
        <v>49</v>
      </c>
      <c r="W1830">
        <v>1</v>
      </c>
      <c r="X1830">
        <v>0</v>
      </c>
      <c r="Y1830" t="s">
        <v>10830</v>
      </c>
      <c r="Z1830">
        <v>0</v>
      </c>
      <c r="AA1830">
        <v>40.666813</v>
      </c>
      <c r="AB1830">
        <v>-73.94831600000001</v>
      </c>
      <c r="AD1830" t="s">
        <v>10839</v>
      </c>
      <c r="AG1830" t="s">
        <v>10858</v>
      </c>
      <c r="AH1830" t="s">
        <v>10861</v>
      </c>
      <c r="AI1830">
        <v>234</v>
      </c>
      <c r="AJ1830" t="s">
        <v>10214</v>
      </c>
      <c r="AK1830" t="s">
        <v>10837</v>
      </c>
      <c r="AL1830">
        <v>1.3</v>
      </c>
      <c r="AQ1830" t="s">
        <v>11120</v>
      </c>
      <c r="AR1830" t="s">
        <v>11267</v>
      </c>
      <c r="AS1830" t="s">
        <v>11595</v>
      </c>
      <c r="AT1830" t="s">
        <v>11641</v>
      </c>
      <c r="AX1830" t="s">
        <v>10838</v>
      </c>
      <c r="AY1830" t="s">
        <v>10830</v>
      </c>
      <c r="AZ1830" t="s">
        <v>11690</v>
      </c>
      <c r="BA1830" t="s">
        <v>11740</v>
      </c>
      <c r="BB1830">
        <v>0</v>
      </c>
      <c r="BC1830">
        <v>0</v>
      </c>
      <c r="BD1830">
        <v>0</v>
      </c>
      <c r="BE1830">
        <v>0</v>
      </c>
      <c r="BF1830">
        <v>2</v>
      </c>
      <c r="BG1830">
        <v>0</v>
      </c>
    </row>
    <row r="1831" spans="1:59">
      <c r="A1831" s="1">
        <f>HYPERLINK("https://lsnyc.legalserver.org/matter/dynamic-profile/view/1905723","19-1905723")</f>
        <v>0</v>
      </c>
      <c r="B1831" t="s">
        <v>1599</v>
      </c>
      <c r="C1831" t="s">
        <v>6394</v>
      </c>
      <c r="D1831" t="s">
        <v>9928</v>
      </c>
      <c r="E1831" t="s">
        <v>10075</v>
      </c>
      <c r="F1831">
        <v>11233</v>
      </c>
      <c r="G1831" t="s">
        <v>10093</v>
      </c>
      <c r="H1831" t="s">
        <v>10121</v>
      </c>
      <c r="I1831" t="s">
        <v>10168</v>
      </c>
      <c r="J1831" t="s">
        <v>10213</v>
      </c>
      <c r="K1831" t="s">
        <v>10217</v>
      </c>
      <c r="M1831" t="s">
        <v>10551</v>
      </c>
      <c r="N1831" t="s">
        <v>10650</v>
      </c>
      <c r="P1831" t="s">
        <v>10749</v>
      </c>
      <c r="Q1831" t="s">
        <v>10765</v>
      </c>
      <c r="R1831" t="s">
        <v>10824</v>
      </c>
      <c r="T1831">
        <v>11256</v>
      </c>
      <c r="U1831">
        <v>938</v>
      </c>
      <c r="V1831">
        <v>91</v>
      </c>
      <c r="W1831">
        <v>2</v>
      </c>
      <c r="X1831">
        <v>1</v>
      </c>
      <c r="Z1831">
        <v>52.77</v>
      </c>
      <c r="AA1831">
        <v>40.680397</v>
      </c>
      <c r="AB1831">
        <v>-73.917407</v>
      </c>
      <c r="AD1831" t="s">
        <v>10839</v>
      </c>
      <c r="AG1831" t="s">
        <v>10858</v>
      </c>
      <c r="AH1831" t="s">
        <v>10862</v>
      </c>
      <c r="AI1831">
        <v>239</v>
      </c>
      <c r="AJ1831" t="s">
        <v>10213</v>
      </c>
      <c r="AL1831">
        <v>0</v>
      </c>
      <c r="AR1831" t="s">
        <v>11316</v>
      </c>
      <c r="AS1831" t="s">
        <v>11595</v>
      </c>
      <c r="BA1831" t="s">
        <v>11740</v>
      </c>
      <c r="BB1831">
        <v>0</v>
      </c>
      <c r="BC1831">
        <v>0</v>
      </c>
      <c r="BD1831">
        <v>0</v>
      </c>
      <c r="BE1831">
        <v>0</v>
      </c>
      <c r="BF1831">
        <v>2</v>
      </c>
      <c r="BG1831">
        <v>0</v>
      </c>
    </row>
    <row r="1832" spans="1:59">
      <c r="A1832" s="1">
        <f>HYPERLINK("https://lsnyc.legalserver.org/matter/dynamic-profile/view/1905724","19-1905724")</f>
        <v>0</v>
      </c>
      <c r="B1832" t="s">
        <v>345</v>
      </c>
      <c r="C1832" t="s">
        <v>5258</v>
      </c>
      <c r="D1832" t="s">
        <v>9928</v>
      </c>
      <c r="E1832" t="s">
        <v>10075</v>
      </c>
      <c r="F1832">
        <v>11213</v>
      </c>
      <c r="G1832" t="s">
        <v>10093</v>
      </c>
      <c r="H1832" t="s">
        <v>10121</v>
      </c>
      <c r="I1832" t="s">
        <v>10168</v>
      </c>
      <c r="J1832" t="s">
        <v>10213</v>
      </c>
      <c r="K1832" t="s">
        <v>10217</v>
      </c>
      <c r="M1832" t="s">
        <v>10392</v>
      </c>
      <c r="N1832" t="s">
        <v>10650</v>
      </c>
      <c r="P1832" t="s">
        <v>10749</v>
      </c>
      <c r="Q1832" t="s">
        <v>10765</v>
      </c>
      <c r="R1832" t="s">
        <v>10824</v>
      </c>
      <c r="T1832">
        <v>16398</v>
      </c>
      <c r="U1832">
        <v>1366.5</v>
      </c>
      <c r="V1832">
        <v>51</v>
      </c>
      <c r="W1832">
        <v>2</v>
      </c>
      <c r="X1832">
        <v>0</v>
      </c>
      <c r="Z1832">
        <v>96.97</v>
      </c>
      <c r="AA1832">
        <v>40.672207</v>
      </c>
      <c r="AB1832">
        <v>-73.93263</v>
      </c>
      <c r="AD1832" t="s">
        <v>10840</v>
      </c>
      <c r="AG1832" t="s">
        <v>10858</v>
      </c>
      <c r="AH1832" t="s">
        <v>10862</v>
      </c>
      <c r="AI1832">
        <v>239</v>
      </c>
      <c r="AJ1832" t="s">
        <v>10213</v>
      </c>
      <c r="AL1832">
        <v>0</v>
      </c>
      <c r="AM1832" t="s">
        <v>10888</v>
      </c>
      <c r="AN1832" t="s">
        <v>10914</v>
      </c>
      <c r="AO1832" t="s">
        <v>11007</v>
      </c>
      <c r="AP1832" t="s">
        <v>11052</v>
      </c>
      <c r="AR1832" t="s">
        <v>11329</v>
      </c>
      <c r="AS1832" t="s">
        <v>11595</v>
      </c>
      <c r="AT1832" t="s">
        <v>11642</v>
      </c>
      <c r="BA1832" t="s">
        <v>11740</v>
      </c>
      <c r="BB1832">
        <v>0</v>
      </c>
      <c r="BC1832">
        <v>0</v>
      </c>
      <c r="BD1832">
        <v>0</v>
      </c>
      <c r="BE1832">
        <v>0</v>
      </c>
      <c r="BF1832">
        <v>2</v>
      </c>
      <c r="BG1832">
        <v>0</v>
      </c>
    </row>
    <row r="1833" spans="1:59">
      <c r="A1833" s="1">
        <f>HYPERLINK("https://lsnyc.legalserver.org/matter/dynamic-profile/view/1905725","19-1905725")</f>
        <v>0</v>
      </c>
      <c r="B1833" t="s">
        <v>1599</v>
      </c>
      <c r="C1833" t="s">
        <v>6394</v>
      </c>
      <c r="D1833" t="s">
        <v>9928</v>
      </c>
      <c r="E1833" t="s">
        <v>10075</v>
      </c>
      <c r="F1833">
        <v>11233</v>
      </c>
      <c r="G1833" t="s">
        <v>10093</v>
      </c>
      <c r="H1833" t="s">
        <v>10121</v>
      </c>
      <c r="I1833" t="s">
        <v>10168</v>
      </c>
      <c r="J1833" t="s">
        <v>10213</v>
      </c>
      <c r="K1833" t="s">
        <v>10217</v>
      </c>
      <c r="M1833" t="s">
        <v>10551</v>
      </c>
      <c r="N1833" t="s">
        <v>10650</v>
      </c>
      <c r="P1833" t="s">
        <v>10749</v>
      </c>
      <c r="Q1833" t="s">
        <v>10765</v>
      </c>
      <c r="R1833" t="s">
        <v>10824</v>
      </c>
      <c r="T1833">
        <v>11256</v>
      </c>
      <c r="U1833">
        <v>938</v>
      </c>
      <c r="V1833">
        <v>91</v>
      </c>
      <c r="W1833">
        <v>2</v>
      </c>
      <c r="X1833">
        <v>1</v>
      </c>
      <c r="Z1833">
        <v>52.77</v>
      </c>
      <c r="AA1833">
        <v>40.680397</v>
      </c>
      <c r="AB1833">
        <v>-73.917407</v>
      </c>
      <c r="AD1833" t="s">
        <v>10839</v>
      </c>
      <c r="AG1833" t="s">
        <v>10858</v>
      </c>
      <c r="AH1833" t="s">
        <v>10862</v>
      </c>
      <c r="AI1833">
        <v>239</v>
      </c>
      <c r="AJ1833" t="s">
        <v>10213</v>
      </c>
      <c r="AL1833">
        <v>0</v>
      </c>
      <c r="AR1833" t="s">
        <v>11316</v>
      </c>
      <c r="AS1833" t="s">
        <v>11595</v>
      </c>
      <c r="BA1833" t="s">
        <v>11738</v>
      </c>
      <c r="BB1833">
        <v>0</v>
      </c>
      <c r="BC1833">
        <v>0</v>
      </c>
      <c r="BD1833">
        <v>0</v>
      </c>
      <c r="BE1833">
        <v>0</v>
      </c>
      <c r="BF1833">
        <v>5</v>
      </c>
      <c r="BG1833">
        <v>0</v>
      </c>
    </row>
    <row r="1834" spans="1:59">
      <c r="A1834" s="1">
        <f>HYPERLINK("https://lsnyc.legalserver.org/matter/dynamic-profile/view/1905726","19-1905726")</f>
        <v>0</v>
      </c>
      <c r="B1834" t="s">
        <v>1606</v>
      </c>
      <c r="C1834" t="s">
        <v>6415</v>
      </c>
      <c r="D1834" t="s">
        <v>9938</v>
      </c>
      <c r="E1834" t="s">
        <v>10075</v>
      </c>
      <c r="F1834">
        <v>11433</v>
      </c>
      <c r="G1834" t="s">
        <v>10092</v>
      </c>
      <c r="H1834" t="s">
        <v>10128</v>
      </c>
      <c r="I1834" t="s">
        <v>10194</v>
      </c>
      <c r="J1834" t="s">
        <v>10212</v>
      </c>
      <c r="K1834" t="s">
        <v>10217</v>
      </c>
      <c r="M1834" t="s">
        <v>10232</v>
      </c>
      <c r="N1834" t="s">
        <v>10674</v>
      </c>
      <c r="P1834" t="s">
        <v>10753</v>
      </c>
      <c r="Q1834" t="s">
        <v>10763</v>
      </c>
      <c r="R1834" t="s">
        <v>10827</v>
      </c>
      <c r="T1834">
        <v>10400</v>
      </c>
      <c r="U1834">
        <v>866.67</v>
      </c>
      <c r="V1834">
        <v>41</v>
      </c>
      <c r="W1834">
        <v>1</v>
      </c>
      <c r="X1834">
        <v>1</v>
      </c>
      <c r="Z1834">
        <v>61.5</v>
      </c>
      <c r="AA1834">
        <v>40.705279</v>
      </c>
      <c r="AB1834">
        <v>-73.788417</v>
      </c>
      <c r="AD1834" t="s">
        <v>10839</v>
      </c>
      <c r="AF1834" t="s">
        <v>10842</v>
      </c>
      <c r="AG1834" t="s">
        <v>10859</v>
      </c>
      <c r="AH1834" t="s">
        <v>10864</v>
      </c>
      <c r="AI1834">
        <v>237</v>
      </c>
      <c r="AJ1834" t="s">
        <v>10212</v>
      </c>
      <c r="AL1834">
        <v>1.75</v>
      </c>
      <c r="AM1834" t="s">
        <v>10892</v>
      </c>
      <c r="AN1834" t="s">
        <v>10955</v>
      </c>
      <c r="AO1834" t="s">
        <v>11020</v>
      </c>
      <c r="AP1834" t="s">
        <v>11075</v>
      </c>
      <c r="AQ1834" t="s">
        <v>11178</v>
      </c>
      <c r="AR1834" t="s">
        <v>11262</v>
      </c>
      <c r="AS1834" t="s">
        <v>11594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</row>
    <row r="1835" spans="1:59">
      <c r="A1835" s="1">
        <f>HYPERLINK("https://lsnyc.legalserver.org/matter/dynamic-profile/view/1905727","19-1905727")</f>
        <v>0</v>
      </c>
      <c r="B1835" t="s">
        <v>1151</v>
      </c>
      <c r="C1835" t="s">
        <v>5453</v>
      </c>
      <c r="D1835" t="s">
        <v>9928</v>
      </c>
      <c r="E1835" t="s">
        <v>10075</v>
      </c>
      <c r="F1835">
        <v>11221</v>
      </c>
      <c r="G1835" t="s">
        <v>10093</v>
      </c>
      <c r="H1835" t="s">
        <v>10121</v>
      </c>
      <c r="I1835" t="s">
        <v>10168</v>
      </c>
      <c r="J1835" t="s">
        <v>10213</v>
      </c>
      <c r="K1835" t="s">
        <v>10217</v>
      </c>
      <c r="M1835" t="s">
        <v>10392</v>
      </c>
      <c r="N1835" t="s">
        <v>10650</v>
      </c>
      <c r="P1835" t="s">
        <v>10749</v>
      </c>
      <c r="Q1835" t="s">
        <v>10765</v>
      </c>
      <c r="R1835" t="s">
        <v>10824</v>
      </c>
      <c r="T1835">
        <v>110000</v>
      </c>
      <c r="U1835">
        <v>9166.67</v>
      </c>
      <c r="V1835">
        <v>56</v>
      </c>
      <c r="W1835">
        <v>2</v>
      </c>
      <c r="X1835">
        <v>2</v>
      </c>
      <c r="Z1835">
        <v>427.18</v>
      </c>
      <c r="AA1835">
        <v>40.692299</v>
      </c>
      <c r="AB1835">
        <v>-73.938599</v>
      </c>
      <c r="AD1835" t="s">
        <v>10839</v>
      </c>
      <c r="AG1835" t="s">
        <v>10858</v>
      </c>
      <c r="AH1835" t="s">
        <v>10862</v>
      </c>
      <c r="AI1835">
        <v>239</v>
      </c>
      <c r="AJ1835" t="s">
        <v>10213</v>
      </c>
      <c r="AL1835">
        <v>0</v>
      </c>
      <c r="AM1835" t="s">
        <v>10889</v>
      </c>
      <c r="AN1835" t="s">
        <v>10914</v>
      </c>
      <c r="AO1835" t="s">
        <v>11011</v>
      </c>
      <c r="AP1835" t="s">
        <v>11052</v>
      </c>
      <c r="AR1835" t="s">
        <v>11406</v>
      </c>
      <c r="AS1835" t="s">
        <v>11595</v>
      </c>
      <c r="AT1835" t="s">
        <v>11641</v>
      </c>
      <c r="BA1835" t="s">
        <v>11740</v>
      </c>
      <c r="BB1835">
        <v>0</v>
      </c>
      <c r="BC1835">
        <v>0</v>
      </c>
      <c r="BD1835">
        <v>0</v>
      </c>
      <c r="BE1835">
        <v>0</v>
      </c>
      <c r="BF1835">
        <v>2</v>
      </c>
      <c r="BG1835">
        <v>0</v>
      </c>
    </row>
    <row r="1836" spans="1:59">
      <c r="A1836" s="1">
        <f>HYPERLINK("https://lsnyc.legalserver.org/matter/dynamic-profile/view/1905728","19-1905728")</f>
        <v>0</v>
      </c>
      <c r="B1836" t="s">
        <v>1607</v>
      </c>
      <c r="C1836" t="s">
        <v>6394</v>
      </c>
      <c r="D1836" t="s">
        <v>9928</v>
      </c>
      <c r="E1836" t="s">
        <v>10075</v>
      </c>
      <c r="F1836">
        <v>11233</v>
      </c>
      <c r="G1836" t="s">
        <v>10093</v>
      </c>
      <c r="H1836" t="s">
        <v>10121</v>
      </c>
      <c r="I1836" t="s">
        <v>10168</v>
      </c>
      <c r="J1836" t="s">
        <v>10213</v>
      </c>
      <c r="K1836" t="s">
        <v>10217</v>
      </c>
      <c r="M1836" t="s">
        <v>10551</v>
      </c>
      <c r="N1836" t="s">
        <v>10650</v>
      </c>
      <c r="P1836" t="s">
        <v>10749</v>
      </c>
      <c r="Q1836" t="s">
        <v>10765</v>
      </c>
      <c r="R1836" t="s">
        <v>10824</v>
      </c>
      <c r="T1836">
        <v>58000</v>
      </c>
      <c r="U1836">
        <v>4833.33</v>
      </c>
      <c r="V1836">
        <v>67</v>
      </c>
      <c r="W1836">
        <v>1</v>
      </c>
      <c r="X1836">
        <v>0</v>
      </c>
      <c r="Z1836">
        <v>464.37</v>
      </c>
      <c r="AA1836">
        <v>40.680397</v>
      </c>
      <c r="AB1836">
        <v>-73.917407</v>
      </c>
      <c r="AC1836" t="s">
        <v>10837</v>
      </c>
      <c r="AD1836" t="s">
        <v>10840</v>
      </c>
      <c r="AG1836" t="s">
        <v>10858</v>
      </c>
      <c r="AH1836" t="s">
        <v>10862</v>
      </c>
      <c r="AI1836">
        <v>239</v>
      </c>
      <c r="AJ1836" t="s">
        <v>10213</v>
      </c>
      <c r="AL1836">
        <v>0</v>
      </c>
      <c r="AM1836" t="s">
        <v>10889</v>
      </c>
      <c r="AN1836" t="s">
        <v>10922</v>
      </c>
      <c r="AO1836" t="s">
        <v>11007</v>
      </c>
      <c r="AP1836" t="s">
        <v>11064</v>
      </c>
      <c r="AR1836" t="s">
        <v>11257</v>
      </c>
      <c r="AS1836" t="s">
        <v>11595</v>
      </c>
      <c r="AT1836" t="s">
        <v>11642</v>
      </c>
      <c r="BA1836" t="s">
        <v>11740</v>
      </c>
      <c r="BB1836">
        <v>0</v>
      </c>
      <c r="BC1836">
        <v>0</v>
      </c>
      <c r="BD1836">
        <v>0</v>
      </c>
      <c r="BE1836">
        <v>0</v>
      </c>
      <c r="BF1836">
        <v>2</v>
      </c>
      <c r="BG1836">
        <v>0</v>
      </c>
    </row>
    <row r="1837" spans="1:59">
      <c r="A1837" s="1">
        <f>HYPERLINK("https://lsnyc.legalserver.org/matter/dynamic-profile/view/1905731","19-1905731")</f>
        <v>0</v>
      </c>
      <c r="B1837" t="s">
        <v>1607</v>
      </c>
      <c r="C1837" t="s">
        <v>6394</v>
      </c>
      <c r="D1837" t="s">
        <v>9928</v>
      </c>
      <c r="E1837" t="s">
        <v>10075</v>
      </c>
      <c r="F1837">
        <v>11233</v>
      </c>
      <c r="G1837" t="s">
        <v>10093</v>
      </c>
      <c r="H1837" t="s">
        <v>10121</v>
      </c>
      <c r="I1837" t="s">
        <v>10168</v>
      </c>
      <c r="J1837" t="s">
        <v>10213</v>
      </c>
      <c r="K1837" t="s">
        <v>10217</v>
      </c>
      <c r="M1837" t="s">
        <v>10551</v>
      </c>
      <c r="N1837" t="s">
        <v>10650</v>
      </c>
      <c r="P1837" t="s">
        <v>10749</v>
      </c>
      <c r="Q1837" t="s">
        <v>10765</v>
      </c>
      <c r="R1837" t="s">
        <v>10824</v>
      </c>
      <c r="T1837">
        <v>58000</v>
      </c>
      <c r="U1837">
        <v>4833.33</v>
      </c>
      <c r="V1837">
        <v>67</v>
      </c>
      <c r="W1837">
        <v>1</v>
      </c>
      <c r="X1837">
        <v>0</v>
      </c>
      <c r="Z1837">
        <v>464.37</v>
      </c>
      <c r="AA1837">
        <v>40.680397</v>
      </c>
      <c r="AB1837">
        <v>-73.917407</v>
      </c>
      <c r="AD1837" t="s">
        <v>10840</v>
      </c>
      <c r="AG1837" t="s">
        <v>10858</v>
      </c>
      <c r="AH1837" t="s">
        <v>10862</v>
      </c>
      <c r="AI1837">
        <v>239</v>
      </c>
      <c r="AJ1837" t="s">
        <v>10213</v>
      </c>
      <c r="AL1837">
        <v>0</v>
      </c>
      <c r="AR1837" t="s">
        <v>11257</v>
      </c>
      <c r="AS1837" t="s">
        <v>11595</v>
      </c>
      <c r="BA1837" t="s">
        <v>11740</v>
      </c>
      <c r="BB1837">
        <v>0</v>
      </c>
      <c r="BC1837">
        <v>0</v>
      </c>
      <c r="BD1837">
        <v>0</v>
      </c>
      <c r="BE1837">
        <v>0</v>
      </c>
      <c r="BF1837">
        <v>2</v>
      </c>
      <c r="BG1837">
        <v>0</v>
      </c>
    </row>
    <row r="1838" spans="1:59">
      <c r="A1838" s="1">
        <f>HYPERLINK("https://lsnyc.legalserver.org/matter/dynamic-profile/view/1905732","19-1905732")</f>
        <v>0</v>
      </c>
      <c r="B1838" t="s">
        <v>1608</v>
      </c>
      <c r="C1838" t="s">
        <v>6416</v>
      </c>
      <c r="D1838" t="s">
        <v>9982</v>
      </c>
      <c r="E1838" t="s">
        <v>10075</v>
      </c>
      <c r="F1838">
        <v>11375</v>
      </c>
      <c r="G1838" t="s">
        <v>10092</v>
      </c>
      <c r="H1838" t="s">
        <v>10128</v>
      </c>
      <c r="I1838" t="s">
        <v>10171</v>
      </c>
      <c r="J1838" t="s">
        <v>10212</v>
      </c>
      <c r="K1838" t="s">
        <v>10217</v>
      </c>
      <c r="M1838" t="s">
        <v>10232</v>
      </c>
      <c r="N1838" t="s">
        <v>10648</v>
      </c>
      <c r="P1838" t="s">
        <v>10753</v>
      </c>
      <c r="Q1838" t="s">
        <v>10763</v>
      </c>
      <c r="R1838" t="s">
        <v>10820</v>
      </c>
      <c r="T1838">
        <v>10400</v>
      </c>
      <c r="U1838">
        <v>866.67</v>
      </c>
      <c r="V1838">
        <v>48</v>
      </c>
      <c r="W1838">
        <v>1</v>
      </c>
      <c r="X1838">
        <v>1</v>
      </c>
      <c r="Z1838">
        <v>61.5</v>
      </c>
      <c r="AA1838">
        <v>40.730379</v>
      </c>
      <c r="AB1838">
        <v>-73.851236</v>
      </c>
      <c r="AD1838" t="s">
        <v>10839</v>
      </c>
      <c r="AF1838" t="s">
        <v>10842</v>
      </c>
      <c r="AG1838" t="s">
        <v>10859</v>
      </c>
      <c r="AH1838" t="s">
        <v>10864</v>
      </c>
      <c r="AI1838">
        <v>237</v>
      </c>
      <c r="AJ1838" t="s">
        <v>10212</v>
      </c>
      <c r="AL1838">
        <v>1.5</v>
      </c>
      <c r="AM1838" t="s">
        <v>10890</v>
      </c>
      <c r="AN1838" t="s">
        <v>10962</v>
      </c>
      <c r="AO1838" t="s">
        <v>11009</v>
      </c>
      <c r="AP1838" t="s">
        <v>11083</v>
      </c>
      <c r="AQ1838" t="s">
        <v>11161</v>
      </c>
      <c r="AR1838" t="s">
        <v>11257</v>
      </c>
      <c r="AS1838" t="s">
        <v>11594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</row>
    <row r="1839" spans="1:59">
      <c r="A1839" s="1">
        <f>HYPERLINK("https://lsnyc.legalserver.org/matter/dynamic-profile/view/1905733","19-1905733")</f>
        <v>0</v>
      </c>
      <c r="B1839" t="s">
        <v>539</v>
      </c>
      <c r="C1839" t="s">
        <v>5430</v>
      </c>
      <c r="D1839" t="s">
        <v>9928</v>
      </c>
      <c r="E1839" t="s">
        <v>10075</v>
      </c>
      <c r="F1839">
        <v>11221</v>
      </c>
      <c r="G1839" t="s">
        <v>10093</v>
      </c>
      <c r="H1839" t="s">
        <v>10121</v>
      </c>
      <c r="I1839" t="s">
        <v>10168</v>
      </c>
      <c r="J1839" t="s">
        <v>10213</v>
      </c>
      <c r="K1839" t="s">
        <v>10217</v>
      </c>
      <c r="M1839" t="s">
        <v>10392</v>
      </c>
      <c r="N1839" t="s">
        <v>10650</v>
      </c>
      <c r="P1839" t="s">
        <v>10749</v>
      </c>
      <c r="Q1839" t="s">
        <v>10765</v>
      </c>
      <c r="R1839" t="s">
        <v>10822</v>
      </c>
      <c r="T1839">
        <v>85000</v>
      </c>
      <c r="U1839">
        <v>7083.33</v>
      </c>
      <c r="V1839">
        <v>58</v>
      </c>
      <c r="W1839">
        <v>3</v>
      </c>
      <c r="X1839">
        <v>0</v>
      </c>
      <c r="Z1839">
        <v>398.5</v>
      </c>
      <c r="AA1839">
        <v>40.692296</v>
      </c>
      <c r="AB1839">
        <v>-73.938714</v>
      </c>
      <c r="AD1839" t="s">
        <v>10840</v>
      </c>
      <c r="AG1839" t="s">
        <v>10858</v>
      </c>
      <c r="AH1839" t="s">
        <v>10862</v>
      </c>
      <c r="AI1839">
        <v>239</v>
      </c>
      <c r="AJ1839" t="s">
        <v>10213</v>
      </c>
      <c r="AL1839">
        <v>0</v>
      </c>
      <c r="AM1839" t="s">
        <v>10889</v>
      </c>
      <c r="AN1839" t="s">
        <v>10914</v>
      </c>
      <c r="AO1839" t="s">
        <v>11011</v>
      </c>
      <c r="AP1839" t="s">
        <v>11052</v>
      </c>
      <c r="AR1839" t="s">
        <v>11257</v>
      </c>
      <c r="AS1839" t="s">
        <v>11595</v>
      </c>
      <c r="AT1839" t="s">
        <v>11642</v>
      </c>
      <c r="BA1839" t="s">
        <v>11740</v>
      </c>
      <c r="BB1839">
        <v>0</v>
      </c>
      <c r="BC1839">
        <v>0</v>
      </c>
      <c r="BD1839">
        <v>0</v>
      </c>
      <c r="BE1839">
        <v>0</v>
      </c>
      <c r="BF1839">
        <v>2</v>
      </c>
      <c r="BG1839">
        <v>0</v>
      </c>
    </row>
    <row r="1840" spans="1:59">
      <c r="A1840" s="1">
        <f>HYPERLINK("https://lsnyc.legalserver.org/matter/dynamic-profile/view/1905734","19-1905734")</f>
        <v>0</v>
      </c>
      <c r="B1840" t="s">
        <v>1607</v>
      </c>
      <c r="C1840" t="s">
        <v>6394</v>
      </c>
      <c r="D1840" t="s">
        <v>9928</v>
      </c>
      <c r="E1840" t="s">
        <v>10075</v>
      </c>
      <c r="F1840">
        <v>11233</v>
      </c>
      <c r="G1840" t="s">
        <v>10093</v>
      </c>
      <c r="H1840" t="s">
        <v>10121</v>
      </c>
      <c r="I1840" t="s">
        <v>10168</v>
      </c>
      <c r="J1840" t="s">
        <v>10213</v>
      </c>
      <c r="K1840" t="s">
        <v>10217</v>
      </c>
      <c r="M1840" t="s">
        <v>10551</v>
      </c>
      <c r="N1840" t="s">
        <v>10650</v>
      </c>
      <c r="P1840" t="s">
        <v>10749</v>
      </c>
      <c r="Q1840" t="s">
        <v>10765</v>
      </c>
      <c r="R1840" t="s">
        <v>10824</v>
      </c>
      <c r="T1840">
        <v>58000</v>
      </c>
      <c r="U1840">
        <v>4833.33</v>
      </c>
      <c r="V1840">
        <v>67</v>
      </c>
      <c r="W1840">
        <v>1</v>
      </c>
      <c r="X1840">
        <v>0</v>
      </c>
      <c r="Z1840">
        <v>464.37</v>
      </c>
      <c r="AA1840">
        <v>40.680397</v>
      </c>
      <c r="AB1840">
        <v>-73.917407</v>
      </c>
      <c r="AD1840" t="s">
        <v>10840</v>
      </c>
      <c r="AG1840" t="s">
        <v>10858</v>
      </c>
      <c r="AH1840" t="s">
        <v>10862</v>
      </c>
      <c r="AI1840">
        <v>239</v>
      </c>
      <c r="AJ1840" t="s">
        <v>10213</v>
      </c>
      <c r="AL1840">
        <v>0</v>
      </c>
      <c r="AR1840" t="s">
        <v>11257</v>
      </c>
      <c r="AS1840" t="s">
        <v>11595</v>
      </c>
      <c r="BA1840" t="s">
        <v>11740</v>
      </c>
      <c r="BB1840">
        <v>0</v>
      </c>
      <c r="BC1840">
        <v>0</v>
      </c>
      <c r="BD1840">
        <v>0</v>
      </c>
      <c r="BE1840">
        <v>0</v>
      </c>
      <c r="BF1840">
        <v>2</v>
      </c>
      <c r="BG1840">
        <v>0</v>
      </c>
    </row>
    <row r="1841" spans="1:59">
      <c r="A1841" s="1">
        <f>HYPERLINK("https://lsnyc.legalserver.org/matter/dynamic-profile/view/1905735","19-1905735")</f>
        <v>0</v>
      </c>
      <c r="B1841" t="s">
        <v>1609</v>
      </c>
      <c r="C1841" t="s">
        <v>6417</v>
      </c>
      <c r="D1841" t="s">
        <v>9926</v>
      </c>
      <c r="E1841" t="s">
        <v>10075</v>
      </c>
      <c r="F1841">
        <v>10468</v>
      </c>
      <c r="G1841" t="s">
        <v>10090</v>
      </c>
      <c r="H1841" t="s">
        <v>10121</v>
      </c>
      <c r="I1841" t="s">
        <v>10169</v>
      </c>
      <c r="J1841" t="s">
        <v>10210</v>
      </c>
      <c r="K1841" t="s">
        <v>10217</v>
      </c>
      <c r="M1841" t="s">
        <v>10372</v>
      </c>
      <c r="N1841" t="s">
        <v>10704</v>
      </c>
      <c r="P1841" t="s">
        <v>10750</v>
      </c>
      <c r="Q1841" t="s">
        <v>10778</v>
      </c>
      <c r="R1841" t="s">
        <v>10823</v>
      </c>
      <c r="T1841">
        <v>1200</v>
      </c>
      <c r="U1841">
        <v>100</v>
      </c>
      <c r="V1841">
        <v>42</v>
      </c>
      <c r="W1841">
        <v>1</v>
      </c>
      <c r="X1841">
        <v>0</v>
      </c>
      <c r="Z1841">
        <v>9.609999999999999</v>
      </c>
      <c r="AA1841">
        <v>40.868788</v>
      </c>
      <c r="AB1841">
        <v>-73.89533400000001</v>
      </c>
      <c r="AD1841" t="s">
        <v>10839</v>
      </c>
      <c r="AF1841" t="s">
        <v>10842</v>
      </c>
      <c r="AG1841" t="s">
        <v>10859</v>
      </c>
      <c r="AH1841" t="s">
        <v>10861</v>
      </c>
      <c r="AI1841">
        <v>234</v>
      </c>
      <c r="AJ1841" t="s">
        <v>10214</v>
      </c>
      <c r="AL1841">
        <v>1.95</v>
      </c>
      <c r="AM1841" t="s">
        <v>10887</v>
      </c>
      <c r="AN1841" t="s">
        <v>10907</v>
      </c>
      <c r="AO1841" t="s">
        <v>11000</v>
      </c>
      <c r="AP1841" t="s">
        <v>11045</v>
      </c>
      <c r="AR1841" t="s">
        <v>10180</v>
      </c>
      <c r="AS1841" t="s">
        <v>9926</v>
      </c>
      <c r="AT1841" t="s">
        <v>11641</v>
      </c>
      <c r="AX1841" t="s">
        <v>10838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</row>
    <row r="1842" spans="1:59">
      <c r="A1842" s="1">
        <f>HYPERLINK("https://lsnyc.legalserver.org/matter/dynamic-profile/view/1905736","19-1905736")</f>
        <v>0</v>
      </c>
      <c r="B1842" t="s">
        <v>1607</v>
      </c>
      <c r="C1842" t="s">
        <v>6394</v>
      </c>
      <c r="D1842" t="s">
        <v>9928</v>
      </c>
      <c r="E1842" t="s">
        <v>10075</v>
      </c>
      <c r="F1842">
        <v>11233</v>
      </c>
      <c r="G1842" t="s">
        <v>10093</v>
      </c>
      <c r="H1842" t="s">
        <v>10121</v>
      </c>
      <c r="I1842" t="s">
        <v>10168</v>
      </c>
      <c r="J1842" t="s">
        <v>10213</v>
      </c>
      <c r="K1842" t="s">
        <v>10217</v>
      </c>
      <c r="M1842" t="s">
        <v>10551</v>
      </c>
      <c r="N1842" t="s">
        <v>10650</v>
      </c>
      <c r="P1842" t="s">
        <v>10749</v>
      </c>
      <c r="Q1842" t="s">
        <v>10765</v>
      </c>
      <c r="R1842" t="s">
        <v>10824</v>
      </c>
      <c r="T1842">
        <v>58000</v>
      </c>
      <c r="U1842">
        <v>4833.33</v>
      </c>
      <c r="V1842">
        <v>67</v>
      </c>
      <c r="W1842">
        <v>1</v>
      </c>
      <c r="X1842">
        <v>0</v>
      </c>
      <c r="Z1842">
        <v>464.37</v>
      </c>
      <c r="AA1842">
        <v>40.680397</v>
      </c>
      <c r="AB1842">
        <v>-73.917407</v>
      </c>
      <c r="AD1842" t="s">
        <v>10840</v>
      </c>
      <c r="AG1842" t="s">
        <v>10858</v>
      </c>
      <c r="AH1842" t="s">
        <v>10862</v>
      </c>
      <c r="AI1842">
        <v>239</v>
      </c>
      <c r="AJ1842" t="s">
        <v>10213</v>
      </c>
      <c r="AL1842">
        <v>0</v>
      </c>
      <c r="AQ1842" t="s">
        <v>11120</v>
      </c>
      <c r="AR1842" t="s">
        <v>11257</v>
      </c>
      <c r="AS1842" t="s">
        <v>11595</v>
      </c>
      <c r="BA1842" t="s">
        <v>11738</v>
      </c>
      <c r="BB1842">
        <v>0</v>
      </c>
      <c r="BC1842">
        <v>0</v>
      </c>
      <c r="BD1842">
        <v>0</v>
      </c>
      <c r="BE1842">
        <v>0</v>
      </c>
      <c r="BF1842">
        <v>5</v>
      </c>
      <c r="BG1842">
        <v>0</v>
      </c>
    </row>
    <row r="1843" spans="1:59">
      <c r="A1843" s="1">
        <f>HYPERLINK("https://lsnyc.legalserver.org/matter/dynamic-profile/view/1905737","19-1905737")</f>
        <v>0</v>
      </c>
      <c r="B1843" t="s">
        <v>1610</v>
      </c>
      <c r="C1843" t="s">
        <v>6418</v>
      </c>
      <c r="D1843" t="s">
        <v>9926</v>
      </c>
      <c r="E1843" t="s">
        <v>10075</v>
      </c>
      <c r="F1843">
        <v>10452</v>
      </c>
      <c r="G1843" t="s">
        <v>10090</v>
      </c>
      <c r="H1843" t="s">
        <v>10121</v>
      </c>
      <c r="I1843" t="s">
        <v>10168</v>
      </c>
      <c r="J1843" t="s">
        <v>10210</v>
      </c>
      <c r="K1843" t="s">
        <v>10217</v>
      </c>
      <c r="M1843" t="s">
        <v>10401</v>
      </c>
      <c r="N1843" t="s">
        <v>10677</v>
      </c>
      <c r="P1843" t="s">
        <v>10751</v>
      </c>
      <c r="Q1843" t="s">
        <v>10761</v>
      </c>
      <c r="R1843" t="s">
        <v>10824</v>
      </c>
      <c r="T1843">
        <v>13728</v>
      </c>
      <c r="U1843">
        <v>1144</v>
      </c>
      <c r="V1843">
        <v>71</v>
      </c>
      <c r="W1843">
        <v>1</v>
      </c>
      <c r="X1843">
        <v>0</v>
      </c>
      <c r="Z1843">
        <v>109.91</v>
      </c>
      <c r="AA1843">
        <v>40.82923</v>
      </c>
      <c r="AB1843">
        <v>-73.923169</v>
      </c>
      <c r="AD1843" t="s">
        <v>10839</v>
      </c>
      <c r="AG1843" t="s">
        <v>10858</v>
      </c>
      <c r="AH1843" t="s">
        <v>10874</v>
      </c>
      <c r="AI1843">
        <v>230</v>
      </c>
      <c r="AJ1843" t="s">
        <v>10210</v>
      </c>
      <c r="AL1843">
        <v>4.5</v>
      </c>
      <c r="AM1843" t="s">
        <v>10884</v>
      </c>
      <c r="AN1843" t="s">
        <v>10924</v>
      </c>
      <c r="AO1843" t="s">
        <v>11013</v>
      </c>
      <c r="AP1843" t="s">
        <v>11066</v>
      </c>
      <c r="AR1843" t="s">
        <v>11300</v>
      </c>
      <c r="AS1843" t="s">
        <v>9926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</row>
    <row r="1844" spans="1:59">
      <c r="A1844" s="1">
        <f>HYPERLINK("https://lsnyc.legalserver.org/matter/dynamic-profile/view/1905738","19-1905738")</f>
        <v>0</v>
      </c>
      <c r="B1844" t="s">
        <v>1611</v>
      </c>
      <c r="C1844" t="s">
        <v>6419</v>
      </c>
      <c r="D1844" t="s">
        <v>9928</v>
      </c>
      <c r="E1844" t="s">
        <v>10075</v>
      </c>
      <c r="F1844">
        <v>11233</v>
      </c>
      <c r="G1844" t="s">
        <v>10093</v>
      </c>
      <c r="H1844" t="s">
        <v>10121</v>
      </c>
      <c r="I1844" t="s">
        <v>10168</v>
      </c>
      <c r="J1844" t="s">
        <v>10213</v>
      </c>
      <c r="K1844" t="s">
        <v>10217</v>
      </c>
      <c r="M1844" t="s">
        <v>10552</v>
      </c>
      <c r="N1844" t="s">
        <v>10650</v>
      </c>
      <c r="P1844" t="s">
        <v>10749</v>
      </c>
      <c r="Q1844" t="s">
        <v>10765</v>
      </c>
      <c r="R1844" t="s">
        <v>10821</v>
      </c>
      <c r="T1844">
        <v>0</v>
      </c>
      <c r="U1844">
        <v>0</v>
      </c>
      <c r="V1844">
        <v>39</v>
      </c>
      <c r="W1844">
        <v>1</v>
      </c>
      <c r="X1844">
        <v>0</v>
      </c>
      <c r="Z1844">
        <v>0</v>
      </c>
      <c r="AA1844">
        <v>40.678484</v>
      </c>
      <c r="AB1844">
        <v>-73.908846</v>
      </c>
      <c r="AD1844" t="s">
        <v>10840</v>
      </c>
      <c r="AG1844" t="s">
        <v>10858</v>
      </c>
      <c r="AH1844" t="s">
        <v>10862</v>
      </c>
      <c r="AI1844">
        <v>239</v>
      </c>
      <c r="AJ1844" t="s">
        <v>10213</v>
      </c>
      <c r="AL1844">
        <v>0</v>
      </c>
      <c r="AM1844" t="s">
        <v>10889</v>
      </c>
      <c r="AN1844" t="s">
        <v>10922</v>
      </c>
      <c r="AO1844" t="s">
        <v>11007</v>
      </c>
      <c r="AP1844" t="s">
        <v>11058</v>
      </c>
      <c r="AR1844" t="s">
        <v>11279</v>
      </c>
      <c r="AS1844" t="s">
        <v>11595</v>
      </c>
      <c r="AT1844" t="s">
        <v>11642</v>
      </c>
      <c r="BA1844" t="s">
        <v>11741</v>
      </c>
      <c r="BB1844">
        <v>0</v>
      </c>
      <c r="BC1844">
        <v>0</v>
      </c>
      <c r="BD1844">
        <v>0</v>
      </c>
      <c r="BE1844">
        <v>0</v>
      </c>
      <c r="BF1844">
        <v>1</v>
      </c>
      <c r="BG1844">
        <v>0</v>
      </c>
    </row>
    <row r="1845" spans="1:59">
      <c r="A1845" s="1">
        <f>HYPERLINK("https://lsnyc.legalserver.org/matter/dynamic-profile/view/1905739","19-1905739")</f>
        <v>0</v>
      </c>
      <c r="B1845" t="s">
        <v>1612</v>
      </c>
      <c r="C1845" t="s">
        <v>5018</v>
      </c>
      <c r="D1845" t="s">
        <v>9929</v>
      </c>
      <c r="E1845" t="s">
        <v>10075</v>
      </c>
      <c r="F1845">
        <v>10304</v>
      </c>
      <c r="G1845" t="s">
        <v>10088</v>
      </c>
      <c r="H1845" t="s">
        <v>10102</v>
      </c>
      <c r="I1845" t="s">
        <v>10168</v>
      </c>
      <c r="J1845" t="s">
        <v>10208</v>
      </c>
      <c r="K1845" t="s">
        <v>10217</v>
      </c>
      <c r="M1845" t="s">
        <v>10240</v>
      </c>
      <c r="N1845" t="s">
        <v>10650</v>
      </c>
      <c r="P1845" t="s">
        <v>10749</v>
      </c>
      <c r="Q1845" t="s">
        <v>10765</v>
      </c>
      <c r="R1845" t="s">
        <v>10825</v>
      </c>
      <c r="T1845">
        <v>12036</v>
      </c>
      <c r="U1845">
        <v>1003</v>
      </c>
      <c r="V1845">
        <v>32</v>
      </c>
      <c r="W1845">
        <v>1</v>
      </c>
      <c r="X1845">
        <v>2</v>
      </c>
      <c r="Z1845">
        <v>56.43</v>
      </c>
      <c r="AA1845">
        <v>40.623662</v>
      </c>
      <c r="AB1845">
        <v>-74.080727</v>
      </c>
      <c r="AD1845" t="s">
        <v>10839</v>
      </c>
      <c r="AG1845" t="s">
        <v>10858</v>
      </c>
      <c r="AH1845" t="s">
        <v>10862</v>
      </c>
      <c r="AI1845">
        <v>285</v>
      </c>
      <c r="AJ1845" t="s">
        <v>10208</v>
      </c>
      <c r="AL1845">
        <v>13.6</v>
      </c>
      <c r="AM1845" t="s">
        <v>10883</v>
      </c>
      <c r="AN1845" t="s">
        <v>10913</v>
      </c>
      <c r="AO1845" t="s">
        <v>11006</v>
      </c>
      <c r="AP1845" t="s">
        <v>11051</v>
      </c>
      <c r="AR1845" t="s">
        <v>11353</v>
      </c>
      <c r="AS1845" t="s">
        <v>11593</v>
      </c>
      <c r="BA1845" t="s">
        <v>11738</v>
      </c>
      <c r="BB1845">
        <v>0</v>
      </c>
      <c r="BC1845">
        <v>0</v>
      </c>
      <c r="BD1845">
        <v>0</v>
      </c>
      <c r="BE1845">
        <v>0</v>
      </c>
      <c r="BF1845">
        <v>5</v>
      </c>
      <c r="BG1845">
        <v>0</v>
      </c>
    </row>
    <row r="1846" spans="1:59">
      <c r="A1846" s="1">
        <f>HYPERLINK("https://lsnyc.legalserver.org/matter/dynamic-profile/view/1905740","19-1905740")</f>
        <v>0</v>
      </c>
      <c r="B1846" t="s">
        <v>1613</v>
      </c>
      <c r="C1846" t="s">
        <v>6420</v>
      </c>
      <c r="D1846" t="s">
        <v>9926</v>
      </c>
      <c r="E1846" t="s">
        <v>10075</v>
      </c>
      <c r="F1846">
        <v>10453</v>
      </c>
      <c r="G1846" t="s">
        <v>10090</v>
      </c>
      <c r="H1846" t="s">
        <v>10121</v>
      </c>
      <c r="I1846" t="s">
        <v>10168</v>
      </c>
      <c r="J1846" t="s">
        <v>10210</v>
      </c>
      <c r="K1846" t="s">
        <v>10217</v>
      </c>
      <c r="M1846" t="s">
        <v>10272</v>
      </c>
      <c r="N1846" t="s">
        <v>10650</v>
      </c>
      <c r="P1846" t="s">
        <v>10749</v>
      </c>
      <c r="Q1846" t="s">
        <v>10765</v>
      </c>
      <c r="R1846" t="s">
        <v>10825</v>
      </c>
      <c r="T1846">
        <v>4224</v>
      </c>
      <c r="U1846">
        <v>352</v>
      </c>
      <c r="V1846">
        <v>48</v>
      </c>
      <c r="W1846">
        <v>1</v>
      </c>
      <c r="X1846">
        <v>0</v>
      </c>
      <c r="Z1846">
        <v>33.82</v>
      </c>
      <c r="AA1846">
        <v>40.847884</v>
      </c>
      <c r="AB1846">
        <v>-73.91131900000001</v>
      </c>
      <c r="AC1846" t="s">
        <v>10837</v>
      </c>
      <c r="AD1846" t="s">
        <v>10840</v>
      </c>
      <c r="AG1846" t="s">
        <v>10858</v>
      </c>
      <c r="AH1846" t="s">
        <v>10862</v>
      </c>
      <c r="AI1846">
        <v>230</v>
      </c>
      <c r="AJ1846" t="s">
        <v>10210</v>
      </c>
      <c r="AK1846" t="s">
        <v>10838</v>
      </c>
      <c r="AL1846">
        <v>20.35</v>
      </c>
      <c r="AM1846" t="s">
        <v>10884</v>
      </c>
      <c r="AN1846" t="s">
        <v>10929</v>
      </c>
      <c r="AO1846" t="s">
        <v>11000</v>
      </c>
      <c r="AP1846" t="s">
        <v>11045</v>
      </c>
      <c r="AR1846" t="s">
        <v>11255</v>
      </c>
      <c r="AS1846" t="s">
        <v>9926</v>
      </c>
      <c r="AT1846" t="s">
        <v>11642</v>
      </c>
      <c r="AX1846" t="s">
        <v>10838</v>
      </c>
      <c r="AZ1846" t="s">
        <v>11681</v>
      </c>
      <c r="BA1846" t="s">
        <v>11738</v>
      </c>
      <c r="BB1846">
        <v>0</v>
      </c>
      <c r="BC1846">
        <v>0</v>
      </c>
      <c r="BD1846">
        <v>0</v>
      </c>
      <c r="BE1846">
        <v>0</v>
      </c>
      <c r="BF1846">
        <v>5</v>
      </c>
      <c r="BG1846">
        <v>0</v>
      </c>
    </row>
    <row r="1847" spans="1:59">
      <c r="A1847" s="1">
        <f>HYPERLINK("https://lsnyc.legalserver.org/matter/dynamic-profile/view/1905741","19-1905741")</f>
        <v>0</v>
      </c>
      <c r="B1847" t="s">
        <v>1297</v>
      </c>
      <c r="C1847" t="s">
        <v>6421</v>
      </c>
      <c r="D1847" t="s">
        <v>9935</v>
      </c>
      <c r="E1847" t="s">
        <v>10075</v>
      </c>
      <c r="F1847">
        <v>11369</v>
      </c>
      <c r="G1847" t="s">
        <v>10092</v>
      </c>
      <c r="H1847" t="s">
        <v>10121</v>
      </c>
      <c r="I1847" t="s">
        <v>10168</v>
      </c>
      <c r="J1847" t="s">
        <v>10212</v>
      </c>
      <c r="K1847" t="s">
        <v>10217</v>
      </c>
      <c r="M1847" t="s">
        <v>10547</v>
      </c>
      <c r="N1847" t="s">
        <v>10714</v>
      </c>
      <c r="P1847" t="s">
        <v>10753</v>
      </c>
      <c r="Q1847" t="s">
        <v>10763</v>
      </c>
      <c r="R1847" t="s">
        <v>10823</v>
      </c>
      <c r="T1847">
        <v>3500</v>
      </c>
      <c r="U1847">
        <v>291.67</v>
      </c>
      <c r="V1847">
        <v>45</v>
      </c>
      <c r="W1847">
        <v>1</v>
      </c>
      <c r="X1847">
        <v>2</v>
      </c>
      <c r="Z1847">
        <v>16.41</v>
      </c>
      <c r="AA1847">
        <v>40.769008</v>
      </c>
      <c r="AB1847">
        <v>-73.87590400000001</v>
      </c>
      <c r="AD1847" t="s">
        <v>10839</v>
      </c>
      <c r="AF1847" t="s">
        <v>10843</v>
      </c>
      <c r="AG1847" t="s">
        <v>10859</v>
      </c>
      <c r="AH1847" t="s">
        <v>10864</v>
      </c>
      <c r="AI1847">
        <v>237</v>
      </c>
      <c r="AJ1847" t="s">
        <v>10212</v>
      </c>
      <c r="AL1847">
        <v>1.5</v>
      </c>
      <c r="AM1847" t="s">
        <v>10885</v>
      </c>
      <c r="AN1847" t="s">
        <v>10916</v>
      </c>
      <c r="AO1847" t="s">
        <v>11014</v>
      </c>
      <c r="AP1847" t="s">
        <v>11068</v>
      </c>
      <c r="AQ1847" t="s">
        <v>11097</v>
      </c>
      <c r="AR1847" t="s">
        <v>11257</v>
      </c>
      <c r="AS1847" t="s">
        <v>11594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</row>
    <row r="1848" spans="1:59">
      <c r="A1848" s="1">
        <f>HYPERLINK("https://lsnyc.legalserver.org/matter/dynamic-profile/view/1905742","19-1905742")</f>
        <v>0</v>
      </c>
      <c r="B1848" t="s">
        <v>597</v>
      </c>
      <c r="C1848" t="s">
        <v>5683</v>
      </c>
      <c r="D1848" t="s">
        <v>9926</v>
      </c>
      <c r="E1848" t="s">
        <v>10075</v>
      </c>
      <c r="F1848">
        <v>10467</v>
      </c>
      <c r="G1848" t="s">
        <v>10090</v>
      </c>
      <c r="H1848" t="s">
        <v>10121</v>
      </c>
      <c r="I1848" t="s">
        <v>10168</v>
      </c>
      <c r="J1848" t="s">
        <v>10210</v>
      </c>
      <c r="K1848" t="s">
        <v>10217</v>
      </c>
      <c r="M1848" t="s">
        <v>10540</v>
      </c>
      <c r="N1848" t="s">
        <v>10727</v>
      </c>
      <c r="P1848" t="s">
        <v>10753</v>
      </c>
      <c r="Q1848" t="s">
        <v>10809</v>
      </c>
      <c r="R1848" t="s">
        <v>10824</v>
      </c>
      <c r="T1848">
        <v>0</v>
      </c>
      <c r="U1848">
        <v>0</v>
      </c>
      <c r="V1848">
        <v>53</v>
      </c>
      <c r="W1848">
        <v>1</v>
      </c>
      <c r="X1848">
        <v>0</v>
      </c>
      <c r="Z1848">
        <v>0</v>
      </c>
      <c r="AA1848">
        <v>40.872079</v>
      </c>
      <c r="AB1848">
        <v>-73.865025</v>
      </c>
      <c r="AD1848" t="s">
        <v>10839</v>
      </c>
      <c r="AG1848" t="s">
        <v>10858</v>
      </c>
      <c r="AH1848" t="s">
        <v>10865</v>
      </c>
      <c r="AI1848">
        <v>230</v>
      </c>
      <c r="AJ1848" t="s">
        <v>10210</v>
      </c>
      <c r="AK1848" t="s">
        <v>10837</v>
      </c>
      <c r="AL1848">
        <v>15.5</v>
      </c>
      <c r="AM1848" t="s">
        <v>10893</v>
      </c>
      <c r="AN1848" t="s">
        <v>10938</v>
      </c>
      <c r="AO1848" t="s">
        <v>11010</v>
      </c>
      <c r="AP1848" t="s">
        <v>11056</v>
      </c>
      <c r="AQ1848" t="s">
        <v>11180</v>
      </c>
      <c r="AR1848" t="s">
        <v>11267</v>
      </c>
      <c r="AS1848" t="s">
        <v>9926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</row>
    <row r="1849" spans="1:59">
      <c r="A1849" s="1">
        <f>HYPERLINK("https://lsnyc.legalserver.org/matter/dynamic-profile/view/1905743","19-1905743")</f>
        <v>0</v>
      </c>
      <c r="B1849" t="s">
        <v>348</v>
      </c>
      <c r="C1849" t="s">
        <v>5249</v>
      </c>
      <c r="D1849" t="s">
        <v>9928</v>
      </c>
      <c r="E1849" t="s">
        <v>10075</v>
      </c>
      <c r="F1849">
        <v>11226</v>
      </c>
      <c r="G1849" t="s">
        <v>10093</v>
      </c>
      <c r="H1849" t="s">
        <v>10121</v>
      </c>
      <c r="I1849" t="s">
        <v>10177</v>
      </c>
      <c r="J1849" t="s">
        <v>10213</v>
      </c>
      <c r="K1849" t="s">
        <v>10217</v>
      </c>
      <c r="M1849" t="s">
        <v>10384</v>
      </c>
      <c r="N1849" t="s">
        <v>10650</v>
      </c>
      <c r="P1849" t="s">
        <v>10749</v>
      </c>
      <c r="Q1849" t="s">
        <v>10765</v>
      </c>
      <c r="R1849" t="s">
        <v>10824</v>
      </c>
      <c r="T1849">
        <v>9600</v>
      </c>
      <c r="U1849">
        <v>800</v>
      </c>
      <c r="V1849">
        <v>49</v>
      </c>
      <c r="W1849">
        <v>2</v>
      </c>
      <c r="X1849">
        <v>0</v>
      </c>
      <c r="Z1849">
        <v>56.77</v>
      </c>
      <c r="AA1849">
        <v>40.646763</v>
      </c>
      <c r="AB1849">
        <v>-73.962706</v>
      </c>
      <c r="AD1849" t="s">
        <v>10840</v>
      </c>
      <c r="AG1849" t="s">
        <v>10858</v>
      </c>
      <c r="AH1849" t="s">
        <v>10862</v>
      </c>
      <c r="AI1849">
        <v>239</v>
      </c>
      <c r="AJ1849" t="s">
        <v>10213</v>
      </c>
      <c r="AL1849">
        <v>0.2</v>
      </c>
      <c r="AM1849" t="s">
        <v>10888</v>
      </c>
      <c r="AN1849" t="s">
        <v>10932</v>
      </c>
      <c r="AO1849" t="s">
        <v>11008</v>
      </c>
      <c r="AP1849" t="s">
        <v>11050</v>
      </c>
      <c r="AR1849" t="s">
        <v>11257</v>
      </c>
      <c r="AS1849" t="s">
        <v>11595</v>
      </c>
      <c r="BA1849" t="s">
        <v>11739</v>
      </c>
      <c r="BB1849">
        <v>0</v>
      </c>
      <c r="BC1849">
        <v>0</v>
      </c>
      <c r="BD1849">
        <v>0</v>
      </c>
      <c r="BE1849">
        <v>0</v>
      </c>
      <c r="BF1849">
        <v>4</v>
      </c>
      <c r="BG1849">
        <v>0</v>
      </c>
    </row>
    <row r="1850" spans="1:59">
      <c r="A1850" s="1">
        <f>HYPERLINK("https://lsnyc.legalserver.org/matter/dynamic-profile/view/1905744","19-1905744")</f>
        <v>0</v>
      </c>
      <c r="B1850" t="s">
        <v>1614</v>
      </c>
      <c r="C1850" t="s">
        <v>6422</v>
      </c>
      <c r="D1850" t="s">
        <v>9932</v>
      </c>
      <c r="E1850" t="s">
        <v>10075</v>
      </c>
      <c r="F1850">
        <v>11368</v>
      </c>
      <c r="G1850" t="s">
        <v>10091</v>
      </c>
      <c r="H1850" t="s">
        <v>10121</v>
      </c>
      <c r="I1850" t="s">
        <v>10168</v>
      </c>
      <c r="J1850" t="s">
        <v>10211</v>
      </c>
      <c r="K1850" t="s">
        <v>10217</v>
      </c>
      <c r="M1850" t="s">
        <v>10307</v>
      </c>
      <c r="N1850" t="s">
        <v>10671</v>
      </c>
      <c r="P1850" t="s">
        <v>10752</v>
      </c>
      <c r="Q1850" t="s">
        <v>10762</v>
      </c>
      <c r="R1850" t="s">
        <v>10821</v>
      </c>
      <c r="T1850">
        <v>10764</v>
      </c>
      <c r="U1850">
        <v>897</v>
      </c>
      <c r="V1850">
        <v>24</v>
      </c>
      <c r="W1850">
        <v>1</v>
      </c>
      <c r="X1850">
        <v>0</v>
      </c>
      <c r="Z1850">
        <v>86.18000000000001</v>
      </c>
      <c r="AA1850">
        <v>40.755729</v>
      </c>
      <c r="AB1850">
        <v>-73.871741</v>
      </c>
      <c r="AD1850" t="s">
        <v>10839</v>
      </c>
      <c r="AG1850" t="s">
        <v>10858</v>
      </c>
      <c r="AH1850" t="s">
        <v>10871</v>
      </c>
      <c r="AI1850">
        <v>234</v>
      </c>
      <c r="AJ1850" t="s">
        <v>10214</v>
      </c>
      <c r="AL1850">
        <v>1.2</v>
      </c>
      <c r="AM1850" t="s">
        <v>10885</v>
      </c>
      <c r="AN1850" t="s">
        <v>10916</v>
      </c>
      <c r="AO1850" t="s">
        <v>11014</v>
      </c>
      <c r="AP1850" t="s">
        <v>11068</v>
      </c>
      <c r="AR1850" t="s">
        <v>11293</v>
      </c>
      <c r="AS1850" t="s">
        <v>11594</v>
      </c>
      <c r="AT1850" t="s">
        <v>11641</v>
      </c>
      <c r="AX1850" t="s">
        <v>10837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</row>
    <row r="1851" spans="1:59">
      <c r="A1851" s="1">
        <f>HYPERLINK("https://lsnyc.legalserver.org/matter/dynamic-profile/view/1905745","19-1905745")</f>
        <v>0</v>
      </c>
      <c r="B1851" t="s">
        <v>1615</v>
      </c>
      <c r="C1851" t="s">
        <v>6423</v>
      </c>
      <c r="D1851" t="s">
        <v>9928</v>
      </c>
      <c r="E1851" t="s">
        <v>10075</v>
      </c>
      <c r="F1851">
        <v>11208</v>
      </c>
      <c r="G1851" t="s">
        <v>10093</v>
      </c>
      <c r="H1851" t="s">
        <v>10121</v>
      </c>
      <c r="I1851" t="s">
        <v>10168</v>
      </c>
      <c r="J1851" t="s">
        <v>10213</v>
      </c>
      <c r="K1851" t="s">
        <v>10217</v>
      </c>
      <c r="M1851" t="s">
        <v>10256</v>
      </c>
      <c r="N1851" t="s">
        <v>10644</v>
      </c>
      <c r="P1851" t="s">
        <v>10749</v>
      </c>
      <c r="Q1851" t="s">
        <v>10765</v>
      </c>
      <c r="R1851" t="s">
        <v>10824</v>
      </c>
      <c r="T1851">
        <v>24000</v>
      </c>
      <c r="U1851">
        <v>2000</v>
      </c>
      <c r="V1851">
        <v>79</v>
      </c>
      <c r="W1851">
        <v>1</v>
      </c>
      <c r="X1851">
        <v>0</v>
      </c>
      <c r="Z1851">
        <v>192.15</v>
      </c>
      <c r="AA1851">
        <v>40.671294</v>
      </c>
      <c r="AB1851">
        <v>-73.865644</v>
      </c>
      <c r="AD1851" t="s">
        <v>10839</v>
      </c>
      <c r="AG1851" t="s">
        <v>10858</v>
      </c>
      <c r="AH1851" t="s">
        <v>10861</v>
      </c>
      <c r="AI1851">
        <v>234</v>
      </c>
      <c r="AJ1851" t="s">
        <v>10214</v>
      </c>
      <c r="AL1851">
        <v>5.5</v>
      </c>
      <c r="AM1851" t="s">
        <v>10889</v>
      </c>
      <c r="AN1851" t="s">
        <v>10946</v>
      </c>
      <c r="AO1851" t="s">
        <v>11012</v>
      </c>
      <c r="AP1851" t="s">
        <v>11060</v>
      </c>
      <c r="AR1851" t="s">
        <v>11300</v>
      </c>
      <c r="AS1851" t="s">
        <v>11595</v>
      </c>
      <c r="AT1851" t="s">
        <v>11641</v>
      </c>
      <c r="AX1851" t="s">
        <v>10838</v>
      </c>
      <c r="BA1851" t="s">
        <v>11742</v>
      </c>
      <c r="BB1851">
        <v>0</v>
      </c>
      <c r="BC1851">
        <v>0</v>
      </c>
      <c r="BD1851">
        <v>0</v>
      </c>
      <c r="BE1851">
        <v>0</v>
      </c>
      <c r="BF1851">
        <v>7</v>
      </c>
      <c r="BG1851">
        <v>0</v>
      </c>
    </row>
    <row r="1852" spans="1:59">
      <c r="A1852" s="1">
        <f>HYPERLINK("https://lsnyc.legalserver.org/matter/dynamic-profile/view/1905746","19-1905746")</f>
        <v>0</v>
      </c>
      <c r="B1852" t="s">
        <v>1519</v>
      </c>
      <c r="C1852" t="s">
        <v>6424</v>
      </c>
      <c r="D1852" t="s">
        <v>9928</v>
      </c>
      <c r="E1852" t="s">
        <v>10075</v>
      </c>
      <c r="F1852">
        <v>11234</v>
      </c>
      <c r="G1852" t="s">
        <v>10093</v>
      </c>
      <c r="H1852" t="s">
        <v>10103</v>
      </c>
      <c r="I1852" t="s">
        <v>10168</v>
      </c>
      <c r="J1852" t="s">
        <v>10213</v>
      </c>
      <c r="K1852" t="s">
        <v>10217</v>
      </c>
      <c r="M1852" t="s">
        <v>10249</v>
      </c>
      <c r="N1852" t="s">
        <v>10653</v>
      </c>
      <c r="P1852" t="s">
        <v>10749</v>
      </c>
      <c r="Q1852" t="s">
        <v>10759</v>
      </c>
      <c r="R1852" t="s">
        <v>10824</v>
      </c>
      <c r="T1852">
        <v>23400</v>
      </c>
      <c r="U1852">
        <v>1950</v>
      </c>
      <c r="V1852">
        <v>48</v>
      </c>
      <c r="W1852">
        <v>2</v>
      </c>
      <c r="X1852">
        <v>0</v>
      </c>
      <c r="Z1852">
        <v>138.38</v>
      </c>
      <c r="AA1852">
        <v>40.627953</v>
      </c>
      <c r="AB1852">
        <v>-73.91583199999999</v>
      </c>
      <c r="AC1852" t="s">
        <v>10838</v>
      </c>
      <c r="AD1852" t="s">
        <v>10839</v>
      </c>
      <c r="AG1852" t="s">
        <v>10858</v>
      </c>
      <c r="AH1852" t="s">
        <v>10860</v>
      </c>
      <c r="AI1852">
        <v>239</v>
      </c>
      <c r="AJ1852" t="s">
        <v>10213</v>
      </c>
      <c r="AL1852">
        <v>9.85</v>
      </c>
      <c r="AM1852" t="s">
        <v>10889</v>
      </c>
      <c r="AN1852" t="s">
        <v>10959</v>
      </c>
      <c r="AO1852" t="s">
        <v>11012</v>
      </c>
      <c r="AP1852" t="s">
        <v>11072</v>
      </c>
      <c r="AQ1852" t="s">
        <v>11098</v>
      </c>
      <c r="AR1852" t="s">
        <v>11293</v>
      </c>
      <c r="AS1852" t="s">
        <v>11595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</row>
    <row r="1853" spans="1:59">
      <c r="A1853" s="1">
        <f>HYPERLINK("https://lsnyc.legalserver.org/matter/dynamic-profile/view/1905748","19-1905748")</f>
        <v>0</v>
      </c>
      <c r="B1853" t="s">
        <v>1616</v>
      </c>
      <c r="C1853" t="s">
        <v>6425</v>
      </c>
      <c r="D1853" t="s">
        <v>9925</v>
      </c>
      <c r="E1853" t="s">
        <v>10075</v>
      </c>
      <c r="F1853">
        <v>10038</v>
      </c>
      <c r="G1853" t="s">
        <v>10089</v>
      </c>
      <c r="H1853" t="s">
        <v>10121</v>
      </c>
      <c r="I1853" t="s">
        <v>10168</v>
      </c>
      <c r="J1853" t="s">
        <v>10209</v>
      </c>
      <c r="K1853" t="s">
        <v>10217</v>
      </c>
      <c r="M1853" t="s">
        <v>10503</v>
      </c>
      <c r="N1853" t="s">
        <v>10721</v>
      </c>
      <c r="P1853" t="s">
        <v>10754</v>
      </c>
      <c r="Q1853" t="s">
        <v>10770</v>
      </c>
      <c r="R1853" t="s">
        <v>10820</v>
      </c>
      <c r="T1853">
        <v>2184</v>
      </c>
      <c r="U1853">
        <v>182</v>
      </c>
      <c r="V1853">
        <v>40</v>
      </c>
      <c r="W1853">
        <v>1</v>
      </c>
      <c r="X1853">
        <v>1</v>
      </c>
      <c r="Z1853">
        <v>12.92</v>
      </c>
      <c r="AA1853">
        <v>40.708474</v>
      </c>
      <c r="AB1853">
        <v>-74.005178</v>
      </c>
      <c r="AD1853" t="s">
        <v>10839</v>
      </c>
      <c r="AF1853" t="s">
        <v>10848</v>
      </c>
      <c r="AG1853" t="s">
        <v>10859</v>
      </c>
      <c r="AH1853" t="s">
        <v>10865</v>
      </c>
      <c r="AI1853">
        <v>236</v>
      </c>
      <c r="AJ1853" t="s">
        <v>10209</v>
      </c>
      <c r="AK1853" t="s">
        <v>10837</v>
      </c>
      <c r="AL1853">
        <v>3</v>
      </c>
      <c r="AM1853" t="s">
        <v>10894</v>
      </c>
      <c r="AN1853" t="s">
        <v>10963</v>
      </c>
      <c r="AO1853" t="s">
        <v>11004</v>
      </c>
      <c r="AP1853" t="s">
        <v>11093</v>
      </c>
      <c r="AQ1853" t="s">
        <v>11152</v>
      </c>
      <c r="AR1853" t="s">
        <v>11292</v>
      </c>
      <c r="AS1853" t="s">
        <v>9925</v>
      </c>
      <c r="AT1853" t="s">
        <v>11641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</row>
    <row r="1854" spans="1:59">
      <c r="A1854" s="1">
        <f>HYPERLINK("https://lsnyc.legalserver.org/matter/dynamic-profile/view/1905749","19-1905749")</f>
        <v>0</v>
      </c>
      <c r="B1854" t="s">
        <v>1617</v>
      </c>
      <c r="C1854" t="s">
        <v>6426</v>
      </c>
      <c r="D1854" t="s">
        <v>9926</v>
      </c>
      <c r="E1854" t="s">
        <v>10075</v>
      </c>
      <c r="F1854">
        <v>10454</v>
      </c>
      <c r="G1854" t="s">
        <v>10090</v>
      </c>
      <c r="H1854" t="s">
        <v>10121</v>
      </c>
      <c r="I1854" t="s">
        <v>10168</v>
      </c>
      <c r="J1854" t="s">
        <v>10210</v>
      </c>
      <c r="K1854" t="s">
        <v>10218</v>
      </c>
      <c r="L1854" t="s">
        <v>10101</v>
      </c>
      <c r="M1854" t="s">
        <v>10372</v>
      </c>
      <c r="N1854" t="s">
        <v>10694</v>
      </c>
      <c r="P1854" t="s">
        <v>10751</v>
      </c>
      <c r="Q1854" t="s">
        <v>10773</v>
      </c>
      <c r="R1854" t="s">
        <v>10824</v>
      </c>
      <c r="T1854">
        <v>0</v>
      </c>
      <c r="U1854">
        <v>0</v>
      </c>
      <c r="V1854">
        <v>52</v>
      </c>
      <c r="W1854">
        <v>1</v>
      </c>
      <c r="X1854">
        <v>0</v>
      </c>
      <c r="Y1854" t="s">
        <v>10829</v>
      </c>
      <c r="Z1854">
        <v>0</v>
      </c>
      <c r="AA1854">
        <v>40.807735</v>
      </c>
      <c r="AB1854">
        <v>-73.92907</v>
      </c>
      <c r="AD1854" t="s">
        <v>10840</v>
      </c>
      <c r="AG1854" t="s">
        <v>10858</v>
      </c>
      <c r="AH1854" t="s">
        <v>10861</v>
      </c>
      <c r="AI1854">
        <v>234</v>
      </c>
      <c r="AJ1854" t="s">
        <v>10214</v>
      </c>
      <c r="AK1854" t="s">
        <v>10882</v>
      </c>
      <c r="AL1854">
        <v>2.2</v>
      </c>
      <c r="AM1854" t="s">
        <v>10884</v>
      </c>
      <c r="AN1854" t="s">
        <v>10924</v>
      </c>
      <c r="AO1854" t="s">
        <v>11013</v>
      </c>
      <c r="AP1854" t="s">
        <v>11066</v>
      </c>
      <c r="AR1854" t="s">
        <v>11267</v>
      </c>
      <c r="AS1854" t="s">
        <v>9926</v>
      </c>
      <c r="AT1854" t="s">
        <v>11642</v>
      </c>
      <c r="AX1854" t="s">
        <v>10838</v>
      </c>
      <c r="AY1854" t="s">
        <v>10829</v>
      </c>
      <c r="AZ1854" t="s">
        <v>11722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</row>
    <row r="1855" spans="1:59">
      <c r="A1855" s="1">
        <f>HYPERLINK("https://lsnyc.legalserver.org/matter/dynamic-profile/view/1905750","19-1905750")</f>
        <v>0</v>
      </c>
      <c r="B1855" t="s">
        <v>1618</v>
      </c>
      <c r="C1855" t="s">
        <v>6427</v>
      </c>
      <c r="D1855" t="s">
        <v>9928</v>
      </c>
      <c r="E1855" t="s">
        <v>10075</v>
      </c>
      <c r="F1855">
        <v>11238</v>
      </c>
      <c r="G1855" t="s">
        <v>10093</v>
      </c>
      <c r="H1855" t="s">
        <v>10121</v>
      </c>
      <c r="I1855" t="s">
        <v>10168</v>
      </c>
      <c r="J1855" t="s">
        <v>10213</v>
      </c>
      <c r="K1855" t="s">
        <v>10218</v>
      </c>
      <c r="L1855" t="s">
        <v>10137</v>
      </c>
      <c r="M1855" t="s">
        <v>10315</v>
      </c>
      <c r="N1855" t="s">
        <v>10671</v>
      </c>
      <c r="P1855" t="s">
        <v>10750</v>
      </c>
      <c r="Q1855" t="s">
        <v>10778</v>
      </c>
      <c r="R1855" t="s">
        <v>10824</v>
      </c>
      <c r="T1855">
        <v>15588</v>
      </c>
      <c r="U1855">
        <v>1299</v>
      </c>
      <c r="V1855">
        <v>62</v>
      </c>
      <c r="W1855">
        <v>1</v>
      </c>
      <c r="X1855">
        <v>0</v>
      </c>
      <c r="Y1855" t="s">
        <v>10829</v>
      </c>
      <c r="Z1855">
        <v>124.8</v>
      </c>
      <c r="AA1855">
        <v>40.676701</v>
      </c>
      <c r="AB1855">
        <v>-73.96468299999999</v>
      </c>
      <c r="AC1855" t="s">
        <v>10837</v>
      </c>
      <c r="AD1855" t="s">
        <v>10840</v>
      </c>
      <c r="AG1855" t="s">
        <v>10858</v>
      </c>
      <c r="AH1855" t="s">
        <v>10861</v>
      </c>
      <c r="AI1855">
        <v>234</v>
      </c>
      <c r="AJ1855" t="s">
        <v>10214</v>
      </c>
      <c r="AK1855" t="s">
        <v>10838</v>
      </c>
      <c r="AL1855">
        <v>2.95</v>
      </c>
      <c r="AM1855" t="s">
        <v>10888</v>
      </c>
      <c r="AN1855" t="s">
        <v>10923</v>
      </c>
      <c r="AO1855" t="s">
        <v>11005</v>
      </c>
      <c r="AP1855" t="s">
        <v>11061</v>
      </c>
      <c r="AR1855" t="s">
        <v>11296</v>
      </c>
      <c r="AS1855" t="s">
        <v>11595</v>
      </c>
      <c r="AT1855" t="s">
        <v>11642</v>
      </c>
      <c r="AX1855" t="s">
        <v>10838</v>
      </c>
      <c r="AY1855" t="s">
        <v>10829</v>
      </c>
      <c r="AZ1855" t="s">
        <v>11679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</row>
    <row r="1856" spans="1:59">
      <c r="A1856" s="1">
        <f>HYPERLINK("https://lsnyc.legalserver.org/matter/dynamic-profile/view/1905751","19-1905751")</f>
        <v>0</v>
      </c>
      <c r="B1856" t="s">
        <v>1619</v>
      </c>
      <c r="C1856" t="s">
        <v>6428</v>
      </c>
      <c r="D1856" t="s">
        <v>9939</v>
      </c>
      <c r="E1856" t="s">
        <v>10075</v>
      </c>
      <c r="F1856">
        <v>11419</v>
      </c>
      <c r="G1856" t="s">
        <v>10092</v>
      </c>
      <c r="H1856" t="s">
        <v>10121</v>
      </c>
      <c r="I1856" t="s">
        <v>10168</v>
      </c>
      <c r="J1856" t="s">
        <v>10212</v>
      </c>
      <c r="K1856" t="s">
        <v>10217</v>
      </c>
      <c r="M1856" t="s">
        <v>10320</v>
      </c>
      <c r="N1856" t="s">
        <v>10730</v>
      </c>
      <c r="P1856" t="s">
        <v>10753</v>
      </c>
      <c r="Q1856" t="s">
        <v>10763</v>
      </c>
      <c r="R1856" t="s">
        <v>10828</v>
      </c>
      <c r="T1856">
        <v>20796</v>
      </c>
      <c r="U1856">
        <v>1733</v>
      </c>
      <c r="V1856">
        <v>27</v>
      </c>
      <c r="W1856">
        <v>1</v>
      </c>
      <c r="X1856">
        <v>0</v>
      </c>
      <c r="Z1856">
        <v>166.5</v>
      </c>
      <c r="AA1856">
        <v>40.690891</v>
      </c>
      <c r="AB1856">
        <v>-73.811134</v>
      </c>
      <c r="AD1856" t="s">
        <v>10839</v>
      </c>
      <c r="AF1856" t="s">
        <v>10842</v>
      </c>
      <c r="AG1856" t="s">
        <v>10859</v>
      </c>
      <c r="AH1856" t="s">
        <v>10864</v>
      </c>
      <c r="AI1856">
        <v>237</v>
      </c>
      <c r="AJ1856" t="s">
        <v>10212</v>
      </c>
      <c r="AL1856">
        <v>12.85</v>
      </c>
      <c r="AM1856" t="s">
        <v>10892</v>
      </c>
      <c r="AN1856" t="s">
        <v>10951</v>
      </c>
      <c r="AO1856" t="s">
        <v>11017</v>
      </c>
      <c r="AP1856" t="s">
        <v>11070</v>
      </c>
      <c r="AR1856" t="s">
        <v>11257</v>
      </c>
      <c r="AS1856" t="s">
        <v>11594</v>
      </c>
      <c r="BA1856" t="s">
        <v>11741</v>
      </c>
      <c r="BB1856">
        <v>0</v>
      </c>
      <c r="BC1856">
        <v>0</v>
      </c>
      <c r="BD1856">
        <v>0</v>
      </c>
      <c r="BE1856">
        <v>0</v>
      </c>
      <c r="BF1856">
        <v>1</v>
      </c>
      <c r="BG1856">
        <v>0</v>
      </c>
    </row>
    <row r="1857" spans="1:59">
      <c r="A1857" s="1">
        <f>HYPERLINK("https://lsnyc.legalserver.org/matter/dynamic-profile/view/1905752","19-1905752")</f>
        <v>0</v>
      </c>
      <c r="B1857" t="s">
        <v>1620</v>
      </c>
      <c r="C1857" t="s">
        <v>6429</v>
      </c>
      <c r="D1857" t="s">
        <v>9925</v>
      </c>
      <c r="E1857" t="s">
        <v>10075</v>
      </c>
      <c r="F1857">
        <v>10027</v>
      </c>
      <c r="G1857" t="s">
        <v>10091</v>
      </c>
      <c r="H1857" t="s">
        <v>10121</v>
      </c>
      <c r="I1857" t="s">
        <v>10168</v>
      </c>
      <c r="J1857" t="s">
        <v>10214</v>
      </c>
      <c r="K1857" t="s">
        <v>10217</v>
      </c>
      <c r="M1857" t="s">
        <v>10286</v>
      </c>
      <c r="N1857" t="s">
        <v>10671</v>
      </c>
      <c r="P1857" t="s">
        <v>10751</v>
      </c>
      <c r="Q1857" t="s">
        <v>10768</v>
      </c>
      <c r="R1857" t="s">
        <v>10824</v>
      </c>
      <c r="T1857">
        <v>2379</v>
      </c>
      <c r="U1857">
        <v>198.25</v>
      </c>
      <c r="V1857">
        <v>30</v>
      </c>
      <c r="W1857">
        <v>1</v>
      </c>
      <c r="X1857">
        <v>0</v>
      </c>
      <c r="Z1857">
        <v>19.05</v>
      </c>
      <c r="AA1857">
        <v>40.807273</v>
      </c>
      <c r="AB1857">
        <v>-73.947777</v>
      </c>
      <c r="AD1857" t="s">
        <v>10840</v>
      </c>
      <c r="AG1857" t="s">
        <v>10858</v>
      </c>
      <c r="AH1857" t="s">
        <v>10871</v>
      </c>
      <c r="AI1857">
        <v>234</v>
      </c>
      <c r="AJ1857" t="s">
        <v>10214</v>
      </c>
      <c r="AL1857">
        <v>1</v>
      </c>
      <c r="AM1857" t="s">
        <v>10887</v>
      </c>
      <c r="AN1857" t="s">
        <v>10936</v>
      </c>
      <c r="AO1857" t="s">
        <v>11016</v>
      </c>
      <c r="AP1857" t="s">
        <v>11076</v>
      </c>
      <c r="AR1857" t="s">
        <v>11311</v>
      </c>
      <c r="AS1857" t="s">
        <v>9925</v>
      </c>
      <c r="AT1857" t="s">
        <v>11642</v>
      </c>
      <c r="AX1857" t="s">
        <v>10838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</row>
    <row r="1858" spans="1:59">
      <c r="A1858" s="1">
        <f>HYPERLINK("https://lsnyc.legalserver.org/matter/dynamic-profile/view/1905753","19-1905753")</f>
        <v>0</v>
      </c>
      <c r="B1858" t="s">
        <v>1099</v>
      </c>
      <c r="C1858" t="s">
        <v>6430</v>
      </c>
      <c r="D1858" t="s">
        <v>9926</v>
      </c>
      <c r="E1858" t="s">
        <v>10075</v>
      </c>
      <c r="F1858">
        <v>10460</v>
      </c>
      <c r="G1858" t="s">
        <v>10090</v>
      </c>
      <c r="H1858" t="s">
        <v>10121</v>
      </c>
      <c r="I1858" t="s">
        <v>10168</v>
      </c>
      <c r="J1858" t="s">
        <v>10210</v>
      </c>
      <c r="K1858" t="s">
        <v>10217</v>
      </c>
      <c r="M1858" t="s">
        <v>10407</v>
      </c>
      <c r="N1858" t="s">
        <v>10687</v>
      </c>
      <c r="P1858" t="s">
        <v>10754</v>
      </c>
      <c r="Q1858" t="s">
        <v>10770</v>
      </c>
      <c r="R1858" t="s">
        <v>10823</v>
      </c>
      <c r="T1858">
        <v>42000</v>
      </c>
      <c r="U1858">
        <v>3500</v>
      </c>
      <c r="V1858">
        <v>50</v>
      </c>
      <c r="W1858">
        <v>1</v>
      </c>
      <c r="X1858">
        <v>0</v>
      </c>
      <c r="Z1858">
        <v>336.27</v>
      </c>
      <c r="AA1858">
        <v>40.837448</v>
      </c>
      <c r="AB1858">
        <v>-73.871172</v>
      </c>
      <c r="AC1858" t="s">
        <v>10837</v>
      </c>
      <c r="AD1858" t="s">
        <v>10840</v>
      </c>
      <c r="AG1858" t="s">
        <v>10858</v>
      </c>
      <c r="AH1858" t="s">
        <v>10880</v>
      </c>
      <c r="AI1858">
        <v>230</v>
      </c>
      <c r="AJ1858" t="s">
        <v>10210</v>
      </c>
      <c r="AL1858">
        <v>3.85</v>
      </c>
      <c r="AM1858" t="s">
        <v>10884</v>
      </c>
      <c r="AN1858" t="s">
        <v>10908</v>
      </c>
      <c r="AO1858" t="s">
        <v>11001</v>
      </c>
      <c r="AP1858" t="s">
        <v>11046</v>
      </c>
      <c r="AR1858" t="s">
        <v>11257</v>
      </c>
      <c r="AS1858" t="s">
        <v>9926</v>
      </c>
      <c r="AT1858" t="s">
        <v>11642</v>
      </c>
      <c r="AX1858" t="s">
        <v>10838</v>
      </c>
      <c r="BA1858" t="s">
        <v>11741</v>
      </c>
      <c r="BB1858">
        <v>0</v>
      </c>
      <c r="BC1858">
        <v>0</v>
      </c>
      <c r="BD1858">
        <v>0</v>
      </c>
      <c r="BE1858">
        <v>0</v>
      </c>
      <c r="BF1858">
        <v>1</v>
      </c>
      <c r="BG1858">
        <v>0</v>
      </c>
    </row>
    <row r="1859" spans="1:59">
      <c r="A1859" s="1">
        <f>HYPERLINK("https://lsnyc.legalserver.org/matter/dynamic-profile/view/1905754","19-1905754")</f>
        <v>0</v>
      </c>
      <c r="B1859" t="s">
        <v>1621</v>
      </c>
      <c r="C1859" t="s">
        <v>6431</v>
      </c>
      <c r="D1859" t="s">
        <v>9928</v>
      </c>
      <c r="E1859" t="s">
        <v>10075</v>
      </c>
      <c r="F1859">
        <v>11219</v>
      </c>
      <c r="G1859" t="s">
        <v>10091</v>
      </c>
      <c r="H1859" t="s">
        <v>10121</v>
      </c>
      <c r="I1859" t="s">
        <v>10168</v>
      </c>
      <c r="J1859" t="s">
        <v>10214</v>
      </c>
      <c r="K1859" t="s">
        <v>10217</v>
      </c>
      <c r="M1859" t="s">
        <v>10286</v>
      </c>
      <c r="N1859" t="s">
        <v>10671</v>
      </c>
      <c r="P1859" t="s">
        <v>10751</v>
      </c>
      <c r="Q1859" t="s">
        <v>10768</v>
      </c>
      <c r="R1859" t="s">
        <v>10820</v>
      </c>
      <c r="T1859">
        <v>4236</v>
      </c>
      <c r="U1859">
        <v>353</v>
      </c>
      <c r="V1859">
        <v>58</v>
      </c>
      <c r="W1859">
        <v>1</v>
      </c>
      <c r="X1859">
        <v>0</v>
      </c>
      <c r="Z1859">
        <v>33.92</v>
      </c>
      <c r="AA1859">
        <v>40.6262</v>
      </c>
      <c r="AB1859">
        <v>-74.007255</v>
      </c>
      <c r="AD1859" t="s">
        <v>10839</v>
      </c>
      <c r="AG1859" t="s">
        <v>10858</v>
      </c>
      <c r="AH1859" t="s">
        <v>10861</v>
      </c>
      <c r="AI1859">
        <v>234</v>
      </c>
      <c r="AJ1859" t="s">
        <v>10214</v>
      </c>
      <c r="AL1859">
        <v>0.5</v>
      </c>
      <c r="AM1859" t="s">
        <v>10883</v>
      </c>
      <c r="AN1859" t="s">
        <v>10974</v>
      </c>
      <c r="AO1859" t="s">
        <v>11023</v>
      </c>
      <c r="AP1859" t="s">
        <v>11086</v>
      </c>
      <c r="AR1859" t="s">
        <v>11279</v>
      </c>
      <c r="AS1859" t="s">
        <v>11595</v>
      </c>
      <c r="AT1859" t="s">
        <v>11641</v>
      </c>
      <c r="AX1859" t="s">
        <v>10838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</row>
    <row r="1860" spans="1:59">
      <c r="A1860" s="1">
        <f>HYPERLINK("https://lsnyc.legalserver.org/matter/dynamic-profile/view/1905755","19-1905755")</f>
        <v>0</v>
      </c>
      <c r="B1860" t="s">
        <v>959</v>
      </c>
      <c r="C1860" t="s">
        <v>6432</v>
      </c>
      <c r="D1860" t="s">
        <v>9928</v>
      </c>
      <c r="E1860" t="s">
        <v>10075</v>
      </c>
      <c r="F1860">
        <v>11230</v>
      </c>
      <c r="G1860" t="s">
        <v>10093</v>
      </c>
      <c r="H1860" t="s">
        <v>10106</v>
      </c>
      <c r="J1860" t="s">
        <v>10213</v>
      </c>
      <c r="K1860" t="s">
        <v>10218</v>
      </c>
      <c r="L1860" t="s">
        <v>10151</v>
      </c>
      <c r="M1860" t="s">
        <v>10390</v>
      </c>
      <c r="N1860" t="s">
        <v>10644</v>
      </c>
      <c r="P1860" t="s">
        <v>10749</v>
      </c>
      <c r="Q1860" t="s">
        <v>10765</v>
      </c>
      <c r="R1860" t="s">
        <v>10825</v>
      </c>
      <c r="T1860">
        <v>14616</v>
      </c>
      <c r="U1860">
        <v>1218</v>
      </c>
      <c r="V1860">
        <v>65</v>
      </c>
      <c r="W1860">
        <v>1</v>
      </c>
      <c r="X1860">
        <v>0</v>
      </c>
      <c r="Y1860" t="s">
        <v>10829</v>
      </c>
      <c r="Z1860">
        <v>117.02</v>
      </c>
      <c r="AA1860">
        <v>40.629731</v>
      </c>
      <c r="AB1860">
        <v>-73.97067</v>
      </c>
      <c r="AD1860" t="s">
        <v>10840</v>
      </c>
      <c r="AG1860" t="s">
        <v>10858</v>
      </c>
      <c r="AH1860" t="s">
        <v>10869</v>
      </c>
      <c r="AI1860">
        <v>239</v>
      </c>
      <c r="AJ1860" t="s">
        <v>10213</v>
      </c>
      <c r="AK1860" t="s">
        <v>10838</v>
      </c>
      <c r="AL1860">
        <v>7.95</v>
      </c>
      <c r="AM1860" t="s">
        <v>10888</v>
      </c>
      <c r="AN1860" t="s">
        <v>10941</v>
      </c>
      <c r="AO1860" t="s">
        <v>11015</v>
      </c>
      <c r="AP1860" t="s">
        <v>11050</v>
      </c>
      <c r="AQ1860" t="s">
        <v>11101</v>
      </c>
      <c r="AR1860" t="s">
        <v>11268</v>
      </c>
      <c r="AS1860" t="s">
        <v>11595</v>
      </c>
      <c r="AY1860" t="s">
        <v>10829</v>
      </c>
      <c r="AZ1860" t="s">
        <v>11681</v>
      </c>
      <c r="BA1860" t="s">
        <v>11741</v>
      </c>
      <c r="BB1860">
        <v>0</v>
      </c>
      <c r="BC1860">
        <v>0</v>
      </c>
      <c r="BD1860">
        <v>0</v>
      </c>
      <c r="BE1860">
        <v>0</v>
      </c>
      <c r="BF1860">
        <v>1</v>
      </c>
      <c r="BG1860">
        <v>0</v>
      </c>
    </row>
    <row r="1861" spans="1:59">
      <c r="A1861" s="1">
        <f>HYPERLINK("https://lsnyc.legalserver.org/matter/dynamic-profile/view/1905756","19-1905756")</f>
        <v>0</v>
      </c>
      <c r="B1861" t="s">
        <v>1622</v>
      </c>
      <c r="C1861" t="s">
        <v>6433</v>
      </c>
      <c r="D1861" t="s">
        <v>9932</v>
      </c>
      <c r="E1861" t="s">
        <v>10075</v>
      </c>
      <c r="F1861">
        <v>11368</v>
      </c>
      <c r="G1861" t="s">
        <v>10092</v>
      </c>
      <c r="H1861" t="s">
        <v>10128</v>
      </c>
      <c r="I1861" t="s">
        <v>10169</v>
      </c>
      <c r="J1861" t="s">
        <v>10212</v>
      </c>
      <c r="K1861" t="s">
        <v>10217</v>
      </c>
      <c r="M1861" t="s">
        <v>10232</v>
      </c>
      <c r="N1861" t="s">
        <v>10648</v>
      </c>
      <c r="P1861" t="s">
        <v>10753</v>
      </c>
      <c r="Q1861" t="s">
        <v>10763</v>
      </c>
      <c r="R1861" t="s">
        <v>10823</v>
      </c>
      <c r="T1861">
        <v>23400</v>
      </c>
      <c r="U1861">
        <v>1950</v>
      </c>
      <c r="V1861">
        <v>43</v>
      </c>
      <c r="W1861">
        <v>2</v>
      </c>
      <c r="X1861">
        <v>3</v>
      </c>
      <c r="Z1861">
        <v>77.56</v>
      </c>
      <c r="AA1861">
        <v>40.752379</v>
      </c>
      <c r="AB1861">
        <v>-73.85492000000001</v>
      </c>
      <c r="AD1861" t="s">
        <v>10839</v>
      </c>
      <c r="AF1861" t="s">
        <v>10842</v>
      </c>
      <c r="AG1861" t="s">
        <v>10859</v>
      </c>
      <c r="AH1861" t="s">
        <v>10864</v>
      </c>
      <c r="AI1861">
        <v>237</v>
      </c>
      <c r="AJ1861" t="s">
        <v>10212</v>
      </c>
      <c r="AL1861">
        <v>2</v>
      </c>
      <c r="AM1861" t="s">
        <v>10885</v>
      </c>
      <c r="AN1861" t="s">
        <v>10916</v>
      </c>
      <c r="AO1861" t="s">
        <v>11014</v>
      </c>
      <c r="AP1861" t="s">
        <v>11068</v>
      </c>
      <c r="AQ1861" t="s">
        <v>11178</v>
      </c>
      <c r="AR1861" t="s">
        <v>11359</v>
      </c>
      <c r="AS1861" t="s">
        <v>11594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</row>
    <row r="1862" spans="1:59">
      <c r="A1862" s="1">
        <f>HYPERLINK("https://lsnyc.legalserver.org/matter/dynamic-profile/view/1905757","19-1905757")</f>
        <v>0</v>
      </c>
      <c r="B1862" t="s">
        <v>549</v>
      </c>
      <c r="C1862" t="s">
        <v>5430</v>
      </c>
      <c r="D1862" t="s">
        <v>9928</v>
      </c>
      <c r="E1862" t="s">
        <v>10075</v>
      </c>
      <c r="F1862">
        <v>11221</v>
      </c>
      <c r="G1862" t="s">
        <v>10093</v>
      </c>
      <c r="H1862" t="s">
        <v>10121</v>
      </c>
      <c r="I1862" t="s">
        <v>10168</v>
      </c>
      <c r="J1862" t="s">
        <v>10213</v>
      </c>
      <c r="K1862" t="s">
        <v>10217</v>
      </c>
      <c r="M1862" t="s">
        <v>10392</v>
      </c>
      <c r="N1862" t="s">
        <v>10650</v>
      </c>
      <c r="P1862" t="s">
        <v>10749</v>
      </c>
      <c r="Q1862" t="s">
        <v>10765</v>
      </c>
      <c r="R1862" t="s">
        <v>10824</v>
      </c>
      <c r="T1862">
        <v>9100</v>
      </c>
      <c r="U1862">
        <v>758.33</v>
      </c>
      <c r="V1862">
        <v>30</v>
      </c>
      <c r="W1862">
        <v>1</v>
      </c>
      <c r="X1862">
        <v>0</v>
      </c>
      <c r="Z1862">
        <v>72.86</v>
      </c>
      <c r="AA1862">
        <v>40.692296</v>
      </c>
      <c r="AB1862">
        <v>-73.938714</v>
      </c>
      <c r="AD1862" t="s">
        <v>10840</v>
      </c>
      <c r="AG1862" t="s">
        <v>10858</v>
      </c>
      <c r="AH1862" t="s">
        <v>10862</v>
      </c>
      <c r="AI1862">
        <v>239</v>
      </c>
      <c r="AJ1862" t="s">
        <v>10213</v>
      </c>
      <c r="AL1862">
        <v>0</v>
      </c>
      <c r="AM1862" t="s">
        <v>10889</v>
      </c>
      <c r="AN1862" t="s">
        <v>10914</v>
      </c>
      <c r="AO1862" t="s">
        <v>11011</v>
      </c>
      <c r="AP1862" t="s">
        <v>11052</v>
      </c>
      <c r="AR1862" t="s">
        <v>11257</v>
      </c>
      <c r="AS1862" t="s">
        <v>11595</v>
      </c>
      <c r="AT1862" t="s">
        <v>11642</v>
      </c>
      <c r="BA1862" t="s">
        <v>11740</v>
      </c>
      <c r="BB1862">
        <v>0</v>
      </c>
      <c r="BC1862">
        <v>0</v>
      </c>
      <c r="BD1862">
        <v>0</v>
      </c>
      <c r="BE1862">
        <v>0</v>
      </c>
      <c r="BF1862">
        <v>2</v>
      </c>
      <c r="BG1862">
        <v>0</v>
      </c>
    </row>
    <row r="1863" spans="1:59">
      <c r="A1863" s="1">
        <f>HYPERLINK("https://lsnyc.legalserver.org/matter/dynamic-profile/view/1905758","19-1905758")</f>
        <v>0</v>
      </c>
      <c r="B1863" t="s">
        <v>1623</v>
      </c>
      <c r="C1863" t="s">
        <v>6434</v>
      </c>
      <c r="D1863" t="s">
        <v>9928</v>
      </c>
      <c r="E1863" t="s">
        <v>10075</v>
      </c>
      <c r="F1863">
        <v>11204</v>
      </c>
      <c r="G1863" t="s">
        <v>10093</v>
      </c>
      <c r="H1863" t="s">
        <v>10121</v>
      </c>
      <c r="J1863" t="s">
        <v>10213</v>
      </c>
      <c r="K1863" t="s">
        <v>10218</v>
      </c>
      <c r="L1863" t="s">
        <v>10121</v>
      </c>
      <c r="M1863" t="s">
        <v>10553</v>
      </c>
      <c r="N1863" t="s">
        <v>10657</v>
      </c>
      <c r="P1863" t="s">
        <v>10754</v>
      </c>
      <c r="Q1863" t="s">
        <v>10766</v>
      </c>
      <c r="R1863" t="s">
        <v>10823</v>
      </c>
      <c r="T1863">
        <v>0</v>
      </c>
      <c r="U1863">
        <v>0</v>
      </c>
      <c r="V1863">
        <v>30</v>
      </c>
      <c r="W1863">
        <v>2</v>
      </c>
      <c r="X1863">
        <v>2</v>
      </c>
      <c r="Y1863" t="s">
        <v>10829</v>
      </c>
      <c r="Z1863">
        <v>0</v>
      </c>
      <c r="AA1863">
        <v>40.611887</v>
      </c>
      <c r="AB1863">
        <v>-73.983841</v>
      </c>
      <c r="AD1863" t="s">
        <v>10839</v>
      </c>
      <c r="AF1863" t="s">
        <v>10842</v>
      </c>
      <c r="AG1863" t="s">
        <v>10859</v>
      </c>
      <c r="AH1863" t="s">
        <v>10862</v>
      </c>
      <c r="AI1863">
        <v>239</v>
      </c>
      <c r="AJ1863" t="s">
        <v>10213</v>
      </c>
      <c r="AK1863" t="s">
        <v>10837</v>
      </c>
      <c r="AL1863">
        <v>1</v>
      </c>
      <c r="AM1863" t="s">
        <v>10894</v>
      </c>
      <c r="AN1863" t="s">
        <v>10969</v>
      </c>
      <c r="AO1863" t="s">
        <v>11023</v>
      </c>
      <c r="AP1863" t="s">
        <v>11087</v>
      </c>
      <c r="AR1863" t="s">
        <v>11267</v>
      </c>
      <c r="AS1863" t="s">
        <v>11595</v>
      </c>
      <c r="AY1863" t="s">
        <v>10829</v>
      </c>
      <c r="AZ1863" t="s">
        <v>11683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</row>
    <row r="1864" spans="1:59">
      <c r="A1864" s="1">
        <f>HYPERLINK("https://lsnyc.legalserver.org/matter/dynamic-profile/view/1905759","19-1905759")</f>
        <v>0</v>
      </c>
      <c r="B1864" t="s">
        <v>935</v>
      </c>
      <c r="C1864" t="s">
        <v>5819</v>
      </c>
      <c r="D1864" t="s">
        <v>9928</v>
      </c>
      <c r="E1864" t="s">
        <v>10075</v>
      </c>
      <c r="F1864">
        <v>11218</v>
      </c>
      <c r="G1864" t="s">
        <v>10093</v>
      </c>
      <c r="H1864" t="s">
        <v>10121</v>
      </c>
      <c r="I1864" t="s">
        <v>10168</v>
      </c>
      <c r="J1864" t="s">
        <v>10213</v>
      </c>
      <c r="K1864" t="s">
        <v>10218</v>
      </c>
      <c r="L1864" t="s">
        <v>10160</v>
      </c>
      <c r="M1864" t="s">
        <v>10496</v>
      </c>
      <c r="N1864" t="s">
        <v>10671</v>
      </c>
      <c r="P1864" t="s">
        <v>10751</v>
      </c>
      <c r="Q1864" t="s">
        <v>10761</v>
      </c>
      <c r="R1864" t="s">
        <v>10820</v>
      </c>
      <c r="T1864">
        <v>0</v>
      </c>
      <c r="U1864">
        <v>0</v>
      </c>
      <c r="V1864">
        <v>33</v>
      </c>
      <c r="W1864">
        <v>1</v>
      </c>
      <c r="X1864">
        <v>0</v>
      </c>
      <c r="Y1864" t="s">
        <v>10833</v>
      </c>
      <c r="Z1864">
        <v>0</v>
      </c>
      <c r="AA1864">
        <v>40.636668</v>
      </c>
      <c r="AB1864">
        <v>-73.970055</v>
      </c>
      <c r="AD1864" t="s">
        <v>10840</v>
      </c>
      <c r="AF1864" t="s">
        <v>10843</v>
      </c>
      <c r="AG1864" t="s">
        <v>10859</v>
      </c>
      <c r="AH1864" t="s">
        <v>10862</v>
      </c>
      <c r="AI1864">
        <v>239</v>
      </c>
      <c r="AJ1864" t="s">
        <v>10213</v>
      </c>
      <c r="AK1864" t="s">
        <v>10838</v>
      </c>
      <c r="AL1864">
        <v>2.5</v>
      </c>
      <c r="AM1864" t="s">
        <v>10894</v>
      </c>
      <c r="AN1864" t="s">
        <v>10941</v>
      </c>
      <c r="AO1864" t="s">
        <v>11015</v>
      </c>
      <c r="AP1864" t="s">
        <v>11050</v>
      </c>
      <c r="AR1864" t="s">
        <v>11267</v>
      </c>
      <c r="AS1864" t="s">
        <v>11595</v>
      </c>
      <c r="AT1864" t="s">
        <v>11642</v>
      </c>
      <c r="AY1864" t="s">
        <v>10833</v>
      </c>
      <c r="AZ1864" t="s">
        <v>11701</v>
      </c>
      <c r="BA1864" t="s">
        <v>11737</v>
      </c>
      <c r="BB1864">
        <v>0</v>
      </c>
      <c r="BC1864">
        <v>0</v>
      </c>
      <c r="BD1864">
        <v>3026.51</v>
      </c>
      <c r="BE1864">
        <v>0</v>
      </c>
      <c r="BF1864">
        <v>3</v>
      </c>
      <c r="BG1864">
        <v>0</v>
      </c>
    </row>
    <row r="1865" spans="1:59">
      <c r="A1865" s="1">
        <f>HYPERLINK("https://lsnyc.legalserver.org/matter/dynamic-profile/view/1905760","19-1905760")</f>
        <v>0</v>
      </c>
      <c r="B1865" t="s">
        <v>1624</v>
      </c>
      <c r="C1865" t="s">
        <v>6435</v>
      </c>
      <c r="D1865" t="s">
        <v>9928</v>
      </c>
      <c r="E1865" t="s">
        <v>10075</v>
      </c>
      <c r="F1865">
        <v>11212</v>
      </c>
      <c r="G1865" t="s">
        <v>10093</v>
      </c>
      <c r="H1865" t="s">
        <v>10110</v>
      </c>
      <c r="I1865" t="s">
        <v>10168</v>
      </c>
      <c r="J1865" t="s">
        <v>10213</v>
      </c>
      <c r="K1865" t="s">
        <v>10217</v>
      </c>
      <c r="M1865" t="s">
        <v>10248</v>
      </c>
      <c r="N1865" t="s">
        <v>10653</v>
      </c>
      <c r="P1865" t="s">
        <v>10749</v>
      </c>
      <c r="Q1865" t="s">
        <v>10769</v>
      </c>
      <c r="R1865" t="s">
        <v>10824</v>
      </c>
      <c r="T1865">
        <v>15516</v>
      </c>
      <c r="U1865">
        <v>1293</v>
      </c>
      <c r="V1865">
        <v>87</v>
      </c>
      <c r="W1865">
        <v>3</v>
      </c>
      <c r="X1865">
        <v>0</v>
      </c>
      <c r="Z1865">
        <v>72.73999999999999</v>
      </c>
      <c r="AA1865">
        <v>40.657609</v>
      </c>
      <c r="AB1865">
        <v>-73.90307199999999</v>
      </c>
      <c r="AD1865" t="s">
        <v>10839</v>
      </c>
      <c r="AG1865" t="s">
        <v>10858</v>
      </c>
      <c r="AH1865" t="s">
        <v>10860</v>
      </c>
      <c r="AI1865">
        <v>239</v>
      </c>
      <c r="AJ1865" t="s">
        <v>10213</v>
      </c>
      <c r="AL1865">
        <v>8.6</v>
      </c>
      <c r="AM1865" t="s">
        <v>10889</v>
      </c>
      <c r="AN1865" t="s">
        <v>10946</v>
      </c>
      <c r="AO1865" t="s">
        <v>11012</v>
      </c>
      <c r="AP1865" t="s">
        <v>11060</v>
      </c>
      <c r="AQ1865" t="s">
        <v>11098</v>
      </c>
      <c r="AR1865" t="s">
        <v>11345</v>
      </c>
      <c r="AS1865" t="s">
        <v>11595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</row>
    <row r="1866" spans="1:59">
      <c r="A1866" s="1">
        <f>HYPERLINK("https://lsnyc.legalserver.org/matter/dynamic-profile/view/1905761","19-1905761")</f>
        <v>0</v>
      </c>
      <c r="B1866" t="s">
        <v>1625</v>
      </c>
      <c r="C1866" t="s">
        <v>6436</v>
      </c>
      <c r="D1866" t="s">
        <v>9926</v>
      </c>
      <c r="E1866" t="s">
        <v>10075</v>
      </c>
      <c r="F1866">
        <v>10462</v>
      </c>
      <c r="G1866" t="s">
        <v>10090</v>
      </c>
      <c r="H1866" t="s">
        <v>10121</v>
      </c>
      <c r="I1866" t="s">
        <v>10168</v>
      </c>
      <c r="J1866" t="s">
        <v>10210</v>
      </c>
      <c r="K1866" t="s">
        <v>10217</v>
      </c>
      <c r="M1866" t="s">
        <v>10362</v>
      </c>
      <c r="N1866" t="s">
        <v>10651</v>
      </c>
      <c r="P1866" t="s">
        <v>10749</v>
      </c>
      <c r="Q1866" t="s">
        <v>10765</v>
      </c>
      <c r="R1866" t="s">
        <v>10821</v>
      </c>
      <c r="T1866">
        <v>43940</v>
      </c>
      <c r="U1866">
        <v>3661.67</v>
      </c>
      <c r="V1866">
        <v>31</v>
      </c>
      <c r="W1866">
        <v>1</v>
      </c>
      <c r="X1866">
        <v>3</v>
      </c>
      <c r="Z1866">
        <v>170.64</v>
      </c>
      <c r="AA1866">
        <v>40.844078</v>
      </c>
      <c r="AB1866">
        <v>-73.862995</v>
      </c>
      <c r="AD1866" t="s">
        <v>10839</v>
      </c>
      <c r="AG1866" t="s">
        <v>10858</v>
      </c>
      <c r="AH1866" t="s">
        <v>10861</v>
      </c>
      <c r="AI1866">
        <v>230</v>
      </c>
      <c r="AJ1866" t="s">
        <v>10210</v>
      </c>
      <c r="AL1866">
        <v>2.7</v>
      </c>
      <c r="AM1866" t="s">
        <v>10885</v>
      </c>
      <c r="AN1866" t="s">
        <v>10938</v>
      </c>
      <c r="AO1866" t="s">
        <v>11000</v>
      </c>
      <c r="AP1866" t="s">
        <v>11049</v>
      </c>
      <c r="AR1866" t="s">
        <v>11281</v>
      </c>
      <c r="AS1866" t="s">
        <v>9926</v>
      </c>
      <c r="AT1866" t="s">
        <v>11641</v>
      </c>
      <c r="AX1866" t="s">
        <v>10838</v>
      </c>
      <c r="BA1866" t="s">
        <v>11738</v>
      </c>
      <c r="BB1866">
        <v>0</v>
      </c>
      <c r="BC1866">
        <v>0</v>
      </c>
      <c r="BD1866">
        <v>0</v>
      </c>
      <c r="BE1866">
        <v>0</v>
      </c>
      <c r="BF1866">
        <v>5</v>
      </c>
      <c r="BG1866">
        <v>0</v>
      </c>
    </row>
    <row r="1867" spans="1:59">
      <c r="A1867" s="1">
        <f>HYPERLINK("https://lsnyc.legalserver.org/matter/dynamic-profile/view/1905762","19-1905762")</f>
        <v>0</v>
      </c>
      <c r="B1867" t="s">
        <v>1586</v>
      </c>
      <c r="C1867" t="s">
        <v>6397</v>
      </c>
      <c r="D1867" t="s">
        <v>9926</v>
      </c>
      <c r="E1867" t="s">
        <v>10075</v>
      </c>
      <c r="F1867">
        <v>10468</v>
      </c>
      <c r="G1867" t="s">
        <v>10090</v>
      </c>
      <c r="H1867" t="s">
        <v>10121</v>
      </c>
      <c r="I1867" t="s">
        <v>10168</v>
      </c>
      <c r="J1867" t="s">
        <v>10210</v>
      </c>
      <c r="K1867" t="s">
        <v>10217</v>
      </c>
      <c r="M1867" t="s">
        <v>10406</v>
      </c>
      <c r="N1867" t="s">
        <v>10671</v>
      </c>
      <c r="P1867" t="s">
        <v>10751</v>
      </c>
      <c r="Q1867" t="s">
        <v>10761</v>
      </c>
      <c r="R1867" t="s">
        <v>10824</v>
      </c>
      <c r="T1867">
        <v>0</v>
      </c>
      <c r="U1867">
        <v>0</v>
      </c>
      <c r="V1867">
        <v>37</v>
      </c>
      <c r="W1867">
        <v>1</v>
      </c>
      <c r="X1867">
        <v>0</v>
      </c>
      <c r="Z1867">
        <v>0</v>
      </c>
      <c r="AA1867">
        <v>40.864107</v>
      </c>
      <c r="AB1867">
        <v>-73.89896400000001</v>
      </c>
      <c r="AD1867" t="s">
        <v>10840</v>
      </c>
      <c r="AG1867" t="s">
        <v>10858</v>
      </c>
      <c r="AH1867" t="s">
        <v>10862</v>
      </c>
      <c r="AI1867">
        <v>230</v>
      </c>
      <c r="AJ1867" t="s">
        <v>10210</v>
      </c>
      <c r="AL1867">
        <v>0.5</v>
      </c>
      <c r="AR1867" t="s">
        <v>11279</v>
      </c>
      <c r="AS1867" t="s">
        <v>9926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</row>
    <row r="1868" spans="1:59">
      <c r="A1868" s="1">
        <f>HYPERLINK("https://lsnyc.legalserver.org/matter/dynamic-profile/view/1905763","19-1905763")</f>
        <v>0</v>
      </c>
      <c r="B1868" t="s">
        <v>1626</v>
      </c>
      <c r="C1868" t="s">
        <v>6437</v>
      </c>
      <c r="D1868" t="s">
        <v>9925</v>
      </c>
      <c r="E1868" t="s">
        <v>10075</v>
      </c>
      <c r="F1868">
        <v>10030</v>
      </c>
      <c r="G1868" t="s">
        <v>10089</v>
      </c>
      <c r="H1868" t="s">
        <v>10121</v>
      </c>
      <c r="I1868" t="s">
        <v>10168</v>
      </c>
      <c r="J1868" t="s">
        <v>10209</v>
      </c>
      <c r="K1868" t="s">
        <v>10217</v>
      </c>
      <c r="M1868" t="s">
        <v>10332</v>
      </c>
      <c r="N1868" t="s">
        <v>10694</v>
      </c>
      <c r="P1868" t="s">
        <v>10751</v>
      </c>
      <c r="Q1868" t="s">
        <v>10780</v>
      </c>
      <c r="R1868" t="s">
        <v>10824</v>
      </c>
      <c r="T1868">
        <v>2196</v>
      </c>
      <c r="U1868">
        <v>183</v>
      </c>
      <c r="V1868">
        <v>54</v>
      </c>
      <c r="W1868">
        <v>1</v>
      </c>
      <c r="X1868">
        <v>0</v>
      </c>
      <c r="Z1868">
        <v>17.58</v>
      </c>
      <c r="AA1868">
        <v>40.820345</v>
      </c>
      <c r="AB1868">
        <v>-73.938577</v>
      </c>
      <c r="AC1868" t="s">
        <v>10837</v>
      </c>
      <c r="AD1868" t="s">
        <v>10840</v>
      </c>
      <c r="AG1868" t="s">
        <v>10858</v>
      </c>
      <c r="AH1868" t="s">
        <v>10866</v>
      </c>
      <c r="AI1868">
        <v>236</v>
      </c>
      <c r="AJ1868" t="s">
        <v>10209</v>
      </c>
      <c r="AL1868">
        <v>5.15</v>
      </c>
      <c r="AM1868" t="s">
        <v>10887</v>
      </c>
      <c r="AN1868" t="s">
        <v>10943</v>
      </c>
      <c r="AO1868" t="s">
        <v>11016</v>
      </c>
      <c r="AP1868" t="s">
        <v>11076</v>
      </c>
      <c r="AR1868" t="s">
        <v>11255</v>
      </c>
      <c r="AS1868" t="s">
        <v>9925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</row>
    <row r="1869" spans="1:59">
      <c r="A1869" s="1">
        <f>HYPERLINK("https://lsnyc.legalserver.org/matter/dynamic-profile/view/1905764","19-1905764")</f>
        <v>0</v>
      </c>
      <c r="B1869" t="s">
        <v>286</v>
      </c>
      <c r="C1869" t="s">
        <v>5215</v>
      </c>
      <c r="D1869" t="s">
        <v>9928</v>
      </c>
      <c r="E1869" t="s">
        <v>10075</v>
      </c>
      <c r="F1869">
        <v>11221</v>
      </c>
      <c r="G1869" t="s">
        <v>10093</v>
      </c>
      <c r="H1869" t="s">
        <v>10121</v>
      </c>
      <c r="I1869" t="s">
        <v>10168</v>
      </c>
      <c r="J1869" t="s">
        <v>10213</v>
      </c>
      <c r="K1869" t="s">
        <v>10217</v>
      </c>
      <c r="M1869" t="s">
        <v>10392</v>
      </c>
      <c r="N1869" t="s">
        <v>10650</v>
      </c>
      <c r="P1869" t="s">
        <v>10749</v>
      </c>
      <c r="Q1869" t="s">
        <v>10765</v>
      </c>
      <c r="R1869" t="s">
        <v>10822</v>
      </c>
      <c r="T1869">
        <v>69122</v>
      </c>
      <c r="U1869">
        <v>5760.17</v>
      </c>
      <c r="V1869">
        <v>52</v>
      </c>
      <c r="W1869">
        <v>3</v>
      </c>
      <c r="X1869">
        <v>2</v>
      </c>
      <c r="Z1869">
        <v>229.11</v>
      </c>
      <c r="AA1869">
        <v>40.692296</v>
      </c>
      <c r="AB1869">
        <v>-73.938714</v>
      </c>
      <c r="AD1869" t="s">
        <v>10839</v>
      </c>
      <c r="AG1869" t="s">
        <v>10858</v>
      </c>
      <c r="AH1869" t="s">
        <v>10862</v>
      </c>
      <c r="AI1869">
        <v>239</v>
      </c>
      <c r="AJ1869" t="s">
        <v>10213</v>
      </c>
      <c r="AL1869">
        <v>0</v>
      </c>
      <c r="AM1869" t="s">
        <v>10889</v>
      </c>
      <c r="AN1869" t="s">
        <v>10914</v>
      </c>
      <c r="AO1869" t="s">
        <v>11011</v>
      </c>
      <c r="AP1869" t="s">
        <v>11052</v>
      </c>
      <c r="AR1869" t="s">
        <v>11280</v>
      </c>
      <c r="AS1869" t="s">
        <v>11595</v>
      </c>
      <c r="AT1869" t="s">
        <v>11641</v>
      </c>
      <c r="BA1869" t="s">
        <v>11740</v>
      </c>
      <c r="BB1869">
        <v>0</v>
      </c>
      <c r="BC1869">
        <v>0</v>
      </c>
      <c r="BD1869">
        <v>0</v>
      </c>
      <c r="BE1869">
        <v>0</v>
      </c>
      <c r="BF1869">
        <v>2</v>
      </c>
      <c r="BG1869">
        <v>0</v>
      </c>
    </row>
    <row r="1870" spans="1:59">
      <c r="A1870" s="1">
        <f>HYPERLINK("https://lsnyc.legalserver.org/matter/dynamic-profile/view/1905765","19-1905765")</f>
        <v>0</v>
      </c>
      <c r="B1870" t="s">
        <v>1627</v>
      </c>
      <c r="C1870" t="s">
        <v>6438</v>
      </c>
      <c r="D1870" t="s">
        <v>9925</v>
      </c>
      <c r="E1870" t="s">
        <v>10075</v>
      </c>
      <c r="F1870">
        <v>10026</v>
      </c>
      <c r="G1870" t="s">
        <v>10089</v>
      </c>
      <c r="H1870" t="s">
        <v>10121</v>
      </c>
      <c r="I1870" t="s">
        <v>10168</v>
      </c>
      <c r="J1870" t="s">
        <v>10209</v>
      </c>
      <c r="K1870" t="s">
        <v>10217</v>
      </c>
      <c r="M1870" t="s">
        <v>10453</v>
      </c>
      <c r="N1870" t="s">
        <v>10702</v>
      </c>
      <c r="P1870" t="s">
        <v>10749</v>
      </c>
      <c r="Q1870" t="s">
        <v>10765</v>
      </c>
      <c r="R1870" t="s">
        <v>10821</v>
      </c>
      <c r="S1870" t="s">
        <v>10821</v>
      </c>
      <c r="T1870">
        <v>72000</v>
      </c>
      <c r="U1870">
        <v>6000</v>
      </c>
      <c r="V1870">
        <v>39</v>
      </c>
      <c r="W1870">
        <v>1</v>
      </c>
      <c r="X1870">
        <v>1</v>
      </c>
      <c r="Z1870">
        <v>425.78</v>
      </c>
      <c r="AA1870">
        <v>40.800797</v>
      </c>
      <c r="AB1870">
        <v>-73.956165</v>
      </c>
      <c r="AD1870" t="s">
        <v>10839</v>
      </c>
      <c r="AG1870" t="s">
        <v>10858</v>
      </c>
      <c r="AH1870" t="s">
        <v>10862</v>
      </c>
      <c r="AI1870">
        <v>236</v>
      </c>
      <c r="AJ1870" t="s">
        <v>10209</v>
      </c>
      <c r="AL1870">
        <v>2</v>
      </c>
      <c r="AM1870" t="s">
        <v>10887</v>
      </c>
      <c r="AN1870" t="s">
        <v>10936</v>
      </c>
      <c r="AO1870" t="s">
        <v>11016</v>
      </c>
      <c r="AP1870" t="s">
        <v>11076</v>
      </c>
      <c r="AR1870" t="s">
        <v>11257</v>
      </c>
      <c r="AS1870" t="s">
        <v>9925</v>
      </c>
      <c r="BA1870" t="s">
        <v>11738</v>
      </c>
      <c r="BB1870">
        <v>0</v>
      </c>
      <c r="BC1870">
        <v>0</v>
      </c>
      <c r="BD1870">
        <v>0</v>
      </c>
      <c r="BE1870">
        <v>0</v>
      </c>
      <c r="BF1870">
        <v>5</v>
      </c>
      <c r="BG1870">
        <v>0</v>
      </c>
    </row>
    <row r="1871" spans="1:59">
      <c r="A1871" s="1">
        <f>HYPERLINK("https://lsnyc.legalserver.org/matter/dynamic-profile/view/1905767","19-1905767")</f>
        <v>0</v>
      </c>
      <c r="B1871" t="s">
        <v>1628</v>
      </c>
      <c r="C1871" t="s">
        <v>6439</v>
      </c>
      <c r="D1871" t="s">
        <v>9926</v>
      </c>
      <c r="E1871" t="s">
        <v>10075</v>
      </c>
      <c r="F1871">
        <v>10456</v>
      </c>
      <c r="G1871" t="s">
        <v>10090</v>
      </c>
      <c r="H1871" t="s">
        <v>10121</v>
      </c>
      <c r="I1871" t="s">
        <v>10170</v>
      </c>
      <c r="J1871" t="s">
        <v>10210</v>
      </c>
      <c r="K1871" t="s">
        <v>10217</v>
      </c>
      <c r="M1871" t="s">
        <v>10412</v>
      </c>
      <c r="N1871" t="s">
        <v>10712</v>
      </c>
      <c r="P1871" t="s">
        <v>10753</v>
      </c>
      <c r="Q1871" t="s">
        <v>10763</v>
      </c>
      <c r="R1871" t="s">
        <v>10824</v>
      </c>
      <c r="T1871">
        <v>10400</v>
      </c>
      <c r="U1871">
        <v>866.67</v>
      </c>
      <c r="V1871">
        <v>34</v>
      </c>
      <c r="W1871">
        <v>2</v>
      </c>
      <c r="X1871">
        <v>0</v>
      </c>
      <c r="Z1871">
        <v>61.5</v>
      </c>
      <c r="AA1871">
        <v>40.83296</v>
      </c>
      <c r="AB1871">
        <v>-73.909978</v>
      </c>
      <c r="AD1871" t="s">
        <v>10839</v>
      </c>
      <c r="AF1871" t="s">
        <v>10842</v>
      </c>
      <c r="AG1871" t="s">
        <v>10859</v>
      </c>
      <c r="AH1871" t="s">
        <v>10865</v>
      </c>
      <c r="AI1871">
        <v>230</v>
      </c>
      <c r="AJ1871" t="s">
        <v>10210</v>
      </c>
      <c r="AL1871">
        <v>10.8</v>
      </c>
      <c r="AM1871" t="s">
        <v>10884</v>
      </c>
      <c r="AN1871" t="s">
        <v>10929</v>
      </c>
      <c r="AO1871" t="s">
        <v>11001</v>
      </c>
      <c r="AP1871" t="s">
        <v>11055</v>
      </c>
      <c r="AQ1871" t="s">
        <v>11198</v>
      </c>
      <c r="AR1871" t="s">
        <v>11257</v>
      </c>
      <c r="AS1871" t="s">
        <v>9926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</row>
    <row r="1872" spans="1:59">
      <c r="A1872" s="1">
        <f>HYPERLINK("https://lsnyc.legalserver.org/matter/dynamic-profile/view/1905768","19-1905768")</f>
        <v>0</v>
      </c>
      <c r="B1872" t="s">
        <v>1625</v>
      </c>
      <c r="C1872" t="s">
        <v>6436</v>
      </c>
      <c r="D1872" t="s">
        <v>9926</v>
      </c>
      <c r="E1872" t="s">
        <v>10075</v>
      </c>
      <c r="F1872">
        <v>10462</v>
      </c>
      <c r="G1872" t="s">
        <v>10090</v>
      </c>
      <c r="H1872" t="s">
        <v>10121</v>
      </c>
      <c r="J1872" t="s">
        <v>10210</v>
      </c>
      <c r="K1872" t="s">
        <v>10217</v>
      </c>
      <c r="M1872" t="s">
        <v>10367</v>
      </c>
      <c r="N1872" t="s">
        <v>10671</v>
      </c>
      <c r="P1872" t="s">
        <v>10751</v>
      </c>
      <c r="Q1872" t="s">
        <v>10761</v>
      </c>
      <c r="R1872" t="s">
        <v>10821</v>
      </c>
      <c r="T1872">
        <v>43940</v>
      </c>
      <c r="U1872">
        <v>3661.67</v>
      </c>
      <c r="V1872">
        <v>31</v>
      </c>
      <c r="W1872">
        <v>1</v>
      </c>
      <c r="X1872">
        <v>3</v>
      </c>
      <c r="Z1872">
        <v>170.64</v>
      </c>
      <c r="AA1872">
        <v>40.844078</v>
      </c>
      <c r="AB1872">
        <v>-73.862995</v>
      </c>
      <c r="AD1872" t="s">
        <v>10839</v>
      </c>
      <c r="AG1872" t="s">
        <v>10858</v>
      </c>
      <c r="AH1872" t="s">
        <v>10861</v>
      </c>
      <c r="AI1872">
        <v>230</v>
      </c>
      <c r="AJ1872" t="s">
        <v>10210</v>
      </c>
      <c r="AL1872">
        <v>0</v>
      </c>
      <c r="AM1872" t="s">
        <v>10885</v>
      </c>
      <c r="AN1872" t="s">
        <v>10938</v>
      </c>
      <c r="AO1872" t="s">
        <v>11000</v>
      </c>
      <c r="AP1872" t="s">
        <v>11049</v>
      </c>
      <c r="AR1872" t="s">
        <v>11281</v>
      </c>
      <c r="AS1872" t="s">
        <v>9926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</row>
    <row r="1873" spans="1:59">
      <c r="A1873" s="1">
        <f>HYPERLINK("https://lsnyc.legalserver.org/matter/dynamic-profile/view/1905770","19-1905770")</f>
        <v>0</v>
      </c>
      <c r="B1873" t="s">
        <v>1629</v>
      </c>
      <c r="C1873" t="s">
        <v>6440</v>
      </c>
      <c r="D1873" t="s">
        <v>9948</v>
      </c>
      <c r="E1873" t="s">
        <v>10075</v>
      </c>
      <c r="F1873">
        <v>11691</v>
      </c>
      <c r="G1873" t="s">
        <v>10092</v>
      </c>
      <c r="H1873" t="s">
        <v>10121</v>
      </c>
      <c r="I1873" t="s">
        <v>10168</v>
      </c>
      <c r="J1873" t="s">
        <v>10212</v>
      </c>
      <c r="K1873" t="s">
        <v>10217</v>
      </c>
      <c r="M1873" t="s">
        <v>10408</v>
      </c>
      <c r="N1873" t="s">
        <v>10671</v>
      </c>
      <c r="P1873" t="s">
        <v>10751</v>
      </c>
      <c r="Q1873" t="s">
        <v>10761</v>
      </c>
      <c r="R1873" t="s">
        <v>10824</v>
      </c>
      <c r="T1873">
        <v>10176</v>
      </c>
      <c r="U1873">
        <v>848</v>
      </c>
      <c r="V1873">
        <v>59</v>
      </c>
      <c r="W1873">
        <v>1</v>
      </c>
      <c r="X1873">
        <v>0</v>
      </c>
      <c r="Z1873">
        <v>81.47</v>
      </c>
      <c r="AA1873">
        <v>40.596876</v>
      </c>
      <c r="AB1873">
        <v>-73.76424</v>
      </c>
      <c r="AD1873" t="s">
        <v>10839</v>
      </c>
      <c r="AG1873" t="s">
        <v>10858</v>
      </c>
      <c r="AH1873" t="s">
        <v>10862</v>
      </c>
      <c r="AI1873">
        <v>237</v>
      </c>
      <c r="AJ1873" t="s">
        <v>10212</v>
      </c>
      <c r="AL1873">
        <v>10.66</v>
      </c>
      <c r="AM1873" t="s">
        <v>10892</v>
      </c>
      <c r="AN1873" t="s">
        <v>10958</v>
      </c>
      <c r="AO1873" t="s">
        <v>11017</v>
      </c>
      <c r="AP1873" t="s">
        <v>11082</v>
      </c>
      <c r="AR1873" t="s">
        <v>11263</v>
      </c>
      <c r="AS1873" t="s">
        <v>11594</v>
      </c>
      <c r="BA1873" t="s">
        <v>11737</v>
      </c>
      <c r="BB1873">
        <v>0</v>
      </c>
      <c r="BC1873">
        <v>0</v>
      </c>
      <c r="BD1873">
        <v>0</v>
      </c>
      <c r="BE1873">
        <v>0</v>
      </c>
      <c r="BF1873">
        <v>3</v>
      </c>
      <c r="BG1873">
        <v>0</v>
      </c>
    </row>
    <row r="1874" spans="1:59">
      <c r="A1874" s="1">
        <f>HYPERLINK("https://lsnyc.legalserver.org/matter/dynamic-profile/view/1905771","19-1905771")</f>
        <v>0</v>
      </c>
      <c r="B1874" t="s">
        <v>1559</v>
      </c>
      <c r="C1874" t="s">
        <v>6375</v>
      </c>
      <c r="D1874" t="s">
        <v>9926</v>
      </c>
      <c r="E1874" t="s">
        <v>10075</v>
      </c>
      <c r="F1874">
        <v>10457</v>
      </c>
      <c r="G1874" t="s">
        <v>10090</v>
      </c>
      <c r="H1874" t="s">
        <v>10121</v>
      </c>
      <c r="I1874" t="s">
        <v>10168</v>
      </c>
      <c r="J1874" t="s">
        <v>10210</v>
      </c>
      <c r="K1874" t="s">
        <v>10217</v>
      </c>
      <c r="M1874" t="s">
        <v>10406</v>
      </c>
      <c r="N1874" t="s">
        <v>10677</v>
      </c>
      <c r="P1874" t="s">
        <v>10751</v>
      </c>
      <c r="Q1874" t="s">
        <v>10761</v>
      </c>
      <c r="R1874" t="s">
        <v>10824</v>
      </c>
      <c r="T1874">
        <v>6000</v>
      </c>
      <c r="U1874">
        <v>500</v>
      </c>
      <c r="V1874">
        <v>64</v>
      </c>
      <c r="W1874">
        <v>1</v>
      </c>
      <c r="X1874">
        <v>0</v>
      </c>
      <c r="Z1874">
        <v>48.04</v>
      </c>
      <c r="AA1874">
        <v>40.849507</v>
      </c>
      <c r="AB1874">
        <v>-73.904338</v>
      </c>
      <c r="AD1874" t="s">
        <v>10839</v>
      </c>
      <c r="AG1874" t="s">
        <v>10858</v>
      </c>
      <c r="AH1874" t="s">
        <v>10862</v>
      </c>
      <c r="AI1874">
        <v>230</v>
      </c>
      <c r="AJ1874" t="s">
        <v>10210</v>
      </c>
      <c r="AL1874">
        <v>0.5</v>
      </c>
      <c r="AR1874" t="s">
        <v>11262</v>
      </c>
      <c r="AS1874" t="s">
        <v>9926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</row>
    <row r="1875" spans="1:59">
      <c r="A1875" s="1">
        <f>HYPERLINK("https://lsnyc.legalserver.org/matter/dynamic-profile/view/1905772","19-1905772")</f>
        <v>0</v>
      </c>
      <c r="B1875" t="s">
        <v>1630</v>
      </c>
      <c r="C1875" t="s">
        <v>6441</v>
      </c>
      <c r="D1875" t="s">
        <v>9928</v>
      </c>
      <c r="E1875" t="s">
        <v>10075</v>
      </c>
      <c r="F1875">
        <v>11230</v>
      </c>
      <c r="G1875" t="s">
        <v>10093</v>
      </c>
      <c r="H1875" t="s">
        <v>10121</v>
      </c>
      <c r="I1875" t="s">
        <v>10169</v>
      </c>
      <c r="J1875" t="s">
        <v>10213</v>
      </c>
      <c r="K1875" t="s">
        <v>10217</v>
      </c>
      <c r="M1875" t="s">
        <v>10435</v>
      </c>
      <c r="N1875" t="s">
        <v>10665</v>
      </c>
      <c r="P1875" t="s">
        <v>10750</v>
      </c>
      <c r="Q1875" t="s">
        <v>10799</v>
      </c>
      <c r="R1875" t="s">
        <v>10823</v>
      </c>
      <c r="T1875">
        <v>23400</v>
      </c>
      <c r="U1875">
        <v>1950</v>
      </c>
      <c r="V1875">
        <v>34</v>
      </c>
      <c r="W1875">
        <v>2</v>
      </c>
      <c r="X1875">
        <v>2</v>
      </c>
      <c r="Z1875">
        <v>90.87</v>
      </c>
      <c r="AA1875">
        <v>40.625889</v>
      </c>
      <c r="AB1875">
        <v>-73.97591799999999</v>
      </c>
      <c r="AD1875" t="s">
        <v>10839</v>
      </c>
      <c r="AG1875" t="s">
        <v>10858</v>
      </c>
      <c r="AH1875" t="s">
        <v>10871</v>
      </c>
      <c r="AI1875">
        <v>234</v>
      </c>
      <c r="AJ1875" t="s">
        <v>10214</v>
      </c>
      <c r="AL1875">
        <v>9.5</v>
      </c>
      <c r="AM1875" t="s">
        <v>10894</v>
      </c>
      <c r="AN1875" t="s">
        <v>10947</v>
      </c>
      <c r="AO1875" t="s">
        <v>11015</v>
      </c>
      <c r="AP1875" t="s">
        <v>11079</v>
      </c>
      <c r="AR1875" t="s">
        <v>11438</v>
      </c>
      <c r="AS1875" t="s">
        <v>11595</v>
      </c>
      <c r="AT1875" t="s">
        <v>11641</v>
      </c>
      <c r="AX1875" t="s">
        <v>10838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</row>
    <row r="1876" spans="1:59">
      <c r="A1876" s="1">
        <f>HYPERLINK("https://lsnyc.legalserver.org/matter/dynamic-profile/view/1905773","19-1905773")</f>
        <v>0</v>
      </c>
      <c r="B1876" t="s">
        <v>1631</v>
      </c>
      <c r="C1876" t="s">
        <v>6442</v>
      </c>
      <c r="D1876" t="s">
        <v>9955</v>
      </c>
      <c r="E1876" t="s">
        <v>10075</v>
      </c>
      <c r="F1876">
        <v>11692</v>
      </c>
      <c r="G1876" t="s">
        <v>10092</v>
      </c>
      <c r="H1876" t="s">
        <v>10121</v>
      </c>
      <c r="I1876" t="s">
        <v>10168</v>
      </c>
      <c r="J1876" t="s">
        <v>10212</v>
      </c>
      <c r="K1876" t="s">
        <v>10217</v>
      </c>
      <c r="M1876" t="s">
        <v>10408</v>
      </c>
      <c r="N1876" t="s">
        <v>10671</v>
      </c>
      <c r="P1876" t="s">
        <v>10749</v>
      </c>
      <c r="Q1876" t="s">
        <v>10767</v>
      </c>
      <c r="R1876" t="s">
        <v>10824</v>
      </c>
      <c r="T1876">
        <v>35698</v>
      </c>
      <c r="U1876">
        <v>2974.83</v>
      </c>
      <c r="V1876">
        <v>47</v>
      </c>
      <c r="W1876">
        <v>2</v>
      </c>
      <c r="X1876">
        <v>1</v>
      </c>
      <c r="Z1876">
        <v>167.36</v>
      </c>
      <c r="AA1876">
        <v>40.59692</v>
      </c>
      <c r="AB1876">
        <v>-73.78815899999999</v>
      </c>
      <c r="AD1876" t="s">
        <v>10839</v>
      </c>
      <c r="AG1876" t="s">
        <v>10858</v>
      </c>
      <c r="AH1876" t="s">
        <v>10862</v>
      </c>
      <c r="AI1876">
        <v>237</v>
      </c>
      <c r="AJ1876" t="s">
        <v>10212</v>
      </c>
      <c r="AL1876">
        <v>0.49</v>
      </c>
      <c r="AM1876" t="s">
        <v>10892</v>
      </c>
      <c r="AN1876" t="s">
        <v>10930</v>
      </c>
      <c r="AO1876" t="s">
        <v>11017</v>
      </c>
      <c r="AP1876" t="s">
        <v>11082</v>
      </c>
      <c r="AR1876" t="s">
        <v>11257</v>
      </c>
      <c r="AS1876" t="s">
        <v>11594</v>
      </c>
      <c r="AX1876" t="s">
        <v>10838</v>
      </c>
      <c r="BA1876" t="s">
        <v>11737</v>
      </c>
      <c r="BB1876">
        <v>0</v>
      </c>
      <c r="BC1876">
        <v>0</v>
      </c>
      <c r="BD1876">
        <v>0</v>
      </c>
      <c r="BE1876">
        <v>0</v>
      </c>
      <c r="BF1876">
        <v>3</v>
      </c>
      <c r="BG1876">
        <v>0</v>
      </c>
    </row>
    <row r="1877" spans="1:59">
      <c r="A1877" s="1">
        <f>HYPERLINK("https://lsnyc.legalserver.org/matter/dynamic-profile/view/1905774","19-1905774")</f>
        <v>0</v>
      </c>
      <c r="B1877" t="s">
        <v>1135</v>
      </c>
      <c r="C1877" t="s">
        <v>5453</v>
      </c>
      <c r="D1877" t="s">
        <v>9928</v>
      </c>
      <c r="E1877" t="s">
        <v>10075</v>
      </c>
      <c r="F1877">
        <v>11221</v>
      </c>
      <c r="G1877" t="s">
        <v>10093</v>
      </c>
      <c r="H1877" t="s">
        <v>10121</v>
      </c>
      <c r="I1877" t="s">
        <v>10168</v>
      </c>
      <c r="J1877" t="s">
        <v>10213</v>
      </c>
      <c r="K1877" t="s">
        <v>10217</v>
      </c>
      <c r="M1877" t="s">
        <v>10392</v>
      </c>
      <c r="N1877" t="s">
        <v>10650</v>
      </c>
      <c r="P1877" t="s">
        <v>10749</v>
      </c>
      <c r="Q1877" t="s">
        <v>10769</v>
      </c>
      <c r="R1877" t="s">
        <v>10822</v>
      </c>
      <c r="T1877">
        <v>34644</v>
      </c>
      <c r="U1877">
        <v>2887</v>
      </c>
      <c r="V1877">
        <v>56</v>
      </c>
      <c r="W1877">
        <v>2</v>
      </c>
      <c r="X1877">
        <v>0</v>
      </c>
      <c r="Z1877">
        <v>204.87</v>
      </c>
      <c r="AA1877">
        <v>40.692299</v>
      </c>
      <c r="AB1877">
        <v>-73.938599</v>
      </c>
      <c r="AD1877" t="s">
        <v>10839</v>
      </c>
      <c r="AG1877" t="s">
        <v>10858</v>
      </c>
      <c r="AH1877" t="s">
        <v>10862</v>
      </c>
      <c r="AI1877">
        <v>239</v>
      </c>
      <c r="AJ1877" t="s">
        <v>10213</v>
      </c>
      <c r="AL1877">
        <v>0</v>
      </c>
      <c r="AR1877" t="s">
        <v>11296</v>
      </c>
      <c r="AS1877" t="s">
        <v>11595</v>
      </c>
      <c r="BA1877" t="s">
        <v>11740</v>
      </c>
      <c r="BB1877">
        <v>0</v>
      </c>
      <c r="BC1877">
        <v>0</v>
      </c>
      <c r="BD1877">
        <v>0</v>
      </c>
      <c r="BE1877">
        <v>0</v>
      </c>
      <c r="BF1877">
        <v>2</v>
      </c>
      <c r="BG1877">
        <v>0</v>
      </c>
    </row>
    <row r="1878" spans="1:59">
      <c r="A1878" s="1">
        <f>HYPERLINK("https://lsnyc.legalserver.org/matter/dynamic-profile/view/1905775","19-1905775")</f>
        <v>0</v>
      </c>
      <c r="B1878" t="s">
        <v>1632</v>
      </c>
      <c r="C1878" t="s">
        <v>6443</v>
      </c>
      <c r="D1878" t="s">
        <v>9925</v>
      </c>
      <c r="E1878" t="s">
        <v>10075</v>
      </c>
      <c r="F1878">
        <v>10027</v>
      </c>
      <c r="G1878" t="s">
        <v>10089</v>
      </c>
      <c r="H1878" t="s">
        <v>10121</v>
      </c>
      <c r="I1878" t="s">
        <v>10168</v>
      </c>
      <c r="J1878" t="s">
        <v>10209</v>
      </c>
      <c r="K1878" t="s">
        <v>10217</v>
      </c>
      <c r="M1878" t="s">
        <v>10453</v>
      </c>
      <c r="N1878" t="s">
        <v>10702</v>
      </c>
      <c r="P1878" t="s">
        <v>10749</v>
      </c>
      <c r="Q1878" t="s">
        <v>10767</v>
      </c>
      <c r="R1878" t="s">
        <v>10821</v>
      </c>
      <c r="T1878">
        <v>9528</v>
      </c>
      <c r="U1878">
        <v>794</v>
      </c>
      <c r="V1878">
        <v>29</v>
      </c>
      <c r="W1878">
        <v>1</v>
      </c>
      <c r="X1878">
        <v>1</v>
      </c>
      <c r="Z1878">
        <v>56.35</v>
      </c>
      <c r="AA1878">
        <v>40.812443</v>
      </c>
      <c r="AB1878">
        <v>-73.956271</v>
      </c>
      <c r="AD1878" t="s">
        <v>10839</v>
      </c>
      <c r="AG1878" t="s">
        <v>10858</v>
      </c>
      <c r="AH1878" t="s">
        <v>10861</v>
      </c>
      <c r="AI1878">
        <v>236</v>
      </c>
      <c r="AJ1878" t="s">
        <v>10209</v>
      </c>
      <c r="AL1878">
        <v>2.5</v>
      </c>
      <c r="AM1878" t="s">
        <v>10887</v>
      </c>
      <c r="AN1878" t="s">
        <v>10953</v>
      </c>
      <c r="AO1878" t="s">
        <v>11016</v>
      </c>
      <c r="AP1878" t="s">
        <v>11073</v>
      </c>
      <c r="AR1878" t="s">
        <v>11274</v>
      </c>
      <c r="AS1878" t="s">
        <v>9925</v>
      </c>
      <c r="BA1878" t="s">
        <v>11738</v>
      </c>
      <c r="BB1878">
        <v>0</v>
      </c>
      <c r="BC1878">
        <v>0</v>
      </c>
      <c r="BD1878">
        <v>0</v>
      </c>
      <c r="BE1878">
        <v>0</v>
      </c>
      <c r="BF1878">
        <v>5</v>
      </c>
      <c r="BG1878">
        <v>0</v>
      </c>
    </row>
    <row r="1879" spans="1:59">
      <c r="A1879" s="1">
        <f>HYPERLINK("https://lsnyc.legalserver.org/matter/dynamic-profile/view/1905776","19-1905776")</f>
        <v>0</v>
      </c>
      <c r="B1879" t="s">
        <v>1633</v>
      </c>
      <c r="C1879" t="s">
        <v>6444</v>
      </c>
      <c r="D1879" t="s">
        <v>9929</v>
      </c>
      <c r="E1879" t="s">
        <v>10075</v>
      </c>
      <c r="F1879">
        <v>10304</v>
      </c>
      <c r="G1879" t="s">
        <v>10088</v>
      </c>
      <c r="H1879" t="s">
        <v>10121</v>
      </c>
      <c r="I1879" t="s">
        <v>10168</v>
      </c>
      <c r="J1879" t="s">
        <v>10208</v>
      </c>
      <c r="K1879" t="s">
        <v>10217</v>
      </c>
      <c r="M1879" t="s">
        <v>10376</v>
      </c>
      <c r="N1879" t="s">
        <v>10649</v>
      </c>
      <c r="P1879" t="s">
        <v>10753</v>
      </c>
      <c r="Q1879" t="s">
        <v>10763</v>
      </c>
      <c r="R1879" t="s">
        <v>10827</v>
      </c>
      <c r="T1879">
        <v>3600</v>
      </c>
      <c r="U1879">
        <v>300</v>
      </c>
      <c r="V1879">
        <v>41</v>
      </c>
      <c r="W1879">
        <v>2</v>
      </c>
      <c r="X1879">
        <v>2</v>
      </c>
      <c r="Z1879">
        <v>13.98</v>
      </c>
      <c r="AA1879">
        <v>40.626733</v>
      </c>
      <c r="AB1879">
        <v>-74.084006</v>
      </c>
      <c r="AD1879" t="s">
        <v>10839</v>
      </c>
      <c r="AF1879" t="s">
        <v>10844</v>
      </c>
      <c r="AG1879" t="s">
        <v>10859</v>
      </c>
      <c r="AH1879" t="s">
        <v>10861</v>
      </c>
      <c r="AI1879">
        <v>285</v>
      </c>
      <c r="AJ1879" t="s">
        <v>10208</v>
      </c>
      <c r="AL1879">
        <v>1.5</v>
      </c>
      <c r="AM1879" t="s">
        <v>10883</v>
      </c>
      <c r="AN1879" t="s">
        <v>10913</v>
      </c>
      <c r="AO1879" t="s">
        <v>11006</v>
      </c>
      <c r="AP1879" t="s">
        <v>11051</v>
      </c>
      <c r="AR1879" t="s">
        <v>11262</v>
      </c>
      <c r="AS1879" t="s">
        <v>11593</v>
      </c>
      <c r="AT1879" t="s">
        <v>11641</v>
      </c>
      <c r="AX1879" t="s">
        <v>10838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</row>
    <row r="1880" spans="1:59">
      <c r="A1880" s="1">
        <f>HYPERLINK("https://lsnyc.legalserver.org/matter/dynamic-profile/view/1905777","19-1905777")</f>
        <v>0</v>
      </c>
      <c r="B1880" t="s">
        <v>1634</v>
      </c>
      <c r="C1880" t="s">
        <v>6445</v>
      </c>
      <c r="D1880" t="s">
        <v>9928</v>
      </c>
      <c r="E1880" t="s">
        <v>10075</v>
      </c>
      <c r="F1880">
        <v>11213</v>
      </c>
      <c r="G1880" t="s">
        <v>10093</v>
      </c>
      <c r="H1880" t="s">
        <v>10121</v>
      </c>
      <c r="I1880" t="s">
        <v>10168</v>
      </c>
      <c r="J1880" t="s">
        <v>10213</v>
      </c>
      <c r="K1880" t="s">
        <v>10218</v>
      </c>
      <c r="L1880" t="s">
        <v>10140</v>
      </c>
      <c r="M1880" t="s">
        <v>10315</v>
      </c>
      <c r="N1880" t="s">
        <v>10671</v>
      </c>
      <c r="P1880" t="s">
        <v>10750</v>
      </c>
      <c r="Q1880" t="s">
        <v>10778</v>
      </c>
      <c r="R1880" t="s">
        <v>10822</v>
      </c>
      <c r="T1880">
        <v>13332</v>
      </c>
      <c r="U1880">
        <v>1111</v>
      </c>
      <c r="V1880">
        <v>70</v>
      </c>
      <c r="W1880">
        <v>1</v>
      </c>
      <c r="X1880">
        <v>0</v>
      </c>
      <c r="Y1880" t="s">
        <v>10829</v>
      </c>
      <c r="Z1880">
        <v>106.74</v>
      </c>
      <c r="AA1880">
        <v>40.671607</v>
      </c>
      <c r="AB1880">
        <v>-73.941447</v>
      </c>
      <c r="AD1880" t="s">
        <v>10840</v>
      </c>
      <c r="AG1880" t="s">
        <v>10858</v>
      </c>
      <c r="AH1880" t="s">
        <v>10861</v>
      </c>
      <c r="AI1880">
        <v>234</v>
      </c>
      <c r="AJ1880" t="s">
        <v>10214</v>
      </c>
      <c r="AK1880" t="s">
        <v>10838</v>
      </c>
      <c r="AL1880">
        <v>2.25</v>
      </c>
      <c r="AM1880" t="s">
        <v>10888</v>
      </c>
      <c r="AN1880" t="s">
        <v>10912</v>
      </c>
      <c r="AO1880" t="s">
        <v>11007</v>
      </c>
      <c r="AP1880" t="s">
        <v>11061</v>
      </c>
      <c r="AR1880" t="s">
        <v>11316</v>
      </c>
      <c r="AS1880" t="s">
        <v>11595</v>
      </c>
      <c r="AT1880" t="s">
        <v>11642</v>
      </c>
      <c r="AX1880" t="s">
        <v>10838</v>
      </c>
      <c r="AY1880" t="s">
        <v>10829</v>
      </c>
      <c r="AZ1880" t="s">
        <v>11679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</row>
    <row r="1881" spans="1:59">
      <c r="A1881" s="1">
        <f>HYPERLINK("https://lsnyc.legalserver.org/matter/dynamic-profile/view/1905778","19-1905778")</f>
        <v>0</v>
      </c>
      <c r="B1881" t="s">
        <v>1635</v>
      </c>
      <c r="C1881" t="s">
        <v>5221</v>
      </c>
      <c r="D1881" t="s">
        <v>9928</v>
      </c>
      <c r="E1881" t="s">
        <v>10075</v>
      </c>
      <c r="F1881">
        <v>11212</v>
      </c>
      <c r="G1881" t="s">
        <v>10093</v>
      </c>
      <c r="H1881" t="s">
        <v>10121</v>
      </c>
      <c r="I1881" t="s">
        <v>10168</v>
      </c>
      <c r="J1881" t="s">
        <v>10213</v>
      </c>
      <c r="K1881" t="s">
        <v>10217</v>
      </c>
      <c r="M1881" t="s">
        <v>10371</v>
      </c>
      <c r="N1881" t="s">
        <v>10650</v>
      </c>
      <c r="P1881" t="s">
        <v>10749</v>
      </c>
      <c r="Q1881" t="s">
        <v>10769</v>
      </c>
      <c r="R1881" t="s">
        <v>10824</v>
      </c>
      <c r="T1881">
        <v>31033.6</v>
      </c>
      <c r="U1881">
        <v>2586.13</v>
      </c>
      <c r="V1881">
        <v>58</v>
      </c>
      <c r="W1881">
        <v>1</v>
      </c>
      <c r="X1881">
        <v>0</v>
      </c>
      <c r="Z1881">
        <v>248.47</v>
      </c>
      <c r="AA1881">
        <v>40.673112</v>
      </c>
      <c r="AB1881">
        <v>-73.907392</v>
      </c>
      <c r="AD1881" t="s">
        <v>10839</v>
      </c>
      <c r="AG1881" t="s">
        <v>10858</v>
      </c>
      <c r="AH1881" t="s">
        <v>10862</v>
      </c>
      <c r="AI1881">
        <v>239</v>
      </c>
      <c r="AJ1881" t="s">
        <v>10213</v>
      </c>
      <c r="AL1881">
        <v>0</v>
      </c>
      <c r="AM1881" t="s">
        <v>10889</v>
      </c>
      <c r="AN1881" t="s">
        <v>10922</v>
      </c>
      <c r="AO1881" t="s">
        <v>11012</v>
      </c>
      <c r="AP1881" t="s">
        <v>11058</v>
      </c>
      <c r="AR1881" t="s">
        <v>11257</v>
      </c>
      <c r="AS1881" t="s">
        <v>11595</v>
      </c>
      <c r="AT1881" t="s">
        <v>11641</v>
      </c>
      <c r="BA1881" t="s">
        <v>11740</v>
      </c>
      <c r="BB1881">
        <v>0</v>
      </c>
      <c r="BC1881">
        <v>0</v>
      </c>
      <c r="BD1881">
        <v>0</v>
      </c>
      <c r="BE1881">
        <v>0</v>
      </c>
      <c r="BF1881">
        <v>2</v>
      </c>
      <c r="BG1881">
        <v>0</v>
      </c>
    </row>
    <row r="1882" spans="1:59">
      <c r="A1882" s="1">
        <f>HYPERLINK("https://lsnyc.legalserver.org/matter/dynamic-profile/view/1905779","19-1905779")</f>
        <v>0</v>
      </c>
      <c r="B1882" t="s">
        <v>1629</v>
      </c>
      <c r="C1882" t="s">
        <v>6440</v>
      </c>
      <c r="D1882" t="s">
        <v>9948</v>
      </c>
      <c r="E1882" t="s">
        <v>10075</v>
      </c>
      <c r="F1882">
        <v>11691</v>
      </c>
      <c r="G1882" t="s">
        <v>10092</v>
      </c>
      <c r="H1882" t="s">
        <v>10121</v>
      </c>
      <c r="I1882" t="s">
        <v>10168</v>
      </c>
      <c r="J1882" t="s">
        <v>10212</v>
      </c>
      <c r="K1882" t="s">
        <v>10217</v>
      </c>
      <c r="M1882" t="s">
        <v>10484</v>
      </c>
      <c r="N1882" t="s">
        <v>10650</v>
      </c>
      <c r="P1882" t="s">
        <v>10749</v>
      </c>
      <c r="Q1882" t="s">
        <v>10765</v>
      </c>
      <c r="R1882" t="s">
        <v>10824</v>
      </c>
      <c r="T1882">
        <v>9840</v>
      </c>
      <c r="U1882">
        <v>820</v>
      </c>
      <c r="V1882">
        <v>59</v>
      </c>
      <c r="W1882">
        <v>1</v>
      </c>
      <c r="X1882">
        <v>0</v>
      </c>
      <c r="Z1882">
        <v>78.78</v>
      </c>
      <c r="AA1882">
        <v>40.596876</v>
      </c>
      <c r="AB1882">
        <v>-73.76424</v>
      </c>
      <c r="AD1882" t="s">
        <v>10839</v>
      </c>
      <c r="AG1882" t="s">
        <v>10858</v>
      </c>
      <c r="AH1882" t="s">
        <v>10862</v>
      </c>
      <c r="AI1882">
        <v>237</v>
      </c>
      <c r="AJ1882" t="s">
        <v>10212</v>
      </c>
      <c r="AL1882">
        <v>23.31</v>
      </c>
      <c r="AM1882" t="s">
        <v>10892</v>
      </c>
      <c r="AN1882" t="s">
        <v>10958</v>
      </c>
      <c r="AO1882" t="s">
        <v>11017</v>
      </c>
      <c r="AP1882" t="s">
        <v>11082</v>
      </c>
      <c r="AR1882" t="s">
        <v>11296</v>
      </c>
      <c r="AS1882" t="s">
        <v>11594</v>
      </c>
      <c r="AT1882" t="s">
        <v>11641</v>
      </c>
      <c r="BA1882" t="s">
        <v>11738</v>
      </c>
      <c r="BB1882">
        <v>0</v>
      </c>
      <c r="BC1882">
        <v>0</v>
      </c>
      <c r="BD1882">
        <v>0</v>
      </c>
      <c r="BE1882">
        <v>0</v>
      </c>
      <c r="BF1882">
        <v>5</v>
      </c>
      <c r="BG1882">
        <v>0</v>
      </c>
    </row>
    <row r="1883" spans="1:59">
      <c r="A1883" s="1">
        <f>HYPERLINK("https://lsnyc.legalserver.org/matter/dynamic-profile/view/1905780","19-1905780")</f>
        <v>0</v>
      </c>
      <c r="B1883" t="s">
        <v>1635</v>
      </c>
      <c r="C1883" t="s">
        <v>5221</v>
      </c>
      <c r="D1883" t="s">
        <v>9928</v>
      </c>
      <c r="E1883" t="s">
        <v>10075</v>
      </c>
      <c r="F1883">
        <v>11212</v>
      </c>
      <c r="G1883" t="s">
        <v>10093</v>
      </c>
      <c r="H1883" t="s">
        <v>10121</v>
      </c>
      <c r="I1883" t="s">
        <v>10168</v>
      </c>
      <c r="J1883" t="s">
        <v>10213</v>
      </c>
      <c r="K1883" t="s">
        <v>10217</v>
      </c>
      <c r="M1883" t="s">
        <v>10371</v>
      </c>
      <c r="N1883" t="s">
        <v>10650</v>
      </c>
      <c r="P1883" t="s">
        <v>10749</v>
      </c>
      <c r="Q1883" t="s">
        <v>10765</v>
      </c>
      <c r="R1883" t="s">
        <v>10824</v>
      </c>
      <c r="T1883">
        <v>31033.6</v>
      </c>
      <c r="U1883">
        <v>2586.13</v>
      </c>
      <c r="V1883">
        <v>58</v>
      </c>
      <c r="W1883">
        <v>1</v>
      </c>
      <c r="X1883">
        <v>0</v>
      </c>
      <c r="Z1883">
        <v>248.47</v>
      </c>
      <c r="AA1883">
        <v>40.673112</v>
      </c>
      <c r="AB1883">
        <v>-73.907392</v>
      </c>
      <c r="AC1883" t="s">
        <v>10838</v>
      </c>
      <c r="AD1883" t="s">
        <v>10839</v>
      </c>
      <c r="AG1883" t="s">
        <v>10858</v>
      </c>
      <c r="AH1883" t="s">
        <v>10862</v>
      </c>
      <c r="AI1883">
        <v>239</v>
      </c>
      <c r="AJ1883" t="s">
        <v>10213</v>
      </c>
      <c r="AL1883">
        <v>0</v>
      </c>
      <c r="AR1883" t="s">
        <v>11257</v>
      </c>
      <c r="AS1883" t="s">
        <v>11595</v>
      </c>
      <c r="AT1883" t="s">
        <v>11641</v>
      </c>
      <c r="BA1883" t="s">
        <v>11740</v>
      </c>
      <c r="BB1883">
        <v>0</v>
      </c>
      <c r="BC1883">
        <v>0</v>
      </c>
      <c r="BD1883">
        <v>0</v>
      </c>
      <c r="BE1883">
        <v>0</v>
      </c>
      <c r="BF1883">
        <v>2</v>
      </c>
      <c r="BG1883">
        <v>0</v>
      </c>
    </row>
    <row r="1884" spans="1:59">
      <c r="A1884" s="1">
        <f>HYPERLINK("https://lsnyc.legalserver.org/matter/dynamic-profile/view/1905781","19-1905781")</f>
        <v>0</v>
      </c>
      <c r="B1884" t="s">
        <v>1636</v>
      </c>
      <c r="C1884" t="s">
        <v>6446</v>
      </c>
      <c r="D1884" t="s">
        <v>9927</v>
      </c>
      <c r="E1884" t="s">
        <v>10075</v>
      </c>
      <c r="F1884">
        <v>11377</v>
      </c>
      <c r="G1884" t="s">
        <v>10092</v>
      </c>
      <c r="H1884" t="s">
        <v>10121</v>
      </c>
      <c r="J1884" t="s">
        <v>10212</v>
      </c>
      <c r="K1884" t="s">
        <v>10218</v>
      </c>
      <c r="L1884" t="s">
        <v>10151</v>
      </c>
      <c r="M1884" t="s">
        <v>10350</v>
      </c>
      <c r="N1884" t="s">
        <v>10692</v>
      </c>
      <c r="P1884" t="s">
        <v>10754</v>
      </c>
      <c r="Q1884" t="s">
        <v>10766</v>
      </c>
      <c r="R1884" t="s">
        <v>10821</v>
      </c>
      <c r="T1884">
        <v>0</v>
      </c>
      <c r="U1884">
        <v>0</v>
      </c>
      <c r="V1884">
        <v>26</v>
      </c>
      <c r="W1884">
        <v>1</v>
      </c>
      <c r="X1884">
        <v>0</v>
      </c>
      <c r="Y1884" t="s">
        <v>10830</v>
      </c>
      <c r="Z1884">
        <v>0</v>
      </c>
      <c r="AA1884">
        <v>40.740228</v>
      </c>
      <c r="AB1884">
        <v>-73.90424899999999</v>
      </c>
      <c r="AD1884" t="s">
        <v>10839</v>
      </c>
      <c r="AF1884" t="s">
        <v>10842</v>
      </c>
      <c r="AG1884" t="s">
        <v>10859</v>
      </c>
      <c r="AH1884" t="s">
        <v>10865</v>
      </c>
      <c r="AI1884">
        <v>237</v>
      </c>
      <c r="AJ1884" t="s">
        <v>10212</v>
      </c>
      <c r="AK1884" t="s">
        <v>10837</v>
      </c>
      <c r="AL1884">
        <v>2.75</v>
      </c>
      <c r="AM1884" t="s">
        <v>10885</v>
      </c>
      <c r="AN1884" t="s">
        <v>10935</v>
      </c>
      <c r="AO1884" t="s">
        <v>11003</v>
      </c>
      <c r="AP1884" t="s">
        <v>11047</v>
      </c>
      <c r="AR1884" t="s">
        <v>11267</v>
      </c>
      <c r="AS1884" t="s">
        <v>11594</v>
      </c>
      <c r="AY1884" t="s">
        <v>10830</v>
      </c>
      <c r="AZ1884" t="s">
        <v>11683</v>
      </c>
      <c r="BA1884" t="s">
        <v>11741</v>
      </c>
      <c r="BB1884">
        <v>0</v>
      </c>
      <c r="BC1884">
        <v>0</v>
      </c>
      <c r="BD1884">
        <v>0</v>
      </c>
      <c r="BE1884">
        <v>0</v>
      </c>
      <c r="BF1884">
        <v>1</v>
      </c>
      <c r="BG1884">
        <v>0</v>
      </c>
    </row>
    <row r="1885" spans="1:59">
      <c r="A1885" s="1">
        <f>HYPERLINK("https://lsnyc.legalserver.org/matter/dynamic-profile/view/1905782","19-1905782")</f>
        <v>0</v>
      </c>
      <c r="B1885" t="s">
        <v>1552</v>
      </c>
      <c r="C1885" t="s">
        <v>6371</v>
      </c>
      <c r="D1885" t="s">
        <v>9928</v>
      </c>
      <c r="E1885" t="s">
        <v>10075</v>
      </c>
      <c r="F1885">
        <v>11221</v>
      </c>
      <c r="G1885" t="s">
        <v>10093</v>
      </c>
      <c r="H1885" t="s">
        <v>10121</v>
      </c>
      <c r="I1885" t="s">
        <v>10168</v>
      </c>
      <c r="J1885" t="s">
        <v>10213</v>
      </c>
      <c r="K1885" t="s">
        <v>10217</v>
      </c>
      <c r="M1885" t="s">
        <v>10265</v>
      </c>
      <c r="N1885" t="s">
        <v>10668</v>
      </c>
      <c r="P1885" t="s">
        <v>10751</v>
      </c>
      <c r="Q1885" t="s">
        <v>10761</v>
      </c>
      <c r="R1885" t="s">
        <v>10821</v>
      </c>
      <c r="T1885">
        <v>2247.09</v>
      </c>
      <c r="U1885">
        <v>187.26</v>
      </c>
      <c r="V1885">
        <v>20</v>
      </c>
      <c r="W1885">
        <v>1</v>
      </c>
      <c r="X1885">
        <v>0</v>
      </c>
      <c r="Z1885">
        <v>17.99</v>
      </c>
      <c r="AA1885">
        <v>40.690475</v>
      </c>
      <c r="AB1885">
        <v>-73.94153900000001</v>
      </c>
      <c r="AD1885" t="s">
        <v>10839</v>
      </c>
      <c r="AG1885" t="s">
        <v>10858</v>
      </c>
      <c r="AH1885" t="s">
        <v>10862</v>
      </c>
      <c r="AI1885">
        <v>239</v>
      </c>
      <c r="AJ1885" t="s">
        <v>10213</v>
      </c>
      <c r="AL1885">
        <v>1.95</v>
      </c>
      <c r="AM1885" t="s">
        <v>10889</v>
      </c>
      <c r="AN1885" t="s">
        <v>10914</v>
      </c>
      <c r="AO1885" t="s">
        <v>11007</v>
      </c>
      <c r="AP1885" t="s">
        <v>11052</v>
      </c>
      <c r="AR1885" t="s">
        <v>11257</v>
      </c>
      <c r="AS1885" t="s">
        <v>11595</v>
      </c>
      <c r="BA1885" t="s">
        <v>11737</v>
      </c>
      <c r="BB1885">
        <v>0</v>
      </c>
      <c r="BC1885">
        <v>0</v>
      </c>
      <c r="BD1885">
        <v>0</v>
      </c>
      <c r="BE1885">
        <v>0</v>
      </c>
      <c r="BF1885">
        <v>3</v>
      </c>
      <c r="BG1885">
        <v>0</v>
      </c>
    </row>
    <row r="1886" spans="1:59">
      <c r="A1886" s="1">
        <f>HYPERLINK("https://lsnyc.legalserver.org/matter/dynamic-profile/view/1905783","19-1905783")</f>
        <v>0</v>
      </c>
      <c r="B1886" t="s">
        <v>1637</v>
      </c>
      <c r="C1886" t="s">
        <v>5221</v>
      </c>
      <c r="D1886" t="s">
        <v>9928</v>
      </c>
      <c r="E1886" t="s">
        <v>10075</v>
      </c>
      <c r="F1886">
        <v>11212</v>
      </c>
      <c r="G1886" t="s">
        <v>10093</v>
      </c>
      <c r="H1886" t="s">
        <v>10121</v>
      </c>
      <c r="I1886" t="s">
        <v>10168</v>
      </c>
      <c r="J1886" t="s">
        <v>10213</v>
      </c>
      <c r="K1886" t="s">
        <v>10217</v>
      </c>
      <c r="M1886" t="s">
        <v>10371</v>
      </c>
      <c r="N1886" t="s">
        <v>10650</v>
      </c>
      <c r="P1886" t="s">
        <v>10752</v>
      </c>
      <c r="Q1886" t="s">
        <v>10762</v>
      </c>
      <c r="R1886" t="s">
        <v>10824</v>
      </c>
      <c r="T1886">
        <v>28000</v>
      </c>
      <c r="U1886">
        <v>2333.33</v>
      </c>
      <c r="V1886">
        <v>72</v>
      </c>
      <c r="W1886">
        <v>2</v>
      </c>
      <c r="X1886">
        <v>0</v>
      </c>
      <c r="Z1886">
        <v>165.58</v>
      </c>
      <c r="AA1886">
        <v>40.673112</v>
      </c>
      <c r="AB1886">
        <v>-73.907392</v>
      </c>
      <c r="AD1886" t="s">
        <v>10839</v>
      </c>
      <c r="AG1886" t="s">
        <v>10858</v>
      </c>
      <c r="AH1886" t="s">
        <v>10862</v>
      </c>
      <c r="AI1886">
        <v>239</v>
      </c>
      <c r="AJ1886" t="s">
        <v>10213</v>
      </c>
      <c r="AL1886">
        <v>0</v>
      </c>
      <c r="AM1886" t="s">
        <v>10889</v>
      </c>
      <c r="AN1886" t="s">
        <v>10922</v>
      </c>
      <c r="AO1886" t="s">
        <v>11012</v>
      </c>
      <c r="AP1886" t="s">
        <v>11058</v>
      </c>
      <c r="AR1886" t="s">
        <v>11257</v>
      </c>
      <c r="AS1886" t="s">
        <v>11595</v>
      </c>
      <c r="AT1886" t="s">
        <v>11641</v>
      </c>
      <c r="BA1886" t="s">
        <v>11738</v>
      </c>
      <c r="BB1886">
        <v>0</v>
      </c>
      <c r="BC1886">
        <v>0</v>
      </c>
      <c r="BD1886">
        <v>0</v>
      </c>
      <c r="BE1886">
        <v>0</v>
      </c>
      <c r="BF1886">
        <v>5</v>
      </c>
      <c r="BG1886">
        <v>0</v>
      </c>
    </row>
    <row r="1887" spans="1:59">
      <c r="A1887" s="1">
        <f>HYPERLINK("https://lsnyc.legalserver.org/matter/dynamic-profile/view/1905784","19-1905784")</f>
        <v>0</v>
      </c>
      <c r="B1887" t="s">
        <v>1637</v>
      </c>
      <c r="C1887" t="s">
        <v>5221</v>
      </c>
      <c r="D1887" t="s">
        <v>9928</v>
      </c>
      <c r="E1887" t="s">
        <v>10075</v>
      </c>
      <c r="F1887">
        <v>11212</v>
      </c>
      <c r="G1887" t="s">
        <v>10093</v>
      </c>
      <c r="H1887" t="s">
        <v>10121</v>
      </c>
      <c r="I1887" t="s">
        <v>10168</v>
      </c>
      <c r="J1887" t="s">
        <v>10213</v>
      </c>
      <c r="K1887" t="s">
        <v>10217</v>
      </c>
      <c r="M1887" t="s">
        <v>10371</v>
      </c>
      <c r="N1887" t="s">
        <v>10650</v>
      </c>
      <c r="P1887" t="s">
        <v>10749</v>
      </c>
      <c r="Q1887" t="s">
        <v>10765</v>
      </c>
      <c r="R1887" t="s">
        <v>10824</v>
      </c>
      <c r="T1887">
        <v>28000</v>
      </c>
      <c r="U1887">
        <v>2333.33</v>
      </c>
      <c r="V1887">
        <v>72</v>
      </c>
      <c r="W1887">
        <v>2</v>
      </c>
      <c r="X1887">
        <v>0</v>
      </c>
      <c r="Z1887">
        <v>165.58</v>
      </c>
      <c r="AA1887">
        <v>40.673112</v>
      </c>
      <c r="AB1887">
        <v>-73.907392</v>
      </c>
      <c r="AC1887" t="s">
        <v>10838</v>
      </c>
      <c r="AD1887" t="s">
        <v>10839</v>
      </c>
      <c r="AG1887" t="s">
        <v>10858</v>
      </c>
      <c r="AH1887" t="s">
        <v>10862</v>
      </c>
      <c r="AI1887">
        <v>239</v>
      </c>
      <c r="AJ1887" t="s">
        <v>10213</v>
      </c>
      <c r="AL1887">
        <v>0</v>
      </c>
      <c r="AQ1887" t="s">
        <v>11101</v>
      </c>
      <c r="AR1887" t="s">
        <v>11257</v>
      </c>
      <c r="AS1887" t="s">
        <v>11595</v>
      </c>
      <c r="AT1887" t="s">
        <v>11641</v>
      </c>
      <c r="BA1887" t="s">
        <v>11738</v>
      </c>
      <c r="BB1887">
        <v>0</v>
      </c>
      <c r="BC1887">
        <v>0</v>
      </c>
      <c r="BD1887">
        <v>0</v>
      </c>
      <c r="BE1887">
        <v>0</v>
      </c>
      <c r="BF1887">
        <v>5</v>
      </c>
      <c r="BG1887">
        <v>0</v>
      </c>
    </row>
    <row r="1888" spans="1:59">
      <c r="A1888" s="1">
        <f>HYPERLINK("https://lsnyc.legalserver.org/matter/dynamic-profile/view/1905785","19-1905785")</f>
        <v>0</v>
      </c>
      <c r="B1888" t="s">
        <v>541</v>
      </c>
      <c r="C1888" t="s">
        <v>5430</v>
      </c>
      <c r="D1888" t="s">
        <v>9928</v>
      </c>
      <c r="E1888" t="s">
        <v>10075</v>
      </c>
      <c r="F1888">
        <v>11221</v>
      </c>
      <c r="G1888" t="s">
        <v>10093</v>
      </c>
      <c r="H1888" t="s">
        <v>10121</v>
      </c>
      <c r="I1888" t="s">
        <v>10168</v>
      </c>
      <c r="J1888" t="s">
        <v>10213</v>
      </c>
      <c r="K1888" t="s">
        <v>10217</v>
      </c>
      <c r="M1888" t="s">
        <v>10392</v>
      </c>
      <c r="N1888" t="s">
        <v>10650</v>
      </c>
      <c r="P1888" t="s">
        <v>10749</v>
      </c>
      <c r="Q1888" t="s">
        <v>10765</v>
      </c>
      <c r="R1888" t="s">
        <v>10824</v>
      </c>
      <c r="T1888">
        <v>14000</v>
      </c>
      <c r="U1888">
        <v>1166.67</v>
      </c>
      <c r="V1888">
        <v>41</v>
      </c>
      <c r="W1888">
        <v>1</v>
      </c>
      <c r="X1888">
        <v>1</v>
      </c>
      <c r="Z1888">
        <v>82.79000000000001</v>
      </c>
      <c r="AA1888">
        <v>40.692296</v>
      </c>
      <c r="AB1888">
        <v>-73.938714</v>
      </c>
      <c r="AD1888" t="s">
        <v>10839</v>
      </c>
      <c r="AF1888" t="s">
        <v>10843</v>
      </c>
      <c r="AG1888" t="s">
        <v>10859</v>
      </c>
      <c r="AH1888" t="s">
        <v>10862</v>
      </c>
      <c r="AI1888">
        <v>239</v>
      </c>
      <c r="AJ1888" t="s">
        <v>10213</v>
      </c>
      <c r="AL1888">
        <v>0</v>
      </c>
      <c r="AM1888" t="s">
        <v>10889</v>
      </c>
      <c r="AN1888" t="s">
        <v>10914</v>
      </c>
      <c r="AO1888" t="s">
        <v>11011</v>
      </c>
      <c r="AP1888" t="s">
        <v>11052</v>
      </c>
      <c r="AR1888" t="s">
        <v>11262</v>
      </c>
      <c r="AS1888" t="s">
        <v>11595</v>
      </c>
      <c r="AT1888" t="s">
        <v>11641</v>
      </c>
      <c r="BA1888" t="s">
        <v>11740</v>
      </c>
      <c r="BB1888">
        <v>0</v>
      </c>
      <c r="BC1888">
        <v>0</v>
      </c>
      <c r="BD1888">
        <v>0</v>
      </c>
      <c r="BE1888">
        <v>0</v>
      </c>
      <c r="BF1888">
        <v>2</v>
      </c>
      <c r="BG1888">
        <v>0</v>
      </c>
    </row>
    <row r="1889" spans="1:59">
      <c r="A1889" s="1">
        <f>HYPERLINK("https://lsnyc.legalserver.org/matter/dynamic-profile/view/1905787","19-1905787")</f>
        <v>0</v>
      </c>
      <c r="B1889" t="s">
        <v>1638</v>
      </c>
      <c r="C1889" t="s">
        <v>5221</v>
      </c>
      <c r="D1889" t="s">
        <v>9928</v>
      </c>
      <c r="E1889" t="s">
        <v>10075</v>
      </c>
      <c r="F1889">
        <v>11212</v>
      </c>
      <c r="G1889" t="s">
        <v>10093</v>
      </c>
      <c r="H1889" t="s">
        <v>10121</v>
      </c>
      <c r="I1889" t="s">
        <v>10168</v>
      </c>
      <c r="J1889" t="s">
        <v>10213</v>
      </c>
      <c r="K1889" t="s">
        <v>10217</v>
      </c>
      <c r="M1889" t="s">
        <v>10371</v>
      </c>
      <c r="N1889" t="s">
        <v>10650</v>
      </c>
      <c r="P1889" t="s">
        <v>10749</v>
      </c>
      <c r="Q1889" t="s">
        <v>10769</v>
      </c>
      <c r="R1889" t="s">
        <v>10824</v>
      </c>
      <c r="T1889">
        <v>32000</v>
      </c>
      <c r="U1889">
        <v>2666.67</v>
      </c>
      <c r="V1889">
        <v>40</v>
      </c>
      <c r="W1889">
        <v>3</v>
      </c>
      <c r="X1889">
        <v>0</v>
      </c>
      <c r="Z1889">
        <v>150.02</v>
      </c>
      <c r="AA1889">
        <v>40.673112</v>
      </c>
      <c r="AB1889">
        <v>-73.907392</v>
      </c>
      <c r="AD1889" t="s">
        <v>10839</v>
      </c>
      <c r="AG1889" t="s">
        <v>10858</v>
      </c>
      <c r="AH1889" t="s">
        <v>10862</v>
      </c>
      <c r="AI1889">
        <v>239</v>
      </c>
      <c r="AJ1889" t="s">
        <v>10213</v>
      </c>
      <c r="AL1889">
        <v>0</v>
      </c>
      <c r="AM1889" t="s">
        <v>10889</v>
      </c>
      <c r="AN1889" t="s">
        <v>10922</v>
      </c>
      <c r="AO1889" t="s">
        <v>11012</v>
      </c>
      <c r="AP1889" t="s">
        <v>11058</v>
      </c>
      <c r="AR1889" t="s">
        <v>11295</v>
      </c>
      <c r="AS1889" t="s">
        <v>11595</v>
      </c>
      <c r="AT1889" t="s">
        <v>11641</v>
      </c>
      <c r="BA1889" t="s">
        <v>11738</v>
      </c>
      <c r="BB1889">
        <v>0</v>
      </c>
      <c r="BC1889">
        <v>0</v>
      </c>
      <c r="BD1889">
        <v>0</v>
      </c>
      <c r="BE1889">
        <v>0</v>
      </c>
      <c r="BF1889">
        <v>5</v>
      </c>
      <c r="BG1889">
        <v>0</v>
      </c>
    </row>
    <row r="1890" spans="1:59">
      <c r="A1890" s="1">
        <f>HYPERLINK("https://lsnyc.legalserver.org/matter/dynamic-profile/view/1905788","19-1905788")</f>
        <v>0</v>
      </c>
      <c r="B1890" t="s">
        <v>1639</v>
      </c>
      <c r="C1890" t="s">
        <v>6447</v>
      </c>
      <c r="D1890" t="s">
        <v>9928</v>
      </c>
      <c r="E1890" t="s">
        <v>10075</v>
      </c>
      <c r="F1890">
        <v>11231</v>
      </c>
      <c r="G1890" t="s">
        <v>10093</v>
      </c>
      <c r="H1890" t="s">
        <v>10121</v>
      </c>
      <c r="J1890" t="s">
        <v>10213</v>
      </c>
      <c r="K1890" t="s">
        <v>10218</v>
      </c>
      <c r="L1890" t="s">
        <v>10166</v>
      </c>
      <c r="M1890" t="s">
        <v>10317</v>
      </c>
      <c r="N1890" t="s">
        <v>10698</v>
      </c>
      <c r="P1890" t="s">
        <v>10751</v>
      </c>
      <c r="Q1890" t="s">
        <v>10761</v>
      </c>
      <c r="R1890" t="s">
        <v>10821</v>
      </c>
      <c r="T1890">
        <v>35835.8</v>
      </c>
      <c r="U1890">
        <v>2986.32</v>
      </c>
      <c r="V1890">
        <v>26</v>
      </c>
      <c r="W1890">
        <v>2</v>
      </c>
      <c r="X1890">
        <v>0</v>
      </c>
      <c r="Y1890" t="s">
        <v>10832</v>
      </c>
      <c r="Z1890">
        <v>211.92</v>
      </c>
      <c r="AA1890">
        <v>40.678358</v>
      </c>
      <c r="AB1890">
        <v>-73.995729</v>
      </c>
      <c r="AD1890" t="s">
        <v>10840</v>
      </c>
      <c r="AG1890" t="s">
        <v>10858</v>
      </c>
      <c r="AH1890" t="s">
        <v>10868</v>
      </c>
      <c r="AI1890">
        <v>239</v>
      </c>
      <c r="AJ1890" t="s">
        <v>10213</v>
      </c>
      <c r="AK1890" t="s">
        <v>10838</v>
      </c>
      <c r="AL1890">
        <v>9.5</v>
      </c>
      <c r="AM1890" t="s">
        <v>10886</v>
      </c>
      <c r="AN1890" t="s">
        <v>10917</v>
      </c>
      <c r="AO1890" t="s">
        <v>11007</v>
      </c>
      <c r="AP1890" t="s">
        <v>11059</v>
      </c>
      <c r="AR1890" t="s">
        <v>11257</v>
      </c>
      <c r="AS1890" t="s">
        <v>11595</v>
      </c>
      <c r="AT1890" t="s">
        <v>11642</v>
      </c>
      <c r="AX1890" t="s">
        <v>10837</v>
      </c>
      <c r="AY1890" t="s">
        <v>10832</v>
      </c>
      <c r="AZ1890" t="s">
        <v>11688</v>
      </c>
      <c r="BA1890" t="s">
        <v>11742</v>
      </c>
      <c r="BB1890">
        <v>0</v>
      </c>
      <c r="BC1890">
        <v>0</v>
      </c>
      <c r="BD1890">
        <v>0</v>
      </c>
      <c r="BE1890">
        <v>0</v>
      </c>
      <c r="BF1890">
        <v>7</v>
      </c>
      <c r="BG1890">
        <v>0</v>
      </c>
    </row>
    <row r="1891" spans="1:59">
      <c r="A1891" s="1">
        <f>HYPERLINK("https://lsnyc.legalserver.org/matter/dynamic-profile/view/1905789","19-1905789")</f>
        <v>0</v>
      </c>
      <c r="B1891" t="s">
        <v>1638</v>
      </c>
      <c r="C1891" t="s">
        <v>5221</v>
      </c>
      <c r="D1891" t="s">
        <v>9928</v>
      </c>
      <c r="E1891" t="s">
        <v>10075</v>
      </c>
      <c r="F1891">
        <v>11212</v>
      </c>
      <c r="G1891" t="s">
        <v>10093</v>
      </c>
      <c r="H1891" t="s">
        <v>10121</v>
      </c>
      <c r="I1891" t="s">
        <v>10168</v>
      </c>
      <c r="J1891" t="s">
        <v>10213</v>
      </c>
      <c r="K1891" t="s">
        <v>10217</v>
      </c>
      <c r="M1891" t="s">
        <v>10371</v>
      </c>
      <c r="N1891" t="s">
        <v>10650</v>
      </c>
      <c r="P1891" t="s">
        <v>10749</v>
      </c>
      <c r="Q1891" t="s">
        <v>10765</v>
      </c>
      <c r="R1891" t="s">
        <v>10824</v>
      </c>
      <c r="T1891">
        <v>32000</v>
      </c>
      <c r="U1891">
        <v>2666.67</v>
      </c>
      <c r="V1891">
        <v>40</v>
      </c>
      <c r="W1891">
        <v>3</v>
      </c>
      <c r="X1891">
        <v>0</v>
      </c>
      <c r="Z1891">
        <v>150.02</v>
      </c>
      <c r="AA1891">
        <v>40.673112</v>
      </c>
      <c r="AB1891">
        <v>-73.907392</v>
      </c>
      <c r="AD1891" t="s">
        <v>10839</v>
      </c>
      <c r="AG1891" t="s">
        <v>10858</v>
      </c>
      <c r="AH1891" t="s">
        <v>10862</v>
      </c>
      <c r="AI1891">
        <v>239</v>
      </c>
      <c r="AJ1891" t="s">
        <v>10213</v>
      </c>
      <c r="AL1891">
        <v>0</v>
      </c>
      <c r="AQ1891" t="s">
        <v>11101</v>
      </c>
      <c r="AR1891" t="s">
        <v>11295</v>
      </c>
      <c r="AS1891" t="s">
        <v>11595</v>
      </c>
      <c r="BA1891" t="s">
        <v>11738</v>
      </c>
      <c r="BB1891">
        <v>0</v>
      </c>
      <c r="BC1891">
        <v>0</v>
      </c>
      <c r="BD1891">
        <v>0</v>
      </c>
      <c r="BE1891">
        <v>0</v>
      </c>
      <c r="BF1891">
        <v>5</v>
      </c>
      <c r="BG1891">
        <v>0</v>
      </c>
    </row>
    <row r="1892" spans="1:59">
      <c r="A1892" s="1">
        <f>HYPERLINK("https://lsnyc.legalserver.org/matter/dynamic-profile/view/1905790","19-1905790")</f>
        <v>0</v>
      </c>
      <c r="B1892" t="s">
        <v>698</v>
      </c>
      <c r="C1892" t="s">
        <v>5221</v>
      </c>
      <c r="D1892" t="s">
        <v>9928</v>
      </c>
      <c r="E1892" t="s">
        <v>10075</v>
      </c>
      <c r="F1892">
        <v>11212</v>
      </c>
      <c r="G1892" t="s">
        <v>10093</v>
      </c>
      <c r="H1892" t="s">
        <v>10121</v>
      </c>
      <c r="I1892" t="s">
        <v>10168</v>
      </c>
      <c r="J1892" t="s">
        <v>10213</v>
      </c>
      <c r="K1892" t="s">
        <v>10217</v>
      </c>
      <c r="M1892" t="s">
        <v>10371</v>
      </c>
      <c r="N1892" t="s">
        <v>10650</v>
      </c>
      <c r="P1892" t="s">
        <v>10749</v>
      </c>
      <c r="Q1892" t="s">
        <v>10769</v>
      </c>
      <c r="R1892" t="s">
        <v>10825</v>
      </c>
      <c r="T1892">
        <v>0</v>
      </c>
      <c r="U1892">
        <v>0</v>
      </c>
      <c r="V1892">
        <v>65</v>
      </c>
      <c r="W1892">
        <v>2</v>
      </c>
      <c r="X1892">
        <v>0</v>
      </c>
      <c r="Z1892">
        <v>0</v>
      </c>
      <c r="AA1892">
        <v>40.673112</v>
      </c>
      <c r="AB1892">
        <v>-73.907392</v>
      </c>
      <c r="AD1892" t="s">
        <v>10839</v>
      </c>
      <c r="AG1892" t="s">
        <v>10858</v>
      </c>
      <c r="AH1892" t="s">
        <v>10862</v>
      </c>
      <c r="AI1892">
        <v>239</v>
      </c>
      <c r="AJ1892" t="s">
        <v>10213</v>
      </c>
      <c r="AL1892">
        <v>0</v>
      </c>
      <c r="AM1892" t="s">
        <v>10889</v>
      </c>
      <c r="AN1892" t="s">
        <v>10922</v>
      </c>
      <c r="AO1892" t="s">
        <v>11012</v>
      </c>
      <c r="AP1892" t="s">
        <v>11058</v>
      </c>
      <c r="AR1892" t="s">
        <v>11266</v>
      </c>
      <c r="AS1892" t="s">
        <v>11595</v>
      </c>
      <c r="BA1892" t="s">
        <v>11740</v>
      </c>
      <c r="BB1892">
        <v>0</v>
      </c>
      <c r="BC1892">
        <v>0</v>
      </c>
      <c r="BD1892">
        <v>0</v>
      </c>
      <c r="BE1892">
        <v>0</v>
      </c>
      <c r="BF1892">
        <v>2</v>
      </c>
      <c r="BG1892">
        <v>0</v>
      </c>
    </row>
    <row r="1893" spans="1:59">
      <c r="A1893" s="1">
        <f>HYPERLINK("https://lsnyc.legalserver.org/matter/dynamic-profile/view/1905791","19-1905791")</f>
        <v>0</v>
      </c>
      <c r="B1893" t="s">
        <v>698</v>
      </c>
      <c r="C1893" t="s">
        <v>5221</v>
      </c>
      <c r="D1893" t="s">
        <v>9928</v>
      </c>
      <c r="E1893" t="s">
        <v>10075</v>
      </c>
      <c r="F1893">
        <v>11212</v>
      </c>
      <c r="G1893" t="s">
        <v>10093</v>
      </c>
      <c r="H1893" t="s">
        <v>10121</v>
      </c>
      <c r="I1893" t="s">
        <v>10168</v>
      </c>
      <c r="J1893" t="s">
        <v>10213</v>
      </c>
      <c r="K1893" t="s">
        <v>10217</v>
      </c>
      <c r="M1893" t="s">
        <v>10371</v>
      </c>
      <c r="N1893" t="s">
        <v>10650</v>
      </c>
      <c r="P1893" t="s">
        <v>10749</v>
      </c>
      <c r="Q1893" t="s">
        <v>10765</v>
      </c>
      <c r="R1893" t="s">
        <v>10825</v>
      </c>
      <c r="T1893">
        <v>0</v>
      </c>
      <c r="U1893">
        <v>0</v>
      </c>
      <c r="V1893">
        <v>65</v>
      </c>
      <c r="W1893">
        <v>2</v>
      </c>
      <c r="X1893">
        <v>0</v>
      </c>
      <c r="Z1893">
        <v>0</v>
      </c>
      <c r="AA1893">
        <v>40.673112</v>
      </c>
      <c r="AB1893">
        <v>-73.907392</v>
      </c>
      <c r="AD1893" t="s">
        <v>10839</v>
      </c>
      <c r="AG1893" t="s">
        <v>10858</v>
      </c>
      <c r="AH1893" t="s">
        <v>10862</v>
      </c>
      <c r="AI1893">
        <v>239</v>
      </c>
      <c r="AJ1893" t="s">
        <v>10213</v>
      </c>
      <c r="AL1893">
        <v>0</v>
      </c>
      <c r="AQ1893" t="s">
        <v>11101</v>
      </c>
      <c r="AR1893" t="s">
        <v>11266</v>
      </c>
      <c r="AS1893" t="s">
        <v>11595</v>
      </c>
      <c r="BA1893" t="s">
        <v>11738</v>
      </c>
      <c r="BB1893">
        <v>0</v>
      </c>
      <c r="BC1893">
        <v>0</v>
      </c>
      <c r="BD1893">
        <v>0</v>
      </c>
      <c r="BE1893">
        <v>0</v>
      </c>
      <c r="BF1893">
        <v>5</v>
      </c>
      <c r="BG1893">
        <v>0</v>
      </c>
    </row>
    <row r="1894" spans="1:59">
      <c r="A1894" s="1">
        <f>HYPERLINK("https://lsnyc.legalserver.org/matter/dynamic-profile/view/1905792","19-1905792")</f>
        <v>0</v>
      </c>
      <c r="B1894" t="s">
        <v>1610</v>
      </c>
      <c r="C1894" t="s">
        <v>6418</v>
      </c>
      <c r="D1894" t="s">
        <v>9926</v>
      </c>
      <c r="E1894" t="s">
        <v>10075</v>
      </c>
      <c r="F1894">
        <v>10452</v>
      </c>
      <c r="G1894" t="s">
        <v>10090</v>
      </c>
      <c r="H1894" t="s">
        <v>10121</v>
      </c>
      <c r="I1894" t="s">
        <v>10168</v>
      </c>
      <c r="J1894" t="s">
        <v>10210</v>
      </c>
      <c r="K1894" t="s">
        <v>10217</v>
      </c>
      <c r="M1894" t="s">
        <v>10401</v>
      </c>
      <c r="N1894" t="s">
        <v>10677</v>
      </c>
      <c r="P1894" t="s">
        <v>10749</v>
      </c>
      <c r="Q1894" t="s">
        <v>10765</v>
      </c>
      <c r="R1894" t="s">
        <v>10824</v>
      </c>
      <c r="T1894">
        <v>14400</v>
      </c>
      <c r="U1894">
        <v>1200</v>
      </c>
      <c r="V1894">
        <v>71</v>
      </c>
      <c r="W1894">
        <v>1</v>
      </c>
      <c r="X1894">
        <v>0</v>
      </c>
      <c r="Z1894">
        <v>115.29</v>
      </c>
      <c r="AA1894">
        <v>40.82923</v>
      </c>
      <c r="AB1894">
        <v>-73.923169</v>
      </c>
      <c r="AD1894" t="s">
        <v>10839</v>
      </c>
      <c r="AG1894" t="s">
        <v>10858</v>
      </c>
      <c r="AH1894" t="s">
        <v>10874</v>
      </c>
      <c r="AI1894">
        <v>230</v>
      </c>
      <c r="AJ1894" t="s">
        <v>10210</v>
      </c>
      <c r="AL1894">
        <v>3.25</v>
      </c>
      <c r="AM1894" t="s">
        <v>10884</v>
      </c>
      <c r="AN1894" t="s">
        <v>10924</v>
      </c>
      <c r="AO1894" t="s">
        <v>11013</v>
      </c>
      <c r="AP1894" t="s">
        <v>11066</v>
      </c>
      <c r="AR1894" t="s">
        <v>11300</v>
      </c>
      <c r="AS1894" t="s">
        <v>9926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</row>
    <row r="1895" spans="1:59">
      <c r="A1895" s="1">
        <f>HYPERLINK("https://lsnyc.legalserver.org/matter/dynamic-profile/view/1905794","19-1905794")</f>
        <v>0</v>
      </c>
      <c r="B1895" t="s">
        <v>1048</v>
      </c>
      <c r="C1895" t="s">
        <v>5453</v>
      </c>
      <c r="D1895" t="s">
        <v>9928</v>
      </c>
      <c r="E1895" t="s">
        <v>10075</v>
      </c>
      <c r="F1895">
        <v>11221</v>
      </c>
      <c r="G1895" t="s">
        <v>10093</v>
      </c>
      <c r="H1895" t="s">
        <v>10121</v>
      </c>
      <c r="I1895" t="s">
        <v>10168</v>
      </c>
      <c r="J1895" t="s">
        <v>10213</v>
      </c>
      <c r="K1895" t="s">
        <v>10217</v>
      </c>
      <c r="M1895" t="s">
        <v>10392</v>
      </c>
      <c r="N1895" t="s">
        <v>10650</v>
      </c>
      <c r="P1895" t="s">
        <v>10749</v>
      </c>
      <c r="Q1895" t="s">
        <v>10765</v>
      </c>
      <c r="R1895" t="s">
        <v>10824</v>
      </c>
      <c r="T1895">
        <v>45000</v>
      </c>
      <c r="U1895">
        <v>3750</v>
      </c>
      <c r="V1895">
        <v>32</v>
      </c>
      <c r="W1895">
        <v>1</v>
      </c>
      <c r="X1895">
        <v>1</v>
      </c>
      <c r="Z1895">
        <v>266.11</v>
      </c>
      <c r="AA1895">
        <v>40.692299</v>
      </c>
      <c r="AB1895">
        <v>-73.938599</v>
      </c>
      <c r="AD1895" t="s">
        <v>10839</v>
      </c>
      <c r="AG1895" t="s">
        <v>10858</v>
      </c>
      <c r="AH1895" t="s">
        <v>10862</v>
      </c>
      <c r="AI1895">
        <v>239</v>
      </c>
      <c r="AJ1895" t="s">
        <v>10213</v>
      </c>
      <c r="AL1895">
        <v>0</v>
      </c>
      <c r="AM1895" t="s">
        <v>10889</v>
      </c>
      <c r="AN1895" t="s">
        <v>10914</v>
      </c>
      <c r="AO1895" t="s">
        <v>11011</v>
      </c>
      <c r="AP1895" t="s">
        <v>11052</v>
      </c>
      <c r="AR1895" t="s">
        <v>11257</v>
      </c>
      <c r="AS1895" t="s">
        <v>11595</v>
      </c>
      <c r="AT1895" t="s">
        <v>11641</v>
      </c>
      <c r="BA1895" t="s">
        <v>11740</v>
      </c>
      <c r="BB1895">
        <v>0</v>
      </c>
      <c r="BC1895">
        <v>0</v>
      </c>
      <c r="BD1895">
        <v>0</v>
      </c>
      <c r="BE1895">
        <v>0</v>
      </c>
      <c r="BF1895">
        <v>2</v>
      </c>
      <c r="BG1895">
        <v>0</v>
      </c>
    </row>
    <row r="1896" spans="1:59">
      <c r="A1896" s="1">
        <f>HYPERLINK("https://lsnyc.legalserver.org/matter/dynamic-profile/view/1905795","19-1905795")</f>
        <v>0</v>
      </c>
      <c r="B1896" t="s">
        <v>1640</v>
      </c>
      <c r="C1896" t="s">
        <v>6448</v>
      </c>
      <c r="D1896" t="s">
        <v>9928</v>
      </c>
      <c r="E1896" t="s">
        <v>10075</v>
      </c>
      <c r="F1896">
        <v>11212</v>
      </c>
      <c r="G1896" t="s">
        <v>10093</v>
      </c>
      <c r="H1896" t="s">
        <v>10121</v>
      </c>
      <c r="I1896" t="s">
        <v>10168</v>
      </c>
      <c r="J1896" t="s">
        <v>10213</v>
      </c>
      <c r="K1896" t="s">
        <v>10217</v>
      </c>
      <c r="M1896" t="s">
        <v>10392</v>
      </c>
      <c r="N1896" t="s">
        <v>10650</v>
      </c>
      <c r="P1896" t="s">
        <v>10749</v>
      </c>
      <c r="Q1896" t="s">
        <v>10769</v>
      </c>
      <c r="R1896" t="s">
        <v>10824</v>
      </c>
      <c r="T1896">
        <v>11640</v>
      </c>
      <c r="U1896">
        <v>970</v>
      </c>
      <c r="V1896">
        <v>60</v>
      </c>
      <c r="W1896">
        <v>1</v>
      </c>
      <c r="X1896">
        <v>0</v>
      </c>
      <c r="Z1896">
        <v>93.19</v>
      </c>
      <c r="AA1896">
        <v>40.669236</v>
      </c>
      <c r="AB1896">
        <v>-73.917198</v>
      </c>
      <c r="AD1896" t="s">
        <v>10839</v>
      </c>
      <c r="AG1896" t="s">
        <v>10858</v>
      </c>
      <c r="AH1896" t="s">
        <v>10862</v>
      </c>
      <c r="AI1896">
        <v>239</v>
      </c>
      <c r="AJ1896" t="s">
        <v>10213</v>
      </c>
      <c r="AL1896">
        <v>0</v>
      </c>
      <c r="AM1896" t="s">
        <v>10888</v>
      </c>
      <c r="AN1896" t="s">
        <v>10922</v>
      </c>
      <c r="AO1896" t="s">
        <v>11005</v>
      </c>
      <c r="AP1896" t="s">
        <v>11064</v>
      </c>
      <c r="AR1896" t="s">
        <v>11296</v>
      </c>
      <c r="AS1896" t="s">
        <v>11595</v>
      </c>
      <c r="AT1896" t="s">
        <v>11641</v>
      </c>
      <c r="BA1896" t="s">
        <v>11740</v>
      </c>
      <c r="BB1896">
        <v>0</v>
      </c>
      <c r="BC1896">
        <v>0</v>
      </c>
      <c r="BD1896">
        <v>0</v>
      </c>
      <c r="BE1896">
        <v>0</v>
      </c>
      <c r="BF1896">
        <v>2</v>
      </c>
      <c r="BG1896">
        <v>0</v>
      </c>
    </row>
    <row r="1897" spans="1:59">
      <c r="A1897" s="1">
        <f>HYPERLINK("https://lsnyc.legalserver.org/matter/dynamic-profile/view/1905796","19-1905796")</f>
        <v>0</v>
      </c>
      <c r="B1897" t="s">
        <v>1641</v>
      </c>
      <c r="C1897" t="s">
        <v>6449</v>
      </c>
      <c r="D1897" t="s">
        <v>9926</v>
      </c>
      <c r="E1897" t="s">
        <v>10075</v>
      </c>
      <c r="F1897">
        <v>10463</v>
      </c>
      <c r="G1897" t="s">
        <v>10090</v>
      </c>
      <c r="H1897" t="s">
        <v>10134</v>
      </c>
      <c r="J1897" t="s">
        <v>10210</v>
      </c>
      <c r="K1897" t="s">
        <v>10217</v>
      </c>
      <c r="M1897" t="s">
        <v>10419</v>
      </c>
      <c r="N1897" t="s">
        <v>10666</v>
      </c>
      <c r="P1897" t="s">
        <v>10749</v>
      </c>
      <c r="Q1897" t="s">
        <v>10765</v>
      </c>
      <c r="R1897" t="s">
        <v>10823</v>
      </c>
      <c r="T1897">
        <v>20800</v>
      </c>
      <c r="U1897">
        <v>1733.33</v>
      </c>
      <c r="V1897">
        <v>28</v>
      </c>
      <c r="W1897">
        <v>1</v>
      </c>
      <c r="X1897">
        <v>0</v>
      </c>
      <c r="Z1897">
        <v>166.53</v>
      </c>
      <c r="AA1897">
        <v>40.877689</v>
      </c>
      <c r="AB1897">
        <v>-73.90237399999999</v>
      </c>
      <c r="AD1897" t="s">
        <v>10839</v>
      </c>
      <c r="AG1897" t="s">
        <v>10858</v>
      </c>
      <c r="AH1897" t="s">
        <v>10861</v>
      </c>
      <c r="AI1897">
        <v>230</v>
      </c>
      <c r="AJ1897" t="s">
        <v>10210</v>
      </c>
      <c r="AL1897">
        <v>8.1</v>
      </c>
      <c r="AM1897" t="s">
        <v>10887</v>
      </c>
      <c r="AN1897" t="s">
        <v>10919</v>
      </c>
      <c r="AO1897" t="s">
        <v>11000</v>
      </c>
      <c r="AP1897" t="s">
        <v>11045</v>
      </c>
      <c r="AR1897" t="s">
        <v>11262</v>
      </c>
      <c r="AS1897" t="s">
        <v>9926</v>
      </c>
      <c r="AT1897" t="s">
        <v>11641</v>
      </c>
      <c r="AX1897" t="s">
        <v>10838</v>
      </c>
      <c r="BA1897" t="s">
        <v>11738</v>
      </c>
      <c r="BB1897">
        <v>0</v>
      </c>
      <c r="BC1897">
        <v>0</v>
      </c>
      <c r="BD1897">
        <v>0</v>
      </c>
      <c r="BE1897">
        <v>0</v>
      </c>
      <c r="BF1897">
        <v>5</v>
      </c>
      <c r="BG1897">
        <v>0</v>
      </c>
    </row>
    <row r="1898" spans="1:59">
      <c r="A1898" s="1">
        <f>HYPERLINK("https://lsnyc.legalserver.org/matter/dynamic-profile/view/1905797","19-1905797")</f>
        <v>0</v>
      </c>
      <c r="B1898" t="s">
        <v>1642</v>
      </c>
      <c r="C1898" t="s">
        <v>6450</v>
      </c>
      <c r="D1898" t="s">
        <v>9926</v>
      </c>
      <c r="E1898" t="s">
        <v>10075</v>
      </c>
      <c r="F1898">
        <v>10453</v>
      </c>
      <c r="G1898" t="s">
        <v>10093</v>
      </c>
      <c r="H1898" t="s">
        <v>10134</v>
      </c>
      <c r="I1898" t="s">
        <v>10169</v>
      </c>
      <c r="J1898" t="s">
        <v>10213</v>
      </c>
      <c r="K1898" t="s">
        <v>10218</v>
      </c>
      <c r="L1898" t="s">
        <v>10134</v>
      </c>
      <c r="M1898" t="s">
        <v>10358</v>
      </c>
      <c r="N1898" t="s">
        <v>10646</v>
      </c>
      <c r="P1898" t="s">
        <v>10752</v>
      </c>
      <c r="Q1898" t="s">
        <v>10783</v>
      </c>
      <c r="R1898" t="s">
        <v>10821</v>
      </c>
      <c r="T1898">
        <v>46000</v>
      </c>
      <c r="U1898">
        <v>3833.33</v>
      </c>
      <c r="V1898">
        <v>39</v>
      </c>
      <c r="W1898">
        <v>2</v>
      </c>
      <c r="X1898">
        <v>3</v>
      </c>
      <c r="Y1898" t="s">
        <v>10830</v>
      </c>
      <c r="Z1898">
        <v>152.47</v>
      </c>
      <c r="AA1898">
        <v>40.849584</v>
      </c>
      <c r="AB1898">
        <v>-73.90831900000001</v>
      </c>
      <c r="AD1898" t="s">
        <v>10840</v>
      </c>
      <c r="AF1898" t="s">
        <v>10843</v>
      </c>
      <c r="AG1898" t="s">
        <v>10859</v>
      </c>
      <c r="AH1898" t="s">
        <v>10863</v>
      </c>
      <c r="AI1898">
        <v>239</v>
      </c>
      <c r="AJ1898" t="s">
        <v>10213</v>
      </c>
      <c r="AK1898" t="s">
        <v>10838</v>
      </c>
      <c r="AL1898">
        <v>3.75</v>
      </c>
      <c r="AM1898" t="s">
        <v>10884</v>
      </c>
      <c r="AN1898" t="s">
        <v>10931</v>
      </c>
      <c r="AO1898" t="s">
        <v>11000</v>
      </c>
      <c r="AP1898" t="s">
        <v>11045</v>
      </c>
      <c r="AQ1898" t="s">
        <v>11184</v>
      </c>
      <c r="AR1898" t="s">
        <v>11257</v>
      </c>
      <c r="AS1898" t="s">
        <v>9926</v>
      </c>
      <c r="AY1898" t="s">
        <v>10830</v>
      </c>
      <c r="AZ1898" t="s">
        <v>11718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</row>
    <row r="1899" spans="1:59">
      <c r="A1899" s="1">
        <f>HYPERLINK("https://lsnyc.legalserver.org/matter/dynamic-profile/view/1905798","19-1905798")</f>
        <v>0</v>
      </c>
      <c r="B1899" t="s">
        <v>1641</v>
      </c>
      <c r="C1899" t="s">
        <v>6449</v>
      </c>
      <c r="D1899" t="s">
        <v>9926</v>
      </c>
      <c r="E1899" t="s">
        <v>10075</v>
      </c>
      <c r="F1899">
        <v>10463</v>
      </c>
      <c r="G1899" t="s">
        <v>10090</v>
      </c>
      <c r="H1899" t="s">
        <v>10134</v>
      </c>
      <c r="J1899" t="s">
        <v>10210</v>
      </c>
      <c r="K1899" t="s">
        <v>10217</v>
      </c>
      <c r="M1899" t="s">
        <v>10346</v>
      </c>
      <c r="N1899" t="s">
        <v>10671</v>
      </c>
      <c r="P1899" t="s">
        <v>10751</v>
      </c>
      <c r="Q1899" t="s">
        <v>10761</v>
      </c>
      <c r="R1899" t="s">
        <v>10823</v>
      </c>
      <c r="T1899">
        <v>20800</v>
      </c>
      <c r="U1899">
        <v>1733.33</v>
      </c>
      <c r="V1899">
        <v>28</v>
      </c>
      <c r="W1899">
        <v>1</v>
      </c>
      <c r="X1899">
        <v>0</v>
      </c>
      <c r="Z1899">
        <v>166.53</v>
      </c>
      <c r="AA1899">
        <v>40.877689</v>
      </c>
      <c r="AB1899">
        <v>-73.90237399999999</v>
      </c>
      <c r="AD1899" t="s">
        <v>10839</v>
      </c>
      <c r="AG1899" t="s">
        <v>10858</v>
      </c>
      <c r="AH1899" t="s">
        <v>10861</v>
      </c>
      <c r="AI1899">
        <v>230</v>
      </c>
      <c r="AJ1899" t="s">
        <v>10210</v>
      </c>
      <c r="AL1899">
        <v>1.5</v>
      </c>
      <c r="AM1899" t="s">
        <v>10887</v>
      </c>
      <c r="AN1899" t="s">
        <v>10919</v>
      </c>
      <c r="AO1899" t="s">
        <v>11000</v>
      </c>
      <c r="AP1899" t="s">
        <v>11045</v>
      </c>
      <c r="AR1899" t="s">
        <v>11262</v>
      </c>
      <c r="AS1899" t="s">
        <v>9926</v>
      </c>
      <c r="AT1899" t="s">
        <v>11641</v>
      </c>
      <c r="AX1899" t="s">
        <v>10838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</row>
    <row r="1900" spans="1:59">
      <c r="A1900" s="1">
        <f>HYPERLINK("https://lsnyc.legalserver.org/matter/dynamic-profile/view/1905799","19-1905799")</f>
        <v>0</v>
      </c>
      <c r="B1900" t="s">
        <v>1643</v>
      </c>
      <c r="C1900" t="s">
        <v>6451</v>
      </c>
      <c r="D1900" t="s">
        <v>9928</v>
      </c>
      <c r="E1900" t="s">
        <v>10075</v>
      </c>
      <c r="F1900">
        <v>11212</v>
      </c>
      <c r="G1900" t="s">
        <v>10093</v>
      </c>
      <c r="H1900" t="s">
        <v>10134</v>
      </c>
      <c r="I1900" t="s">
        <v>10168</v>
      </c>
      <c r="J1900" t="s">
        <v>10213</v>
      </c>
      <c r="K1900" t="s">
        <v>10217</v>
      </c>
      <c r="M1900" t="s">
        <v>10371</v>
      </c>
      <c r="N1900" t="s">
        <v>10650</v>
      </c>
      <c r="P1900" t="s">
        <v>10749</v>
      </c>
      <c r="Q1900" t="s">
        <v>10769</v>
      </c>
      <c r="R1900" t="s">
        <v>10824</v>
      </c>
      <c r="T1900">
        <v>7776</v>
      </c>
      <c r="U1900">
        <v>648</v>
      </c>
      <c r="V1900">
        <v>63</v>
      </c>
      <c r="W1900">
        <v>2</v>
      </c>
      <c r="X1900">
        <v>0</v>
      </c>
      <c r="Z1900">
        <v>45.98</v>
      </c>
      <c r="AA1900">
        <v>40.673262</v>
      </c>
      <c r="AB1900">
        <v>-73.90745200000001</v>
      </c>
      <c r="AD1900" t="s">
        <v>10839</v>
      </c>
      <c r="AG1900" t="s">
        <v>10858</v>
      </c>
      <c r="AH1900" t="s">
        <v>10862</v>
      </c>
      <c r="AI1900">
        <v>239</v>
      </c>
      <c r="AJ1900" t="s">
        <v>10213</v>
      </c>
      <c r="AL1900">
        <v>0</v>
      </c>
      <c r="AM1900" t="s">
        <v>10889</v>
      </c>
      <c r="AN1900" t="s">
        <v>10922</v>
      </c>
      <c r="AO1900" t="s">
        <v>11012</v>
      </c>
      <c r="AP1900" t="s">
        <v>11058</v>
      </c>
      <c r="AR1900" t="s">
        <v>11298</v>
      </c>
      <c r="AS1900" t="s">
        <v>11595</v>
      </c>
      <c r="AT1900" t="s">
        <v>11641</v>
      </c>
      <c r="BA1900" t="s">
        <v>11740</v>
      </c>
      <c r="BB1900">
        <v>0</v>
      </c>
      <c r="BC1900">
        <v>0</v>
      </c>
      <c r="BD1900">
        <v>0</v>
      </c>
      <c r="BE1900">
        <v>0</v>
      </c>
      <c r="BF1900">
        <v>2</v>
      </c>
      <c r="BG1900">
        <v>0</v>
      </c>
    </row>
    <row r="1901" spans="1:59">
      <c r="A1901" s="1">
        <f>HYPERLINK("https://lsnyc.legalserver.org/matter/dynamic-profile/view/1905800","19-1905800")</f>
        <v>0</v>
      </c>
      <c r="B1901" t="s">
        <v>1644</v>
      </c>
      <c r="C1901" t="s">
        <v>6452</v>
      </c>
      <c r="D1901" t="s">
        <v>9926</v>
      </c>
      <c r="E1901" t="s">
        <v>10075</v>
      </c>
      <c r="F1901">
        <v>10467</v>
      </c>
      <c r="G1901" t="s">
        <v>10091</v>
      </c>
      <c r="H1901" t="s">
        <v>10134</v>
      </c>
      <c r="I1901" t="s">
        <v>10168</v>
      </c>
      <c r="J1901" t="s">
        <v>10214</v>
      </c>
      <c r="K1901" t="s">
        <v>10217</v>
      </c>
      <c r="M1901" t="s">
        <v>10286</v>
      </c>
      <c r="N1901" t="s">
        <v>10671</v>
      </c>
      <c r="P1901" t="s">
        <v>10752</v>
      </c>
      <c r="Q1901" t="s">
        <v>10762</v>
      </c>
      <c r="R1901" t="s">
        <v>10821</v>
      </c>
      <c r="T1901">
        <v>10464</v>
      </c>
      <c r="U1901">
        <v>872</v>
      </c>
      <c r="V1901">
        <v>64</v>
      </c>
      <c r="W1901">
        <v>1</v>
      </c>
      <c r="X1901">
        <v>0</v>
      </c>
      <c r="Z1901">
        <v>83.78</v>
      </c>
      <c r="AA1901">
        <v>40.877027</v>
      </c>
      <c r="AB1901">
        <v>-73.872857</v>
      </c>
      <c r="AD1901" t="s">
        <v>10839</v>
      </c>
      <c r="AG1901" t="s">
        <v>10858</v>
      </c>
      <c r="AH1901" t="s">
        <v>10861</v>
      </c>
      <c r="AI1901">
        <v>234</v>
      </c>
      <c r="AJ1901" t="s">
        <v>10214</v>
      </c>
      <c r="AL1901">
        <v>0.5</v>
      </c>
      <c r="AM1901" t="s">
        <v>10887</v>
      </c>
      <c r="AN1901" t="s">
        <v>10938</v>
      </c>
      <c r="AO1901" t="s">
        <v>11010</v>
      </c>
      <c r="AP1901" t="s">
        <v>11057</v>
      </c>
      <c r="AR1901" t="s">
        <v>11298</v>
      </c>
      <c r="AS1901" t="s">
        <v>9926</v>
      </c>
      <c r="AT1901" t="s">
        <v>11641</v>
      </c>
      <c r="AX1901" t="s">
        <v>10838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</row>
    <row r="1902" spans="1:59">
      <c r="A1902" s="1">
        <f>HYPERLINK("https://lsnyc.legalserver.org/matter/dynamic-profile/view/1905802","19-1905802")</f>
        <v>0</v>
      </c>
      <c r="B1902" t="s">
        <v>1645</v>
      </c>
      <c r="C1902" t="s">
        <v>6453</v>
      </c>
      <c r="D1902" t="s">
        <v>9929</v>
      </c>
      <c r="E1902" t="s">
        <v>10075</v>
      </c>
      <c r="F1902">
        <v>10303</v>
      </c>
      <c r="G1902" t="s">
        <v>10088</v>
      </c>
      <c r="H1902" t="s">
        <v>10134</v>
      </c>
      <c r="I1902" t="s">
        <v>10168</v>
      </c>
      <c r="J1902" t="s">
        <v>10208</v>
      </c>
      <c r="K1902" t="s">
        <v>10217</v>
      </c>
      <c r="M1902" t="s">
        <v>10257</v>
      </c>
      <c r="N1902" t="s">
        <v>10655</v>
      </c>
      <c r="P1902" t="s">
        <v>10749</v>
      </c>
      <c r="Q1902" t="s">
        <v>10765</v>
      </c>
      <c r="R1902" t="s">
        <v>10825</v>
      </c>
      <c r="T1902">
        <v>19500</v>
      </c>
      <c r="U1902">
        <v>1625</v>
      </c>
      <c r="V1902">
        <v>23</v>
      </c>
      <c r="W1902">
        <v>3</v>
      </c>
      <c r="X1902">
        <v>0</v>
      </c>
      <c r="Z1902">
        <v>91.42</v>
      </c>
      <c r="AA1902">
        <v>40.631689</v>
      </c>
      <c r="AB1902">
        <v>-74.155501</v>
      </c>
      <c r="AD1902" t="s">
        <v>10840</v>
      </c>
      <c r="AG1902" t="s">
        <v>10858</v>
      </c>
      <c r="AH1902" t="s">
        <v>10862</v>
      </c>
      <c r="AI1902">
        <v>285</v>
      </c>
      <c r="AJ1902" t="s">
        <v>10208</v>
      </c>
      <c r="AL1902">
        <v>8.800000000000001</v>
      </c>
      <c r="AM1902" t="s">
        <v>10883</v>
      </c>
      <c r="AN1902" t="s">
        <v>10913</v>
      </c>
      <c r="AO1902" t="s">
        <v>11006</v>
      </c>
      <c r="AP1902" t="s">
        <v>11051</v>
      </c>
      <c r="AR1902" t="s">
        <v>11262</v>
      </c>
      <c r="AS1902" t="s">
        <v>11593</v>
      </c>
      <c r="BA1902" t="s">
        <v>11738</v>
      </c>
      <c r="BB1902">
        <v>0</v>
      </c>
      <c r="BC1902">
        <v>0</v>
      </c>
      <c r="BD1902">
        <v>0</v>
      </c>
      <c r="BE1902">
        <v>0</v>
      </c>
      <c r="BF1902">
        <v>5</v>
      </c>
      <c r="BG1902">
        <v>0</v>
      </c>
    </row>
    <row r="1903" spans="1:59">
      <c r="A1903" s="1">
        <f>HYPERLINK("https://lsnyc.legalserver.org/matter/dynamic-profile/view/1905803","19-1905803")</f>
        <v>0</v>
      </c>
      <c r="B1903" t="s">
        <v>1643</v>
      </c>
      <c r="C1903" t="s">
        <v>6451</v>
      </c>
      <c r="D1903" t="s">
        <v>9928</v>
      </c>
      <c r="E1903" t="s">
        <v>10075</v>
      </c>
      <c r="F1903">
        <v>11212</v>
      </c>
      <c r="G1903" t="s">
        <v>10093</v>
      </c>
      <c r="H1903" t="s">
        <v>10134</v>
      </c>
      <c r="I1903" t="s">
        <v>10168</v>
      </c>
      <c r="J1903" t="s">
        <v>10213</v>
      </c>
      <c r="K1903" t="s">
        <v>10217</v>
      </c>
      <c r="M1903" t="s">
        <v>10371</v>
      </c>
      <c r="N1903" t="s">
        <v>10650</v>
      </c>
      <c r="P1903" t="s">
        <v>10749</v>
      </c>
      <c r="Q1903" t="s">
        <v>10765</v>
      </c>
      <c r="R1903" t="s">
        <v>10824</v>
      </c>
      <c r="T1903">
        <v>7776</v>
      </c>
      <c r="U1903">
        <v>648</v>
      </c>
      <c r="V1903">
        <v>63</v>
      </c>
      <c r="W1903">
        <v>2</v>
      </c>
      <c r="X1903">
        <v>0</v>
      </c>
      <c r="Z1903">
        <v>45.98</v>
      </c>
      <c r="AA1903">
        <v>40.673262</v>
      </c>
      <c r="AB1903">
        <v>-73.90745200000001</v>
      </c>
      <c r="AD1903" t="s">
        <v>10839</v>
      </c>
      <c r="AG1903" t="s">
        <v>10858</v>
      </c>
      <c r="AH1903" t="s">
        <v>10862</v>
      </c>
      <c r="AI1903">
        <v>239</v>
      </c>
      <c r="AJ1903" t="s">
        <v>10213</v>
      </c>
      <c r="AL1903">
        <v>0</v>
      </c>
      <c r="AR1903" t="s">
        <v>11298</v>
      </c>
      <c r="AS1903" t="s">
        <v>11595</v>
      </c>
      <c r="BA1903" t="s">
        <v>11740</v>
      </c>
      <c r="BB1903">
        <v>0</v>
      </c>
      <c r="BC1903">
        <v>0</v>
      </c>
      <c r="BD1903">
        <v>0</v>
      </c>
      <c r="BE1903">
        <v>0</v>
      </c>
      <c r="BF1903">
        <v>2</v>
      </c>
      <c r="BG1903">
        <v>0</v>
      </c>
    </row>
    <row r="1904" spans="1:59">
      <c r="A1904" s="1">
        <f>HYPERLINK("https://lsnyc.legalserver.org/matter/dynamic-profile/view/1905804","19-1905804")</f>
        <v>0</v>
      </c>
      <c r="B1904" t="s">
        <v>1646</v>
      </c>
      <c r="C1904" t="s">
        <v>6454</v>
      </c>
      <c r="D1904" t="s">
        <v>9929</v>
      </c>
      <c r="E1904" t="s">
        <v>10075</v>
      </c>
      <c r="F1904">
        <v>10301</v>
      </c>
      <c r="G1904" t="s">
        <v>10088</v>
      </c>
      <c r="H1904" t="s">
        <v>10134</v>
      </c>
      <c r="I1904" t="s">
        <v>10169</v>
      </c>
      <c r="J1904" t="s">
        <v>10208</v>
      </c>
      <c r="K1904" t="s">
        <v>10217</v>
      </c>
      <c r="M1904" t="s">
        <v>10376</v>
      </c>
      <c r="N1904" t="s">
        <v>10649</v>
      </c>
      <c r="P1904" t="s">
        <v>10753</v>
      </c>
      <c r="Q1904" t="s">
        <v>10763</v>
      </c>
      <c r="R1904" t="s">
        <v>10821</v>
      </c>
      <c r="T1904">
        <v>0</v>
      </c>
      <c r="U1904">
        <v>0</v>
      </c>
      <c r="V1904">
        <v>37</v>
      </c>
      <c r="W1904">
        <v>2</v>
      </c>
      <c r="X1904">
        <v>3</v>
      </c>
      <c r="Z1904">
        <v>0</v>
      </c>
      <c r="AA1904">
        <v>40.635634</v>
      </c>
      <c r="AB1904">
        <v>-74.082357</v>
      </c>
      <c r="AD1904" t="s">
        <v>10839</v>
      </c>
      <c r="AF1904" t="s">
        <v>10842</v>
      </c>
      <c r="AG1904" t="s">
        <v>10859</v>
      </c>
      <c r="AH1904" t="s">
        <v>10864</v>
      </c>
      <c r="AI1904">
        <v>285</v>
      </c>
      <c r="AJ1904" t="s">
        <v>10208</v>
      </c>
      <c r="AL1904">
        <v>1</v>
      </c>
      <c r="AM1904" t="s">
        <v>10883</v>
      </c>
      <c r="AN1904" t="s">
        <v>10913</v>
      </c>
      <c r="AO1904" t="s">
        <v>11006</v>
      </c>
      <c r="AP1904" t="s">
        <v>11051</v>
      </c>
      <c r="AR1904" t="s">
        <v>11266</v>
      </c>
      <c r="AS1904" t="s">
        <v>11593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</row>
    <row r="1905" spans="1:59">
      <c r="A1905" s="1">
        <f>HYPERLINK("https://lsnyc.legalserver.org/matter/dynamic-profile/view/1905805","19-1905805")</f>
        <v>0</v>
      </c>
      <c r="B1905" t="s">
        <v>1647</v>
      </c>
      <c r="C1905" t="s">
        <v>6455</v>
      </c>
      <c r="D1905" t="s">
        <v>9926</v>
      </c>
      <c r="E1905" t="s">
        <v>10075</v>
      </c>
      <c r="F1905">
        <v>10458</v>
      </c>
      <c r="G1905" t="s">
        <v>10090</v>
      </c>
      <c r="H1905" t="s">
        <v>10134</v>
      </c>
      <c r="J1905" t="s">
        <v>10210</v>
      </c>
      <c r="K1905" t="s">
        <v>10217</v>
      </c>
      <c r="M1905" t="s">
        <v>10306</v>
      </c>
      <c r="N1905" t="s">
        <v>10666</v>
      </c>
      <c r="P1905" t="s">
        <v>10749</v>
      </c>
      <c r="Q1905" t="s">
        <v>10765</v>
      </c>
      <c r="R1905" t="s">
        <v>10824</v>
      </c>
      <c r="T1905">
        <v>4524</v>
      </c>
      <c r="U1905">
        <v>377</v>
      </c>
      <c r="V1905">
        <v>55</v>
      </c>
      <c r="W1905">
        <v>4</v>
      </c>
      <c r="X1905">
        <v>0</v>
      </c>
      <c r="Z1905">
        <v>17.57</v>
      </c>
      <c r="AA1905">
        <v>40.85258</v>
      </c>
      <c r="AB1905">
        <v>-73.884576</v>
      </c>
      <c r="AD1905" t="s">
        <v>10839</v>
      </c>
      <c r="AG1905" t="s">
        <v>10858</v>
      </c>
      <c r="AH1905" t="s">
        <v>10862</v>
      </c>
      <c r="AI1905">
        <v>230</v>
      </c>
      <c r="AJ1905" t="s">
        <v>10210</v>
      </c>
      <c r="AL1905">
        <v>10</v>
      </c>
      <c r="AM1905" t="s">
        <v>10884</v>
      </c>
      <c r="AN1905" t="s">
        <v>10907</v>
      </c>
      <c r="AO1905" t="s">
        <v>11000</v>
      </c>
      <c r="AP1905" t="s">
        <v>11056</v>
      </c>
      <c r="AR1905" t="s">
        <v>11439</v>
      </c>
      <c r="AS1905" t="s">
        <v>9926</v>
      </c>
      <c r="AT1905" t="s">
        <v>11641</v>
      </c>
      <c r="AX1905" t="s">
        <v>10838</v>
      </c>
      <c r="BA1905" t="s">
        <v>11741</v>
      </c>
      <c r="BB1905">
        <v>0</v>
      </c>
      <c r="BC1905">
        <v>0</v>
      </c>
      <c r="BD1905">
        <v>0</v>
      </c>
      <c r="BE1905">
        <v>0</v>
      </c>
      <c r="BF1905">
        <v>1</v>
      </c>
      <c r="BG1905">
        <v>0</v>
      </c>
    </row>
    <row r="1906" spans="1:59">
      <c r="A1906" s="1">
        <f>HYPERLINK("https://lsnyc.legalserver.org/matter/dynamic-profile/view/1905806","19-1905806")</f>
        <v>0</v>
      </c>
      <c r="B1906" t="s">
        <v>1648</v>
      </c>
      <c r="C1906" t="s">
        <v>6454</v>
      </c>
      <c r="D1906" t="s">
        <v>9929</v>
      </c>
      <c r="E1906" t="s">
        <v>10075</v>
      </c>
      <c r="F1906">
        <v>10301</v>
      </c>
      <c r="G1906" t="s">
        <v>10088</v>
      </c>
      <c r="H1906" t="s">
        <v>10134</v>
      </c>
      <c r="I1906" t="s">
        <v>10169</v>
      </c>
      <c r="J1906" t="s">
        <v>10208</v>
      </c>
      <c r="K1906" t="s">
        <v>10217</v>
      </c>
      <c r="M1906" t="s">
        <v>10376</v>
      </c>
      <c r="N1906" t="s">
        <v>10649</v>
      </c>
      <c r="P1906" t="s">
        <v>10753</v>
      </c>
      <c r="Q1906" t="s">
        <v>10763</v>
      </c>
      <c r="R1906" t="s">
        <v>10821</v>
      </c>
      <c r="T1906">
        <v>0</v>
      </c>
      <c r="U1906">
        <v>0</v>
      </c>
      <c r="V1906">
        <v>37</v>
      </c>
      <c r="W1906">
        <v>2</v>
      </c>
      <c r="X1906">
        <v>3</v>
      </c>
      <c r="Z1906">
        <v>0</v>
      </c>
      <c r="AA1906">
        <v>40.635634</v>
      </c>
      <c r="AB1906">
        <v>-74.082357</v>
      </c>
      <c r="AD1906" t="s">
        <v>10840</v>
      </c>
      <c r="AF1906" t="s">
        <v>10842</v>
      </c>
      <c r="AG1906" t="s">
        <v>10859</v>
      </c>
      <c r="AH1906" t="s">
        <v>10864</v>
      </c>
      <c r="AI1906">
        <v>285</v>
      </c>
      <c r="AJ1906" t="s">
        <v>10208</v>
      </c>
      <c r="AL1906">
        <v>1</v>
      </c>
      <c r="AM1906" t="s">
        <v>10883</v>
      </c>
      <c r="AN1906" t="s">
        <v>10913</v>
      </c>
      <c r="AO1906" t="s">
        <v>11006</v>
      </c>
      <c r="AP1906" t="s">
        <v>11051</v>
      </c>
      <c r="AR1906" t="s">
        <v>11266</v>
      </c>
      <c r="AS1906" t="s">
        <v>11593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</row>
    <row r="1907" spans="1:59">
      <c r="A1907" s="1">
        <f>HYPERLINK("https://lsnyc.legalserver.org/matter/dynamic-profile/view/1905807","19-1905807")</f>
        <v>0</v>
      </c>
      <c r="B1907" t="s">
        <v>1643</v>
      </c>
      <c r="C1907" t="s">
        <v>6451</v>
      </c>
      <c r="D1907" t="s">
        <v>9928</v>
      </c>
      <c r="E1907" t="s">
        <v>10075</v>
      </c>
      <c r="F1907">
        <v>11212</v>
      </c>
      <c r="G1907" t="s">
        <v>10093</v>
      </c>
      <c r="H1907" t="s">
        <v>10134</v>
      </c>
      <c r="I1907" t="s">
        <v>10168</v>
      </c>
      <c r="J1907" t="s">
        <v>10213</v>
      </c>
      <c r="K1907" t="s">
        <v>10217</v>
      </c>
      <c r="M1907" t="s">
        <v>10371</v>
      </c>
      <c r="N1907" t="s">
        <v>10650</v>
      </c>
      <c r="P1907" t="s">
        <v>10749</v>
      </c>
      <c r="Q1907" t="s">
        <v>10774</v>
      </c>
      <c r="R1907" t="s">
        <v>10824</v>
      </c>
      <c r="T1907">
        <v>7776</v>
      </c>
      <c r="U1907">
        <v>648</v>
      </c>
      <c r="V1907">
        <v>63</v>
      </c>
      <c r="W1907">
        <v>2</v>
      </c>
      <c r="X1907">
        <v>0</v>
      </c>
      <c r="Z1907">
        <v>45.98</v>
      </c>
      <c r="AA1907">
        <v>40.673262</v>
      </c>
      <c r="AB1907">
        <v>-73.90745200000001</v>
      </c>
      <c r="AD1907" t="s">
        <v>10839</v>
      </c>
      <c r="AG1907" t="s">
        <v>10858</v>
      </c>
      <c r="AH1907" t="s">
        <v>10862</v>
      </c>
      <c r="AI1907">
        <v>239</v>
      </c>
      <c r="AJ1907" t="s">
        <v>10213</v>
      </c>
      <c r="AL1907">
        <v>0</v>
      </c>
      <c r="AR1907" t="s">
        <v>11298</v>
      </c>
      <c r="AS1907" t="s">
        <v>11595</v>
      </c>
      <c r="BA1907" t="s">
        <v>11740</v>
      </c>
      <c r="BB1907">
        <v>0</v>
      </c>
      <c r="BC1907">
        <v>0</v>
      </c>
      <c r="BD1907">
        <v>0</v>
      </c>
      <c r="BE1907">
        <v>0</v>
      </c>
      <c r="BF1907">
        <v>2</v>
      </c>
      <c r="BG1907">
        <v>0</v>
      </c>
    </row>
    <row r="1908" spans="1:59">
      <c r="A1908" s="1">
        <f>HYPERLINK("https://lsnyc.legalserver.org/matter/dynamic-profile/view/1905808","19-1905808")</f>
        <v>0</v>
      </c>
      <c r="B1908" t="s">
        <v>1649</v>
      </c>
      <c r="C1908" t="s">
        <v>6456</v>
      </c>
      <c r="D1908" t="s">
        <v>9926</v>
      </c>
      <c r="E1908" t="s">
        <v>10075</v>
      </c>
      <c r="F1908">
        <v>10468</v>
      </c>
      <c r="G1908" t="s">
        <v>10090</v>
      </c>
      <c r="H1908" t="s">
        <v>10134</v>
      </c>
      <c r="I1908" t="s">
        <v>10169</v>
      </c>
      <c r="J1908" t="s">
        <v>10210</v>
      </c>
      <c r="K1908" t="s">
        <v>10217</v>
      </c>
      <c r="M1908" t="s">
        <v>10283</v>
      </c>
      <c r="N1908" t="s">
        <v>10677</v>
      </c>
      <c r="P1908" t="s">
        <v>10751</v>
      </c>
      <c r="Q1908" t="s">
        <v>10761</v>
      </c>
      <c r="R1908" t="s">
        <v>10822</v>
      </c>
      <c r="T1908">
        <v>9252</v>
      </c>
      <c r="U1908">
        <v>771</v>
      </c>
      <c r="V1908">
        <v>68</v>
      </c>
      <c r="W1908">
        <v>1</v>
      </c>
      <c r="X1908">
        <v>0</v>
      </c>
      <c r="Z1908">
        <v>74.08</v>
      </c>
      <c r="AA1908">
        <v>40.861446</v>
      </c>
      <c r="AB1908">
        <v>-73.90403999999999</v>
      </c>
      <c r="AD1908" t="s">
        <v>10822</v>
      </c>
      <c r="AG1908" t="s">
        <v>10858</v>
      </c>
      <c r="AH1908" t="s">
        <v>10862</v>
      </c>
      <c r="AI1908">
        <v>230</v>
      </c>
      <c r="AJ1908" t="s">
        <v>10210</v>
      </c>
      <c r="AL1908">
        <v>7.5</v>
      </c>
      <c r="AM1908" t="s">
        <v>10884</v>
      </c>
      <c r="AN1908" t="s">
        <v>10907</v>
      </c>
      <c r="AO1908" t="s">
        <v>11000</v>
      </c>
      <c r="AP1908" t="s">
        <v>11045</v>
      </c>
      <c r="AR1908" t="s">
        <v>11274</v>
      </c>
      <c r="AS1908" t="s">
        <v>9926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</row>
    <row r="1909" spans="1:59">
      <c r="A1909" s="1">
        <f>HYPERLINK("https://lsnyc.legalserver.org/matter/dynamic-profile/view/1905809","19-1905809")</f>
        <v>0</v>
      </c>
      <c r="B1909" t="s">
        <v>1650</v>
      </c>
      <c r="C1909" t="s">
        <v>6451</v>
      </c>
      <c r="D1909" t="s">
        <v>9928</v>
      </c>
      <c r="E1909" t="s">
        <v>10075</v>
      </c>
      <c r="F1909">
        <v>11212</v>
      </c>
      <c r="G1909" t="s">
        <v>10093</v>
      </c>
      <c r="H1909" t="s">
        <v>10134</v>
      </c>
      <c r="I1909" t="s">
        <v>10168</v>
      </c>
      <c r="J1909" t="s">
        <v>10213</v>
      </c>
      <c r="K1909" t="s">
        <v>10217</v>
      </c>
      <c r="M1909" t="s">
        <v>10551</v>
      </c>
      <c r="N1909" t="s">
        <v>10650</v>
      </c>
      <c r="P1909" t="s">
        <v>10749</v>
      </c>
      <c r="Q1909" t="s">
        <v>10769</v>
      </c>
      <c r="R1909" t="s">
        <v>10824</v>
      </c>
      <c r="T1909">
        <v>56940</v>
      </c>
      <c r="U1909">
        <v>4745</v>
      </c>
      <c r="V1909">
        <v>50</v>
      </c>
      <c r="W1909">
        <v>2</v>
      </c>
      <c r="X1909">
        <v>0</v>
      </c>
      <c r="Z1909">
        <v>336.72</v>
      </c>
      <c r="AA1909">
        <v>40.673262</v>
      </c>
      <c r="AB1909">
        <v>-73.90745200000001</v>
      </c>
      <c r="AD1909" t="s">
        <v>10839</v>
      </c>
      <c r="AG1909" t="s">
        <v>10858</v>
      </c>
      <c r="AH1909" t="s">
        <v>10862</v>
      </c>
      <c r="AI1909">
        <v>239</v>
      </c>
      <c r="AJ1909" t="s">
        <v>10213</v>
      </c>
      <c r="AL1909">
        <v>0</v>
      </c>
      <c r="AM1909" t="s">
        <v>10889</v>
      </c>
      <c r="AN1909" t="s">
        <v>10922</v>
      </c>
      <c r="AO1909" t="s">
        <v>11012</v>
      </c>
      <c r="AP1909" t="s">
        <v>11058</v>
      </c>
      <c r="AR1909" t="s">
        <v>11295</v>
      </c>
      <c r="AS1909" t="s">
        <v>11595</v>
      </c>
      <c r="AT1909" t="s">
        <v>11641</v>
      </c>
      <c r="BA1909" t="s">
        <v>11740</v>
      </c>
      <c r="BB1909">
        <v>0</v>
      </c>
      <c r="BC1909">
        <v>0</v>
      </c>
      <c r="BD1909">
        <v>0</v>
      </c>
      <c r="BE1909">
        <v>0</v>
      </c>
      <c r="BF1909">
        <v>2</v>
      </c>
      <c r="BG1909">
        <v>0</v>
      </c>
    </row>
    <row r="1910" spans="1:59">
      <c r="A1910" s="1">
        <f>HYPERLINK("https://lsnyc.legalserver.org/matter/dynamic-profile/view/1905810","19-1905810")</f>
        <v>0</v>
      </c>
      <c r="B1910" t="s">
        <v>1647</v>
      </c>
      <c r="C1910" t="s">
        <v>6455</v>
      </c>
      <c r="D1910" t="s">
        <v>9926</v>
      </c>
      <c r="E1910" t="s">
        <v>10075</v>
      </c>
      <c r="F1910">
        <v>10458</v>
      </c>
      <c r="G1910" t="s">
        <v>10090</v>
      </c>
      <c r="H1910" t="s">
        <v>10134</v>
      </c>
      <c r="I1910" t="s">
        <v>10168</v>
      </c>
      <c r="J1910" t="s">
        <v>10210</v>
      </c>
      <c r="K1910" t="s">
        <v>10217</v>
      </c>
      <c r="M1910" t="s">
        <v>10303</v>
      </c>
      <c r="N1910" t="s">
        <v>10671</v>
      </c>
      <c r="P1910" t="s">
        <v>10751</v>
      </c>
      <c r="Q1910" t="s">
        <v>10761</v>
      </c>
      <c r="R1910" t="s">
        <v>10824</v>
      </c>
      <c r="T1910">
        <v>4524</v>
      </c>
      <c r="U1910">
        <v>377</v>
      </c>
      <c r="V1910">
        <v>55</v>
      </c>
      <c r="W1910">
        <v>3</v>
      </c>
      <c r="X1910">
        <v>1</v>
      </c>
      <c r="Z1910">
        <v>17.57</v>
      </c>
      <c r="AA1910">
        <v>40.85258</v>
      </c>
      <c r="AB1910">
        <v>-73.884576</v>
      </c>
      <c r="AD1910" t="s">
        <v>10839</v>
      </c>
      <c r="AG1910" t="s">
        <v>10858</v>
      </c>
      <c r="AH1910" t="s">
        <v>10862</v>
      </c>
      <c r="AI1910">
        <v>230</v>
      </c>
      <c r="AJ1910" t="s">
        <v>10210</v>
      </c>
      <c r="AL1910">
        <v>0</v>
      </c>
      <c r="AM1910" t="s">
        <v>10884</v>
      </c>
      <c r="AN1910" t="s">
        <v>10907</v>
      </c>
      <c r="AO1910" t="s">
        <v>11000</v>
      </c>
      <c r="AP1910" t="s">
        <v>11056</v>
      </c>
      <c r="AR1910" t="s">
        <v>11255</v>
      </c>
      <c r="AS1910" t="s">
        <v>9926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</row>
    <row r="1911" spans="1:59">
      <c r="A1911" s="1">
        <f>HYPERLINK("https://lsnyc.legalserver.org/matter/dynamic-profile/view/1905811","19-1905811")</f>
        <v>0</v>
      </c>
      <c r="B1911" t="s">
        <v>1651</v>
      </c>
      <c r="C1911" t="s">
        <v>6457</v>
      </c>
      <c r="D1911" t="s">
        <v>9929</v>
      </c>
      <c r="E1911" t="s">
        <v>10075</v>
      </c>
      <c r="F1911">
        <v>10314</v>
      </c>
      <c r="G1911" t="s">
        <v>10088</v>
      </c>
      <c r="H1911" t="s">
        <v>10121</v>
      </c>
      <c r="I1911" t="s">
        <v>10184</v>
      </c>
      <c r="J1911" t="s">
        <v>10208</v>
      </c>
      <c r="K1911" t="s">
        <v>10218</v>
      </c>
      <c r="L1911" t="s">
        <v>10108</v>
      </c>
      <c r="M1911" t="s">
        <v>10409</v>
      </c>
      <c r="N1911" t="s">
        <v>10649</v>
      </c>
      <c r="P1911" t="s">
        <v>10753</v>
      </c>
      <c r="Q1911" t="s">
        <v>10763</v>
      </c>
      <c r="R1911" t="s">
        <v>10820</v>
      </c>
      <c r="T1911">
        <v>0</v>
      </c>
      <c r="U1911">
        <v>0</v>
      </c>
      <c r="V1911">
        <v>32</v>
      </c>
      <c r="W1911">
        <v>2</v>
      </c>
      <c r="X1911">
        <v>0</v>
      </c>
      <c r="Y1911" t="s">
        <v>10833</v>
      </c>
      <c r="Z1911">
        <v>0</v>
      </c>
      <c r="AA1911">
        <v>40.612832</v>
      </c>
      <c r="AB1911">
        <v>-74.164618</v>
      </c>
      <c r="AD1911" t="s">
        <v>10839</v>
      </c>
      <c r="AF1911" t="s">
        <v>10844</v>
      </c>
      <c r="AG1911" t="s">
        <v>10859</v>
      </c>
      <c r="AH1911" t="s">
        <v>10864</v>
      </c>
      <c r="AI1911">
        <v>285</v>
      </c>
      <c r="AJ1911" t="s">
        <v>10208</v>
      </c>
      <c r="AK1911" t="s">
        <v>10837</v>
      </c>
      <c r="AL1911">
        <v>3.5</v>
      </c>
      <c r="AM1911" t="s">
        <v>10883</v>
      </c>
      <c r="AN1911" t="s">
        <v>10928</v>
      </c>
      <c r="AO1911" t="s">
        <v>10999</v>
      </c>
      <c r="AP1911" t="s">
        <v>11063</v>
      </c>
      <c r="AR1911" t="s">
        <v>11266</v>
      </c>
      <c r="AS1911" t="s">
        <v>11593</v>
      </c>
      <c r="AY1911" t="s">
        <v>10833</v>
      </c>
      <c r="AZ1911" t="s">
        <v>11711</v>
      </c>
      <c r="BA1911" t="s">
        <v>11739</v>
      </c>
      <c r="BB1911">
        <v>0</v>
      </c>
      <c r="BC1911">
        <v>0</v>
      </c>
      <c r="BD1911">
        <v>0</v>
      </c>
      <c r="BE1911">
        <v>0</v>
      </c>
      <c r="BF1911">
        <v>4</v>
      </c>
      <c r="BG1911">
        <v>0</v>
      </c>
    </row>
    <row r="1912" spans="1:59">
      <c r="A1912" s="1">
        <f>HYPERLINK("https://lsnyc.legalserver.org/matter/dynamic-profile/view/1905812","19-1905812")</f>
        <v>0</v>
      </c>
      <c r="B1912" t="s">
        <v>1640</v>
      </c>
      <c r="C1912" t="s">
        <v>6448</v>
      </c>
      <c r="D1912" t="s">
        <v>9928</v>
      </c>
      <c r="E1912" t="s">
        <v>10075</v>
      </c>
      <c r="F1912">
        <v>11212</v>
      </c>
      <c r="G1912" t="s">
        <v>10093</v>
      </c>
      <c r="H1912" t="s">
        <v>10134</v>
      </c>
      <c r="I1912" t="s">
        <v>10168</v>
      </c>
      <c r="J1912" t="s">
        <v>10213</v>
      </c>
      <c r="K1912" t="s">
        <v>10217</v>
      </c>
      <c r="M1912" t="s">
        <v>10392</v>
      </c>
      <c r="N1912" t="s">
        <v>10650</v>
      </c>
      <c r="P1912" t="s">
        <v>10752</v>
      </c>
      <c r="Q1912" t="s">
        <v>10762</v>
      </c>
      <c r="R1912" t="s">
        <v>10824</v>
      </c>
      <c r="T1912">
        <v>11640</v>
      </c>
      <c r="U1912">
        <v>970</v>
      </c>
      <c r="V1912">
        <v>60</v>
      </c>
      <c r="W1912">
        <v>1</v>
      </c>
      <c r="X1912">
        <v>0</v>
      </c>
      <c r="Z1912">
        <v>93.19</v>
      </c>
      <c r="AA1912">
        <v>40.669236</v>
      </c>
      <c r="AB1912">
        <v>-73.917198</v>
      </c>
      <c r="AD1912" t="s">
        <v>10839</v>
      </c>
      <c r="AG1912" t="s">
        <v>10858</v>
      </c>
      <c r="AH1912" t="s">
        <v>10862</v>
      </c>
      <c r="AI1912">
        <v>239</v>
      </c>
      <c r="AJ1912" t="s">
        <v>10213</v>
      </c>
      <c r="AL1912">
        <v>0</v>
      </c>
      <c r="AM1912" t="s">
        <v>10888</v>
      </c>
      <c r="AN1912" t="s">
        <v>10922</v>
      </c>
      <c r="AO1912" t="s">
        <v>11005</v>
      </c>
      <c r="AP1912" t="s">
        <v>11064</v>
      </c>
      <c r="AR1912" t="s">
        <v>11296</v>
      </c>
      <c r="AS1912" t="s">
        <v>11595</v>
      </c>
      <c r="AT1912" t="s">
        <v>11641</v>
      </c>
      <c r="BA1912" t="s">
        <v>11744</v>
      </c>
      <c r="BB1912">
        <v>0</v>
      </c>
      <c r="BC1912">
        <v>0</v>
      </c>
      <c r="BD1912">
        <v>0</v>
      </c>
      <c r="BE1912">
        <v>0</v>
      </c>
      <c r="BF1912">
        <v>6</v>
      </c>
      <c r="BG1912">
        <v>0</v>
      </c>
    </row>
    <row r="1913" spans="1:59">
      <c r="A1913" s="1">
        <f>HYPERLINK("https://lsnyc.legalserver.org/matter/dynamic-profile/view/1905813","19-1905813")</f>
        <v>0</v>
      </c>
      <c r="B1913" t="s">
        <v>1652</v>
      </c>
      <c r="C1913" t="s">
        <v>6458</v>
      </c>
      <c r="D1913" t="s">
        <v>9933</v>
      </c>
      <c r="E1913" t="s">
        <v>10075</v>
      </c>
      <c r="F1913">
        <v>11420</v>
      </c>
      <c r="G1913" t="s">
        <v>10092</v>
      </c>
      <c r="H1913" t="s">
        <v>10134</v>
      </c>
      <c r="I1913" t="s">
        <v>10168</v>
      </c>
      <c r="J1913" t="s">
        <v>10212</v>
      </c>
      <c r="K1913" t="s">
        <v>10218</v>
      </c>
      <c r="L1913" t="s">
        <v>10163</v>
      </c>
      <c r="M1913" t="s">
        <v>10491</v>
      </c>
      <c r="N1913" t="s">
        <v>10695</v>
      </c>
      <c r="P1913" t="s">
        <v>10749</v>
      </c>
      <c r="Q1913" t="s">
        <v>10765</v>
      </c>
      <c r="R1913" t="s">
        <v>10824</v>
      </c>
      <c r="T1913">
        <v>15600</v>
      </c>
      <c r="U1913">
        <v>1300</v>
      </c>
      <c r="V1913">
        <v>31</v>
      </c>
      <c r="W1913">
        <v>2</v>
      </c>
      <c r="X1913">
        <v>3</v>
      </c>
      <c r="Y1913" t="s">
        <v>10829</v>
      </c>
      <c r="Z1913">
        <v>51.71</v>
      </c>
      <c r="AA1913">
        <v>40.67011</v>
      </c>
      <c r="AB1913">
        <v>-73.824219</v>
      </c>
      <c r="AD1913" t="s">
        <v>10839</v>
      </c>
      <c r="AG1913" t="s">
        <v>10858</v>
      </c>
      <c r="AH1913" t="s">
        <v>10862</v>
      </c>
      <c r="AI1913">
        <v>237</v>
      </c>
      <c r="AJ1913" t="s">
        <v>10212</v>
      </c>
      <c r="AK1913" t="s">
        <v>10882</v>
      </c>
      <c r="AL1913">
        <v>2</v>
      </c>
      <c r="AM1913" t="s">
        <v>10892</v>
      </c>
      <c r="AN1913" t="s">
        <v>10930</v>
      </c>
      <c r="AO1913" t="s">
        <v>11024</v>
      </c>
      <c r="AP1913" t="s">
        <v>11088</v>
      </c>
      <c r="AR1913" t="s">
        <v>11257</v>
      </c>
      <c r="AS1913" t="s">
        <v>11594</v>
      </c>
      <c r="AX1913" t="s">
        <v>10838</v>
      </c>
      <c r="AY1913" t="s">
        <v>10829</v>
      </c>
      <c r="AZ1913" t="s">
        <v>11681</v>
      </c>
      <c r="BA1913" t="s">
        <v>11741</v>
      </c>
      <c r="BB1913">
        <v>0</v>
      </c>
      <c r="BC1913">
        <v>0</v>
      </c>
      <c r="BD1913">
        <v>0</v>
      </c>
      <c r="BE1913">
        <v>0</v>
      </c>
      <c r="BF1913">
        <v>1</v>
      </c>
      <c r="BG1913">
        <v>0</v>
      </c>
    </row>
    <row r="1914" spans="1:59">
      <c r="A1914" s="1">
        <f>HYPERLINK("https://lsnyc.legalserver.org/matter/dynamic-profile/view/1905814","19-1905814")</f>
        <v>0</v>
      </c>
      <c r="B1914" t="s">
        <v>1653</v>
      </c>
      <c r="C1914" t="s">
        <v>6457</v>
      </c>
      <c r="D1914" t="s">
        <v>9929</v>
      </c>
      <c r="E1914" t="s">
        <v>10075</v>
      </c>
      <c r="F1914">
        <v>10314</v>
      </c>
      <c r="G1914" t="s">
        <v>10088</v>
      </c>
      <c r="H1914" t="s">
        <v>10121</v>
      </c>
      <c r="I1914" t="s">
        <v>10184</v>
      </c>
      <c r="J1914" t="s">
        <v>10208</v>
      </c>
      <c r="K1914" t="s">
        <v>10218</v>
      </c>
      <c r="L1914" t="s">
        <v>10108</v>
      </c>
      <c r="M1914" t="s">
        <v>10409</v>
      </c>
      <c r="N1914" t="s">
        <v>10649</v>
      </c>
      <c r="P1914" t="s">
        <v>10753</v>
      </c>
      <c r="Q1914" t="s">
        <v>10763</v>
      </c>
      <c r="R1914" t="s">
        <v>10820</v>
      </c>
      <c r="T1914">
        <v>0</v>
      </c>
      <c r="U1914">
        <v>0</v>
      </c>
      <c r="V1914">
        <v>37</v>
      </c>
      <c r="W1914">
        <v>2</v>
      </c>
      <c r="X1914">
        <v>2</v>
      </c>
      <c r="Y1914" t="s">
        <v>10833</v>
      </c>
      <c r="Z1914">
        <v>0</v>
      </c>
      <c r="AA1914">
        <v>40.612832</v>
      </c>
      <c r="AB1914">
        <v>-74.164618</v>
      </c>
      <c r="AD1914" t="s">
        <v>10840</v>
      </c>
      <c r="AF1914" t="s">
        <v>10844</v>
      </c>
      <c r="AG1914" t="s">
        <v>10859</v>
      </c>
      <c r="AH1914" t="s">
        <v>10864</v>
      </c>
      <c r="AI1914">
        <v>285</v>
      </c>
      <c r="AJ1914" t="s">
        <v>10208</v>
      </c>
      <c r="AK1914" t="s">
        <v>10837</v>
      </c>
      <c r="AL1914">
        <v>3.5</v>
      </c>
      <c r="AM1914" t="s">
        <v>10883</v>
      </c>
      <c r="AN1914" t="s">
        <v>10928</v>
      </c>
      <c r="AO1914" t="s">
        <v>10999</v>
      </c>
      <c r="AP1914" t="s">
        <v>11063</v>
      </c>
      <c r="AR1914" t="s">
        <v>11266</v>
      </c>
      <c r="AS1914" t="s">
        <v>11593</v>
      </c>
      <c r="AY1914" t="s">
        <v>10833</v>
      </c>
      <c r="AZ1914" t="s">
        <v>11711</v>
      </c>
      <c r="BA1914" t="s">
        <v>11739</v>
      </c>
      <c r="BB1914">
        <v>0</v>
      </c>
      <c r="BC1914">
        <v>0</v>
      </c>
      <c r="BD1914">
        <v>0</v>
      </c>
      <c r="BE1914">
        <v>0</v>
      </c>
      <c r="BF1914">
        <v>4</v>
      </c>
      <c r="BG1914">
        <v>0</v>
      </c>
    </row>
    <row r="1915" spans="1:59">
      <c r="A1915" s="1">
        <f>HYPERLINK("https://lsnyc.legalserver.org/matter/dynamic-profile/view/1905815","19-1905815")</f>
        <v>0</v>
      </c>
      <c r="B1915" t="s">
        <v>1654</v>
      </c>
      <c r="C1915" t="s">
        <v>6448</v>
      </c>
      <c r="D1915" t="s">
        <v>9928</v>
      </c>
      <c r="E1915" t="s">
        <v>10075</v>
      </c>
      <c r="F1915">
        <v>11212</v>
      </c>
      <c r="G1915" t="s">
        <v>10093</v>
      </c>
      <c r="H1915" t="s">
        <v>10134</v>
      </c>
      <c r="I1915" t="s">
        <v>10168</v>
      </c>
      <c r="J1915" t="s">
        <v>10213</v>
      </c>
      <c r="K1915" t="s">
        <v>10217</v>
      </c>
      <c r="M1915" t="s">
        <v>10392</v>
      </c>
      <c r="N1915" t="s">
        <v>10650</v>
      </c>
      <c r="P1915" t="s">
        <v>10749</v>
      </c>
      <c r="Q1915" t="s">
        <v>10769</v>
      </c>
      <c r="R1915" t="s">
        <v>10824</v>
      </c>
      <c r="T1915">
        <v>9252</v>
      </c>
      <c r="U1915">
        <v>771</v>
      </c>
      <c r="V1915">
        <v>57</v>
      </c>
      <c r="W1915">
        <v>2</v>
      </c>
      <c r="X1915">
        <v>0</v>
      </c>
      <c r="Z1915">
        <v>54.71</v>
      </c>
      <c r="AA1915">
        <v>40.669236</v>
      </c>
      <c r="AB1915">
        <v>-73.917198</v>
      </c>
      <c r="AD1915" t="s">
        <v>10839</v>
      </c>
      <c r="AG1915" t="s">
        <v>10858</v>
      </c>
      <c r="AH1915" t="s">
        <v>10862</v>
      </c>
      <c r="AI1915">
        <v>239</v>
      </c>
      <c r="AJ1915" t="s">
        <v>10213</v>
      </c>
      <c r="AL1915">
        <v>0</v>
      </c>
      <c r="AM1915" t="s">
        <v>10888</v>
      </c>
      <c r="AN1915" t="s">
        <v>10922</v>
      </c>
      <c r="AO1915" t="s">
        <v>11005</v>
      </c>
      <c r="AP1915" t="s">
        <v>11064</v>
      </c>
      <c r="AR1915" t="s">
        <v>11263</v>
      </c>
      <c r="AS1915" t="s">
        <v>11595</v>
      </c>
      <c r="AT1915" t="s">
        <v>11641</v>
      </c>
      <c r="BA1915" t="s">
        <v>11740</v>
      </c>
      <c r="BB1915">
        <v>0</v>
      </c>
      <c r="BC1915">
        <v>0</v>
      </c>
      <c r="BD1915">
        <v>0</v>
      </c>
      <c r="BE1915">
        <v>0</v>
      </c>
      <c r="BF1915">
        <v>2</v>
      </c>
      <c r="BG1915">
        <v>0</v>
      </c>
    </row>
    <row r="1916" spans="1:59">
      <c r="A1916" s="1">
        <f>HYPERLINK("https://lsnyc.legalserver.org/matter/dynamic-profile/view/1905817","19-1905817")</f>
        <v>0</v>
      </c>
      <c r="B1916" t="s">
        <v>1655</v>
      </c>
      <c r="C1916" t="s">
        <v>6459</v>
      </c>
      <c r="D1916" t="s">
        <v>9949</v>
      </c>
      <c r="E1916" t="s">
        <v>10075</v>
      </c>
      <c r="F1916">
        <v>11413</v>
      </c>
      <c r="G1916" t="s">
        <v>10092</v>
      </c>
      <c r="H1916" t="s">
        <v>10134</v>
      </c>
      <c r="I1916" t="s">
        <v>10168</v>
      </c>
      <c r="J1916" t="s">
        <v>10212</v>
      </c>
      <c r="K1916" t="s">
        <v>10217</v>
      </c>
      <c r="M1916" t="s">
        <v>10260</v>
      </c>
      <c r="N1916" t="s">
        <v>10665</v>
      </c>
      <c r="P1916" t="s">
        <v>10751</v>
      </c>
      <c r="Q1916" t="s">
        <v>10773</v>
      </c>
      <c r="R1916" t="s">
        <v>10824</v>
      </c>
      <c r="T1916">
        <v>13000</v>
      </c>
      <c r="U1916">
        <v>1083.33</v>
      </c>
      <c r="V1916">
        <v>21</v>
      </c>
      <c r="W1916">
        <v>1</v>
      </c>
      <c r="X1916">
        <v>0</v>
      </c>
      <c r="Z1916">
        <v>104.08</v>
      </c>
      <c r="AA1916">
        <v>40.667609</v>
      </c>
      <c r="AB1916">
        <v>-73.761847</v>
      </c>
      <c r="AD1916" t="s">
        <v>10840</v>
      </c>
      <c r="AG1916" t="s">
        <v>10858</v>
      </c>
      <c r="AH1916" t="s">
        <v>10871</v>
      </c>
      <c r="AI1916">
        <v>234</v>
      </c>
      <c r="AJ1916" t="s">
        <v>10214</v>
      </c>
      <c r="AL1916">
        <v>1.16</v>
      </c>
      <c r="AM1916" t="s">
        <v>10892</v>
      </c>
      <c r="AN1916" t="s">
        <v>10951</v>
      </c>
      <c r="AO1916" t="s">
        <v>11017</v>
      </c>
      <c r="AP1916" t="s">
        <v>11082</v>
      </c>
      <c r="AR1916" t="s">
        <v>11257</v>
      </c>
      <c r="AS1916" t="s">
        <v>11594</v>
      </c>
      <c r="AT1916" t="s">
        <v>11641</v>
      </c>
      <c r="AX1916" t="s">
        <v>10838</v>
      </c>
      <c r="BA1916" t="s">
        <v>11741</v>
      </c>
      <c r="BB1916">
        <v>0</v>
      </c>
      <c r="BC1916">
        <v>0</v>
      </c>
      <c r="BD1916">
        <v>0</v>
      </c>
      <c r="BE1916">
        <v>0</v>
      </c>
      <c r="BF1916">
        <v>1</v>
      </c>
      <c r="BG1916">
        <v>0</v>
      </c>
    </row>
    <row r="1917" spans="1:59">
      <c r="A1917" s="1">
        <f>HYPERLINK("https://lsnyc.legalserver.org/matter/dynamic-profile/view/1905818","19-1905818")</f>
        <v>0</v>
      </c>
      <c r="B1917" t="s">
        <v>1650</v>
      </c>
      <c r="C1917" t="s">
        <v>6451</v>
      </c>
      <c r="D1917" t="s">
        <v>9928</v>
      </c>
      <c r="E1917" t="s">
        <v>10075</v>
      </c>
      <c r="F1917">
        <v>11212</v>
      </c>
      <c r="G1917" t="s">
        <v>10093</v>
      </c>
      <c r="H1917" t="s">
        <v>10134</v>
      </c>
      <c r="I1917" t="s">
        <v>10168</v>
      </c>
      <c r="J1917" t="s">
        <v>10213</v>
      </c>
      <c r="K1917" t="s">
        <v>10217</v>
      </c>
      <c r="M1917" t="s">
        <v>10551</v>
      </c>
      <c r="N1917" t="s">
        <v>10650</v>
      </c>
      <c r="P1917" t="s">
        <v>10749</v>
      </c>
      <c r="Q1917" t="s">
        <v>10765</v>
      </c>
      <c r="R1917" t="s">
        <v>10824</v>
      </c>
      <c r="T1917">
        <v>56940</v>
      </c>
      <c r="U1917">
        <v>4745</v>
      </c>
      <c r="V1917">
        <v>50</v>
      </c>
      <c r="W1917">
        <v>2</v>
      </c>
      <c r="X1917">
        <v>0</v>
      </c>
      <c r="Z1917">
        <v>336.72</v>
      </c>
      <c r="AA1917">
        <v>40.673262</v>
      </c>
      <c r="AB1917">
        <v>-73.90745200000001</v>
      </c>
      <c r="AD1917" t="s">
        <v>10839</v>
      </c>
      <c r="AG1917" t="s">
        <v>10858</v>
      </c>
      <c r="AH1917" t="s">
        <v>10862</v>
      </c>
      <c r="AI1917">
        <v>239</v>
      </c>
      <c r="AJ1917" t="s">
        <v>10213</v>
      </c>
      <c r="AL1917">
        <v>0.5</v>
      </c>
      <c r="AR1917" t="s">
        <v>11295</v>
      </c>
      <c r="AS1917" t="s">
        <v>11595</v>
      </c>
      <c r="BA1917" t="s">
        <v>11738</v>
      </c>
      <c r="BB1917">
        <v>0</v>
      </c>
      <c r="BC1917">
        <v>0</v>
      </c>
      <c r="BD1917">
        <v>0</v>
      </c>
      <c r="BE1917">
        <v>0</v>
      </c>
      <c r="BF1917">
        <v>5</v>
      </c>
      <c r="BG1917">
        <v>0</v>
      </c>
    </row>
    <row r="1918" spans="1:59">
      <c r="A1918" s="1">
        <f>HYPERLINK("https://lsnyc.legalserver.org/matter/dynamic-profile/view/1905819","19-1905819")</f>
        <v>0</v>
      </c>
      <c r="B1918" t="s">
        <v>1656</v>
      </c>
      <c r="C1918" t="s">
        <v>6457</v>
      </c>
      <c r="D1918" t="s">
        <v>9929</v>
      </c>
      <c r="E1918" t="s">
        <v>10075</v>
      </c>
      <c r="F1918">
        <v>10314</v>
      </c>
      <c r="G1918" t="s">
        <v>10088</v>
      </c>
      <c r="H1918" t="s">
        <v>10121</v>
      </c>
      <c r="I1918" t="s">
        <v>10184</v>
      </c>
      <c r="J1918" t="s">
        <v>10208</v>
      </c>
      <c r="K1918" t="s">
        <v>10217</v>
      </c>
      <c r="M1918" t="s">
        <v>10409</v>
      </c>
      <c r="N1918" t="s">
        <v>10649</v>
      </c>
      <c r="P1918" t="s">
        <v>10753</v>
      </c>
      <c r="Q1918" t="s">
        <v>10763</v>
      </c>
      <c r="R1918" t="s">
        <v>10820</v>
      </c>
      <c r="T1918">
        <v>0</v>
      </c>
      <c r="U1918">
        <v>0</v>
      </c>
      <c r="V1918">
        <v>10</v>
      </c>
      <c r="W1918">
        <v>2</v>
      </c>
      <c r="X1918">
        <v>2</v>
      </c>
      <c r="Z1918">
        <v>0</v>
      </c>
      <c r="AA1918">
        <v>40.612832</v>
      </c>
      <c r="AB1918">
        <v>-74.164618</v>
      </c>
      <c r="AD1918" t="s">
        <v>10840</v>
      </c>
      <c r="AF1918" t="s">
        <v>10844</v>
      </c>
      <c r="AG1918" t="s">
        <v>10859</v>
      </c>
      <c r="AH1918" t="s">
        <v>10864</v>
      </c>
      <c r="AI1918">
        <v>285</v>
      </c>
      <c r="AJ1918" t="s">
        <v>10208</v>
      </c>
      <c r="AL1918">
        <v>2.5</v>
      </c>
      <c r="AM1918" t="s">
        <v>10883</v>
      </c>
      <c r="AN1918" t="s">
        <v>10928</v>
      </c>
      <c r="AO1918" t="s">
        <v>10999</v>
      </c>
      <c r="AP1918" t="s">
        <v>11063</v>
      </c>
      <c r="AR1918" t="s">
        <v>11267</v>
      </c>
      <c r="AS1918" t="s">
        <v>11593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</row>
    <row r="1919" spans="1:59">
      <c r="A1919" s="1">
        <f>HYPERLINK("https://lsnyc.legalserver.org/matter/dynamic-profile/view/1905820","19-1905820")</f>
        <v>0</v>
      </c>
      <c r="B1919" t="s">
        <v>1654</v>
      </c>
      <c r="C1919" t="s">
        <v>6448</v>
      </c>
      <c r="D1919" t="s">
        <v>9928</v>
      </c>
      <c r="E1919" t="s">
        <v>10075</v>
      </c>
      <c r="F1919">
        <v>11212</v>
      </c>
      <c r="G1919" t="s">
        <v>10093</v>
      </c>
      <c r="H1919" t="s">
        <v>10134</v>
      </c>
      <c r="I1919" t="s">
        <v>10168</v>
      </c>
      <c r="J1919" t="s">
        <v>10213</v>
      </c>
      <c r="K1919" t="s">
        <v>10217</v>
      </c>
      <c r="M1919" t="s">
        <v>10392</v>
      </c>
      <c r="N1919" t="s">
        <v>10650</v>
      </c>
      <c r="P1919" t="s">
        <v>10752</v>
      </c>
      <c r="Q1919" t="s">
        <v>10762</v>
      </c>
      <c r="R1919" t="s">
        <v>10824</v>
      </c>
      <c r="T1919">
        <v>9252</v>
      </c>
      <c r="U1919">
        <v>771</v>
      </c>
      <c r="V1919">
        <v>57</v>
      </c>
      <c r="W1919">
        <v>2</v>
      </c>
      <c r="X1919">
        <v>0</v>
      </c>
      <c r="Z1919">
        <v>54.71</v>
      </c>
      <c r="AA1919">
        <v>40.669236</v>
      </c>
      <c r="AB1919">
        <v>-73.917198</v>
      </c>
      <c r="AD1919" t="s">
        <v>10839</v>
      </c>
      <c r="AG1919" t="s">
        <v>10858</v>
      </c>
      <c r="AH1919" t="s">
        <v>10862</v>
      </c>
      <c r="AI1919">
        <v>239</v>
      </c>
      <c r="AJ1919" t="s">
        <v>10213</v>
      </c>
      <c r="AL1919">
        <v>0</v>
      </c>
      <c r="AM1919" t="s">
        <v>10888</v>
      </c>
      <c r="AN1919" t="s">
        <v>10922</v>
      </c>
      <c r="AO1919" t="s">
        <v>11005</v>
      </c>
      <c r="AP1919" t="s">
        <v>11064</v>
      </c>
      <c r="AR1919" t="s">
        <v>11263</v>
      </c>
      <c r="AS1919" t="s">
        <v>11595</v>
      </c>
      <c r="AT1919" t="s">
        <v>11641</v>
      </c>
      <c r="BA1919" t="s">
        <v>11744</v>
      </c>
      <c r="BB1919">
        <v>0</v>
      </c>
      <c r="BC1919">
        <v>0</v>
      </c>
      <c r="BD1919">
        <v>0</v>
      </c>
      <c r="BE1919">
        <v>0</v>
      </c>
      <c r="BF1919">
        <v>6</v>
      </c>
      <c r="BG1919">
        <v>0</v>
      </c>
    </row>
    <row r="1920" spans="1:59">
      <c r="A1920" s="1">
        <f>HYPERLINK("https://lsnyc.legalserver.org/matter/dynamic-profile/view/1905821","19-1905821")</f>
        <v>0</v>
      </c>
      <c r="B1920" t="s">
        <v>1657</v>
      </c>
      <c r="C1920" t="s">
        <v>6457</v>
      </c>
      <c r="D1920" t="s">
        <v>9929</v>
      </c>
      <c r="E1920" t="s">
        <v>10075</v>
      </c>
      <c r="F1920">
        <v>10314</v>
      </c>
      <c r="G1920" t="s">
        <v>10088</v>
      </c>
      <c r="H1920" t="s">
        <v>10121</v>
      </c>
      <c r="I1920" t="s">
        <v>10184</v>
      </c>
      <c r="J1920" t="s">
        <v>10208</v>
      </c>
      <c r="K1920" t="s">
        <v>10217</v>
      </c>
      <c r="M1920" t="s">
        <v>10409</v>
      </c>
      <c r="N1920" t="s">
        <v>10649</v>
      </c>
      <c r="P1920" t="s">
        <v>10753</v>
      </c>
      <c r="Q1920" t="s">
        <v>10763</v>
      </c>
      <c r="R1920" t="s">
        <v>10820</v>
      </c>
      <c r="T1920">
        <v>0</v>
      </c>
      <c r="U1920">
        <v>0</v>
      </c>
      <c r="V1920">
        <v>9</v>
      </c>
      <c r="W1920">
        <v>2</v>
      </c>
      <c r="X1920">
        <v>2</v>
      </c>
      <c r="Z1920">
        <v>0</v>
      </c>
      <c r="AA1920">
        <v>40.612832</v>
      </c>
      <c r="AB1920">
        <v>-74.164618</v>
      </c>
      <c r="AD1920" t="s">
        <v>10840</v>
      </c>
      <c r="AF1920" t="s">
        <v>10844</v>
      </c>
      <c r="AG1920" t="s">
        <v>10859</v>
      </c>
      <c r="AH1920" t="s">
        <v>10864</v>
      </c>
      <c r="AI1920">
        <v>285</v>
      </c>
      <c r="AJ1920" t="s">
        <v>10208</v>
      </c>
      <c r="AL1920">
        <v>4</v>
      </c>
      <c r="AM1920" t="s">
        <v>10883</v>
      </c>
      <c r="AN1920" t="s">
        <v>10928</v>
      </c>
      <c r="AO1920" t="s">
        <v>10999</v>
      </c>
      <c r="AP1920" t="s">
        <v>11063</v>
      </c>
      <c r="AR1920" t="s">
        <v>11267</v>
      </c>
      <c r="AS1920" t="s">
        <v>11593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</row>
    <row r="1921" spans="1:59">
      <c r="A1921" s="1">
        <f>HYPERLINK("https://lsnyc.legalserver.org/matter/dynamic-profile/view/1905822","19-1905822")</f>
        <v>0</v>
      </c>
      <c r="B1921" t="s">
        <v>534</v>
      </c>
      <c r="C1921" t="s">
        <v>6460</v>
      </c>
      <c r="D1921" t="s">
        <v>9941</v>
      </c>
      <c r="E1921" t="s">
        <v>10075</v>
      </c>
      <c r="F1921">
        <v>11427</v>
      </c>
      <c r="G1921" t="s">
        <v>10092</v>
      </c>
      <c r="H1921" t="s">
        <v>10134</v>
      </c>
      <c r="I1921" t="s">
        <v>10168</v>
      </c>
      <c r="J1921" t="s">
        <v>10212</v>
      </c>
      <c r="K1921" t="s">
        <v>10217</v>
      </c>
      <c r="M1921" t="s">
        <v>10335</v>
      </c>
      <c r="N1921" t="s">
        <v>10695</v>
      </c>
      <c r="P1921" t="s">
        <v>10749</v>
      </c>
      <c r="Q1921" t="s">
        <v>10765</v>
      </c>
      <c r="R1921" t="s">
        <v>10825</v>
      </c>
      <c r="T1921">
        <v>2366</v>
      </c>
      <c r="U1921">
        <v>197.17</v>
      </c>
      <c r="V1921">
        <v>58</v>
      </c>
      <c r="W1921">
        <v>1</v>
      </c>
      <c r="X1921">
        <v>0</v>
      </c>
      <c r="Z1921">
        <v>18.94</v>
      </c>
      <c r="AA1921">
        <v>40.737197</v>
      </c>
      <c r="AB1921">
        <v>-73.736237</v>
      </c>
      <c r="AD1921" t="s">
        <v>10839</v>
      </c>
      <c r="AG1921" t="s">
        <v>10858</v>
      </c>
      <c r="AH1921" t="s">
        <v>10862</v>
      </c>
      <c r="AI1921">
        <v>237</v>
      </c>
      <c r="AJ1921" t="s">
        <v>10212</v>
      </c>
      <c r="AK1921" t="s">
        <v>10838</v>
      </c>
      <c r="AL1921">
        <v>1.55</v>
      </c>
      <c r="AM1921" t="s">
        <v>10895</v>
      </c>
      <c r="AN1921" t="s">
        <v>10944</v>
      </c>
      <c r="AO1921" t="s">
        <v>11022</v>
      </c>
      <c r="AP1921" t="s">
        <v>11078</v>
      </c>
      <c r="AQ1921" t="s">
        <v>11101</v>
      </c>
      <c r="AR1921" t="s">
        <v>11306</v>
      </c>
      <c r="AS1921" t="s">
        <v>11594</v>
      </c>
      <c r="AX1921" t="s">
        <v>10838</v>
      </c>
      <c r="BA1921" t="s">
        <v>11741</v>
      </c>
      <c r="BB1921">
        <v>0</v>
      </c>
      <c r="BC1921">
        <v>0</v>
      </c>
      <c r="BD1921">
        <v>0</v>
      </c>
      <c r="BE1921">
        <v>0</v>
      </c>
      <c r="BF1921">
        <v>1</v>
      </c>
      <c r="BG1921">
        <v>0</v>
      </c>
    </row>
    <row r="1922" spans="1:59">
      <c r="A1922" s="1">
        <f>HYPERLINK("https://lsnyc.legalserver.org/matter/dynamic-profile/view/1905823","19-1905823")</f>
        <v>0</v>
      </c>
      <c r="B1922" t="s">
        <v>1658</v>
      </c>
      <c r="C1922" t="s">
        <v>6461</v>
      </c>
      <c r="D1922" t="s">
        <v>9928</v>
      </c>
      <c r="E1922" t="s">
        <v>10075</v>
      </c>
      <c r="F1922">
        <v>11207</v>
      </c>
      <c r="G1922" t="s">
        <v>10091</v>
      </c>
      <c r="H1922" t="s">
        <v>10134</v>
      </c>
      <c r="I1922" t="s">
        <v>10168</v>
      </c>
      <c r="J1922" t="s">
        <v>10214</v>
      </c>
      <c r="K1922" t="s">
        <v>10217</v>
      </c>
      <c r="M1922" t="s">
        <v>10537</v>
      </c>
      <c r="N1922" t="s">
        <v>10673</v>
      </c>
      <c r="P1922" t="s">
        <v>10753</v>
      </c>
      <c r="Q1922" t="s">
        <v>10763</v>
      </c>
      <c r="R1922" t="s">
        <v>10824</v>
      </c>
      <c r="T1922">
        <v>0</v>
      </c>
      <c r="U1922">
        <v>0</v>
      </c>
      <c r="V1922">
        <v>32</v>
      </c>
      <c r="W1922">
        <v>1</v>
      </c>
      <c r="X1922">
        <v>0</v>
      </c>
      <c r="Z1922">
        <v>0</v>
      </c>
      <c r="AA1922">
        <v>40.678513</v>
      </c>
      <c r="AB1922">
        <v>-73.891086</v>
      </c>
      <c r="AD1922" t="s">
        <v>10840</v>
      </c>
      <c r="AF1922" t="s">
        <v>10842</v>
      </c>
      <c r="AG1922" t="s">
        <v>10859</v>
      </c>
      <c r="AH1922" t="s">
        <v>10861</v>
      </c>
      <c r="AI1922">
        <v>234</v>
      </c>
      <c r="AJ1922" t="s">
        <v>10214</v>
      </c>
      <c r="AL1922">
        <v>1.85</v>
      </c>
      <c r="AM1922" t="s">
        <v>10886</v>
      </c>
      <c r="AN1922" t="s">
        <v>10920</v>
      </c>
      <c r="AO1922" t="s">
        <v>11011</v>
      </c>
      <c r="AP1922" t="s">
        <v>11058</v>
      </c>
      <c r="AR1922" t="s">
        <v>11267</v>
      </c>
      <c r="AS1922" t="s">
        <v>11595</v>
      </c>
      <c r="AT1922" t="s">
        <v>11642</v>
      </c>
      <c r="AX1922" t="s">
        <v>10837</v>
      </c>
      <c r="BA1922" t="s">
        <v>11742</v>
      </c>
      <c r="BB1922">
        <v>0</v>
      </c>
      <c r="BC1922">
        <v>0</v>
      </c>
      <c r="BD1922">
        <v>0</v>
      </c>
      <c r="BE1922">
        <v>0</v>
      </c>
      <c r="BF1922">
        <v>7</v>
      </c>
      <c r="BG1922">
        <v>0</v>
      </c>
    </row>
    <row r="1923" spans="1:59">
      <c r="A1923" s="1">
        <f>HYPERLINK("https://lsnyc.legalserver.org/matter/dynamic-profile/view/1905824","19-1905824")</f>
        <v>0</v>
      </c>
      <c r="B1923" t="s">
        <v>1659</v>
      </c>
      <c r="C1923" t="s">
        <v>5085</v>
      </c>
      <c r="D1923" t="s">
        <v>9929</v>
      </c>
      <c r="E1923" t="s">
        <v>10075</v>
      </c>
      <c r="F1923">
        <v>10302</v>
      </c>
      <c r="G1923" t="s">
        <v>10088</v>
      </c>
      <c r="H1923" t="s">
        <v>10134</v>
      </c>
      <c r="I1923" t="s">
        <v>10168</v>
      </c>
      <c r="J1923" t="s">
        <v>10208</v>
      </c>
      <c r="K1923" t="s">
        <v>10217</v>
      </c>
      <c r="M1923" t="s">
        <v>10259</v>
      </c>
      <c r="N1923" t="s">
        <v>10655</v>
      </c>
      <c r="P1923" t="s">
        <v>10749</v>
      </c>
      <c r="Q1923" t="s">
        <v>10765</v>
      </c>
      <c r="R1923" t="s">
        <v>10824</v>
      </c>
      <c r="T1923">
        <v>48880</v>
      </c>
      <c r="U1923">
        <v>4073.33</v>
      </c>
      <c r="V1923">
        <v>49</v>
      </c>
      <c r="W1923">
        <v>2</v>
      </c>
      <c r="X1923">
        <v>2</v>
      </c>
      <c r="Z1923">
        <v>189.83</v>
      </c>
      <c r="AA1923">
        <v>40.629395</v>
      </c>
      <c r="AB1923">
        <v>-74.14404399999999</v>
      </c>
      <c r="AD1923" t="s">
        <v>10840</v>
      </c>
      <c r="AG1923" t="s">
        <v>10858</v>
      </c>
      <c r="AH1923" t="s">
        <v>10862</v>
      </c>
      <c r="AI1923">
        <v>285</v>
      </c>
      <c r="AJ1923" t="s">
        <v>10208</v>
      </c>
      <c r="AL1923">
        <v>5.8</v>
      </c>
      <c r="AM1923" t="s">
        <v>10883</v>
      </c>
      <c r="AN1923" t="s">
        <v>10913</v>
      </c>
      <c r="AO1923" t="s">
        <v>11006</v>
      </c>
      <c r="AP1923" t="s">
        <v>11051</v>
      </c>
      <c r="AR1923" t="s">
        <v>11257</v>
      </c>
      <c r="AS1923" t="s">
        <v>11593</v>
      </c>
      <c r="BA1923" t="s">
        <v>11738</v>
      </c>
      <c r="BB1923">
        <v>0</v>
      </c>
      <c r="BC1923">
        <v>0</v>
      </c>
      <c r="BD1923">
        <v>0</v>
      </c>
      <c r="BE1923">
        <v>0</v>
      </c>
      <c r="BF1923">
        <v>5</v>
      </c>
      <c r="BG1923">
        <v>0</v>
      </c>
    </row>
    <row r="1924" spans="1:59">
      <c r="A1924" s="1">
        <f>HYPERLINK("https://lsnyc.legalserver.org/matter/dynamic-profile/view/1905825","19-1905825")</f>
        <v>0</v>
      </c>
      <c r="B1924" t="s">
        <v>1660</v>
      </c>
      <c r="C1924" t="s">
        <v>6462</v>
      </c>
      <c r="D1924" t="s">
        <v>9928</v>
      </c>
      <c r="E1924" t="s">
        <v>10075</v>
      </c>
      <c r="F1924">
        <v>11204</v>
      </c>
      <c r="G1924" t="s">
        <v>10093</v>
      </c>
      <c r="H1924" t="s">
        <v>10134</v>
      </c>
      <c r="I1924" t="s">
        <v>10168</v>
      </c>
      <c r="J1924" t="s">
        <v>10213</v>
      </c>
      <c r="K1924" t="s">
        <v>10218</v>
      </c>
      <c r="L1924" t="s">
        <v>10140</v>
      </c>
      <c r="M1924" t="s">
        <v>10317</v>
      </c>
      <c r="N1924" t="s">
        <v>10671</v>
      </c>
      <c r="P1924" t="s">
        <v>10751</v>
      </c>
      <c r="Q1924" t="s">
        <v>10761</v>
      </c>
      <c r="R1924" t="s">
        <v>10821</v>
      </c>
      <c r="T1924">
        <v>0</v>
      </c>
      <c r="U1924">
        <v>0</v>
      </c>
      <c r="V1924">
        <v>53</v>
      </c>
      <c r="W1924">
        <v>1</v>
      </c>
      <c r="X1924">
        <v>0</v>
      </c>
      <c r="Y1924" t="s">
        <v>10829</v>
      </c>
      <c r="Z1924">
        <v>0</v>
      </c>
      <c r="AA1924">
        <v>40.619287</v>
      </c>
      <c r="AB1924">
        <v>-73.99699699999999</v>
      </c>
      <c r="AD1924" t="s">
        <v>10839</v>
      </c>
      <c r="AG1924" t="s">
        <v>10858</v>
      </c>
      <c r="AH1924" t="s">
        <v>10861</v>
      </c>
      <c r="AI1924">
        <v>234</v>
      </c>
      <c r="AJ1924" t="s">
        <v>10214</v>
      </c>
      <c r="AK1924" t="s">
        <v>10882</v>
      </c>
      <c r="AL1924">
        <v>3</v>
      </c>
      <c r="AM1924" t="s">
        <v>10894</v>
      </c>
      <c r="AN1924" t="s">
        <v>10974</v>
      </c>
      <c r="AO1924" t="s">
        <v>11023</v>
      </c>
      <c r="AP1924" t="s">
        <v>11086</v>
      </c>
      <c r="AR1924" t="s">
        <v>11267</v>
      </c>
      <c r="AS1924" t="s">
        <v>11595</v>
      </c>
      <c r="AT1924" t="s">
        <v>11641</v>
      </c>
      <c r="AX1924" t="s">
        <v>10838</v>
      </c>
      <c r="AY1924" t="s">
        <v>10829</v>
      </c>
      <c r="AZ1924" t="s">
        <v>11682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</row>
    <row r="1925" spans="1:59">
      <c r="A1925" s="1">
        <f>HYPERLINK("https://lsnyc.legalserver.org/matter/dynamic-profile/view/1905826","19-1905826")</f>
        <v>0</v>
      </c>
      <c r="B1925" t="s">
        <v>1661</v>
      </c>
      <c r="C1925" t="s">
        <v>6451</v>
      </c>
      <c r="D1925" t="s">
        <v>9928</v>
      </c>
      <c r="E1925" t="s">
        <v>10075</v>
      </c>
      <c r="F1925">
        <v>11212</v>
      </c>
      <c r="G1925" t="s">
        <v>10093</v>
      </c>
      <c r="H1925" t="s">
        <v>10134</v>
      </c>
      <c r="I1925" t="s">
        <v>10168</v>
      </c>
      <c r="J1925" t="s">
        <v>10213</v>
      </c>
      <c r="K1925" t="s">
        <v>10217</v>
      </c>
      <c r="M1925" t="s">
        <v>10551</v>
      </c>
      <c r="N1925" t="s">
        <v>10650</v>
      </c>
      <c r="P1925" t="s">
        <v>10749</v>
      </c>
      <c r="Q1925" t="s">
        <v>10769</v>
      </c>
      <c r="R1925" t="s">
        <v>10825</v>
      </c>
      <c r="T1925">
        <v>2028</v>
      </c>
      <c r="U1925">
        <v>169</v>
      </c>
      <c r="V1925">
        <v>61</v>
      </c>
      <c r="W1925">
        <v>1</v>
      </c>
      <c r="X1925">
        <v>0</v>
      </c>
      <c r="Z1925">
        <v>16.24</v>
      </c>
      <c r="AA1925">
        <v>40.673262</v>
      </c>
      <c r="AB1925">
        <v>-73.90745200000001</v>
      </c>
      <c r="AD1925" t="s">
        <v>10839</v>
      </c>
      <c r="AG1925" t="s">
        <v>10858</v>
      </c>
      <c r="AH1925" t="s">
        <v>10862</v>
      </c>
      <c r="AI1925">
        <v>239</v>
      </c>
      <c r="AJ1925" t="s">
        <v>10213</v>
      </c>
      <c r="AL1925">
        <v>0</v>
      </c>
      <c r="AM1925" t="s">
        <v>10889</v>
      </c>
      <c r="AN1925" t="s">
        <v>10922</v>
      </c>
      <c r="AO1925" t="s">
        <v>11012</v>
      </c>
      <c r="AP1925" t="s">
        <v>11058</v>
      </c>
      <c r="AR1925" t="s">
        <v>11260</v>
      </c>
      <c r="AS1925" t="s">
        <v>11595</v>
      </c>
      <c r="AT1925" t="s">
        <v>10822</v>
      </c>
      <c r="AX1925" t="s">
        <v>11678</v>
      </c>
      <c r="BA1925" t="s">
        <v>11740</v>
      </c>
      <c r="BB1925">
        <v>0</v>
      </c>
      <c r="BC1925">
        <v>0</v>
      </c>
      <c r="BD1925">
        <v>0</v>
      </c>
      <c r="BE1925">
        <v>0</v>
      </c>
      <c r="BF1925">
        <v>2</v>
      </c>
      <c r="BG1925">
        <v>0</v>
      </c>
    </row>
    <row r="1926" spans="1:59">
      <c r="A1926" s="1">
        <f>HYPERLINK("https://lsnyc.legalserver.org/matter/dynamic-profile/view/1905827","19-1905827")</f>
        <v>0</v>
      </c>
      <c r="B1926" t="s">
        <v>1662</v>
      </c>
      <c r="C1926" t="s">
        <v>6463</v>
      </c>
      <c r="D1926" t="s">
        <v>9928</v>
      </c>
      <c r="E1926" t="s">
        <v>10075</v>
      </c>
      <c r="F1926">
        <v>11233</v>
      </c>
      <c r="G1926" t="s">
        <v>10093</v>
      </c>
      <c r="H1926" t="s">
        <v>10134</v>
      </c>
      <c r="I1926" t="s">
        <v>10168</v>
      </c>
      <c r="J1926" t="s">
        <v>10213</v>
      </c>
      <c r="K1926" t="s">
        <v>10217</v>
      </c>
      <c r="M1926" t="s">
        <v>10392</v>
      </c>
      <c r="N1926" t="s">
        <v>10650</v>
      </c>
      <c r="P1926" t="s">
        <v>10749</v>
      </c>
      <c r="Q1926" t="s">
        <v>10769</v>
      </c>
      <c r="R1926" t="s">
        <v>10822</v>
      </c>
      <c r="T1926">
        <v>6600</v>
      </c>
      <c r="U1926">
        <v>550</v>
      </c>
      <c r="V1926">
        <v>65</v>
      </c>
      <c r="W1926">
        <v>3</v>
      </c>
      <c r="X1926">
        <v>0</v>
      </c>
      <c r="Z1926">
        <v>30.94</v>
      </c>
      <c r="AA1926">
        <v>40.684733</v>
      </c>
      <c r="AB1926">
        <v>-73.925764</v>
      </c>
      <c r="AD1926" t="s">
        <v>10822</v>
      </c>
      <c r="AG1926" t="s">
        <v>10858</v>
      </c>
      <c r="AH1926" t="s">
        <v>10862</v>
      </c>
      <c r="AI1926">
        <v>239</v>
      </c>
      <c r="AJ1926" t="s">
        <v>10213</v>
      </c>
      <c r="AL1926">
        <v>0</v>
      </c>
      <c r="AM1926" t="s">
        <v>10889</v>
      </c>
      <c r="AN1926" t="s">
        <v>10914</v>
      </c>
      <c r="AO1926" t="s">
        <v>11007</v>
      </c>
      <c r="AP1926" t="s">
        <v>11064</v>
      </c>
      <c r="AR1926" t="s">
        <v>11257</v>
      </c>
      <c r="AS1926" t="s">
        <v>11595</v>
      </c>
      <c r="BA1926" t="s">
        <v>11740</v>
      </c>
      <c r="BB1926">
        <v>0</v>
      </c>
      <c r="BC1926">
        <v>0</v>
      </c>
      <c r="BD1926">
        <v>0</v>
      </c>
      <c r="BE1926">
        <v>0</v>
      </c>
      <c r="BF1926">
        <v>2</v>
      </c>
      <c r="BG1926">
        <v>0</v>
      </c>
    </row>
    <row r="1927" spans="1:59">
      <c r="A1927" s="1">
        <f>HYPERLINK("https://lsnyc.legalserver.org/matter/dynamic-profile/view/1905828","19-1905828")</f>
        <v>0</v>
      </c>
      <c r="B1927" t="s">
        <v>1663</v>
      </c>
      <c r="C1927" t="s">
        <v>6464</v>
      </c>
      <c r="D1927" t="s">
        <v>9926</v>
      </c>
      <c r="E1927" t="s">
        <v>10075</v>
      </c>
      <c r="F1927">
        <v>10469</v>
      </c>
      <c r="G1927" t="s">
        <v>10090</v>
      </c>
      <c r="H1927" t="s">
        <v>10134</v>
      </c>
      <c r="I1927" t="s">
        <v>10168</v>
      </c>
      <c r="J1927" t="s">
        <v>10210</v>
      </c>
      <c r="K1927" t="s">
        <v>10217</v>
      </c>
      <c r="M1927" t="s">
        <v>10482</v>
      </c>
      <c r="N1927" t="s">
        <v>10658</v>
      </c>
      <c r="P1927" t="s">
        <v>10749</v>
      </c>
      <c r="Q1927" t="s">
        <v>10769</v>
      </c>
      <c r="R1927" t="s">
        <v>10824</v>
      </c>
      <c r="T1927">
        <v>41289.6</v>
      </c>
      <c r="U1927">
        <v>3440.8</v>
      </c>
      <c r="V1927">
        <v>54</v>
      </c>
      <c r="W1927">
        <v>1</v>
      </c>
      <c r="X1927">
        <v>0</v>
      </c>
      <c r="Z1927">
        <v>330.58</v>
      </c>
      <c r="AA1927">
        <v>40.870279</v>
      </c>
      <c r="AB1927">
        <v>-73.84105599999999</v>
      </c>
      <c r="AD1927" t="s">
        <v>10839</v>
      </c>
      <c r="AG1927" t="s">
        <v>10858</v>
      </c>
      <c r="AH1927" t="s">
        <v>10860</v>
      </c>
      <c r="AI1927">
        <v>230</v>
      </c>
      <c r="AJ1927" t="s">
        <v>10210</v>
      </c>
      <c r="AL1927">
        <v>15.75</v>
      </c>
      <c r="AM1927" t="s">
        <v>10893</v>
      </c>
      <c r="AN1927" t="s">
        <v>10956</v>
      </c>
      <c r="AO1927" t="s">
        <v>11010</v>
      </c>
      <c r="AP1927" t="s">
        <v>11085</v>
      </c>
      <c r="AQ1927" t="s">
        <v>11199</v>
      </c>
      <c r="AR1927" t="s">
        <v>11356</v>
      </c>
      <c r="AS1927" t="s">
        <v>9926</v>
      </c>
      <c r="AT1927" t="s">
        <v>11641</v>
      </c>
      <c r="AX1927" t="s">
        <v>10838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</row>
    <row r="1928" spans="1:59">
      <c r="A1928" s="1">
        <f>HYPERLINK("https://lsnyc.legalserver.org/matter/dynamic-profile/view/1905829","19-1905829")</f>
        <v>0</v>
      </c>
      <c r="B1928" t="s">
        <v>1664</v>
      </c>
      <c r="C1928" t="s">
        <v>6465</v>
      </c>
      <c r="D1928" t="s">
        <v>9928</v>
      </c>
      <c r="E1928" t="s">
        <v>10075</v>
      </c>
      <c r="F1928">
        <v>11230</v>
      </c>
      <c r="G1928" t="s">
        <v>10091</v>
      </c>
      <c r="H1928" t="s">
        <v>10134</v>
      </c>
      <c r="I1928" t="s">
        <v>10168</v>
      </c>
      <c r="J1928" t="s">
        <v>10211</v>
      </c>
      <c r="K1928" t="s">
        <v>10217</v>
      </c>
      <c r="M1928" t="s">
        <v>10307</v>
      </c>
      <c r="N1928" t="s">
        <v>10671</v>
      </c>
      <c r="P1928" t="s">
        <v>10752</v>
      </c>
      <c r="Q1928" t="s">
        <v>10762</v>
      </c>
      <c r="R1928" t="s">
        <v>10820</v>
      </c>
      <c r="T1928">
        <v>26000</v>
      </c>
      <c r="U1928">
        <v>2166.67</v>
      </c>
      <c r="V1928">
        <v>60</v>
      </c>
      <c r="W1928">
        <v>2</v>
      </c>
      <c r="X1928">
        <v>1</v>
      </c>
      <c r="Z1928">
        <v>121.89</v>
      </c>
      <c r="AA1928">
        <v>40.610801</v>
      </c>
      <c r="AB1928">
        <v>-73.95989400000001</v>
      </c>
      <c r="AD1928" t="s">
        <v>10840</v>
      </c>
      <c r="AF1928" t="s">
        <v>10843</v>
      </c>
      <c r="AG1928" t="s">
        <v>10859</v>
      </c>
      <c r="AH1928" t="s">
        <v>10861</v>
      </c>
      <c r="AI1928">
        <v>234</v>
      </c>
      <c r="AJ1928" t="s">
        <v>10214</v>
      </c>
      <c r="AL1928">
        <v>0.5</v>
      </c>
      <c r="AM1928" t="s">
        <v>10888</v>
      </c>
      <c r="AN1928" t="s">
        <v>10965</v>
      </c>
      <c r="AO1928" t="s">
        <v>11015</v>
      </c>
      <c r="AP1928" t="s">
        <v>11092</v>
      </c>
      <c r="AR1928" t="s">
        <v>11257</v>
      </c>
      <c r="AS1928" t="s">
        <v>11595</v>
      </c>
      <c r="AT1928" t="s">
        <v>11642</v>
      </c>
      <c r="AX1928" t="s">
        <v>10838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</row>
    <row r="1929" spans="1:59">
      <c r="A1929" s="1">
        <f>HYPERLINK("https://lsnyc.legalserver.org/matter/dynamic-profile/view/1905830","19-1905830")</f>
        <v>0</v>
      </c>
      <c r="B1929" t="s">
        <v>1665</v>
      </c>
      <c r="C1929" t="s">
        <v>6466</v>
      </c>
      <c r="D1929" t="s">
        <v>9928</v>
      </c>
      <c r="E1929" t="s">
        <v>10075</v>
      </c>
      <c r="F1929">
        <v>11221</v>
      </c>
      <c r="G1929" t="s">
        <v>10093</v>
      </c>
      <c r="H1929" t="s">
        <v>10134</v>
      </c>
      <c r="I1929" t="s">
        <v>10168</v>
      </c>
      <c r="J1929" t="s">
        <v>10213</v>
      </c>
      <c r="K1929" t="s">
        <v>10217</v>
      </c>
      <c r="M1929" t="s">
        <v>10392</v>
      </c>
      <c r="N1929" t="s">
        <v>10650</v>
      </c>
      <c r="P1929" t="s">
        <v>10749</v>
      </c>
      <c r="Q1929" t="s">
        <v>10769</v>
      </c>
      <c r="R1929" t="s">
        <v>10824</v>
      </c>
      <c r="T1929">
        <v>31200</v>
      </c>
      <c r="U1929">
        <v>2600</v>
      </c>
      <c r="V1929">
        <v>63</v>
      </c>
      <c r="W1929">
        <v>2</v>
      </c>
      <c r="X1929">
        <v>0</v>
      </c>
      <c r="Z1929">
        <v>184.51</v>
      </c>
      <c r="AA1929">
        <v>40.690755</v>
      </c>
      <c r="AB1929">
        <v>-73.92828299999999</v>
      </c>
      <c r="AD1929" t="s">
        <v>10840</v>
      </c>
      <c r="AG1929" t="s">
        <v>10858</v>
      </c>
      <c r="AH1929" t="s">
        <v>10862</v>
      </c>
      <c r="AI1929">
        <v>239</v>
      </c>
      <c r="AJ1929" t="s">
        <v>10213</v>
      </c>
      <c r="AL1929">
        <v>3</v>
      </c>
      <c r="AM1929" t="s">
        <v>10889</v>
      </c>
      <c r="AN1929" t="s">
        <v>10914</v>
      </c>
      <c r="AO1929" t="s">
        <v>11007</v>
      </c>
      <c r="AP1929" t="s">
        <v>11052</v>
      </c>
      <c r="AR1929" t="s">
        <v>11257</v>
      </c>
      <c r="AS1929" t="s">
        <v>11595</v>
      </c>
      <c r="AT1929" t="s">
        <v>11642</v>
      </c>
      <c r="BA1929" t="s">
        <v>11740</v>
      </c>
      <c r="BB1929">
        <v>0</v>
      </c>
      <c r="BC1929">
        <v>0</v>
      </c>
      <c r="BD1929">
        <v>0</v>
      </c>
      <c r="BE1929">
        <v>0</v>
      </c>
      <c r="BF1929">
        <v>2</v>
      </c>
      <c r="BG1929">
        <v>0</v>
      </c>
    </row>
    <row r="1930" spans="1:59">
      <c r="A1930" s="1">
        <f>HYPERLINK("https://lsnyc.legalserver.org/matter/dynamic-profile/view/1905831","19-1905831")</f>
        <v>0</v>
      </c>
      <c r="B1930" t="s">
        <v>1661</v>
      </c>
      <c r="C1930" t="s">
        <v>6451</v>
      </c>
      <c r="D1930" t="s">
        <v>9928</v>
      </c>
      <c r="E1930" t="s">
        <v>10075</v>
      </c>
      <c r="F1930">
        <v>11212</v>
      </c>
      <c r="G1930" t="s">
        <v>10093</v>
      </c>
      <c r="H1930" t="s">
        <v>10134</v>
      </c>
      <c r="I1930" t="s">
        <v>10168</v>
      </c>
      <c r="J1930" t="s">
        <v>10213</v>
      </c>
      <c r="K1930" t="s">
        <v>10217</v>
      </c>
      <c r="M1930" t="s">
        <v>10551</v>
      </c>
      <c r="N1930" t="s">
        <v>10650</v>
      </c>
      <c r="P1930" t="s">
        <v>10749</v>
      </c>
      <c r="Q1930" t="s">
        <v>10765</v>
      </c>
      <c r="R1930" t="s">
        <v>10825</v>
      </c>
      <c r="T1930">
        <v>2028</v>
      </c>
      <c r="U1930">
        <v>169</v>
      </c>
      <c r="V1930">
        <v>61</v>
      </c>
      <c r="W1930">
        <v>1</v>
      </c>
      <c r="X1930">
        <v>0</v>
      </c>
      <c r="Z1930">
        <v>16.24</v>
      </c>
      <c r="AA1930">
        <v>40.673262</v>
      </c>
      <c r="AB1930">
        <v>-73.90745200000001</v>
      </c>
      <c r="AD1930" t="s">
        <v>10839</v>
      </c>
      <c r="AG1930" t="s">
        <v>10858</v>
      </c>
      <c r="AH1930" t="s">
        <v>10862</v>
      </c>
      <c r="AI1930">
        <v>239</v>
      </c>
      <c r="AJ1930" t="s">
        <v>10213</v>
      </c>
      <c r="AL1930">
        <v>0.7</v>
      </c>
      <c r="AQ1930" t="s">
        <v>11101</v>
      </c>
      <c r="AR1930" t="s">
        <v>11260</v>
      </c>
      <c r="AS1930" t="s">
        <v>11595</v>
      </c>
      <c r="BA1930" t="s">
        <v>11738</v>
      </c>
      <c r="BB1930">
        <v>0</v>
      </c>
      <c r="BC1930">
        <v>0</v>
      </c>
      <c r="BD1930">
        <v>0</v>
      </c>
      <c r="BE1930">
        <v>0</v>
      </c>
      <c r="BF1930">
        <v>5</v>
      </c>
      <c r="BG1930">
        <v>0</v>
      </c>
    </row>
    <row r="1931" spans="1:59">
      <c r="A1931" s="1">
        <f>HYPERLINK("https://lsnyc.legalserver.org/matter/dynamic-profile/view/1905832","19-1905832")</f>
        <v>0</v>
      </c>
      <c r="B1931" t="s">
        <v>1655</v>
      </c>
      <c r="C1931" t="s">
        <v>6459</v>
      </c>
      <c r="D1931" t="s">
        <v>9949</v>
      </c>
      <c r="E1931" t="s">
        <v>10075</v>
      </c>
      <c r="F1931">
        <v>11413</v>
      </c>
      <c r="G1931" t="s">
        <v>10092</v>
      </c>
      <c r="H1931" t="s">
        <v>10134</v>
      </c>
      <c r="I1931" t="s">
        <v>10168</v>
      </c>
      <c r="J1931" t="s">
        <v>10212</v>
      </c>
      <c r="K1931" t="s">
        <v>10217</v>
      </c>
      <c r="M1931" t="s">
        <v>10318</v>
      </c>
      <c r="N1931" t="s">
        <v>10684</v>
      </c>
      <c r="P1931" t="s">
        <v>10751</v>
      </c>
      <c r="Q1931" t="s">
        <v>10786</v>
      </c>
      <c r="R1931" t="s">
        <v>10824</v>
      </c>
      <c r="T1931">
        <v>13000</v>
      </c>
      <c r="U1931">
        <v>1083.33</v>
      </c>
      <c r="V1931">
        <v>21</v>
      </c>
      <c r="W1931">
        <v>1</v>
      </c>
      <c r="X1931">
        <v>0</v>
      </c>
      <c r="Z1931">
        <v>104.08</v>
      </c>
      <c r="AA1931">
        <v>40.667609</v>
      </c>
      <c r="AB1931">
        <v>-73.761847</v>
      </c>
      <c r="AD1931" t="s">
        <v>10840</v>
      </c>
      <c r="AG1931" t="s">
        <v>10858</v>
      </c>
      <c r="AH1931" t="s">
        <v>10871</v>
      </c>
      <c r="AI1931">
        <v>234</v>
      </c>
      <c r="AJ1931" t="s">
        <v>10214</v>
      </c>
      <c r="AL1931">
        <v>2.65</v>
      </c>
      <c r="AR1931" t="s">
        <v>11257</v>
      </c>
      <c r="AS1931" t="s">
        <v>11594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</row>
    <row r="1932" spans="1:59">
      <c r="A1932" s="1">
        <f>HYPERLINK("https://lsnyc.legalserver.org/matter/dynamic-profile/view/1905833","19-1905833")</f>
        <v>0</v>
      </c>
      <c r="B1932" t="s">
        <v>1666</v>
      </c>
      <c r="C1932" t="s">
        <v>6467</v>
      </c>
      <c r="D1932" t="s">
        <v>9925</v>
      </c>
      <c r="E1932" t="s">
        <v>10075</v>
      </c>
      <c r="F1932">
        <v>10027</v>
      </c>
      <c r="G1932" t="s">
        <v>10089</v>
      </c>
      <c r="H1932" t="s">
        <v>10134</v>
      </c>
      <c r="I1932" t="s">
        <v>10169</v>
      </c>
      <c r="J1932" t="s">
        <v>10209</v>
      </c>
      <c r="K1932" t="s">
        <v>10218</v>
      </c>
      <c r="L1932" t="s">
        <v>10134</v>
      </c>
      <c r="M1932" t="s">
        <v>10266</v>
      </c>
      <c r="N1932" t="s">
        <v>10673</v>
      </c>
      <c r="P1932" t="s">
        <v>10753</v>
      </c>
      <c r="Q1932" t="s">
        <v>10763</v>
      </c>
      <c r="R1932" t="s">
        <v>10821</v>
      </c>
      <c r="T1932">
        <v>0</v>
      </c>
      <c r="U1932">
        <v>0</v>
      </c>
      <c r="V1932">
        <v>67</v>
      </c>
      <c r="W1932">
        <v>1</v>
      </c>
      <c r="X1932">
        <v>0</v>
      </c>
      <c r="Y1932" t="s">
        <v>10833</v>
      </c>
      <c r="Z1932">
        <v>0</v>
      </c>
      <c r="AA1932">
        <v>40.807514</v>
      </c>
      <c r="AB1932">
        <v>-73.95134299999999</v>
      </c>
      <c r="AD1932" t="s">
        <v>10839</v>
      </c>
      <c r="AF1932" t="s">
        <v>10843</v>
      </c>
      <c r="AG1932" t="s">
        <v>10859</v>
      </c>
      <c r="AH1932" t="s">
        <v>10864</v>
      </c>
      <c r="AI1932">
        <v>236</v>
      </c>
      <c r="AJ1932" t="s">
        <v>10209</v>
      </c>
      <c r="AK1932" t="s">
        <v>10882</v>
      </c>
      <c r="AL1932">
        <v>0.5</v>
      </c>
      <c r="AM1932" t="s">
        <v>10887</v>
      </c>
      <c r="AN1932" t="s">
        <v>10936</v>
      </c>
      <c r="AO1932" t="s">
        <v>11016</v>
      </c>
      <c r="AP1932" t="s">
        <v>11076</v>
      </c>
      <c r="AQ1932" t="s">
        <v>11200</v>
      </c>
      <c r="AR1932" t="s">
        <v>11267</v>
      </c>
      <c r="AS1932" t="s">
        <v>9925</v>
      </c>
      <c r="AY1932" t="s">
        <v>10833</v>
      </c>
      <c r="AZ1932" t="s">
        <v>11689</v>
      </c>
      <c r="BA1932" t="s">
        <v>11739</v>
      </c>
      <c r="BB1932">
        <v>0</v>
      </c>
      <c r="BC1932">
        <v>0</v>
      </c>
      <c r="BD1932">
        <v>0</v>
      </c>
      <c r="BE1932">
        <v>0</v>
      </c>
      <c r="BF1932">
        <v>4</v>
      </c>
      <c r="BG1932">
        <v>0</v>
      </c>
    </row>
    <row r="1933" spans="1:59">
      <c r="A1933" s="1">
        <f>HYPERLINK("https://lsnyc.legalserver.org/matter/dynamic-profile/view/1905834","19-1905834")</f>
        <v>0</v>
      </c>
      <c r="B1933" t="s">
        <v>1667</v>
      </c>
      <c r="C1933" t="s">
        <v>6468</v>
      </c>
      <c r="D1933" t="s">
        <v>9929</v>
      </c>
      <c r="E1933" t="s">
        <v>10075</v>
      </c>
      <c r="F1933">
        <v>10304</v>
      </c>
      <c r="G1933" t="s">
        <v>10088</v>
      </c>
      <c r="H1933" t="s">
        <v>10121</v>
      </c>
      <c r="I1933" t="s">
        <v>10169</v>
      </c>
      <c r="J1933" t="s">
        <v>10208</v>
      </c>
      <c r="K1933" t="s">
        <v>10217</v>
      </c>
      <c r="M1933" t="s">
        <v>10554</v>
      </c>
      <c r="N1933" t="s">
        <v>10649</v>
      </c>
      <c r="P1933" t="s">
        <v>10753</v>
      </c>
      <c r="Q1933" t="s">
        <v>10763</v>
      </c>
      <c r="R1933" t="s">
        <v>10823</v>
      </c>
      <c r="T1933">
        <v>0</v>
      </c>
      <c r="U1933">
        <v>0</v>
      </c>
      <c r="V1933">
        <v>27</v>
      </c>
      <c r="W1933">
        <v>3</v>
      </c>
      <c r="X1933">
        <v>3</v>
      </c>
      <c r="Z1933">
        <v>0</v>
      </c>
      <c r="AA1933">
        <v>40.618455</v>
      </c>
      <c r="AB1933">
        <v>-74.08290700000001</v>
      </c>
      <c r="AD1933" t="s">
        <v>10839</v>
      </c>
      <c r="AF1933" t="s">
        <v>10844</v>
      </c>
      <c r="AG1933" t="s">
        <v>10859</v>
      </c>
      <c r="AH1933" t="s">
        <v>10864</v>
      </c>
      <c r="AI1933">
        <v>285</v>
      </c>
      <c r="AJ1933" t="s">
        <v>10208</v>
      </c>
      <c r="AL1933">
        <v>1</v>
      </c>
      <c r="AM1933" t="s">
        <v>10883</v>
      </c>
      <c r="AN1933" t="s">
        <v>10913</v>
      </c>
      <c r="AO1933" t="s">
        <v>11006</v>
      </c>
      <c r="AP1933" t="s">
        <v>11051</v>
      </c>
      <c r="AQ1933" t="s">
        <v>11109</v>
      </c>
      <c r="AR1933" t="s">
        <v>11267</v>
      </c>
      <c r="AS1933" t="s">
        <v>11593</v>
      </c>
      <c r="BA1933" t="s">
        <v>11739</v>
      </c>
      <c r="BB1933">
        <v>0</v>
      </c>
      <c r="BC1933">
        <v>0</v>
      </c>
      <c r="BD1933">
        <v>0</v>
      </c>
      <c r="BE1933">
        <v>0</v>
      </c>
      <c r="BF1933">
        <v>4</v>
      </c>
      <c r="BG1933">
        <v>0</v>
      </c>
    </row>
    <row r="1934" spans="1:59">
      <c r="A1934" s="1">
        <f>HYPERLINK("https://lsnyc.legalserver.org/matter/dynamic-profile/view/1905835","19-1905835")</f>
        <v>0</v>
      </c>
      <c r="B1934" t="s">
        <v>1668</v>
      </c>
      <c r="C1934" t="s">
        <v>6469</v>
      </c>
      <c r="D1934" t="s">
        <v>9928</v>
      </c>
      <c r="E1934" t="s">
        <v>10075</v>
      </c>
      <c r="F1934">
        <v>11209</v>
      </c>
      <c r="G1934" t="s">
        <v>10093</v>
      </c>
      <c r="H1934" t="s">
        <v>10134</v>
      </c>
      <c r="J1934" t="s">
        <v>10213</v>
      </c>
      <c r="K1934" t="s">
        <v>10218</v>
      </c>
      <c r="L1934" t="s">
        <v>10129</v>
      </c>
      <c r="M1934" t="s">
        <v>10289</v>
      </c>
      <c r="N1934" t="s">
        <v>10671</v>
      </c>
      <c r="P1934" t="s">
        <v>10751</v>
      </c>
      <c r="Q1934" t="s">
        <v>10761</v>
      </c>
      <c r="R1934" t="s">
        <v>10820</v>
      </c>
      <c r="T1934">
        <v>0</v>
      </c>
      <c r="U1934">
        <v>0</v>
      </c>
      <c r="V1934">
        <v>40</v>
      </c>
      <c r="W1934">
        <v>1</v>
      </c>
      <c r="X1934">
        <v>1</v>
      </c>
      <c r="Y1934" t="s">
        <v>10833</v>
      </c>
      <c r="Z1934">
        <v>0</v>
      </c>
      <c r="AA1934">
        <v>40.623214</v>
      </c>
      <c r="AB1934">
        <v>-74.02762800000001</v>
      </c>
      <c r="AD1934" t="s">
        <v>10839</v>
      </c>
      <c r="AG1934" t="s">
        <v>10858</v>
      </c>
      <c r="AH1934" t="s">
        <v>10874</v>
      </c>
      <c r="AI1934">
        <v>239</v>
      </c>
      <c r="AJ1934" t="s">
        <v>10213</v>
      </c>
      <c r="AK1934" t="s">
        <v>10838</v>
      </c>
      <c r="AL1934">
        <v>2</v>
      </c>
      <c r="AM1934" t="s">
        <v>10883</v>
      </c>
      <c r="AN1934" t="s">
        <v>10960</v>
      </c>
      <c r="AO1934" t="s">
        <v>11023</v>
      </c>
      <c r="AP1934" t="s">
        <v>11086</v>
      </c>
      <c r="AR1934" t="s">
        <v>11279</v>
      </c>
      <c r="AS1934" t="s">
        <v>11595</v>
      </c>
      <c r="AT1934" t="s">
        <v>11641</v>
      </c>
      <c r="AX1934" t="s">
        <v>10838</v>
      </c>
      <c r="AY1934" t="s">
        <v>10833</v>
      </c>
      <c r="AZ1934" t="s">
        <v>11702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</row>
    <row r="1935" spans="1:59">
      <c r="A1935" s="1">
        <f>HYPERLINK("https://lsnyc.legalserver.org/matter/dynamic-profile/view/1905836","19-1905836")</f>
        <v>0</v>
      </c>
      <c r="B1935" t="s">
        <v>1669</v>
      </c>
      <c r="C1935" t="s">
        <v>6470</v>
      </c>
      <c r="D1935" t="s">
        <v>9929</v>
      </c>
      <c r="E1935" t="s">
        <v>10075</v>
      </c>
      <c r="F1935">
        <v>10304</v>
      </c>
      <c r="G1935" t="s">
        <v>10088</v>
      </c>
      <c r="H1935" t="s">
        <v>10121</v>
      </c>
      <c r="I1935" t="s">
        <v>10169</v>
      </c>
      <c r="J1935" t="s">
        <v>10208</v>
      </c>
      <c r="K1935" t="s">
        <v>10217</v>
      </c>
      <c r="M1935" t="s">
        <v>10554</v>
      </c>
      <c r="N1935" t="s">
        <v>10649</v>
      </c>
      <c r="P1935" t="s">
        <v>10753</v>
      </c>
      <c r="Q1935" t="s">
        <v>10763</v>
      </c>
      <c r="R1935" t="s">
        <v>10823</v>
      </c>
      <c r="T1935">
        <v>0</v>
      </c>
      <c r="U1935">
        <v>0</v>
      </c>
      <c r="V1935">
        <v>5</v>
      </c>
      <c r="W1935">
        <v>3</v>
      </c>
      <c r="X1935">
        <v>3</v>
      </c>
      <c r="Z1935">
        <v>0</v>
      </c>
      <c r="AA1935">
        <v>40.624343</v>
      </c>
      <c r="AB1935">
        <v>-74.085213</v>
      </c>
      <c r="AD1935" t="s">
        <v>10840</v>
      </c>
      <c r="AF1935" t="s">
        <v>10844</v>
      </c>
      <c r="AG1935" t="s">
        <v>10859</v>
      </c>
      <c r="AH1935" t="s">
        <v>10864</v>
      </c>
      <c r="AI1935">
        <v>285</v>
      </c>
      <c r="AJ1935" t="s">
        <v>10208</v>
      </c>
      <c r="AL1935">
        <v>1</v>
      </c>
      <c r="AM1935" t="s">
        <v>10883</v>
      </c>
      <c r="AN1935" t="s">
        <v>10913</v>
      </c>
      <c r="AO1935" t="s">
        <v>11006</v>
      </c>
      <c r="AP1935" t="s">
        <v>11051</v>
      </c>
      <c r="AQ1935" t="s">
        <v>11109</v>
      </c>
      <c r="AR1935" t="s">
        <v>11266</v>
      </c>
      <c r="AS1935" t="s">
        <v>11593</v>
      </c>
      <c r="BA1935" t="s">
        <v>11739</v>
      </c>
      <c r="BB1935">
        <v>0</v>
      </c>
      <c r="BC1935">
        <v>0</v>
      </c>
      <c r="BD1935">
        <v>0</v>
      </c>
      <c r="BE1935">
        <v>0</v>
      </c>
      <c r="BF1935">
        <v>4</v>
      </c>
      <c r="BG1935">
        <v>0</v>
      </c>
    </row>
    <row r="1936" spans="1:59">
      <c r="A1936" s="1">
        <f>HYPERLINK("https://lsnyc.legalserver.org/matter/dynamic-profile/view/1905837","19-1905837")</f>
        <v>0</v>
      </c>
      <c r="B1936" t="s">
        <v>292</v>
      </c>
      <c r="C1936" t="s">
        <v>5221</v>
      </c>
      <c r="D1936" t="s">
        <v>9928</v>
      </c>
      <c r="E1936" t="s">
        <v>10075</v>
      </c>
      <c r="F1936">
        <v>11212</v>
      </c>
      <c r="G1936" t="s">
        <v>10093</v>
      </c>
      <c r="H1936" t="s">
        <v>10134</v>
      </c>
      <c r="I1936" t="s">
        <v>10170</v>
      </c>
      <c r="J1936" t="s">
        <v>10213</v>
      </c>
      <c r="K1936" t="s">
        <v>10217</v>
      </c>
      <c r="M1936" t="s">
        <v>10371</v>
      </c>
      <c r="N1936" t="s">
        <v>10650</v>
      </c>
      <c r="P1936" t="s">
        <v>10749</v>
      </c>
      <c r="Q1936" t="s">
        <v>10769</v>
      </c>
      <c r="R1936" t="s">
        <v>10825</v>
      </c>
      <c r="T1936">
        <v>10400</v>
      </c>
      <c r="U1936">
        <v>866.67</v>
      </c>
      <c r="V1936">
        <v>53</v>
      </c>
      <c r="W1936">
        <v>3</v>
      </c>
      <c r="X1936">
        <v>2</v>
      </c>
      <c r="Z1936">
        <v>34.47</v>
      </c>
      <c r="AA1936">
        <v>40.673112</v>
      </c>
      <c r="AB1936">
        <v>-73.907392</v>
      </c>
      <c r="AD1936" t="s">
        <v>10840</v>
      </c>
      <c r="AF1936" t="s">
        <v>10843</v>
      </c>
      <c r="AG1936" t="s">
        <v>10859</v>
      </c>
      <c r="AH1936" t="s">
        <v>10862</v>
      </c>
      <c r="AI1936">
        <v>239</v>
      </c>
      <c r="AJ1936" t="s">
        <v>10213</v>
      </c>
      <c r="AL1936">
        <v>0</v>
      </c>
      <c r="AR1936" t="s">
        <v>11257</v>
      </c>
      <c r="AS1936" t="s">
        <v>11595</v>
      </c>
      <c r="BA1936" t="s">
        <v>11740</v>
      </c>
      <c r="BB1936">
        <v>0</v>
      </c>
      <c r="BC1936">
        <v>0</v>
      </c>
      <c r="BD1936">
        <v>0</v>
      </c>
      <c r="BE1936">
        <v>0</v>
      </c>
      <c r="BF1936">
        <v>2</v>
      </c>
      <c r="BG1936">
        <v>0</v>
      </c>
    </row>
    <row r="1937" spans="1:59">
      <c r="A1937" s="1">
        <f>HYPERLINK("https://lsnyc.legalserver.org/matter/dynamic-profile/view/1905838","19-1905838")</f>
        <v>0</v>
      </c>
      <c r="B1937" t="s">
        <v>1670</v>
      </c>
      <c r="C1937" t="s">
        <v>6471</v>
      </c>
      <c r="D1937" t="s">
        <v>9938</v>
      </c>
      <c r="E1937" t="s">
        <v>10075</v>
      </c>
      <c r="F1937">
        <v>11435</v>
      </c>
      <c r="G1937" t="s">
        <v>10092</v>
      </c>
      <c r="H1937" t="s">
        <v>10134</v>
      </c>
      <c r="I1937" t="s">
        <v>10168</v>
      </c>
      <c r="J1937" t="s">
        <v>10212</v>
      </c>
      <c r="K1937" t="s">
        <v>10217</v>
      </c>
      <c r="M1937" t="s">
        <v>10410</v>
      </c>
      <c r="N1937" t="s">
        <v>10695</v>
      </c>
      <c r="P1937" t="s">
        <v>10749</v>
      </c>
      <c r="Q1937" t="s">
        <v>10765</v>
      </c>
      <c r="R1937" t="s">
        <v>10825</v>
      </c>
      <c r="T1937">
        <v>9720</v>
      </c>
      <c r="U1937">
        <v>810</v>
      </c>
      <c r="V1937">
        <v>53</v>
      </c>
      <c r="W1937">
        <v>1</v>
      </c>
      <c r="X1937">
        <v>0</v>
      </c>
      <c r="Z1937">
        <v>77.81999999999999</v>
      </c>
      <c r="AA1937">
        <v>40.703438</v>
      </c>
      <c r="AB1937">
        <v>-73.805284</v>
      </c>
      <c r="AD1937" t="s">
        <v>10839</v>
      </c>
      <c r="AG1937" t="s">
        <v>10858</v>
      </c>
      <c r="AH1937" t="s">
        <v>10862</v>
      </c>
      <c r="AI1937">
        <v>237</v>
      </c>
      <c r="AJ1937" t="s">
        <v>10212</v>
      </c>
      <c r="AL1937">
        <v>2.55</v>
      </c>
      <c r="AM1937" t="s">
        <v>10892</v>
      </c>
      <c r="AN1937" t="s">
        <v>10951</v>
      </c>
      <c r="AO1937" t="s">
        <v>11020</v>
      </c>
      <c r="AP1937" t="s">
        <v>11081</v>
      </c>
      <c r="AR1937" t="s">
        <v>11268</v>
      </c>
      <c r="AS1937" t="s">
        <v>11594</v>
      </c>
      <c r="AX1937" t="s">
        <v>10837</v>
      </c>
      <c r="BA1937" t="s">
        <v>11741</v>
      </c>
      <c r="BB1937">
        <v>0</v>
      </c>
      <c r="BC1937">
        <v>0</v>
      </c>
      <c r="BD1937">
        <v>0</v>
      </c>
      <c r="BE1937">
        <v>0</v>
      </c>
      <c r="BF1937">
        <v>1</v>
      </c>
      <c r="BG1937">
        <v>0</v>
      </c>
    </row>
    <row r="1938" spans="1:59">
      <c r="A1938" s="1">
        <f>HYPERLINK("https://lsnyc.legalserver.org/matter/dynamic-profile/view/1905839","19-1905839")</f>
        <v>0</v>
      </c>
      <c r="B1938" t="s">
        <v>1671</v>
      </c>
      <c r="C1938" t="s">
        <v>6472</v>
      </c>
      <c r="D1938" t="s">
        <v>9929</v>
      </c>
      <c r="E1938" t="s">
        <v>10075</v>
      </c>
      <c r="F1938">
        <v>10312</v>
      </c>
      <c r="G1938" t="s">
        <v>10088</v>
      </c>
      <c r="H1938" t="s">
        <v>10134</v>
      </c>
      <c r="I1938" t="s">
        <v>10168</v>
      </c>
      <c r="J1938" t="s">
        <v>10208</v>
      </c>
      <c r="K1938" t="s">
        <v>10217</v>
      </c>
      <c r="M1938" t="s">
        <v>10241</v>
      </c>
      <c r="N1938" t="s">
        <v>10654</v>
      </c>
      <c r="P1938" t="s">
        <v>10749</v>
      </c>
      <c r="Q1938" t="s">
        <v>10765</v>
      </c>
      <c r="R1938" t="s">
        <v>10822</v>
      </c>
      <c r="T1938">
        <v>1800</v>
      </c>
      <c r="U1938">
        <v>150</v>
      </c>
      <c r="V1938">
        <v>35</v>
      </c>
      <c r="W1938">
        <v>1</v>
      </c>
      <c r="X1938">
        <v>0</v>
      </c>
      <c r="Z1938">
        <v>14.41</v>
      </c>
      <c r="AA1938">
        <v>40.551355</v>
      </c>
      <c r="AB1938">
        <v>-74.19948599999999</v>
      </c>
      <c r="AD1938" t="s">
        <v>10840</v>
      </c>
      <c r="AG1938" t="s">
        <v>10858</v>
      </c>
      <c r="AH1938" t="s">
        <v>10862</v>
      </c>
      <c r="AI1938">
        <v>285</v>
      </c>
      <c r="AJ1938" t="s">
        <v>10208</v>
      </c>
      <c r="AL1938">
        <v>0</v>
      </c>
      <c r="AM1938" t="s">
        <v>10883</v>
      </c>
      <c r="AN1938" t="s">
        <v>10928</v>
      </c>
      <c r="AO1938" t="s">
        <v>10999</v>
      </c>
      <c r="AP1938" t="s">
        <v>11044</v>
      </c>
      <c r="AR1938" t="s">
        <v>11255</v>
      </c>
      <c r="AS1938" t="s">
        <v>11593</v>
      </c>
      <c r="BA1938" t="s">
        <v>11738</v>
      </c>
      <c r="BB1938">
        <v>0</v>
      </c>
      <c r="BC1938">
        <v>0</v>
      </c>
      <c r="BD1938">
        <v>0</v>
      </c>
      <c r="BE1938">
        <v>0</v>
      </c>
      <c r="BF1938">
        <v>5</v>
      </c>
      <c r="BG1938">
        <v>0</v>
      </c>
    </row>
    <row r="1939" spans="1:59">
      <c r="A1939" s="1">
        <f>HYPERLINK("https://lsnyc.legalserver.org/matter/dynamic-profile/view/1905840","19-1905840")</f>
        <v>0</v>
      </c>
      <c r="B1939" t="s">
        <v>1672</v>
      </c>
      <c r="C1939" t="s">
        <v>6451</v>
      </c>
      <c r="D1939" t="s">
        <v>9928</v>
      </c>
      <c r="E1939" t="s">
        <v>10075</v>
      </c>
      <c r="F1939">
        <v>11212</v>
      </c>
      <c r="G1939" t="s">
        <v>10093</v>
      </c>
      <c r="H1939" t="s">
        <v>10134</v>
      </c>
      <c r="I1939" t="s">
        <v>10168</v>
      </c>
      <c r="J1939" t="s">
        <v>10213</v>
      </c>
      <c r="K1939" t="s">
        <v>10217</v>
      </c>
      <c r="M1939" t="s">
        <v>10551</v>
      </c>
      <c r="N1939" t="s">
        <v>10650</v>
      </c>
      <c r="P1939" t="s">
        <v>10749</v>
      </c>
      <c r="Q1939" t="s">
        <v>10769</v>
      </c>
      <c r="R1939" t="s">
        <v>10824</v>
      </c>
      <c r="T1939">
        <v>9100</v>
      </c>
      <c r="U1939">
        <v>758.33</v>
      </c>
      <c r="V1939">
        <v>36</v>
      </c>
      <c r="W1939">
        <v>1</v>
      </c>
      <c r="X1939">
        <v>0</v>
      </c>
      <c r="Z1939">
        <v>72.86</v>
      </c>
      <c r="AA1939">
        <v>40.673262</v>
      </c>
      <c r="AB1939">
        <v>-73.90745200000001</v>
      </c>
      <c r="AD1939" t="s">
        <v>10839</v>
      </c>
      <c r="AG1939" t="s">
        <v>10858</v>
      </c>
      <c r="AH1939" t="s">
        <v>10862</v>
      </c>
      <c r="AI1939">
        <v>239</v>
      </c>
      <c r="AJ1939" t="s">
        <v>10213</v>
      </c>
      <c r="AL1939">
        <v>0</v>
      </c>
      <c r="AM1939" t="s">
        <v>10889</v>
      </c>
      <c r="AN1939" t="s">
        <v>10922</v>
      </c>
      <c r="AO1939" t="s">
        <v>11012</v>
      </c>
      <c r="AP1939" t="s">
        <v>11058</v>
      </c>
      <c r="AR1939" t="s">
        <v>10180</v>
      </c>
      <c r="AS1939" t="s">
        <v>11595</v>
      </c>
      <c r="BA1939" t="s">
        <v>11740</v>
      </c>
      <c r="BB1939">
        <v>0</v>
      </c>
      <c r="BC1939">
        <v>0</v>
      </c>
      <c r="BD1939">
        <v>0</v>
      </c>
      <c r="BE1939">
        <v>0</v>
      </c>
      <c r="BF1939">
        <v>2</v>
      </c>
      <c r="BG1939">
        <v>0</v>
      </c>
    </row>
    <row r="1940" spans="1:59">
      <c r="A1940" s="1">
        <f>HYPERLINK("https://lsnyc.legalserver.org/matter/dynamic-profile/view/1905841","19-1905841")</f>
        <v>0</v>
      </c>
      <c r="B1940" t="s">
        <v>1673</v>
      </c>
      <c r="C1940" t="s">
        <v>6473</v>
      </c>
      <c r="D1940" t="s">
        <v>9926</v>
      </c>
      <c r="E1940" t="s">
        <v>10075</v>
      </c>
      <c r="F1940">
        <v>10466</v>
      </c>
      <c r="G1940" t="s">
        <v>10090</v>
      </c>
      <c r="H1940" t="s">
        <v>10134</v>
      </c>
      <c r="I1940" t="s">
        <v>10168</v>
      </c>
      <c r="J1940" t="s">
        <v>10210</v>
      </c>
      <c r="K1940" t="s">
        <v>10217</v>
      </c>
      <c r="M1940" t="s">
        <v>10482</v>
      </c>
      <c r="N1940" t="s">
        <v>10658</v>
      </c>
      <c r="P1940" t="s">
        <v>10749</v>
      </c>
      <c r="Q1940" t="s">
        <v>10769</v>
      </c>
      <c r="R1940" t="s">
        <v>10824</v>
      </c>
      <c r="T1940">
        <v>41760</v>
      </c>
      <c r="U1940">
        <v>3480</v>
      </c>
      <c r="V1940">
        <v>74</v>
      </c>
      <c r="W1940">
        <v>1</v>
      </c>
      <c r="X1940">
        <v>0</v>
      </c>
      <c r="Z1940">
        <v>334.35</v>
      </c>
      <c r="AA1940">
        <v>40.89047</v>
      </c>
      <c r="AB1940">
        <v>-73.85006199999999</v>
      </c>
      <c r="AD1940" t="s">
        <v>10840</v>
      </c>
      <c r="AG1940" t="s">
        <v>10858</v>
      </c>
      <c r="AH1940" t="s">
        <v>10860</v>
      </c>
      <c r="AI1940">
        <v>230</v>
      </c>
      <c r="AJ1940" t="s">
        <v>10210</v>
      </c>
      <c r="AL1940">
        <v>17.05</v>
      </c>
      <c r="AM1940" t="s">
        <v>10893</v>
      </c>
      <c r="AN1940" t="s">
        <v>10956</v>
      </c>
      <c r="AO1940" t="s">
        <v>11010</v>
      </c>
      <c r="AP1940" t="s">
        <v>11085</v>
      </c>
      <c r="AR1940" t="s">
        <v>11345</v>
      </c>
      <c r="AS1940" t="s">
        <v>9926</v>
      </c>
      <c r="AT1940" t="s">
        <v>11642</v>
      </c>
      <c r="AX1940" t="s">
        <v>10838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</row>
    <row r="1941" spans="1:59">
      <c r="A1941" s="1">
        <f>HYPERLINK("https://lsnyc.legalserver.org/matter/dynamic-profile/view/1905842","19-1905842")</f>
        <v>0</v>
      </c>
      <c r="B1941" t="s">
        <v>799</v>
      </c>
      <c r="C1941" t="s">
        <v>5703</v>
      </c>
      <c r="D1941" t="s">
        <v>9926</v>
      </c>
      <c r="E1941" t="s">
        <v>10075</v>
      </c>
      <c r="F1941">
        <v>10467</v>
      </c>
      <c r="G1941" t="s">
        <v>10090</v>
      </c>
      <c r="H1941" t="s">
        <v>10130</v>
      </c>
      <c r="I1941" t="s">
        <v>10169</v>
      </c>
      <c r="J1941" t="s">
        <v>10210</v>
      </c>
      <c r="K1941" t="s">
        <v>10217</v>
      </c>
      <c r="M1941" t="s">
        <v>10397</v>
      </c>
      <c r="N1941" t="s">
        <v>10650</v>
      </c>
      <c r="P1941" t="s">
        <v>10749</v>
      </c>
      <c r="Q1941" t="s">
        <v>10765</v>
      </c>
      <c r="R1941" t="s">
        <v>10821</v>
      </c>
      <c r="T1941">
        <v>0</v>
      </c>
      <c r="U1941">
        <v>0</v>
      </c>
      <c r="V1941">
        <v>58</v>
      </c>
      <c r="W1941">
        <v>1</v>
      </c>
      <c r="X1941">
        <v>0</v>
      </c>
      <c r="Z1941">
        <v>0</v>
      </c>
      <c r="AA1941">
        <v>40.88418</v>
      </c>
      <c r="AB1941">
        <v>-73.87877</v>
      </c>
      <c r="AD1941" t="s">
        <v>10840</v>
      </c>
      <c r="AG1941" t="s">
        <v>10858</v>
      </c>
      <c r="AH1941" t="s">
        <v>10862</v>
      </c>
      <c r="AI1941">
        <v>230</v>
      </c>
      <c r="AJ1941" t="s">
        <v>10210</v>
      </c>
      <c r="AL1941">
        <v>0.1</v>
      </c>
      <c r="AM1941" t="s">
        <v>10887</v>
      </c>
      <c r="AN1941" t="s">
        <v>10919</v>
      </c>
      <c r="AO1941" t="s">
        <v>11010</v>
      </c>
      <c r="AP1941" t="s">
        <v>11057</v>
      </c>
      <c r="AR1941" t="s">
        <v>11266</v>
      </c>
      <c r="AS1941" t="s">
        <v>9926</v>
      </c>
      <c r="AT1941" t="s">
        <v>11642</v>
      </c>
      <c r="AX1941" t="s">
        <v>10838</v>
      </c>
      <c r="BA1941" t="s">
        <v>11741</v>
      </c>
      <c r="BB1941">
        <v>0</v>
      </c>
      <c r="BC1941">
        <v>0</v>
      </c>
      <c r="BD1941">
        <v>0</v>
      </c>
      <c r="BE1941">
        <v>0</v>
      </c>
      <c r="BF1941">
        <v>1</v>
      </c>
      <c r="BG1941">
        <v>0</v>
      </c>
    </row>
    <row r="1942" spans="1:59">
      <c r="A1942" s="1">
        <f>HYPERLINK("https://lsnyc.legalserver.org/matter/dynamic-profile/view/1905843","19-1905843")</f>
        <v>0</v>
      </c>
      <c r="B1942" t="s">
        <v>1674</v>
      </c>
      <c r="C1942" t="s">
        <v>6474</v>
      </c>
      <c r="D1942" t="s">
        <v>9926</v>
      </c>
      <c r="E1942" t="s">
        <v>10075</v>
      </c>
      <c r="F1942">
        <v>10457</v>
      </c>
      <c r="G1942" t="s">
        <v>10090</v>
      </c>
      <c r="H1942" t="s">
        <v>10134</v>
      </c>
      <c r="I1942" t="s">
        <v>10169</v>
      </c>
      <c r="J1942" t="s">
        <v>10210</v>
      </c>
      <c r="K1942" t="s">
        <v>10217</v>
      </c>
      <c r="M1942" t="s">
        <v>10418</v>
      </c>
      <c r="N1942" t="s">
        <v>10651</v>
      </c>
      <c r="P1942" t="s">
        <v>10749</v>
      </c>
      <c r="Q1942" t="s">
        <v>10765</v>
      </c>
      <c r="R1942" t="s">
        <v>10823</v>
      </c>
      <c r="T1942">
        <v>26000</v>
      </c>
      <c r="U1942">
        <v>2166.67</v>
      </c>
      <c r="V1942">
        <v>51</v>
      </c>
      <c r="W1942">
        <v>1</v>
      </c>
      <c r="X1942">
        <v>0</v>
      </c>
      <c r="Z1942">
        <v>208.17</v>
      </c>
      <c r="AA1942">
        <v>40.851107</v>
      </c>
      <c r="AB1942">
        <v>-73.902592</v>
      </c>
      <c r="AD1942" t="s">
        <v>10840</v>
      </c>
      <c r="AF1942" t="s">
        <v>10843</v>
      </c>
      <c r="AG1942" t="s">
        <v>10859</v>
      </c>
      <c r="AH1942" t="s">
        <v>10861</v>
      </c>
      <c r="AI1942">
        <v>230</v>
      </c>
      <c r="AJ1942" t="s">
        <v>10210</v>
      </c>
      <c r="AL1942">
        <v>28.85</v>
      </c>
      <c r="AM1942" t="s">
        <v>10884</v>
      </c>
      <c r="AN1942" t="s">
        <v>10931</v>
      </c>
      <c r="AO1942" t="s">
        <v>11000</v>
      </c>
      <c r="AP1942" t="s">
        <v>11056</v>
      </c>
      <c r="AR1942" t="s">
        <v>11257</v>
      </c>
      <c r="AS1942" t="s">
        <v>9926</v>
      </c>
      <c r="AT1942" t="s">
        <v>11642</v>
      </c>
      <c r="AX1942" t="s">
        <v>10838</v>
      </c>
      <c r="BA1942" t="s">
        <v>11738</v>
      </c>
      <c r="BB1942">
        <v>0</v>
      </c>
      <c r="BC1942">
        <v>0</v>
      </c>
      <c r="BD1942">
        <v>0</v>
      </c>
      <c r="BE1942">
        <v>0</v>
      </c>
      <c r="BF1942">
        <v>5</v>
      </c>
      <c r="BG1942">
        <v>0</v>
      </c>
    </row>
    <row r="1943" spans="1:59">
      <c r="A1943" s="1">
        <f>HYPERLINK("https://lsnyc.legalserver.org/matter/dynamic-profile/view/1905844","19-1905844")</f>
        <v>0</v>
      </c>
      <c r="B1943" t="s">
        <v>1225</v>
      </c>
      <c r="C1943" t="s">
        <v>6475</v>
      </c>
      <c r="D1943" t="s">
        <v>9932</v>
      </c>
      <c r="E1943" t="s">
        <v>10075</v>
      </c>
      <c r="F1943">
        <v>11368</v>
      </c>
      <c r="G1943" t="s">
        <v>10092</v>
      </c>
      <c r="H1943" t="s">
        <v>10134</v>
      </c>
      <c r="I1943" t="s">
        <v>10168</v>
      </c>
      <c r="J1943" t="s">
        <v>10212</v>
      </c>
      <c r="K1943" t="s">
        <v>10217</v>
      </c>
      <c r="M1943" t="s">
        <v>10555</v>
      </c>
      <c r="N1943" t="s">
        <v>10695</v>
      </c>
      <c r="P1943" t="s">
        <v>10749</v>
      </c>
      <c r="Q1943" t="s">
        <v>10765</v>
      </c>
      <c r="R1943" t="s">
        <v>10824</v>
      </c>
      <c r="T1943">
        <v>32784</v>
      </c>
      <c r="U1943">
        <v>2732</v>
      </c>
      <c r="V1943">
        <v>69</v>
      </c>
      <c r="W1943">
        <v>2</v>
      </c>
      <c r="X1943">
        <v>0</v>
      </c>
      <c r="Z1943">
        <v>193.87</v>
      </c>
      <c r="AA1943">
        <v>40.738018</v>
      </c>
      <c r="AB1943">
        <v>-73.861228</v>
      </c>
      <c r="AD1943" t="s">
        <v>10839</v>
      </c>
      <c r="AG1943" t="s">
        <v>10858</v>
      </c>
      <c r="AH1943" t="s">
        <v>10862</v>
      </c>
      <c r="AI1943">
        <v>237</v>
      </c>
      <c r="AJ1943" t="s">
        <v>10212</v>
      </c>
      <c r="AL1943">
        <v>0.3</v>
      </c>
      <c r="AR1943" t="s">
        <v>11440</v>
      </c>
      <c r="AS1943" t="s">
        <v>11594</v>
      </c>
      <c r="AX1943" t="s">
        <v>10838</v>
      </c>
      <c r="BA1943" t="s">
        <v>11742</v>
      </c>
      <c r="BB1943">
        <v>0</v>
      </c>
      <c r="BC1943">
        <v>0</v>
      </c>
      <c r="BD1943">
        <v>0</v>
      </c>
      <c r="BE1943">
        <v>0</v>
      </c>
      <c r="BF1943">
        <v>7</v>
      </c>
      <c r="BG1943">
        <v>0</v>
      </c>
    </row>
    <row r="1944" spans="1:59">
      <c r="A1944" s="1">
        <f>HYPERLINK("https://lsnyc.legalserver.org/matter/dynamic-profile/view/1905845","19-1905845")</f>
        <v>0</v>
      </c>
      <c r="B1944" t="s">
        <v>1675</v>
      </c>
      <c r="C1944" t="s">
        <v>6476</v>
      </c>
      <c r="D1944" t="s">
        <v>9936</v>
      </c>
      <c r="E1944" t="s">
        <v>10075</v>
      </c>
      <c r="F1944">
        <v>11105</v>
      </c>
      <c r="G1944" t="s">
        <v>10091</v>
      </c>
      <c r="H1944" t="s">
        <v>10134</v>
      </c>
      <c r="I1944" t="s">
        <v>10168</v>
      </c>
      <c r="J1944" t="s">
        <v>10214</v>
      </c>
      <c r="K1944" t="s">
        <v>10217</v>
      </c>
      <c r="M1944" t="s">
        <v>10286</v>
      </c>
      <c r="N1944" t="s">
        <v>10671</v>
      </c>
      <c r="P1944" t="s">
        <v>10749</v>
      </c>
      <c r="Q1944" t="s">
        <v>10765</v>
      </c>
      <c r="R1944" t="s">
        <v>10825</v>
      </c>
      <c r="T1944">
        <v>26000.04</v>
      </c>
      <c r="U1944">
        <v>2166.67</v>
      </c>
      <c r="V1944">
        <v>38</v>
      </c>
      <c r="W1944">
        <v>1</v>
      </c>
      <c r="X1944">
        <v>1</v>
      </c>
      <c r="Z1944">
        <v>153.76</v>
      </c>
      <c r="AA1944">
        <v>40.778702</v>
      </c>
      <c r="AB1944">
        <v>-73.91618699999999</v>
      </c>
      <c r="AD1944" t="s">
        <v>10839</v>
      </c>
      <c r="AG1944" t="s">
        <v>10858</v>
      </c>
      <c r="AH1944" t="s">
        <v>10861</v>
      </c>
      <c r="AI1944">
        <v>234</v>
      </c>
      <c r="AJ1944" t="s">
        <v>10214</v>
      </c>
      <c r="AL1944">
        <v>0.6</v>
      </c>
      <c r="AM1944" t="s">
        <v>10885</v>
      </c>
      <c r="AN1944" t="s">
        <v>10954</v>
      </c>
      <c r="AO1944" t="s">
        <v>11003</v>
      </c>
      <c r="AP1944" t="s">
        <v>11084</v>
      </c>
      <c r="AR1944" t="s">
        <v>11257</v>
      </c>
      <c r="AS1944" t="s">
        <v>11594</v>
      </c>
      <c r="AT1944" t="s">
        <v>11641</v>
      </c>
      <c r="AX1944" t="s">
        <v>10838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</row>
    <row r="1945" spans="1:59">
      <c r="A1945" s="1">
        <f>HYPERLINK("https://lsnyc.legalserver.org/matter/dynamic-profile/view/1905847","19-1905847")</f>
        <v>0</v>
      </c>
      <c r="B1945" t="s">
        <v>270</v>
      </c>
      <c r="C1945" t="s">
        <v>5200</v>
      </c>
      <c r="D1945" t="s">
        <v>9928</v>
      </c>
      <c r="E1945" t="s">
        <v>10075</v>
      </c>
      <c r="F1945">
        <v>11226</v>
      </c>
      <c r="G1945" t="s">
        <v>10093</v>
      </c>
      <c r="H1945" t="s">
        <v>10134</v>
      </c>
      <c r="I1945" t="s">
        <v>10168</v>
      </c>
      <c r="J1945" t="s">
        <v>10213</v>
      </c>
      <c r="K1945" t="s">
        <v>10218</v>
      </c>
      <c r="L1945" t="s">
        <v>10153</v>
      </c>
      <c r="M1945" t="s">
        <v>10496</v>
      </c>
      <c r="N1945" t="s">
        <v>10671</v>
      </c>
      <c r="P1945" t="s">
        <v>10751</v>
      </c>
      <c r="Q1945" t="s">
        <v>10761</v>
      </c>
      <c r="R1945" t="s">
        <v>10824</v>
      </c>
      <c r="T1945">
        <v>24672</v>
      </c>
      <c r="U1945">
        <v>2056</v>
      </c>
      <c r="V1945">
        <v>54</v>
      </c>
      <c r="W1945">
        <v>1</v>
      </c>
      <c r="X1945">
        <v>3</v>
      </c>
      <c r="Y1945" t="s">
        <v>10830</v>
      </c>
      <c r="Z1945">
        <v>95.81</v>
      </c>
      <c r="AA1945">
        <v>40.64936</v>
      </c>
      <c r="AB1945">
        <v>-73.96032200000001</v>
      </c>
      <c r="AD1945" t="s">
        <v>10839</v>
      </c>
      <c r="AG1945" t="s">
        <v>10858</v>
      </c>
      <c r="AH1945" t="s">
        <v>10862</v>
      </c>
      <c r="AI1945">
        <v>239</v>
      </c>
      <c r="AJ1945" t="s">
        <v>10213</v>
      </c>
      <c r="AK1945" t="s">
        <v>10838</v>
      </c>
      <c r="AL1945">
        <v>1.5</v>
      </c>
      <c r="AM1945" t="s">
        <v>10888</v>
      </c>
      <c r="AN1945" t="s">
        <v>10932</v>
      </c>
      <c r="AO1945" t="s">
        <v>11008</v>
      </c>
      <c r="AP1945" t="s">
        <v>11050</v>
      </c>
      <c r="AR1945" t="s">
        <v>10180</v>
      </c>
      <c r="AS1945" t="s">
        <v>11595</v>
      </c>
      <c r="AT1945" t="s">
        <v>11641</v>
      </c>
      <c r="AY1945" t="s">
        <v>10830</v>
      </c>
      <c r="AZ1945" t="s">
        <v>11701</v>
      </c>
      <c r="BA1945" t="s">
        <v>11737</v>
      </c>
      <c r="BB1945">
        <v>0</v>
      </c>
      <c r="BC1945">
        <v>0</v>
      </c>
      <c r="BD1945">
        <v>0</v>
      </c>
      <c r="BE1945">
        <v>0</v>
      </c>
      <c r="BF1945">
        <v>3</v>
      </c>
      <c r="BG1945">
        <v>0</v>
      </c>
    </row>
    <row r="1946" spans="1:59">
      <c r="A1946" s="1">
        <f>HYPERLINK("https://lsnyc.legalserver.org/matter/dynamic-profile/view/1905848","19-1905848")</f>
        <v>0</v>
      </c>
      <c r="B1946" t="s">
        <v>1676</v>
      </c>
      <c r="C1946" t="s">
        <v>6477</v>
      </c>
      <c r="D1946" t="s">
        <v>9926</v>
      </c>
      <c r="E1946" t="s">
        <v>10075</v>
      </c>
      <c r="F1946">
        <v>10451</v>
      </c>
      <c r="G1946" t="s">
        <v>10090</v>
      </c>
      <c r="H1946" t="s">
        <v>10134</v>
      </c>
      <c r="I1946" t="s">
        <v>10169</v>
      </c>
      <c r="J1946" t="s">
        <v>10210</v>
      </c>
      <c r="K1946" t="s">
        <v>10217</v>
      </c>
      <c r="M1946" t="s">
        <v>10328</v>
      </c>
      <c r="N1946" t="s">
        <v>10731</v>
      </c>
      <c r="O1946" t="s">
        <v>10731</v>
      </c>
      <c r="P1946" t="s">
        <v>10753</v>
      </c>
      <c r="Q1946" t="s">
        <v>10763</v>
      </c>
      <c r="R1946" t="s">
        <v>10821</v>
      </c>
      <c r="T1946">
        <v>0</v>
      </c>
      <c r="U1946">
        <v>0</v>
      </c>
      <c r="V1946">
        <v>56</v>
      </c>
      <c r="W1946">
        <v>2</v>
      </c>
      <c r="X1946">
        <v>2</v>
      </c>
      <c r="Z1946">
        <v>0</v>
      </c>
      <c r="AA1946">
        <v>40.820898</v>
      </c>
      <c r="AB1946">
        <v>-73.920244</v>
      </c>
      <c r="AD1946" t="s">
        <v>10839</v>
      </c>
      <c r="AF1946" t="s">
        <v>10845</v>
      </c>
      <c r="AG1946" t="s">
        <v>10859</v>
      </c>
      <c r="AH1946" t="s">
        <v>10864</v>
      </c>
      <c r="AI1946">
        <v>230</v>
      </c>
      <c r="AJ1946" t="s">
        <v>10210</v>
      </c>
      <c r="AL1946">
        <v>0</v>
      </c>
      <c r="AM1946" t="s">
        <v>10884</v>
      </c>
      <c r="AN1946" t="s">
        <v>10918</v>
      </c>
      <c r="AO1946" t="s">
        <v>11001</v>
      </c>
      <c r="AP1946" t="s">
        <v>11062</v>
      </c>
      <c r="AQ1946" t="s">
        <v>11109</v>
      </c>
      <c r="AR1946" t="s">
        <v>11267</v>
      </c>
      <c r="AS1946" t="s">
        <v>9926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</row>
    <row r="1947" spans="1:59">
      <c r="A1947" s="1">
        <f>HYPERLINK("https://lsnyc.legalserver.org/matter/dynamic-profile/view/1905849","19-1905849")</f>
        <v>0</v>
      </c>
      <c r="B1947" t="s">
        <v>1674</v>
      </c>
      <c r="C1947" t="s">
        <v>6474</v>
      </c>
      <c r="D1947" t="s">
        <v>9926</v>
      </c>
      <c r="E1947" t="s">
        <v>10075</v>
      </c>
      <c r="F1947">
        <v>10457</v>
      </c>
      <c r="G1947" t="s">
        <v>10090</v>
      </c>
      <c r="H1947" t="s">
        <v>10134</v>
      </c>
      <c r="I1947" t="s">
        <v>10169</v>
      </c>
      <c r="J1947" t="s">
        <v>10210</v>
      </c>
      <c r="K1947" t="s">
        <v>10217</v>
      </c>
      <c r="M1947" t="s">
        <v>10418</v>
      </c>
      <c r="N1947" t="s">
        <v>10671</v>
      </c>
      <c r="P1947" t="s">
        <v>10751</v>
      </c>
      <c r="Q1947" t="s">
        <v>10761</v>
      </c>
      <c r="R1947" t="s">
        <v>10823</v>
      </c>
      <c r="T1947">
        <v>2600</v>
      </c>
      <c r="U1947">
        <v>216.67</v>
      </c>
      <c r="V1947">
        <v>51</v>
      </c>
      <c r="W1947">
        <v>1</v>
      </c>
      <c r="X1947">
        <v>0</v>
      </c>
      <c r="Z1947">
        <v>20.82</v>
      </c>
      <c r="AA1947">
        <v>40.851107</v>
      </c>
      <c r="AB1947">
        <v>-73.902592</v>
      </c>
      <c r="AD1947" t="s">
        <v>10840</v>
      </c>
      <c r="AF1947" t="s">
        <v>10843</v>
      </c>
      <c r="AG1947" t="s">
        <v>10859</v>
      </c>
      <c r="AH1947" t="s">
        <v>10861</v>
      </c>
      <c r="AI1947">
        <v>230</v>
      </c>
      <c r="AJ1947" t="s">
        <v>10210</v>
      </c>
      <c r="AL1947">
        <v>0</v>
      </c>
      <c r="AM1947" t="s">
        <v>10884</v>
      </c>
      <c r="AN1947" t="s">
        <v>10931</v>
      </c>
      <c r="AO1947" t="s">
        <v>11000</v>
      </c>
      <c r="AP1947" t="s">
        <v>11056</v>
      </c>
      <c r="AR1947" t="s">
        <v>11257</v>
      </c>
      <c r="AS1947" t="s">
        <v>9926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</row>
    <row r="1948" spans="1:59">
      <c r="A1948" s="1">
        <f>HYPERLINK("https://lsnyc.legalserver.org/matter/dynamic-profile/view/1905850","19-1905850")</f>
        <v>0</v>
      </c>
      <c r="B1948" t="s">
        <v>1677</v>
      </c>
      <c r="C1948" t="s">
        <v>6478</v>
      </c>
      <c r="D1948" t="s">
        <v>9926</v>
      </c>
      <c r="E1948" t="s">
        <v>10075</v>
      </c>
      <c r="F1948">
        <v>10452</v>
      </c>
      <c r="G1948" t="s">
        <v>10090</v>
      </c>
      <c r="H1948" t="s">
        <v>10130</v>
      </c>
      <c r="I1948" t="s">
        <v>10169</v>
      </c>
      <c r="J1948" t="s">
        <v>10210</v>
      </c>
      <c r="K1948" t="s">
        <v>10217</v>
      </c>
      <c r="M1948" t="s">
        <v>10397</v>
      </c>
      <c r="N1948" t="s">
        <v>10650</v>
      </c>
      <c r="P1948" t="s">
        <v>10749</v>
      </c>
      <c r="Q1948" t="s">
        <v>10765</v>
      </c>
      <c r="R1948" t="s">
        <v>10821</v>
      </c>
      <c r="T1948">
        <v>9864</v>
      </c>
      <c r="U1948">
        <v>822</v>
      </c>
      <c r="V1948">
        <v>68</v>
      </c>
      <c r="W1948">
        <v>1</v>
      </c>
      <c r="X1948">
        <v>2</v>
      </c>
      <c r="Z1948">
        <v>46.24</v>
      </c>
      <c r="AA1948">
        <v>40.830631</v>
      </c>
      <c r="AB1948">
        <v>-73.928129</v>
      </c>
      <c r="AD1948" t="s">
        <v>10839</v>
      </c>
      <c r="AF1948" t="s">
        <v>10843</v>
      </c>
      <c r="AG1948" t="s">
        <v>10859</v>
      </c>
      <c r="AH1948" t="s">
        <v>10862</v>
      </c>
      <c r="AI1948">
        <v>230</v>
      </c>
      <c r="AJ1948" t="s">
        <v>10210</v>
      </c>
      <c r="AL1948">
        <v>0.1</v>
      </c>
      <c r="AM1948" t="s">
        <v>10884</v>
      </c>
      <c r="AN1948" t="s">
        <v>10929</v>
      </c>
      <c r="AO1948" t="s">
        <v>11013</v>
      </c>
      <c r="AP1948" t="s">
        <v>11066</v>
      </c>
      <c r="AR1948" t="s">
        <v>11296</v>
      </c>
      <c r="AS1948" t="s">
        <v>9926</v>
      </c>
      <c r="AT1948" t="s">
        <v>11641</v>
      </c>
      <c r="AX1948" t="s">
        <v>10838</v>
      </c>
      <c r="BA1948" t="s">
        <v>11741</v>
      </c>
      <c r="BB1948">
        <v>0</v>
      </c>
      <c r="BC1948">
        <v>0</v>
      </c>
      <c r="BD1948">
        <v>0</v>
      </c>
      <c r="BE1948">
        <v>0</v>
      </c>
      <c r="BF1948">
        <v>1</v>
      </c>
      <c r="BG1948">
        <v>0</v>
      </c>
    </row>
    <row r="1949" spans="1:59">
      <c r="A1949" s="1">
        <f>HYPERLINK("https://lsnyc.legalserver.org/matter/dynamic-profile/view/1905851","19-1905851")</f>
        <v>0</v>
      </c>
      <c r="B1949" t="s">
        <v>1678</v>
      </c>
      <c r="C1949" t="s">
        <v>6479</v>
      </c>
      <c r="D1949" t="s">
        <v>9931</v>
      </c>
      <c r="E1949" t="s">
        <v>10075</v>
      </c>
      <c r="F1949">
        <v>11355</v>
      </c>
      <c r="G1949" t="s">
        <v>10092</v>
      </c>
      <c r="H1949" t="s">
        <v>10134</v>
      </c>
      <c r="I1949" t="s">
        <v>10182</v>
      </c>
      <c r="J1949" t="s">
        <v>10212</v>
      </c>
      <c r="K1949" t="s">
        <v>10218</v>
      </c>
      <c r="L1949" t="s">
        <v>10101</v>
      </c>
      <c r="M1949" t="s">
        <v>10491</v>
      </c>
      <c r="N1949" t="s">
        <v>10695</v>
      </c>
      <c r="P1949" t="s">
        <v>10749</v>
      </c>
      <c r="Q1949" t="s">
        <v>10765</v>
      </c>
      <c r="R1949" t="s">
        <v>10827</v>
      </c>
      <c r="T1949">
        <v>6600</v>
      </c>
      <c r="U1949">
        <v>550</v>
      </c>
      <c r="V1949">
        <v>72</v>
      </c>
      <c r="W1949">
        <v>1</v>
      </c>
      <c r="X1949">
        <v>0</v>
      </c>
      <c r="Y1949" t="s">
        <v>10829</v>
      </c>
      <c r="Z1949">
        <v>52.84</v>
      </c>
      <c r="AA1949">
        <v>40.757092</v>
      </c>
      <c r="AB1949">
        <v>-73.83140899999999</v>
      </c>
      <c r="AD1949" t="s">
        <v>10839</v>
      </c>
      <c r="AF1949" t="s">
        <v>10844</v>
      </c>
      <c r="AG1949" t="s">
        <v>10859</v>
      </c>
      <c r="AH1949" t="s">
        <v>10862</v>
      </c>
      <c r="AI1949">
        <v>237</v>
      </c>
      <c r="AJ1949" t="s">
        <v>10212</v>
      </c>
      <c r="AK1949" t="s">
        <v>10838</v>
      </c>
      <c r="AL1949">
        <v>1.8</v>
      </c>
      <c r="AM1949" t="s">
        <v>10890</v>
      </c>
      <c r="AN1949" t="s">
        <v>10927</v>
      </c>
      <c r="AO1949" t="s">
        <v>11009</v>
      </c>
      <c r="AP1949" t="s">
        <v>11067</v>
      </c>
      <c r="AR1949" t="s">
        <v>11270</v>
      </c>
      <c r="AS1949" t="s">
        <v>11594</v>
      </c>
      <c r="AY1949" t="s">
        <v>10829</v>
      </c>
      <c r="AZ1949" t="s">
        <v>11681</v>
      </c>
      <c r="BA1949" t="s">
        <v>11741</v>
      </c>
      <c r="BB1949">
        <v>0</v>
      </c>
      <c r="BC1949">
        <v>0</v>
      </c>
      <c r="BD1949">
        <v>0</v>
      </c>
      <c r="BE1949">
        <v>0</v>
      </c>
      <c r="BF1949">
        <v>1</v>
      </c>
      <c r="BG1949">
        <v>0</v>
      </c>
    </row>
    <row r="1950" spans="1:59">
      <c r="A1950" s="1">
        <f>HYPERLINK("https://lsnyc.legalserver.org/matter/dynamic-profile/view/1905852","19-1905852")</f>
        <v>0</v>
      </c>
      <c r="B1950" t="s">
        <v>1069</v>
      </c>
      <c r="C1950" t="s">
        <v>5935</v>
      </c>
      <c r="D1950" t="s">
        <v>9926</v>
      </c>
      <c r="E1950" t="s">
        <v>10075</v>
      </c>
      <c r="F1950">
        <v>10457</v>
      </c>
      <c r="G1950" t="s">
        <v>10090</v>
      </c>
      <c r="H1950" t="s">
        <v>10134</v>
      </c>
      <c r="I1950" t="s">
        <v>10169</v>
      </c>
      <c r="J1950" t="s">
        <v>10210</v>
      </c>
      <c r="K1950" t="s">
        <v>10217</v>
      </c>
      <c r="M1950" t="s">
        <v>10513</v>
      </c>
      <c r="N1950" t="s">
        <v>10677</v>
      </c>
      <c r="P1950" t="s">
        <v>10751</v>
      </c>
      <c r="Q1950" t="s">
        <v>10761</v>
      </c>
      <c r="R1950" t="s">
        <v>10821</v>
      </c>
      <c r="T1950">
        <v>9252</v>
      </c>
      <c r="U1950">
        <v>771</v>
      </c>
      <c r="V1950">
        <v>97</v>
      </c>
      <c r="W1950">
        <v>1</v>
      </c>
      <c r="X1950">
        <v>0</v>
      </c>
      <c r="Z1950">
        <v>74.08</v>
      </c>
      <c r="AA1950">
        <v>40.848058</v>
      </c>
      <c r="AB1950">
        <v>-73.89406700000001</v>
      </c>
      <c r="AD1950" t="s">
        <v>10839</v>
      </c>
      <c r="AG1950" t="s">
        <v>10858</v>
      </c>
      <c r="AH1950" t="s">
        <v>10862</v>
      </c>
      <c r="AI1950">
        <v>230</v>
      </c>
      <c r="AJ1950" t="s">
        <v>10210</v>
      </c>
      <c r="AL1950">
        <v>0</v>
      </c>
      <c r="AM1950" t="s">
        <v>10884</v>
      </c>
      <c r="AN1950" t="s">
        <v>10931</v>
      </c>
      <c r="AO1950" t="s">
        <v>11000</v>
      </c>
      <c r="AP1950" t="s">
        <v>11056</v>
      </c>
      <c r="AR1950" t="s">
        <v>11274</v>
      </c>
      <c r="AS1950" t="s">
        <v>9926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</row>
    <row r="1951" spans="1:59">
      <c r="A1951" s="1">
        <f>HYPERLINK("https://lsnyc.legalserver.org/matter/dynamic-profile/view/1905853","19-1905853")</f>
        <v>0</v>
      </c>
      <c r="B1951" t="s">
        <v>1679</v>
      </c>
      <c r="C1951" t="s">
        <v>6480</v>
      </c>
      <c r="D1951" t="s">
        <v>9925</v>
      </c>
      <c r="E1951" t="s">
        <v>10075</v>
      </c>
      <c r="F1951">
        <v>10034</v>
      </c>
      <c r="G1951" t="s">
        <v>10089</v>
      </c>
      <c r="H1951" t="s">
        <v>10134</v>
      </c>
      <c r="I1951" t="s">
        <v>10168</v>
      </c>
      <c r="J1951" t="s">
        <v>10209</v>
      </c>
      <c r="K1951" t="s">
        <v>10217</v>
      </c>
      <c r="M1951" t="s">
        <v>10480</v>
      </c>
      <c r="N1951" t="s">
        <v>10671</v>
      </c>
      <c r="P1951" t="s">
        <v>10749</v>
      </c>
      <c r="Q1951" t="s">
        <v>10791</v>
      </c>
      <c r="R1951" t="s">
        <v>10823</v>
      </c>
      <c r="T1951">
        <v>9252</v>
      </c>
      <c r="U1951">
        <v>771</v>
      </c>
      <c r="V1951">
        <v>49</v>
      </c>
      <c r="W1951">
        <v>1</v>
      </c>
      <c r="X1951">
        <v>0</v>
      </c>
      <c r="Z1951">
        <v>74.08</v>
      </c>
      <c r="AA1951">
        <v>40.866852</v>
      </c>
      <c r="AB1951">
        <v>-73.91818499999999</v>
      </c>
      <c r="AD1951" t="s">
        <v>10840</v>
      </c>
      <c r="AG1951" t="s">
        <v>10858</v>
      </c>
      <c r="AH1951" t="s">
        <v>10871</v>
      </c>
      <c r="AI1951">
        <v>234</v>
      </c>
      <c r="AJ1951" t="s">
        <v>10214</v>
      </c>
      <c r="AL1951">
        <v>1.25</v>
      </c>
      <c r="AM1951" t="s">
        <v>10887</v>
      </c>
      <c r="AN1951" t="s">
        <v>10937</v>
      </c>
      <c r="AO1951" t="s">
        <v>11019</v>
      </c>
      <c r="AP1951" t="s">
        <v>11074</v>
      </c>
      <c r="AR1951" t="s">
        <v>11274</v>
      </c>
      <c r="AS1951" t="s">
        <v>9925</v>
      </c>
      <c r="AT1951" t="s">
        <v>11642</v>
      </c>
      <c r="AX1951" t="s">
        <v>10837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</row>
    <row r="1952" spans="1:59">
      <c r="A1952" s="1">
        <f>HYPERLINK("https://lsnyc.legalserver.org/matter/dynamic-profile/view/1905854","19-1905854")</f>
        <v>0</v>
      </c>
      <c r="B1952" t="s">
        <v>1680</v>
      </c>
      <c r="C1952" t="s">
        <v>6481</v>
      </c>
      <c r="D1952" t="s">
        <v>9925</v>
      </c>
      <c r="E1952" t="s">
        <v>10075</v>
      </c>
      <c r="F1952">
        <v>10027</v>
      </c>
      <c r="G1952" t="s">
        <v>10091</v>
      </c>
      <c r="H1952" t="s">
        <v>10134</v>
      </c>
      <c r="I1952" t="s">
        <v>10168</v>
      </c>
      <c r="J1952" t="s">
        <v>10214</v>
      </c>
      <c r="K1952" t="s">
        <v>10217</v>
      </c>
      <c r="M1952" t="s">
        <v>10537</v>
      </c>
      <c r="N1952" t="s">
        <v>10673</v>
      </c>
      <c r="P1952" t="s">
        <v>10753</v>
      </c>
      <c r="Q1952" t="s">
        <v>10763</v>
      </c>
      <c r="R1952" t="s">
        <v>10824</v>
      </c>
      <c r="T1952">
        <v>0</v>
      </c>
      <c r="U1952">
        <v>0</v>
      </c>
      <c r="V1952">
        <v>38</v>
      </c>
      <c r="W1952">
        <v>1</v>
      </c>
      <c r="X1952">
        <v>0</v>
      </c>
      <c r="Z1952">
        <v>0</v>
      </c>
      <c r="AA1952">
        <v>0</v>
      </c>
      <c r="AB1952">
        <v>0</v>
      </c>
      <c r="AD1952" t="s">
        <v>10839</v>
      </c>
      <c r="AF1952" t="s">
        <v>10842</v>
      </c>
      <c r="AG1952" t="s">
        <v>10859</v>
      </c>
      <c r="AH1952" t="s">
        <v>10861</v>
      </c>
      <c r="AI1952">
        <v>234</v>
      </c>
      <c r="AJ1952" t="s">
        <v>10214</v>
      </c>
      <c r="AL1952">
        <v>1.7</v>
      </c>
      <c r="AR1952" t="s">
        <v>11267</v>
      </c>
      <c r="AS1952" t="s">
        <v>9925</v>
      </c>
      <c r="AT1952" t="s">
        <v>11641</v>
      </c>
      <c r="AX1952" t="s">
        <v>10837</v>
      </c>
      <c r="BA1952" t="s">
        <v>11742</v>
      </c>
      <c r="BB1952">
        <v>0</v>
      </c>
      <c r="BC1952">
        <v>0</v>
      </c>
      <c r="BD1952">
        <v>0</v>
      </c>
      <c r="BE1952">
        <v>0</v>
      </c>
      <c r="BF1952">
        <v>7</v>
      </c>
      <c r="BG1952">
        <v>0</v>
      </c>
    </row>
    <row r="1953" spans="1:59">
      <c r="A1953" s="1">
        <f>HYPERLINK("https://lsnyc.legalserver.org/matter/dynamic-profile/view/1905855","19-1905855")</f>
        <v>0</v>
      </c>
      <c r="B1953" t="s">
        <v>1681</v>
      </c>
      <c r="C1953" t="s">
        <v>6482</v>
      </c>
      <c r="D1953" t="s">
        <v>9928</v>
      </c>
      <c r="E1953" t="s">
        <v>10075</v>
      </c>
      <c r="F1953">
        <v>11207</v>
      </c>
      <c r="G1953" t="s">
        <v>10093</v>
      </c>
      <c r="H1953" t="s">
        <v>10134</v>
      </c>
      <c r="I1953" t="s">
        <v>10177</v>
      </c>
      <c r="J1953" t="s">
        <v>10213</v>
      </c>
      <c r="K1953" t="s">
        <v>10218</v>
      </c>
      <c r="L1953" t="s">
        <v>10096</v>
      </c>
      <c r="M1953" t="s">
        <v>10247</v>
      </c>
      <c r="N1953" t="s">
        <v>10659</v>
      </c>
      <c r="P1953" t="s">
        <v>10754</v>
      </c>
      <c r="Q1953" t="s">
        <v>10775</v>
      </c>
      <c r="R1953" t="s">
        <v>10824</v>
      </c>
      <c r="T1953">
        <v>2400</v>
      </c>
      <c r="U1953">
        <v>200</v>
      </c>
      <c r="V1953">
        <v>29</v>
      </c>
      <c r="W1953">
        <v>1</v>
      </c>
      <c r="X1953">
        <v>1</v>
      </c>
      <c r="Y1953" t="s">
        <v>10829</v>
      </c>
      <c r="Z1953">
        <v>14.19</v>
      </c>
      <c r="AA1953">
        <v>40.65683</v>
      </c>
      <c r="AB1953">
        <v>-73.88642900000001</v>
      </c>
      <c r="AD1953" t="s">
        <v>10839</v>
      </c>
      <c r="AG1953" t="s">
        <v>10858</v>
      </c>
      <c r="AH1953" t="s">
        <v>10865</v>
      </c>
      <c r="AI1953">
        <v>239</v>
      </c>
      <c r="AJ1953" t="s">
        <v>10213</v>
      </c>
      <c r="AK1953" t="s">
        <v>10837</v>
      </c>
      <c r="AL1953">
        <v>2</v>
      </c>
      <c r="AM1953" t="s">
        <v>10889</v>
      </c>
      <c r="AN1953" t="s">
        <v>10946</v>
      </c>
      <c r="AO1953" t="s">
        <v>11012</v>
      </c>
      <c r="AP1953" t="s">
        <v>11060</v>
      </c>
      <c r="AQ1953" t="s">
        <v>11138</v>
      </c>
      <c r="AR1953" t="s">
        <v>11292</v>
      </c>
      <c r="AS1953" t="s">
        <v>11595</v>
      </c>
      <c r="AY1953" t="s">
        <v>10829</v>
      </c>
      <c r="AZ1953" t="s">
        <v>11683</v>
      </c>
      <c r="BA1953" t="s">
        <v>11741</v>
      </c>
      <c r="BB1953">
        <v>0</v>
      </c>
      <c r="BC1953">
        <v>0</v>
      </c>
      <c r="BD1953">
        <v>0</v>
      </c>
      <c r="BE1953">
        <v>0</v>
      </c>
      <c r="BF1953">
        <v>1</v>
      </c>
      <c r="BG1953">
        <v>0</v>
      </c>
    </row>
    <row r="1954" spans="1:59">
      <c r="A1954" s="1">
        <f>HYPERLINK("https://lsnyc.legalserver.org/matter/dynamic-profile/view/1905856","19-1905856")</f>
        <v>0</v>
      </c>
      <c r="B1954" t="s">
        <v>1682</v>
      </c>
      <c r="C1954" t="s">
        <v>6483</v>
      </c>
      <c r="D1954" t="s">
        <v>9928</v>
      </c>
      <c r="E1954" t="s">
        <v>10075</v>
      </c>
      <c r="F1954">
        <v>11215</v>
      </c>
      <c r="G1954" t="s">
        <v>10093</v>
      </c>
      <c r="H1954" t="s">
        <v>10134</v>
      </c>
      <c r="I1954" t="s">
        <v>10168</v>
      </c>
      <c r="J1954" t="s">
        <v>10213</v>
      </c>
      <c r="K1954" t="s">
        <v>10217</v>
      </c>
      <c r="M1954" t="s">
        <v>10456</v>
      </c>
      <c r="N1954" t="s">
        <v>10650</v>
      </c>
      <c r="P1954" t="s">
        <v>10749</v>
      </c>
      <c r="Q1954" t="s">
        <v>10765</v>
      </c>
      <c r="R1954" t="s">
        <v>10821</v>
      </c>
      <c r="T1954">
        <v>30840</v>
      </c>
      <c r="U1954">
        <v>2570</v>
      </c>
      <c r="V1954">
        <v>43</v>
      </c>
      <c r="W1954">
        <v>2</v>
      </c>
      <c r="X1954">
        <v>0</v>
      </c>
      <c r="Z1954">
        <v>182.38</v>
      </c>
      <c r="AA1954">
        <v>40.673866</v>
      </c>
      <c r="AB1954">
        <v>-73.982764</v>
      </c>
      <c r="AD1954" t="s">
        <v>10840</v>
      </c>
      <c r="AG1954" t="s">
        <v>10858</v>
      </c>
      <c r="AH1954" t="s">
        <v>10862</v>
      </c>
      <c r="AI1954">
        <v>239</v>
      </c>
      <c r="AJ1954" t="s">
        <v>10213</v>
      </c>
      <c r="AL1954">
        <v>0</v>
      </c>
      <c r="AM1954" t="s">
        <v>10886</v>
      </c>
      <c r="AN1954" t="s">
        <v>10917</v>
      </c>
      <c r="AO1954" t="s">
        <v>11005</v>
      </c>
      <c r="AP1954" t="s">
        <v>11059</v>
      </c>
      <c r="AR1954" t="s">
        <v>11295</v>
      </c>
      <c r="AS1954" t="s">
        <v>11595</v>
      </c>
      <c r="AT1954" t="s">
        <v>11642</v>
      </c>
      <c r="BA1954" t="s">
        <v>11740</v>
      </c>
      <c r="BB1954">
        <v>0</v>
      </c>
      <c r="BC1954">
        <v>0</v>
      </c>
      <c r="BD1954">
        <v>0</v>
      </c>
      <c r="BE1954">
        <v>0</v>
      </c>
      <c r="BF1954">
        <v>2</v>
      </c>
      <c r="BG1954">
        <v>0</v>
      </c>
    </row>
    <row r="1955" spans="1:59">
      <c r="A1955" s="1">
        <f>HYPERLINK("https://lsnyc.legalserver.org/matter/dynamic-profile/view/1905857","19-1905857")</f>
        <v>0</v>
      </c>
      <c r="B1955" t="s">
        <v>1683</v>
      </c>
      <c r="C1955" t="s">
        <v>6484</v>
      </c>
      <c r="D1955" t="s">
        <v>9926</v>
      </c>
      <c r="E1955" t="s">
        <v>10075</v>
      </c>
      <c r="F1955">
        <v>10467</v>
      </c>
      <c r="G1955" t="s">
        <v>10090</v>
      </c>
      <c r="H1955" t="s">
        <v>10134</v>
      </c>
      <c r="I1955" t="s">
        <v>10168</v>
      </c>
      <c r="J1955" t="s">
        <v>10210</v>
      </c>
      <c r="K1955" t="s">
        <v>10217</v>
      </c>
      <c r="M1955" t="s">
        <v>10418</v>
      </c>
      <c r="N1955" t="s">
        <v>10651</v>
      </c>
      <c r="P1955" t="s">
        <v>10749</v>
      </c>
      <c r="Q1955" t="s">
        <v>10765</v>
      </c>
      <c r="R1955" t="s">
        <v>10824</v>
      </c>
      <c r="T1955">
        <v>0</v>
      </c>
      <c r="U1955">
        <v>0</v>
      </c>
      <c r="V1955">
        <v>57</v>
      </c>
      <c r="W1955">
        <v>2</v>
      </c>
      <c r="X1955">
        <v>0</v>
      </c>
      <c r="Z1955">
        <v>0</v>
      </c>
      <c r="AA1955">
        <v>40.881338</v>
      </c>
      <c r="AB1955">
        <v>-73.862892</v>
      </c>
      <c r="AD1955" t="s">
        <v>10839</v>
      </c>
      <c r="AG1955" t="s">
        <v>10858</v>
      </c>
      <c r="AH1955" t="s">
        <v>10861</v>
      </c>
      <c r="AI1955">
        <v>230</v>
      </c>
      <c r="AJ1955" t="s">
        <v>10210</v>
      </c>
      <c r="AL1955">
        <v>7.1</v>
      </c>
      <c r="AM1955" t="s">
        <v>10893</v>
      </c>
      <c r="AN1955" t="s">
        <v>10956</v>
      </c>
      <c r="AO1955" t="s">
        <v>11010</v>
      </c>
      <c r="AP1955" t="s">
        <v>11085</v>
      </c>
      <c r="AR1955" t="s">
        <v>11267</v>
      </c>
      <c r="AS1955" t="s">
        <v>9926</v>
      </c>
      <c r="AT1955" t="s">
        <v>11641</v>
      </c>
      <c r="AX1955" t="s">
        <v>10838</v>
      </c>
      <c r="BA1955" t="s">
        <v>11738</v>
      </c>
      <c r="BB1955">
        <v>0</v>
      </c>
      <c r="BC1955">
        <v>0</v>
      </c>
      <c r="BD1955">
        <v>0</v>
      </c>
      <c r="BE1955">
        <v>0</v>
      </c>
      <c r="BF1955">
        <v>5</v>
      </c>
      <c r="BG1955">
        <v>0</v>
      </c>
    </row>
    <row r="1956" spans="1:59">
      <c r="A1956" s="1">
        <f>HYPERLINK("https://lsnyc.legalserver.org/matter/dynamic-profile/view/1905858","19-1905858")</f>
        <v>0</v>
      </c>
      <c r="B1956" t="s">
        <v>1684</v>
      </c>
      <c r="C1956" t="s">
        <v>6485</v>
      </c>
      <c r="D1956" t="s">
        <v>9927</v>
      </c>
      <c r="E1956" t="s">
        <v>10075</v>
      </c>
      <c r="F1956">
        <v>11377</v>
      </c>
      <c r="G1956" t="s">
        <v>10092</v>
      </c>
      <c r="H1956" t="s">
        <v>10134</v>
      </c>
      <c r="J1956" t="s">
        <v>10212</v>
      </c>
      <c r="K1956" t="s">
        <v>10217</v>
      </c>
      <c r="M1956" t="s">
        <v>10335</v>
      </c>
      <c r="N1956" t="s">
        <v>10695</v>
      </c>
      <c r="P1956" t="s">
        <v>10749</v>
      </c>
      <c r="Q1956" t="s">
        <v>10765</v>
      </c>
      <c r="R1956" t="s">
        <v>10828</v>
      </c>
      <c r="T1956">
        <v>45000</v>
      </c>
      <c r="U1956">
        <v>3750</v>
      </c>
      <c r="V1956">
        <v>43</v>
      </c>
      <c r="W1956">
        <v>2</v>
      </c>
      <c r="X1956">
        <v>2</v>
      </c>
      <c r="Z1956">
        <v>174.76</v>
      </c>
      <c r="AA1956">
        <v>40.747916</v>
      </c>
      <c r="AB1956">
        <v>-73.903856</v>
      </c>
      <c r="AD1956" t="s">
        <v>10840</v>
      </c>
      <c r="AF1956" t="s">
        <v>10843</v>
      </c>
      <c r="AG1956" t="s">
        <v>10859</v>
      </c>
      <c r="AH1956" t="s">
        <v>10862</v>
      </c>
      <c r="AI1956">
        <v>237</v>
      </c>
      <c r="AJ1956" t="s">
        <v>10212</v>
      </c>
      <c r="AK1956" t="s">
        <v>10838</v>
      </c>
      <c r="AL1956">
        <v>0.93</v>
      </c>
      <c r="AM1956" t="s">
        <v>10885</v>
      </c>
      <c r="AN1956" t="s">
        <v>10935</v>
      </c>
      <c r="AO1956" t="s">
        <v>11003</v>
      </c>
      <c r="AP1956" t="s">
        <v>11047</v>
      </c>
      <c r="AQ1956" t="s">
        <v>11101</v>
      </c>
      <c r="AR1956" t="s">
        <v>11257</v>
      </c>
      <c r="AS1956" t="s">
        <v>11594</v>
      </c>
      <c r="BA1956" t="s">
        <v>11741</v>
      </c>
      <c r="BB1956">
        <v>0</v>
      </c>
      <c r="BC1956">
        <v>0</v>
      </c>
      <c r="BD1956">
        <v>0</v>
      </c>
      <c r="BE1956">
        <v>0</v>
      </c>
      <c r="BF1956">
        <v>1</v>
      </c>
      <c r="BG1956">
        <v>0</v>
      </c>
    </row>
    <row r="1957" spans="1:59">
      <c r="A1957" s="1">
        <f>HYPERLINK("https://lsnyc.legalserver.org/matter/dynamic-profile/view/1905861","19-1905861")</f>
        <v>0</v>
      </c>
      <c r="B1957" t="s">
        <v>553</v>
      </c>
      <c r="C1957" t="s">
        <v>5465</v>
      </c>
      <c r="D1957" t="s">
        <v>9926</v>
      </c>
      <c r="E1957" t="s">
        <v>10075</v>
      </c>
      <c r="F1957">
        <v>10460</v>
      </c>
      <c r="G1957" t="s">
        <v>10090</v>
      </c>
      <c r="H1957" t="s">
        <v>10130</v>
      </c>
      <c r="I1957" t="s">
        <v>10168</v>
      </c>
      <c r="J1957" t="s">
        <v>10210</v>
      </c>
      <c r="K1957" t="s">
        <v>10217</v>
      </c>
      <c r="M1957" t="s">
        <v>10397</v>
      </c>
      <c r="N1957" t="s">
        <v>10671</v>
      </c>
      <c r="P1957" t="s">
        <v>10749</v>
      </c>
      <c r="Q1957" t="s">
        <v>10765</v>
      </c>
      <c r="R1957" t="s">
        <v>10824</v>
      </c>
      <c r="T1957">
        <v>14160</v>
      </c>
      <c r="U1957">
        <v>1180</v>
      </c>
      <c r="V1957">
        <v>59</v>
      </c>
      <c r="W1957">
        <v>2</v>
      </c>
      <c r="X1957">
        <v>0</v>
      </c>
      <c r="Z1957">
        <v>83.73999999999999</v>
      </c>
      <c r="AA1957">
        <v>40.831778</v>
      </c>
      <c r="AB1957">
        <v>-73.885413</v>
      </c>
      <c r="AD1957" t="s">
        <v>10839</v>
      </c>
      <c r="AG1957" t="s">
        <v>10858</v>
      </c>
      <c r="AH1957" t="s">
        <v>10862</v>
      </c>
      <c r="AI1957">
        <v>230</v>
      </c>
      <c r="AJ1957" t="s">
        <v>10210</v>
      </c>
      <c r="AL1957">
        <v>0.1</v>
      </c>
      <c r="AM1957" t="s">
        <v>10884</v>
      </c>
      <c r="AN1957" t="s">
        <v>10968</v>
      </c>
      <c r="AO1957" t="s">
        <v>11001</v>
      </c>
      <c r="AP1957" t="s">
        <v>11062</v>
      </c>
      <c r="AR1957" t="s">
        <v>11296</v>
      </c>
      <c r="AS1957" t="s">
        <v>9926</v>
      </c>
      <c r="AT1957" t="s">
        <v>11641</v>
      </c>
      <c r="BA1957" t="s">
        <v>11741</v>
      </c>
      <c r="BB1957">
        <v>0</v>
      </c>
      <c r="BC1957">
        <v>0</v>
      </c>
      <c r="BD1957">
        <v>0</v>
      </c>
      <c r="BE1957">
        <v>0</v>
      </c>
      <c r="BF1957">
        <v>1</v>
      </c>
      <c r="BG1957">
        <v>0</v>
      </c>
    </row>
    <row r="1958" spans="1:59">
      <c r="A1958" s="1">
        <f>HYPERLINK("https://lsnyc.legalserver.org/matter/dynamic-profile/view/1905862","19-1905862")</f>
        <v>0</v>
      </c>
      <c r="B1958" t="s">
        <v>1682</v>
      </c>
      <c r="C1958" t="s">
        <v>6483</v>
      </c>
      <c r="D1958" t="s">
        <v>9928</v>
      </c>
      <c r="E1958" t="s">
        <v>10075</v>
      </c>
      <c r="F1958">
        <v>11215</v>
      </c>
      <c r="G1958" t="s">
        <v>10093</v>
      </c>
      <c r="H1958" t="s">
        <v>10134</v>
      </c>
      <c r="I1958" t="s">
        <v>10168</v>
      </c>
      <c r="J1958" t="s">
        <v>10213</v>
      </c>
      <c r="K1958" t="s">
        <v>10217</v>
      </c>
      <c r="M1958" t="s">
        <v>10556</v>
      </c>
      <c r="N1958" t="s">
        <v>10650</v>
      </c>
      <c r="P1958" t="s">
        <v>10749</v>
      </c>
      <c r="Q1958" t="s">
        <v>10765</v>
      </c>
      <c r="R1958" t="s">
        <v>10821</v>
      </c>
      <c r="T1958">
        <v>30840</v>
      </c>
      <c r="U1958">
        <v>2570</v>
      </c>
      <c r="V1958">
        <v>43</v>
      </c>
      <c r="W1958">
        <v>2</v>
      </c>
      <c r="X1958">
        <v>0</v>
      </c>
      <c r="Z1958">
        <v>182.38</v>
      </c>
      <c r="AA1958">
        <v>40.673866</v>
      </c>
      <c r="AB1958">
        <v>-73.982764</v>
      </c>
      <c r="AD1958" t="s">
        <v>10840</v>
      </c>
      <c r="AG1958" t="s">
        <v>10858</v>
      </c>
      <c r="AH1958" t="s">
        <v>10862</v>
      </c>
      <c r="AI1958">
        <v>239</v>
      </c>
      <c r="AJ1958" t="s">
        <v>10213</v>
      </c>
      <c r="AL1958">
        <v>0</v>
      </c>
      <c r="AR1958" t="s">
        <v>11295</v>
      </c>
      <c r="AS1958" t="s">
        <v>11595</v>
      </c>
      <c r="AT1958" t="s">
        <v>11642</v>
      </c>
      <c r="BA1958" t="s">
        <v>11739</v>
      </c>
      <c r="BB1958">
        <v>0</v>
      </c>
      <c r="BC1958">
        <v>0</v>
      </c>
      <c r="BD1958">
        <v>0</v>
      </c>
      <c r="BE1958">
        <v>0</v>
      </c>
      <c r="BF1958">
        <v>4</v>
      </c>
      <c r="BG1958">
        <v>0</v>
      </c>
    </row>
    <row r="1959" spans="1:59">
      <c r="A1959" s="1">
        <f>HYPERLINK("https://lsnyc.legalserver.org/matter/dynamic-profile/view/1905863","19-1905863")</f>
        <v>0</v>
      </c>
      <c r="B1959" t="s">
        <v>1683</v>
      </c>
      <c r="C1959" t="s">
        <v>6484</v>
      </c>
      <c r="D1959" t="s">
        <v>9926</v>
      </c>
      <c r="E1959" t="s">
        <v>10075</v>
      </c>
      <c r="F1959">
        <v>10467</v>
      </c>
      <c r="G1959" t="s">
        <v>10090</v>
      </c>
      <c r="H1959" t="s">
        <v>10134</v>
      </c>
      <c r="J1959" t="s">
        <v>10210</v>
      </c>
      <c r="K1959" t="s">
        <v>10217</v>
      </c>
      <c r="M1959" t="s">
        <v>10418</v>
      </c>
      <c r="N1959" t="s">
        <v>10671</v>
      </c>
      <c r="P1959" t="s">
        <v>10751</v>
      </c>
      <c r="Q1959" t="s">
        <v>10761</v>
      </c>
      <c r="R1959" t="s">
        <v>10824</v>
      </c>
      <c r="T1959">
        <v>0</v>
      </c>
      <c r="U1959">
        <v>0</v>
      </c>
      <c r="V1959">
        <v>57</v>
      </c>
      <c r="W1959">
        <v>2</v>
      </c>
      <c r="X1959">
        <v>0</v>
      </c>
      <c r="Z1959">
        <v>0</v>
      </c>
      <c r="AA1959">
        <v>40.881338</v>
      </c>
      <c r="AB1959">
        <v>-73.862892</v>
      </c>
      <c r="AD1959" t="s">
        <v>10839</v>
      </c>
      <c r="AG1959" t="s">
        <v>10858</v>
      </c>
      <c r="AH1959" t="s">
        <v>10861</v>
      </c>
      <c r="AI1959">
        <v>230</v>
      </c>
      <c r="AJ1959" t="s">
        <v>10210</v>
      </c>
      <c r="AL1959">
        <v>0</v>
      </c>
      <c r="AM1959" t="s">
        <v>10893</v>
      </c>
      <c r="AN1959" t="s">
        <v>10956</v>
      </c>
      <c r="AO1959" t="s">
        <v>11010</v>
      </c>
      <c r="AP1959" t="s">
        <v>11085</v>
      </c>
      <c r="AR1959" t="s">
        <v>11267</v>
      </c>
      <c r="AS1959" t="s">
        <v>9926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</row>
    <row r="1960" spans="1:59">
      <c r="A1960" s="1">
        <f>HYPERLINK("https://lsnyc.legalserver.org/matter/dynamic-profile/view/1905864","19-1905864")</f>
        <v>0</v>
      </c>
      <c r="B1960" t="s">
        <v>1685</v>
      </c>
      <c r="C1960" t="s">
        <v>6486</v>
      </c>
      <c r="D1960" t="s">
        <v>9926</v>
      </c>
      <c r="E1960" t="s">
        <v>10075</v>
      </c>
      <c r="F1960">
        <v>10467</v>
      </c>
      <c r="G1960" t="s">
        <v>10090</v>
      </c>
      <c r="H1960" t="s">
        <v>10134</v>
      </c>
      <c r="I1960" t="s">
        <v>10168</v>
      </c>
      <c r="J1960" t="s">
        <v>10210</v>
      </c>
      <c r="K1960" t="s">
        <v>10217</v>
      </c>
      <c r="M1960" t="s">
        <v>10276</v>
      </c>
      <c r="N1960" t="s">
        <v>10651</v>
      </c>
      <c r="P1960" t="s">
        <v>10749</v>
      </c>
      <c r="Q1960" t="s">
        <v>10765</v>
      </c>
      <c r="R1960" t="s">
        <v>10824</v>
      </c>
      <c r="T1960">
        <v>2664</v>
      </c>
      <c r="U1960">
        <v>222</v>
      </c>
      <c r="V1960">
        <v>58</v>
      </c>
      <c r="W1960">
        <v>3</v>
      </c>
      <c r="X1960">
        <v>0</v>
      </c>
      <c r="Z1960">
        <v>12.49</v>
      </c>
      <c r="AA1960">
        <v>40.877006</v>
      </c>
      <c r="AB1960">
        <v>-73.863089</v>
      </c>
      <c r="AC1960" t="s">
        <v>10837</v>
      </c>
      <c r="AD1960" t="s">
        <v>10840</v>
      </c>
      <c r="AG1960" t="s">
        <v>10858</v>
      </c>
      <c r="AH1960" t="s">
        <v>10862</v>
      </c>
      <c r="AI1960">
        <v>230</v>
      </c>
      <c r="AJ1960" t="s">
        <v>10210</v>
      </c>
      <c r="AL1960">
        <v>4.8</v>
      </c>
      <c r="AM1960" t="s">
        <v>10893</v>
      </c>
      <c r="AN1960" t="s">
        <v>10956</v>
      </c>
      <c r="AO1960" t="s">
        <v>11010</v>
      </c>
      <c r="AP1960" t="s">
        <v>11085</v>
      </c>
      <c r="AR1960" t="s">
        <v>11273</v>
      </c>
      <c r="AS1960" t="s">
        <v>9926</v>
      </c>
      <c r="AT1960" t="s">
        <v>11642</v>
      </c>
      <c r="AX1960" t="s">
        <v>10838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</row>
    <row r="1961" spans="1:59">
      <c r="A1961" s="1">
        <f>HYPERLINK("https://lsnyc.legalserver.org/matter/dynamic-profile/view/1905865","19-1905865")</f>
        <v>0</v>
      </c>
      <c r="B1961" t="s">
        <v>1686</v>
      </c>
      <c r="C1961" t="s">
        <v>6483</v>
      </c>
      <c r="D1961" t="s">
        <v>9928</v>
      </c>
      <c r="E1961" t="s">
        <v>10075</v>
      </c>
      <c r="F1961">
        <v>11215</v>
      </c>
      <c r="G1961" t="s">
        <v>10093</v>
      </c>
      <c r="H1961" t="s">
        <v>10134</v>
      </c>
      <c r="I1961" t="s">
        <v>10168</v>
      </c>
      <c r="J1961" t="s">
        <v>10213</v>
      </c>
      <c r="K1961" t="s">
        <v>10217</v>
      </c>
      <c r="M1961" t="s">
        <v>10556</v>
      </c>
      <c r="N1961" t="s">
        <v>10650</v>
      </c>
      <c r="P1961" t="s">
        <v>10749</v>
      </c>
      <c r="Q1961" t="s">
        <v>10765</v>
      </c>
      <c r="R1961" t="s">
        <v>10821</v>
      </c>
      <c r="T1961">
        <v>10100</v>
      </c>
      <c r="U1961">
        <v>841.67</v>
      </c>
      <c r="V1961">
        <v>24</v>
      </c>
      <c r="W1961">
        <v>3</v>
      </c>
      <c r="X1961">
        <v>2</v>
      </c>
      <c r="Z1961">
        <v>33.48</v>
      </c>
      <c r="AA1961">
        <v>40.673866</v>
      </c>
      <c r="AB1961">
        <v>-73.982764</v>
      </c>
      <c r="AD1961" t="s">
        <v>10839</v>
      </c>
      <c r="AG1961" t="s">
        <v>10858</v>
      </c>
      <c r="AH1961" t="s">
        <v>10862</v>
      </c>
      <c r="AI1961">
        <v>239</v>
      </c>
      <c r="AJ1961" t="s">
        <v>10213</v>
      </c>
      <c r="AL1961">
        <v>0</v>
      </c>
      <c r="AM1961" t="s">
        <v>10886</v>
      </c>
      <c r="AN1961" t="s">
        <v>10917</v>
      </c>
      <c r="AO1961" t="s">
        <v>11005</v>
      </c>
      <c r="AP1961" t="s">
        <v>11059</v>
      </c>
      <c r="AR1961" t="s">
        <v>11257</v>
      </c>
      <c r="AS1961" t="s">
        <v>11595</v>
      </c>
      <c r="AT1961" t="s">
        <v>11641</v>
      </c>
      <c r="AX1961" t="s">
        <v>10838</v>
      </c>
      <c r="BA1961" t="s">
        <v>11740</v>
      </c>
      <c r="BB1961">
        <v>0</v>
      </c>
      <c r="BC1961">
        <v>0</v>
      </c>
      <c r="BD1961">
        <v>0</v>
      </c>
      <c r="BE1961">
        <v>0</v>
      </c>
      <c r="BF1961">
        <v>2</v>
      </c>
      <c r="BG1961">
        <v>0</v>
      </c>
    </row>
    <row r="1962" spans="1:59">
      <c r="A1962" s="1">
        <f>HYPERLINK("https://lsnyc.legalserver.org/matter/dynamic-profile/view/1905866","19-1905866")</f>
        <v>0</v>
      </c>
      <c r="B1962" t="s">
        <v>1687</v>
      </c>
      <c r="C1962" t="s">
        <v>6487</v>
      </c>
      <c r="D1962" t="s">
        <v>9926</v>
      </c>
      <c r="E1962" t="s">
        <v>10075</v>
      </c>
      <c r="F1962">
        <v>10468</v>
      </c>
      <c r="G1962" t="s">
        <v>10091</v>
      </c>
      <c r="H1962" t="s">
        <v>10134</v>
      </c>
      <c r="I1962" t="s">
        <v>10169</v>
      </c>
      <c r="J1962" t="s">
        <v>10211</v>
      </c>
      <c r="K1962" t="s">
        <v>10217</v>
      </c>
      <c r="M1962" t="s">
        <v>10231</v>
      </c>
      <c r="N1962" t="s">
        <v>10647</v>
      </c>
      <c r="P1962" t="s">
        <v>10752</v>
      </c>
      <c r="Q1962" t="s">
        <v>10762</v>
      </c>
      <c r="R1962" t="s">
        <v>10821</v>
      </c>
      <c r="T1962">
        <v>3900</v>
      </c>
      <c r="U1962">
        <v>325</v>
      </c>
      <c r="V1962">
        <v>49</v>
      </c>
      <c r="W1962">
        <v>1</v>
      </c>
      <c r="X1962">
        <v>0</v>
      </c>
      <c r="Z1962">
        <v>31.22</v>
      </c>
      <c r="AA1962">
        <v>40.869665</v>
      </c>
      <c r="AB1962">
        <v>-73.901715</v>
      </c>
      <c r="AD1962" t="s">
        <v>10840</v>
      </c>
      <c r="AF1962" t="s">
        <v>10843</v>
      </c>
      <c r="AG1962" t="s">
        <v>10859</v>
      </c>
      <c r="AH1962" t="s">
        <v>10861</v>
      </c>
      <c r="AI1962">
        <v>234</v>
      </c>
      <c r="AJ1962" t="s">
        <v>10214</v>
      </c>
      <c r="AL1962">
        <v>0.7</v>
      </c>
      <c r="AM1962" t="s">
        <v>10887</v>
      </c>
      <c r="AN1962" t="s">
        <v>10919</v>
      </c>
      <c r="AO1962" t="s">
        <v>11000</v>
      </c>
      <c r="AP1962" t="s">
        <v>11045</v>
      </c>
      <c r="AR1962" t="s">
        <v>11297</v>
      </c>
      <c r="AS1962" t="s">
        <v>9926</v>
      </c>
      <c r="AT1962" t="s">
        <v>11642</v>
      </c>
      <c r="AX1962" t="s">
        <v>10838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</row>
    <row r="1963" spans="1:59">
      <c r="A1963" s="1">
        <f>HYPERLINK("https://lsnyc.legalserver.org/matter/dynamic-profile/view/1905867","19-1905867")</f>
        <v>0</v>
      </c>
      <c r="B1963" t="s">
        <v>1686</v>
      </c>
      <c r="C1963" t="s">
        <v>6483</v>
      </c>
      <c r="D1963" t="s">
        <v>9928</v>
      </c>
      <c r="E1963" t="s">
        <v>10075</v>
      </c>
      <c r="F1963">
        <v>11215</v>
      </c>
      <c r="G1963" t="s">
        <v>10093</v>
      </c>
      <c r="H1963" t="s">
        <v>10134</v>
      </c>
      <c r="I1963" t="s">
        <v>10168</v>
      </c>
      <c r="J1963" t="s">
        <v>10213</v>
      </c>
      <c r="K1963" t="s">
        <v>10217</v>
      </c>
      <c r="M1963" t="s">
        <v>10556</v>
      </c>
      <c r="N1963" t="s">
        <v>10650</v>
      </c>
      <c r="P1963" t="s">
        <v>10749</v>
      </c>
      <c r="Q1963" t="s">
        <v>10765</v>
      </c>
      <c r="R1963" t="s">
        <v>10821</v>
      </c>
      <c r="T1963">
        <v>10100</v>
      </c>
      <c r="U1963">
        <v>841.67</v>
      </c>
      <c r="V1963">
        <v>24</v>
      </c>
      <c r="W1963">
        <v>3</v>
      </c>
      <c r="X1963">
        <v>2</v>
      </c>
      <c r="Z1963">
        <v>33.48</v>
      </c>
      <c r="AA1963">
        <v>40.673866</v>
      </c>
      <c r="AB1963">
        <v>-73.982764</v>
      </c>
      <c r="AD1963" t="s">
        <v>10839</v>
      </c>
      <c r="AG1963" t="s">
        <v>10858</v>
      </c>
      <c r="AH1963" t="s">
        <v>10862</v>
      </c>
      <c r="AI1963">
        <v>239</v>
      </c>
      <c r="AJ1963" t="s">
        <v>10213</v>
      </c>
      <c r="AL1963">
        <v>0</v>
      </c>
      <c r="AR1963" t="s">
        <v>11257</v>
      </c>
      <c r="AS1963" t="s">
        <v>11595</v>
      </c>
      <c r="AT1963" t="s">
        <v>11641</v>
      </c>
      <c r="BA1963" t="s">
        <v>11739</v>
      </c>
      <c r="BB1963">
        <v>0</v>
      </c>
      <c r="BC1963">
        <v>0</v>
      </c>
      <c r="BD1963">
        <v>0</v>
      </c>
      <c r="BE1963">
        <v>0</v>
      </c>
      <c r="BF1963">
        <v>4</v>
      </c>
      <c r="BG1963">
        <v>0</v>
      </c>
    </row>
    <row r="1964" spans="1:59">
      <c r="A1964" s="1">
        <f>HYPERLINK("https://lsnyc.legalserver.org/matter/dynamic-profile/view/1905868","19-1905868")</f>
        <v>0</v>
      </c>
      <c r="B1964" t="s">
        <v>1688</v>
      </c>
      <c r="C1964" t="s">
        <v>6488</v>
      </c>
      <c r="D1964" t="s">
        <v>9926</v>
      </c>
      <c r="E1964" t="s">
        <v>10075</v>
      </c>
      <c r="F1964">
        <v>10453</v>
      </c>
      <c r="G1964" t="s">
        <v>10090</v>
      </c>
      <c r="H1964" t="s">
        <v>10134</v>
      </c>
      <c r="I1964" t="s">
        <v>10168</v>
      </c>
      <c r="J1964" t="s">
        <v>10210</v>
      </c>
      <c r="K1964" t="s">
        <v>10217</v>
      </c>
      <c r="M1964" t="s">
        <v>10303</v>
      </c>
      <c r="N1964" t="s">
        <v>10671</v>
      </c>
      <c r="P1964" t="s">
        <v>10751</v>
      </c>
      <c r="Q1964" t="s">
        <v>10761</v>
      </c>
      <c r="R1964" t="s">
        <v>10821</v>
      </c>
      <c r="T1964">
        <v>8772</v>
      </c>
      <c r="U1964">
        <v>731</v>
      </c>
      <c r="V1964">
        <v>32</v>
      </c>
      <c r="W1964">
        <v>1</v>
      </c>
      <c r="X1964">
        <v>0</v>
      </c>
      <c r="Z1964">
        <v>70.23</v>
      </c>
      <c r="AA1964">
        <v>40.850929</v>
      </c>
      <c r="AB1964">
        <v>-73.90683</v>
      </c>
      <c r="AD1964" t="s">
        <v>10839</v>
      </c>
      <c r="AG1964" t="s">
        <v>10858</v>
      </c>
      <c r="AH1964" t="s">
        <v>10861</v>
      </c>
      <c r="AI1964">
        <v>234</v>
      </c>
      <c r="AJ1964" t="s">
        <v>10214</v>
      </c>
      <c r="AL1964">
        <v>8.65</v>
      </c>
      <c r="AM1964" t="s">
        <v>10884</v>
      </c>
      <c r="AN1964" t="s">
        <v>10931</v>
      </c>
      <c r="AO1964" t="s">
        <v>11000</v>
      </c>
      <c r="AP1964" t="s">
        <v>11045</v>
      </c>
      <c r="AR1964" t="s">
        <v>11263</v>
      </c>
      <c r="AS1964" t="s">
        <v>9926</v>
      </c>
      <c r="AT1964" t="s">
        <v>11641</v>
      </c>
      <c r="AX1964" t="s">
        <v>10838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</row>
    <row r="1965" spans="1:59">
      <c r="A1965" s="1">
        <f>HYPERLINK("https://lsnyc.legalserver.org/matter/dynamic-profile/view/1905869","19-1905869")</f>
        <v>0</v>
      </c>
      <c r="B1965" t="s">
        <v>1689</v>
      </c>
      <c r="C1965" t="s">
        <v>6489</v>
      </c>
      <c r="D1965" t="s">
        <v>9926</v>
      </c>
      <c r="E1965" t="s">
        <v>10075</v>
      </c>
      <c r="F1965">
        <v>10467</v>
      </c>
      <c r="G1965" t="s">
        <v>10093</v>
      </c>
      <c r="H1965" t="s">
        <v>10134</v>
      </c>
      <c r="I1965" t="s">
        <v>10182</v>
      </c>
      <c r="J1965" t="s">
        <v>10213</v>
      </c>
      <c r="K1965" t="s">
        <v>10218</v>
      </c>
      <c r="L1965" t="s">
        <v>10223</v>
      </c>
      <c r="M1965" t="s">
        <v>10247</v>
      </c>
      <c r="N1965" t="s">
        <v>10659</v>
      </c>
      <c r="P1965" t="s">
        <v>10754</v>
      </c>
      <c r="Q1965" t="s">
        <v>10775</v>
      </c>
      <c r="R1965" t="s">
        <v>10828</v>
      </c>
      <c r="T1965">
        <v>0</v>
      </c>
      <c r="U1965">
        <v>0</v>
      </c>
      <c r="V1965">
        <v>36</v>
      </c>
      <c r="W1965">
        <v>2</v>
      </c>
      <c r="X1965">
        <v>0</v>
      </c>
      <c r="Y1965" t="s">
        <v>10829</v>
      </c>
      <c r="Z1965">
        <v>0</v>
      </c>
      <c r="AA1965">
        <v>40.879429</v>
      </c>
      <c r="AB1965">
        <v>-73.874466</v>
      </c>
      <c r="AD1965" t="s">
        <v>10839</v>
      </c>
      <c r="AG1965" t="s">
        <v>10858</v>
      </c>
      <c r="AH1965" t="s">
        <v>10865</v>
      </c>
      <c r="AI1965">
        <v>239</v>
      </c>
      <c r="AJ1965" t="s">
        <v>10213</v>
      </c>
      <c r="AK1965" t="s">
        <v>10837</v>
      </c>
      <c r="AL1965">
        <v>2.6</v>
      </c>
      <c r="AM1965" t="s">
        <v>10887</v>
      </c>
      <c r="AN1965" t="s">
        <v>10919</v>
      </c>
      <c r="AO1965" t="s">
        <v>11010</v>
      </c>
      <c r="AP1965" t="s">
        <v>11057</v>
      </c>
      <c r="AQ1965" t="s">
        <v>11138</v>
      </c>
      <c r="AR1965" t="s">
        <v>11267</v>
      </c>
      <c r="AS1965" t="s">
        <v>9926</v>
      </c>
      <c r="AY1965" t="s">
        <v>10829</v>
      </c>
      <c r="AZ1965" t="s">
        <v>11683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</row>
    <row r="1966" spans="1:59">
      <c r="A1966" s="1">
        <f>HYPERLINK("https://lsnyc.legalserver.org/matter/dynamic-profile/view/1905870","19-1905870")</f>
        <v>0</v>
      </c>
      <c r="B1966" t="s">
        <v>1690</v>
      </c>
      <c r="C1966" t="s">
        <v>6490</v>
      </c>
      <c r="D1966" t="s">
        <v>9926</v>
      </c>
      <c r="E1966" t="s">
        <v>10075</v>
      </c>
      <c r="F1966">
        <v>10469</v>
      </c>
      <c r="G1966" t="s">
        <v>10090</v>
      </c>
      <c r="H1966" t="s">
        <v>10134</v>
      </c>
      <c r="I1966" t="s">
        <v>10168</v>
      </c>
      <c r="J1966" t="s">
        <v>10210</v>
      </c>
      <c r="K1966" t="s">
        <v>10217</v>
      </c>
      <c r="M1966" t="s">
        <v>10246</v>
      </c>
      <c r="N1966" t="s">
        <v>10658</v>
      </c>
      <c r="P1966" t="s">
        <v>10749</v>
      </c>
      <c r="Q1966" t="s">
        <v>10769</v>
      </c>
      <c r="R1966" t="s">
        <v>10824</v>
      </c>
      <c r="T1966">
        <v>78000</v>
      </c>
      <c r="U1966">
        <v>6500</v>
      </c>
      <c r="V1966">
        <v>58</v>
      </c>
      <c r="W1966">
        <v>6</v>
      </c>
      <c r="X1966">
        <v>0</v>
      </c>
      <c r="Z1966">
        <v>225.5</v>
      </c>
      <c r="AA1966">
        <v>40.881439</v>
      </c>
      <c r="AB1966">
        <v>-73.850224</v>
      </c>
      <c r="AD1966" t="s">
        <v>10839</v>
      </c>
      <c r="AG1966" t="s">
        <v>10858</v>
      </c>
      <c r="AH1966" t="s">
        <v>10860</v>
      </c>
      <c r="AI1966">
        <v>230</v>
      </c>
      <c r="AJ1966" t="s">
        <v>10210</v>
      </c>
      <c r="AL1966">
        <v>9.85</v>
      </c>
      <c r="AM1966" t="s">
        <v>10893</v>
      </c>
      <c r="AN1966" t="s">
        <v>10956</v>
      </c>
      <c r="AO1966" t="s">
        <v>11010</v>
      </c>
      <c r="AP1966" t="s">
        <v>11085</v>
      </c>
      <c r="AR1966" t="s">
        <v>11356</v>
      </c>
      <c r="AS1966" t="s">
        <v>9926</v>
      </c>
      <c r="AT1966" t="s">
        <v>11641</v>
      </c>
      <c r="AX1966" t="s">
        <v>10838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</row>
    <row r="1967" spans="1:59">
      <c r="A1967" s="1">
        <f>HYPERLINK("https://lsnyc.legalserver.org/matter/dynamic-profile/view/1905871","19-1905871")</f>
        <v>0</v>
      </c>
      <c r="B1967" t="s">
        <v>1691</v>
      </c>
      <c r="C1967" t="s">
        <v>6491</v>
      </c>
      <c r="D1967" t="s">
        <v>9928</v>
      </c>
      <c r="E1967" t="s">
        <v>10075</v>
      </c>
      <c r="F1967">
        <v>11213</v>
      </c>
      <c r="G1967" t="s">
        <v>10093</v>
      </c>
      <c r="H1967" t="s">
        <v>10134</v>
      </c>
      <c r="I1967" t="s">
        <v>10168</v>
      </c>
      <c r="J1967" t="s">
        <v>10213</v>
      </c>
      <c r="K1967" t="s">
        <v>10217</v>
      </c>
      <c r="M1967" t="s">
        <v>10392</v>
      </c>
      <c r="N1967" t="s">
        <v>10650</v>
      </c>
      <c r="P1967" t="s">
        <v>10749</v>
      </c>
      <c r="Q1967" t="s">
        <v>10765</v>
      </c>
      <c r="R1967" t="s">
        <v>10824</v>
      </c>
      <c r="T1967">
        <v>8892</v>
      </c>
      <c r="U1967">
        <v>741</v>
      </c>
      <c r="V1967">
        <v>26</v>
      </c>
      <c r="W1967">
        <v>1</v>
      </c>
      <c r="X1967">
        <v>1</v>
      </c>
      <c r="Z1967">
        <v>52.58</v>
      </c>
      <c r="AA1967">
        <v>40.671362</v>
      </c>
      <c r="AB1967">
        <v>-73.933893</v>
      </c>
      <c r="AD1967" t="s">
        <v>10839</v>
      </c>
      <c r="AG1967" t="s">
        <v>10858</v>
      </c>
      <c r="AH1967" t="s">
        <v>10862</v>
      </c>
      <c r="AI1967">
        <v>239</v>
      </c>
      <c r="AJ1967" t="s">
        <v>10213</v>
      </c>
      <c r="AL1967">
        <v>0</v>
      </c>
      <c r="AM1967" t="s">
        <v>10888</v>
      </c>
      <c r="AN1967" t="s">
        <v>10914</v>
      </c>
      <c r="AO1967" t="s">
        <v>11005</v>
      </c>
      <c r="AP1967" t="s">
        <v>11061</v>
      </c>
      <c r="AR1967" t="s">
        <v>11293</v>
      </c>
      <c r="AS1967" t="s">
        <v>11595</v>
      </c>
      <c r="AT1967" t="s">
        <v>11641</v>
      </c>
      <c r="BA1967" t="s">
        <v>11740</v>
      </c>
      <c r="BB1967">
        <v>0</v>
      </c>
      <c r="BC1967">
        <v>0</v>
      </c>
      <c r="BD1967">
        <v>0</v>
      </c>
      <c r="BE1967">
        <v>0</v>
      </c>
      <c r="BF1967">
        <v>2</v>
      </c>
      <c r="BG1967">
        <v>0</v>
      </c>
    </row>
    <row r="1968" spans="1:59">
      <c r="A1968" s="1">
        <f>HYPERLINK("https://lsnyc.legalserver.org/matter/dynamic-profile/view/1905872","19-1905872")</f>
        <v>0</v>
      </c>
      <c r="B1968" t="s">
        <v>1692</v>
      </c>
      <c r="C1968" t="s">
        <v>6492</v>
      </c>
      <c r="D1968" t="s">
        <v>9926</v>
      </c>
      <c r="E1968" t="s">
        <v>10075</v>
      </c>
      <c r="F1968">
        <v>10459</v>
      </c>
      <c r="G1968" t="s">
        <v>10090</v>
      </c>
      <c r="H1968" t="s">
        <v>10121</v>
      </c>
      <c r="I1968" t="s">
        <v>10168</v>
      </c>
      <c r="J1968" t="s">
        <v>10210</v>
      </c>
      <c r="K1968" t="s">
        <v>10218</v>
      </c>
      <c r="L1968" t="s">
        <v>10221</v>
      </c>
      <c r="M1968" t="s">
        <v>10262</v>
      </c>
      <c r="N1968" t="s">
        <v>10666</v>
      </c>
      <c r="P1968" t="s">
        <v>10749</v>
      </c>
      <c r="Q1968" t="s">
        <v>10765</v>
      </c>
      <c r="R1968" t="s">
        <v>10824</v>
      </c>
      <c r="T1968">
        <v>0</v>
      </c>
      <c r="U1968">
        <v>0</v>
      </c>
      <c r="V1968">
        <v>58</v>
      </c>
      <c r="W1968">
        <v>1</v>
      </c>
      <c r="X1968">
        <v>1</v>
      </c>
      <c r="Y1968" t="s">
        <v>10831</v>
      </c>
      <c r="Z1968">
        <v>0</v>
      </c>
      <c r="AA1968">
        <v>40.826171</v>
      </c>
      <c r="AB1968">
        <v>-73.88753</v>
      </c>
      <c r="AD1968" t="s">
        <v>10839</v>
      </c>
      <c r="AF1968" t="s">
        <v>10844</v>
      </c>
      <c r="AG1968" t="s">
        <v>10859</v>
      </c>
      <c r="AH1968" t="s">
        <v>10862</v>
      </c>
      <c r="AI1968">
        <v>230</v>
      </c>
      <c r="AJ1968" t="s">
        <v>10210</v>
      </c>
      <c r="AK1968" t="s">
        <v>10838</v>
      </c>
      <c r="AL1968">
        <v>16.3</v>
      </c>
      <c r="AM1968" t="s">
        <v>10884</v>
      </c>
      <c r="AN1968" t="s">
        <v>10968</v>
      </c>
      <c r="AO1968" t="s">
        <v>11001</v>
      </c>
      <c r="AP1968" t="s">
        <v>11062</v>
      </c>
      <c r="AR1968" t="s">
        <v>11267</v>
      </c>
      <c r="AS1968" t="s">
        <v>9926</v>
      </c>
      <c r="AT1968" t="s">
        <v>11641</v>
      </c>
      <c r="AY1968" t="s">
        <v>10831</v>
      </c>
      <c r="AZ1968" t="s">
        <v>11687</v>
      </c>
      <c r="BA1968" t="s">
        <v>11738</v>
      </c>
      <c r="BB1968">
        <v>0</v>
      </c>
      <c r="BC1968">
        <v>0</v>
      </c>
      <c r="BD1968">
        <v>0</v>
      </c>
      <c r="BE1968">
        <v>0</v>
      </c>
      <c r="BF1968">
        <v>5</v>
      </c>
      <c r="BG1968">
        <v>0</v>
      </c>
    </row>
    <row r="1969" spans="1:59">
      <c r="A1969" s="1">
        <f>HYPERLINK("https://lsnyc.legalserver.org/matter/dynamic-profile/view/1905873","19-1905873")</f>
        <v>0</v>
      </c>
      <c r="B1969" t="s">
        <v>1693</v>
      </c>
      <c r="C1969" t="s">
        <v>6493</v>
      </c>
      <c r="D1969" t="s">
        <v>9925</v>
      </c>
      <c r="E1969" t="s">
        <v>10075</v>
      </c>
      <c r="F1969">
        <v>10026</v>
      </c>
      <c r="G1969" t="s">
        <v>10091</v>
      </c>
      <c r="H1969" t="s">
        <v>10134</v>
      </c>
      <c r="I1969" t="s">
        <v>10169</v>
      </c>
      <c r="J1969" t="s">
        <v>10214</v>
      </c>
      <c r="K1969" t="s">
        <v>10217</v>
      </c>
      <c r="M1969" t="s">
        <v>10286</v>
      </c>
      <c r="N1969" t="s">
        <v>10671</v>
      </c>
      <c r="P1969" t="s">
        <v>10751</v>
      </c>
      <c r="Q1969" t="s">
        <v>10768</v>
      </c>
      <c r="R1969" t="s">
        <v>10821</v>
      </c>
      <c r="T1969">
        <v>2496</v>
      </c>
      <c r="U1969">
        <v>208</v>
      </c>
      <c r="V1969">
        <v>16</v>
      </c>
      <c r="W1969">
        <v>1</v>
      </c>
      <c r="X1969">
        <v>1</v>
      </c>
      <c r="Z1969">
        <v>14.76</v>
      </c>
      <c r="AA1969">
        <v>40.806016</v>
      </c>
      <c r="AB1969">
        <v>-73.9524</v>
      </c>
      <c r="AD1969" t="s">
        <v>10840</v>
      </c>
      <c r="AG1969" t="s">
        <v>10858</v>
      </c>
      <c r="AH1969" t="s">
        <v>10871</v>
      </c>
      <c r="AI1969">
        <v>234</v>
      </c>
      <c r="AJ1969" t="s">
        <v>10214</v>
      </c>
      <c r="AL1969">
        <v>1</v>
      </c>
      <c r="AM1969" t="s">
        <v>10887</v>
      </c>
      <c r="AN1969" t="s">
        <v>10936</v>
      </c>
      <c r="AO1969" t="s">
        <v>11016</v>
      </c>
      <c r="AP1969" t="s">
        <v>11076</v>
      </c>
      <c r="AR1969" t="s">
        <v>11311</v>
      </c>
      <c r="AS1969" t="s">
        <v>9925</v>
      </c>
      <c r="AT1969" t="s">
        <v>11642</v>
      </c>
      <c r="AX1969" t="s">
        <v>10838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</row>
    <row r="1970" spans="1:59">
      <c r="A1970" s="1">
        <f>HYPERLINK("https://lsnyc.legalserver.org/matter/dynamic-profile/view/1905874","19-1905874")</f>
        <v>0</v>
      </c>
      <c r="B1970" t="s">
        <v>1694</v>
      </c>
      <c r="C1970" t="s">
        <v>6494</v>
      </c>
      <c r="D1970" t="s">
        <v>10005</v>
      </c>
      <c r="E1970" t="s">
        <v>10075</v>
      </c>
      <c r="F1970">
        <v>11933</v>
      </c>
      <c r="G1970" t="s">
        <v>10093</v>
      </c>
      <c r="H1970" t="s">
        <v>10134</v>
      </c>
      <c r="I1970" t="s">
        <v>10168</v>
      </c>
      <c r="J1970" t="s">
        <v>10213</v>
      </c>
      <c r="K1970" t="s">
        <v>10218</v>
      </c>
      <c r="L1970" t="s">
        <v>10129</v>
      </c>
      <c r="M1970" t="s">
        <v>10436</v>
      </c>
      <c r="N1970" t="s">
        <v>10710</v>
      </c>
      <c r="P1970" t="s">
        <v>10750</v>
      </c>
      <c r="Q1970" t="s">
        <v>10760</v>
      </c>
      <c r="R1970" t="s">
        <v>10820</v>
      </c>
      <c r="T1970">
        <v>31200</v>
      </c>
      <c r="U1970">
        <v>2600</v>
      </c>
      <c r="V1970">
        <v>65</v>
      </c>
      <c r="W1970">
        <v>1</v>
      </c>
      <c r="X1970">
        <v>0</v>
      </c>
      <c r="Y1970" t="s">
        <v>10829</v>
      </c>
      <c r="Z1970">
        <v>249.8</v>
      </c>
      <c r="AA1970">
        <v>40.931983</v>
      </c>
      <c r="AB1970">
        <v>-72.705488</v>
      </c>
      <c r="AD1970" t="s">
        <v>10840</v>
      </c>
      <c r="AG1970" t="s">
        <v>10858</v>
      </c>
      <c r="AH1970" t="s">
        <v>10861</v>
      </c>
      <c r="AI1970">
        <v>234</v>
      </c>
      <c r="AJ1970" t="s">
        <v>10214</v>
      </c>
      <c r="AK1970" t="s">
        <v>10838</v>
      </c>
      <c r="AL1970">
        <v>1.1</v>
      </c>
      <c r="AM1970" t="s">
        <v>10897</v>
      </c>
      <c r="AN1970" t="s">
        <v>10982</v>
      </c>
      <c r="AO1970" t="s">
        <v>11031</v>
      </c>
      <c r="AR1970" t="s">
        <v>11345</v>
      </c>
      <c r="AS1970" t="s">
        <v>11602</v>
      </c>
      <c r="AT1970" t="s">
        <v>11642</v>
      </c>
      <c r="AX1970" t="s">
        <v>11678</v>
      </c>
      <c r="AY1970" t="s">
        <v>10829</v>
      </c>
      <c r="AZ1970" t="s">
        <v>11679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</row>
    <row r="1971" spans="1:59">
      <c r="A1971" s="1">
        <f>HYPERLINK("https://lsnyc.legalserver.org/matter/dynamic-profile/view/1905876","19-1905876")</f>
        <v>0</v>
      </c>
      <c r="B1971" t="s">
        <v>1695</v>
      </c>
      <c r="C1971" t="s">
        <v>6495</v>
      </c>
      <c r="D1971" t="s">
        <v>9931</v>
      </c>
      <c r="E1971" t="s">
        <v>10075</v>
      </c>
      <c r="F1971">
        <v>11358</v>
      </c>
      <c r="G1971" t="s">
        <v>10092</v>
      </c>
      <c r="H1971" t="s">
        <v>10134</v>
      </c>
      <c r="I1971" t="s">
        <v>10169</v>
      </c>
      <c r="J1971" t="s">
        <v>10212</v>
      </c>
      <c r="K1971" t="s">
        <v>10217</v>
      </c>
      <c r="M1971" t="s">
        <v>10355</v>
      </c>
      <c r="N1971" t="s">
        <v>10673</v>
      </c>
      <c r="O1971" t="s">
        <v>10673</v>
      </c>
      <c r="P1971" t="s">
        <v>10753</v>
      </c>
      <c r="Q1971" t="s">
        <v>10763</v>
      </c>
      <c r="R1971" t="s">
        <v>10821</v>
      </c>
      <c r="T1971">
        <v>31200</v>
      </c>
      <c r="U1971">
        <v>2600</v>
      </c>
      <c r="V1971">
        <v>21</v>
      </c>
      <c r="W1971">
        <v>1</v>
      </c>
      <c r="X1971">
        <v>2</v>
      </c>
      <c r="Z1971">
        <v>146.27</v>
      </c>
      <c r="AA1971">
        <v>40.754729</v>
      </c>
      <c r="AB1971">
        <v>-73.804996</v>
      </c>
      <c r="AD1971" t="s">
        <v>10839</v>
      </c>
      <c r="AF1971" t="s">
        <v>10842</v>
      </c>
      <c r="AG1971" t="s">
        <v>10859</v>
      </c>
      <c r="AH1971" t="s">
        <v>10861</v>
      </c>
      <c r="AI1971">
        <v>234</v>
      </c>
      <c r="AJ1971" t="s">
        <v>10214</v>
      </c>
      <c r="AL1971">
        <v>5</v>
      </c>
      <c r="AM1971" t="s">
        <v>10890</v>
      </c>
      <c r="AN1971" t="s">
        <v>10927</v>
      </c>
      <c r="AO1971" t="s">
        <v>11022</v>
      </c>
      <c r="AP1971" t="s">
        <v>11067</v>
      </c>
      <c r="AR1971" t="s">
        <v>11351</v>
      </c>
      <c r="AS1971" t="s">
        <v>11594</v>
      </c>
      <c r="AT1971" t="s">
        <v>11641</v>
      </c>
      <c r="AX1971" t="s">
        <v>10838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</row>
    <row r="1972" spans="1:59">
      <c r="A1972" s="1">
        <f>HYPERLINK("https://lsnyc.legalserver.org/matter/dynamic-profile/view/1905877","19-1905877")</f>
        <v>0</v>
      </c>
      <c r="B1972" t="s">
        <v>1696</v>
      </c>
      <c r="C1972" t="s">
        <v>6496</v>
      </c>
      <c r="D1972" t="s">
        <v>9925</v>
      </c>
      <c r="E1972" t="s">
        <v>10075</v>
      </c>
      <c r="F1972">
        <v>10039</v>
      </c>
      <c r="G1972" t="s">
        <v>10091</v>
      </c>
      <c r="H1972" t="s">
        <v>10134</v>
      </c>
      <c r="I1972" t="s">
        <v>10168</v>
      </c>
      <c r="J1972" t="s">
        <v>10214</v>
      </c>
      <c r="K1972" t="s">
        <v>10217</v>
      </c>
      <c r="M1972" t="s">
        <v>10286</v>
      </c>
      <c r="N1972" t="s">
        <v>10671</v>
      </c>
      <c r="P1972" t="s">
        <v>10751</v>
      </c>
      <c r="Q1972" t="s">
        <v>10768</v>
      </c>
      <c r="R1972" t="s">
        <v>10824</v>
      </c>
      <c r="T1972">
        <v>9880</v>
      </c>
      <c r="U1972">
        <v>823.33</v>
      </c>
      <c r="V1972">
        <v>65</v>
      </c>
      <c r="W1972">
        <v>1</v>
      </c>
      <c r="X1972">
        <v>0</v>
      </c>
      <c r="Z1972">
        <v>79.09999999999999</v>
      </c>
      <c r="AA1972">
        <v>40.822934</v>
      </c>
      <c r="AB1972">
        <v>-73.941614</v>
      </c>
      <c r="AD1972" t="s">
        <v>10839</v>
      </c>
      <c r="AG1972" t="s">
        <v>10858</v>
      </c>
      <c r="AH1972" t="s">
        <v>10871</v>
      </c>
      <c r="AI1972">
        <v>234</v>
      </c>
      <c r="AJ1972" t="s">
        <v>10214</v>
      </c>
      <c r="AL1972">
        <v>1</v>
      </c>
      <c r="AM1972" t="s">
        <v>10887</v>
      </c>
      <c r="AN1972" t="s">
        <v>10943</v>
      </c>
      <c r="AO1972" t="s">
        <v>11016</v>
      </c>
      <c r="AP1972" t="s">
        <v>11076</v>
      </c>
      <c r="AR1972" t="s">
        <v>11257</v>
      </c>
      <c r="AS1972" t="s">
        <v>9925</v>
      </c>
      <c r="AT1972" t="s">
        <v>11641</v>
      </c>
      <c r="AX1972" t="s">
        <v>10838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</row>
    <row r="1973" spans="1:59">
      <c r="A1973" s="1">
        <f>HYPERLINK("https://lsnyc.legalserver.org/matter/dynamic-profile/view/1905879","19-1905879")</f>
        <v>0</v>
      </c>
      <c r="B1973" t="s">
        <v>1697</v>
      </c>
      <c r="C1973" t="s">
        <v>6497</v>
      </c>
      <c r="D1973" t="s">
        <v>9928</v>
      </c>
      <c r="E1973" t="s">
        <v>10075</v>
      </c>
      <c r="F1973">
        <v>11235</v>
      </c>
      <c r="G1973" t="s">
        <v>10093</v>
      </c>
      <c r="H1973" t="s">
        <v>10134</v>
      </c>
      <c r="I1973" t="s">
        <v>10168</v>
      </c>
      <c r="J1973" t="s">
        <v>10213</v>
      </c>
      <c r="K1973" t="s">
        <v>10218</v>
      </c>
      <c r="L1973" t="s">
        <v>10139</v>
      </c>
      <c r="M1973" t="s">
        <v>10290</v>
      </c>
      <c r="N1973" t="s">
        <v>10694</v>
      </c>
      <c r="P1973" t="s">
        <v>10751</v>
      </c>
      <c r="Q1973" t="s">
        <v>10773</v>
      </c>
      <c r="R1973" t="s">
        <v>10820</v>
      </c>
      <c r="T1973">
        <v>62400</v>
      </c>
      <c r="U1973">
        <v>5200</v>
      </c>
      <c r="V1973">
        <v>30</v>
      </c>
      <c r="W1973">
        <v>2</v>
      </c>
      <c r="X1973">
        <v>2</v>
      </c>
      <c r="Y1973" t="s">
        <v>10829</v>
      </c>
      <c r="Z1973">
        <v>242.33</v>
      </c>
      <c r="AA1973">
        <v>40.592804</v>
      </c>
      <c r="AB1973">
        <v>-73.94121699999999</v>
      </c>
      <c r="AD1973" t="s">
        <v>10839</v>
      </c>
      <c r="AG1973" t="s">
        <v>10858</v>
      </c>
      <c r="AH1973" t="s">
        <v>10871</v>
      </c>
      <c r="AI1973">
        <v>234</v>
      </c>
      <c r="AJ1973" t="s">
        <v>10214</v>
      </c>
      <c r="AK1973" t="s">
        <v>10838</v>
      </c>
      <c r="AL1973">
        <v>1.7</v>
      </c>
      <c r="AM1973" t="s">
        <v>10888</v>
      </c>
      <c r="AN1973" t="s">
        <v>10957</v>
      </c>
      <c r="AO1973" t="s">
        <v>11012</v>
      </c>
      <c r="AP1973" t="s">
        <v>11092</v>
      </c>
      <c r="AR1973" t="s">
        <v>11257</v>
      </c>
      <c r="AS1973" t="s">
        <v>11595</v>
      </c>
      <c r="AT1973" t="s">
        <v>11641</v>
      </c>
      <c r="AX1973" t="s">
        <v>10838</v>
      </c>
      <c r="AY1973" t="s">
        <v>10829</v>
      </c>
      <c r="AZ1973" t="s">
        <v>11682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</row>
    <row r="1974" spans="1:59">
      <c r="A1974" s="1">
        <f>HYPERLINK("https://lsnyc.legalserver.org/matter/dynamic-profile/view/1905881","19-1905881")</f>
        <v>0</v>
      </c>
      <c r="C1974" t="s">
        <v>6498</v>
      </c>
      <c r="D1974" t="s">
        <v>9926</v>
      </c>
      <c r="E1974" t="s">
        <v>10075</v>
      </c>
      <c r="F1974">
        <v>10462</v>
      </c>
      <c r="G1974" t="s">
        <v>10090</v>
      </c>
      <c r="H1974" t="s">
        <v>10134</v>
      </c>
      <c r="J1974" t="s">
        <v>10210</v>
      </c>
      <c r="K1974" t="s">
        <v>10217</v>
      </c>
      <c r="M1974" t="s">
        <v>10415</v>
      </c>
      <c r="N1974" t="s">
        <v>10671</v>
      </c>
      <c r="P1974" t="s">
        <v>10749</v>
      </c>
      <c r="Q1974" t="s">
        <v>10765</v>
      </c>
      <c r="R1974" t="s">
        <v>10822</v>
      </c>
      <c r="T1974">
        <v>0</v>
      </c>
      <c r="U1974">
        <v>0</v>
      </c>
      <c r="V1974">
        <v>0</v>
      </c>
      <c r="W1974">
        <v>1</v>
      </c>
      <c r="X1974">
        <v>0</v>
      </c>
      <c r="Z1974">
        <v>0</v>
      </c>
      <c r="AA1974">
        <v>40.836613</v>
      </c>
      <c r="AB1974">
        <v>-73.85358600000001</v>
      </c>
      <c r="AD1974" t="s">
        <v>10822</v>
      </c>
      <c r="AG1974" t="s">
        <v>10858</v>
      </c>
      <c r="AH1974" t="s">
        <v>10862</v>
      </c>
      <c r="AI1974">
        <v>230</v>
      </c>
      <c r="AJ1974" t="s">
        <v>10210</v>
      </c>
      <c r="AL1974">
        <v>7.45</v>
      </c>
      <c r="AM1974" t="s">
        <v>10885</v>
      </c>
      <c r="AN1974" t="s">
        <v>10908</v>
      </c>
      <c r="AO1974" t="s">
        <v>11001</v>
      </c>
      <c r="AP1974" t="s">
        <v>11046</v>
      </c>
      <c r="AR1974" t="s">
        <v>11266</v>
      </c>
      <c r="AS1974" t="s">
        <v>9926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</row>
    <row r="1975" spans="1:59">
      <c r="A1975" s="1">
        <f>HYPERLINK("https://lsnyc.legalserver.org/matter/dynamic-profile/view/1905882","19-1905882")</f>
        <v>0</v>
      </c>
      <c r="B1975" t="s">
        <v>1698</v>
      </c>
      <c r="C1975" t="s">
        <v>6495</v>
      </c>
      <c r="D1975" t="s">
        <v>9931</v>
      </c>
      <c r="E1975" t="s">
        <v>10075</v>
      </c>
      <c r="F1975">
        <v>11358</v>
      </c>
      <c r="G1975" t="s">
        <v>10092</v>
      </c>
      <c r="H1975" t="s">
        <v>10134</v>
      </c>
      <c r="I1975" t="s">
        <v>10169</v>
      </c>
      <c r="J1975" t="s">
        <v>10212</v>
      </c>
      <c r="K1975" t="s">
        <v>10217</v>
      </c>
      <c r="M1975" t="s">
        <v>10355</v>
      </c>
      <c r="N1975" t="s">
        <v>10679</v>
      </c>
      <c r="P1975" t="s">
        <v>10753</v>
      </c>
      <c r="Q1975" t="s">
        <v>10763</v>
      </c>
      <c r="R1975" t="s">
        <v>10821</v>
      </c>
      <c r="T1975">
        <v>31200</v>
      </c>
      <c r="U1975">
        <v>2600</v>
      </c>
      <c r="V1975">
        <v>5</v>
      </c>
      <c r="W1975">
        <v>1</v>
      </c>
      <c r="X1975">
        <v>2</v>
      </c>
      <c r="Z1975">
        <v>146.27</v>
      </c>
      <c r="AA1975">
        <v>40.754729</v>
      </c>
      <c r="AB1975">
        <v>-73.804996</v>
      </c>
      <c r="AD1975" t="s">
        <v>10840</v>
      </c>
      <c r="AF1975" t="s">
        <v>10842</v>
      </c>
      <c r="AG1975" t="s">
        <v>10859</v>
      </c>
      <c r="AH1975" t="s">
        <v>10861</v>
      </c>
      <c r="AI1975">
        <v>234</v>
      </c>
      <c r="AJ1975" t="s">
        <v>10214</v>
      </c>
      <c r="AL1975">
        <v>2</v>
      </c>
      <c r="AR1975" t="s">
        <v>11351</v>
      </c>
      <c r="AS1975" t="s">
        <v>11594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</row>
    <row r="1976" spans="1:59">
      <c r="A1976" s="1">
        <f>HYPERLINK("https://lsnyc.legalserver.org/matter/dynamic-profile/view/1905883","19-1905883")</f>
        <v>0</v>
      </c>
      <c r="B1976" t="s">
        <v>404</v>
      </c>
      <c r="C1976" t="s">
        <v>5326</v>
      </c>
      <c r="D1976" t="s">
        <v>9926</v>
      </c>
      <c r="E1976" t="s">
        <v>10075</v>
      </c>
      <c r="F1976">
        <v>10468</v>
      </c>
      <c r="G1976" t="s">
        <v>10090</v>
      </c>
      <c r="H1976" t="s">
        <v>10134</v>
      </c>
      <c r="I1976" t="s">
        <v>10168</v>
      </c>
      <c r="J1976" t="s">
        <v>10210</v>
      </c>
      <c r="K1976" t="s">
        <v>10217</v>
      </c>
      <c r="M1976" t="s">
        <v>10375</v>
      </c>
      <c r="N1976" t="s">
        <v>10682</v>
      </c>
      <c r="P1976" t="s">
        <v>10751</v>
      </c>
      <c r="Q1976" t="s">
        <v>10796</v>
      </c>
      <c r="R1976" t="s">
        <v>10821</v>
      </c>
      <c r="T1976">
        <v>0</v>
      </c>
      <c r="U1976">
        <v>0</v>
      </c>
      <c r="V1976">
        <v>27</v>
      </c>
      <c r="W1976">
        <v>1</v>
      </c>
      <c r="X1976">
        <v>2</v>
      </c>
      <c r="Z1976">
        <v>0</v>
      </c>
      <c r="AA1976">
        <v>40.86044</v>
      </c>
      <c r="AB1976">
        <v>-73.90025</v>
      </c>
      <c r="AD1976" t="s">
        <v>10839</v>
      </c>
      <c r="AG1976" t="s">
        <v>10858</v>
      </c>
      <c r="AH1976" t="s">
        <v>10862</v>
      </c>
      <c r="AI1976">
        <v>230</v>
      </c>
      <c r="AJ1976" t="s">
        <v>10210</v>
      </c>
      <c r="AL1976">
        <v>0.8</v>
      </c>
      <c r="AR1976" t="s">
        <v>11279</v>
      </c>
      <c r="AS1976" t="s">
        <v>9926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</row>
    <row r="1977" spans="1:59">
      <c r="A1977" s="1">
        <f>HYPERLINK("https://lsnyc.legalserver.org/matter/dynamic-profile/view/1905884","19-1905884")</f>
        <v>0</v>
      </c>
      <c r="B1977" t="s">
        <v>1699</v>
      </c>
      <c r="C1977" t="s">
        <v>6499</v>
      </c>
      <c r="D1977" t="s">
        <v>9926</v>
      </c>
      <c r="E1977" t="s">
        <v>10075</v>
      </c>
      <c r="F1977">
        <v>10463</v>
      </c>
      <c r="G1977" t="s">
        <v>10090</v>
      </c>
      <c r="H1977" t="s">
        <v>10134</v>
      </c>
      <c r="I1977" t="s">
        <v>10168</v>
      </c>
      <c r="J1977" t="s">
        <v>10210</v>
      </c>
      <c r="K1977" t="s">
        <v>10217</v>
      </c>
      <c r="M1977" t="s">
        <v>10557</v>
      </c>
      <c r="N1977" t="s">
        <v>10666</v>
      </c>
      <c r="P1977" t="s">
        <v>10749</v>
      </c>
      <c r="Q1977" t="s">
        <v>10765</v>
      </c>
      <c r="R1977" t="s">
        <v>10821</v>
      </c>
      <c r="T1977">
        <v>27756</v>
      </c>
      <c r="U1977">
        <v>2313</v>
      </c>
      <c r="V1977">
        <v>39</v>
      </c>
      <c r="W1977">
        <v>2</v>
      </c>
      <c r="X1977">
        <v>3</v>
      </c>
      <c r="Z1977">
        <v>92</v>
      </c>
      <c r="AA1977">
        <v>40.885166</v>
      </c>
      <c r="AB1977">
        <v>-73.89983700000001</v>
      </c>
      <c r="AD1977" t="s">
        <v>10840</v>
      </c>
      <c r="AG1977" t="s">
        <v>10858</v>
      </c>
      <c r="AH1977" t="s">
        <v>10862</v>
      </c>
      <c r="AI1977">
        <v>230</v>
      </c>
      <c r="AJ1977" t="s">
        <v>10210</v>
      </c>
      <c r="AL1977">
        <v>16.4</v>
      </c>
      <c r="AM1977" t="s">
        <v>10887</v>
      </c>
      <c r="AN1977" t="s">
        <v>10919</v>
      </c>
      <c r="AO1977" t="s">
        <v>11002</v>
      </c>
      <c r="AP1977" t="s">
        <v>11057</v>
      </c>
      <c r="AR1977" t="s">
        <v>11441</v>
      </c>
      <c r="AS1977" t="s">
        <v>9926</v>
      </c>
      <c r="AT1977" t="s">
        <v>11642</v>
      </c>
      <c r="BA1977" t="s">
        <v>11738</v>
      </c>
      <c r="BB1977">
        <v>0</v>
      </c>
      <c r="BC1977">
        <v>0</v>
      </c>
      <c r="BD1977">
        <v>0</v>
      </c>
      <c r="BE1977">
        <v>0</v>
      </c>
      <c r="BF1977">
        <v>5</v>
      </c>
      <c r="BG1977">
        <v>0</v>
      </c>
    </row>
    <row r="1978" spans="1:59">
      <c r="A1978" s="1">
        <f>HYPERLINK("https://lsnyc.legalserver.org/matter/dynamic-profile/view/1905885","19-1905885")</f>
        <v>0</v>
      </c>
      <c r="B1978" t="s">
        <v>1700</v>
      </c>
      <c r="C1978" t="s">
        <v>6500</v>
      </c>
      <c r="D1978" t="s">
        <v>9926</v>
      </c>
      <c r="E1978" t="s">
        <v>10075</v>
      </c>
      <c r="F1978">
        <v>10472</v>
      </c>
      <c r="G1978" t="s">
        <v>10090</v>
      </c>
      <c r="H1978" t="s">
        <v>10134</v>
      </c>
      <c r="I1978" t="s">
        <v>10168</v>
      </c>
      <c r="J1978" t="s">
        <v>10210</v>
      </c>
      <c r="K1978" t="s">
        <v>10217</v>
      </c>
      <c r="M1978" t="s">
        <v>10279</v>
      </c>
      <c r="N1978" t="s">
        <v>10666</v>
      </c>
      <c r="P1978" t="s">
        <v>10749</v>
      </c>
      <c r="Q1978" t="s">
        <v>10765</v>
      </c>
      <c r="R1978" t="s">
        <v>10821</v>
      </c>
      <c r="T1978">
        <v>0</v>
      </c>
      <c r="U1978">
        <v>0</v>
      </c>
      <c r="V1978">
        <v>34</v>
      </c>
      <c r="W1978">
        <v>1</v>
      </c>
      <c r="X1978">
        <v>3</v>
      </c>
      <c r="Z1978">
        <v>0</v>
      </c>
      <c r="AA1978">
        <v>40.835641</v>
      </c>
      <c r="AB1978">
        <v>-73.871804</v>
      </c>
      <c r="AD1978" t="s">
        <v>10839</v>
      </c>
      <c r="AG1978" t="s">
        <v>10858</v>
      </c>
      <c r="AH1978" t="s">
        <v>10862</v>
      </c>
      <c r="AI1978">
        <v>230</v>
      </c>
      <c r="AJ1978" t="s">
        <v>10210</v>
      </c>
      <c r="AL1978">
        <v>19.9</v>
      </c>
      <c r="AM1978" t="s">
        <v>10884</v>
      </c>
      <c r="AN1978" t="s">
        <v>10908</v>
      </c>
      <c r="AO1978" t="s">
        <v>11001</v>
      </c>
      <c r="AP1978" t="s">
        <v>11046</v>
      </c>
      <c r="AR1978" t="s">
        <v>11266</v>
      </c>
      <c r="AS1978" t="s">
        <v>9926</v>
      </c>
      <c r="AT1978" t="s">
        <v>11641</v>
      </c>
      <c r="AX1978" t="s">
        <v>10838</v>
      </c>
      <c r="BA1978" t="s">
        <v>11738</v>
      </c>
      <c r="BB1978">
        <v>0</v>
      </c>
      <c r="BC1978">
        <v>0</v>
      </c>
      <c r="BD1978">
        <v>0</v>
      </c>
      <c r="BE1978">
        <v>0</v>
      </c>
      <c r="BF1978">
        <v>5</v>
      </c>
      <c r="BG1978">
        <v>0</v>
      </c>
    </row>
    <row r="1979" spans="1:59">
      <c r="A1979" s="1">
        <f>HYPERLINK("https://lsnyc.legalserver.org/matter/dynamic-profile/view/1905886","19-1905886")</f>
        <v>0</v>
      </c>
      <c r="B1979" t="s">
        <v>1701</v>
      </c>
      <c r="C1979" t="s">
        <v>6501</v>
      </c>
      <c r="D1979" t="s">
        <v>9926</v>
      </c>
      <c r="E1979" t="s">
        <v>10075</v>
      </c>
      <c r="F1979">
        <v>10474</v>
      </c>
      <c r="G1979" t="s">
        <v>10090</v>
      </c>
      <c r="H1979" t="s">
        <v>10134</v>
      </c>
      <c r="I1979" t="s">
        <v>10168</v>
      </c>
      <c r="J1979" t="s">
        <v>10210</v>
      </c>
      <c r="K1979" t="s">
        <v>10217</v>
      </c>
      <c r="M1979" t="s">
        <v>10418</v>
      </c>
      <c r="N1979" t="s">
        <v>10666</v>
      </c>
      <c r="P1979" t="s">
        <v>10749</v>
      </c>
      <c r="Q1979" t="s">
        <v>10765</v>
      </c>
      <c r="R1979" t="s">
        <v>10824</v>
      </c>
      <c r="T1979">
        <v>2400</v>
      </c>
      <c r="U1979">
        <v>200</v>
      </c>
      <c r="V1979">
        <v>47</v>
      </c>
      <c r="W1979">
        <v>1</v>
      </c>
      <c r="X1979">
        <v>0</v>
      </c>
      <c r="Z1979">
        <v>19.22</v>
      </c>
      <c r="AA1979">
        <v>40.816705</v>
      </c>
      <c r="AB1979">
        <v>-73.885794</v>
      </c>
      <c r="AD1979" t="s">
        <v>10839</v>
      </c>
      <c r="AG1979" t="s">
        <v>10858</v>
      </c>
      <c r="AH1979" t="s">
        <v>10862</v>
      </c>
      <c r="AI1979">
        <v>230</v>
      </c>
      <c r="AJ1979" t="s">
        <v>10210</v>
      </c>
      <c r="AL1979">
        <v>10.4</v>
      </c>
      <c r="AM1979" t="s">
        <v>10884</v>
      </c>
      <c r="AN1979" t="s">
        <v>10924</v>
      </c>
      <c r="AO1979" t="s">
        <v>11001</v>
      </c>
      <c r="AP1979" t="s">
        <v>11062</v>
      </c>
      <c r="AR1979" t="s">
        <v>11305</v>
      </c>
      <c r="AS1979" t="s">
        <v>9926</v>
      </c>
      <c r="BA1979" t="s">
        <v>11742</v>
      </c>
      <c r="BB1979">
        <v>0</v>
      </c>
      <c r="BC1979">
        <v>0</v>
      </c>
      <c r="BD1979">
        <v>0</v>
      </c>
      <c r="BE1979">
        <v>0</v>
      </c>
      <c r="BF1979">
        <v>7</v>
      </c>
      <c r="BG1979">
        <v>0</v>
      </c>
    </row>
    <row r="1980" spans="1:59">
      <c r="A1980" s="1">
        <f>HYPERLINK("https://lsnyc.legalserver.org/matter/dynamic-profile/view/1905887","19-1905887")</f>
        <v>0</v>
      </c>
      <c r="B1980" t="s">
        <v>1702</v>
      </c>
      <c r="C1980" t="s">
        <v>6502</v>
      </c>
      <c r="D1980" t="s">
        <v>9926</v>
      </c>
      <c r="E1980" t="s">
        <v>10075</v>
      </c>
      <c r="F1980">
        <v>10453</v>
      </c>
      <c r="G1980" t="s">
        <v>10090</v>
      </c>
      <c r="H1980" t="s">
        <v>10134</v>
      </c>
      <c r="I1980" t="s">
        <v>10168</v>
      </c>
      <c r="J1980" t="s">
        <v>10210</v>
      </c>
      <c r="K1980" t="s">
        <v>10217</v>
      </c>
      <c r="M1980" t="s">
        <v>10477</v>
      </c>
      <c r="N1980" t="s">
        <v>10650</v>
      </c>
      <c r="P1980" t="s">
        <v>10749</v>
      </c>
      <c r="Q1980" t="s">
        <v>10765</v>
      </c>
      <c r="R1980" t="s">
        <v>10824</v>
      </c>
      <c r="T1980">
        <v>10080</v>
      </c>
      <c r="U1980">
        <v>840</v>
      </c>
      <c r="V1980">
        <v>68</v>
      </c>
      <c r="W1980">
        <v>1</v>
      </c>
      <c r="X1980">
        <v>0</v>
      </c>
      <c r="Z1980">
        <v>80.7</v>
      </c>
      <c r="AA1980">
        <v>40.856827</v>
      </c>
      <c r="AB1980">
        <v>-73.902447</v>
      </c>
      <c r="AD1980" t="s">
        <v>10840</v>
      </c>
      <c r="AG1980" t="s">
        <v>10858</v>
      </c>
      <c r="AH1980" t="s">
        <v>10861</v>
      </c>
      <c r="AI1980">
        <v>234</v>
      </c>
      <c r="AJ1980" t="s">
        <v>10214</v>
      </c>
      <c r="AL1980">
        <v>1</v>
      </c>
      <c r="AM1980" t="s">
        <v>10884</v>
      </c>
      <c r="AN1980" t="s">
        <v>10931</v>
      </c>
      <c r="AO1980" t="s">
        <v>11000</v>
      </c>
      <c r="AP1980" t="s">
        <v>11045</v>
      </c>
      <c r="AR1980" t="s">
        <v>11300</v>
      </c>
      <c r="AS1980" t="s">
        <v>9926</v>
      </c>
      <c r="AT1980" t="s">
        <v>11642</v>
      </c>
      <c r="AX1980" t="s">
        <v>10838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</row>
    <row r="1981" spans="1:59">
      <c r="A1981" s="1">
        <f>HYPERLINK("https://lsnyc.legalserver.org/matter/dynamic-profile/view/1905889","19-1905889")</f>
        <v>0</v>
      </c>
      <c r="B1981" t="s">
        <v>1703</v>
      </c>
      <c r="C1981" t="s">
        <v>6503</v>
      </c>
      <c r="D1981" t="s">
        <v>9950</v>
      </c>
      <c r="E1981" t="s">
        <v>10075</v>
      </c>
      <c r="F1981">
        <v>11418</v>
      </c>
      <c r="G1981" t="s">
        <v>10092</v>
      </c>
      <c r="H1981" t="s">
        <v>10134</v>
      </c>
      <c r="I1981" t="s">
        <v>10168</v>
      </c>
      <c r="J1981" t="s">
        <v>10212</v>
      </c>
      <c r="K1981" t="s">
        <v>10217</v>
      </c>
      <c r="M1981" t="s">
        <v>10311</v>
      </c>
      <c r="N1981" t="s">
        <v>10684</v>
      </c>
      <c r="P1981" t="s">
        <v>10751</v>
      </c>
      <c r="Q1981" t="s">
        <v>10786</v>
      </c>
      <c r="R1981" t="s">
        <v>10827</v>
      </c>
      <c r="T1981">
        <v>0</v>
      </c>
      <c r="U1981">
        <v>0</v>
      </c>
      <c r="V1981">
        <v>57</v>
      </c>
      <c r="W1981">
        <v>1</v>
      </c>
      <c r="X1981">
        <v>0</v>
      </c>
      <c r="Z1981">
        <v>0</v>
      </c>
      <c r="AA1981">
        <v>40.699661</v>
      </c>
      <c r="AB1981">
        <v>-73.824286</v>
      </c>
      <c r="AD1981" t="s">
        <v>10839</v>
      </c>
      <c r="AF1981" t="s">
        <v>10843</v>
      </c>
      <c r="AG1981" t="s">
        <v>10859</v>
      </c>
      <c r="AH1981" t="s">
        <v>10874</v>
      </c>
      <c r="AI1981">
        <v>237</v>
      </c>
      <c r="AJ1981" t="s">
        <v>10212</v>
      </c>
      <c r="AL1981">
        <v>3</v>
      </c>
      <c r="AM1981" t="s">
        <v>10892</v>
      </c>
      <c r="AN1981" t="s">
        <v>10944</v>
      </c>
      <c r="AO1981" t="s">
        <v>11020</v>
      </c>
      <c r="AP1981" t="s">
        <v>11083</v>
      </c>
      <c r="AR1981" t="s">
        <v>11267</v>
      </c>
      <c r="AS1981" t="s">
        <v>11594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</row>
    <row r="1982" spans="1:59">
      <c r="A1982" s="1">
        <f>HYPERLINK("https://lsnyc.legalserver.org/matter/dynamic-profile/view/1905890","19-1905890")</f>
        <v>0</v>
      </c>
      <c r="B1982" t="s">
        <v>1704</v>
      </c>
      <c r="C1982" t="s">
        <v>6504</v>
      </c>
      <c r="D1982" t="s">
        <v>9926</v>
      </c>
      <c r="E1982" t="s">
        <v>10075</v>
      </c>
      <c r="F1982">
        <v>10451</v>
      </c>
      <c r="G1982" t="s">
        <v>10090</v>
      </c>
      <c r="H1982" t="s">
        <v>10134</v>
      </c>
      <c r="I1982" t="s">
        <v>10169</v>
      </c>
      <c r="J1982" t="s">
        <v>10210</v>
      </c>
      <c r="K1982" t="s">
        <v>10217</v>
      </c>
      <c r="M1982" t="s">
        <v>10296</v>
      </c>
      <c r="N1982" t="s">
        <v>10673</v>
      </c>
      <c r="P1982" t="s">
        <v>10753</v>
      </c>
      <c r="Q1982" t="s">
        <v>10763</v>
      </c>
      <c r="R1982" t="s">
        <v>10821</v>
      </c>
      <c r="T1982">
        <v>100</v>
      </c>
      <c r="U1982">
        <v>8.33</v>
      </c>
      <c r="V1982">
        <v>36</v>
      </c>
      <c r="W1982">
        <v>1</v>
      </c>
      <c r="X1982">
        <v>3</v>
      </c>
      <c r="Z1982">
        <v>0.39</v>
      </c>
      <c r="AA1982">
        <v>40.821154</v>
      </c>
      <c r="AB1982">
        <v>-73.915177</v>
      </c>
      <c r="AD1982" t="s">
        <v>10839</v>
      </c>
      <c r="AF1982" t="s">
        <v>10842</v>
      </c>
      <c r="AG1982" t="s">
        <v>10859</v>
      </c>
      <c r="AH1982" t="s">
        <v>10864</v>
      </c>
      <c r="AI1982">
        <v>230</v>
      </c>
      <c r="AJ1982" t="s">
        <v>10210</v>
      </c>
      <c r="AL1982">
        <v>5.75</v>
      </c>
      <c r="AM1982" t="s">
        <v>10884</v>
      </c>
      <c r="AN1982" t="s">
        <v>10918</v>
      </c>
      <c r="AO1982" t="s">
        <v>11001</v>
      </c>
      <c r="AP1982" t="s">
        <v>11062</v>
      </c>
      <c r="AQ1982" t="s">
        <v>11109</v>
      </c>
      <c r="AR1982" t="s">
        <v>10180</v>
      </c>
      <c r="AS1982" t="s">
        <v>9926</v>
      </c>
      <c r="AT1982" t="s">
        <v>11641</v>
      </c>
      <c r="AV1982" t="s">
        <v>11656</v>
      </c>
      <c r="AW1982" t="s">
        <v>11645</v>
      </c>
      <c r="AX1982" t="s">
        <v>10838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</row>
    <row r="1983" spans="1:59">
      <c r="A1983" s="1">
        <f>HYPERLINK("https://lsnyc.legalserver.org/matter/dynamic-profile/view/1905891","19-1905891")</f>
        <v>0</v>
      </c>
      <c r="B1983" t="s">
        <v>1705</v>
      </c>
      <c r="C1983" t="s">
        <v>6491</v>
      </c>
      <c r="D1983" t="s">
        <v>9928</v>
      </c>
      <c r="E1983" t="s">
        <v>10075</v>
      </c>
      <c r="F1983">
        <v>11213</v>
      </c>
      <c r="G1983" t="s">
        <v>10093</v>
      </c>
      <c r="H1983" t="s">
        <v>10134</v>
      </c>
      <c r="I1983" t="s">
        <v>10168</v>
      </c>
      <c r="J1983" t="s">
        <v>10213</v>
      </c>
      <c r="K1983" t="s">
        <v>10217</v>
      </c>
      <c r="M1983" t="s">
        <v>10392</v>
      </c>
      <c r="N1983" t="s">
        <v>10650</v>
      </c>
      <c r="P1983" t="s">
        <v>10749</v>
      </c>
      <c r="Q1983" t="s">
        <v>10765</v>
      </c>
      <c r="R1983" t="s">
        <v>10824</v>
      </c>
      <c r="T1983">
        <v>8400</v>
      </c>
      <c r="U1983">
        <v>700</v>
      </c>
      <c r="V1983">
        <v>52</v>
      </c>
      <c r="W1983">
        <v>2</v>
      </c>
      <c r="X1983">
        <v>0</v>
      </c>
      <c r="Z1983">
        <v>49.67</v>
      </c>
      <c r="AA1983">
        <v>40.671362</v>
      </c>
      <c r="AB1983">
        <v>-73.933893</v>
      </c>
      <c r="AD1983" t="s">
        <v>10839</v>
      </c>
      <c r="AG1983" t="s">
        <v>10858</v>
      </c>
      <c r="AH1983" t="s">
        <v>10862</v>
      </c>
      <c r="AI1983">
        <v>239</v>
      </c>
      <c r="AJ1983" t="s">
        <v>10213</v>
      </c>
      <c r="AL1983">
        <v>0</v>
      </c>
      <c r="AM1983" t="s">
        <v>10888</v>
      </c>
      <c r="AN1983" t="s">
        <v>10914</v>
      </c>
      <c r="AO1983" t="s">
        <v>11005</v>
      </c>
      <c r="AP1983" t="s">
        <v>11061</v>
      </c>
      <c r="AR1983" t="s">
        <v>11257</v>
      </c>
      <c r="AS1983" t="s">
        <v>11595</v>
      </c>
      <c r="AT1983" t="s">
        <v>11641</v>
      </c>
      <c r="BA1983" t="s">
        <v>11740</v>
      </c>
      <c r="BB1983">
        <v>0</v>
      </c>
      <c r="BC1983">
        <v>0</v>
      </c>
      <c r="BD1983">
        <v>0</v>
      </c>
      <c r="BE1983">
        <v>0</v>
      </c>
      <c r="BF1983">
        <v>2</v>
      </c>
      <c r="BG1983">
        <v>0</v>
      </c>
    </row>
    <row r="1984" spans="1:59">
      <c r="A1984" s="1">
        <f>HYPERLINK("https://lsnyc.legalserver.org/matter/dynamic-profile/view/1905892","19-1905892")</f>
        <v>0</v>
      </c>
      <c r="B1984" t="s">
        <v>132</v>
      </c>
      <c r="C1984" t="s">
        <v>5071</v>
      </c>
      <c r="D1984" t="s">
        <v>9926</v>
      </c>
      <c r="E1984" t="s">
        <v>10075</v>
      </c>
      <c r="F1984">
        <v>10452</v>
      </c>
      <c r="G1984" t="s">
        <v>10090</v>
      </c>
      <c r="H1984" t="s">
        <v>10134</v>
      </c>
      <c r="I1984" t="s">
        <v>10168</v>
      </c>
      <c r="J1984" t="s">
        <v>10210</v>
      </c>
      <c r="K1984" t="s">
        <v>10217</v>
      </c>
      <c r="M1984" t="s">
        <v>10513</v>
      </c>
      <c r="N1984" t="s">
        <v>10650</v>
      </c>
      <c r="P1984" t="s">
        <v>10749</v>
      </c>
      <c r="Q1984" t="s">
        <v>10765</v>
      </c>
      <c r="R1984" t="s">
        <v>10824</v>
      </c>
      <c r="T1984">
        <v>2976</v>
      </c>
      <c r="U1984">
        <v>248</v>
      </c>
      <c r="V1984">
        <v>31</v>
      </c>
      <c r="W1984">
        <v>1</v>
      </c>
      <c r="X1984">
        <v>0</v>
      </c>
      <c r="Z1984">
        <v>23.83</v>
      </c>
      <c r="AA1984">
        <v>40.840311</v>
      </c>
      <c r="AB1984">
        <v>-73.913494</v>
      </c>
      <c r="AD1984" t="s">
        <v>10840</v>
      </c>
      <c r="AG1984" t="s">
        <v>10858</v>
      </c>
      <c r="AH1984" t="s">
        <v>10862</v>
      </c>
      <c r="AI1984">
        <v>230</v>
      </c>
      <c r="AJ1984" t="s">
        <v>10210</v>
      </c>
      <c r="AL1984">
        <v>0</v>
      </c>
      <c r="AM1984" t="s">
        <v>10884</v>
      </c>
      <c r="AN1984" t="s">
        <v>10929</v>
      </c>
      <c r="AO1984" t="s">
        <v>11013</v>
      </c>
      <c r="AP1984" t="s">
        <v>11045</v>
      </c>
      <c r="AR1984" t="s">
        <v>11305</v>
      </c>
      <c r="AS1984" t="s">
        <v>9926</v>
      </c>
      <c r="BA1984" t="s">
        <v>11741</v>
      </c>
      <c r="BB1984">
        <v>0</v>
      </c>
      <c r="BC1984">
        <v>0</v>
      </c>
      <c r="BD1984">
        <v>0</v>
      </c>
      <c r="BE1984">
        <v>0</v>
      </c>
      <c r="BF1984">
        <v>1</v>
      </c>
      <c r="BG1984">
        <v>0</v>
      </c>
    </row>
    <row r="1985" spans="1:59">
      <c r="A1985" s="1">
        <f>HYPERLINK("https://lsnyc.legalserver.org/matter/dynamic-profile/view/1905893","19-1905893")</f>
        <v>0</v>
      </c>
      <c r="B1985" t="s">
        <v>1706</v>
      </c>
      <c r="C1985" t="s">
        <v>6505</v>
      </c>
      <c r="D1985" t="s">
        <v>9926</v>
      </c>
      <c r="E1985" t="s">
        <v>10075</v>
      </c>
      <c r="F1985">
        <v>10459</v>
      </c>
      <c r="G1985" t="s">
        <v>10090</v>
      </c>
      <c r="H1985" t="s">
        <v>10134</v>
      </c>
      <c r="I1985" t="s">
        <v>10168</v>
      </c>
      <c r="J1985" t="s">
        <v>10210</v>
      </c>
      <c r="K1985" t="s">
        <v>10217</v>
      </c>
      <c r="M1985" t="s">
        <v>10546</v>
      </c>
      <c r="N1985" t="s">
        <v>10666</v>
      </c>
      <c r="P1985" t="s">
        <v>10749</v>
      </c>
      <c r="Q1985" t="s">
        <v>10765</v>
      </c>
      <c r="R1985" t="s">
        <v>10820</v>
      </c>
      <c r="T1985">
        <v>28000</v>
      </c>
      <c r="U1985">
        <v>2333.33</v>
      </c>
      <c r="V1985">
        <v>32</v>
      </c>
      <c r="W1985">
        <v>1</v>
      </c>
      <c r="X1985">
        <v>1</v>
      </c>
      <c r="Z1985">
        <v>165.58</v>
      </c>
      <c r="AA1985">
        <v>40.820368</v>
      </c>
      <c r="AB1985">
        <v>-73.899748</v>
      </c>
      <c r="AD1985" t="s">
        <v>10839</v>
      </c>
      <c r="AG1985" t="s">
        <v>10858</v>
      </c>
      <c r="AH1985" t="s">
        <v>10862</v>
      </c>
      <c r="AI1985">
        <v>230</v>
      </c>
      <c r="AJ1985" t="s">
        <v>10210</v>
      </c>
      <c r="AL1985">
        <v>9.25</v>
      </c>
      <c r="AM1985" t="s">
        <v>10884</v>
      </c>
      <c r="AN1985" t="s">
        <v>10968</v>
      </c>
      <c r="AO1985" t="s">
        <v>11001</v>
      </c>
      <c r="AP1985" t="s">
        <v>11062</v>
      </c>
      <c r="AR1985" t="s">
        <v>10180</v>
      </c>
      <c r="AS1985" t="s">
        <v>9926</v>
      </c>
      <c r="AT1985" t="s">
        <v>11641</v>
      </c>
      <c r="AX1985" t="s">
        <v>10838</v>
      </c>
      <c r="BA1985" t="s">
        <v>11738</v>
      </c>
      <c r="BB1985">
        <v>0</v>
      </c>
      <c r="BC1985">
        <v>0</v>
      </c>
      <c r="BD1985">
        <v>0</v>
      </c>
      <c r="BE1985">
        <v>0</v>
      </c>
      <c r="BF1985">
        <v>5</v>
      </c>
      <c r="BG1985">
        <v>0</v>
      </c>
    </row>
    <row r="1986" spans="1:59">
      <c r="A1986" s="1">
        <f>HYPERLINK("https://lsnyc.legalserver.org/matter/dynamic-profile/view/1905894","19-1905894")</f>
        <v>0</v>
      </c>
      <c r="B1986" t="s">
        <v>1707</v>
      </c>
      <c r="C1986" t="s">
        <v>6506</v>
      </c>
      <c r="D1986" t="s">
        <v>9926</v>
      </c>
      <c r="E1986" t="s">
        <v>10075</v>
      </c>
      <c r="F1986">
        <v>10456</v>
      </c>
      <c r="G1986" t="s">
        <v>10090</v>
      </c>
      <c r="H1986" t="s">
        <v>10134</v>
      </c>
      <c r="I1986" t="s">
        <v>10168</v>
      </c>
      <c r="J1986" t="s">
        <v>10210</v>
      </c>
      <c r="K1986" t="s">
        <v>10217</v>
      </c>
      <c r="M1986" t="s">
        <v>10513</v>
      </c>
      <c r="N1986" t="s">
        <v>10650</v>
      </c>
      <c r="P1986" t="s">
        <v>10749</v>
      </c>
      <c r="Q1986" t="s">
        <v>10765</v>
      </c>
      <c r="R1986" t="s">
        <v>10823</v>
      </c>
      <c r="T1986">
        <v>13000</v>
      </c>
      <c r="U1986">
        <v>1083.33</v>
      </c>
      <c r="V1986">
        <v>38</v>
      </c>
      <c r="W1986">
        <v>1</v>
      </c>
      <c r="X1986">
        <v>1</v>
      </c>
      <c r="Z1986">
        <v>76.88</v>
      </c>
      <c r="AA1986">
        <v>40.830909</v>
      </c>
      <c r="AB1986">
        <v>-73.918323</v>
      </c>
      <c r="AD1986" t="s">
        <v>10839</v>
      </c>
      <c r="AG1986" t="s">
        <v>10858</v>
      </c>
      <c r="AH1986" t="s">
        <v>10862</v>
      </c>
      <c r="AI1986">
        <v>230</v>
      </c>
      <c r="AJ1986" t="s">
        <v>10210</v>
      </c>
      <c r="AL1986">
        <v>0</v>
      </c>
      <c r="AM1986" t="s">
        <v>10884</v>
      </c>
      <c r="AN1986" t="s">
        <v>10929</v>
      </c>
      <c r="AO1986" t="s">
        <v>11001</v>
      </c>
      <c r="AP1986" t="s">
        <v>11055</v>
      </c>
      <c r="AR1986" t="s">
        <v>11257</v>
      </c>
      <c r="AS1986" t="s">
        <v>9926</v>
      </c>
      <c r="BA1986" t="s">
        <v>11741</v>
      </c>
      <c r="BB1986">
        <v>0</v>
      </c>
      <c r="BC1986">
        <v>0</v>
      </c>
      <c r="BD1986">
        <v>0</v>
      </c>
      <c r="BE1986">
        <v>0</v>
      </c>
      <c r="BF1986">
        <v>1</v>
      </c>
      <c r="BG1986">
        <v>0</v>
      </c>
    </row>
    <row r="1987" spans="1:59">
      <c r="A1987" s="1">
        <f>HYPERLINK("https://lsnyc.legalserver.org/matter/dynamic-profile/view/1905895","19-1905895")</f>
        <v>0</v>
      </c>
      <c r="B1987" t="s">
        <v>1708</v>
      </c>
      <c r="C1987" t="s">
        <v>6507</v>
      </c>
      <c r="D1987" t="s">
        <v>9938</v>
      </c>
      <c r="E1987" t="s">
        <v>10075</v>
      </c>
      <c r="F1987">
        <v>11436</v>
      </c>
      <c r="G1987" t="s">
        <v>10092</v>
      </c>
      <c r="H1987" t="s">
        <v>10134</v>
      </c>
      <c r="I1987" t="s">
        <v>10169</v>
      </c>
      <c r="J1987" t="s">
        <v>10212</v>
      </c>
      <c r="K1987" t="s">
        <v>10217</v>
      </c>
      <c r="M1987" t="s">
        <v>10355</v>
      </c>
      <c r="N1987" t="s">
        <v>10673</v>
      </c>
      <c r="P1987" t="s">
        <v>10753</v>
      </c>
      <c r="Q1987" t="s">
        <v>10763</v>
      </c>
      <c r="R1987" t="s">
        <v>10821</v>
      </c>
      <c r="T1987">
        <v>18200</v>
      </c>
      <c r="U1987">
        <v>1516.67</v>
      </c>
      <c r="V1987">
        <v>41</v>
      </c>
      <c r="W1987">
        <v>1</v>
      </c>
      <c r="X1987">
        <v>2</v>
      </c>
      <c r="Z1987">
        <v>85.33</v>
      </c>
      <c r="AA1987">
        <v>40.674173</v>
      </c>
      <c r="AB1987">
        <v>-73.79701</v>
      </c>
      <c r="AD1987" t="s">
        <v>10839</v>
      </c>
      <c r="AF1987" t="s">
        <v>10842</v>
      </c>
      <c r="AG1987" t="s">
        <v>10859</v>
      </c>
      <c r="AH1987" t="s">
        <v>10861</v>
      </c>
      <c r="AI1987">
        <v>234</v>
      </c>
      <c r="AJ1987" t="s">
        <v>10214</v>
      </c>
      <c r="AL1987">
        <v>4</v>
      </c>
      <c r="AM1987" t="s">
        <v>10892</v>
      </c>
      <c r="AN1987" t="s">
        <v>10951</v>
      </c>
      <c r="AO1987" t="s">
        <v>11017</v>
      </c>
      <c r="AP1987" t="s">
        <v>11070</v>
      </c>
      <c r="AR1987" t="s">
        <v>11257</v>
      </c>
      <c r="AS1987" t="s">
        <v>11594</v>
      </c>
      <c r="AT1987" t="s">
        <v>11641</v>
      </c>
      <c r="AX1987" t="s">
        <v>10838</v>
      </c>
      <c r="BA1987" t="s">
        <v>11741</v>
      </c>
      <c r="BB1987">
        <v>0</v>
      </c>
      <c r="BC1987">
        <v>0</v>
      </c>
      <c r="BD1987">
        <v>0</v>
      </c>
      <c r="BE1987">
        <v>0</v>
      </c>
      <c r="BF1987">
        <v>1</v>
      </c>
      <c r="BG1987">
        <v>0</v>
      </c>
    </row>
    <row r="1988" spans="1:59">
      <c r="A1988" s="1">
        <f>HYPERLINK("https://lsnyc.legalserver.org/matter/dynamic-profile/view/1905896","19-1905896")</f>
        <v>0</v>
      </c>
      <c r="B1988" t="s">
        <v>1709</v>
      </c>
      <c r="C1988" t="s">
        <v>6507</v>
      </c>
      <c r="D1988" t="s">
        <v>9938</v>
      </c>
      <c r="E1988" t="s">
        <v>10075</v>
      </c>
      <c r="F1988">
        <v>11436</v>
      </c>
      <c r="G1988" t="s">
        <v>10092</v>
      </c>
      <c r="H1988" t="s">
        <v>10134</v>
      </c>
      <c r="I1988" t="s">
        <v>10169</v>
      </c>
      <c r="J1988" t="s">
        <v>10212</v>
      </c>
      <c r="K1988" t="s">
        <v>10217</v>
      </c>
      <c r="M1988" t="s">
        <v>10355</v>
      </c>
      <c r="N1988" t="s">
        <v>10679</v>
      </c>
      <c r="P1988" t="s">
        <v>10753</v>
      </c>
      <c r="Q1988" t="s">
        <v>10763</v>
      </c>
      <c r="R1988" t="s">
        <v>10821</v>
      </c>
      <c r="T1988">
        <v>18200</v>
      </c>
      <c r="U1988">
        <v>1516.67</v>
      </c>
      <c r="V1988">
        <v>17</v>
      </c>
      <c r="W1988">
        <v>1</v>
      </c>
      <c r="X1988">
        <v>2</v>
      </c>
      <c r="Z1988">
        <v>85.33</v>
      </c>
      <c r="AA1988">
        <v>40.674173</v>
      </c>
      <c r="AB1988">
        <v>-73.79701</v>
      </c>
      <c r="AD1988" t="s">
        <v>10840</v>
      </c>
      <c r="AF1988" t="s">
        <v>10842</v>
      </c>
      <c r="AG1988" t="s">
        <v>10859</v>
      </c>
      <c r="AH1988" t="s">
        <v>10861</v>
      </c>
      <c r="AI1988">
        <v>234</v>
      </c>
      <c r="AJ1988" t="s">
        <v>10214</v>
      </c>
      <c r="AL1988">
        <v>1</v>
      </c>
      <c r="AM1988" t="s">
        <v>10892</v>
      </c>
      <c r="AN1988" t="s">
        <v>10951</v>
      </c>
      <c r="AO1988" t="s">
        <v>11017</v>
      </c>
      <c r="AP1988" t="s">
        <v>11070</v>
      </c>
      <c r="AR1988" t="s">
        <v>11257</v>
      </c>
      <c r="AS1988" t="s">
        <v>11594</v>
      </c>
      <c r="AT1988" t="s">
        <v>11642</v>
      </c>
      <c r="AX1988" t="s">
        <v>11678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</row>
    <row r="1989" spans="1:59">
      <c r="A1989" s="1">
        <f>HYPERLINK("https://lsnyc.legalserver.org/matter/dynamic-profile/view/1905897","19-1905897")</f>
        <v>0</v>
      </c>
      <c r="B1989" t="s">
        <v>1710</v>
      </c>
      <c r="C1989" t="s">
        <v>6507</v>
      </c>
      <c r="D1989" t="s">
        <v>9938</v>
      </c>
      <c r="E1989" t="s">
        <v>10075</v>
      </c>
      <c r="F1989">
        <v>11436</v>
      </c>
      <c r="G1989" t="s">
        <v>10092</v>
      </c>
      <c r="H1989" t="s">
        <v>10134</v>
      </c>
      <c r="I1989" t="s">
        <v>10169</v>
      </c>
      <c r="J1989" t="s">
        <v>10212</v>
      </c>
      <c r="K1989" t="s">
        <v>10217</v>
      </c>
      <c r="M1989" t="s">
        <v>10355</v>
      </c>
      <c r="N1989" t="s">
        <v>10679</v>
      </c>
      <c r="P1989" t="s">
        <v>10753</v>
      </c>
      <c r="Q1989" t="s">
        <v>10763</v>
      </c>
      <c r="R1989" t="s">
        <v>10821</v>
      </c>
      <c r="T1989">
        <v>4200</v>
      </c>
      <c r="U1989">
        <v>350</v>
      </c>
      <c r="V1989">
        <v>15</v>
      </c>
      <c r="W1989">
        <v>1</v>
      </c>
      <c r="X1989">
        <v>2</v>
      </c>
      <c r="Z1989">
        <v>19.69</v>
      </c>
      <c r="AA1989">
        <v>40.674173</v>
      </c>
      <c r="AB1989">
        <v>-73.79701</v>
      </c>
      <c r="AD1989" t="s">
        <v>10840</v>
      </c>
      <c r="AF1989" t="s">
        <v>10842</v>
      </c>
      <c r="AG1989" t="s">
        <v>10859</v>
      </c>
      <c r="AH1989" t="s">
        <v>10861</v>
      </c>
      <c r="AI1989">
        <v>234</v>
      </c>
      <c r="AJ1989" t="s">
        <v>10214</v>
      </c>
      <c r="AL1989">
        <v>1</v>
      </c>
      <c r="AM1989" t="s">
        <v>10892</v>
      </c>
      <c r="AN1989" t="s">
        <v>10951</v>
      </c>
      <c r="AO1989" t="s">
        <v>11017</v>
      </c>
      <c r="AP1989" t="s">
        <v>11070</v>
      </c>
      <c r="AR1989" t="s">
        <v>11257</v>
      </c>
      <c r="AS1989" t="s">
        <v>11594</v>
      </c>
      <c r="AT1989" t="s">
        <v>11642</v>
      </c>
      <c r="AX1989" t="s">
        <v>10838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</row>
    <row r="1990" spans="1:59">
      <c r="A1990" s="1">
        <f>HYPERLINK("https://lsnyc.legalserver.org/matter/dynamic-profile/view/1905898","19-1905898")</f>
        <v>0</v>
      </c>
      <c r="B1990" t="s">
        <v>1683</v>
      </c>
      <c r="C1990" t="s">
        <v>6484</v>
      </c>
      <c r="D1990" t="s">
        <v>9926</v>
      </c>
      <c r="E1990" t="s">
        <v>10075</v>
      </c>
      <c r="F1990">
        <v>10467</v>
      </c>
      <c r="G1990" t="s">
        <v>10090</v>
      </c>
      <c r="H1990" t="s">
        <v>10134</v>
      </c>
      <c r="J1990" t="s">
        <v>10210</v>
      </c>
      <c r="K1990" t="s">
        <v>10217</v>
      </c>
      <c r="M1990" t="s">
        <v>10418</v>
      </c>
      <c r="N1990" t="s">
        <v>10671</v>
      </c>
      <c r="P1990" t="s">
        <v>10751</v>
      </c>
      <c r="Q1990" t="s">
        <v>10761</v>
      </c>
      <c r="R1990" t="s">
        <v>10824</v>
      </c>
      <c r="T1990">
        <v>0</v>
      </c>
      <c r="U1990">
        <v>0</v>
      </c>
      <c r="V1990">
        <v>57</v>
      </c>
      <c r="W1990">
        <v>2</v>
      </c>
      <c r="X1990">
        <v>0</v>
      </c>
      <c r="Z1990">
        <v>0</v>
      </c>
      <c r="AA1990">
        <v>40.881338</v>
      </c>
      <c r="AB1990">
        <v>-73.862892</v>
      </c>
      <c r="AD1990" t="s">
        <v>10839</v>
      </c>
      <c r="AG1990" t="s">
        <v>10858</v>
      </c>
      <c r="AH1990" t="s">
        <v>10861</v>
      </c>
      <c r="AI1990">
        <v>230</v>
      </c>
      <c r="AJ1990" t="s">
        <v>10210</v>
      </c>
      <c r="AL1990">
        <v>0</v>
      </c>
      <c r="AM1990" t="s">
        <v>10893</v>
      </c>
      <c r="AN1990" t="s">
        <v>10956</v>
      </c>
      <c r="AO1990" t="s">
        <v>11010</v>
      </c>
      <c r="AP1990" t="s">
        <v>11085</v>
      </c>
      <c r="AR1990" t="s">
        <v>11267</v>
      </c>
      <c r="AS1990" t="s">
        <v>9926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</row>
    <row r="1991" spans="1:59">
      <c r="A1991" s="1">
        <f>HYPERLINK("https://lsnyc.legalserver.org/matter/dynamic-profile/view/1905899","19-1905899")</f>
        <v>0</v>
      </c>
      <c r="B1991" t="s">
        <v>771</v>
      </c>
      <c r="C1991" t="s">
        <v>5673</v>
      </c>
      <c r="D1991" t="s">
        <v>9926</v>
      </c>
      <c r="E1991" t="s">
        <v>10075</v>
      </c>
      <c r="F1991">
        <v>10451</v>
      </c>
      <c r="G1991" t="s">
        <v>10090</v>
      </c>
      <c r="H1991" t="s">
        <v>10134</v>
      </c>
      <c r="I1991" t="s">
        <v>10168</v>
      </c>
      <c r="J1991" t="s">
        <v>10210</v>
      </c>
      <c r="K1991" t="s">
        <v>10218</v>
      </c>
      <c r="L1991" t="s">
        <v>10142</v>
      </c>
      <c r="M1991" t="s">
        <v>10262</v>
      </c>
      <c r="N1991" t="s">
        <v>10666</v>
      </c>
      <c r="P1991" t="s">
        <v>10749</v>
      </c>
      <c r="Q1991" t="s">
        <v>10767</v>
      </c>
      <c r="R1991" t="s">
        <v>10824</v>
      </c>
      <c r="T1991">
        <v>9045</v>
      </c>
      <c r="U1991">
        <v>753.75</v>
      </c>
      <c r="V1991">
        <v>51</v>
      </c>
      <c r="W1991">
        <v>1</v>
      </c>
      <c r="X1991">
        <v>0</v>
      </c>
      <c r="Y1991" t="s">
        <v>10829</v>
      </c>
      <c r="Z1991">
        <v>72.42</v>
      </c>
      <c r="AA1991">
        <v>40.823957</v>
      </c>
      <c r="AB1991">
        <v>-73.91759399999999</v>
      </c>
      <c r="AD1991" t="s">
        <v>10839</v>
      </c>
      <c r="AG1991" t="s">
        <v>10858</v>
      </c>
      <c r="AH1991" t="s">
        <v>10862</v>
      </c>
      <c r="AI1991">
        <v>230</v>
      </c>
      <c r="AJ1991" t="s">
        <v>10210</v>
      </c>
      <c r="AK1991" t="s">
        <v>10838</v>
      </c>
      <c r="AL1991">
        <v>0.5</v>
      </c>
      <c r="AM1991" t="s">
        <v>10884</v>
      </c>
      <c r="AN1991" t="s">
        <v>10918</v>
      </c>
      <c r="AO1991" t="s">
        <v>11001</v>
      </c>
      <c r="AP1991" t="s">
        <v>11055</v>
      </c>
      <c r="AR1991" t="s">
        <v>11276</v>
      </c>
      <c r="AS1991" t="s">
        <v>9926</v>
      </c>
      <c r="AY1991" t="s">
        <v>10829</v>
      </c>
      <c r="AZ1991" t="s">
        <v>11681</v>
      </c>
      <c r="BA1991" t="s">
        <v>11741</v>
      </c>
      <c r="BB1991">
        <v>0</v>
      </c>
      <c r="BC1991">
        <v>0</v>
      </c>
      <c r="BD1991">
        <v>0</v>
      </c>
      <c r="BE1991">
        <v>0</v>
      </c>
      <c r="BF1991">
        <v>1</v>
      </c>
      <c r="BG1991">
        <v>0</v>
      </c>
    </row>
    <row r="1992" spans="1:59">
      <c r="A1992" s="1">
        <f>HYPERLINK("https://lsnyc.legalserver.org/matter/dynamic-profile/view/1905900","19-1905900")</f>
        <v>0</v>
      </c>
      <c r="B1992" t="s">
        <v>1711</v>
      </c>
      <c r="C1992" t="s">
        <v>6508</v>
      </c>
      <c r="D1992" t="s">
        <v>9928</v>
      </c>
      <c r="E1992" t="s">
        <v>10075</v>
      </c>
      <c r="F1992">
        <v>11201</v>
      </c>
      <c r="G1992" t="s">
        <v>10090</v>
      </c>
      <c r="H1992" t="s">
        <v>10134</v>
      </c>
      <c r="I1992" t="s">
        <v>10168</v>
      </c>
      <c r="J1992" t="s">
        <v>10210</v>
      </c>
      <c r="K1992" t="s">
        <v>10217</v>
      </c>
      <c r="M1992" t="s">
        <v>10407</v>
      </c>
      <c r="N1992" t="s">
        <v>10671</v>
      </c>
      <c r="P1992" t="s">
        <v>10758</v>
      </c>
      <c r="Q1992" t="s">
        <v>10793</v>
      </c>
      <c r="R1992" t="s">
        <v>10822</v>
      </c>
      <c r="T1992">
        <v>33000</v>
      </c>
      <c r="U1992">
        <v>2750</v>
      </c>
      <c r="V1992">
        <v>33</v>
      </c>
      <c r="W1992">
        <v>1</v>
      </c>
      <c r="X1992">
        <v>1</v>
      </c>
      <c r="Z1992">
        <v>195.15</v>
      </c>
      <c r="AA1992">
        <v>40.68916</v>
      </c>
      <c r="AB1992">
        <v>-73.99484099999999</v>
      </c>
      <c r="AD1992" t="s">
        <v>10839</v>
      </c>
      <c r="AG1992" t="s">
        <v>10858</v>
      </c>
      <c r="AH1992" t="s">
        <v>10861</v>
      </c>
      <c r="AI1992">
        <v>234</v>
      </c>
      <c r="AJ1992" t="s">
        <v>10214</v>
      </c>
      <c r="AL1992">
        <v>0.7</v>
      </c>
      <c r="AM1992" t="s">
        <v>10886</v>
      </c>
      <c r="AN1992" t="s">
        <v>10917</v>
      </c>
      <c r="AO1992" t="s">
        <v>11004</v>
      </c>
      <c r="AP1992" t="s">
        <v>11059</v>
      </c>
      <c r="AR1992" t="s">
        <v>11257</v>
      </c>
      <c r="AS1992" t="s">
        <v>11595</v>
      </c>
      <c r="AT1992" t="s">
        <v>11641</v>
      </c>
      <c r="AX1992" t="s">
        <v>10838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</row>
    <row r="1993" spans="1:59">
      <c r="A1993" s="1">
        <f>HYPERLINK("https://lsnyc.legalserver.org/matter/dynamic-profile/view/1905901","19-1905901")</f>
        <v>0</v>
      </c>
      <c r="B1993" t="s">
        <v>1712</v>
      </c>
      <c r="C1993" t="s">
        <v>6509</v>
      </c>
      <c r="D1993" t="s">
        <v>9926</v>
      </c>
      <c r="E1993" t="s">
        <v>10075</v>
      </c>
      <c r="F1993">
        <v>10456</v>
      </c>
      <c r="G1993" t="s">
        <v>10090</v>
      </c>
      <c r="H1993" t="s">
        <v>10134</v>
      </c>
      <c r="I1993" t="s">
        <v>10168</v>
      </c>
      <c r="J1993" t="s">
        <v>10210</v>
      </c>
      <c r="K1993" t="s">
        <v>10217</v>
      </c>
      <c r="M1993" t="s">
        <v>10513</v>
      </c>
      <c r="N1993" t="s">
        <v>10650</v>
      </c>
      <c r="P1993" t="s">
        <v>10749</v>
      </c>
      <c r="Q1993" t="s">
        <v>10765</v>
      </c>
      <c r="R1993" t="s">
        <v>10824</v>
      </c>
      <c r="T1993">
        <v>38444</v>
      </c>
      <c r="U1993">
        <v>3203.67</v>
      </c>
      <c r="V1993">
        <v>43</v>
      </c>
      <c r="W1993">
        <v>2</v>
      </c>
      <c r="X1993">
        <v>1</v>
      </c>
      <c r="Z1993">
        <v>180.23</v>
      </c>
      <c r="AA1993">
        <v>40.830891</v>
      </c>
      <c r="AB1993">
        <v>-73.916303</v>
      </c>
      <c r="AD1993" t="s">
        <v>10839</v>
      </c>
      <c r="AG1993" t="s">
        <v>10858</v>
      </c>
      <c r="AH1993" t="s">
        <v>10862</v>
      </c>
      <c r="AI1993">
        <v>230</v>
      </c>
      <c r="AJ1993" t="s">
        <v>10210</v>
      </c>
      <c r="AL1993">
        <v>0</v>
      </c>
      <c r="AM1993" t="s">
        <v>10884</v>
      </c>
      <c r="AN1993" t="s">
        <v>10929</v>
      </c>
      <c r="AO1993" t="s">
        <v>11001</v>
      </c>
      <c r="AP1993" t="s">
        <v>11055</v>
      </c>
      <c r="AR1993" t="s">
        <v>11442</v>
      </c>
      <c r="AS1993" t="s">
        <v>9926</v>
      </c>
      <c r="BA1993" t="s">
        <v>11741</v>
      </c>
      <c r="BB1993">
        <v>0</v>
      </c>
      <c r="BC1993">
        <v>0</v>
      </c>
      <c r="BD1993">
        <v>0</v>
      </c>
      <c r="BE1993">
        <v>0</v>
      </c>
      <c r="BF1993">
        <v>1</v>
      </c>
      <c r="BG1993">
        <v>0</v>
      </c>
    </row>
    <row r="1994" spans="1:59">
      <c r="A1994" s="1">
        <f>HYPERLINK("https://lsnyc.legalserver.org/matter/dynamic-profile/view/1905902","19-1905902")</f>
        <v>0</v>
      </c>
      <c r="B1994" t="s">
        <v>1713</v>
      </c>
      <c r="C1994" t="s">
        <v>6491</v>
      </c>
      <c r="D1994" t="s">
        <v>9928</v>
      </c>
      <c r="E1994" t="s">
        <v>10075</v>
      </c>
      <c r="F1994">
        <v>11213</v>
      </c>
      <c r="G1994" t="s">
        <v>10093</v>
      </c>
      <c r="H1994" t="s">
        <v>10134</v>
      </c>
      <c r="I1994" t="s">
        <v>10168</v>
      </c>
      <c r="J1994" t="s">
        <v>10213</v>
      </c>
      <c r="K1994" t="s">
        <v>10217</v>
      </c>
      <c r="M1994" t="s">
        <v>10392</v>
      </c>
      <c r="N1994" t="s">
        <v>10650</v>
      </c>
      <c r="P1994" t="s">
        <v>10749</v>
      </c>
      <c r="Q1994" t="s">
        <v>10765</v>
      </c>
      <c r="R1994" t="s">
        <v>10824</v>
      </c>
      <c r="T1994">
        <v>64000</v>
      </c>
      <c r="U1994">
        <v>5333.33</v>
      </c>
      <c r="V1994">
        <v>40</v>
      </c>
      <c r="W1994">
        <v>1</v>
      </c>
      <c r="X1994">
        <v>0</v>
      </c>
      <c r="Z1994">
        <v>512.41</v>
      </c>
      <c r="AA1994">
        <v>40.671362</v>
      </c>
      <c r="AB1994">
        <v>-73.933893</v>
      </c>
      <c r="AD1994" t="s">
        <v>10840</v>
      </c>
      <c r="AG1994" t="s">
        <v>10858</v>
      </c>
      <c r="AH1994" t="s">
        <v>10862</v>
      </c>
      <c r="AI1994">
        <v>239</v>
      </c>
      <c r="AJ1994" t="s">
        <v>10213</v>
      </c>
      <c r="AL1994">
        <v>0</v>
      </c>
      <c r="AM1994" t="s">
        <v>10888</v>
      </c>
      <c r="AN1994" t="s">
        <v>10914</v>
      </c>
      <c r="AO1994" t="s">
        <v>11005</v>
      </c>
      <c r="AP1994" t="s">
        <v>11061</v>
      </c>
      <c r="AR1994" t="s">
        <v>11257</v>
      </c>
      <c r="AS1994" t="s">
        <v>11595</v>
      </c>
      <c r="AT1994" t="s">
        <v>11642</v>
      </c>
      <c r="BA1994" t="s">
        <v>11740</v>
      </c>
      <c r="BB1994">
        <v>0</v>
      </c>
      <c r="BC1994">
        <v>0</v>
      </c>
      <c r="BD1994">
        <v>0</v>
      </c>
      <c r="BE1994">
        <v>0</v>
      </c>
      <c r="BF1994">
        <v>2</v>
      </c>
      <c r="BG1994">
        <v>0</v>
      </c>
    </row>
    <row r="1995" spans="1:59">
      <c r="A1995" s="1">
        <f>HYPERLINK("https://lsnyc.legalserver.org/matter/dynamic-profile/view/1905903","19-1905903")</f>
        <v>0</v>
      </c>
      <c r="B1995" t="s">
        <v>1714</v>
      </c>
      <c r="C1995" t="s">
        <v>6510</v>
      </c>
      <c r="D1995" t="s">
        <v>9938</v>
      </c>
      <c r="E1995" t="s">
        <v>10075</v>
      </c>
      <c r="F1995">
        <v>11433</v>
      </c>
      <c r="G1995" t="s">
        <v>10092</v>
      </c>
      <c r="H1995" t="s">
        <v>10134</v>
      </c>
      <c r="J1995" t="s">
        <v>10212</v>
      </c>
      <c r="K1995" t="s">
        <v>10217</v>
      </c>
      <c r="M1995" t="s">
        <v>10312</v>
      </c>
      <c r="N1995" t="s">
        <v>10693</v>
      </c>
      <c r="P1995" t="s">
        <v>10749</v>
      </c>
      <c r="Q1995" t="s">
        <v>10765</v>
      </c>
      <c r="R1995" t="s">
        <v>10825</v>
      </c>
      <c r="T1995">
        <v>255000</v>
      </c>
      <c r="U1995">
        <v>21250</v>
      </c>
      <c r="V1995">
        <v>56</v>
      </c>
      <c r="W1995">
        <v>3</v>
      </c>
      <c r="X1995">
        <v>0</v>
      </c>
      <c r="Z1995">
        <v>1195.5</v>
      </c>
      <c r="AA1995">
        <v>40.695097</v>
      </c>
      <c r="AB1995">
        <v>-73.79924</v>
      </c>
      <c r="AD1995" t="s">
        <v>10839</v>
      </c>
      <c r="AG1995" t="s">
        <v>10858</v>
      </c>
      <c r="AH1995" t="s">
        <v>10862</v>
      </c>
      <c r="AI1995">
        <v>237</v>
      </c>
      <c r="AJ1995" t="s">
        <v>10212</v>
      </c>
      <c r="AL1995">
        <v>1.6</v>
      </c>
      <c r="AM1995" t="s">
        <v>10892</v>
      </c>
      <c r="AN1995" t="s">
        <v>10951</v>
      </c>
      <c r="AO1995" t="s">
        <v>11020</v>
      </c>
      <c r="AP1995" t="s">
        <v>11070</v>
      </c>
      <c r="AR1995" t="s">
        <v>11257</v>
      </c>
      <c r="AS1995" t="s">
        <v>11594</v>
      </c>
      <c r="AT1995" t="s">
        <v>11641</v>
      </c>
      <c r="AX1995" t="s">
        <v>10838</v>
      </c>
      <c r="BA1995" t="s">
        <v>11738</v>
      </c>
      <c r="BB1995">
        <v>0</v>
      </c>
      <c r="BC1995">
        <v>0</v>
      </c>
      <c r="BD1995">
        <v>0</v>
      </c>
      <c r="BE1995">
        <v>0</v>
      </c>
      <c r="BF1995">
        <v>5</v>
      </c>
      <c r="BG1995">
        <v>0</v>
      </c>
    </row>
    <row r="1996" spans="1:59">
      <c r="A1996" s="1">
        <f>HYPERLINK("https://lsnyc.legalserver.org/matter/dynamic-profile/view/1905904","19-1905904")</f>
        <v>0</v>
      </c>
      <c r="B1996" t="s">
        <v>1715</v>
      </c>
      <c r="C1996" t="s">
        <v>6511</v>
      </c>
      <c r="D1996" t="s">
        <v>9931</v>
      </c>
      <c r="E1996" t="s">
        <v>10075</v>
      </c>
      <c r="F1996">
        <v>11354</v>
      </c>
      <c r="G1996" t="s">
        <v>10092</v>
      </c>
      <c r="H1996" t="s">
        <v>10134</v>
      </c>
      <c r="I1996" t="s">
        <v>10189</v>
      </c>
      <c r="J1996" t="s">
        <v>10212</v>
      </c>
      <c r="K1996" t="s">
        <v>10217</v>
      </c>
      <c r="M1996" t="s">
        <v>10329</v>
      </c>
      <c r="N1996" t="s">
        <v>10650</v>
      </c>
      <c r="O1996" t="s">
        <v>10650</v>
      </c>
      <c r="P1996" t="s">
        <v>10749</v>
      </c>
      <c r="Q1996" t="s">
        <v>10765</v>
      </c>
      <c r="R1996" t="s">
        <v>10827</v>
      </c>
      <c r="T1996">
        <v>15000</v>
      </c>
      <c r="U1996">
        <v>1250</v>
      </c>
      <c r="V1996">
        <v>41</v>
      </c>
      <c r="W1996">
        <v>1</v>
      </c>
      <c r="X1996">
        <v>0</v>
      </c>
      <c r="Z1996">
        <v>120.1</v>
      </c>
      <c r="AA1996">
        <v>40.762842</v>
      </c>
      <c r="AB1996">
        <v>-73.81588600000001</v>
      </c>
      <c r="AD1996" t="s">
        <v>10840</v>
      </c>
      <c r="AF1996" t="s">
        <v>10842</v>
      </c>
      <c r="AG1996" t="s">
        <v>10859</v>
      </c>
      <c r="AH1996" t="s">
        <v>10861</v>
      </c>
      <c r="AI1996">
        <v>234</v>
      </c>
      <c r="AJ1996" t="s">
        <v>10214</v>
      </c>
      <c r="AL1996">
        <v>19.5</v>
      </c>
      <c r="AM1996" t="s">
        <v>10890</v>
      </c>
      <c r="AN1996" t="s">
        <v>10927</v>
      </c>
      <c r="AO1996" t="s">
        <v>11009</v>
      </c>
      <c r="AP1996" t="s">
        <v>11067</v>
      </c>
      <c r="AR1996" t="s">
        <v>11276</v>
      </c>
      <c r="AS1996" t="s">
        <v>11594</v>
      </c>
      <c r="AT1996" t="s">
        <v>11642</v>
      </c>
      <c r="AX1996" t="s">
        <v>10838</v>
      </c>
      <c r="BA1996" t="s">
        <v>11738</v>
      </c>
      <c r="BB1996">
        <v>0</v>
      </c>
      <c r="BC1996">
        <v>0</v>
      </c>
      <c r="BD1996">
        <v>0</v>
      </c>
      <c r="BE1996">
        <v>0</v>
      </c>
      <c r="BF1996">
        <v>5</v>
      </c>
      <c r="BG1996">
        <v>0</v>
      </c>
    </row>
    <row r="1997" spans="1:59">
      <c r="A1997" s="1">
        <f>HYPERLINK("https://lsnyc.legalserver.org/matter/dynamic-profile/view/1905905","19-1905905")</f>
        <v>0</v>
      </c>
      <c r="B1997" t="s">
        <v>1716</v>
      </c>
      <c r="C1997" t="s">
        <v>6512</v>
      </c>
      <c r="D1997" t="s">
        <v>9928</v>
      </c>
      <c r="E1997" t="s">
        <v>10075</v>
      </c>
      <c r="F1997">
        <v>11234</v>
      </c>
      <c r="G1997" t="s">
        <v>10093</v>
      </c>
      <c r="H1997" t="s">
        <v>10134</v>
      </c>
      <c r="I1997" t="s">
        <v>10168</v>
      </c>
      <c r="J1997" t="s">
        <v>10213</v>
      </c>
      <c r="K1997" t="s">
        <v>10218</v>
      </c>
      <c r="L1997" t="s">
        <v>10156</v>
      </c>
      <c r="M1997" t="s">
        <v>10457</v>
      </c>
      <c r="N1997" t="s">
        <v>10698</v>
      </c>
      <c r="P1997" t="s">
        <v>10751</v>
      </c>
      <c r="Q1997" t="s">
        <v>10780</v>
      </c>
      <c r="R1997" t="s">
        <v>10821</v>
      </c>
      <c r="T1997">
        <v>31204.68</v>
      </c>
      <c r="U1997">
        <v>2600.39</v>
      </c>
      <c r="V1997">
        <v>55</v>
      </c>
      <c r="W1997">
        <v>2</v>
      </c>
      <c r="X1997">
        <v>1</v>
      </c>
      <c r="Y1997" t="s">
        <v>10829</v>
      </c>
      <c r="Z1997">
        <v>146.29</v>
      </c>
      <c r="AA1997">
        <v>40.618656</v>
      </c>
      <c r="AB1997">
        <v>-73.922273</v>
      </c>
      <c r="AD1997" t="s">
        <v>10840</v>
      </c>
      <c r="AG1997" t="s">
        <v>10858</v>
      </c>
      <c r="AH1997" t="s">
        <v>10861</v>
      </c>
      <c r="AI1997">
        <v>234</v>
      </c>
      <c r="AJ1997" t="s">
        <v>10214</v>
      </c>
      <c r="AK1997" t="s">
        <v>10838</v>
      </c>
      <c r="AL1997">
        <v>5.25</v>
      </c>
      <c r="AM1997" t="s">
        <v>10889</v>
      </c>
      <c r="AN1997" t="s">
        <v>10959</v>
      </c>
      <c r="AO1997" t="s">
        <v>11012</v>
      </c>
      <c r="AP1997" t="s">
        <v>11072</v>
      </c>
      <c r="AR1997" t="s">
        <v>11282</v>
      </c>
      <c r="AS1997" t="s">
        <v>11595</v>
      </c>
      <c r="AT1997" t="s">
        <v>11642</v>
      </c>
      <c r="AX1997" t="s">
        <v>10838</v>
      </c>
      <c r="AY1997" t="s">
        <v>10829</v>
      </c>
      <c r="AZ1997" t="s">
        <v>11682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</row>
    <row r="1998" spans="1:59">
      <c r="A1998" s="1">
        <f>HYPERLINK("https://lsnyc.legalserver.org/matter/dynamic-profile/view/1905906","19-1905906")</f>
        <v>0</v>
      </c>
      <c r="B1998" t="s">
        <v>1717</v>
      </c>
      <c r="C1998" t="s">
        <v>6513</v>
      </c>
      <c r="D1998" t="s">
        <v>9926</v>
      </c>
      <c r="E1998" t="s">
        <v>10075</v>
      </c>
      <c r="F1998">
        <v>10457</v>
      </c>
      <c r="G1998" t="s">
        <v>10090</v>
      </c>
      <c r="H1998" t="s">
        <v>10134</v>
      </c>
      <c r="I1998" t="s">
        <v>10168</v>
      </c>
      <c r="J1998" t="s">
        <v>10210</v>
      </c>
      <c r="K1998" t="s">
        <v>10217</v>
      </c>
      <c r="M1998" t="s">
        <v>10511</v>
      </c>
      <c r="N1998" t="s">
        <v>10651</v>
      </c>
      <c r="P1998" t="s">
        <v>10749</v>
      </c>
      <c r="Q1998" t="s">
        <v>10765</v>
      </c>
      <c r="R1998" t="s">
        <v>10824</v>
      </c>
      <c r="T1998">
        <v>26000</v>
      </c>
      <c r="U1998">
        <v>2166.67</v>
      </c>
      <c r="V1998">
        <v>36</v>
      </c>
      <c r="W1998">
        <v>1</v>
      </c>
      <c r="X1998">
        <v>0</v>
      </c>
      <c r="Z1998">
        <v>208.17</v>
      </c>
      <c r="AA1998">
        <v>40.850292</v>
      </c>
      <c r="AB1998">
        <v>-73.885271</v>
      </c>
      <c r="AD1998" t="s">
        <v>10840</v>
      </c>
      <c r="AG1998" t="s">
        <v>10858</v>
      </c>
      <c r="AH1998" t="s">
        <v>10861</v>
      </c>
      <c r="AI1998">
        <v>230</v>
      </c>
      <c r="AJ1998" t="s">
        <v>10210</v>
      </c>
      <c r="AL1998">
        <v>0</v>
      </c>
      <c r="AM1998" t="s">
        <v>10884</v>
      </c>
      <c r="AN1998" t="s">
        <v>10907</v>
      </c>
      <c r="AO1998" t="s">
        <v>11000</v>
      </c>
      <c r="AP1998" t="s">
        <v>11056</v>
      </c>
      <c r="AR1998" t="s">
        <v>11254</v>
      </c>
      <c r="AS1998" t="s">
        <v>9926</v>
      </c>
      <c r="AT1998" t="s">
        <v>11642</v>
      </c>
      <c r="AX1998" t="s">
        <v>10838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</row>
    <row r="1999" spans="1:59">
      <c r="A1999" s="1">
        <f>HYPERLINK("https://lsnyc.legalserver.org/matter/dynamic-profile/view/1905907","19-1905907")</f>
        <v>0</v>
      </c>
      <c r="B1999" t="s">
        <v>1718</v>
      </c>
      <c r="C1999" t="s">
        <v>6491</v>
      </c>
      <c r="D1999" t="s">
        <v>9928</v>
      </c>
      <c r="E1999" t="s">
        <v>10075</v>
      </c>
      <c r="F1999">
        <v>11213</v>
      </c>
      <c r="G1999" t="s">
        <v>10093</v>
      </c>
      <c r="H1999" t="s">
        <v>10134</v>
      </c>
      <c r="I1999" t="s">
        <v>10168</v>
      </c>
      <c r="J1999" t="s">
        <v>10213</v>
      </c>
      <c r="K1999" t="s">
        <v>10217</v>
      </c>
      <c r="M1999" t="s">
        <v>10392</v>
      </c>
      <c r="N1999" t="s">
        <v>10650</v>
      </c>
      <c r="P1999" t="s">
        <v>10749</v>
      </c>
      <c r="Q1999" t="s">
        <v>10765</v>
      </c>
      <c r="R1999" t="s">
        <v>10824</v>
      </c>
      <c r="T1999">
        <v>39066</v>
      </c>
      <c r="U1999">
        <v>3255.5</v>
      </c>
      <c r="V1999">
        <v>41</v>
      </c>
      <c r="W1999">
        <v>5</v>
      </c>
      <c r="X1999">
        <v>1</v>
      </c>
      <c r="Z1999">
        <v>112.94</v>
      </c>
      <c r="AA1999">
        <v>40.671362</v>
      </c>
      <c r="AB1999">
        <v>-73.933893</v>
      </c>
      <c r="AD1999" t="s">
        <v>10839</v>
      </c>
      <c r="AG1999" t="s">
        <v>10858</v>
      </c>
      <c r="AH1999" t="s">
        <v>10862</v>
      </c>
      <c r="AI1999">
        <v>239</v>
      </c>
      <c r="AJ1999" t="s">
        <v>10213</v>
      </c>
      <c r="AL1999">
        <v>0</v>
      </c>
      <c r="AM1999" t="s">
        <v>10888</v>
      </c>
      <c r="AN1999" t="s">
        <v>10914</v>
      </c>
      <c r="AO1999" t="s">
        <v>11005</v>
      </c>
      <c r="AP1999" t="s">
        <v>11061</v>
      </c>
      <c r="AR1999" t="s">
        <v>11383</v>
      </c>
      <c r="AS1999" t="s">
        <v>11595</v>
      </c>
      <c r="AT1999" t="s">
        <v>11641</v>
      </c>
      <c r="BA1999" t="s">
        <v>11740</v>
      </c>
      <c r="BB1999">
        <v>0</v>
      </c>
      <c r="BC1999">
        <v>0</v>
      </c>
      <c r="BD1999">
        <v>0</v>
      </c>
      <c r="BE1999">
        <v>0</v>
      </c>
      <c r="BF1999">
        <v>2</v>
      </c>
      <c r="BG1999">
        <v>0</v>
      </c>
    </row>
    <row r="2000" spans="1:59">
      <c r="A2000" s="1">
        <f>HYPERLINK("https://lsnyc.legalserver.org/matter/dynamic-profile/view/1905908","19-1905908")</f>
        <v>0</v>
      </c>
      <c r="B2000" t="s">
        <v>1719</v>
      </c>
      <c r="C2000" t="s">
        <v>6514</v>
      </c>
      <c r="D2000" t="s">
        <v>9925</v>
      </c>
      <c r="E2000" t="s">
        <v>10075</v>
      </c>
      <c r="F2000">
        <v>10031</v>
      </c>
      <c r="G2000" t="s">
        <v>10089</v>
      </c>
      <c r="H2000" t="s">
        <v>10121</v>
      </c>
      <c r="I2000" t="s">
        <v>10169</v>
      </c>
      <c r="J2000" t="s">
        <v>10209</v>
      </c>
      <c r="K2000" t="s">
        <v>10217</v>
      </c>
      <c r="M2000" t="s">
        <v>10499</v>
      </c>
      <c r="N2000" t="s">
        <v>10722</v>
      </c>
      <c r="P2000" t="s">
        <v>10749</v>
      </c>
      <c r="Q2000" t="s">
        <v>10774</v>
      </c>
      <c r="R2000" t="s">
        <v>10821</v>
      </c>
      <c r="T2000">
        <v>23000</v>
      </c>
      <c r="U2000">
        <v>1916.67</v>
      </c>
      <c r="V2000">
        <v>66</v>
      </c>
      <c r="W2000">
        <v>1</v>
      </c>
      <c r="X2000">
        <v>0</v>
      </c>
      <c r="Z2000">
        <v>184.15</v>
      </c>
      <c r="AA2000">
        <v>40.819355</v>
      </c>
      <c r="AB2000">
        <v>-73.9555</v>
      </c>
      <c r="AD2000" t="s">
        <v>10840</v>
      </c>
      <c r="AG2000" t="s">
        <v>10858</v>
      </c>
      <c r="AH2000" t="s">
        <v>10862</v>
      </c>
      <c r="AI2000">
        <v>236</v>
      </c>
      <c r="AJ2000" t="s">
        <v>10209</v>
      </c>
      <c r="AL2000">
        <v>0</v>
      </c>
      <c r="AM2000" t="s">
        <v>10887</v>
      </c>
      <c r="AN2000" t="s">
        <v>10936</v>
      </c>
      <c r="AO2000" t="s">
        <v>11019</v>
      </c>
      <c r="AP2000" t="s">
        <v>11073</v>
      </c>
      <c r="AQ2000" t="s">
        <v>11136</v>
      </c>
      <c r="AR2000" t="s">
        <v>11257</v>
      </c>
      <c r="AS2000" t="s">
        <v>9925</v>
      </c>
      <c r="AT2000" t="s">
        <v>11642</v>
      </c>
      <c r="AX2000" t="s">
        <v>10838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</row>
    <row r="2001" spans="1:59">
      <c r="A2001" s="1">
        <f>HYPERLINK("https://lsnyc.legalserver.org/matter/dynamic-profile/view/1905909","19-1905909")</f>
        <v>0</v>
      </c>
      <c r="B2001" t="s">
        <v>1720</v>
      </c>
      <c r="C2001" t="s">
        <v>6515</v>
      </c>
      <c r="D2001" t="s">
        <v>9926</v>
      </c>
      <c r="E2001" t="s">
        <v>10075</v>
      </c>
      <c r="F2001">
        <v>10453</v>
      </c>
      <c r="G2001" t="s">
        <v>10090</v>
      </c>
      <c r="H2001" t="s">
        <v>10134</v>
      </c>
      <c r="I2001" t="s">
        <v>10168</v>
      </c>
      <c r="J2001" t="s">
        <v>10210</v>
      </c>
      <c r="K2001" t="s">
        <v>10218</v>
      </c>
      <c r="L2001" t="s">
        <v>10151</v>
      </c>
      <c r="M2001" t="s">
        <v>10262</v>
      </c>
      <c r="N2001" t="s">
        <v>10666</v>
      </c>
      <c r="P2001" t="s">
        <v>10749</v>
      </c>
      <c r="Q2001" t="s">
        <v>10765</v>
      </c>
      <c r="R2001" t="s">
        <v>10821</v>
      </c>
      <c r="T2001">
        <v>10536</v>
      </c>
      <c r="U2001">
        <v>878</v>
      </c>
      <c r="V2001">
        <v>56</v>
      </c>
      <c r="W2001">
        <v>1</v>
      </c>
      <c r="X2001">
        <v>0</v>
      </c>
      <c r="Y2001" t="s">
        <v>10829</v>
      </c>
      <c r="Z2001">
        <v>84.36</v>
      </c>
      <c r="AA2001">
        <v>40.85153</v>
      </c>
      <c r="AB2001">
        <v>-73.923373</v>
      </c>
      <c r="AD2001" t="s">
        <v>10839</v>
      </c>
      <c r="AG2001" t="s">
        <v>10858</v>
      </c>
      <c r="AH2001" t="s">
        <v>10862</v>
      </c>
      <c r="AI2001">
        <v>230</v>
      </c>
      <c r="AJ2001" t="s">
        <v>10210</v>
      </c>
      <c r="AK2001" t="s">
        <v>10838</v>
      </c>
      <c r="AL2001">
        <v>1.8</v>
      </c>
      <c r="AM2001" t="s">
        <v>10887</v>
      </c>
      <c r="AN2001" t="s">
        <v>10937</v>
      </c>
      <c r="AO2001" t="s">
        <v>11019</v>
      </c>
      <c r="AP2001" t="s">
        <v>11055</v>
      </c>
      <c r="AR2001" t="s">
        <v>11296</v>
      </c>
      <c r="AS2001" t="s">
        <v>9926</v>
      </c>
      <c r="AX2001" t="s">
        <v>10838</v>
      </c>
      <c r="AY2001" t="s">
        <v>10829</v>
      </c>
      <c r="AZ2001" t="s">
        <v>11681</v>
      </c>
      <c r="BA2001" t="s">
        <v>11741</v>
      </c>
      <c r="BB2001">
        <v>0</v>
      </c>
      <c r="BC2001">
        <v>0</v>
      </c>
      <c r="BD2001">
        <v>0</v>
      </c>
      <c r="BE2001">
        <v>0</v>
      </c>
      <c r="BF2001">
        <v>1</v>
      </c>
      <c r="BG2001">
        <v>0</v>
      </c>
    </row>
    <row r="2002" spans="1:59">
      <c r="A2002" s="1">
        <f>HYPERLINK("https://lsnyc.legalserver.org/matter/dynamic-profile/view/1905910","19-1905910")</f>
        <v>0</v>
      </c>
      <c r="B2002" t="s">
        <v>1721</v>
      </c>
      <c r="C2002" t="s">
        <v>6516</v>
      </c>
      <c r="D2002" t="s">
        <v>9925</v>
      </c>
      <c r="E2002" t="s">
        <v>10075</v>
      </c>
      <c r="F2002">
        <v>10026</v>
      </c>
      <c r="G2002" t="s">
        <v>10091</v>
      </c>
      <c r="H2002" t="s">
        <v>10134</v>
      </c>
      <c r="I2002" t="s">
        <v>10168</v>
      </c>
      <c r="J2002" t="s">
        <v>10211</v>
      </c>
      <c r="K2002" t="s">
        <v>10217</v>
      </c>
      <c r="M2002" t="s">
        <v>10231</v>
      </c>
      <c r="N2002" t="s">
        <v>10647</v>
      </c>
      <c r="P2002" t="s">
        <v>10752</v>
      </c>
      <c r="Q2002" t="s">
        <v>10762</v>
      </c>
      <c r="R2002" t="s">
        <v>10825</v>
      </c>
      <c r="T2002">
        <v>15221</v>
      </c>
      <c r="U2002">
        <v>1268.42</v>
      </c>
      <c r="V2002">
        <v>45</v>
      </c>
      <c r="W2002">
        <v>1</v>
      </c>
      <c r="X2002">
        <v>0</v>
      </c>
      <c r="Z2002">
        <v>121.87</v>
      </c>
      <c r="AA2002">
        <v>40.8027</v>
      </c>
      <c r="AB2002">
        <v>-73.94962099999999</v>
      </c>
      <c r="AD2002" t="s">
        <v>10839</v>
      </c>
      <c r="AG2002" t="s">
        <v>10858</v>
      </c>
      <c r="AH2002" t="s">
        <v>10861</v>
      </c>
      <c r="AI2002">
        <v>234</v>
      </c>
      <c r="AJ2002" t="s">
        <v>10214</v>
      </c>
      <c r="AL2002">
        <v>1</v>
      </c>
      <c r="AM2002" t="s">
        <v>10887</v>
      </c>
      <c r="AN2002" t="s">
        <v>10936</v>
      </c>
      <c r="AO2002" t="s">
        <v>11016</v>
      </c>
      <c r="AP2002" t="s">
        <v>11076</v>
      </c>
      <c r="AR2002" t="s">
        <v>11343</v>
      </c>
      <c r="AS2002" t="s">
        <v>9925</v>
      </c>
      <c r="AT2002" t="s">
        <v>11641</v>
      </c>
      <c r="AX2002" t="s">
        <v>10838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</row>
    <row r="2003" spans="1:59">
      <c r="A2003" s="1">
        <f>HYPERLINK("https://lsnyc.legalserver.org/matter/dynamic-profile/view/1905911","19-1905911")</f>
        <v>0</v>
      </c>
      <c r="B2003" t="s">
        <v>1722</v>
      </c>
      <c r="C2003" t="s">
        <v>6517</v>
      </c>
      <c r="D2003" t="s">
        <v>9963</v>
      </c>
      <c r="E2003" t="s">
        <v>10075</v>
      </c>
      <c r="F2003">
        <v>11385</v>
      </c>
      <c r="G2003" t="s">
        <v>10092</v>
      </c>
      <c r="H2003" t="s">
        <v>10095</v>
      </c>
      <c r="J2003" t="s">
        <v>10212</v>
      </c>
      <c r="K2003" t="s">
        <v>10217</v>
      </c>
      <c r="M2003" t="s">
        <v>10363</v>
      </c>
      <c r="N2003" t="s">
        <v>10706</v>
      </c>
      <c r="P2003" t="s">
        <v>10755</v>
      </c>
      <c r="Q2003" t="s">
        <v>10772</v>
      </c>
      <c r="R2003" t="s">
        <v>10825</v>
      </c>
      <c r="T2003">
        <v>9036</v>
      </c>
      <c r="U2003">
        <v>753</v>
      </c>
      <c r="V2003">
        <v>29</v>
      </c>
      <c r="W2003">
        <v>2</v>
      </c>
      <c r="X2003">
        <v>0</v>
      </c>
      <c r="Z2003">
        <v>53.44</v>
      </c>
      <c r="AA2003">
        <v>40.699234</v>
      </c>
      <c r="AB2003">
        <v>-73.88967</v>
      </c>
      <c r="AD2003" t="s">
        <v>10839</v>
      </c>
      <c r="AG2003" t="s">
        <v>10858</v>
      </c>
      <c r="AH2003" t="s">
        <v>10874</v>
      </c>
      <c r="AI2003">
        <v>230</v>
      </c>
      <c r="AJ2003" t="s">
        <v>10210</v>
      </c>
      <c r="AL2003">
        <v>10.1</v>
      </c>
      <c r="AM2003" t="s">
        <v>10890</v>
      </c>
      <c r="AN2003" t="s">
        <v>10945</v>
      </c>
      <c r="AO2003" t="s">
        <v>11003</v>
      </c>
      <c r="AP2003" t="s">
        <v>11077</v>
      </c>
      <c r="AR2003" t="s">
        <v>11263</v>
      </c>
      <c r="AS2003" t="s">
        <v>11594</v>
      </c>
      <c r="AT2003" t="s">
        <v>11641</v>
      </c>
      <c r="AX2003" t="s">
        <v>10838</v>
      </c>
      <c r="BA2003" t="s">
        <v>11741</v>
      </c>
      <c r="BB2003">
        <v>0</v>
      </c>
      <c r="BC2003">
        <v>0</v>
      </c>
      <c r="BD2003">
        <v>0</v>
      </c>
      <c r="BE2003">
        <v>0</v>
      </c>
      <c r="BF2003">
        <v>1</v>
      </c>
      <c r="BG2003">
        <v>0</v>
      </c>
    </row>
    <row r="2004" spans="1:59">
      <c r="A2004" s="1">
        <f>HYPERLINK("https://lsnyc.legalserver.org/matter/dynamic-profile/view/1905912","19-1905912")</f>
        <v>0</v>
      </c>
      <c r="B2004" t="s">
        <v>1722</v>
      </c>
      <c r="C2004" t="s">
        <v>6517</v>
      </c>
      <c r="D2004" t="s">
        <v>9963</v>
      </c>
      <c r="E2004" t="s">
        <v>10075</v>
      </c>
      <c r="F2004">
        <v>11385</v>
      </c>
      <c r="G2004" t="s">
        <v>10090</v>
      </c>
      <c r="H2004" t="s">
        <v>10134</v>
      </c>
      <c r="J2004" t="s">
        <v>10210</v>
      </c>
      <c r="K2004" t="s">
        <v>10218</v>
      </c>
      <c r="L2004" t="s">
        <v>10100</v>
      </c>
      <c r="M2004" t="s">
        <v>10338</v>
      </c>
      <c r="N2004" t="s">
        <v>10671</v>
      </c>
      <c r="P2004" t="s">
        <v>10757</v>
      </c>
      <c r="Q2004" t="s">
        <v>10815</v>
      </c>
      <c r="R2004" t="s">
        <v>10825</v>
      </c>
      <c r="T2004">
        <v>9036</v>
      </c>
      <c r="U2004">
        <v>753</v>
      </c>
      <c r="V2004">
        <v>29</v>
      </c>
      <c r="W2004">
        <v>2</v>
      </c>
      <c r="X2004">
        <v>0</v>
      </c>
      <c r="Y2004" t="s">
        <v>10829</v>
      </c>
      <c r="Z2004">
        <v>53.44</v>
      </c>
      <c r="AA2004">
        <v>40.699234</v>
      </c>
      <c r="AB2004">
        <v>-73.88967</v>
      </c>
      <c r="AD2004" t="s">
        <v>10839</v>
      </c>
      <c r="AG2004" t="s">
        <v>10858</v>
      </c>
      <c r="AH2004" t="s">
        <v>10874</v>
      </c>
      <c r="AI2004">
        <v>230</v>
      </c>
      <c r="AJ2004" t="s">
        <v>10210</v>
      </c>
      <c r="AK2004" t="s">
        <v>10838</v>
      </c>
      <c r="AL2004">
        <v>1.2</v>
      </c>
      <c r="AQ2004" t="s">
        <v>11201</v>
      </c>
      <c r="AR2004" t="s">
        <v>11263</v>
      </c>
      <c r="AS2004" t="s">
        <v>11594</v>
      </c>
      <c r="AY2004" t="s">
        <v>10829</v>
      </c>
      <c r="AZ2004" t="s">
        <v>11703</v>
      </c>
      <c r="BA2004" t="s">
        <v>11741</v>
      </c>
      <c r="BB2004">
        <v>0</v>
      </c>
      <c r="BC2004">
        <v>0</v>
      </c>
      <c r="BD2004">
        <v>0</v>
      </c>
      <c r="BE2004">
        <v>0</v>
      </c>
      <c r="BF2004">
        <v>1</v>
      </c>
      <c r="BG2004">
        <v>0</v>
      </c>
    </row>
    <row r="2005" spans="1:59">
      <c r="A2005" s="1">
        <f>HYPERLINK("https://lsnyc.legalserver.org/matter/dynamic-profile/view/1905913","19-1905913")</f>
        <v>0</v>
      </c>
      <c r="B2005" t="s">
        <v>1723</v>
      </c>
      <c r="C2005" t="s">
        <v>6518</v>
      </c>
      <c r="D2005" t="s">
        <v>9926</v>
      </c>
      <c r="E2005" t="s">
        <v>10075</v>
      </c>
      <c r="F2005">
        <v>10462</v>
      </c>
      <c r="G2005" t="s">
        <v>10090</v>
      </c>
      <c r="H2005" t="s">
        <v>10134</v>
      </c>
      <c r="I2005" t="s">
        <v>10169</v>
      </c>
      <c r="J2005" t="s">
        <v>10210</v>
      </c>
      <c r="K2005" t="s">
        <v>10217</v>
      </c>
      <c r="M2005" t="s">
        <v>10558</v>
      </c>
      <c r="N2005" t="s">
        <v>10683</v>
      </c>
      <c r="P2005" t="s">
        <v>10754</v>
      </c>
      <c r="Q2005" t="s">
        <v>10766</v>
      </c>
      <c r="R2005" t="s">
        <v>10823</v>
      </c>
      <c r="T2005">
        <v>278.88</v>
      </c>
      <c r="U2005">
        <v>23.24</v>
      </c>
      <c r="V2005">
        <v>42</v>
      </c>
      <c r="W2005">
        <v>1</v>
      </c>
      <c r="X2005">
        <v>2</v>
      </c>
      <c r="Z2005">
        <v>1.31</v>
      </c>
      <c r="AA2005">
        <v>40.855672</v>
      </c>
      <c r="AB2005">
        <v>-73.865016</v>
      </c>
      <c r="AD2005" t="s">
        <v>10839</v>
      </c>
      <c r="AF2005" t="s">
        <v>10842</v>
      </c>
      <c r="AG2005" t="s">
        <v>10859</v>
      </c>
      <c r="AH2005" t="s">
        <v>10864</v>
      </c>
      <c r="AI2005">
        <v>230</v>
      </c>
      <c r="AJ2005" t="s">
        <v>10210</v>
      </c>
      <c r="AL2005">
        <v>2</v>
      </c>
      <c r="AM2005" t="s">
        <v>10885</v>
      </c>
      <c r="AN2005" t="s">
        <v>10938</v>
      </c>
      <c r="AO2005" t="s">
        <v>11002</v>
      </c>
      <c r="AP2005" t="s">
        <v>11049</v>
      </c>
      <c r="AQ2005" t="s">
        <v>11112</v>
      </c>
      <c r="AR2005" t="s">
        <v>11255</v>
      </c>
      <c r="AS2005" t="s">
        <v>9926</v>
      </c>
      <c r="AT2005" t="s">
        <v>11641</v>
      </c>
      <c r="AV2005" t="s">
        <v>11656</v>
      </c>
      <c r="AW2005" t="s">
        <v>11645</v>
      </c>
      <c r="AX2005" t="s">
        <v>10838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</row>
    <row r="2006" spans="1:59">
      <c r="A2006" s="1">
        <f>HYPERLINK("https://lsnyc.legalserver.org/matter/dynamic-profile/view/1905914","19-1905914")</f>
        <v>0</v>
      </c>
      <c r="B2006" t="s">
        <v>1724</v>
      </c>
      <c r="C2006" t="s">
        <v>6519</v>
      </c>
      <c r="D2006" t="s">
        <v>9928</v>
      </c>
      <c r="E2006" t="s">
        <v>10075</v>
      </c>
      <c r="F2006">
        <v>11226</v>
      </c>
      <c r="G2006" t="s">
        <v>10093</v>
      </c>
      <c r="H2006" t="s">
        <v>10121</v>
      </c>
      <c r="I2006" t="s">
        <v>10169</v>
      </c>
      <c r="J2006" t="s">
        <v>10213</v>
      </c>
      <c r="K2006" t="s">
        <v>10217</v>
      </c>
      <c r="M2006" t="s">
        <v>10390</v>
      </c>
      <c r="N2006" t="s">
        <v>10644</v>
      </c>
      <c r="P2006" t="s">
        <v>10749</v>
      </c>
      <c r="Q2006" t="s">
        <v>10765</v>
      </c>
      <c r="R2006" t="s">
        <v>10821</v>
      </c>
      <c r="T2006">
        <v>7800</v>
      </c>
      <c r="U2006">
        <v>650</v>
      </c>
      <c r="V2006">
        <v>73</v>
      </c>
      <c r="W2006">
        <v>1</v>
      </c>
      <c r="X2006">
        <v>0</v>
      </c>
      <c r="Z2006">
        <v>62.45</v>
      </c>
      <c r="AA2006">
        <v>40.654746</v>
      </c>
      <c r="AB2006">
        <v>-73.95015600000001</v>
      </c>
      <c r="AD2006" t="s">
        <v>10840</v>
      </c>
      <c r="AG2006" t="s">
        <v>10858</v>
      </c>
      <c r="AH2006" t="s">
        <v>10869</v>
      </c>
      <c r="AI2006">
        <v>239</v>
      </c>
      <c r="AJ2006" t="s">
        <v>10213</v>
      </c>
      <c r="AL2006">
        <v>9.5</v>
      </c>
      <c r="AM2006" t="s">
        <v>10888</v>
      </c>
      <c r="AN2006" t="s">
        <v>10912</v>
      </c>
      <c r="AO2006" t="s">
        <v>11005</v>
      </c>
      <c r="AP2006" t="s">
        <v>11050</v>
      </c>
      <c r="AR2006" t="s">
        <v>11268</v>
      </c>
      <c r="AS2006" t="s">
        <v>11595</v>
      </c>
      <c r="BA2006" t="s">
        <v>11742</v>
      </c>
      <c r="BB2006">
        <v>0</v>
      </c>
      <c r="BC2006">
        <v>0</v>
      </c>
      <c r="BD2006">
        <v>0</v>
      </c>
      <c r="BE2006">
        <v>0</v>
      </c>
      <c r="BF2006">
        <v>7</v>
      </c>
      <c r="BG2006">
        <v>0</v>
      </c>
    </row>
    <row r="2007" spans="1:59">
      <c r="A2007" s="1">
        <f>HYPERLINK("https://lsnyc.legalserver.org/matter/dynamic-profile/view/1905916","19-1905916")</f>
        <v>0</v>
      </c>
      <c r="B2007" t="s">
        <v>1725</v>
      </c>
      <c r="C2007" t="s">
        <v>6520</v>
      </c>
      <c r="D2007" t="s">
        <v>9925</v>
      </c>
      <c r="E2007" t="s">
        <v>10075</v>
      </c>
      <c r="F2007">
        <v>10116</v>
      </c>
      <c r="G2007" t="s">
        <v>10093</v>
      </c>
      <c r="H2007" t="s">
        <v>10102</v>
      </c>
      <c r="I2007" t="s">
        <v>10168</v>
      </c>
      <c r="J2007" t="s">
        <v>10213</v>
      </c>
      <c r="K2007" t="s">
        <v>10217</v>
      </c>
      <c r="M2007" t="s">
        <v>10315</v>
      </c>
      <c r="N2007" t="s">
        <v>10671</v>
      </c>
      <c r="P2007" t="s">
        <v>10750</v>
      </c>
      <c r="Q2007" t="s">
        <v>10778</v>
      </c>
      <c r="R2007" t="s">
        <v>10822</v>
      </c>
      <c r="T2007">
        <v>0</v>
      </c>
      <c r="U2007">
        <v>0</v>
      </c>
      <c r="V2007">
        <v>45</v>
      </c>
      <c r="W2007">
        <v>1</v>
      </c>
      <c r="X2007">
        <v>0</v>
      </c>
      <c r="Z2007">
        <v>0</v>
      </c>
      <c r="AA2007">
        <v>40.750341</v>
      </c>
      <c r="AB2007">
        <v>-73.99489199999999</v>
      </c>
      <c r="AD2007" t="s">
        <v>10840</v>
      </c>
      <c r="AG2007" t="s">
        <v>10858</v>
      </c>
      <c r="AH2007" t="s">
        <v>10861</v>
      </c>
      <c r="AI2007">
        <v>234</v>
      </c>
      <c r="AJ2007" t="s">
        <v>10214</v>
      </c>
      <c r="AL2007">
        <v>0.95</v>
      </c>
      <c r="AR2007" t="s">
        <v>11267</v>
      </c>
      <c r="AS2007" t="s">
        <v>9925</v>
      </c>
      <c r="AT2007" t="s">
        <v>11642</v>
      </c>
      <c r="AX2007" t="s">
        <v>10838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</row>
    <row r="2008" spans="1:59">
      <c r="A2008" s="1">
        <f>HYPERLINK("https://lsnyc.legalserver.org/matter/dynamic-profile/view/1905917","19-1905917")</f>
        <v>0</v>
      </c>
      <c r="B2008" t="s">
        <v>1726</v>
      </c>
      <c r="C2008" t="s">
        <v>6521</v>
      </c>
      <c r="D2008" t="s">
        <v>9925</v>
      </c>
      <c r="E2008" t="s">
        <v>10075</v>
      </c>
      <c r="F2008">
        <v>10009</v>
      </c>
      <c r="G2008" t="s">
        <v>10089</v>
      </c>
      <c r="H2008" t="s">
        <v>10134</v>
      </c>
      <c r="I2008" t="s">
        <v>10168</v>
      </c>
      <c r="J2008" t="s">
        <v>10209</v>
      </c>
      <c r="K2008" t="s">
        <v>10217</v>
      </c>
      <c r="M2008" t="s">
        <v>10270</v>
      </c>
      <c r="N2008" t="s">
        <v>10691</v>
      </c>
      <c r="P2008" t="s">
        <v>10754</v>
      </c>
      <c r="Q2008" t="s">
        <v>10777</v>
      </c>
      <c r="R2008" t="s">
        <v>10824</v>
      </c>
      <c r="T2008">
        <v>2160</v>
      </c>
      <c r="U2008">
        <v>180</v>
      </c>
      <c r="V2008">
        <v>35</v>
      </c>
      <c r="W2008">
        <v>1</v>
      </c>
      <c r="X2008">
        <v>1</v>
      </c>
      <c r="Z2008">
        <v>12.77</v>
      </c>
      <c r="AA2008">
        <v>40.727066</v>
      </c>
      <c r="AB2008">
        <v>-73.97654</v>
      </c>
      <c r="AD2008" t="s">
        <v>10839</v>
      </c>
      <c r="AG2008" t="s">
        <v>10858</v>
      </c>
      <c r="AH2008" t="s">
        <v>10865</v>
      </c>
      <c r="AI2008">
        <v>236</v>
      </c>
      <c r="AJ2008" t="s">
        <v>10209</v>
      </c>
      <c r="AK2008" t="s">
        <v>10837</v>
      </c>
      <c r="AL2008">
        <v>0.18</v>
      </c>
      <c r="AM2008" t="s">
        <v>10886</v>
      </c>
      <c r="AN2008" t="s">
        <v>10910</v>
      </c>
      <c r="AO2008" t="s">
        <v>11021</v>
      </c>
      <c r="AP2008" t="s">
        <v>11048</v>
      </c>
      <c r="AQ2008" t="s">
        <v>11128</v>
      </c>
      <c r="AR2008" t="s">
        <v>11306</v>
      </c>
      <c r="AS2008" t="s">
        <v>9925</v>
      </c>
      <c r="AT2008" t="s">
        <v>11641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</row>
    <row r="2009" spans="1:59">
      <c r="A2009" s="1">
        <f>HYPERLINK("https://lsnyc.legalserver.org/matter/dynamic-profile/view/1905918","19-1905918")</f>
        <v>0</v>
      </c>
      <c r="B2009" t="s">
        <v>1727</v>
      </c>
      <c r="C2009" t="s">
        <v>6522</v>
      </c>
      <c r="D2009" t="s">
        <v>9926</v>
      </c>
      <c r="E2009" t="s">
        <v>10075</v>
      </c>
      <c r="F2009">
        <v>10455</v>
      </c>
      <c r="G2009" t="s">
        <v>10090</v>
      </c>
      <c r="H2009" t="s">
        <v>10134</v>
      </c>
      <c r="I2009" t="s">
        <v>10169</v>
      </c>
      <c r="J2009" t="s">
        <v>10210</v>
      </c>
      <c r="K2009" t="s">
        <v>10217</v>
      </c>
      <c r="M2009" t="s">
        <v>10558</v>
      </c>
      <c r="N2009" t="s">
        <v>10683</v>
      </c>
      <c r="P2009" t="s">
        <v>10754</v>
      </c>
      <c r="Q2009" t="s">
        <v>10777</v>
      </c>
      <c r="R2009" t="s">
        <v>10821</v>
      </c>
      <c r="T2009">
        <v>9480</v>
      </c>
      <c r="U2009">
        <v>790</v>
      </c>
      <c r="V2009">
        <v>39</v>
      </c>
      <c r="W2009">
        <v>1</v>
      </c>
      <c r="X2009">
        <v>2</v>
      </c>
      <c r="Z2009">
        <v>44.44</v>
      </c>
      <c r="AA2009">
        <v>40.817263</v>
      </c>
      <c r="AB2009">
        <v>-73.90817699999999</v>
      </c>
      <c r="AD2009" t="s">
        <v>10839</v>
      </c>
      <c r="AG2009" t="s">
        <v>10858</v>
      </c>
      <c r="AH2009" t="s">
        <v>10875</v>
      </c>
      <c r="AI2009">
        <v>230</v>
      </c>
      <c r="AJ2009" t="s">
        <v>10210</v>
      </c>
      <c r="AL2009">
        <v>2</v>
      </c>
      <c r="AM2009" t="s">
        <v>10884</v>
      </c>
      <c r="AN2009" t="s">
        <v>10918</v>
      </c>
      <c r="AO2009" t="s">
        <v>11001</v>
      </c>
      <c r="AP2009" t="s">
        <v>11062</v>
      </c>
      <c r="AQ2009" t="s">
        <v>11128</v>
      </c>
      <c r="AR2009" t="s">
        <v>11263</v>
      </c>
      <c r="AS2009" t="s">
        <v>9926</v>
      </c>
      <c r="AT2009" t="s">
        <v>11641</v>
      </c>
      <c r="AV2009" t="s">
        <v>11656</v>
      </c>
      <c r="AW2009" t="s">
        <v>11645</v>
      </c>
      <c r="AX2009" t="s">
        <v>10838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</row>
    <row r="2010" spans="1:59">
      <c r="A2010" s="1">
        <f>HYPERLINK("https://lsnyc.legalserver.org/matter/dynamic-profile/view/1905919","19-1905919")</f>
        <v>0</v>
      </c>
      <c r="B2010" t="s">
        <v>1728</v>
      </c>
      <c r="C2010" t="s">
        <v>6523</v>
      </c>
      <c r="D2010" t="s">
        <v>9926</v>
      </c>
      <c r="E2010" t="s">
        <v>10075</v>
      </c>
      <c r="F2010">
        <v>10466</v>
      </c>
      <c r="G2010" t="s">
        <v>10090</v>
      </c>
      <c r="H2010" t="s">
        <v>10100</v>
      </c>
      <c r="I2010" t="s">
        <v>10168</v>
      </c>
      <c r="J2010" t="s">
        <v>10210</v>
      </c>
      <c r="K2010" t="s">
        <v>10217</v>
      </c>
      <c r="M2010" t="s">
        <v>10353</v>
      </c>
      <c r="N2010" t="s">
        <v>10671</v>
      </c>
      <c r="P2010" t="s">
        <v>10749</v>
      </c>
      <c r="Q2010" t="s">
        <v>10791</v>
      </c>
      <c r="R2010" t="s">
        <v>10824</v>
      </c>
      <c r="T2010">
        <v>17601.6</v>
      </c>
      <c r="U2010">
        <v>1466.8</v>
      </c>
      <c r="V2010">
        <v>62</v>
      </c>
      <c r="W2010">
        <v>1</v>
      </c>
      <c r="X2010">
        <v>0</v>
      </c>
      <c r="Z2010">
        <v>140.93</v>
      </c>
      <c r="AA2010">
        <v>40.896434</v>
      </c>
      <c r="AB2010">
        <v>-73.85677</v>
      </c>
      <c r="AD2010" t="s">
        <v>10840</v>
      </c>
      <c r="AG2010" t="s">
        <v>10858</v>
      </c>
      <c r="AH2010" t="s">
        <v>10861</v>
      </c>
      <c r="AI2010">
        <v>230</v>
      </c>
      <c r="AJ2010" t="s">
        <v>10210</v>
      </c>
      <c r="AL2010">
        <v>3.25</v>
      </c>
      <c r="AM2010" t="s">
        <v>10893</v>
      </c>
      <c r="AN2010" t="s">
        <v>10919</v>
      </c>
      <c r="AO2010" t="s">
        <v>11010</v>
      </c>
      <c r="AP2010" t="s">
        <v>11057</v>
      </c>
      <c r="AQ2010" t="s">
        <v>11133</v>
      </c>
      <c r="AR2010" t="s">
        <v>11263</v>
      </c>
      <c r="AS2010" t="s">
        <v>9926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</row>
    <row r="2011" spans="1:59">
      <c r="A2011" s="1">
        <f>HYPERLINK("https://lsnyc.legalserver.org/matter/dynamic-profile/view/1905920","19-1905920")</f>
        <v>0</v>
      </c>
      <c r="B2011" t="s">
        <v>1729</v>
      </c>
      <c r="C2011" t="s">
        <v>6524</v>
      </c>
      <c r="D2011" t="s">
        <v>10003</v>
      </c>
      <c r="E2011" t="s">
        <v>10075</v>
      </c>
      <c r="F2011">
        <v>11003</v>
      </c>
      <c r="G2011" t="s">
        <v>10092</v>
      </c>
      <c r="H2011" t="s">
        <v>10134</v>
      </c>
      <c r="I2011" t="s">
        <v>10169</v>
      </c>
      <c r="J2011" t="s">
        <v>10212</v>
      </c>
      <c r="K2011" t="s">
        <v>10218</v>
      </c>
      <c r="L2011" t="s">
        <v>10134</v>
      </c>
      <c r="M2011" t="s">
        <v>10523</v>
      </c>
      <c r="N2011" t="s">
        <v>10648</v>
      </c>
      <c r="P2011" t="s">
        <v>10753</v>
      </c>
      <c r="Q2011" t="s">
        <v>10763</v>
      </c>
      <c r="R2011" t="s">
        <v>10823</v>
      </c>
      <c r="T2011">
        <v>10400</v>
      </c>
      <c r="U2011">
        <v>866.67</v>
      </c>
      <c r="V2011">
        <v>29</v>
      </c>
      <c r="W2011">
        <v>1</v>
      </c>
      <c r="X2011">
        <v>0</v>
      </c>
      <c r="Y2011" t="s">
        <v>10829</v>
      </c>
      <c r="Z2011">
        <v>83.27</v>
      </c>
      <c r="AA2011">
        <v>40.708551</v>
      </c>
      <c r="AB2011">
        <v>-73.69172</v>
      </c>
      <c r="AD2011" t="s">
        <v>10839</v>
      </c>
      <c r="AF2011" t="s">
        <v>10842</v>
      </c>
      <c r="AG2011" t="s">
        <v>10859</v>
      </c>
      <c r="AH2011" t="s">
        <v>10864</v>
      </c>
      <c r="AI2011">
        <v>237</v>
      </c>
      <c r="AJ2011" t="s">
        <v>10212</v>
      </c>
      <c r="AK2011" t="s">
        <v>10837</v>
      </c>
      <c r="AL2011">
        <v>0.75</v>
      </c>
      <c r="AM2011" t="s">
        <v>10900</v>
      </c>
      <c r="AN2011" t="s">
        <v>10967</v>
      </c>
      <c r="AO2011" t="s">
        <v>11035</v>
      </c>
      <c r="AQ2011" t="s">
        <v>11096</v>
      </c>
      <c r="AR2011" t="s">
        <v>11257</v>
      </c>
      <c r="AS2011" t="s">
        <v>11612</v>
      </c>
      <c r="AT2011" t="s">
        <v>11641</v>
      </c>
      <c r="AY2011" t="s">
        <v>10829</v>
      </c>
      <c r="AZ2011" t="s">
        <v>11709</v>
      </c>
      <c r="BA2011" t="s">
        <v>11741</v>
      </c>
      <c r="BB2011">
        <v>0</v>
      </c>
      <c r="BC2011">
        <v>0</v>
      </c>
      <c r="BD2011">
        <v>0</v>
      </c>
      <c r="BE2011">
        <v>0</v>
      </c>
      <c r="BF2011">
        <v>1</v>
      </c>
      <c r="BG2011">
        <v>0</v>
      </c>
    </row>
    <row r="2012" spans="1:59">
      <c r="A2012" s="1">
        <f>HYPERLINK("https://lsnyc.legalserver.org/matter/dynamic-profile/view/1905921","19-1905921")</f>
        <v>0</v>
      </c>
      <c r="B2012" t="s">
        <v>1730</v>
      </c>
      <c r="C2012" t="s">
        <v>6525</v>
      </c>
      <c r="D2012" t="s">
        <v>9928</v>
      </c>
      <c r="E2012" t="s">
        <v>10075</v>
      </c>
      <c r="F2012">
        <v>11233</v>
      </c>
      <c r="G2012" t="s">
        <v>10093</v>
      </c>
      <c r="H2012" t="s">
        <v>10109</v>
      </c>
      <c r="I2012" t="s">
        <v>10169</v>
      </c>
      <c r="J2012" t="s">
        <v>10213</v>
      </c>
      <c r="K2012" t="s">
        <v>10218</v>
      </c>
      <c r="L2012" t="s">
        <v>10095</v>
      </c>
      <c r="M2012" t="s">
        <v>10308</v>
      </c>
      <c r="N2012" t="s">
        <v>10657</v>
      </c>
      <c r="P2012" t="s">
        <v>10752</v>
      </c>
      <c r="Q2012" t="s">
        <v>10805</v>
      </c>
      <c r="R2012" t="s">
        <v>10821</v>
      </c>
      <c r="T2012">
        <v>9240</v>
      </c>
      <c r="U2012">
        <v>770</v>
      </c>
      <c r="V2012">
        <v>71</v>
      </c>
      <c r="W2012">
        <v>1</v>
      </c>
      <c r="X2012">
        <v>0</v>
      </c>
      <c r="Y2012" t="s">
        <v>10829</v>
      </c>
      <c r="Z2012">
        <v>73.98</v>
      </c>
      <c r="AA2012">
        <v>40.677396</v>
      </c>
      <c r="AB2012">
        <v>-73.905463</v>
      </c>
      <c r="AD2012" t="s">
        <v>10839</v>
      </c>
      <c r="AG2012" t="s">
        <v>10858</v>
      </c>
      <c r="AH2012" t="s">
        <v>10862</v>
      </c>
      <c r="AI2012">
        <v>239</v>
      </c>
      <c r="AJ2012" t="s">
        <v>10213</v>
      </c>
      <c r="AK2012" t="s">
        <v>10838</v>
      </c>
      <c r="AL2012">
        <v>0.8</v>
      </c>
      <c r="AM2012" t="s">
        <v>10889</v>
      </c>
      <c r="AN2012" t="s">
        <v>10922</v>
      </c>
      <c r="AO2012" t="s">
        <v>11011</v>
      </c>
      <c r="AP2012" t="s">
        <v>11058</v>
      </c>
      <c r="AQ2012" t="s">
        <v>11202</v>
      </c>
      <c r="AR2012" t="s">
        <v>11263</v>
      </c>
      <c r="AS2012" t="s">
        <v>11595</v>
      </c>
      <c r="AT2012" t="s">
        <v>11641</v>
      </c>
      <c r="AY2012" t="s">
        <v>10829</v>
      </c>
      <c r="AZ2012" t="s">
        <v>11680</v>
      </c>
      <c r="BA2012" t="s">
        <v>11741</v>
      </c>
      <c r="BB2012">
        <v>0</v>
      </c>
      <c r="BC2012">
        <v>0</v>
      </c>
      <c r="BD2012">
        <v>0</v>
      </c>
      <c r="BE2012">
        <v>0</v>
      </c>
      <c r="BF2012">
        <v>1</v>
      </c>
      <c r="BG2012">
        <v>0</v>
      </c>
    </row>
    <row r="2013" spans="1:59">
      <c r="A2013" s="1">
        <f>HYPERLINK("https://lsnyc.legalserver.org/matter/dynamic-profile/view/1905924","19-1905924")</f>
        <v>0</v>
      </c>
      <c r="B2013" t="s">
        <v>1731</v>
      </c>
      <c r="C2013" t="s">
        <v>6526</v>
      </c>
      <c r="D2013" t="s">
        <v>9925</v>
      </c>
      <c r="E2013" t="s">
        <v>10075</v>
      </c>
      <c r="F2013">
        <v>10011</v>
      </c>
      <c r="G2013" t="s">
        <v>10089</v>
      </c>
      <c r="H2013" t="s">
        <v>10110</v>
      </c>
      <c r="I2013" t="s">
        <v>10168</v>
      </c>
      <c r="J2013" t="s">
        <v>10209</v>
      </c>
      <c r="K2013" t="s">
        <v>10218</v>
      </c>
      <c r="L2013" t="s">
        <v>10096</v>
      </c>
      <c r="M2013" t="s">
        <v>10544</v>
      </c>
      <c r="N2013" t="s">
        <v>10646</v>
      </c>
      <c r="P2013" t="s">
        <v>10749</v>
      </c>
      <c r="Q2013" t="s">
        <v>10791</v>
      </c>
      <c r="R2013" t="s">
        <v>10820</v>
      </c>
      <c r="T2013">
        <v>40000</v>
      </c>
      <c r="U2013">
        <v>3333.33</v>
      </c>
      <c r="V2013">
        <v>29</v>
      </c>
      <c r="W2013">
        <v>1</v>
      </c>
      <c r="X2013">
        <v>0</v>
      </c>
      <c r="Y2013" t="s">
        <v>10829</v>
      </c>
      <c r="Z2013">
        <v>320.26</v>
      </c>
      <c r="AA2013">
        <v>40.74253</v>
      </c>
      <c r="AB2013">
        <v>-73.99708099999999</v>
      </c>
      <c r="AD2013" t="s">
        <v>10840</v>
      </c>
      <c r="AG2013" t="s">
        <v>10858</v>
      </c>
      <c r="AH2013" t="s">
        <v>10874</v>
      </c>
      <c r="AI2013">
        <v>230</v>
      </c>
      <c r="AJ2013" t="s">
        <v>10210</v>
      </c>
      <c r="AK2013" t="s">
        <v>10838</v>
      </c>
      <c r="AL2013">
        <v>4.7</v>
      </c>
      <c r="AM2013" t="s">
        <v>10891</v>
      </c>
      <c r="AN2013" t="s">
        <v>10966</v>
      </c>
      <c r="AO2013" t="s">
        <v>11021</v>
      </c>
      <c r="AP2013" t="s">
        <v>11090</v>
      </c>
      <c r="AR2013" t="s">
        <v>11276</v>
      </c>
      <c r="AS2013" t="s">
        <v>9925</v>
      </c>
      <c r="AT2013" t="s">
        <v>11642</v>
      </c>
      <c r="AX2013" t="s">
        <v>11678</v>
      </c>
      <c r="AY2013" t="s">
        <v>10829</v>
      </c>
      <c r="AZ2013" t="s">
        <v>11681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</row>
    <row r="2014" spans="1:59">
      <c r="A2014" s="1">
        <f>HYPERLINK("https://lsnyc.legalserver.org/matter/dynamic-profile/view/1905925","19-1905925")</f>
        <v>0</v>
      </c>
      <c r="B2014" t="s">
        <v>1732</v>
      </c>
      <c r="C2014" t="s">
        <v>6527</v>
      </c>
      <c r="D2014" t="s">
        <v>9947</v>
      </c>
      <c r="E2014" t="s">
        <v>10075</v>
      </c>
      <c r="F2014">
        <v>11374</v>
      </c>
      <c r="G2014" t="s">
        <v>10090</v>
      </c>
      <c r="H2014" t="s">
        <v>10134</v>
      </c>
      <c r="I2014" t="s">
        <v>10168</v>
      </c>
      <c r="J2014" t="s">
        <v>10210</v>
      </c>
      <c r="K2014" t="s">
        <v>10217</v>
      </c>
      <c r="M2014" t="s">
        <v>10338</v>
      </c>
      <c r="N2014" t="s">
        <v>10671</v>
      </c>
      <c r="P2014" t="s">
        <v>10757</v>
      </c>
      <c r="Q2014" t="s">
        <v>10789</v>
      </c>
      <c r="R2014" t="s">
        <v>10821</v>
      </c>
      <c r="T2014">
        <v>0</v>
      </c>
      <c r="U2014">
        <v>0</v>
      </c>
      <c r="V2014">
        <v>44</v>
      </c>
      <c r="W2014">
        <v>1</v>
      </c>
      <c r="X2014">
        <v>0</v>
      </c>
      <c r="Z2014">
        <v>0</v>
      </c>
      <c r="AA2014">
        <v>40.732079</v>
      </c>
      <c r="AB2014">
        <v>-73.85636</v>
      </c>
      <c r="AD2014" t="s">
        <v>10839</v>
      </c>
      <c r="AG2014" t="s">
        <v>10858</v>
      </c>
      <c r="AH2014" t="s">
        <v>10874</v>
      </c>
      <c r="AI2014">
        <v>230</v>
      </c>
      <c r="AJ2014" t="s">
        <v>10210</v>
      </c>
      <c r="AL2014">
        <v>1</v>
      </c>
      <c r="AM2014" t="s">
        <v>10890</v>
      </c>
      <c r="AN2014" t="s">
        <v>10962</v>
      </c>
      <c r="AO2014" t="s">
        <v>11009</v>
      </c>
      <c r="AP2014" t="s">
        <v>11083</v>
      </c>
      <c r="AQ2014" t="s">
        <v>11121</v>
      </c>
      <c r="AR2014" t="s">
        <v>11267</v>
      </c>
      <c r="AS2014" t="s">
        <v>11594</v>
      </c>
      <c r="AT2014" t="s">
        <v>11641</v>
      </c>
      <c r="AU2014" t="s">
        <v>11644</v>
      </c>
      <c r="AX2014" t="s">
        <v>10837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</row>
    <row r="2015" spans="1:59">
      <c r="A2015" s="1">
        <f>HYPERLINK("https://lsnyc.legalserver.org/matter/dynamic-profile/view/1905926","19-1905926")</f>
        <v>0</v>
      </c>
      <c r="B2015" t="s">
        <v>1733</v>
      </c>
      <c r="C2015" t="s">
        <v>6528</v>
      </c>
      <c r="D2015" t="s">
        <v>9928</v>
      </c>
      <c r="E2015" t="s">
        <v>10075</v>
      </c>
      <c r="F2015">
        <v>11217</v>
      </c>
      <c r="G2015" t="s">
        <v>10093</v>
      </c>
      <c r="H2015" t="s">
        <v>10134</v>
      </c>
      <c r="I2015" t="s">
        <v>10168</v>
      </c>
      <c r="J2015" t="s">
        <v>10213</v>
      </c>
      <c r="K2015" t="s">
        <v>10217</v>
      </c>
      <c r="M2015" t="s">
        <v>10308</v>
      </c>
      <c r="N2015" t="s">
        <v>10657</v>
      </c>
      <c r="P2015" t="s">
        <v>10749</v>
      </c>
      <c r="Q2015" t="s">
        <v>10765</v>
      </c>
      <c r="R2015" t="s">
        <v>10821</v>
      </c>
      <c r="T2015">
        <v>10400</v>
      </c>
      <c r="U2015">
        <v>866.67</v>
      </c>
      <c r="V2015">
        <v>47</v>
      </c>
      <c r="W2015">
        <v>2</v>
      </c>
      <c r="X2015">
        <v>0</v>
      </c>
      <c r="Z2015">
        <v>61.5</v>
      </c>
      <c r="AA2015">
        <v>40.682134</v>
      </c>
      <c r="AB2015">
        <v>-73.988381</v>
      </c>
      <c r="AD2015" t="s">
        <v>10840</v>
      </c>
      <c r="AG2015" t="s">
        <v>10858</v>
      </c>
      <c r="AH2015" t="s">
        <v>10862</v>
      </c>
      <c r="AI2015">
        <v>239</v>
      </c>
      <c r="AJ2015" t="s">
        <v>10213</v>
      </c>
      <c r="AL2015">
        <v>0.5</v>
      </c>
      <c r="AM2015" t="s">
        <v>10886</v>
      </c>
      <c r="AN2015" t="s">
        <v>10917</v>
      </c>
      <c r="AO2015" t="s">
        <v>11007</v>
      </c>
      <c r="AP2015" t="s">
        <v>11054</v>
      </c>
      <c r="AQ2015" t="s">
        <v>11203</v>
      </c>
      <c r="AR2015" t="s">
        <v>11257</v>
      </c>
      <c r="AS2015" t="s">
        <v>11595</v>
      </c>
      <c r="AT2015" t="s">
        <v>11642</v>
      </c>
      <c r="AX2015" t="s">
        <v>10838</v>
      </c>
      <c r="BA2015" t="s">
        <v>11741</v>
      </c>
      <c r="BB2015">
        <v>0</v>
      </c>
      <c r="BC2015">
        <v>0</v>
      </c>
      <c r="BD2015">
        <v>0</v>
      </c>
      <c r="BE2015">
        <v>0</v>
      </c>
      <c r="BF2015">
        <v>1</v>
      </c>
      <c r="BG2015">
        <v>0</v>
      </c>
    </row>
    <row r="2016" spans="1:59">
      <c r="A2016" s="1">
        <f>HYPERLINK("https://lsnyc.legalserver.org/matter/dynamic-profile/view/1905930","19-1905930")</f>
        <v>0</v>
      </c>
      <c r="B2016" t="s">
        <v>1734</v>
      </c>
      <c r="C2016" t="s">
        <v>6529</v>
      </c>
      <c r="D2016" t="s">
        <v>9926</v>
      </c>
      <c r="E2016" t="s">
        <v>10075</v>
      </c>
      <c r="F2016">
        <v>10468</v>
      </c>
      <c r="G2016" t="s">
        <v>10090</v>
      </c>
      <c r="H2016" t="s">
        <v>10139</v>
      </c>
      <c r="I2016" t="s">
        <v>10168</v>
      </c>
      <c r="J2016" t="s">
        <v>10210</v>
      </c>
      <c r="K2016" t="s">
        <v>10217</v>
      </c>
      <c r="M2016" t="s">
        <v>10353</v>
      </c>
      <c r="N2016" t="s">
        <v>10671</v>
      </c>
      <c r="P2016" t="s">
        <v>10751</v>
      </c>
      <c r="Q2016" t="s">
        <v>10761</v>
      </c>
      <c r="R2016" t="s">
        <v>10823</v>
      </c>
      <c r="T2016">
        <v>26000</v>
      </c>
      <c r="U2016">
        <v>2166.67</v>
      </c>
      <c r="V2016">
        <v>34</v>
      </c>
      <c r="W2016">
        <v>1</v>
      </c>
      <c r="X2016">
        <v>3</v>
      </c>
      <c r="Z2016">
        <v>100.97</v>
      </c>
      <c r="AA2016">
        <v>40.863483</v>
      </c>
      <c r="AB2016">
        <v>-73.902064</v>
      </c>
      <c r="AD2016" t="s">
        <v>10839</v>
      </c>
      <c r="AF2016" t="s">
        <v>10842</v>
      </c>
      <c r="AG2016" t="s">
        <v>10859</v>
      </c>
      <c r="AH2016" t="s">
        <v>10861</v>
      </c>
      <c r="AI2016">
        <v>230</v>
      </c>
      <c r="AJ2016" t="s">
        <v>10210</v>
      </c>
      <c r="AL2016">
        <v>4.85</v>
      </c>
      <c r="AM2016" t="s">
        <v>10887</v>
      </c>
      <c r="AN2016" t="s">
        <v>10907</v>
      </c>
      <c r="AO2016" t="s">
        <v>11000</v>
      </c>
      <c r="AP2016" t="s">
        <v>11045</v>
      </c>
      <c r="AR2016" t="s">
        <v>11276</v>
      </c>
      <c r="AS2016" t="s">
        <v>9926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</row>
    <row r="2017" spans="1:59">
      <c r="A2017" s="1">
        <f>HYPERLINK("https://lsnyc.legalserver.org/matter/dynamic-profile/view/1905931","19-1905931")</f>
        <v>0</v>
      </c>
      <c r="B2017" t="s">
        <v>1735</v>
      </c>
      <c r="C2017" t="s">
        <v>6530</v>
      </c>
      <c r="D2017" t="s">
        <v>9928</v>
      </c>
      <c r="E2017" t="s">
        <v>10075</v>
      </c>
      <c r="F2017">
        <v>11236</v>
      </c>
      <c r="G2017" t="s">
        <v>10093</v>
      </c>
      <c r="H2017" t="s">
        <v>10143</v>
      </c>
      <c r="I2017" t="s">
        <v>10168</v>
      </c>
      <c r="J2017" t="s">
        <v>10213</v>
      </c>
      <c r="K2017" t="s">
        <v>10217</v>
      </c>
      <c r="M2017" t="s">
        <v>10249</v>
      </c>
      <c r="N2017" t="s">
        <v>10720</v>
      </c>
      <c r="P2017" t="s">
        <v>10749</v>
      </c>
      <c r="Q2017" t="s">
        <v>10759</v>
      </c>
      <c r="R2017" t="s">
        <v>10824</v>
      </c>
      <c r="T2017">
        <v>142000</v>
      </c>
      <c r="U2017">
        <v>11833.33</v>
      </c>
      <c r="V2017">
        <v>45</v>
      </c>
      <c r="W2017">
        <v>1</v>
      </c>
      <c r="X2017">
        <v>0</v>
      </c>
      <c r="Z2017">
        <v>1136.91</v>
      </c>
      <c r="AA2017">
        <v>40.635039</v>
      </c>
      <c r="AB2017">
        <v>-73.908568</v>
      </c>
      <c r="AC2017" t="s">
        <v>10838</v>
      </c>
      <c r="AD2017" t="s">
        <v>10840</v>
      </c>
      <c r="AG2017" t="s">
        <v>10858</v>
      </c>
      <c r="AH2017" t="s">
        <v>10860</v>
      </c>
      <c r="AI2017">
        <v>239</v>
      </c>
      <c r="AJ2017" t="s">
        <v>10213</v>
      </c>
      <c r="AL2017">
        <v>6.45</v>
      </c>
      <c r="AM2017" t="s">
        <v>10889</v>
      </c>
      <c r="AN2017" t="s">
        <v>10959</v>
      </c>
      <c r="AO2017" t="s">
        <v>11012</v>
      </c>
      <c r="AP2017" t="s">
        <v>11072</v>
      </c>
      <c r="AQ2017" t="s">
        <v>11098</v>
      </c>
      <c r="AR2017" t="s">
        <v>11328</v>
      </c>
      <c r="AS2017" t="s">
        <v>11595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</row>
    <row r="2018" spans="1:59">
      <c r="A2018" s="1">
        <f>HYPERLINK("https://lsnyc.legalserver.org/matter/dynamic-profile/view/1905933","19-1905933")</f>
        <v>0</v>
      </c>
      <c r="B2018" t="s">
        <v>1736</v>
      </c>
      <c r="C2018" t="s">
        <v>6531</v>
      </c>
      <c r="D2018" t="s">
        <v>9925</v>
      </c>
      <c r="E2018" t="s">
        <v>10075</v>
      </c>
      <c r="F2018">
        <v>10035</v>
      </c>
      <c r="G2018" t="s">
        <v>10089</v>
      </c>
      <c r="H2018" t="s">
        <v>10139</v>
      </c>
      <c r="I2018" t="s">
        <v>10169</v>
      </c>
      <c r="J2018" t="s">
        <v>10209</v>
      </c>
      <c r="K2018" t="s">
        <v>10218</v>
      </c>
      <c r="L2018" t="s">
        <v>10158</v>
      </c>
      <c r="M2018" t="s">
        <v>10379</v>
      </c>
      <c r="N2018" t="s">
        <v>10650</v>
      </c>
      <c r="P2018" t="s">
        <v>10749</v>
      </c>
      <c r="Q2018" t="s">
        <v>10765</v>
      </c>
      <c r="R2018" t="s">
        <v>10823</v>
      </c>
      <c r="T2018">
        <v>28080</v>
      </c>
      <c r="U2018">
        <v>2340</v>
      </c>
      <c r="V2018">
        <v>59</v>
      </c>
      <c r="W2018">
        <v>2</v>
      </c>
      <c r="X2018">
        <v>1</v>
      </c>
      <c r="Y2018" t="s">
        <v>10829</v>
      </c>
      <c r="Z2018">
        <v>131.65</v>
      </c>
      <c r="AA2018">
        <v>40.797499</v>
      </c>
      <c r="AB2018">
        <v>-73.93717100000001</v>
      </c>
      <c r="AD2018" t="s">
        <v>10839</v>
      </c>
      <c r="AG2018" t="s">
        <v>10858</v>
      </c>
      <c r="AH2018" t="s">
        <v>10861</v>
      </c>
      <c r="AI2018">
        <v>236</v>
      </c>
      <c r="AJ2018" t="s">
        <v>10209</v>
      </c>
      <c r="AK2018" t="s">
        <v>10882</v>
      </c>
      <c r="AL2018">
        <v>0.1</v>
      </c>
      <c r="AM2018" t="s">
        <v>10887</v>
      </c>
      <c r="AN2018" t="s">
        <v>10926</v>
      </c>
      <c r="AO2018" t="s">
        <v>11013</v>
      </c>
      <c r="AP2018" t="s">
        <v>11066</v>
      </c>
      <c r="AR2018" t="s">
        <v>11262</v>
      </c>
      <c r="AS2018" t="s">
        <v>9925</v>
      </c>
      <c r="AY2018" t="s">
        <v>10829</v>
      </c>
      <c r="AZ2018" t="s">
        <v>11681</v>
      </c>
      <c r="BA2018" t="s">
        <v>11741</v>
      </c>
      <c r="BB2018">
        <v>0</v>
      </c>
      <c r="BC2018">
        <v>0</v>
      </c>
      <c r="BD2018">
        <v>0</v>
      </c>
      <c r="BE2018">
        <v>0</v>
      </c>
      <c r="BF2018">
        <v>1</v>
      </c>
      <c r="BG2018">
        <v>0</v>
      </c>
    </row>
    <row r="2019" spans="1:59">
      <c r="A2019" s="1">
        <f>HYPERLINK("https://lsnyc.legalserver.org/matter/dynamic-profile/view/1905934","19-1905934")</f>
        <v>0</v>
      </c>
      <c r="B2019" t="s">
        <v>1737</v>
      </c>
      <c r="C2019" t="s">
        <v>6532</v>
      </c>
      <c r="D2019" t="s">
        <v>9925</v>
      </c>
      <c r="E2019" t="s">
        <v>10075</v>
      </c>
      <c r="F2019">
        <v>10031</v>
      </c>
      <c r="G2019" t="s">
        <v>10089</v>
      </c>
      <c r="H2019" t="s">
        <v>10107</v>
      </c>
      <c r="I2019" t="s">
        <v>10169</v>
      </c>
      <c r="J2019" t="s">
        <v>10209</v>
      </c>
      <c r="K2019" t="s">
        <v>10217</v>
      </c>
      <c r="M2019" t="s">
        <v>10499</v>
      </c>
      <c r="N2019" t="s">
        <v>10722</v>
      </c>
      <c r="P2019" t="s">
        <v>10749</v>
      </c>
      <c r="Q2019" t="s">
        <v>10791</v>
      </c>
      <c r="R2019" t="s">
        <v>10821</v>
      </c>
      <c r="T2019">
        <v>12672</v>
      </c>
      <c r="U2019">
        <v>1056</v>
      </c>
      <c r="V2019">
        <v>80</v>
      </c>
      <c r="W2019">
        <v>1</v>
      </c>
      <c r="X2019">
        <v>0</v>
      </c>
      <c r="Z2019">
        <v>101.46</v>
      </c>
      <c r="AA2019">
        <v>40.818825</v>
      </c>
      <c r="AB2019">
        <v>-73.95474400000001</v>
      </c>
      <c r="AD2019" t="s">
        <v>10840</v>
      </c>
      <c r="AG2019" t="s">
        <v>10858</v>
      </c>
      <c r="AH2019" t="s">
        <v>10862</v>
      </c>
      <c r="AI2019">
        <v>236</v>
      </c>
      <c r="AJ2019" t="s">
        <v>10209</v>
      </c>
      <c r="AL2019">
        <v>0.1</v>
      </c>
      <c r="AM2019" t="s">
        <v>10887</v>
      </c>
      <c r="AN2019" t="s">
        <v>10936</v>
      </c>
      <c r="AO2019" t="s">
        <v>11019</v>
      </c>
      <c r="AP2019" t="s">
        <v>11073</v>
      </c>
      <c r="AQ2019" t="s">
        <v>11100</v>
      </c>
      <c r="AR2019" t="s">
        <v>11300</v>
      </c>
      <c r="AS2019" t="s">
        <v>9925</v>
      </c>
      <c r="AT2019" t="s">
        <v>11642</v>
      </c>
      <c r="AX2019" t="s">
        <v>10838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</row>
    <row r="2020" spans="1:59">
      <c r="A2020" s="1">
        <f>HYPERLINK("https://lsnyc.legalserver.org/matter/dynamic-profile/view/1905935","19-1905935")</f>
        <v>0</v>
      </c>
      <c r="B2020" t="s">
        <v>1738</v>
      </c>
      <c r="C2020" t="s">
        <v>6533</v>
      </c>
      <c r="D2020" t="s">
        <v>9929</v>
      </c>
      <c r="E2020" t="s">
        <v>10075</v>
      </c>
      <c r="F2020">
        <v>10312</v>
      </c>
      <c r="G2020" t="s">
        <v>10088</v>
      </c>
      <c r="H2020" t="s">
        <v>10102</v>
      </c>
      <c r="I2020" t="s">
        <v>10168</v>
      </c>
      <c r="J2020" t="s">
        <v>10208</v>
      </c>
      <c r="K2020" t="s">
        <v>10217</v>
      </c>
      <c r="M2020" t="s">
        <v>10251</v>
      </c>
      <c r="N2020" t="s">
        <v>10661</v>
      </c>
      <c r="P2020" t="s">
        <v>10749</v>
      </c>
      <c r="Q2020" t="s">
        <v>10759</v>
      </c>
      <c r="R2020" t="s">
        <v>10820</v>
      </c>
      <c r="T2020">
        <v>79400</v>
      </c>
      <c r="U2020">
        <v>6616.67</v>
      </c>
      <c r="V2020">
        <v>43</v>
      </c>
      <c r="W2020">
        <v>2</v>
      </c>
      <c r="X2020">
        <v>2</v>
      </c>
      <c r="Z2020">
        <v>308.35</v>
      </c>
      <c r="AA2020">
        <v>40.542987</v>
      </c>
      <c r="AB2020">
        <v>-74.197503</v>
      </c>
      <c r="AD2020" t="s">
        <v>10840</v>
      </c>
      <c r="AG2020" t="s">
        <v>10858</v>
      </c>
      <c r="AH2020" t="s">
        <v>10860</v>
      </c>
      <c r="AI2020">
        <v>285</v>
      </c>
      <c r="AJ2020" t="s">
        <v>10208</v>
      </c>
      <c r="AL2020">
        <v>16</v>
      </c>
      <c r="AM2020" t="s">
        <v>10883</v>
      </c>
      <c r="AN2020" t="s">
        <v>10906</v>
      </c>
      <c r="AO2020" t="s">
        <v>10999</v>
      </c>
      <c r="AP2020" t="s">
        <v>11044</v>
      </c>
      <c r="AR2020" t="s">
        <v>11257</v>
      </c>
      <c r="AS2020" t="s">
        <v>11593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</row>
    <row r="2021" spans="1:59">
      <c r="A2021" s="1">
        <f>HYPERLINK("https://lsnyc.legalserver.org/matter/dynamic-profile/view/1905936","19-1905936")</f>
        <v>0</v>
      </c>
      <c r="B2021" t="s">
        <v>1739</v>
      </c>
      <c r="C2021" t="s">
        <v>6534</v>
      </c>
      <c r="D2021" t="s">
        <v>9928</v>
      </c>
      <c r="E2021" t="s">
        <v>10075</v>
      </c>
      <c r="F2021">
        <v>11225</v>
      </c>
      <c r="G2021" t="s">
        <v>10093</v>
      </c>
      <c r="H2021" t="s">
        <v>10139</v>
      </c>
      <c r="I2021" t="s">
        <v>10168</v>
      </c>
      <c r="J2021" t="s">
        <v>10213</v>
      </c>
      <c r="K2021" t="s">
        <v>10217</v>
      </c>
      <c r="M2021" t="s">
        <v>10268</v>
      </c>
      <c r="N2021" t="s">
        <v>10667</v>
      </c>
      <c r="P2021" t="s">
        <v>10749</v>
      </c>
      <c r="Q2021" t="s">
        <v>10765</v>
      </c>
      <c r="R2021" t="s">
        <v>10824</v>
      </c>
      <c r="T2021">
        <v>2952</v>
      </c>
      <c r="U2021">
        <v>246</v>
      </c>
      <c r="V2021">
        <v>60</v>
      </c>
      <c r="W2021">
        <v>1</v>
      </c>
      <c r="X2021">
        <v>0</v>
      </c>
      <c r="Z2021">
        <v>23.63</v>
      </c>
      <c r="AA2021">
        <v>40.662403</v>
      </c>
      <c r="AB2021">
        <v>-73.956762</v>
      </c>
      <c r="AD2021" t="s">
        <v>10840</v>
      </c>
      <c r="AG2021" t="s">
        <v>10858</v>
      </c>
      <c r="AH2021" t="s">
        <v>10862</v>
      </c>
      <c r="AI2021">
        <v>239</v>
      </c>
      <c r="AJ2021" t="s">
        <v>10213</v>
      </c>
      <c r="AL2021">
        <v>9</v>
      </c>
      <c r="AM2021" t="s">
        <v>10888</v>
      </c>
      <c r="AN2021" t="s">
        <v>10912</v>
      </c>
      <c r="AO2021" t="s">
        <v>11005</v>
      </c>
      <c r="AP2021" t="s">
        <v>11050</v>
      </c>
      <c r="AR2021" t="s">
        <v>11255</v>
      </c>
      <c r="AS2021" t="s">
        <v>11595</v>
      </c>
      <c r="AT2021" t="s">
        <v>11642</v>
      </c>
      <c r="BA2021" t="s">
        <v>11738</v>
      </c>
      <c r="BB2021">
        <v>0</v>
      </c>
      <c r="BC2021">
        <v>0</v>
      </c>
      <c r="BD2021">
        <v>0</v>
      </c>
      <c r="BE2021">
        <v>0</v>
      </c>
      <c r="BF2021">
        <v>5</v>
      </c>
      <c r="BG2021">
        <v>0</v>
      </c>
    </row>
    <row r="2022" spans="1:59">
      <c r="A2022" s="1">
        <f>HYPERLINK("https://lsnyc.legalserver.org/matter/dynamic-profile/view/1905938","19-1905938")</f>
        <v>0</v>
      </c>
      <c r="B2022" t="s">
        <v>1717</v>
      </c>
      <c r="C2022" t="s">
        <v>6513</v>
      </c>
      <c r="D2022" t="s">
        <v>9926</v>
      </c>
      <c r="E2022" t="s">
        <v>10075</v>
      </c>
      <c r="F2022">
        <v>10457</v>
      </c>
      <c r="G2022" t="s">
        <v>10090</v>
      </c>
      <c r="H2022" t="s">
        <v>10139</v>
      </c>
      <c r="I2022" t="s">
        <v>10168</v>
      </c>
      <c r="J2022" t="s">
        <v>10210</v>
      </c>
      <c r="K2022" t="s">
        <v>10217</v>
      </c>
      <c r="M2022" t="s">
        <v>10559</v>
      </c>
      <c r="N2022" t="s">
        <v>10646</v>
      </c>
      <c r="P2022" t="s">
        <v>10751</v>
      </c>
      <c r="Q2022" t="s">
        <v>10761</v>
      </c>
      <c r="R2022" t="s">
        <v>10824</v>
      </c>
      <c r="T2022">
        <v>26000</v>
      </c>
      <c r="U2022">
        <v>2166.67</v>
      </c>
      <c r="V2022">
        <v>36</v>
      </c>
      <c r="W2022">
        <v>1</v>
      </c>
      <c r="X2022">
        <v>0</v>
      </c>
      <c r="Z2022">
        <v>208.17</v>
      </c>
      <c r="AA2022">
        <v>40.850292</v>
      </c>
      <c r="AB2022">
        <v>-73.885271</v>
      </c>
      <c r="AD2022" t="s">
        <v>10840</v>
      </c>
      <c r="AG2022" t="s">
        <v>10858</v>
      </c>
      <c r="AH2022" t="s">
        <v>10861</v>
      </c>
      <c r="AI2022">
        <v>230</v>
      </c>
      <c r="AJ2022" t="s">
        <v>10210</v>
      </c>
      <c r="AL2022">
        <v>0</v>
      </c>
      <c r="AM2022" t="s">
        <v>10884</v>
      </c>
      <c r="AN2022" t="s">
        <v>10907</v>
      </c>
      <c r="AO2022" t="s">
        <v>11000</v>
      </c>
      <c r="AP2022" t="s">
        <v>11056</v>
      </c>
      <c r="AR2022" t="s">
        <v>11257</v>
      </c>
      <c r="AS2022" t="s">
        <v>9926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</row>
    <row r="2023" spans="1:59">
      <c r="A2023" s="1">
        <f>HYPERLINK("https://lsnyc.legalserver.org/matter/dynamic-profile/view/1905939","19-1905939")</f>
        <v>0</v>
      </c>
      <c r="B2023" t="s">
        <v>1740</v>
      </c>
      <c r="C2023" t="s">
        <v>6535</v>
      </c>
      <c r="D2023" t="s">
        <v>9928</v>
      </c>
      <c r="E2023" t="s">
        <v>10075</v>
      </c>
      <c r="F2023">
        <v>11221</v>
      </c>
      <c r="G2023" t="s">
        <v>10093</v>
      </c>
      <c r="H2023" t="s">
        <v>10139</v>
      </c>
      <c r="I2023" t="s">
        <v>10168</v>
      </c>
      <c r="J2023" t="s">
        <v>10213</v>
      </c>
      <c r="K2023" t="s">
        <v>10217</v>
      </c>
      <c r="M2023" t="s">
        <v>10275</v>
      </c>
      <c r="N2023" t="s">
        <v>10667</v>
      </c>
      <c r="P2023" t="s">
        <v>10749</v>
      </c>
      <c r="Q2023" t="s">
        <v>10765</v>
      </c>
      <c r="R2023" t="s">
        <v>10824</v>
      </c>
      <c r="T2023">
        <v>67200</v>
      </c>
      <c r="U2023">
        <v>5600</v>
      </c>
      <c r="V2023">
        <v>32</v>
      </c>
      <c r="W2023">
        <v>1</v>
      </c>
      <c r="X2023">
        <v>3</v>
      </c>
      <c r="Z2023">
        <v>260.97</v>
      </c>
      <c r="AA2023">
        <v>40.692266</v>
      </c>
      <c r="AB2023">
        <v>-73.935501</v>
      </c>
      <c r="AD2023" t="s">
        <v>10839</v>
      </c>
      <c r="AG2023" t="s">
        <v>10858</v>
      </c>
      <c r="AH2023" t="s">
        <v>10861</v>
      </c>
      <c r="AI2023">
        <v>239</v>
      </c>
      <c r="AJ2023" t="s">
        <v>10213</v>
      </c>
      <c r="AL2023">
        <v>10.9</v>
      </c>
      <c r="AR2023" t="s">
        <v>11257</v>
      </c>
      <c r="AS2023" t="s">
        <v>11595</v>
      </c>
      <c r="BA2023" t="s">
        <v>11738</v>
      </c>
      <c r="BB2023">
        <v>0</v>
      </c>
      <c r="BC2023">
        <v>0</v>
      </c>
      <c r="BD2023">
        <v>0</v>
      </c>
      <c r="BE2023">
        <v>0</v>
      </c>
      <c r="BF2023">
        <v>5</v>
      </c>
      <c r="BG2023">
        <v>0</v>
      </c>
    </row>
    <row r="2024" spans="1:59">
      <c r="A2024" s="1">
        <f>HYPERLINK("https://lsnyc.legalserver.org/matter/dynamic-profile/view/1905940","19-1905940")</f>
        <v>0</v>
      </c>
      <c r="B2024" t="s">
        <v>1741</v>
      </c>
      <c r="C2024" t="s">
        <v>6215</v>
      </c>
      <c r="D2024" t="s">
        <v>9938</v>
      </c>
      <c r="E2024" t="s">
        <v>10075</v>
      </c>
      <c r="F2024">
        <v>11433</v>
      </c>
      <c r="G2024" t="s">
        <v>10092</v>
      </c>
      <c r="H2024" t="s">
        <v>10139</v>
      </c>
      <c r="I2024" t="s">
        <v>10168</v>
      </c>
      <c r="J2024" t="s">
        <v>10212</v>
      </c>
      <c r="K2024" t="s">
        <v>10217</v>
      </c>
      <c r="M2024" t="s">
        <v>10347</v>
      </c>
      <c r="N2024" t="s">
        <v>10693</v>
      </c>
      <c r="P2024" t="s">
        <v>10749</v>
      </c>
      <c r="Q2024" t="s">
        <v>10767</v>
      </c>
      <c r="R2024" t="s">
        <v>10824</v>
      </c>
      <c r="T2024">
        <v>11047.4</v>
      </c>
      <c r="U2024">
        <v>920.62</v>
      </c>
      <c r="V2024">
        <v>20</v>
      </c>
      <c r="W2024">
        <v>1</v>
      </c>
      <c r="X2024">
        <v>1</v>
      </c>
      <c r="Z2024">
        <v>65.33</v>
      </c>
      <c r="AA2024">
        <v>40.693</v>
      </c>
      <c r="AB2024">
        <v>-73.792394</v>
      </c>
      <c r="AD2024" t="s">
        <v>10839</v>
      </c>
      <c r="AG2024" t="s">
        <v>10858</v>
      </c>
      <c r="AH2024" t="s">
        <v>10862</v>
      </c>
      <c r="AI2024">
        <v>237</v>
      </c>
      <c r="AJ2024" t="s">
        <v>10212</v>
      </c>
      <c r="AL2024">
        <v>12.8</v>
      </c>
      <c r="AM2024" t="s">
        <v>10892</v>
      </c>
      <c r="AN2024" t="s">
        <v>10951</v>
      </c>
      <c r="AO2024" t="s">
        <v>11017</v>
      </c>
      <c r="AP2024" t="s">
        <v>11070</v>
      </c>
      <c r="AR2024" t="s">
        <v>11257</v>
      </c>
      <c r="AS2024" t="s">
        <v>11594</v>
      </c>
      <c r="BA2024" t="s">
        <v>11738</v>
      </c>
      <c r="BB2024">
        <v>0</v>
      </c>
      <c r="BC2024">
        <v>0</v>
      </c>
      <c r="BD2024">
        <v>0</v>
      </c>
      <c r="BE2024">
        <v>0</v>
      </c>
      <c r="BF2024">
        <v>5</v>
      </c>
      <c r="BG2024">
        <v>0</v>
      </c>
    </row>
    <row r="2025" spans="1:59">
      <c r="A2025" s="1">
        <f>HYPERLINK("https://lsnyc.legalserver.org/matter/dynamic-profile/view/1905941","19-1905941")</f>
        <v>0</v>
      </c>
      <c r="B2025" t="s">
        <v>1742</v>
      </c>
      <c r="C2025" t="s">
        <v>5480</v>
      </c>
      <c r="D2025" t="s">
        <v>9928</v>
      </c>
      <c r="E2025" t="s">
        <v>10075</v>
      </c>
      <c r="F2025">
        <v>11213</v>
      </c>
      <c r="G2025" t="s">
        <v>10093</v>
      </c>
      <c r="H2025" t="s">
        <v>10139</v>
      </c>
      <c r="I2025" t="s">
        <v>10168</v>
      </c>
      <c r="J2025" t="s">
        <v>10213</v>
      </c>
      <c r="K2025" t="s">
        <v>10217</v>
      </c>
      <c r="M2025" t="s">
        <v>10298</v>
      </c>
      <c r="N2025" t="s">
        <v>10650</v>
      </c>
      <c r="P2025" t="s">
        <v>10749</v>
      </c>
      <c r="Q2025" t="s">
        <v>10765</v>
      </c>
      <c r="R2025" t="s">
        <v>10822</v>
      </c>
      <c r="T2025">
        <v>22000</v>
      </c>
      <c r="U2025">
        <v>1833.33</v>
      </c>
      <c r="V2025">
        <v>46</v>
      </c>
      <c r="W2025">
        <v>1</v>
      </c>
      <c r="X2025">
        <v>1</v>
      </c>
      <c r="Z2025">
        <v>130.1</v>
      </c>
      <c r="AA2025">
        <v>40.66854</v>
      </c>
      <c r="AB2025">
        <v>-73.93455899999999</v>
      </c>
      <c r="AD2025" t="s">
        <v>10839</v>
      </c>
      <c r="AG2025" t="s">
        <v>10858</v>
      </c>
      <c r="AH2025" t="s">
        <v>10862</v>
      </c>
      <c r="AI2025">
        <v>239</v>
      </c>
      <c r="AJ2025" t="s">
        <v>10213</v>
      </c>
      <c r="AL2025">
        <v>1.25</v>
      </c>
      <c r="AM2025" t="s">
        <v>10888</v>
      </c>
      <c r="AN2025" t="s">
        <v>10912</v>
      </c>
      <c r="AO2025" t="s">
        <v>11005</v>
      </c>
      <c r="AP2025" t="s">
        <v>11061</v>
      </c>
      <c r="AR2025" t="s">
        <v>11257</v>
      </c>
      <c r="AS2025" t="s">
        <v>11595</v>
      </c>
      <c r="AT2025" t="s">
        <v>11641</v>
      </c>
      <c r="AX2025" t="s">
        <v>11678</v>
      </c>
      <c r="BA2025" t="s">
        <v>11742</v>
      </c>
      <c r="BB2025">
        <v>0</v>
      </c>
      <c r="BC2025">
        <v>0</v>
      </c>
      <c r="BD2025">
        <v>0</v>
      </c>
      <c r="BE2025">
        <v>0</v>
      </c>
      <c r="BF2025">
        <v>7</v>
      </c>
      <c r="BG2025">
        <v>0</v>
      </c>
    </row>
    <row r="2026" spans="1:59">
      <c r="A2026" s="1">
        <f>HYPERLINK("https://lsnyc.legalserver.org/matter/dynamic-profile/view/1905942","19-1905942")</f>
        <v>0</v>
      </c>
      <c r="B2026" t="s">
        <v>1743</v>
      </c>
      <c r="C2026" t="s">
        <v>6536</v>
      </c>
      <c r="D2026" t="s">
        <v>9926</v>
      </c>
      <c r="E2026" t="s">
        <v>10075</v>
      </c>
      <c r="F2026">
        <v>10468</v>
      </c>
      <c r="G2026" t="s">
        <v>10090</v>
      </c>
      <c r="H2026" t="s">
        <v>10139</v>
      </c>
      <c r="I2026" t="s">
        <v>10168</v>
      </c>
      <c r="J2026" t="s">
        <v>10210</v>
      </c>
      <c r="K2026" t="s">
        <v>10217</v>
      </c>
      <c r="M2026" t="s">
        <v>10511</v>
      </c>
      <c r="N2026" t="s">
        <v>10651</v>
      </c>
      <c r="P2026" t="s">
        <v>10749</v>
      </c>
      <c r="Q2026" t="s">
        <v>10765</v>
      </c>
      <c r="R2026" t="s">
        <v>10821</v>
      </c>
      <c r="T2026">
        <v>54600</v>
      </c>
      <c r="U2026">
        <v>4550</v>
      </c>
      <c r="V2026">
        <v>0</v>
      </c>
      <c r="W2026">
        <v>3</v>
      </c>
      <c r="X2026">
        <v>0</v>
      </c>
      <c r="Z2026">
        <v>255.98</v>
      </c>
      <c r="AA2026">
        <v>40.860057</v>
      </c>
      <c r="AB2026">
        <v>-73.90363000000001</v>
      </c>
      <c r="AD2026" t="s">
        <v>10840</v>
      </c>
      <c r="AF2026" t="s">
        <v>10843</v>
      </c>
      <c r="AG2026" t="s">
        <v>10859</v>
      </c>
      <c r="AH2026" t="s">
        <v>10861</v>
      </c>
      <c r="AI2026">
        <v>230</v>
      </c>
      <c r="AJ2026" t="s">
        <v>10210</v>
      </c>
      <c r="AL2026">
        <v>8</v>
      </c>
      <c r="AM2026" t="s">
        <v>10884</v>
      </c>
      <c r="AN2026" t="s">
        <v>10931</v>
      </c>
      <c r="AO2026" t="s">
        <v>11000</v>
      </c>
      <c r="AP2026" t="s">
        <v>11045</v>
      </c>
      <c r="AR2026" t="s">
        <v>11257</v>
      </c>
      <c r="AS2026" t="s">
        <v>9926</v>
      </c>
      <c r="AT2026" t="s">
        <v>11642</v>
      </c>
      <c r="AX2026" t="s">
        <v>10838</v>
      </c>
      <c r="BA2026" t="s">
        <v>11738</v>
      </c>
      <c r="BB2026">
        <v>0</v>
      </c>
      <c r="BC2026">
        <v>0</v>
      </c>
      <c r="BD2026">
        <v>0</v>
      </c>
      <c r="BE2026">
        <v>0</v>
      </c>
      <c r="BF2026">
        <v>5</v>
      </c>
      <c r="BG2026">
        <v>0</v>
      </c>
    </row>
    <row r="2027" spans="1:59">
      <c r="A2027" s="1">
        <f>HYPERLINK("https://lsnyc.legalserver.org/matter/dynamic-profile/view/1905943","19-1905943")</f>
        <v>0</v>
      </c>
      <c r="B2027" t="s">
        <v>1744</v>
      </c>
      <c r="C2027" t="s">
        <v>6537</v>
      </c>
      <c r="D2027" t="s">
        <v>9929</v>
      </c>
      <c r="E2027" t="s">
        <v>10075</v>
      </c>
      <c r="F2027">
        <v>10312</v>
      </c>
      <c r="G2027" t="s">
        <v>10088</v>
      </c>
      <c r="H2027" t="s">
        <v>10095</v>
      </c>
      <c r="I2027" t="s">
        <v>10168</v>
      </c>
      <c r="J2027" t="s">
        <v>10208</v>
      </c>
      <c r="K2027" t="s">
        <v>10217</v>
      </c>
      <c r="M2027" t="s">
        <v>10560</v>
      </c>
      <c r="N2027" t="s">
        <v>10661</v>
      </c>
      <c r="P2027" t="s">
        <v>10749</v>
      </c>
      <c r="Q2027" t="s">
        <v>10759</v>
      </c>
      <c r="R2027" t="s">
        <v>10825</v>
      </c>
      <c r="T2027">
        <v>40608</v>
      </c>
      <c r="U2027">
        <v>3384</v>
      </c>
      <c r="V2027">
        <v>41</v>
      </c>
      <c r="W2027">
        <v>1</v>
      </c>
      <c r="X2027">
        <v>2</v>
      </c>
      <c r="Z2027">
        <v>190.38</v>
      </c>
      <c r="AA2027">
        <v>40.543699</v>
      </c>
      <c r="AB2027">
        <v>-74.171801</v>
      </c>
      <c r="AD2027" t="s">
        <v>10840</v>
      </c>
      <c r="AG2027" t="s">
        <v>10858</v>
      </c>
      <c r="AH2027" t="s">
        <v>10860</v>
      </c>
      <c r="AI2027">
        <v>285</v>
      </c>
      <c r="AJ2027" t="s">
        <v>10208</v>
      </c>
      <c r="AL2027">
        <v>3.4</v>
      </c>
      <c r="AM2027" t="s">
        <v>10883</v>
      </c>
      <c r="AN2027" t="s">
        <v>10906</v>
      </c>
      <c r="AO2027" t="s">
        <v>10999</v>
      </c>
      <c r="AP2027" t="s">
        <v>11044</v>
      </c>
      <c r="AR2027" t="s">
        <v>11298</v>
      </c>
      <c r="AS2027" t="s">
        <v>11593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</row>
    <row r="2028" spans="1:59">
      <c r="A2028" s="1">
        <f>HYPERLINK("https://lsnyc.legalserver.org/matter/dynamic-profile/view/1905944","19-1905944")</f>
        <v>0</v>
      </c>
      <c r="B2028" t="s">
        <v>1745</v>
      </c>
      <c r="C2028" t="s">
        <v>6538</v>
      </c>
      <c r="D2028" t="s">
        <v>9928</v>
      </c>
      <c r="E2028" t="s">
        <v>10075</v>
      </c>
      <c r="F2028">
        <v>11229</v>
      </c>
      <c r="G2028" t="s">
        <v>10093</v>
      </c>
      <c r="H2028" t="s">
        <v>10139</v>
      </c>
      <c r="I2028" t="s">
        <v>10168</v>
      </c>
      <c r="J2028" t="s">
        <v>10213</v>
      </c>
      <c r="K2028" t="s">
        <v>10218</v>
      </c>
      <c r="L2028" t="s">
        <v>10159</v>
      </c>
      <c r="M2028" t="s">
        <v>10268</v>
      </c>
      <c r="N2028" t="s">
        <v>10664</v>
      </c>
      <c r="P2028" t="s">
        <v>10749</v>
      </c>
      <c r="Q2028" t="s">
        <v>10765</v>
      </c>
      <c r="R2028" t="s">
        <v>10824</v>
      </c>
      <c r="T2028">
        <v>31200</v>
      </c>
      <c r="U2028">
        <v>2600</v>
      </c>
      <c r="V2028">
        <v>22</v>
      </c>
      <c r="W2028">
        <v>1</v>
      </c>
      <c r="X2028">
        <v>1</v>
      </c>
      <c r="Y2028" t="s">
        <v>10829</v>
      </c>
      <c r="Z2028">
        <v>184.51</v>
      </c>
      <c r="AA2028">
        <v>40.610517</v>
      </c>
      <c r="AB2028">
        <v>-73.95509</v>
      </c>
      <c r="AD2028" t="s">
        <v>10839</v>
      </c>
      <c r="AG2028" t="s">
        <v>10858</v>
      </c>
      <c r="AH2028" t="s">
        <v>10862</v>
      </c>
      <c r="AI2028">
        <v>239</v>
      </c>
      <c r="AJ2028" t="s">
        <v>10213</v>
      </c>
      <c r="AK2028" t="s">
        <v>10838</v>
      </c>
      <c r="AL2028">
        <v>0.1</v>
      </c>
      <c r="AM2028" t="s">
        <v>10888</v>
      </c>
      <c r="AN2028" t="s">
        <v>10965</v>
      </c>
      <c r="AO2028" t="s">
        <v>11015</v>
      </c>
      <c r="AP2028" t="s">
        <v>11092</v>
      </c>
      <c r="AR2028" t="s">
        <v>11257</v>
      </c>
      <c r="AS2028" t="s">
        <v>11595</v>
      </c>
      <c r="AT2028" t="s">
        <v>11641</v>
      </c>
      <c r="AX2028" t="s">
        <v>10837</v>
      </c>
      <c r="AY2028" t="s">
        <v>10829</v>
      </c>
      <c r="AZ2028" t="s">
        <v>11681</v>
      </c>
      <c r="BA2028" t="s">
        <v>11741</v>
      </c>
      <c r="BB2028">
        <v>0</v>
      </c>
      <c r="BC2028">
        <v>0</v>
      </c>
      <c r="BD2028">
        <v>0</v>
      </c>
      <c r="BE2028">
        <v>0</v>
      </c>
      <c r="BF2028">
        <v>1</v>
      </c>
      <c r="BG2028">
        <v>0</v>
      </c>
    </row>
    <row r="2029" spans="1:59">
      <c r="A2029" s="1">
        <f>HYPERLINK("https://lsnyc.legalserver.org/matter/dynamic-profile/view/1905946","19-1905946")</f>
        <v>0</v>
      </c>
      <c r="B2029" t="s">
        <v>1746</v>
      </c>
      <c r="C2029" t="s">
        <v>6539</v>
      </c>
      <c r="D2029" t="s">
        <v>9926</v>
      </c>
      <c r="E2029" t="s">
        <v>10075</v>
      </c>
      <c r="F2029">
        <v>10462</v>
      </c>
      <c r="G2029" t="s">
        <v>10090</v>
      </c>
      <c r="H2029" t="s">
        <v>10139</v>
      </c>
      <c r="I2029" t="s">
        <v>10184</v>
      </c>
      <c r="J2029" t="s">
        <v>10210</v>
      </c>
      <c r="K2029" t="s">
        <v>10217</v>
      </c>
      <c r="M2029" t="s">
        <v>10372</v>
      </c>
      <c r="N2029" t="s">
        <v>10704</v>
      </c>
      <c r="P2029" t="s">
        <v>10750</v>
      </c>
      <c r="Q2029" t="s">
        <v>10778</v>
      </c>
      <c r="R2029" t="s">
        <v>10827</v>
      </c>
      <c r="T2029">
        <v>25700</v>
      </c>
      <c r="U2029">
        <v>2141.67</v>
      </c>
      <c r="V2029">
        <v>36</v>
      </c>
      <c r="W2029">
        <v>1</v>
      </c>
      <c r="X2029">
        <v>5</v>
      </c>
      <c r="Z2029">
        <v>74.3</v>
      </c>
      <c r="AA2029">
        <v>40.844768</v>
      </c>
      <c r="AB2029">
        <v>-73.86734800000001</v>
      </c>
      <c r="AD2029" t="s">
        <v>10839</v>
      </c>
      <c r="AF2029" t="s">
        <v>10843</v>
      </c>
      <c r="AG2029" t="s">
        <v>10859</v>
      </c>
      <c r="AH2029" t="s">
        <v>10861</v>
      </c>
      <c r="AI2029">
        <v>234</v>
      </c>
      <c r="AJ2029" t="s">
        <v>10214</v>
      </c>
      <c r="AL2029">
        <v>4.85</v>
      </c>
      <c r="AM2029" t="s">
        <v>10885</v>
      </c>
      <c r="AN2029" t="s">
        <v>10908</v>
      </c>
      <c r="AO2029" t="s">
        <v>11000</v>
      </c>
      <c r="AP2029" t="s">
        <v>11056</v>
      </c>
      <c r="AR2029" t="s">
        <v>11262</v>
      </c>
      <c r="AS2029" t="s">
        <v>9926</v>
      </c>
      <c r="AT2029" t="s">
        <v>11641</v>
      </c>
      <c r="AX2029" t="s">
        <v>10838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</row>
    <row r="2030" spans="1:59">
      <c r="A2030" s="1">
        <f>HYPERLINK("https://lsnyc.legalserver.org/matter/dynamic-profile/view/1905947","19-1905947")</f>
        <v>0</v>
      </c>
      <c r="B2030" t="s">
        <v>1747</v>
      </c>
      <c r="C2030" t="s">
        <v>6540</v>
      </c>
      <c r="D2030" t="s">
        <v>9925</v>
      </c>
      <c r="E2030" t="s">
        <v>10075</v>
      </c>
      <c r="F2030">
        <v>10032</v>
      </c>
      <c r="G2030" t="s">
        <v>10089</v>
      </c>
      <c r="H2030" t="s">
        <v>10139</v>
      </c>
      <c r="I2030" t="s">
        <v>10169</v>
      </c>
      <c r="J2030" t="s">
        <v>10209</v>
      </c>
      <c r="K2030" t="s">
        <v>10217</v>
      </c>
      <c r="M2030" t="s">
        <v>10476</v>
      </c>
      <c r="N2030" t="s">
        <v>10650</v>
      </c>
      <c r="P2030" t="s">
        <v>10749</v>
      </c>
      <c r="Q2030" t="s">
        <v>10765</v>
      </c>
      <c r="R2030" t="s">
        <v>10821</v>
      </c>
      <c r="S2030" t="s">
        <v>10821</v>
      </c>
      <c r="T2030">
        <v>9492</v>
      </c>
      <c r="U2030">
        <v>791</v>
      </c>
      <c r="V2030">
        <v>80</v>
      </c>
      <c r="W2030">
        <v>1</v>
      </c>
      <c r="X2030">
        <v>0</v>
      </c>
      <c r="Z2030">
        <v>76</v>
      </c>
      <c r="AA2030">
        <v>40.832453</v>
      </c>
      <c r="AB2030">
        <v>-73.94349099999999</v>
      </c>
      <c r="AD2030" t="s">
        <v>10839</v>
      </c>
      <c r="AG2030" t="s">
        <v>10858</v>
      </c>
      <c r="AH2030" t="s">
        <v>10862</v>
      </c>
      <c r="AI2030">
        <v>236</v>
      </c>
      <c r="AJ2030" t="s">
        <v>10209</v>
      </c>
      <c r="AL2030">
        <v>1</v>
      </c>
      <c r="AM2030" t="s">
        <v>10887</v>
      </c>
      <c r="AN2030" t="s">
        <v>10943</v>
      </c>
      <c r="AO2030" t="s">
        <v>11019</v>
      </c>
      <c r="AP2030" t="s">
        <v>11073</v>
      </c>
      <c r="AR2030" t="s">
        <v>11253</v>
      </c>
      <c r="AS2030" t="s">
        <v>9925</v>
      </c>
      <c r="BA2030" t="s">
        <v>11742</v>
      </c>
      <c r="BB2030">
        <v>0</v>
      </c>
      <c r="BC2030">
        <v>0</v>
      </c>
      <c r="BD2030">
        <v>0</v>
      </c>
      <c r="BE2030">
        <v>0</v>
      </c>
      <c r="BF2030">
        <v>7</v>
      </c>
      <c r="BG2030">
        <v>0</v>
      </c>
    </row>
    <row r="2031" spans="1:59">
      <c r="A2031" s="1">
        <f>HYPERLINK("https://lsnyc.legalserver.org/matter/dynamic-profile/view/1905948","19-1905948")</f>
        <v>0</v>
      </c>
      <c r="B2031" t="s">
        <v>1264</v>
      </c>
      <c r="C2031" t="s">
        <v>5480</v>
      </c>
      <c r="D2031" t="s">
        <v>9928</v>
      </c>
      <c r="E2031" t="s">
        <v>10075</v>
      </c>
      <c r="F2031">
        <v>11213</v>
      </c>
      <c r="G2031" t="s">
        <v>10093</v>
      </c>
      <c r="H2031" t="s">
        <v>10139</v>
      </c>
      <c r="I2031" t="s">
        <v>10168</v>
      </c>
      <c r="J2031" t="s">
        <v>10213</v>
      </c>
      <c r="K2031" t="s">
        <v>10217</v>
      </c>
      <c r="M2031" t="s">
        <v>10298</v>
      </c>
      <c r="N2031" t="s">
        <v>10650</v>
      </c>
      <c r="P2031" t="s">
        <v>10749</v>
      </c>
      <c r="Q2031" t="s">
        <v>10765</v>
      </c>
      <c r="R2031" t="s">
        <v>10824</v>
      </c>
      <c r="T2031">
        <v>35800</v>
      </c>
      <c r="U2031">
        <v>2983.33</v>
      </c>
      <c r="V2031">
        <v>43</v>
      </c>
      <c r="W2031">
        <v>1</v>
      </c>
      <c r="X2031">
        <v>0</v>
      </c>
      <c r="Z2031">
        <v>286.63</v>
      </c>
      <c r="AA2031">
        <v>40.66854</v>
      </c>
      <c r="AB2031">
        <v>-73.93455899999999</v>
      </c>
      <c r="AD2031" t="s">
        <v>10839</v>
      </c>
      <c r="AF2031" t="s">
        <v>10842</v>
      </c>
      <c r="AG2031" t="s">
        <v>10859</v>
      </c>
      <c r="AH2031" t="s">
        <v>10862</v>
      </c>
      <c r="AI2031">
        <v>239</v>
      </c>
      <c r="AJ2031" t="s">
        <v>10213</v>
      </c>
      <c r="AL2031">
        <v>1</v>
      </c>
      <c r="AM2031" t="s">
        <v>10888</v>
      </c>
      <c r="AN2031" t="s">
        <v>10912</v>
      </c>
      <c r="AO2031" t="s">
        <v>11005</v>
      </c>
      <c r="AP2031" t="s">
        <v>11061</v>
      </c>
      <c r="AR2031" t="s">
        <v>11280</v>
      </c>
      <c r="AS2031" t="s">
        <v>11595</v>
      </c>
      <c r="AT2031" t="s">
        <v>10822</v>
      </c>
      <c r="AX2031" t="s">
        <v>11678</v>
      </c>
      <c r="BA2031" t="s">
        <v>11742</v>
      </c>
      <c r="BB2031">
        <v>0</v>
      </c>
      <c r="BC2031">
        <v>0</v>
      </c>
      <c r="BD2031">
        <v>0</v>
      </c>
      <c r="BE2031">
        <v>0</v>
      </c>
      <c r="BF2031">
        <v>7</v>
      </c>
      <c r="BG2031">
        <v>0</v>
      </c>
    </row>
    <row r="2032" spans="1:59">
      <c r="A2032" s="1">
        <f>HYPERLINK("https://lsnyc.legalserver.org/matter/dynamic-profile/view/1905949","19-1905949")</f>
        <v>0</v>
      </c>
      <c r="B2032" t="s">
        <v>1748</v>
      </c>
      <c r="C2032" t="s">
        <v>6541</v>
      </c>
      <c r="D2032" t="s">
        <v>9954</v>
      </c>
      <c r="E2032" t="s">
        <v>10075</v>
      </c>
      <c r="F2032">
        <v>11372</v>
      </c>
      <c r="G2032" t="s">
        <v>10089</v>
      </c>
      <c r="H2032" t="s">
        <v>10139</v>
      </c>
      <c r="I2032" t="s">
        <v>10169</v>
      </c>
      <c r="J2032" t="s">
        <v>10209</v>
      </c>
      <c r="K2032" t="s">
        <v>10218</v>
      </c>
      <c r="L2032" t="s">
        <v>10115</v>
      </c>
      <c r="M2032" t="s">
        <v>10490</v>
      </c>
      <c r="N2032" t="s">
        <v>10718</v>
      </c>
      <c r="P2032" t="s">
        <v>10750</v>
      </c>
      <c r="Q2032" t="s">
        <v>10778</v>
      </c>
      <c r="R2032" t="s">
        <v>10821</v>
      </c>
      <c r="T2032">
        <v>4200</v>
      </c>
      <c r="U2032">
        <v>350</v>
      </c>
      <c r="V2032">
        <v>78</v>
      </c>
      <c r="W2032">
        <v>1</v>
      </c>
      <c r="X2032">
        <v>0</v>
      </c>
      <c r="Y2032" t="s">
        <v>10829</v>
      </c>
      <c r="Z2032">
        <v>33.63</v>
      </c>
      <c r="AA2032">
        <v>40.749124</v>
      </c>
      <c r="AB2032">
        <v>-73.877827</v>
      </c>
      <c r="AD2032" t="s">
        <v>10840</v>
      </c>
      <c r="AG2032" t="s">
        <v>10858</v>
      </c>
      <c r="AH2032" t="s">
        <v>10871</v>
      </c>
      <c r="AI2032">
        <v>234</v>
      </c>
      <c r="AJ2032" t="s">
        <v>10214</v>
      </c>
      <c r="AK2032" t="s">
        <v>10838</v>
      </c>
      <c r="AL2032">
        <v>3.7</v>
      </c>
      <c r="AM2032" t="s">
        <v>10885</v>
      </c>
      <c r="AN2032" t="s">
        <v>10909</v>
      </c>
      <c r="AO2032" t="s">
        <v>11014</v>
      </c>
      <c r="AP2032" t="s">
        <v>11068</v>
      </c>
      <c r="AR2032" t="s">
        <v>11427</v>
      </c>
      <c r="AS2032" t="s">
        <v>11594</v>
      </c>
      <c r="AT2032" t="s">
        <v>11642</v>
      </c>
      <c r="AX2032" t="s">
        <v>10838</v>
      </c>
      <c r="AY2032" t="s">
        <v>10829</v>
      </c>
      <c r="AZ2032" t="s">
        <v>11679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</row>
    <row r="2033" spans="1:59">
      <c r="A2033" s="1">
        <f>HYPERLINK("https://lsnyc.legalserver.org/matter/dynamic-profile/view/1905950","19-1905950")</f>
        <v>0</v>
      </c>
      <c r="B2033" t="s">
        <v>1749</v>
      </c>
      <c r="C2033" t="s">
        <v>6542</v>
      </c>
      <c r="D2033" t="s">
        <v>9925</v>
      </c>
      <c r="E2033" t="s">
        <v>10075</v>
      </c>
      <c r="F2033">
        <v>10035</v>
      </c>
      <c r="G2033" t="s">
        <v>10089</v>
      </c>
      <c r="H2033" t="s">
        <v>10139</v>
      </c>
      <c r="I2033" t="s">
        <v>10168</v>
      </c>
      <c r="J2033" t="s">
        <v>10209</v>
      </c>
      <c r="K2033" t="s">
        <v>10218</v>
      </c>
      <c r="L2033" t="s">
        <v>10158</v>
      </c>
      <c r="M2033" t="s">
        <v>10379</v>
      </c>
      <c r="N2033" t="s">
        <v>10650</v>
      </c>
      <c r="P2033" t="s">
        <v>10749</v>
      </c>
      <c r="Q2033" t="s">
        <v>10765</v>
      </c>
      <c r="R2033" t="s">
        <v>10825</v>
      </c>
      <c r="T2033">
        <v>10416</v>
      </c>
      <c r="U2033">
        <v>868</v>
      </c>
      <c r="V2033">
        <v>62</v>
      </c>
      <c r="W2033">
        <v>1</v>
      </c>
      <c r="X2033">
        <v>0</v>
      </c>
      <c r="Y2033" t="s">
        <v>10829</v>
      </c>
      <c r="Z2033">
        <v>83.39</v>
      </c>
      <c r="AA2033">
        <v>40.800382</v>
      </c>
      <c r="AB2033">
        <v>-73.941057</v>
      </c>
      <c r="AD2033" t="s">
        <v>10839</v>
      </c>
      <c r="AG2033" t="s">
        <v>10858</v>
      </c>
      <c r="AH2033" t="s">
        <v>10862</v>
      </c>
      <c r="AI2033">
        <v>236</v>
      </c>
      <c r="AJ2033" t="s">
        <v>10209</v>
      </c>
      <c r="AK2033" t="s">
        <v>10882</v>
      </c>
      <c r="AL2033">
        <v>0.1</v>
      </c>
      <c r="AM2033" t="s">
        <v>10887</v>
      </c>
      <c r="AN2033" t="s">
        <v>10926</v>
      </c>
      <c r="AO2033" t="s">
        <v>11016</v>
      </c>
      <c r="AP2033" t="s">
        <v>11076</v>
      </c>
      <c r="AR2033" t="s">
        <v>11336</v>
      </c>
      <c r="AS2033" t="s">
        <v>9925</v>
      </c>
      <c r="AY2033" t="s">
        <v>10829</v>
      </c>
      <c r="AZ2033" t="s">
        <v>11681</v>
      </c>
      <c r="BA2033" t="s">
        <v>11741</v>
      </c>
      <c r="BB2033">
        <v>0</v>
      </c>
      <c r="BC2033">
        <v>0</v>
      </c>
      <c r="BD2033">
        <v>0</v>
      </c>
      <c r="BE2033">
        <v>0</v>
      </c>
      <c r="BF2033">
        <v>1</v>
      </c>
      <c r="BG2033">
        <v>0</v>
      </c>
    </row>
    <row r="2034" spans="1:59">
      <c r="A2034" s="1">
        <f>HYPERLINK("https://lsnyc.legalserver.org/matter/dynamic-profile/view/1905951","19-1905951")</f>
        <v>0</v>
      </c>
      <c r="B2034" t="s">
        <v>1129</v>
      </c>
      <c r="C2034" t="s">
        <v>6543</v>
      </c>
      <c r="D2034" t="s">
        <v>9928</v>
      </c>
      <c r="E2034" t="s">
        <v>10075</v>
      </c>
      <c r="F2034">
        <v>11226</v>
      </c>
      <c r="G2034" t="s">
        <v>10093</v>
      </c>
      <c r="H2034" t="s">
        <v>10139</v>
      </c>
      <c r="I2034" t="s">
        <v>10168</v>
      </c>
      <c r="J2034" t="s">
        <v>10213</v>
      </c>
      <c r="K2034" t="s">
        <v>10217</v>
      </c>
      <c r="M2034" t="s">
        <v>10264</v>
      </c>
      <c r="N2034" t="s">
        <v>10667</v>
      </c>
      <c r="P2034" t="s">
        <v>10749</v>
      </c>
      <c r="Q2034" t="s">
        <v>10765</v>
      </c>
      <c r="R2034" t="s">
        <v>10824</v>
      </c>
      <c r="T2034">
        <v>52156.08</v>
      </c>
      <c r="U2034">
        <v>4346.34</v>
      </c>
      <c r="V2034">
        <v>49</v>
      </c>
      <c r="W2034">
        <v>4</v>
      </c>
      <c r="X2034">
        <v>0</v>
      </c>
      <c r="Z2034">
        <v>202.55</v>
      </c>
      <c r="AA2034">
        <v>40.644419</v>
      </c>
      <c r="AB2034">
        <v>-73.953777</v>
      </c>
      <c r="AD2034" t="s">
        <v>10839</v>
      </c>
      <c r="AG2034" t="s">
        <v>10858</v>
      </c>
      <c r="AH2034" t="s">
        <v>10862</v>
      </c>
      <c r="AI2034">
        <v>239</v>
      </c>
      <c r="AJ2034" t="s">
        <v>10213</v>
      </c>
      <c r="AL2034">
        <v>1.5</v>
      </c>
      <c r="AM2034" t="s">
        <v>10888</v>
      </c>
      <c r="AN2034" t="s">
        <v>10932</v>
      </c>
      <c r="AO2034" t="s">
        <v>11008</v>
      </c>
      <c r="AP2034" t="s">
        <v>11050</v>
      </c>
      <c r="AR2034" t="s">
        <v>11282</v>
      </c>
      <c r="AS2034" t="s">
        <v>11595</v>
      </c>
      <c r="BA2034" t="s">
        <v>11738</v>
      </c>
      <c r="BB2034">
        <v>0</v>
      </c>
      <c r="BC2034">
        <v>0</v>
      </c>
      <c r="BD2034">
        <v>0</v>
      </c>
      <c r="BE2034">
        <v>0</v>
      </c>
      <c r="BF2034">
        <v>5</v>
      </c>
      <c r="BG2034">
        <v>0</v>
      </c>
    </row>
    <row r="2035" spans="1:59">
      <c r="A2035" s="1">
        <f>HYPERLINK("https://lsnyc.legalserver.org/matter/dynamic-profile/view/1905952","19-1905952")</f>
        <v>0</v>
      </c>
      <c r="B2035" t="s">
        <v>1750</v>
      </c>
      <c r="C2035" t="s">
        <v>6544</v>
      </c>
      <c r="D2035" t="s">
        <v>9928</v>
      </c>
      <c r="E2035" t="s">
        <v>10075</v>
      </c>
      <c r="F2035">
        <v>11213</v>
      </c>
      <c r="G2035" t="s">
        <v>10093</v>
      </c>
      <c r="H2035" t="s">
        <v>10139</v>
      </c>
      <c r="I2035" t="s">
        <v>10168</v>
      </c>
      <c r="J2035" t="s">
        <v>10213</v>
      </c>
      <c r="K2035" t="s">
        <v>10217</v>
      </c>
      <c r="M2035" t="s">
        <v>10344</v>
      </c>
      <c r="N2035" t="s">
        <v>10664</v>
      </c>
      <c r="P2035" t="s">
        <v>10749</v>
      </c>
      <c r="Q2035" t="s">
        <v>10765</v>
      </c>
      <c r="R2035" t="s">
        <v>10824</v>
      </c>
      <c r="T2035">
        <v>13572</v>
      </c>
      <c r="U2035">
        <v>1131</v>
      </c>
      <c r="V2035">
        <v>47</v>
      </c>
      <c r="W2035">
        <v>1</v>
      </c>
      <c r="X2035">
        <v>1</v>
      </c>
      <c r="Z2035">
        <v>80.26000000000001</v>
      </c>
      <c r="AA2035">
        <v>40.670567</v>
      </c>
      <c r="AB2035">
        <v>-73.935638</v>
      </c>
      <c r="AD2035" t="s">
        <v>10839</v>
      </c>
      <c r="AG2035" t="s">
        <v>10858</v>
      </c>
      <c r="AH2035" t="s">
        <v>10862</v>
      </c>
      <c r="AI2035">
        <v>239</v>
      </c>
      <c r="AJ2035" t="s">
        <v>10213</v>
      </c>
      <c r="AL2035">
        <v>12.1</v>
      </c>
      <c r="AM2035" t="s">
        <v>10888</v>
      </c>
      <c r="AN2035" t="s">
        <v>10914</v>
      </c>
      <c r="AO2035" t="s">
        <v>11005</v>
      </c>
      <c r="AP2035" t="s">
        <v>11061</v>
      </c>
      <c r="AR2035" t="s">
        <v>11401</v>
      </c>
      <c r="AS2035" t="s">
        <v>11595</v>
      </c>
      <c r="AT2035" t="s">
        <v>11641</v>
      </c>
      <c r="BA2035" t="s">
        <v>11742</v>
      </c>
      <c r="BB2035">
        <v>0</v>
      </c>
      <c r="BC2035">
        <v>0</v>
      </c>
      <c r="BD2035">
        <v>0</v>
      </c>
      <c r="BE2035">
        <v>0</v>
      </c>
      <c r="BF2035">
        <v>7</v>
      </c>
      <c r="BG2035">
        <v>0</v>
      </c>
    </row>
    <row r="2036" spans="1:59">
      <c r="A2036" s="1">
        <f>HYPERLINK("https://lsnyc.legalserver.org/matter/dynamic-profile/view/1905954","19-1905954")</f>
        <v>0</v>
      </c>
      <c r="B2036" t="s">
        <v>1751</v>
      </c>
      <c r="C2036" t="s">
        <v>6545</v>
      </c>
      <c r="D2036" t="s">
        <v>9925</v>
      </c>
      <c r="E2036" t="s">
        <v>10075</v>
      </c>
      <c r="F2036">
        <v>10033</v>
      </c>
      <c r="G2036" t="s">
        <v>10089</v>
      </c>
      <c r="H2036" t="s">
        <v>10139</v>
      </c>
      <c r="I2036" t="s">
        <v>10169</v>
      </c>
      <c r="J2036" t="s">
        <v>10209</v>
      </c>
      <c r="K2036" t="s">
        <v>10217</v>
      </c>
      <c r="M2036" t="s">
        <v>10393</v>
      </c>
      <c r="N2036" t="s">
        <v>10650</v>
      </c>
      <c r="P2036" t="s">
        <v>10749</v>
      </c>
      <c r="Q2036" t="s">
        <v>10765</v>
      </c>
      <c r="R2036" t="s">
        <v>10821</v>
      </c>
      <c r="T2036">
        <v>9332.440000000001</v>
      </c>
      <c r="U2036">
        <v>777.7</v>
      </c>
      <c r="V2036">
        <v>75</v>
      </c>
      <c r="W2036">
        <v>1</v>
      </c>
      <c r="X2036">
        <v>0</v>
      </c>
      <c r="Z2036">
        <v>74.72</v>
      </c>
      <c r="AA2036">
        <v>40.84976</v>
      </c>
      <c r="AB2036">
        <v>-73.93961</v>
      </c>
      <c r="AD2036" t="s">
        <v>10840</v>
      </c>
      <c r="AG2036" t="s">
        <v>10858</v>
      </c>
      <c r="AH2036" t="s">
        <v>10862</v>
      </c>
      <c r="AI2036">
        <v>236</v>
      </c>
      <c r="AJ2036" t="s">
        <v>10209</v>
      </c>
      <c r="AK2036" t="s">
        <v>10838</v>
      </c>
      <c r="AL2036">
        <v>1.7</v>
      </c>
      <c r="AM2036" t="s">
        <v>10887</v>
      </c>
      <c r="AN2036" t="s">
        <v>10943</v>
      </c>
      <c r="AO2036" t="s">
        <v>11019</v>
      </c>
      <c r="AP2036" t="s">
        <v>11074</v>
      </c>
      <c r="AR2036" t="s">
        <v>11443</v>
      </c>
      <c r="AS2036" t="s">
        <v>9925</v>
      </c>
      <c r="AT2036" t="s">
        <v>11642</v>
      </c>
      <c r="AX2036" t="s">
        <v>10838</v>
      </c>
      <c r="AZ2036" t="s">
        <v>11681</v>
      </c>
      <c r="BA2036" t="s">
        <v>11741</v>
      </c>
      <c r="BB2036">
        <v>0</v>
      </c>
      <c r="BC2036">
        <v>0</v>
      </c>
      <c r="BD2036">
        <v>0</v>
      </c>
      <c r="BE2036">
        <v>0</v>
      </c>
      <c r="BF2036">
        <v>1</v>
      </c>
      <c r="BG2036">
        <v>0</v>
      </c>
    </row>
    <row r="2037" spans="1:59">
      <c r="A2037" s="1">
        <f>HYPERLINK("https://lsnyc.legalserver.org/matter/dynamic-profile/view/1905955","19-1905955")</f>
        <v>0</v>
      </c>
      <c r="B2037" t="s">
        <v>1752</v>
      </c>
      <c r="C2037" t="s">
        <v>6546</v>
      </c>
      <c r="D2037" t="s">
        <v>9925</v>
      </c>
      <c r="E2037" t="s">
        <v>10075</v>
      </c>
      <c r="F2037">
        <v>10030</v>
      </c>
      <c r="G2037" t="s">
        <v>10089</v>
      </c>
      <c r="H2037" t="s">
        <v>10139</v>
      </c>
      <c r="I2037" t="s">
        <v>10168</v>
      </c>
      <c r="J2037" t="s">
        <v>10209</v>
      </c>
      <c r="K2037" t="s">
        <v>10218</v>
      </c>
      <c r="L2037" t="s">
        <v>10161</v>
      </c>
      <c r="M2037" t="s">
        <v>10379</v>
      </c>
      <c r="N2037" t="s">
        <v>10650</v>
      </c>
      <c r="P2037" t="s">
        <v>10749</v>
      </c>
      <c r="Q2037" t="s">
        <v>10765</v>
      </c>
      <c r="R2037" t="s">
        <v>10824</v>
      </c>
      <c r="T2037">
        <v>15796</v>
      </c>
      <c r="U2037">
        <v>1316.33</v>
      </c>
      <c r="V2037">
        <v>73</v>
      </c>
      <c r="W2037">
        <v>1</v>
      </c>
      <c r="X2037">
        <v>0</v>
      </c>
      <c r="Y2037" t="s">
        <v>10829</v>
      </c>
      <c r="Z2037">
        <v>126.47</v>
      </c>
      <c r="AA2037">
        <v>40.815081</v>
      </c>
      <c r="AB2037">
        <v>-73.94248</v>
      </c>
      <c r="AD2037" t="s">
        <v>10839</v>
      </c>
      <c r="AG2037" t="s">
        <v>10858</v>
      </c>
      <c r="AH2037" t="s">
        <v>10862</v>
      </c>
      <c r="AI2037">
        <v>236</v>
      </c>
      <c r="AJ2037" t="s">
        <v>10209</v>
      </c>
      <c r="AK2037" t="s">
        <v>10838</v>
      </c>
      <c r="AL2037">
        <v>1</v>
      </c>
      <c r="AM2037" t="s">
        <v>10887</v>
      </c>
      <c r="AN2037" t="s">
        <v>10936</v>
      </c>
      <c r="AO2037" t="s">
        <v>11016</v>
      </c>
      <c r="AP2037" t="s">
        <v>11076</v>
      </c>
      <c r="AR2037" t="s">
        <v>11444</v>
      </c>
      <c r="AS2037" t="s">
        <v>9925</v>
      </c>
      <c r="AY2037" t="s">
        <v>10829</v>
      </c>
      <c r="AZ2037" t="s">
        <v>11681</v>
      </c>
      <c r="BA2037" t="s">
        <v>11741</v>
      </c>
      <c r="BB2037">
        <v>0</v>
      </c>
      <c r="BC2037">
        <v>0</v>
      </c>
      <c r="BD2037">
        <v>0</v>
      </c>
      <c r="BE2037">
        <v>0</v>
      </c>
      <c r="BF2037">
        <v>1</v>
      </c>
      <c r="BG2037">
        <v>0</v>
      </c>
    </row>
    <row r="2038" spans="1:59">
      <c r="A2038" s="1">
        <f>HYPERLINK("https://lsnyc.legalserver.org/matter/dynamic-profile/view/1905956","19-1905956")</f>
        <v>0</v>
      </c>
      <c r="B2038" t="s">
        <v>1753</v>
      </c>
      <c r="C2038" t="s">
        <v>6547</v>
      </c>
      <c r="D2038" t="s">
        <v>9929</v>
      </c>
      <c r="E2038" t="s">
        <v>10075</v>
      </c>
      <c r="F2038">
        <v>10305</v>
      </c>
      <c r="G2038" t="s">
        <v>10088</v>
      </c>
      <c r="H2038" t="s">
        <v>10139</v>
      </c>
      <c r="I2038" t="s">
        <v>10169</v>
      </c>
      <c r="J2038" t="s">
        <v>10208</v>
      </c>
      <c r="K2038" t="s">
        <v>10217</v>
      </c>
      <c r="M2038" t="s">
        <v>10515</v>
      </c>
      <c r="N2038" t="s">
        <v>10649</v>
      </c>
      <c r="P2038" t="s">
        <v>10753</v>
      </c>
      <c r="Q2038" t="s">
        <v>10763</v>
      </c>
      <c r="R2038" t="s">
        <v>10821</v>
      </c>
      <c r="T2038">
        <v>0</v>
      </c>
      <c r="U2038">
        <v>0</v>
      </c>
      <c r="V2038">
        <v>30</v>
      </c>
      <c r="W2038">
        <v>1</v>
      </c>
      <c r="X2038">
        <v>1</v>
      </c>
      <c r="Z2038">
        <v>0</v>
      </c>
      <c r="AA2038">
        <v>40.58711</v>
      </c>
      <c r="AB2038">
        <v>-74.07025299999999</v>
      </c>
      <c r="AD2038" t="s">
        <v>10839</v>
      </c>
      <c r="AF2038" t="s">
        <v>10844</v>
      </c>
      <c r="AG2038" t="s">
        <v>10859</v>
      </c>
      <c r="AH2038" t="s">
        <v>10864</v>
      </c>
      <c r="AI2038">
        <v>285</v>
      </c>
      <c r="AJ2038" t="s">
        <v>10208</v>
      </c>
      <c r="AL2038">
        <v>1.4</v>
      </c>
      <c r="AM2038" t="s">
        <v>10883</v>
      </c>
      <c r="AN2038" t="s">
        <v>10915</v>
      </c>
      <c r="AO2038" t="s">
        <v>11006</v>
      </c>
      <c r="AP2038" t="s">
        <v>11063</v>
      </c>
      <c r="AR2038" t="s">
        <v>11267</v>
      </c>
      <c r="AS2038" t="s">
        <v>11593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</row>
    <row r="2039" spans="1:59">
      <c r="A2039" s="1">
        <f>HYPERLINK("https://lsnyc.legalserver.org/matter/dynamic-profile/view/1905957","19-1905957")</f>
        <v>0</v>
      </c>
      <c r="B2039" t="s">
        <v>1754</v>
      </c>
      <c r="C2039" t="s">
        <v>5229</v>
      </c>
      <c r="D2039" t="s">
        <v>9926</v>
      </c>
      <c r="E2039" t="s">
        <v>10075</v>
      </c>
      <c r="F2039">
        <v>10452</v>
      </c>
      <c r="G2039" t="s">
        <v>10090</v>
      </c>
      <c r="H2039" t="s">
        <v>10139</v>
      </c>
      <c r="I2039" t="s">
        <v>10168</v>
      </c>
      <c r="J2039" t="s">
        <v>10210</v>
      </c>
      <c r="K2039" t="s">
        <v>10217</v>
      </c>
      <c r="M2039" t="s">
        <v>10535</v>
      </c>
      <c r="N2039" t="s">
        <v>10650</v>
      </c>
      <c r="P2039" t="s">
        <v>10749</v>
      </c>
      <c r="Q2039" t="s">
        <v>10765</v>
      </c>
      <c r="R2039" t="s">
        <v>10821</v>
      </c>
      <c r="T2039">
        <v>114944.72</v>
      </c>
      <c r="U2039">
        <v>9578.73</v>
      </c>
      <c r="V2039">
        <v>35</v>
      </c>
      <c r="W2039">
        <v>2</v>
      </c>
      <c r="X2039">
        <v>0</v>
      </c>
      <c r="Z2039">
        <v>679.74</v>
      </c>
      <c r="AA2039">
        <v>40.837158</v>
      </c>
      <c r="AB2039">
        <v>-73.923618</v>
      </c>
      <c r="AD2039" t="s">
        <v>10840</v>
      </c>
      <c r="AG2039" t="s">
        <v>10858</v>
      </c>
      <c r="AH2039" t="s">
        <v>10862</v>
      </c>
      <c r="AI2039">
        <v>230</v>
      </c>
      <c r="AJ2039" t="s">
        <v>10210</v>
      </c>
      <c r="AL2039">
        <v>0.6</v>
      </c>
      <c r="AM2039" t="s">
        <v>10884</v>
      </c>
      <c r="AN2039" t="s">
        <v>10929</v>
      </c>
      <c r="AO2039" t="s">
        <v>11013</v>
      </c>
      <c r="AP2039" t="s">
        <v>11055</v>
      </c>
      <c r="AR2039" t="s">
        <v>11257</v>
      </c>
      <c r="AS2039" t="s">
        <v>9926</v>
      </c>
      <c r="BA2039" t="s">
        <v>11739</v>
      </c>
      <c r="BB2039">
        <v>0</v>
      </c>
      <c r="BC2039">
        <v>0</v>
      </c>
      <c r="BD2039">
        <v>0</v>
      </c>
      <c r="BE2039">
        <v>0</v>
      </c>
      <c r="BF2039">
        <v>4</v>
      </c>
      <c r="BG2039">
        <v>0</v>
      </c>
    </row>
    <row r="2040" spans="1:59">
      <c r="A2040" s="1">
        <f>HYPERLINK("https://lsnyc.legalserver.org/matter/dynamic-profile/view/1905958","19-1905958")</f>
        <v>0</v>
      </c>
      <c r="B2040" t="s">
        <v>1755</v>
      </c>
      <c r="C2040" t="s">
        <v>6548</v>
      </c>
      <c r="D2040" t="s">
        <v>9929</v>
      </c>
      <c r="E2040" t="s">
        <v>10075</v>
      </c>
      <c r="F2040">
        <v>10310</v>
      </c>
      <c r="G2040" t="s">
        <v>10088</v>
      </c>
      <c r="H2040" t="s">
        <v>10139</v>
      </c>
      <c r="I2040" t="s">
        <v>10169</v>
      </c>
      <c r="J2040" t="s">
        <v>10208</v>
      </c>
      <c r="K2040" t="s">
        <v>10217</v>
      </c>
      <c r="M2040" t="s">
        <v>10515</v>
      </c>
      <c r="N2040" t="s">
        <v>10649</v>
      </c>
      <c r="P2040" t="s">
        <v>10753</v>
      </c>
      <c r="Q2040" t="s">
        <v>10763</v>
      </c>
      <c r="R2040" t="s">
        <v>10821</v>
      </c>
      <c r="T2040">
        <v>0</v>
      </c>
      <c r="U2040">
        <v>0</v>
      </c>
      <c r="V2040">
        <v>9</v>
      </c>
      <c r="W2040">
        <v>1</v>
      </c>
      <c r="X2040">
        <v>1</v>
      </c>
      <c r="Z2040">
        <v>0</v>
      </c>
      <c r="AA2040">
        <v>40.635002</v>
      </c>
      <c r="AB2040">
        <v>-74.12644299999999</v>
      </c>
      <c r="AD2040" t="s">
        <v>10839</v>
      </c>
      <c r="AF2040" t="s">
        <v>10844</v>
      </c>
      <c r="AG2040" t="s">
        <v>10859</v>
      </c>
      <c r="AH2040" t="s">
        <v>10864</v>
      </c>
      <c r="AI2040">
        <v>285</v>
      </c>
      <c r="AJ2040" t="s">
        <v>10208</v>
      </c>
      <c r="AL2040">
        <v>1.4</v>
      </c>
      <c r="AM2040" t="s">
        <v>10883</v>
      </c>
      <c r="AN2040" t="s">
        <v>10913</v>
      </c>
      <c r="AO2040" t="s">
        <v>11006</v>
      </c>
      <c r="AP2040" t="s">
        <v>11051</v>
      </c>
      <c r="AR2040" t="s">
        <v>11266</v>
      </c>
      <c r="AS2040" t="s">
        <v>11593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</row>
    <row r="2041" spans="1:59">
      <c r="A2041" s="1">
        <f>HYPERLINK("https://lsnyc.legalserver.org/matter/dynamic-profile/view/1905959","19-1905959")</f>
        <v>0</v>
      </c>
      <c r="B2041" t="s">
        <v>1756</v>
      </c>
      <c r="C2041" t="s">
        <v>5677</v>
      </c>
      <c r="D2041" t="s">
        <v>9926</v>
      </c>
      <c r="E2041" t="s">
        <v>10075</v>
      </c>
      <c r="F2041">
        <v>10457</v>
      </c>
      <c r="G2041" t="s">
        <v>10090</v>
      </c>
      <c r="H2041" t="s">
        <v>10139</v>
      </c>
      <c r="J2041" t="s">
        <v>10210</v>
      </c>
      <c r="K2041" t="s">
        <v>10218</v>
      </c>
      <c r="L2041" t="s">
        <v>10221</v>
      </c>
      <c r="M2041" t="s">
        <v>10281</v>
      </c>
      <c r="N2041" t="s">
        <v>10651</v>
      </c>
      <c r="P2041" t="s">
        <v>10749</v>
      </c>
      <c r="Q2041" t="s">
        <v>10765</v>
      </c>
      <c r="R2041" t="s">
        <v>10821</v>
      </c>
      <c r="T2041">
        <v>30240</v>
      </c>
      <c r="U2041">
        <v>2520</v>
      </c>
      <c r="V2041">
        <v>39</v>
      </c>
      <c r="W2041">
        <v>1</v>
      </c>
      <c r="X2041">
        <v>1</v>
      </c>
      <c r="Y2041" t="s">
        <v>10831</v>
      </c>
      <c r="Z2041">
        <v>178.83</v>
      </c>
      <c r="AA2041">
        <v>40.848219</v>
      </c>
      <c r="AB2041">
        <v>-73.891407</v>
      </c>
      <c r="AD2041" t="s">
        <v>10839</v>
      </c>
      <c r="AG2041" t="s">
        <v>10858</v>
      </c>
      <c r="AH2041" t="s">
        <v>10861</v>
      </c>
      <c r="AI2041">
        <v>230</v>
      </c>
      <c r="AJ2041" t="s">
        <v>10210</v>
      </c>
      <c r="AK2041" t="s">
        <v>10838</v>
      </c>
      <c r="AL2041">
        <v>3.05</v>
      </c>
      <c r="AM2041" t="s">
        <v>10884</v>
      </c>
      <c r="AN2041" t="s">
        <v>10931</v>
      </c>
      <c r="AO2041" t="s">
        <v>11000</v>
      </c>
      <c r="AP2041" t="s">
        <v>11056</v>
      </c>
      <c r="AR2041" t="s">
        <v>11257</v>
      </c>
      <c r="AS2041" t="s">
        <v>9926</v>
      </c>
      <c r="AT2041" t="s">
        <v>11641</v>
      </c>
      <c r="AX2041" t="s">
        <v>10838</v>
      </c>
      <c r="AY2041" t="s">
        <v>10831</v>
      </c>
      <c r="AZ2041" t="s">
        <v>11687</v>
      </c>
      <c r="BA2041" t="s">
        <v>11738</v>
      </c>
      <c r="BB2041">
        <v>5889.37</v>
      </c>
      <c r="BC2041">
        <v>0</v>
      </c>
      <c r="BD2041">
        <v>0</v>
      </c>
      <c r="BE2041">
        <v>0</v>
      </c>
      <c r="BF2041">
        <v>5</v>
      </c>
      <c r="BG2041">
        <v>0</v>
      </c>
    </row>
    <row r="2042" spans="1:59">
      <c r="A2042" s="1">
        <f>HYPERLINK("https://lsnyc.legalserver.org/matter/dynamic-profile/view/1905960","19-1905960")</f>
        <v>0</v>
      </c>
      <c r="B2042" t="s">
        <v>298</v>
      </c>
      <c r="C2042" t="s">
        <v>6549</v>
      </c>
      <c r="D2042" t="s">
        <v>9928</v>
      </c>
      <c r="E2042" t="s">
        <v>10075</v>
      </c>
      <c r="F2042">
        <v>11210</v>
      </c>
      <c r="G2042" t="s">
        <v>10093</v>
      </c>
      <c r="H2042" t="s">
        <v>10139</v>
      </c>
      <c r="I2042" t="s">
        <v>10168</v>
      </c>
      <c r="J2042" t="s">
        <v>10213</v>
      </c>
      <c r="K2042" t="s">
        <v>10217</v>
      </c>
      <c r="M2042" t="s">
        <v>10344</v>
      </c>
      <c r="N2042" t="s">
        <v>10664</v>
      </c>
      <c r="P2042" t="s">
        <v>10749</v>
      </c>
      <c r="Q2042" t="s">
        <v>10765</v>
      </c>
      <c r="R2042" t="s">
        <v>10824</v>
      </c>
      <c r="T2042">
        <v>13980</v>
      </c>
      <c r="U2042">
        <v>1165</v>
      </c>
      <c r="V2042">
        <v>44</v>
      </c>
      <c r="W2042">
        <v>1</v>
      </c>
      <c r="X2042">
        <v>0</v>
      </c>
      <c r="Z2042">
        <v>111.93</v>
      </c>
      <c r="AA2042">
        <v>40.628864</v>
      </c>
      <c r="AB2042">
        <v>-73.94806</v>
      </c>
      <c r="AD2042" t="s">
        <v>10840</v>
      </c>
      <c r="AF2042" t="s">
        <v>10843</v>
      </c>
      <c r="AG2042" t="s">
        <v>10859</v>
      </c>
      <c r="AH2042" t="s">
        <v>10862</v>
      </c>
      <c r="AI2042">
        <v>239</v>
      </c>
      <c r="AJ2042" t="s">
        <v>10213</v>
      </c>
      <c r="AL2042">
        <v>11</v>
      </c>
      <c r="AM2042" t="s">
        <v>10888</v>
      </c>
      <c r="AN2042" t="s">
        <v>10932</v>
      </c>
      <c r="AO2042" t="s">
        <v>11015</v>
      </c>
      <c r="AP2042" t="s">
        <v>11065</v>
      </c>
      <c r="AR2042" t="s">
        <v>11268</v>
      </c>
      <c r="AS2042" t="s">
        <v>11595</v>
      </c>
      <c r="AT2042" t="s">
        <v>11642</v>
      </c>
      <c r="BA2042" t="s">
        <v>11742</v>
      </c>
      <c r="BB2042">
        <v>0</v>
      </c>
      <c r="BC2042">
        <v>0</v>
      </c>
      <c r="BD2042">
        <v>0</v>
      </c>
      <c r="BE2042">
        <v>0</v>
      </c>
      <c r="BF2042">
        <v>7</v>
      </c>
      <c r="BG2042">
        <v>0</v>
      </c>
    </row>
    <row r="2043" spans="1:59">
      <c r="A2043" s="1">
        <f>HYPERLINK("https://lsnyc.legalserver.org/matter/dynamic-profile/view/1905962","19-1905962")</f>
        <v>0</v>
      </c>
      <c r="B2043" t="s">
        <v>1757</v>
      </c>
      <c r="C2043" t="s">
        <v>5877</v>
      </c>
      <c r="D2043" t="s">
        <v>9926</v>
      </c>
      <c r="E2043" t="s">
        <v>10075</v>
      </c>
      <c r="F2043">
        <v>10459</v>
      </c>
      <c r="G2043" t="s">
        <v>10090</v>
      </c>
      <c r="H2043" t="s">
        <v>10139</v>
      </c>
      <c r="I2043" t="s">
        <v>10168</v>
      </c>
      <c r="J2043" t="s">
        <v>10210</v>
      </c>
      <c r="K2043" t="s">
        <v>10217</v>
      </c>
      <c r="M2043" t="s">
        <v>10438</v>
      </c>
      <c r="N2043" t="s">
        <v>10665</v>
      </c>
      <c r="P2043" t="s">
        <v>10750</v>
      </c>
      <c r="Q2043" t="s">
        <v>10779</v>
      </c>
      <c r="R2043" t="s">
        <v>10821</v>
      </c>
      <c r="T2043">
        <v>40464</v>
      </c>
      <c r="U2043">
        <v>3372</v>
      </c>
      <c r="V2043">
        <v>53</v>
      </c>
      <c r="W2043">
        <v>4</v>
      </c>
      <c r="X2043">
        <v>2</v>
      </c>
      <c r="Z2043">
        <v>116.98</v>
      </c>
      <c r="AA2043">
        <v>40.831061</v>
      </c>
      <c r="AB2043">
        <v>-73.892725</v>
      </c>
      <c r="AD2043" t="s">
        <v>10839</v>
      </c>
      <c r="AG2043" t="s">
        <v>10858</v>
      </c>
      <c r="AH2043" t="s">
        <v>10871</v>
      </c>
      <c r="AI2043">
        <v>234</v>
      </c>
      <c r="AJ2043" t="s">
        <v>10214</v>
      </c>
      <c r="AL2043">
        <v>5.5</v>
      </c>
      <c r="AM2043" t="s">
        <v>10884</v>
      </c>
      <c r="AN2043" t="s">
        <v>10918</v>
      </c>
      <c r="AO2043" t="s">
        <v>11001</v>
      </c>
      <c r="AP2043" t="s">
        <v>11062</v>
      </c>
      <c r="AR2043" t="s">
        <v>11262</v>
      </c>
      <c r="AS2043" t="s">
        <v>9926</v>
      </c>
      <c r="AT2043" t="s">
        <v>11641</v>
      </c>
      <c r="AX2043" t="s">
        <v>10838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</row>
    <row r="2044" spans="1:59">
      <c r="A2044" s="1">
        <f>HYPERLINK("https://lsnyc.legalserver.org/matter/dynamic-profile/view/1905963","19-1905963")</f>
        <v>0</v>
      </c>
      <c r="B2044" t="s">
        <v>1758</v>
      </c>
      <c r="C2044" t="s">
        <v>6550</v>
      </c>
      <c r="D2044" t="s">
        <v>9926</v>
      </c>
      <c r="E2044" t="s">
        <v>10075</v>
      </c>
      <c r="F2044">
        <v>10460</v>
      </c>
      <c r="G2044" t="s">
        <v>10090</v>
      </c>
      <c r="H2044" t="s">
        <v>10139</v>
      </c>
      <c r="I2044" t="s">
        <v>10168</v>
      </c>
      <c r="J2044" t="s">
        <v>10210</v>
      </c>
      <c r="K2044" t="s">
        <v>10217</v>
      </c>
      <c r="M2044" t="s">
        <v>10261</v>
      </c>
      <c r="N2044" t="s">
        <v>10650</v>
      </c>
      <c r="P2044" t="s">
        <v>10749</v>
      </c>
      <c r="Q2044" t="s">
        <v>10765</v>
      </c>
      <c r="R2044" t="s">
        <v>10821</v>
      </c>
      <c r="T2044">
        <v>10404</v>
      </c>
      <c r="U2044">
        <v>867</v>
      </c>
      <c r="V2044">
        <v>62</v>
      </c>
      <c r="W2044">
        <v>1</v>
      </c>
      <c r="X2044">
        <v>0</v>
      </c>
      <c r="Z2044">
        <v>83.3</v>
      </c>
      <c r="AA2044">
        <v>40.85317</v>
      </c>
      <c r="AB2044">
        <v>-73.882152</v>
      </c>
      <c r="AC2044" t="s">
        <v>10837</v>
      </c>
      <c r="AD2044" t="s">
        <v>10840</v>
      </c>
      <c r="AG2044" t="s">
        <v>10858</v>
      </c>
      <c r="AH2044" t="s">
        <v>10871</v>
      </c>
      <c r="AI2044">
        <v>234</v>
      </c>
      <c r="AJ2044" t="s">
        <v>10214</v>
      </c>
      <c r="AL2044">
        <v>0.66</v>
      </c>
      <c r="AM2044" t="s">
        <v>10884</v>
      </c>
      <c r="AN2044" t="s">
        <v>10907</v>
      </c>
      <c r="AO2044" t="s">
        <v>11000</v>
      </c>
      <c r="AP2044" t="s">
        <v>11056</v>
      </c>
      <c r="AR2044" t="s">
        <v>11298</v>
      </c>
      <c r="AS2044" t="s">
        <v>9926</v>
      </c>
      <c r="AT2044" t="s">
        <v>11642</v>
      </c>
      <c r="AX2044" t="s">
        <v>10838</v>
      </c>
      <c r="BA2044" t="s">
        <v>11741</v>
      </c>
      <c r="BB2044">
        <v>0</v>
      </c>
      <c r="BC2044">
        <v>0</v>
      </c>
      <c r="BD2044">
        <v>0</v>
      </c>
      <c r="BE2044">
        <v>0</v>
      </c>
      <c r="BF2044">
        <v>1</v>
      </c>
      <c r="BG2044">
        <v>0</v>
      </c>
    </row>
    <row r="2045" spans="1:59">
      <c r="A2045" s="1">
        <f>HYPERLINK("https://lsnyc.legalserver.org/matter/dynamic-profile/view/1905964","19-1905964")</f>
        <v>0</v>
      </c>
      <c r="B2045" t="s">
        <v>1759</v>
      </c>
      <c r="C2045" t="s">
        <v>6551</v>
      </c>
      <c r="D2045" t="s">
        <v>9925</v>
      </c>
      <c r="E2045" t="s">
        <v>10075</v>
      </c>
      <c r="F2045">
        <v>10030</v>
      </c>
      <c r="G2045" t="s">
        <v>10089</v>
      </c>
      <c r="H2045" t="s">
        <v>10139</v>
      </c>
      <c r="I2045" t="s">
        <v>10168</v>
      </c>
      <c r="J2045" t="s">
        <v>10209</v>
      </c>
      <c r="K2045" t="s">
        <v>10218</v>
      </c>
      <c r="L2045" t="s">
        <v>10158</v>
      </c>
      <c r="M2045" t="s">
        <v>10379</v>
      </c>
      <c r="N2045" t="s">
        <v>10650</v>
      </c>
      <c r="P2045" t="s">
        <v>10749</v>
      </c>
      <c r="Q2045" t="s">
        <v>10765</v>
      </c>
      <c r="R2045" t="s">
        <v>10824</v>
      </c>
      <c r="T2045">
        <v>24000</v>
      </c>
      <c r="U2045">
        <v>2000</v>
      </c>
      <c r="V2045">
        <v>40</v>
      </c>
      <c r="W2045">
        <v>1</v>
      </c>
      <c r="X2045">
        <v>0</v>
      </c>
      <c r="Y2045" t="s">
        <v>10829</v>
      </c>
      <c r="Z2045">
        <v>192.15</v>
      </c>
      <c r="AA2045">
        <v>40.814376</v>
      </c>
      <c r="AB2045">
        <v>-73.94403699999999</v>
      </c>
      <c r="AD2045" t="s">
        <v>10839</v>
      </c>
      <c r="AG2045" t="s">
        <v>10858</v>
      </c>
      <c r="AH2045" t="s">
        <v>10861</v>
      </c>
      <c r="AI2045">
        <v>236</v>
      </c>
      <c r="AJ2045" t="s">
        <v>10209</v>
      </c>
      <c r="AK2045" t="s">
        <v>10882</v>
      </c>
      <c r="AL2045">
        <v>0.1</v>
      </c>
      <c r="AM2045" t="s">
        <v>10887</v>
      </c>
      <c r="AN2045" t="s">
        <v>10936</v>
      </c>
      <c r="AO2045" t="s">
        <v>11016</v>
      </c>
      <c r="AP2045" t="s">
        <v>11076</v>
      </c>
      <c r="AR2045" t="s">
        <v>11276</v>
      </c>
      <c r="AS2045" t="s">
        <v>9925</v>
      </c>
      <c r="AY2045" t="s">
        <v>10829</v>
      </c>
      <c r="AZ2045" t="s">
        <v>11681</v>
      </c>
      <c r="BA2045" t="s">
        <v>11741</v>
      </c>
      <c r="BB2045">
        <v>0</v>
      </c>
      <c r="BC2045">
        <v>0</v>
      </c>
      <c r="BD2045">
        <v>0</v>
      </c>
      <c r="BE2045">
        <v>0</v>
      </c>
      <c r="BF2045">
        <v>1</v>
      </c>
      <c r="BG2045">
        <v>0</v>
      </c>
    </row>
    <row r="2046" spans="1:59">
      <c r="A2046" s="1">
        <f>HYPERLINK("https://lsnyc.legalserver.org/matter/dynamic-profile/view/1905965","19-1905965")</f>
        <v>0</v>
      </c>
      <c r="B2046" t="s">
        <v>1760</v>
      </c>
      <c r="C2046" t="s">
        <v>6552</v>
      </c>
      <c r="D2046" t="s">
        <v>9928</v>
      </c>
      <c r="E2046" t="s">
        <v>10075</v>
      </c>
      <c r="F2046">
        <v>11235</v>
      </c>
      <c r="G2046" t="s">
        <v>10091</v>
      </c>
      <c r="H2046" t="s">
        <v>10139</v>
      </c>
      <c r="I2046" t="s">
        <v>10171</v>
      </c>
      <c r="J2046" t="s">
        <v>10214</v>
      </c>
      <c r="K2046" t="s">
        <v>10217</v>
      </c>
      <c r="M2046" t="s">
        <v>10286</v>
      </c>
      <c r="N2046" t="s">
        <v>10646</v>
      </c>
      <c r="P2046" t="s">
        <v>10751</v>
      </c>
      <c r="Q2046" t="s">
        <v>10780</v>
      </c>
      <c r="R2046" t="s">
        <v>10820</v>
      </c>
      <c r="T2046">
        <v>27336</v>
      </c>
      <c r="U2046">
        <v>2278</v>
      </c>
      <c r="V2046">
        <v>64</v>
      </c>
      <c r="W2046">
        <v>1</v>
      </c>
      <c r="X2046">
        <v>0</v>
      </c>
      <c r="Z2046">
        <v>218.86</v>
      </c>
      <c r="AA2046">
        <v>40.576742</v>
      </c>
      <c r="AB2046">
        <v>-73.960275</v>
      </c>
      <c r="AD2046" t="s">
        <v>10839</v>
      </c>
      <c r="AF2046" t="s">
        <v>10843</v>
      </c>
      <c r="AG2046" t="s">
        <v>10859</v>
      </c>
      <c r="AH2046" t="s">
        <v>10861</v>
      </c>
      <c r="AI2046">
        <v>234</v>
      </c>
      <c r="AJ2046" t="s">
        <v>10214</v>
      </c>
      <c r="AL2046">
        <v>1.15</v>
      </c>
      <c r="AM2046" t="s">
        <v>10889</v>
      </c>
      <c r="AN2046" t="s">
        <v>10965</v>
      </c>
      <c r="AO2046" t="s">
        <v>11006</v>
      </c>
      <c r="AP2046" t="s">
        <v>11092</v>
      </c>
      <c r="AR2046" t="s">
        <v>11295</v>
      </c>
      <c r="AS2046" t="s">
        <v>11595</v>
      </c>
      <c r="AT2046" t="s">
        <v>11641</v>
      </c>
      <c r="AX2046" t="s">
        <v>10838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</row>
    <row r="2047" spans="1:59">
      <c r="A2047" s="1">
        <f>HYPERLINK("https://lsnyc.legalserver.org/matter/dynamic-profile/view/1905966","19-1905966")</f>
        <v>0</v>
      </c>
      <c r="B2047" t="s">
        <v>291</v>
      </c>
      <c r="C2047" t="s">
        <v>6553</v>
      </c>
      <c r="D2047" t="s">
        <v>9929</v>
      </c>
      <c r="E2047" t="s">
        <v>10075</v>
      </c>
      <c r="F2047">
        <v>10303</v>
      </c>
      <c r="G2047" t="s">
        <v>10088</v>
      </c>
      <c r="H2047" t="s">
        <v>10139</v>
      </c>
      <c r="I2047" t="s">
        <v>10184</v>
      </c>
      <c r="J2047" t="s">
        <v>10208</v>
      </c>
      <c r="K2047" t="s">
        <v>10217</v>
      </c>
      <c r="M2047" t="s">
        <v>10515</v>
      </c>
      <c r="N2047" t="s">
        <v>10673</v>
      </c>
      <c r="P2047" t="s">
        <v>10753</v>
      </c>
      <c r="Q2047" t="s">
        <v>10763</v>
      </c>
      <c r="R2047" t="s">
        <v>10820</v>
      </c>
      <c r="T2047">
        <v>0</v>
      </c>
      <c r="U2047">
        <v>0</v>
      </c>
      <c r="V2047">
        <v>50</v>
      </c>
      <c r="W2047">
        <v>3</v>
      </c>
      <c r="X2047">
        <v>1</v>
      </c>
      <c r="Z2047">
        <v>0</v>
      </c>
      <c r="AA2047">
        <v>40.624114</v>
      </c>
      <c r="AB2047">
        <v>-74.14957200000001</v>
      </c>
      <c r="AD2047" t="s">
        <v>10839</v>
      </c>
      <c r="AF2047" t="s">
        <v>10843</v>
      </c>
      <c r="AG2047" t="s">
        <v>10859</v>
      </c>
      <c r="AH2047" t="s">
        <v>10864</v>
      </c>
      <c r="AI2047">
        <v>285</v>
      </c>
      <c r="AJ2047" t="s">
        <v>10208</v>
      </c>
      <c r="AL2047">
        <v>10.5</v>
      </c>
      <c r="AM2047" t="s">
        <v>10883</v>
      </c>
      <c r="AN2047" t="s">
        <v>10913</v>
      </c>
      <c r="AO2047" t="s">
        <v>11006</v>
      </c>
      <c r="AP2047" t="s">
        <v>11051</v>
      </c>
      <c r="AR2047" t="s">
        <v>11266</v>
      </c>
      <c r="AS2047" t="s">
        <v>11593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</row>
    <row r="2048" spans="1:59">
      <c r="A2048" s="1">
        <f>HYPERLINK("https://lsnyc.legalserver.org/matter/dynamic-profile/view/1905967","19-1905967")</f>
        <v>0</v>
      </c>
      <c r="B2048" t="s">
        <v>1761</v>
      </c>
      <c r="C2048" t="s">
        <v>6554</v>
      </c>
      <c r="D2048" t="s">
        <v>9925</v>
      </c>
      <c r="E2048" t="s">
        <v>10075</v>
      </c>
      <c r="F2048">
        <v>10030</v>
      </c>
      <c r="G2048" t="s">
        <v>10089</v>
      </c>
      <c r="H2048" t="s">
        <v>10139</v>
      </c>
      <c r="I2048" t="s">
        <v>10168</v>
      </c>
      <c r="J2048" t="s">
        <v>10209</v>
      </c>
      <c r="K2048" t="s">
        <v>10217</v>
      </c>
      <c r="M2048" t="s">
        <v>10476</v>
      </c>
      <c r="N2048" t="s">
        <v>10703</v>
      </c>
      <c r="P2048" t="s">
        <v>10749</v>
      </c>
      <c r="Q2048" t="s">
        <v>10767</v>
      </c>
      <c r="R2048" t="s">
        <v>10821</v>
      </c>
      <c r="T2048">
        <v>9000</v>
      </c>
      <c r="U2048">
        <v>750</v>
      </c>
      <c r="V2048">
        <v>52</v>
      </c>
      <c r="W2048">
        <v>1</v>
      </c>
      <c r="X2048">
        <v>0</v>
      </c>
      <c r="Z2048">
        <v>72.06</v>
      </c>
      <c r="AA2048">
        <v>40.820412</v>
      </c>
      <c r="AB2048">
        <v>-73.940804</v>
      </c>
      <c r="AD2048" t="s">
        <v>10839</v>
      </c>
      <c r="AG2048" t="s">
        <v>10858</v>
      </c>
      <c r="AH2048" t="s">
        <v>10862</v>
      </c>
      <c r="AI2048">
        <v>236</v>
      </c>
      <c r="AJ2048" t="s">
        <v>10209</v>
      </c>
      <c r="AL2048">
        <v>1</v>
      </c>
      <c r="AM2048" t="s">
        <v>10887</v>
      </c>
      <c r="AN2048" t="s">
        <v>10936</v>
      </c>
      <c r="AO2048" t="s">
        <v>11016</v>
      </c>
      <c r="AP2048" t="s">
        <v>11076</v>
      </c>
      <c r="AR2048" t="s">
        <v>11274</v>
      </c>
      <c r="AS2048" t="s">
        <v>9925</v>
      </c>
      <c r="BA2048" t="s">
        <v>11742</v>
      </c>
      <c r="BB2048">
        <v>0</v>
      </c>
      <c r="BC2048">
        <v>0</v>
      </c>
      <c r="BD2048">
        <v>0</v>
      </c>
      <c r="BE2048">
        <v>0</v>
      </c>
      <c r="BF2048">
        <v>7</v>
      </c>
      <c r="BG2048">
        <v>0</v>
      </c>
    </row>
    <row r="2049" spans="1:59">
      <c r="A2049" s="1">
        <f>HYPERLINK("https://lsnyc.legalserver.org/matter/dynamic-profile/view/1905969","19-1905969")</f>
        <v>0</v>
      </c>
      <c r="B2049" t="s">
        <v>1762</v>
      </c>
      <c r="C2049" t="s">
        <v>6555</v>
      </c>
      <c r="D2049" t="s">
        <v>9928</v>
      </c>
      <c r="E2049" t="s">
        <v>10075</v>
      </c>
      <c r="F2049">
        <v>11211</v>
      </c>
      <c r="G2049" t="s">
        <v>10091</v>
      </c>
      <c r="H2049" t="s">
        <v>10139</v>
      </c>
      <c r="I2049" t="s">
        <v>10169</v>
      </c>
      <c r="J2049" t="s">
        <v>10211</v>
      </c>
      <c r="K2049" t="s">
        <v>10217</v>
      </c>
      <c r="M2049" t="s">
        <v>10307</v>
      </c>
      <c r="N2049" t="s">
        <v>10671</v>
      </c>
      <c r="P2049" t="s">
        <v>10752</v>
      </c>
      <c r="Q2049" t="s">
        <v>10762</v>
      </c>
      <c r="R2049" t="s">
        <v>10821</v>
      </c>
      <c r="T2049">
        <v>23400</v>
      </c>
      <c r="U2049">
        <v>1950</v>
      </c>
      <c r="V2049">
        <v>55</v>
      </c>
      <c r="W2049">
        <v>1</v>
      </c>
      <c r="X2049">
        <v>0</v>
      </c>
      <c r="Z2049">
        <v>187.35</v>
      </c>
      <c r="AA2049">
        <v>40.710964</v>
      </c>
      <c r="AB2049">
        <v>-73.957818</v>
      </c>
      <c r="AD2049" t="s">
        <v>10840</v>
      </c>
      <c r="AG2049" t="s">
        <v>10858</v>
      </c>
      <c r="AH2049" t="s">
        <v>10871</v>
      </c>
      <c r="AI2049">
        <v>234</v>
      </c>
      <c r="AJ2049" t="s">
        <v>10214</v>
      </c>
      <c r="AL2049">
        <v>1</v>
      </c>
      <c r="AM2049" t="s">
        <v>10886</v>
      </c>
      <c r="AN2049" t="s">
        <v>10942</v>
      </c>
      <c r="AO2049" t="s">
        <v>11011</v>
      </c>
      <c r="AP2049" t="s">
        <v>11071</v>
      </c>
      <c r="AR2049" t="s">
        <v>11257</v>
      </c>
      <c r="AS2049" t="s">
        <v>11595</v>
      </c>
      <c r="AT2049" t="s">
        <v>11642</v>
      </c>
      <c r="AX2049" t="s">
        <v>10838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</row>
    <row r="2050" spans="1:59">
      <c r="A2050" s="1">
        <f>HYPERLINK("https://lsnyc.legalserver.org/matter/dynamic-profile/view/1905970","19-1905970")</f>
        <v>0</v>
      </c>
      <c r="B2050" t="s">
        <v>1763</v>
      </c>
      <c r="C2050" t="s">
        <v>6556</v>
      </c>
      <c r="D2050" t="s">
        <v>9926</v>
      </c>
      <c r="E2050" t="s">
        <v>10075</v>
      </c>
      <c r="F2050">
        <v>10457</v>
      </c>
      <c r="G2050" t="s">
        <v>10090</v>
      </c>
      <c r="H2050" t="s">
        <v>10139</v>
      </c>
      <c r="I2050" t="s">
        <v>10168</v>
      </c>
      <c r="J2050" t="s">
        <v>10210</v>
      </c>
      <c r="K2050" t="s">
        <v>10217</v>
      </c>
      <c r="M2050" t="s">
        <v>10276</v>
      </c>
      <c r="N2050" t="s">
        <v>10651</v>
      </c>
      <c r="P2050" t="s">
        <v>10749</v>
      </c>
      <c r="Q2050" t="s">
        <v>10765</v>
      </c>
      <c r="R2050" t="s">
        <v>10824</v>
      </c>
      <c r="T2050">
        <v>16668</v>
      </c>
      <c r="U2050">
        <v>1389</v>
      </c>
      <c r="V2050">
        <v>33</v>
      </c>
      <c r="W2050">
        <v>2</v>
      </c>
      <c r="X2050">
        <v>5</v>
      </c>
      <c r="Z2050">
        <v>42.73</v>
      </c>
      <c r="AA2050">
        <v>40.848187</v>
      </c>
      <c r="AB2050">
        <v>-73.88755</v>
      </c>
      <c r="AD2050" t="s">
        <v>10839</v>
      </c>
      <c r="AG2050" t="s">
        <v>10858</v>
      </c>
      <c r="AH2050" t="s">
        <v>10862</v>
      </c>
      <c r="AI2050">
        <v>230</v>
      </c>
      <c r="AJ2050" t="s">
        <v>10210</v>
      </c>
      <c r="AL2050">
        <v>3.75</v>
      </c>
      <c r="AM2050" t="s">
        <v>10884</v>
      </c>
      <c r="AN2050" t="s">
        <v>10907</v>
      </c>
      <c r="AO2050" t="s">
        <v>11000</v>
      </c>
      <c r="AP2050" t="s">
        <v>11056</v>
      </c>
      <c r="AR2050" t="s">
        <v>11334</v>
      </c>
      <c r="AS2050" t="s">
        <v>9926</v>
      </c>
      <c r="AT2050" t="s">
        <v>11641</v>
      </c>
      <c r="AX2050" t="s">
        <v>10837</v>
      </c>
      <c r="BA2050" t="s">
        <v>11738</v>
      </c>
      <c r="BB2050">
        <v>0</v>
      </c>
      <c r="BC2050">
        <v>0</v>
      </c>
      <c r="BD2050">
        <v>0</v>
      </c>
      <c r="BE2050">
        <v>0</v>
      </c>
      <c r="BF2050">
        <v>5</v>
      </c>
      <c r="BG2050">
        <v>0</v>
      </c>
    </row>
    <row r="2051" spans="1:59">
      <c r="A2051" s="1">
        <f>HYPERLINK("https://lsnyc.legalserver.org/matter/dynamic-profile/view/1905971","19-1905971")</f>
        <v>0</v>
      </c>
      <c r="B2051" t="s">
        <v>1756</v>
      </c>
      <c r="C2051" t="s">
        <v>5677</v>
      </c>
      <c r="D2051" t="s">
        <v>9926</v>
      </c>
      <c r="E2051" t="s">
        <v>10075</v>
      </c>
      <c r="F2051">
        <v>10457</v>
      </c>
      <c r="G2051" t="s">
        <v>10090</v>
      </c>
      <c r="H2051" t="s">
        <v>10139</v>
      </c>
      <c r="J2051" t="s">
        <v>10210</v>
      </c>
      <c r="K2051" t="s">
        <v>10217</v>
      </c>
      <c r="M2051" t="s">
        <v>10230</v>
      </c>
      <c r="N2051" t="s">
        <v>10671</v>
      </c>
      <c r="P2051" t="s">
        <v>10751</v>
      </c>
      <c r="Q2051" t="s">
        <v>10761</v>
      </c>
      <c r="R2051" t="s">
        <v>10821</v>
      </c>
      <c r="T2051">
        <v>30240</v>
      </c>
      <c r="U2051">
        <v>2520</v>
      </c>
      <c r="V2051">
        <v>39</v>
      </c>
      <c r="W2051">
        <v>1</v>
      </c>
      <c r="X2051">
        <v>1</v>
      </c>
      <c r="Z2051">
        <v>178.83</v>
      </c>
      <c r="AA2051">
        <v>40.848219</v>
      </c>
      <c r="AB2051">
        <v>-73.891407</v>
      </c>
      <c r="AD2051" t="s">
        <v>10839</v>
      </c>
      <c r="AG2051" t="s">
        <v>10858</v>
      </c>
      <c r="AH2051" t="s">
        <v>10861</v>
      </c>
      <c r="AI2051">
        <v>230</v>
      </c>
      <c r="AJ2051" t="s">
        <v>10210</v>
      </c>
      <c r="AL2051">
        <v>4.5</v>
      </c>
      <c r="AM2051" t="s">
        <v>10884</v>
      </c>
      <c r="AN2051" t="s">
        <v>10931</v>
      </c>
      <c r="AO2051" t="s">
        <v>11000</v>
      </c>
      <c r="AP2051" t="s">
        <v>11056</v>
      </c>
      <c r="AR2051" t="s">
        <v>11257</v>
      </c>
      <c r="AS2051" t="s">
        <v>9926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</row>
    <row r="2052" spans="1:59">
      <c r="A2052" s="1">
        <f>HYPERLINK("https://lsnyc.legalserver.org/matter/dynamic-profile/view/1905972","19-1905972")</f>
        <v>0</v>
      </c>
      <c r="B2052" t="s">
        <v>1764</v>
      </c>
      <c r="C2052" t="s">
        <v>6557</v>
      </c>
      <c r="D2052" t="s">
        <v>9925</v>
      </c>
      <c r="E2052" t="s">
        <v>10075</v>
      </c>
      <c r="F2052">
        <v>10001</v>
      </c>
      <c r="G2052" t="s">
        <v>10091</v>
      </c>
      <c r="H2052" t="s">
        <v>10139</v>
      </c>
      <c r="I2052" t="s">
        <v>10168</v>
      </c>
      <c r="J2052" t="s">
        <v>10214</v>
      </c>
      <c r="K2052" t="s">
        <v>10217</v>
      </c>
      <c r="M2052" t="s">
        <v>10286</v>
      </c>
      <c r="N2052" t="s">
        <v>10671</v>
      </c>
      <c r="P2052" t="s">
        <v>10749</v>
      </c>
      <c r="Q2052" t="s">
        <v>10765</v>
      </c>
      <c r="R2052" t="s">
        <v>10824</v>
      </c>
      <c r="T2052">
        <v>30336</v>
      </c>
      <c r="U2052">
        <v>2528</v>
      </c>
      <c r="V2052">
        <v>54</v>
      </c>
      <c r="W2052">
        <v>1</v>
      </c>
      <c r="X2052">
        <v>1</v>
      </c>
      <c r="Z2052">
        <v>179.4</v>
      </c>
      <c r="AA2052">
        <v>40.751589</v>
      </c>
      <c r="AB2052">
        <v>-74.00328500000001</v>
      </c>
      <c r="AD2052" t="s">
        <v>10839</v>
      </c>
      <c r="AG2052" t="s">
        <v>10858</v>
      </c>
      <c r="AH2052" t="s">
        <v>10861</v>
      </c>
      <c r="AI2052">
        <v>234</v>
      </c>
      <c r="AJ2052" t="s">
        <v>10214</v>
      </c>
      <c r="AL2052">
        <v>0.5</v>
      </c>
      <c r="AM2052" t="s">
        <v>10894</v>
      </c>
      <c r="AN2052" t="s">
        <v>10966</v>
      </c>
      <c r="AO2052" t="s">
        <v>11021</v>
      </c>
      <c r="AP2052" t="s">
        <v>11090</v>
      </c>
      <c r="AR2052" t="s">
        <v>11445</v>
      </c>
      <c r="AS2052" t="s">
        <v>9925</v>
      </c>
      <c r="AT2052" t="s">
        <v>11641</v>
      </c>
      <c r="AX2052" t="s">
        <v>10838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</row>
    <row r="2053" spans="1:59">
      <c r="A2053" s="1">
        <f>HYPERLINK("https://lsnyc.legalserver.org/matter/dynamic-profile/view/1905974","19-1905974")</f>
        <v>0</v>
      </c>
      <c r="B2053" t="s">
        <v>1765</v>
      </c>
      <c r="C2053" t="s">
        <v>6558</v>
      </c>
      <c r="D2053" t="s">
        <v>9928</v>
      </c>
      <c r="E2053" t="s">
        <v>10075</v>
      </c>
      <c r="F2053">
        <v>11225</v>
      </c>
      <c r="G2053" t="s">
        <v>10093</v>
      </c>
      <c r="H2053" t="s">
        <v>10139</v>
      </c>
      <c r="I2053" t="s">
        <v>10168</v>
      </c>
      <c r="J2053" t="s">
        <v>10213</v>
      </c>
      <c r="K2053" t="s">
        <v>10218</v>
      </c>
      <c r="L2053" t="s">
        <v>10142</v>
      </c>
      <c r="M2053" t="s">
        <v>10443</v>
      </c>
      <c r="N2053" t="s">
        <v>10644</v>
      </c>
      <c r="P2053" t="s">
        <v>10749</v>
      </c>
      <c r="Q2053" t="s">
        <v>10765</v>
      </c>
      <c r="R2053" t="s">
        <v>10824</v>
      </c>
      <c r="T2053">
        <v>8376</v>
      </c>
      <c r="U2053">
        <v>698</v>
      </c>
      <c r="V2053">
        <v>67</v>
      </c>
      <c r="W2053">
        <v>2</v>
      </c>
      <c r="X2053">
        <v>0</v>
      </c>
      <c r="Y2053" t="s">
        <v>10829</v>
      </c>
      <c r="Z2053">
        <v>49.53</v>
      </c>
      <c r="AA2053">
        <v>40.667623</v>
      </c>
      <c r="AB2053">
        <v>-73.959632</v>
      </c>
      <c r="AD2053" t="s">
        <v>10839</v>
      </c>
      <c r="AG2053" t="s">
        <v>10858</v>
      </c>
      <c r="AH2053" t="s">
        <v>10861</v>
      </c>
      <c r="AI2053">
        <v>234</v>
      </c>
      <c r="AJ2053" t="s">
        <v>10214</v>
      </c>
      <c r="AK2053" t="s">
        <v>10838</v>
      </c>
      <c r="AL2053">
        <v>3.75</v>
      </c>
      <c r="AM2053" t="s">
        <v>10888</v>
      </c>
      <c r="AN2053" t="s">
        <v>10923</v>
      </c>
      <c r="AO2053" t="s">
        <v>11005</v>
      </c>
      <c r="AP2053" t="s">
        <v>11061</v>
      </c>
      <c r="AR2053" t="s">
        <v>11318</v>
      </c>
      <c r="AS2053" t="s">
        <v>11595</v>
      </c>
      <c r="AT2053" t="s">
        <v>11641</v>
      </c>
      <c r="AX2053" t="s">
        <v>10838</v>
      </c>
      <c r="AY2053" t="s">
        <v>10829</v>
      </c>
      <c r="AZ2053" t="s">
        <v>11681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</row>
    <row r="2054" spans="1:59">
      <c r="A2054" s="1">
        <f>HYPERLINK("https://lsnyc.legalserver.org/matter/dynamic-profile/view/1905975","19-1905975")</f>
        <v>0</v>
      </c>
      <c r="B2054" t="s">
        <v>1766</v>
      </c>
      <c r="C2054" t="s">
        <v>6559</v>
      </c>
      <c r="D2054" t="s">
        <v>9928</v>
      </c>
      <c r="E2054" t="s">
        <v>10075</v>
      </c>
      <c r="F2054">
        <v>11212</v>
      </c>
      <c r="G2054" t="s">
        <v>10093</v>
      </c>
      <c r="H2054" t="s">
        <v>10139</v>
      </c>
      <c r="I2054" t="s">
        <v>10168</v>
      </c>
      <c r="J2054" t="s">
        <v>10213</v>
      </c>
      <c r="K2054" t="s">
        <v>10217</v>
      </c>
      <c r="M2054" t="s">
        <v>10439</v>
      </c>
      <c r="N2054" t="s">
        <v>10664</v>
      </c>
      <c r="P2054" t="s">
        <v>10749</v>
      </c>
      <c r="Q2054" t="s">
        <v>10765</v>
      </c>
      <c r="R2054" t="s">
        <v>10824</v>
      </c>
      <c r="T2054">
        <v>15600</v>
      </c>
      <c r="U2054">
        <v>1300</v>
      </c>
      <c r="V2054">
        <v>57</v>
      </c>
      <c r="W2054">
        <v>1</v>
      </c>
      <c r="X2054">
        <v>0</v>
      </c>
      <c r="Z2054">
        <v>124.9</v>
      </c>
      <c r="AA2054">
        <v>40.661548</v>
      </c>
      <c r="AB2054">
        <v>-73.92101</v>
      </c>
      <c r="AD2054" t="s">
        <v>10840</v>
      </c>
      <c r="AG2054" t="s">
        <v>10858</v>
      </c>
      <c r="AH2054" t="s">
        <v>10862</v>
      </c>
      <c r="AI2054">
        <v>239</v>
      </c>
      <c r="AJ2054" t="s">
        <v>10213</v>
      </c>
      <c r="AL2054">
        <v>2.6</v>
      </c>
      <c r="AM2054" t="s">
        <v>10888</v>
      </c>
      <c r="AN2054" t="s">
        <v>10925</v>
      </c>
      <c r="AO2054" t="s">
        <v>11005</v>
      </c>
      <c r="AP2054" t="s">
        <v>11064</v>
      </c>
      <c r="AQ2054" t="s">
        <v>11101</v>
      </c>
      <c r="AR2054" t="s">
        <v>11263</v>
      </c>
      <c r="AS2054" t="s">
        <v>11595</v>
      </c>
      <c r="AT2054" t="s">
        <v>11642</v>
      </c>
      <c r="BA2054" t="s">
        <v>11738</v>
      </c>
      <c r="BB2054">
        <v>0</v>
      </c>
      <c r="BC2054">
        <v>0</v>
      </c>
      <c r="BD2054">
        <v>0</v>
      </c>
      <c r="BE2054">
        <v>0</v>
      </c>
      <c r="BF2054">
        <v>5</v>
      </c>
      <c r="BG2054">
        <v>0</v>
      </c>
    </row>
    <row r="2055" spans="1:59">
      <c r="A2055" s="1">
        <f>HYPERLINK("https://lsnyc.legalserver.org/matter/dynamic-profile/view/1905976","19-1905976")</f>
        <v>0</v>
      </c>
      <c r="B2055" t="s">
        <v>173</v>
      </c>
      <c r="C2055" t="s">
        <v>6560</v>
      </c>
      <c r="D2055" t="s">
        <v>9925</v>
      </c>
      <c r="E2055" t="s">
        <v>10075</v>
      </c>
      <c r="F2055">
        <v>10035</v>
      </c>
      <c r="G2055" t="s">
        <v>10089</v>
      </c>
      <c r="H2055" t="s">
        <v>10139</v>
      </c>
      <c r="I2055" t="s">
        <v>10168</v>
      </c>
      <c r="J2055" t="s">
        <v>10209</v>
      </c>
      <c r="K2055" t="s">
        <v>10217</v>
      </c>
      <c r="M2055" t="s">
        <v>10389</v>
      </c>
      <c r="N2055" t="s">
        <v>10703</v>
      </c>
      <c r="P2055" t="s">
        <v>10749</v>
      </c>
      <c r="Q2055" t="s">
        <v>10767</v>
      </c>
      <c r="R2055" t="s">
        <v>10824</v>
      </c>
      <c r="T2055">
        <v>7800</v>
      </c>
      <c r="U2055">
        <v>650</v>
      </c>
      <c r="V2055">
        <v>49</v>
      </c>
      <c r="W2055">
        <v>1</v>
      </c>
      <c r="X2055">
        <v>0</v>
      </c>
      <c r="Z2055">
        <v>62.45</v>
      </c>
      <c r="AA2055">
        <v>40.803201</v>
      </c>
      <c r="AB2055">
        <v>-73.939059</v>
      </c>
      <c r="AD2055" t="s">
        <v>10839</v>
      </c>
      <c r="AG2055" t="s">
        <v>10858</v>
      </c>
      <c r="AH2055" t="s">
        <v>10861</v>
      </c>
      <c r="AI2055">
        <v>236</v>
      </c>
      <c r="AJ2055" t="s">
        <v>10209</v>
      </c>
      <c r="AL2055">
        <v>0.9</v>
      </c>
      <c r="AM2055" t="s">
        <v>10887</v>
      </c>
      <c r="AN2055" t="s">
        <v>10926</v>
      </c>
      <c r="AO2055" t="s">
        <v>11016</v>
      </c>
      <c r="AP2055" t="s">
        <v>11076</v>
      </c>
      <c r="AR2055" t="s">
        <v>11257</v>
      </c>
      <c r="AS2055" t="s">
        <v>9925</v>
      </c>
      <c r="BA2055" t="s">
        <v>11741</v>
      </c>
      <c r="BB2055">
        <v>0</v>
      </c>
      <c r="BC2055">
        <v>0</v>
      </c>
      <c r="BD2055">
        <v>0</v>
      </c>
      <c r="BE2055">
        <v>0</v>
      </c>
      <c r="BF2055">
        <v>1</v>
      </c>
      <c r="BG2055">
        <v>0</v>
      </c>
    </row>
    <row r="2056" spans="1:59">
      <c r="A2056" s="1">
        <f>HYPERLINK("https://lsnyc.legalserver.org/matter/dynamic-profile/view/1905977","19-1905977")</f>
        <v>0</v>
      </c>
      <c r="B2056" t="s">
        <v>1767</v>
      </c>
      <c r="C2056" t="s">
        <v>6561</v>
      </c>
      <c r="D2056" t="s">
        <v>9925</v>
      </c>
      <c r="E2056" t="s">
        <v>10075</v>
      </c>
      <c r="F2056">
        <v>10035</v>
      </c>
      <c r="G2056" t="s">
        <v>10089</v>
      </c>
      <c r="H2056" t="s">
        <v>10139</v>
      </c>
      <c r="I2056" t="s">
        <v>10168</v>
      </c>
      <c r="J2056" t="s">
        <v>10209</v>
      </c>
      <c r="K2056" t="s">
        <v>10217</v>
      </c>
      <c r="M2056" t="s">
        <v>10442</v>
      </c>
      <c r="N2056" t="s">
        <v>10671</v>
      </c>
      <c r="P2056" t="s">
        <v>10749</v>
      </c>
      <c r="Q2056" t="s">
        <v>10765</v>
      </c>
      <c r="R2056" t="s">
        <v>10824</v>
      </c>
      <c r="T2056">
        <v>2100</v>
      </c>
      <c r="U2056">
        <v>175</v>
      </c>
      <c r="V2056">
        <v>41</v>
      </c>
      <c r="W2056">
        <v>2</v>
      </c>
      <c r="X2056">
        <v>2</v>
      </c>
      <c r="Z2056">
        <v>8.16</v>
      </c>
      <c r="AA2056">
        <v>40.803196</v>
      </c>
      <c r="AB2056">
        <v>-73.93807200000001</v>
      </c>
      <c r="AD2056" t="s">
        <v>10839</v>
      </c>
      <c r="AG2056" t="s">
        <v>10858</v>
      </c>
      <c r="AH2056" t="s">
        <v>10861</v>
      </c>
      <c r="AI2056">
        <v>234</v>
      </c>
      <c r="AJ2056" t="s">
        <v>10214</v>
      </c>
      <c r="AL2056">
        <v>1</v>
      </c>
      <c r="AM2056" t="s">
        <v>10887</v>
      </c>
      <c r="AN2056" t="s">
        <v>10926</v>
      </c>
      <c r="AO2056" t="s">
        <v>11016</v>
      </c>
      <c r="AP2056" t="s">
        <v>11066</v>
      </c>
      <c r="AR2056" t="s">
        <v>11320</v>
      </c>
      <c r="AS2056" t="s">
        <v>9925</v>
      </c>
      <c r="AT2056" t="s">
        <v>11641</v>
      </c>
      <c r="AX2056" t="s">
        <v>10838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</row>
    <row r="2057" spans="1:59">
      <c r="A2057" s="1">
        <f>HYPERLINK("https://lsnyc.legalserver.org/matter/dynamic-profile/view/1905978","19-1905978")</f>
        <v>0</v>
      </c>
      <c r="B2057" t="s">
        <v>1768</v>
      </c>
      <c r="C2057" t="s">
        <v>6562</v>
      </c>
      <c r="D2057" t="s">
        <v>9938</v>
      </c>
      <c r="E2057" t="s">
        <v>10075</v>
      </c>
      <c r="F2057">
        <v>11434</v>
      </c>
      <c r="G2057" t="s">
        <v>10092</v>
      </c>
      <c r="H2057" t="s">
        <v>10139</v>
      </c>
      <c r="I2057" t="s">
        <v>10168</v>
      </c>
      <c r="J2057" t="s">
        <v>10212</v>
      </c>
      <c r="K2057" t="s">
        <v>10217</v>
      </c>
      <c r="M2057" t="s">
        <v>10360</v>
      </c>
      <c r="N2057" t="s">
        <v>10693</v>
      </c>
      <c r="P2057" t="s">
        <v>10749</v>
      </c>
      <c r="Q2057" t="s">
        <v>10767</v>
      </c>
      <c r="R2057" t="s">
        <v>10824</v>
      </c>
      <c r="T2057">
        <v>13520</v>
      </c>
      <c r="U2057">
        <v>1126.67</v>
      </c>
      <c r="V2057">
        <v>55</v>
      </c>
      <c r="W2057">
        <v>1</v>
      </c>
      <c r="X2057">
        <v>0</v>
      </c>
      <c r="Z2057">
        <v>108.25</v>
      </c>
      <c r="AA2057">
        <v>40.681322</v>
      </c>
      <c r="AB2057">
        <v>-73.768411</v>
      </c>
      <c r="AD2057" t="s">
        <v>10839</v>
      </c>
      <c r="AG2057" t="s">
        <v>10858</v>
      </c>
      <c r="AH2057" t="s">
        <v>10862</v>
      </c>
      <c r="AI2057">
        <v>237</v>
      </c>
      <c r="AJ2057" t="s">
        <v>10212</v>
      </c>
      <c r="AL2057">
        <v>9.800000000000001</v>
      </c>
      <c r="AM2057" t="s">
        <v>10892</v>
      </c>
      <c r="AN2057" t="s">
        <v>10951</v>
      </c>
      <c r="AO2057" t="s">
        <v>11017</v>
      </c>
      <c r="AP2057" t="s">
        <v>11075</v>
      </c>
      <c r="AR2057" t="s">
        <v>11257</v>
      </c>
      <c r="AS2057" t="s">
        <v>11594</v>
      </c>
      <c r="BA2057" t="s">
        <v>11738</v>
      </c>
      <c r="BB2057">
        <v>0</v>
      </c>
      <c r="BC2057">
        <v>0</v>
      </c>
      <c r="BD2057">
        <v>0</v>
      </c>
      <c r="BE2057">
        <v>0</v>
      </c>
      <c r="BF2057">
        <v>5</v>
      </c>
      <c r="BG2057">
        <v>0</v>
      </c>
    </row>
    <row r="2058" spans="1:59">
      <c r="A2058" s="1">
        <f>HYPERLINK("https://lsnyc.legalserver.org/matter/dynamic-profile/view/1905979","19-1905979")</f>
        <v>0</v>
      </c>
      <c r="B2058" t="s">
        <v>761</v>
      </c>
      <c r="C2058" t="s">
        <v>6521</v>
      </c>
      <c r="D2058" t="s">
        <v>9925</v>
      </c>
      <c r="E2058" t="s">
        <v>10075</v>
      </c>
      <c r="F2058">
        <v>10009</v>
      </c>
      <c r="G2058" t="s">
        <v>10089</v>
      </c>
      <c r="H2058" t="s">
        <v>10139</v>
      </c>
      <c r="I2058" t="s">
        <v>10168</v>
      </c>
      <c r="J2058" t="s">
        <v>10209</v>
      </c>
      <c r="K2058" t="s">
        <v>10218</v>
      </c>
      <c r="L2058" t="s">
        <v>10110</v>
      </c>
      <c r="M2058" t="s">
        <v>10270</v>
      </c>
      <c r="N2058" t="s">
        <v>10691</v>
      </c>
      <c r="P2058" t="s">
        <v>10754</v>
      </c>
      <c r="Q2058" t="s">
        <v>10770</v>
      </c>
      <c r="R2058" t="s">
        <v>10821</v>
      </c>
      <c r="T2058">
        <v>2400</v>
      </c>
      <c r="U2058">
        <v>200</v>
      </c>
      <c r="V2058">
        <v>40</v>
      </c>
      <c r="W2058">
        <v>1</v>
      </c>
      <c r="X2058">
        <v>0</v>
      </c>
      <c r="Y2058" t="s">
        <v>10829</v>
      </c>
      <c r="Z2058">
        <v>19.22</v>
      </c>
      <c r="AA2058">
        <v>40.726761</v>
      </c>
      <c r="AB2058">
        <v>-73.975386</v>
      </c>
      <c r="AD2058" t="s">
        <v>10840</v>
      </c>
      <c r="AG2058" t="s">
        <v>10858</v>
      </c>
      <c r="AH2058" t="s">
        <v>10861</v>
      </c>
      <c r="AI2058">
        <v>234</v>
      </c>
      <c r="AJ2058" t="s">
        <v>10214</v>
      </c>
      <c r="AK2058" t="s">
        <v>10837</v>
      </c>
      <c r="AL2058">
        <v>1.4</v>
      </c>
      <c r="AM2058" t="s">
        <v>10886</v>
      </c>
      <c r="AN2058" t="s">
        <v>10910</v>
      </c>
      <c r="AO2058" t="s">
        <v>11021</v>
      </c>
      <c r="AP2058" t="s">
        <v>11048</v>
      </c>
      <c r="AR2058" t="s">
        <v>11311</v>
      </c>
      <c r="AS2058" t="s">
        <v>9925</v>
      </c>
      <c r="AT2058" t="s">
        <v>11642</v>
      </c>
      <c r="AX2058" t="s">
        <v>10838</v>
      </c>
      <c r="AY2058" t="s">
        <v>10829</v>
      </c>
      <c r="AZ2058" t="s">
        <v>11683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</row>
    <row r="2059" spans="1:59">
      <c r="A2059" s="1">
        <f>HYPERLINK("https://lsnyc.legalserver.org/matter/dynamic-profile/view/1905980","19-1905980")</f>
        <v>0</v>
      </c>
      <c r="B2059" t="s">
        <v>1763</v>
      </c>
      <c r="C2059" t="s">
        <v>6556</v>
      </c>
      <c r="D2059" t="s">
        <v>9926</v>
      </c>
      <c r="E2059" t="s">
        <v>10075</v>
      </c>
      <c r="F2059">
        <v>10457</v>
      </c>
      <c r="G2059" t="s">
        <v>10090</v>
      </c>
      <c r="H2059" t="s">
        <v>10139</v>
      </c>
      <c r="I2059" t="s">
        <v>10168</v>
      </c>
      <c r="J2059" t="s">
        <v>10210</v>
      </c>
      <c r="K2059" t="s">
        <v>10217</v>
      </c>
      <c r="M2059" t="s">
        <v>10287</v>
      </c>
      <c r="N2059" t="s">
        <v>10671</v>
      </c>
      <c r="P2059" t="s">
        <v>10751</v>
      </c>
      <c r="Q2059" t="s">
        <v>10761</v>
      </c>
      <c r="R2059" t="s">
        <v>10824</v>
      </c>
      <c r="T2059">
        <v>16668</v>
      </c>
      <c r="U2059">
        <v>1389</v>
      </c>
      <c r="V2059">
        <v>33</v>
      </c>
      <c r="W2059">
        <v>2</v>
      </c>
      <c r="X2059">
        <v>5</v>
      </c>
      <c r="Z2059">
        <v>42.73</v>
      </c>
      <c r="AA2059">
        <v>40.848187</v>
      </c>
      <c r="AB2059">
        <v>-73.88755</v>
      </c>
      <c r="AD2059" t="s">
        <v>10839</v>
      </c>
      <c r="AG2059" t="s">
        <v>10858</v>
      </c>
      <c r="AH2059" t="s">
        <v>10862</v>
      </c>
      <c r="AI2059">
        <v>230</v>
      </c>
      <c r="AJ2059" t="s">
        <v>10210</v>
      </c>
      <c r="AL2059">
        <v>1.5</v>
      </c>
      <c r="AM2059" t="s">
        <v>10884</v>
      </c>
      <c r="AN2059" t="s">
        <v>10907</v>
      </c>
      <c r="AO2059" t="s">
        <v>11000</v>
      </c>
      <c r="AP2059" t="s">
        <v>11056</v>
      </c>
      <c r="AR2059" t="s">
        <v>11334</v>
      </c>
      <c r="AS2059" t="s">
        <v>9926</v>
      </c>
      <c r="AT2059" t="s">
        <v>11641</v>
      </c>
      <c r="AX2059" t="s">
        <v>10837</v>
      </c>
      <c r="BA2059" t="s">
        <v>11741</v>
      </c>
      <c r="BB2059">
        <v>0</v>
      </c>
      <c r="BC2059">
        <v>0</v>
      </c>
      <c r="BD2059">
        <v>0</v>
      </c>
      <c r="BE2059">
        <v>0</v>
      </c>
      <c r="BF2059">
        <v>1</v>
      </c>
      <c r="BG2059">
        <v>0</v>
      </c>
    </row>
    <row r="2060" spans="1:59">
      <c r="A2060" s="1">
        <f>HYPERLINK("https://lsnyc.legalserver.org/matter/dynamic-profile/view/1905981","19-1905981")</f>
        <v>0</v>
      </c>
      <c r="B2060" t="s">
        <v>1769</v>
      </c>
      <c r="C2060" t="s">
        <v>6563</v>
      </c>
      <c r="D2060" t="s">
        <v>9928</v>
      </c>
      <c r="E2060" t="s">
        <v>10075</v>
      </c>
      <c r="F2060">
        <v>11226</v>
      </c>
      <c r="G2060" t="s">
        <v>10093</v>
      </c>
      <c r="H2060" t="s">
        <v>10139</v>
      </c>
      <c r="I2060" t="s">
        <v>10168</v>
      </c>
      <c r="J2060" t="s">
        <v>10213</v>
      </c>
      <c r="K2060" t="s">
        <v>10218</v>
      </c>
      <c r="L2060" t="s">
        <v>10166</v>
      </c>
      <c r="M2060" t="s">
        <v>10315</v>
      </c>
      <c r="N2060" t="s">
        <v>10671</v>
      </c>
      <c r="P2060" t="s">
        <v>10750</v>
      </c>
      <c r="Q2060" t="s">
        <v>10778</v>
      </c>
      <c r="R2060" t="s">
        <v>10824</v>
      </c>
      <c r="T2060">
        <v>22668</v>
      </c>
      <c r="U2060">
        <v>1889</v>
      </c>
      <c r="V2060">
        <v>83</v>
      </c>
      <c r="W2060">
        <v>1</v>
      </c>
      <c r="X2060">
        <v>0</v>
      </c>
      <c r="Y2060" t="s">
        <v>10830</v>
      </c>
      <c r="Z2060">
        <v>181.49</v>
      </c>
      <c r="AA2060">
        <v>40.655149</v>
      </c>
      <c r="AB2060">
        <v>-73.95834600000001</v>
      </c>
      <c r="AD2060" t="s">
        <v>10840</v>
      </c>
      <c r="AG2060" t="s">
        <v>10858</v>
      </c>
      <c r="AH2060" t="s">
        <v>10871</v>
      </c>
      <c r="AI2060">
        <v>234</v>
      </c>
      <c r="AJ2060" t="s">
        <v>10214</v>
      </c>
      <c r="AK2060" t="s">
        <v>10838</v>
      </c>
      <c r="AL2060">
        <v>2.2</v>
      </c>
      <c r="AM2060" t="s">
        <v>10888</v>
      </c>
      <c r="AN2060" t="s">
        <v>10912</v>
      </c>
      <c r="AO2060" t="s">
        <v>11008</v>
      </c>
      <c r="AP2060" t="s">
        <v>11050</v>
      </c>
      <c r="AR2060" t="s">
        <v>11446</v>
      </c>
      <c r="AS2060" t="s">
        <v>11595</v>
      </c>
      <c r="AT2060" t="s">
        <v>11642</v>
      </c>
      <c r="AX2060" t="s">
        <v>10838</v>
      </c>
      <c r="AY2060" t="s">
        <v>10830</v>
      </c>
      <c r="AZ2060" t="s">
        <v>11679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</row>
    <row r="2061" spans="1:59">
      <c r="A2061" s="1">
        <f>HYPERLINK("https://lsnyc.legalserver.org/matter/dynamic-profile/view/1905982","19-1905982")</f>
        <v>0</v>
      </c>
      <c r="B2061" t="s">
        <v>1770</v>
      </c>
      <c r="C2061" t="s">
        <v>6564</v>
      </c>
      <c r="D2061" t="s">
        <v>9926</v>
      </c>
      <c r="E2061" t="s">
        <v>10075</v>
      </c>
      <c r="F2061">
        <v>10452</v>
      </c>
      <c r="G2061" t="s">
        <v>10089</v>
      </c>
      <c r="H2061" t="s">
        <v>10139</v>
      </c>
      <c r="I2061" t="s">
        <v>10169</v>
      </c>
      <c r="J2061" t="s">
        <v>10209</v>
      </c>
      <c r="K2061" t="s">
        <v>10217</v>
      </c>
      <c r="M2061" t="s">
        <v>10301</v>
      </c>
      <c r="N2061" t="s">
        <v>10665</v>
      </c>
      <c r="P2061" t="s">
        <v>10751</v>
      </c>
      <c r="Q2061" t="s">
        <v>10773</v>
      </c>
      <c r="R2061" t="s">
        <v>10821</v>
      </c>
      <c r="T2061">
        <v>23400</v>
      </c>
      <c r="U2061">
        <v>1950</v>
      </c>
      <c r="V2061">
        <v>64</v>
      </c>
      <c r="W2061">
        <v>1</v>
      </c>
      <c r="X2061">
        <v>0</v>
      </c>
      <c r="Z2061">
        <v>187.35</v>
      </c>
      <c r="AA2061">
        <v>40.836284</v>
      </c>
      <c r="AB2061">
        <v>-73.919127</v>
      </c>
      <c r="AD2061" t="s">
        <v>10839</v>
      </c>
      <c r="AG2061" t="s">
        <v>10858</v>
      </c>
      <c r="AH2061" t="s">
        <v>10871</v>
      </c>
      <c r="AI2061">
        <v>234</v>
      </c>
      <c r="AJ2061" t="s">
        <v>10214</v>
      </c>
      <c r="AL2061">
        <v>3</v>
      </c>
      <c r="AM2061" t="s">
        <v>10884</v>
      </c>
      <c r="AN2061" t="s">
        <v>10924</v>
      </c>
      <c r="AO2061" t="s">
        <v>11013</v>
      </c>
      <c r="AP2061" t="s">
        <v>11055</v>
      </c>
      <c r="AQ2061" t="s">
        <v>11115</v>
      </c>
      <c r="AR2061" t="s">
        <v>11257</v>
      </c>
      <c r="AS2061" t="s">
        <v>9926</v>
      </c>
      <c r="AT2061" t="s">
        <v>11641</v>
      </c>
      <c r="AX2061" t="s">
        <v>10838</v>
      </c>
      <c r="BA2061" t="s">
        <v>11741</v>
      </c>
      <c r="BB2061">
        <v>0</v>
      </c>
      <c r="BC2061">
        <v>0</v>
      </c>
      <c r="BD2061">
        <v>0</v>
      </c>
      <c r="BE2061">
        <v>0</v>
      </c>
      <c r="BF2061">
        <v>1</v>
      </c>
      <c r="BG2061">
        <v>0</v>
      </c>
    </row>
    <row r="2062" spans="1:59">
      <c r="A2062" s="1">
        <f>HYPERLINK("https://lsnyc.legalserver.org/matter/dynamic-profile/view/1905983","19-1905983")</f>
        <v>0</v>
      </c>
      <c r="B2062" t="s">
        <v>1771</v>
      </c>
      <c r="C2062" t="s">
        <v>6565</v>
      </c>
      <c r="D2062" t="s">
        <v>9929</v>
      </c>
      <c r="E2062" t="s">
        <v>10075</v>
      </c>
      <c r="F2062">
        <v>10301</v>
      </c>
      <c r="G2062" t="s">
        <v>10089</v>
      </c>
      <c r="H2062" t="s">
        <v>10139</v>
      </c>
      <c r="I2062" t="s">
        <v>10168</v>
      </c>
      <c r="J2062" t="s">
        <v>10209</v>
      </c>
      <c r="K2062" t="s">
        <v>10217</v>
      </c>
      <c r="M2062" t="s">
        <v>10301</v>
      </c>
      <c r="N2062" t="s">
        <v>10665</v>
      </c>
      <c r="P2062" t="s">
        <v>10751</v>
      </c>
      <c r="Q2062" t="s">
        <v>10773</v>
      </c>
      <c r="R2062" t="s">
        <v>10820</v>
      </c>
      <c r="T2062">
        <v>30000</v>
      </c>
      <c r="U2062">
        <v>2500</v>
      </c>
      <c r="V2062">
        <v>54</v>
      </c>
      <c r="W2062">
        <v>2</v>
      </c>
      <c r="X2062">
        <v>0</v>
      </c>
      <c r="Z2062">
        <v>177.41</v>
      </c>
      <c r="AA2062">
        <v>40.625975</v>
      </c>
      <c r="AB2062">
        <v>-74.091649</v>
      </c>
      <c r="AC2062" t="s">
        <v>10837</v>
      </c>
      <c r="AD2062" t="s">
        <v>10840</v>
      </c>
      <c r="AG2062" t="s">
        <v>10858</v>
      </c>
      <c r="AH2062" t="s">
        <v>10861</v>
      </c>
      <c r="AI2062">
        <v>234</v>
      </c>
      <c r="AJ2062" t="s">
        <v>10214</v>
      </c>
      <c r="AL2062">
        <v>9.85</v>
      </c>
      <c r="AM2062" t="s">
        <v>10883</v>
      </c>
      <c r="AN2062" t="s">
        <v>10913</v>
      </c>
      <c r="AO2062" t="s">
        <v>11006</v>
      </c>
      <c r="AP2062" t="s">
        <v>11051</v>
      </c>
      <c r="AQ2062" t="s">
        <v>11115</v>
      </c>
      <c r="AR2062" t="s">
        <v>11257</v>
      </c>
      <c r="AS2062" t="s">
        <v>11593</v>
      </c>
      <c r="AT2062" t="s">
        <v>11642</v>
      </c>
      <c r="AX2062" t="s">
        <v>10837</v>
      </c>
      <c r="BA2062" t="s">
        <v>11741</v>
      </c>
      <c r="BB2062">
        <v>0</v>
      </c>
      <c r="BC2062">
        <v>0</v>
      </c>
      <c r="BD2062">
        <v>0</v>
      </c>
      <c r="BE2062">
        <v>0</v>
      </c>
      <c r="BF2062">
        <v>1</v>
      </c>
      <c r="BG2062">
        <v>0</v>
      </c>
    </row>
    <row r="2063" spans="1:59">
      <c r="A2063" s="1">
        <f>HYPERLINK("https://lsnyc.legalserver.org/matter/dynamic-profile/view/1905984","19-1905984")</f>
        <v>0</v>
      </c>
      <c r="B2063" t="s">
        <v>1772</v>
      </c>
      <c r="C2063" t="s">
        <v>5401</v>
      </c>
      <c r="D2063" t="s">
        <v>9928</v>
      </c>
      <c r="E2063" t="s">
        <v>10075</v>
      </c>
      <c r="F2063">
        <v>11233</v>
      </c>
      <c r="G2063" t="s">
        <v>10093</v>
      </c>
      <c r="H2063" t="s">
        <v>10139</v>
      </c>
      <c r="I2063" t="s">
        <v>10168</v>
      </c>
      <c r="J2063" t="s">
        <v>10213</v>
      </c>
      <c r="K2063" t="s">
        <v>10217</v>
      </c>
      <c r="M2063" t="s">
        <v>10556</v>
      </c>
      <c r="N2063" t="s">
        <v>10650</v>
      </c>
      <c r="P2063" t="s">
        <v>10749</v>
      </c>
      <c r="Q2063" t="s">
        <v>10765</v>
      </c>
      <c r="R2063" t="s">
        <v>10822</v>
      </c>
      <c r="T2063">
        <v>105000</v>
      </c>
      <c r="U2063">
        <v>8750</v>
      </c>
      <c r="V2063">
        <v>71</v>
      </c>
      <c r="W2063">
        <v>2</v>
      </c>
      <c r="X2063">
        <v>0</v>
      </c>
      <c r="Z2063">
        <v>620.9299999999999</v>
      </c>
      <c r="AA2063">
        <v>40.675515</v>
      </c>
      <c r="AB2063">
        <v>-73.911641</v>
      </c>
      <c r="AD2063" t="s">
        <v>10840</v>
      </c>
      <c r="AG2063" t="s">
        <v>10858</v>
      </c>
      <c r="AH2063" t="s">
        <v>10862</v>
      </c>
      <c r="AI2063">
        <v>239</v>
      </c>
      <c r="AJ2063" t="s">
        <v>10213</v>
      </c>
      <c r="AL2063">
        <v>0</v>
      </c>
      <c r="AM2063" t="s">
        <v>10889</v>
      </c>
      <c r="AN2063" t="s">
        <v>10922</v>
      </c>
      <c r="AO2063" t="s">
        <v>11007</v>
      </c>
      <c r="AP2063" t="s">
        <v>11064</v>
      </c>
      <c r="AR2063" t="s">
        <v>11257</v>
      </c>
      <c r="AS2063" t="s">
        <v>11595</v>
      </c>
      <c r="AT2063" t="s">
        <v>10822</v>
      </c>
      <c r="AX2063" t="s">
        <v>11678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</row>
    <row r="2064" spans="1:59">
      <c r="A2064" s="1">
        <f>HYPERLINK("https://lsnyc.legalserver.org/matter/dynamic-profile/view/1905985","19-1905985")</f>
        <v>0</v>
      </c>
      <c r="C2064" t="s">
        <v>6566</v>
      </c>
      <c r="D2064" t="s">
        <v>9925</v>
      </c>
      <c r="E2064" t="s">
        <v>10075</v>
      </c>
      <c r="F2064">
        <v>10040</v>
      </c>
      <c r="G2064" t="s">
        <v>10089</v>
      </c>
      <c r="H2064" t="s">
        <v>10139</v>
      </c>
      <c r="J2064" t="s">
        <v>10209</v>
      </c>
      <c r="K2064" t="s">
        <v>10217</v>
      </c>
      <c r="M2064" t="s">
        <v>10490</v>
      </c>
      <c r="N2064" t="s">
        <v>10718</v>
      </c>
      <c r="T2064">
        <v>0</v>
      </c>
      <c r="U2064">
        <v>0</v>
      </c>
      <c r="V2064">
        <v>0</v>
      </c>
      <c r="W2064">
        <v>0</v>
      </c>
      <c r="X2064">
        <v>0</v>
      </c>
      <c r="Z2064">
        <v>0</v>
      </c>
      <c r="AA2064">
        <v>40.863962</v>
      </c>
      <c r="AB2064">
        <v>-73.933043</v>
      </c>
      <c r="AH2064" t="s">
        <v>10879</v>
      </c>
      <c r="AI2064">
        <v>236</v>
      </c>
      <c r="AJ2064" t="s">
        <v>10209</v>
      </c>
      <c r="AL2064">
        <v>29.5</v>
      </c>
      <c r="AS2064" t="s">
        <v>9925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</row>
    <row r="2065" spans="1:59">
      <c r="A2065" s="1">
        <f>HYPERLINK("https://lsnyc.legalserver.org/matter/dynamic-profile/view/1905987","19-1905987")</f>
        <v>0</v>
      </c>
      <c r="B2065" t="s">
        <v>1773</v>
      </c>
      <c r="C2065" t="s">
        <v>6567</v>
      </c>
      <c r="D2065" t="s">
        <v>9925</v>
      </c>
      <c r="E2065" t="s">
        <v>10075</v>
      </c>
      <c r="F2065">
        <v>10037</v>
      </c>
      <c r="G2065" t="s">
        <v>10089</v>
      </c>
      <c r="H2065" t="s">
        <v>10139</v>
      </c>
      <c r="I2065" t="s">
        <v>10168</v>
      </c>
      <c r="J2065" t="s">
        <v>10209</v>
      </c>
      <c r="K2065" t="s">
        <v>10217</v>
      </c>
      <c r="M2065" t="s">
        <v>10379</v>
      </c>
      <c r="N2065" t="s">
        <v>10703</v>
      </c>
      <c r="P2065" t="s">
        <v>10749</v>
      </c>
      <c r="Q2065" t="s">
        <v>10767</v>
      </c>
      <c r="R2065" t="s">
        <v>10824</v>
      </c>
      <c r="T2065">
        <v>7030</v>
      </c>
      <c r="U2065">
        <v>585.83</v>
      </c>
      <c r="V2065">
        <v>47</v>
      </c>
      <c r="W2065">
        <v>4</v>
      </c>
      <c r="X2065">
        <v>2</v>
      </c>
      <c r="Z2065">
        <v>20.32</v>
      </c>
      <c r="AA2065">
        <v>40.811401</v>
      </c>
      <c r="AB2065">
        <v>-73.935316</v>
      </c>
      <c r="AD2065" t="s">
        <v>10839</v>
      </c>
      <c r="AG2065" t="s">
        <v>10858</v>
      </c>
      <c r="AH2065" t="s">
        <v>10861</v>
      </c>
      <c r="AI2065">
        <v>236</v>
      </c>
      <c r="AJ2065" t="s">
        <v>10209</v>
      </c>
      <c r="AL2065">
        <v>0.1</v>
      </c>
      <c r="AM2065" t="s">
        <v>10887</v>
      </c>
      <c r="AN2065" t="s">
        <v>10936</v>
      </c>
      <c r="AO2065" t="s">
        <v>11016</v>
      </c>
      <c r="AP2065" t="s">
        <v>11076</v>
      </c>
      <c r="AR2065" t="s">
        <v>11447</v>
      </c>
      <c r="AS2065" t="s">
        <v>9925</v>
      </c>
      <c r="BA2065" t="s">
        <v>11741</v>
      </c>
      <c r="BB2065">
        <v>0</v>
      </c>
      <c r="BC2065">
        <v>0</v>
      </c>
      <c r="BD2065">
        <v>0</v>
      </c>
      <c r="BE2065">
        <v>0</v>
      </c>
      <c r="BF2065">
        <v>1</v>
      </c>
      <c r="BG2065">
        <v>0</v>
      </c>
    </row>
    <row r="2066" spans="1:59">
      <c r="A2066" s="1">
        <f>HYPERLINK("https://lsnyc.legalserver.org/matter/dynamic-profile/view/1905988","19-1905988")</f>
        <v>0</v>
      </c>
      <c r="B2066" t="s">
        <v>1774</v>
      </c>
      <c r="C2066" t="s">
        <v>6568</v>
      </c>
      <c r="D2066" t="s">
        <v>9928</v>
      </c>
      <c r="E2066" t="s">
        <v>10075</v>
      </c>
      <c r="F2066">
        <v>11214</v>
      </c>
      <c r="G2066" t="s">
        <v>10093</v>
      </c>
      <c r="H2066" t="s">
        <v>10139</v>
      </c>
      <c r="I2066" t="s">
        <v>10171</v>
      </c>
      <c r="J2066" t="s">
        <v>10213</v>
      </c>
      <c r="K2066" t="s">
        <v>10217</v>
      </c>
      <c r="M2066" t="s">
        <v>10521</v>
      </c>
      <c r="N2066" t="s">
        <v>10732</v>
      </c>
      <c r="P2066" t="s">
        <v>10754</v>
      </c>
      <c r="Q2066" t="s">
        <v>10775</v>
      </c>
      <c r="R2066" t="s">
        <v>10820</v>
      </c>
      <c r="T2066">
        <v>17000</v>
      </c>
      <c r="U2066">
        <v>1416.67</v>
      </c>
      <c r="V2066">
        <v>48</v>
      </c>
      <c r="W2066">
        <v>2</v>
      </c>
      <c r="X2066">
        <v>1</v>
      </c>
      <c r="Z2066">
        <v>79.7</v>
      </c>
      <c r="AA2066">
        <v>40.606889</v>
      </c>
      <c r="AB2066">
        <v>-73.965521</v>
      </c>
      <c r="AD2066" t="s">
        <v>10839</v>
      </c>
      <c r="AG2066" t="s">
        <v>10858</v>
      </c>
      <c r="AH2066" t="s">
        <v>10865</v>
      </c>
      <c r="AI2066">
        <v>239</v>
      </c>
      <c r="AJ2066" t="s">
        <v>10213</v>
      </c>
      <c r="AL2066">
        <v>2.25</v>
      </c>
      <c r="AM2066" t="s">
        <v>10883</v>
      </c>
      <c r="AN2066" t="s">
        <v>10969</v>
      </c>
      <c r="AO2066" t="s">
        <v>11006</v>
      </c>
      <c r="AP2066" t="s">
        <v>11087</v>
      </c>
      <c r="AR2066" t="s">
        <v>11257</v>
      </c>
      <c r="AS2066" t="s">
        <v>11595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</row>
    <row r="2067" spans="1:59">
      <c r="A2067" s="1">
        <f>HYPERLINK("https://lsnyc.legalserver.org/matter/dynamic-profile/view/1905989","19-1905989")</f>
        <v>0</v>
      </c>
      <c r="B2067" t="s">
        <v>1775</v>
      </c>
      <c r="C2067" t="s">
        <v>6569</v>
      </c>
      <c r="D2067" t="s">
        <v>9938</v>
      </c>
      <c r="E2067" t="s">
        <v>10075</v>
      </c>
      <c r="F2067">
        <v>11435</v>
      </c>
      <c r="G2067" t="s">
        <v>10092</v>
      </c>
      <c r="H2067" t="s">
        <v>10139</v>
      </c>
      <c r="I2067" t="s">
        <v>10169</v>
      </c>
      <c r="J2067" t="s">
        <v>10212</v>
      </c>
      <c r="K2067" t="s">
        <v>10217</v>
      </c>
      <c r="M2067" t="s">
        <v>10413</v>
      </c>
      <c r="N2067" t="s">
        <v>10709</v>
      </c>
      <c r="P2067" t="s">
        <v>10754</v>
      </c>
      <c r="Q2067" t="s">
        <v>10766</v>
      </c>
      <c r="R2067" t="s">
        <v>10823</v>
      </c>
      <c r="T2067">
        <v>0</v>
      </c>
      <c r="U2067">
        <v>0</v>
      </c>
      <c r="V2067">
        <v>33</v>
      </c>
      <c r="W2067">
        <v>1</v>
      </c>
      <c r="X2067">
        <v>2</v>
      </c>
      <c r="Z2067">
        <v>0</v>
      </c>
      <c r="AA2067">
        <v>40.703272</v>
      </c>
      <c r="AB2067">
        <v>-73.813946</v>
      </c>
      <c r="AD2067" t="s">
        <v>10839</v>
      </c>
      <c r="AF2067" t="s">
        <v>10842</v>
      </c>
      <c r="AG2067" t="s">
        <v>10859</v>
      </c>
      <c r="AH2067" t="s">
        <v>10864</v>
      </c>
      <c r="AI2067">
        <v>237</v>
      </c>
      <c r="AJ2067" t="s">
        <v>10212</v>
      </c>
      <c r="AL2067">
        <v>32.5</v>
      </c>
      <c r="AM2067" t="s">
        <v>10890</v>
      </c>
      <c r="AN2067" t="s">
        <v>10944</v>
      </c>
      <c r="AO2067" t="s">
        <v>11020</v>
      </c>
      <c r="AP2067" t="s">
        <v>11081</v>
      </c>
      <c r="AR2067" t="s">
        <v>11267</v>
      </c>
      <c r="AS2067" t="s">
        <v>11594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</row>
    <row r="2068" spans="1:59">
      <c r="A2068" s="1">
        <f>HYPERLINK("https://lsnyc.legalserver.org/matter/dynamic-profile/view/1905990","19-1905990")</f>
        <v>0</v>
      </c>
      <c r="B2068" t="s">
        <v>1776</v>
      </c>
      <c r="C2068" t="s">
        <v>6570</v>
      </c>
      <c r="D2068" t="s">
        <v>9928</v>
      </c>
      <c r="E2068" t="s">
        <v>10075</v>
      </c>
      <c r="F2068">
        <v>11236</v>
      </c>
      <c r="G2068" t="s">
        <v>10093</v>
      </c>
      <c r="H2068" t="s">
        <v>10139</v>
      </c>
      <c r="I2068" t="s">
        <v>10168</v>
      </c>
      <c r="J2068" t="s">
        <v>10213</v>
      </c>
      <c r="K2068" t="s">
        <v>10217</v>
      </c>
      <c r="M2068" t="s">
        <v>10268</v>
      </c>
      <c r="N2068" t="s">
        <v>10664</v>
      </c>
      <c r="P2068" t="s">
        <v>10749</v>
      </c>
      <c r="Q2068" t="s">
        <v>10765</v>
      </c>
      <c r="R2068" t="s">
        <v>10824</v>
      </c>
      <c r="T2068">
        <v>4296</v>
      </c>
      <c r="U2068">
        <v>358</v>
      </c>
      <c r="V2068">
        <v>40</v>
      </c>
      <c r="W2068">
        <v>1</v>
      </c>
      <c r="X2068">
        <v>2</v>
      </c>
      <c r="Z2068">
        <v>20.14</v>
      </c>
      <c r="AA2068">
        <v>40.630953</v>
      </c>
      <c r="AB2068">
        <v>-73.909092</v>
      </c>
      <c r="AD2068" t="s">
        <v>10839</v>
      </c>
      <c r="AF2068" t="s">
        <v>10843</v>
      </c>
      <c r="AG2068" t="s">
        <v>10859</v>
      </c>
      <c r="AH2068" t="s">
        <v>10862</v>
      </c>
      <c r="AI2068">
        <v>239</v>
      </c>
      <c r="AJ2068" t="s">
        <v>10213</v>
      </c>
      <c r="AK2068" t="s">
        <v>10837</v>
      </c>
      <c r="AL2068">
        <v>10.4</v>
      </c>
      <c r="AM2068" t="s">
        <v>10889</v>
      </c>
      <c r="AN2068" t="s">
        <v>10959</v>
      </c>
      <c r="AO2068" t="s">
        <v>11012</v>
      </c>
      <c r="AP2068" t="s">
        <v>11072</v>
      </c>
      <c r="AR2068" t="s">
        <v>11263</v>
      </c>
      <c r="AS2068" t="s">
        <v>11595</v>
      </c>
      <c r="AX2068" t="s">
        <v>10838</v>
      </c>
      <c r="BA2068" t="s">
        <v>11738</v>
      </c>
      <c r="BB2068">
        <v>0</v>
      </c>
      <c r="BC2068">
        <v>0</v>
      </c>
      <c r="BD2068">
        <v>0</v>
      </c>
      <c r="BE2068">
        <v>0</v>
      </c>
      <c r="BF2068">
        <v>5</v>
      </c>
      <c r="BG2068">
        <v>0</v>
      </c>
    </row>
    <row r="2069" spans="1:59">
      <c r="A2069" s="1">
        <f>HYPERLINK("https://lsnyc.legalserver.org/matter/dynamic-profile/view/1905991","19-1905991")</f>
        <v>0</v>
      </c>
      <c r="B2069" t="s">
        <v>447</v>
      </c>
      <c r="C2069" t="s">
        <v>5499</v>
      </c>
      <c r="D2069" t="s">
        <v>9928</v>
      </c>
      <c r="E2069" t="s">
        <v>10075</v>
      </c>
      <c r="F2069">
        <v>11233</v>
      </c>
      <c r="G2069" t="s">
        <v>10093</v>
      </c>
      <c r="H2069" t="s">
        <v>10139</v>
      </c>
      <c r="I2069" t="s">
        <v>10168</v>
      </c>
      <c r="J2069" t="s">
        <v>10213</v>
      </c>
      <c r="K2069" t="s">
        <v>10217</v>
      </c>
      <c r="M2069" t="s">
        <v>10556</v>
      </c>
      <c r="N2069" t="s">
        <v>10650</v>
      </c>
      <c r="P2069" t="s">
        <v>10749</v>
      </c>
      <c r="Q2069" t="s">
        <v>10765</v>
      </c>
      <c r="R2069" t="s">
        <v>10822</v>
      </c>
      <c r="T2069">
        <v>30000</v>
      </c>
      <c r="U2069">
        <v>2500</v>
      </c>
      <c r="V2069">
        <v>57</v>
      </c>
      <c r="W2069">
        <v>4</v>
      </c>
      <c r="X2069">
        <v>1</v>
      </c>
      <c r="Z2069">
        <v>99.44</v>
      </c>
      <c r="AA2069">
        <v>40.67567</v>
      </c>
      <c r="AB2069">
        <v>-73.91365</v>
      </c>
      <c r="AD2069" t="s">
        <v>10839</v>
      </c>
      <c r="AG2069" t="s">
        <v>10858</v>
      </c>
      <c r="AH2069" t="s">
        <v>10862</v>
      </c>
      <c r="AI2069">
        <v>239</v>
      </c>
      <c r="AJ2069" t="s">
        <v>10213</v>
      </c>
      <c r="AL2069">
        <v>0</v>
      </c>
      <c r="AM2069" t="s">
        <v>10889</v>
      </c>
      <c r="AN2069" t="s">
        <v>10922</v>
      </c>
      <c r="AO2069" t="s">
        <v>11007</v>
      </c>
      <c r="AP2069" t="s">
        <v>11064</v>
      </c>
      <c r="AQ2069" t="s">
        <v>11147</v>
      </c>
      <c r="AR2069" t="s">
        <v>11257</v>
      </c>
      <c r="AS2069" t="s">
        <v>11595</v>
      </c>
      <c r="AT2069" t="s">
        <v>10822</v>
      </c>
      <c r="AX2069" t="s">
        <v>11678</v>
      </c>
      <c r="BA2069" t="s">
        <v>11740</v>
      </c>
      <c r="BB2069">
        <v>0</v>
      </c>
      <c r="BC2069">
        <v>0</v>
      </c>
      <c r="BD2069">
        <v>0</v>
      </c>
      <c r="BE2069">
        <v>0</v>
      </c>
      <c r="BF2069">
        <v>2</v>
      </c>
      <c r="BG2069">
        <v>0</v>
      </c>
    </row>
    <row r="2070" spans="1:59">
      <c r="A2070" s="1">
        <f>HYPERLINK("https://lsnyc.legalserver.org/matter/dynamic-profile/view/1905992","19-1905992")</f>
        <v>0</v>
      </c>
      <c r="B2070" t="s">
        <v>1777</v>
      </c>
      <c r="C2070" t="s">
        <v>6571</v>
      </c>
      <c r="D2070" t="s">
        <v>9926</v>
      </c>
      <c r="E2070" t="s">
        <v>10075</v>
      </c>
      <c r="F2070">
        <v>10457</v>
      </c>
      <c r="G2070" t="s">
        <v>10090</v>
      </c>
      <c r="H2070" t="s">
        <v>10139</v>
      </c>
      <c r="I2070" t="s">
        <v>10169</v>
      </c>
      <c r="J2070" t="s">
        <v>10210</v>
      </c>
      <c r="K2070" t="s">
        <v>10218</v>
      </c>
      <c r="L2070" t="s">
        <v>10156</v>
      </c>
      <c r="M2070" t="s">
        <v>10297</v>
      </c>
      <c r="N2070" t="s">
        <v>10651</v>
      </c>
      <c r="P2070" t="s">
        <v>10749</v>
      </c>
      <c r="Q2070" t="s">
        <v>10765</v>
      </c>
      <c r="R2070" t="s">
        <v>10823</v>
      </c>
      <c r="T2070">
        <v>11040</v>
      </c>
      <c r="U2070">
        <v>920</v>
      </c>
      <c r="V2070">
        <v>35</v>
      </c>
      <c r="W2070">
        <v>2</v>
      </c>
      <c r="X2070">
        <v>1</v>
      </c>
      <c r="Y2070" t="s">
        <v>10831</v>
      </c>
      <c r="Z2070">
        <v>51.76</v>
      </c>
      <c r="AA2070">
        <v>40.848164</v>
      </c>
      <c r="AB2070">
        <v>-73.905849</v>
      </c>
      <c r="AD2070" t="s">
        <v>10840</v>
      </c>
      <c r="AF2070" t="s">
        <v>10852</v>
      </c>
      <c r="AG2070" t="s">
        <v>10859</v>
      </c>
      <c r="AH2070" t="s">
        <v>10861</v>
      </c>
      <c r="AI2070">
        <v>230</v>
      </c>
      <c r="AJ2070" t="s">
        <v>10210</v>
      </c>
      <c r="AK2070" t="s">
        <v>10882</v>
      </c>
      <c r="AL2070">
        <v>4.7</v>
      </c>
      <c r="AM2070" t="s">
        <v>10884</v>
      </c>
      <c r="AN2070" t="s">
        <v>10931</v>
      </c>
      <c r="AO2070" t="s">
        <v>11000</v>
      </c>
      <c r="AP2070" t="s">
        <v>11056</v>
      </c>
      <c r="AR2070" t="s">
        <v>11257</v>
      </c>
      <c r="AS2070" t="s">
        <v>9926</v>
      </c>
      <c r="AT2070" t="s">
        <v>11642</v>
      </c>
      <c r="AX2070" t="s">
        <v>10838</v>
      </c>
      <c r="AY2070" t="s">
        <v>10831</v>
      </c>
      <c r="AZ2070" t="s">
        <v>11687</v>
      </c>
      <c r="BA2070" t="s">
        <v>11738</v>
      </c>
      <c r="BB2070">
        <v>0</v>
      </c>
      <c r="BC2070">
        <v>0</v>
      </c>
      <c r="BD2070">
        <v>0</v>
      </c>
      <c r="BE2070">
        <v>0</v>
      </c>
      <c r="BF2070">
        <v>5</v>
      </c>
      <c r="BG2070">
        <v>0</v>
      </c>
    </row>
    <row r="2071" spans="1:59">
      <c r="A2071" s="1">
        <f>HYPERLINK("https://lsnyc.legalserver.org/matter/dynamic-profile/view/1905993","19-1905993")</f>
        <v>0</v>
      </c>
      <c r="B2071" t="s">
        <v>1457</v>
      </c>
      <c r="C2071" t="s">
        <v>6572</v>
      </c>
      <c r="D2071" t="s">
        <v>9938</v>
      </c>
      <c r="E2071" t="s">
        <v>10075</v>
      </c>
      <c r="F2071">
        <v>11435</v>
      </c>
      <c r="G2071" t="s">
        <v>10092</v>
      </c>
      <c r="H2071" t="s">
        <v>10139</v>
      </c>
      <c r="I2071" t="s">
        <v>10169</v>
      </c>
      <c r="J2071" t="s">
        <v>10212</v>
      </c>
      <c r="K2071" t="s">
        <v>10217</v>
      </c>
      <c r="M2071" t="s">
        <v>10325</v>
      </c>
      <c r="N2071" t="s">
        <v>10671</v>
      </c>
      <c r="P2071" t="s">
        <v>10757</v>
      </c>
      <c r="Q2071" t="s">
        <v>10789</v>
      </c>
      <c r="R2071" t="s">
        <v>10821</v>
      </c>
      <c r="T2071">
        <v>0</v>
      </c>
      <c r="U2071">
        <v>0</v>
      </c>
      <c r="V2071">
        <v>72</v>
      </c>
      <c r="W2071">
        <v>1</v>
      </c>
      <c r="X2071">
        <v>0</v>
      </c>
      <c r="Z2071">
        <v>0</v>
      </c>
      <c r="AA2071">
        <v>40.707052</v>
      </c>
      <c r="AB2071">
        <v>-73.814572</v>
      </c>
      <c r="AD2071" t="s">
        <v>10839</v>
      </c>
      <c r="AF2071" t="s">
        <v>10843</v>
      </c>
      <c r="AG2071" t="s">
        <v>10859</v>
      </c>
      <c r="AH2071" t="s">
        <v>10861</v>
      </c>
      <c r="AI2071">
        <v>234</v>
      </c>
      <c r="AJ2071" t="s">
        <v>10214</v>
      </c>
      <c r="AL2071">
        <v>3.45</v>
      </c>
      <c r="AM2071" t="s">
        <v>10890</v>
      </c>
      <c r="AN2071" t="s">
        <v>10944</v>
      </c>
      <c r="AO2071" t="s">
        <v>11022</v>
      </c>
      <c r="AP2071" t="s">
        <v>11081</v>
      </c>
      <c r="AQ2071" t="s">
        <v>11121</v>
      </c>
      <c r="AR2071" t="s">
        <v>11267</v>
      </c>
      <c r="AS2071" t="s">
        <v>11594</v>
      </c>
      <c r="AT2071" t="s">
        <v>11641</v>
      </c>
      <c r="AX2071" t="s">
        <v>10838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</row>
    <row r="2072" spans="1:59">
      <c r="A2072" s="1">
        <f>HYPERLINK("https://lsnyc.legalserver.org/matter/dynamic-profile/view/1905994","19-1905994")</f>
        <v>0</v>
      </c>
      <c r="B2072" t="s">
        <v>1100</v>
      </c>
      <c r="C2072" t="s">
        <v>6573</v>
      </c>
      <c r="D2072" t="s">
        <v>9926</v>
      </c>
      <c r="E2072" t="s">
        <v>10075</v>
      </c>
      <c r="F2072">
        <v>10460</v>
      </c>
      <c r="G2072" t="s">
        <v>10090</v>
      </c>
      <c r="H2072" t="s">
        <v>10121</v>
      </c>
      <c r="I2072" t="s">
        <v>10168</v>
      </c>
      <c r="J2072" t="s">
        <v>10210</v>
      </c>
      <c r="K2072" t="s">
        <v>10217</v>
      </c>
      <c r="M2072" t="s">
        <v>10561</v>
      </c>
      <c r="N2072" t="s">
        <v>10646</v>
      </c>
      <c r="O2072" t="s">
        <v>10683</v>
      </c>
      <c r="P2072" t="s">
        <v>10754</v>
      </c>
      <c r="Q2072" t="s">
        <v>10766</v>
      </c>
      <c r="R2072" t="s">
        <v>10824</v>
      </c>
      <c r="T2072">
        <v>0</v>
      </c>
      <c r="U2072">
        <v>0</v>
      </c>
      <c r="V2072">
        <v>27</v>
      </c>
      <c r="W2072">
        <v>1</v>
      </c>
      <c r="X2072">
        <v>2</v>
      </c>
      <c r="Z2072">
        <v>0</v>
      </c>
      <c r="AA2072">
        <v>40.835952</v>
      </c>
      <c r="AB2072">
        <v>-73.888857</v>
      </c>
      <c r="AD2072" t="s">
        <v>10839</v>
      </c>
      <c r="AG2072" t="s">
        <v>10858</v>
      </c>
      <c r="AH2072" t="s">
        <v>10865</v>
      </c>
      <c r="AI2072">
        <v>230</v>
      </c>
      <c r="AJ2072" t="s">
        <v>10210</v>
      </c>
      <c r="AL2072">
        <v>3.25</v>
      </c>
      <c r="AM2072" t="s">
        <v>10884</v>
      </c>
      <c r="AN2072" t="s">
        <v>10918</v>
      </c>
      <c r="AO2072" t="s">
        <v>11001</v>
      </c>
      <c r="AP2072" t="s">
        <v>11062</v>
      </c>
      <c r="AQ2072" t="s">
        <v>11112</v>
      </c>
      <c r="AR2072" t="s">
        <v>11266</v>
      </c>
      <c r="AS2072" t="s">
        <v>9926</v>
      </c>
      <c r="AT2072" t="s">
        <v>11641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</row>
    <row r="2073" spans="1:59">
      <c r="A2073" s="1">
        <f>HYPERLINK("https://lsnyc.legalserver.org/matter/dynamic-profile/view/1905995","19-1905995")</f>
        <v>0</v>
      </c>
      <c r="B2073" t="s">
        <v>1778</v>
      </c>
      <c r="C2073" t="s">
        <v>6574</v>
      </c>
      <c r="D2073" t="s">
        <v>10006</v>
      </c>
      <c r="E2073" t="s">
        <v>10081</v>
      </c>
      <c r="F2073">
        <v>6516</v>
      </c>
      <c r="G2073" t="s">
        <v>10092</v>
      </c>
      <c r="H2073" t="s">
        <v>10139</v>
      </c>
      <c r="I2073" t="s">
        <v>10168</v>
      </c>
      <c r="J2073" t="s">
        <v>10212</v>
      </c>
      <c r="K2073" t="s">
        <v>10217</v>
      </c>
      <c r="M2073" t="s">
        <v>10530</v>
      </c>
      <c r="N2073" t="s">
        <v>10678</v>
      </c>
      <c r="P2073" t="s">
        <v>10749</v>
      </c>
      <c r="Q2073" t="s">
        <v>10769</v>
      </c>
      <c r="R2073" t="s">
        <v>10824</v>
      </c>
      <c r="T2073">
        <v>27625.52</v>
      </c>
      <c r="U2073">
        <v>2302.13</v>
      </c>
      <c r="V2073">
        <v>61</v>
      </c>
      <c r="W2073">
        <v>1</v>
      </c>
      <c r="X2073">
        <v>0</v>
      </c>
      <c r="Z2073">
        <v>221.18</v>
      </c>
      <c r="AA2073">
        <v>41.276757</v>
      </c>
      <c r="AB2073">
        <v>-72.957859</v>
      </c>
      <c r="AD2073" t="s">
        <v>10839</v>
      </c>
      <c r="AG2073" t="s">
        <v>10858</v>
      </c>
      <c r="AH2073" t="s">
        <v>10861</v>
      </c>
      <c r="AI2073">
        <v>234</v>
      </c>
      <c r="AJ2073" t="s">
        <v>10214</v>
      </c>
      <c r="AL2073">
        <v>1.6</v>
      </c>
      <c r="AR2073" t="s">
        <v>11257</v>
      </c>
      <c r="AS2073" t="s">
        <v>11615</v>
      </c>
      <c r="AT2073" t="s">
        <v>11641</v>
      </c>
      <c r="AX2073" t="s">
        <v>10838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</row>
    <row r="2074" spans="1:59">
      <c r="A2074" s="1">
        <f>HYPERLINK("https://lsnyc.legalserver.org/matter/dynamic-profile/view/1905997","19-1905997")</f>
        <v>0</v>
      </c>
      <c r="B2074" t="s">
        <v>1779</v>
      </c>
      <c r="C2074" t="s">
        <v>6575</v>
      </c>
      <c r="D2074" t="s">
        <v>9926</v>
      </c>
      <c r="E2074" t="s">
        <v>10075</v>
      </c>
      <c r="F2074">
        <v>10462</v>
      </c>
      <c r="G2074" t="s">
        <v>10091</v>
      </c>
      <c r="H2074" t="s">
        <v>10144</v>
      </c>
      <c r="I2074" t="s">
        <v>10169</v>
      </c>
      <c r="J2074" t="s">
        <v>10214</v>
      </c>
      <c r="K2074" t="s">
        <v>10217</v>
      </c>
      <c r="M2074" t="s">
        <v>10537</v>
      </c>
      <c r="N2074" t="s">
        <v>10671</v>
      </c>
      <c r="P2074" t="s">
        <v>10753</v>
      </c>
      <c r="Q2074" t="s">
        <v>10763</v>
      </c>
      <c r="R2074" t="s">
        <v>10823</v>
      </c>
      <c r="T2074">
        <v>0</v>
      </c>
      <c r="U2074">
        <v>0</v>
      </c>
      <c r="V2074">
        <v>28</v>
      </c>
      <c r="W2074">
        <v>1</v>
      </c>
      <c r="X2074">
        <v>0</v>
      </c>
      <c r="Z2074">
        <v>0</v>
      </c>
      <c r="AA2074">
        <v>40.835508</v>
      </c>
      <c r="AB2074">
        <v>-73.84881</v>
      </c>
      <c r="AD2074" t="s">
        <v>10840</v>
      </c>
      <c r="AF2074" t="s">
        <v>10848</v>
      </c>
      <c r="AG2074" t="s">
        <v>10859</v>
      </c>
      <c r="AH2074" t="s">
        <v>10864</v>
      </c>
      <c r="AI2074">
        <v>239</v>
      </c>
      <c r="AJ2074" t="s">
        <v>10213</v>
      </c>
      <c r="AL2074">
        <v>1.9</v>
      </c>
      <c r="AM2074" t="s">
        <v>10885</v>
      </c>
      <c r="AN2074" t="s">
        <v>10911</v>
      </c>
      <c r="AO2074" t="s">
        <v>11002</v>
      </c>
      <c r="AP2074" t="s">
        <v>11046</v>
      </c>
      <c r="AQ2074" t="s">
        <v>11204</v>
      </c>
      <c r="AR2074" t="s">
        <v>11267</v>
      </c>
      <c r="AS2074" t="s">
        <v>9926</v>
      </c>
      <c r="BA2074" t="s">
        <v>11742</v>
      </c>
      <c r="BB2074">
        <v>0</v>
      </c>
      <c r="BC2074">
        <v>0</v>
      </c>
      <c r="BD2074">
        <v>0</v>
      </c>
      <c r="BE2074">
        <v>0</v>
      </c>
      <c r="BF2074">
        <v>7</v>
      </c>
      <c r="BG2074">
        <v>0</v>
      </c>
    </row>
    <row r="2075" spans="1:59">
      <c r="A2075" s="1">
        <f>HYPERLINK("https://lsnyc.legalserver.org/matter/dynamic-profile/view/1905998","19-1905998")</f>
        <v>0</v>
      </c>
      <c r="B2075" t="s">
        <v>1780</v>
      </c>
      <c r="C2075" t="s">
        <v>6576</v>
      </c>
      <c r="D2075" t="s">
        <v>9936</v>
      </c>
      <c r="E2075" t="s">
        <v>10075</v>
      </c>
      <c r="F2075">
        <v>11102</v>
      </c>
      <c r="G2075" t="s">
        <v>10092</v>
      </c>
      <c r="H2075" t="s">
        <v>10121</v>
      </c>
      <c r="I2075" t="s">
        <v>10189</v>
      </c>
      <c r="J2075" t="s">
        <v>10212</v>
      </c>
      <c r="K2075" t="s">
        <v>10218</v>
      </c>
      <c r="L2075" t="s">
        <v>10160</v>
      </c>
      <c r="M2075" t="s">
        <v>10269</v>
      </c>
      <c r="N2075" t="s">
        <v>10669</v>
      </c>
      <c r="P2075" t="s">
        <v>10754</v>
      </c>
      <c r="Q2075" t="s">
        <v>10766</v>
      </c>
      <c r="R2075" t="s">
        <v>10827</v>
      </c>
      <c r="T2075">
        <v>31200</v>
      </c>
      <c r="U2075">
        <v>2600</v>
      </c>
      <c r="V2075">
        <v>36</v>
      </c>
      <c r="W2075">
        <v>1</v>
      </c>
      <c r="X2075">
        <v>0</v>
      </c>
      <c r="Y2075" t="s">
        <v>10829</v>
      </c>
      <c r="Z2075">
        <v>249.8</v>
      </c>
      <c r="AA2075">
        <v>40.768656</v>
      </c>
      <c r="AB2075">
        <v>-73.92918299999999</v>
      </c>
      <c r="AD2075" t="s">
        <v>10839</v>
      </c>
      <c r="AF2075" t="s">
        <v>10843</v>
      </c>
      <c r="AG2075" t="s">
        <v>10859</v>
      </c>
      <c r="AH2075" t="s">
        <v>10865</v>
      </c>
      <c r="AI2075">
        <v>237</v>
      </c>
      <c r="AJ2075" t="s">
        <v>10212</v>
      </c>
      <c r="AK2075" t="s">
        <v>10837</v>
      </c>
      <c r="AL2075">
        <v>1.5</v>
      </c>
      <c r="AM2075" t="s">
        <v>10891</v>
      </c>
      <c r="AN2075" t="s">
        <v>10954</v>
      </c>
      <c r="AO2075" t="s">
        <v>11003</v>
      </c>
      <c r="AP2075" t="s">
        <v>11084</v>
      </c>
      <c r="AQ2075" t="s">
        <v>11112</v>
      </c>
      <c r="AR2075" t="s">
        <v>11257</v>
      </c>
      <c r="AS2075" t="s">
        <v>11594</v>
      </c>
      <c r="AT2075" t="s">
        <v>11641</v>
      </c>
      <c r="AX2075" t="s">
        <v>10838</v>
      </c>
      <c r="AY2075" t="s">
        <v>10829</v>
      </c>
      <c r="AZ2075" t="s">
        <v>11683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</row>
    <row r="2076" spans="1:59">
      <c r="A2076" s="1">
        <f>HYPERLINK("https://lsnyc.legalserver.org/matter/dynamic-profile/view/1906000","19-1906000")</f>
        <v>0</v>
      </c>
      <c r="B2076" t="s">
        <v>1781</v>
      </c>
      <c r="C2076" t="s">
        <v>6577</v>
      </c>
      <c r="D2076" t="s">
        <v>9927</v>
      </c>
      <c r="E2076" t="s">
        <v>10075</v>
      </c>
      <c r="F2076">
        <v>11377</v>
      </c>
      <c r="G2076" t="s">
        <v>10089</v>
      </c>
      <c r="H2076" t="s">
        <v>10139</v>
      </c>
      <c r="I2076" t="s">
        <v>10168</v>
      </c>
      <c r="J2076" t="s">
        <v>10209</v>
      </c>
      <c r="K2076" t="s">
        <v>10218</v>
      </c>
      <c r="L2076" t="s">
        <v>10115</v>
      </c>
      <c r="M2076" t="s">
        <v>10529</v>
      </c>
      <c r="N2076" t="s">
        <v>10646</v>
      </c>
      <c r="P2076" t="s">
        <v>10751</v>
      </c>
      <c r="Q2076" t="s">
        <v>10768</v>
      </c>
      <c r="R2076" t="s">
        <v>10821</v>
      </c>
      <c r="T2076">
        <v>36000</v>
      </c>
      <c r="U2076">
        <v>3000</v>
      </c>
      <c r="V2076">
        <v>32</v>
      </c>
      <c r="W2076">
        <v>1</v>
      </c>
      <c r="X2076">
        <v>0</v>
      </c>
      <c r="Y2076" t="s">
        <v>10830</v>
      </c>
      <c r="Z2076">
        <v>288.23</v>
      </c>
      <c r="AA2076">
        <v>40.746801</v>
      </c>
      <c r="AB2076">
        <v>-73.908147</v>
      </c>
      <c r="AC2076" t="s">
        <v>10837</v>
      </c>
      <c r="AD2076" t="s">
        <v>10840</v>
      </c>
      <c r="AG2076" t="s">
        <v>10858</v>
      </c>
      <c r="AH2076" t="s">
        <v>10871</v>
      </c>
      <c r="AI2076">
        <v>234</v>
      </c>
      <c r="AJ2076" t="s">
        <v>10214</v>
      </c>
      <c r="AK2076" t="s">
        <v>10882</v>
      </c>
      <c r="AL2076">
        <v>1.1</v>
      </c>
      <c r="AM2076" t="s">
        <v>10885</v>
      </c>
      <c r="AN2076" t="s">
        <v>10935</v>
      </c>
      <c r="AO2076" t="s">
        <v>11003</v>
      </c>
      <c r="AP2076" t="s">
        <v>11047</v>
      </c>
      <c r="AR2076" t="s">
        <v>11303</v>
      </c>
      <c r="AS2076" t="s">
        <v>11594</v>
      </c>
      <c r="AT2076" t="s">
        <v>11642</v>
      </c>
      <c r="AX2076" t="s">
        <v>10838</v>
      </c>
      <c r="AY2076" t="s">
        <v>10830</v>
      </c>
      <c r="AZ2076" t="s">
        <v>11682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</row>
    <row r="2077" spans="1:59">
      <c r="A2077" s="1">
        <f>HYPERLINK("https://lsnyc.legalserver.org/matter/dynamic-profile/view/1906001","19-1906001")</f>
        <v>0</v>
      </c>
      <c r="B2077" t="s">
        <v>1782</v>
      </c>
      <c r="C2077" t="s">
        <v>6578</v>
      </c>
      <c r="D2077" t="s">
        <v>9925</v>
      </c>
      <c r="E2077" t="s">
        <v>10075</v>
      </c>
      <c r="F2077">
        <v>10025</v>
      </c>
      <c r="G2077" t="s">
        <v>10093</v>
      </c>
      <c r="H2077" t="s">
        <v>10139</v>
      </c>
      <c r="I2077" t="s">
        <v>10169</v>
      </c>
      <c r="J2077" t="s">
        <v>10213</v>
      </c>
      <c r="K2077" t="s">
        <v>10217</v>
      </c>
      <c r="M2077" t="s">
        <v>10358</v>
      </c>
      <c r="N2077" t="s">
        <v>10671</v>
      </c>
      <c r="P2077" t="s">
        <v>10752</v>
      </c>
      <c r="Q2077" t="s">
        <v>10783</v>
      </c>
      <c r="R2077" t="s">
        <v>10821</v>
      </c>
      <c r="T2077">
        <v>9912</v>
      </c>
      <c r="U2077">
        <v>826</v>
      </c>
      <c r="V2077">
        <v>68</v>
      </c>
      <c r="W2077">
        <v>1</v>
      </c>
      <c r="X2077">
        <v>0</v>
      </c>
      <c r="Z2077">
        <v>79.36</v>
      </c>
      <c r="AA2077">
        <v>40.799415</v>
      </c>
      <c r="AB2077">
        <v>-73.961629</v>
      </c>
      <c r="AD2077" t="s">
        <v>10839</v>
      </c>
      <c r="AG2077" t="s">
        <v>10858</v>
      </c>
      <c r="AH2077" t="s">
        <v>10861</v>
      </c>
      <c r="AI2077">
        <v>234</v>
      </c>
      <c r="AJ2077" t="s">
        <v>10214</v>
      </c>
      <c r="AL2077">
        <v>1.7</v>
      </c>
      <c r="AM2077" t="s">
        <v>10887</v>
      </c>
      <c r="AN2077" t="s">
        <v>10953</v>
      </c>
      <c r="AO2077" t="s">
        <v>11016</v>
      </c>
      <c r="AP2077" t="s">
        <v>11073</v>
      </c>
      <c r="AR2077" t="s">
        <v>11319</v>
      </c>
      <c r="AS2077" t="s">
        <v>9925</v>
      </c>
      <c r="AT2077" t="s">
        <v>11641</v>
      </c>
      <c r="AX2077" t="s">
        <v>10838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</row>
    <row r="2078" spans="1:59">
      <c r="A2078" s="1">
        <f>HYPERLINK("https://lsnyc.legalserver.org/matter/dynamic-profile/view/1906002","19-1906002")</f>
        <v>0</v>
      </c>
      <c r="B2078" t="s">
        <v>1777</v>
      </c>
      <c r="C2078" t="s">
        <v>6571</v>
      </c>
      <c r="D2078" t="s">
        <v>9926</v>
      </c>
      <c r="E2078" t="s">
        <v>10075</v>
      </c>
      <c r="F2078">
        <v>10457</v>
      </c>
      <c r="G2078" t="s">
        <v>10090</v>
      </c>
      <c r="H2078" t="s">
        <v>10139</v>
      </c>
      <c r="I2078" t="s">
        <v>10169</v>
      </c>
      <c r="J2078" t="s">
        <v>10210</v>
      </c>
      <c r="K2078" t="s">
        <v>10217</v>
      </c>
      <c r="M2078" t="s">
        <v>10334</v>
      </c>
      <c r="N2078" t="s">
        <v>10671</v>
      </c>
      <c r="P2078" t="s">
        <v>10751</v>
      </c>
      <c r="Q2078" t="s">
        <v>10761</v>
      </c>
      <c r="R2078" t="s">
        <v>10823</v>
      </c>
      <c r="T2078">
        <v>11960</v>
      </c>
      <c r="U2078">
        <v>996.67</v>
      </c>
      <c r="V2078">
        <v>35</v>
      </c>
      <c r="W2078">
        <v>2</v>
      </c>
      <c r="X2078">
        <v>1</v>
      </c>
      <c r="Z2078">
        <v>56.07</v>
      </c>
      <c r="AA2078">
        <v>40.848164</v>
      </c>
      <c r="AB2078">
        <v>-73.905849</v>
      </c>
      <c r="AD2078" t="s">
        <v>10840</v>
      </c>
      <c r="AF2078" t="s">
        <v>10852</v>
      </c>
      <c r="AG2078" t="s">
        <v>10859</v>
      </c>
      <c r="AH2078" t="s">
        <v>10861</v>
      </c>
      <c r="AI2078">
        <v>230</v>
      </c>
      <c r="AJ2078" t="s">
        <v>10210</v>
      </c>
      <c r="AL2078">
        <v>0.25</v>
      </c>
      <c r="AM2078" t="s">
        <v>10884</v>
      </c>
      <c r="AN2078" t="s">
        <v>10931</v>
      </c>
      <c r="AO2078" t="s">
        <v>11000</v>
      </c>
      <c r="AP2078" t="s">
        <v>11056</v>
      </c>
      <c r="AR2078" t="s">
        <v>11257</v>
      </c>
      <c r="AS2078" t="s">
        <v>9926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</row>
    <row r="2079" spans="1:59">
      <c r="A2079" s="1">
        <f>HYPERLINK("https://lsnyc.legalserver.org/matter/dynamic-profile/view/1906003","19-1906003")</f>
        <v>0</v>
      </c>
      <c r="B2079" t="s">
        <v>1653</v>
      </c>
      <c r="C2079" t="s">
        <v>6579</v>
      </c>
      <c r="D2079" t="s">
        <v>9926</v>
      </c>
      <c r="E2079" t="s">
        <v>10075</v>
      </c>
      <c r="F2079">
        <v>10467</v>
      </c>
      <c r="G2079" t="s">
        <v>10090</v>
      </c>
      <c r="H2079" t="s">
        <v>10139</v>
      </c>
      <c r="I2079" t="s">
        <v>10168</v>
      </c>
      <c r="J2079" t="s">
        <v>10210</v>
      </c>
      <c r="K2079" t="s">
        <v>10218</v>
      </c>
      <c r="L2079" t="s">
        <v>10120</v>
      </c>
      <c r="M2079" t="s">
        <v>10303</v>
      </c>
      <c r="N2079" t="s">
        <v>10671</v>
      </c>
      <c r="P2079" t="s">
        <v>10753</v>
      </c>
      <c r="Q2079" t="s">
        <v>10763</v>
      </c>
      <c r="R2079" t="s">
        <v>10821</v>
      </c>
      <c r="T2079">
        <v>0</v>
      </c>
      <c r="U2079">
        <v>0</v>
      </c>
      <c r="V2079">
        <v>37</v>
      </c>
      <c r="W2079">
        <v>1</v>
      </c>
      <c r="X2079">
        <v>1</v>
      </c>
      <c r="Y2079" t="s">
        <v>10829</v>
      </c>
      <c r="Z2079">
        <v>0</v>
      </c>
      <c r="AA2079">
        <v>40.885047</v>
      </c>
      <c r="AB2079">
        <v>-73.878316</v>
      </c>
      <c r="AD2079" t="s">
        <v>10839</v>
      </c>
      <c r="AG2079" t="s">
        <v>10858</v>
      </c>
      <c r="AH2079" t="s">
        <v>10861</v>
      </c>
      <c r="AI2079">
        <v>234</v>
      </c>
      <c r="AJ2079" t="s">
        <v>10214</v>
      </c>
      <c r="AK2079" t="s">
        <v>10838</v>
      </c>
      <c r="AL2079">
        <v>2.3</v>
      </c>
      <c r="AM2079" t="s">
        <v>10887</v>
      </c>
      <c r="AN2079" t="s">
        <v>10919</v>
      </c>
      <c r="AO2079" t="s">
        <v>11010</v>
      </c>
      <c r="AP2079" t="s">
        <v>11057</v>
      </c>
      <c r="AR2079" t="s">
        <v>11267</v>
      </c>
      <c r="AS2079" t="s">
        <v>9926</v>
      </c>
      <c r="AT2079" t="s">
        <v>11641</v>
      </c>
      <c r="AX2079" t="s">
        <v>10838</v>
      </c>
      <c r="AY2079" t="s">
        <v>10829</v>
      </c>
      <c r="AZ2079" t="s">
        <v>11709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</row>
    <row r="2080" spans="1:59">
      <c r="A2080" s="1">
        <f>HYPERLINK("https://lsnyc.legalserver.org/matter/dynamic-profile/view/1906004","19-1906004")</f>
        <v>0</v>
      </c>
      <c r="D2080" t="s">
        <v>9928</v>
      </c>
      <c r="E2080" t="s">
        <v>10075</v>
      </c>
      <c r="F2080">
        <v>11216</v>
      </c>
      <c r="G2080" t="s">
        <v>10093</v>
      </c>
      <c r="H2080" t="s">
        <v>10139</v>
      </c>
      <c r="I2080" t="s">
        <v>10168</v>
      </c>
      <c r="J2080" t="s">
        <v>10213</v>
      </c>
      <c r="K2080" t="s">
        <v>10217</v>
      </c>
      <c r="M2080" t="s">
        <v>10268</v>
      </c>
      <c r="N2080" t="s">
        <v>10667</v>
      </c>
      <c r="P2080" t="s">
        <v>10749</v>
      </c>
      <c r="Q2080" t="s">
        <v>10765</v>
      </c>
      <c r="R2080" t="s">
        <v>10825</v>
      </c>
      <c r="T2080">
        <v>14400</v>
      </c>
      <c r="U2080">
        <v>1200</v>
      </c>
      <c r="V2080">
        <v>0</v>
      </c>
      <c r="W2080">
        <v>1</v>
      </c>
      <c r="X2080">
        <v>0</v>
      </c>
      <c r="Z2080">
        <v>115.29</v>
      </c>
      <c r="AA2080">
        <v>0</v>
      </c>
      <c r="AB2080">
        <v>0</v>
      </c>
      <c r="AD2080" t="s">
        <v>10839</v>
      </c>
      <c r="AG2080" t="s">
        <v>10858</v>
      </c>
      <c r="AH2080" t="s">
        <v>10861</v>
      </c>
      <c r="AI2080">
        <v>239</v>
      </c>
      <c r="AJ2080" t="s">
        <v>10213</v>
      </c>
      <c r="AL2080">
        <v>6.1</v>
      </c>
      <c r="AR2080" t="s">
        <v>11296</v>
      </c>
      <c r="AS2080" t="s">
        <v>11595</v>
      </c>
      <c r="BA2080" t="s">
        <v>11738</v>
      </c>
      <c r="BB2080">
        <v>0</v>
      </c>
      <c r="BC2080">
        <v>0</v>
      </c>
      <c r="BD2080">
        <v>0</v>
      </c>
      <c r="BE2080">
        <v>0</v>
      </c>
      <c r="BF2080">
        <v>5</v>
      </c>
      <c r="BG2080">
        <v>0</v>
      </c>
    </row>
    <row r="2081" spans="1:59">
      <c r="A2081" s="1">
        <f>HYPERLINK("https://lsnyc.legalserver.org/matter/dynamic-profile/view/1906005","19-1906005")</f>
        <v>0</v>
      </c>
      <c r="B2081" t="s">
        <v>1783</v>
      </c>
      <c r="C2081" t="s">
        <v>6580</v>
      </c>
      <c r="D2081" t="s">
        <v>9938</v>
      </c>
      <c r="E2081" t="s">
        <v>10075</v>
      </c>
      <c r="F2081">
        <v>11432</v>
      </c>
      <c r="G2081" t="s">
        <v>10091</v>
      </c>
      <c r="H2081" t="s">
        <v>10139</v>
      </c>
      <c r="I2081" t="s">
        <v>10168</v>
      </c>
      <c r="J2081" t="s">
        <v>10214</v>
      </c>
      <c r="K2081" t="s">
        <v>10217</v>
      </c>
      <c r="M2081" t="s">
        <v>10286</v>
      </c>
      <c r="N2081" t="s">
        <v>10671</v>
      </c>
      <c r="P2081" t="s">
        <v>10754</v>
      </c>
      <c r="Q2081" t="s">
        <v>10784</v>
      </c>
      <c r="R2081" t="s">
        <v>10824</v>
      </c>
      <c r="T2081">
        <v>11648</v>
      </c>
      <c r="U2081">
        <v>970.67</v>
      </c>
      <c r="V2081">
        <v>14</v>
      </c>
      <c r="W2081">
        <v>1</v>
      </c>
      <c r="X2081">
        <v>1</v>
      </c>
      <c r="Z2081">
        <v>68.88</v>
      </c>
      <c r="AA2081">
        <v>40.712646</v>
      </c>
      <c r="AB2081">
        <v>-73.782208</v>
      </c>
      <c r="AD2081" t="s">
        <v>10840</v>
      </c>
      <c r="AG2081" t="s">
        <v>10858</v>
      </c>
      <c r="AH2081" t="s">
        <v>10861</v>
      </c>
      <c r="AI2081">
        <v>234</v>
      </c>
      <c r="AJ2081" t="s">
        <v>10214</v>
      </c>
      <c r="AL2081">
        <v>0.5</v>
      </c>
      <c r="AM2081" t="s">
        <v>10892</v>
      </c>
      <c r="AN2081" t="s">
        <v>10955</v>
      </c>
      <c r="AO2081" t="s">
        <v>11022</v>
      </c>
      <c r="AP2081" t="s">
        <v>11075</v>
      </c>
      <c r="AR2081" t="s">
        <v>11257</v>
      </c>
      <c r="AS2081" t="s">
        <v>11594</v>
      </c>
      <c r="AT2081" t="s">
        <v>11642</v>
      </c>
      <c r="AX2081" t="s">
        <v>10838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</row>
    <row r="2082" spans="1:59">
      <c r="A2082" s="1">
        <f>HYPERLINK("https://lsnyc.legalserver.org/matter/dynamic-profile/view/1906006","19-1906006")</f>
        <v>0</v>
      </c>
      <c r="B2082" t="s">
        <v>1784</v>
      </c>
      <c r="C2082" t="s">
        <v>6581</v>
      </c>
      <c r="D2082" t="s">
        <v>9925</v>
      </c>
      <c r="E2082" t="s">
        <v>10075</v>
      </c>
      <c r="F2082">
        <v>10033</v>
      </c>
      <c r="G2082" t="s">
        <v>10089</v>
      </c>
      <c r="H2082" t="s">
        <v>10103</v>
      </c>
      <c r="I2082" t="s">
        <v>10168</v>
      </c>
      <c r="J2082" t="s">
        <v>10209</v>
      </c>
      <c r="K2082" t="s">
        <v>10217</v>
      </c>
      <c r="M2082" t="s">
        <v>10460</v>
      </c>
      <c r="N2082" t="s">
        <v>10650</v>
      </c>
      <c r="P2082" t="s">
        <v>10749</v>
      </c>
      <c r="Q2082" t="s">
        <v>10765</v>
      </c>
      <c r="R2082" t="s">
        <v>10822</v>
      </c>
      <c r="T2082">
        <v>176000</v>
      </c>
      <c r="U2082">
        <v>14666.67</v>
      </c>
      <c r="V2082">
        <v>52</v>
      </c>
      <c r="W2082">
        <v>3</v>
      </c>
      <c r="X2082">
        <v>0</v>
      </c>
      <c r="Z2082">
        <v>825.13</v>
      </c>
      <c r="AA2082">
        <v>40.849821</v>
      </c>
      <c r="AB2082">
        <v>-73.938416</v>
      </c>
      <c r="AD2082" t="s">
        <v>10839</v>
      </c>
      <c r="AG2082" t="s">
        <v>10858</v>
      </c>
      <c r="AH2082" t="s">
        <v>10862</v>
      </c>
      <c r="AI2082">
        <v>236</v>
      </c>
      <c r="AJ2082" t="s">
        <v>10209</v>
      </c>
      <c r="AL2082">
        <v>0</v>
      </c>
      <c r="AM2082" t="s">
        <v>10887</v>
      </c>
      <c r="AN2082" t="s">
        <v>10943</v>
      </c>
      <c r="AO2082" t="s">
        <v>11019</v>
      </c>
      <c r="AP2082" t="s">
        <v>11074</v>
      </c>
      <c r="AR2082" t="s">
        <v>11257</v>
      </c>
      <c r="AS2082" t="s">
        <v>9925</v>
      </c>
      <c r="AT2082" t="s">
        <v>11641</v>
      </c>
      <c r="AX2082" t="s">
        <v>10838</v>
      </c>
      <c r="BA2082" t="s">
        <v>11742</v>
      </c>
      <c r="BB2082">
        <v>0</v>
      </c>
      <c r="BC2082">
        <v>0</v>
      </c>
      <c r="BD2082">
        <v>0</v>
      </c>
      <c r="BE2082">
        <v>0</v>
      </c>
      <c r="BF2082">
        <v>7</v>
      </c>
      <c r="BG2082">
        <v>0</v>
      </c>
    </row>
    <row r="2083" spans="1:59">
      <c r="A2083" s="1">
        <f>HYPERLINK("https://lsnyc.legalserver.org/matter/dynamic-profile/view/1906007","19-1906007")</f>
        <v>0</v>
      </c>
      <c r="B2083" t="s">
        <v>1785</v>
      </c>
      <c r="C2083" t="s">
        <v>5401</v>
      </c>
      <c r="D2083" t="s">
        <v>9928</v>
      </c>
      <c r="E2083" t="s">
        <v>10075</v>
      </c>
      <c r="F2083">
        <v>11233</v>
      </c>
      <c r="G2083" t="s">
        <v>10093</v>
      </c>
      <c r="H2083" t="s">
        <v>10139</v>
      </c>
      <c r="I2083" t="s">
        <v>10168</v>
      </c>
      <c r="J2083" t="s">
        <v>10213</v>
      </c>
      <c r="K2083" t="s">
        <v>10217</v>
      </c>
      <c r="M2083" t="s">
        <v>10556</v>
      </c>
      <c r="N2083" t="s">
        <v>10650</v>
      </c>
      <c r="P2083" t="s">
        <v>10749</v>
      </c>
      <c r="Q2083" t="s">
        <v>10765</v>
      </c>
      <c r="R2083" t="s">
        <v>10822</v>
      </c>
      <c r="T2083">
        <v>29784</v>
      </c>
      <c r="U2083">
        <v>2482</v>
      </c>
      <c r="V2083">
        <v>71</v>
      </c>
      <c r="W2083">
        <v>1</v>
      </c>
      <c r="X2083">
        <v>0</v>
      </c>
      <c r="Z2083">
        <v>238.46</v>
      </c>
      <c r="AA2083">
        <v>40.675515</v>
      </c>
      <c r="AB2083">
        <v>-73.911641</v>
      </c>
      <c r="AD2083" t="s">
        <v>10839</v>
      </c>
      <c r="AG2083" t="s">
        <v>10858</v>
      </c>
      <c r="AH2083" t="s">
        <v>10862</v>
      </c>
      <c r="AI2083">
        <v>239</v>
      </c>
      <c r="AJ2083" t="s">
        <v>10213</v>
      </c>
      <c r="AL2083">
        <v>0</v>
      </c>
      <c r="AM2083" t="s">
        <v>10889</v>
      </c>
      <c r="AN2083" t="s">
        <v>10922</v>
      </c>
      <c r="AO2083" t="s">
        <v>11007</v>
      </c>
      <c r="AP2083" t="s">
        <v>11064</v>
      </c>
      <c r="AQ2083" t="s">
        <v>11100</v>
      </c>
      <c r="AR2083" t="s">
        <v>11345</v>
      </c>
      <c r="AS2083" t="s">
        <v>11595</v>
      </c>
      <c r="AT2083" t="s">
        <v>11641</v>
      </c>
      <c r="AX2083" t="s">
        <v>11678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</row>
    <row r="2084" spans="1:59">
      <c r="A2084" s="1">
        <f>HYPERLINK("https://lsnyc.legalserver.org/matter/dynamic-profile/view/1906008","19-1906008")</f>
        <v>0</v>
      </c>
      <c r="B2084" t="s">
        <v>1786</v>
      </c>
      <c r="C2084" t="s">
        <v>6582</v>
      </c>
      <c r="D2084" t="s">
        <v>9928</v>
      </c>
      <c r="E2084" t="s">
        <v>10075</v>
      </c>
      <c r="F2084">
        <v>11236</v>
      </c>
      <c r="G2084" t="s">
        <v>10093</v>
      </c>
      <c r="H2084" t="s">
        <v>10145</v>
      </c>
      <c r="I2084" t="s">
        <v>10168</v>
      </c>
      <c r="J2084" t="s">
        <v>10213</v>
      </c>
      <c r="K2084" t="s">
        <v>10218</v>
      </c>
      <c r="L2084" t="s">
        <v>10145</v>
      </c>
      <c r="M2084" t="s">
        <v>10321</v>
      </c>
      <c r="N2084" t="s">
        <v>10665</v>
      </c>
      <c r="P2084" t="s">
        <v>10750</v>
      </c>
      <c r="Q2084" t="s">
        <v>10779</v>
      </c>
      <c r="R2084" t="s">
        <v>10824</v>
      </c>
      <c r="T2084">
        <v>65000</v>
      </c>
      <c r="U2084">
        <v>5416.67</v>
      </c>
      <c r="V2084">
        <v>44</v>
      </c>
      <c r="W2084">
        <v>2</v>
      </c>
      <c r="X2084">
        <v>1</v>
      </c>
      <c r="Y2084" t="s">
        <v>10829</v>
      </c>
      <c r="Z2084">
        <v>304.74</v>
      </c>
      <c r="AA2084">
        <v>40.641417</v>
      </c>
      <c r="AB2084">
        <v>-73.901442</v>
      </c>
      <c r="AD2084" t="s">
        <v>10839</v>
      </c>
      <c r="AG2084" t="s">
        <v>10858</v>
      </c>
      <c r="AH2084" t="s">
        <v>10862</v>
      </c>
      <c r="AI2084">
        <v>239</v>
      </c>
      <c r="AJ2084" t="s">
        <v>10213</v>
      </c>
      <c r="AK2084" t="s">
        <v>10838</v>
      </c>
      <c r="AL2084">
        <v>5.95</v>
      </c>
      <c r="AM2084" t="s">
        <v>10889</v>
      </c>
      <c r="AN2084" t="s">
        <v>10959</v>
      </c>
      <c r="AO2084" t="s">
        <v>11012</v>
      </c>
      <c r="AP2084" t="s">
        <v>11072</v>
      </c>
      <c r="AQ2084" t="s">
        <v>11205</v>
      </c>
      <c r="AR2084" t="s">
        <v>11257</v>
      </c>
      <c r="AS2084" t="s">
        <v>11595</v>
      </c>
      <c r="AY2084" t="s">
        <v>10829</v>
      </c>
      <c r="AZ2084" t="s">
        <v>11679</v>
      </c>
      <c r="BA2084" t="s">
        <v>11741</v>
      </c>
      <c r="BB2084">
        <v>0</v>
      </c>
      <c r="BC2084">
        <v>0</v>
      </c>
      <c r="BD2084">
        <v>0</v>
      </c>
      <c r="BE2084">
        <v>0</v>
      </c>
      <c r="BF2084">
        <v>1</v>
      </c>
      <c r="BG2084">
        <v>0</v>
      </c>
    </row>
    <row r="2085" spans="1:59">
      <c r="A2085" s="1">
        <f>HYPERLINK("https://lsnyc.legalserver.org/matter/dynamic-profile/view/1906009","19-1906009")</f>
        <v>0</v>
      </c>
      <c r="B2085" t="s">
        <v>1787</v>
      </c>
      <c r="C2085" t="s">
        <v>6583</v>
      </c>
      <c r="D2085" t="s">
        <v>9931</v>
      </c>
      <c r="E2085" t="s">
        <v>10075</v>
      </c>
      <c r="F2085">
        <v>11367</v>
      </c>
      <c r="G2085" t="s">
        <v>10091</v>
      </c>
      <c r="H2085" t="s">
        <v>10139</v>
      </c>
      <c r="I2085" t="s">
        <v>10169</v>
      </c>
      <c r="J2085" t="s">
        <v>10214</v>
      </c>
      <c r="K2085" t="s">
        <v>10218</v>
      </c>
      <c r="L2085" t="s">
        <v>10163</v>
      </c>
      <c r="M2085" t="s">
        <v>10537</v>
      </c>
      <c r="N2085" t="s">
        <v>10673</v>
      </c>
      <c r="P2085" t="s">
        <v>10753</v>
      </c>
      <c r="Q2085" t="s">
        <v>10763</v>
      </c>
      <c r="R2085" t="s">
        <v>10823</v>
      </c>
      <c r="T2085">
        <v>0</v>
      </c>
      <c r="U2085">
        <v>0</v>
      </c>
      <c r="V2085">
        <v>38</v>
      </c>
      <c r="W2085">
        <v>1</v>
      </c>
      <c r="X2085">
        <v>0</v>
      </c>
      <c r="Y2085" t="s">
        <v>10829</v>
      </c>
      <c r="Z2085">
        <v>0</v>
      </c>
      <c r="AA2085">
        <v>40.725542</v>
      </c>
      <c r="AB2085">
        <v>-73.812453</v>
      </c>
      <c r="AD2085" t="s">
        <v>10840</v>
      </c>
      <c r="AF2085" t="s">
        <v>10842</v>
      </c>
      <c r="AG2085" t="s">
        <v>10859</v>
      </c>
      <c r="AH2085" t="s">
        <v>10861</v>
      </c>
      <c r="AI2085">
        <v>234</v>
      </c>
      <c r="AJ2085" t="s">
        <v>10214</v>
      </c>
      <c r="AK2085" t="s">
        <v>10838</v>
      </c>
      <c r="AL2085">
        <v>2.5</v>
      </c>
      <c r="AM2085" t="s">
        <v>10890</v>
      </c>
      <c r="AN2085" t="s">
        <v>10934</v>
      </c>
      <c r="AO2085" t="s">
        <v>11020</v>
      </c>
      <c r="AP2085" t="s">
        <v>11081</v>
      </c>
      <c r="AR2085" t="s">
        <v>11267</v>
      </c>
      <c r="AS2085" t="s">
        <v>11594</v>
      </c>
      <c r="AT2085" t="s">
        <v>11642</v>
      </c>
      <c r="AX2085" t="s">
        <v>10837</v>
      </c>
      <c r="AY2085" t="s">
        <v>10829</v>
      </c>
      <c r="AZ2085" t="s">
        <v>11709</v>
      </c>
      <c r="BA2085" t="s">
        <v>11741</v>
      </c>
      <c r="BB2085">
        <v>0</v>
      </c>
      <c r="BC2085">
        <v>0</v>
      </c>
      <c r="BD2085">
        <v>0</v>
      </c>
      <c r="BE2085">
        <v>0</v>
      </c>
      <c r="BF2085">
        <v>1</v>
      </c>
      <c r="BG2085">
        <v>0</v>
      </c>
    </row>
    <row r="2086" spans="1:59">
      <c r="A2086" s="1">
        <f>HYPERLINK("https://lsnyc.legalserver.org/matter/dynamic-profile/view/1906010","19-1906010")</f>
        <v>0</v>
      </c>
      <c r="C2086" t="s">
        <v>5499</v>
      </c>
      <c r="D2086" t="s">
        <v>9928</v>
      </c>
      <c r="E2086" t="s">
        <v>10075</v>
      </c>
      <c r="F2086">
        <v>11233</v>
      </c>
      <c r="G2086" t="s">
        <v>10093</v>
      </c>
      <c r="H2086" t="s">
        <v>10139</v>
      </c>
      <c r="I2086" t="s">
        <v>10168</v>
      </c>
      <c r="J2086" t="s">
        <v>10213</v>
      </c>
      <c r="K2086" t="s">
        <v>10217</v>
      </c>
      <c r="M2086" t="s">
        <v>10556</v>
      </c>
      <c r="N2086" t="s">
        <v>10650</v>
      </c>
      <c r="P2086" t="s">
        <v>10749</v>
      </c>
      <c r="Q2086" t="s">
        <v>10765</v>
      </c>
      <c r="R2086" t="s">
        <v>10822</v>
      </c>
      <c r="T2086">
        <v>0</v>
      </c>
      <c r="U2086">
        <v>0</v>
      </c>
      <c r="V2086">
        <v>0</v>
      </c>
      <c r="W2086">
        <v>1</v>
      </c>
      <c r="X2086">
        <v>0</v>
      </c>
      <c r="Z2086">
        <v>0</v>
      </c>
      <c r="AA2086">
        <v>40.67567</v>
      </c>
      <c r="AB2086">
        <v>-73.91365</v>
      </c>
      <c r="AD2086" t="s">
        <v>10839</v>
      </c>
      <c r="AG2086" t="s">
        <v>10858</v>
      </c>
      <c r="AH2086" t="s">
        <v>10862</v>
      </c>
      <c r="AI2086">
        <v>239</v>
      </c>
      <c r="AJ2086" t="s">
        <v>10213</v>
      </c>
      <c r="AL2086">
        <v>0</v>
      </c>
      <c r="AM2086" t="s">
        <v>10889</v>
      </c>
      <c r="AN2086" t="s">
        <v>10922</v>
      </c>
      <c r="AO2086" t="s">
        <v>11007</v>
      </c>
      <c r="AP2086" t="s">
        <v>11064</v>
      </c>
      <c r="AR2086" t="s">
        <v>11267</v>
      </c>
      <c r="AS2086" t="s">
        <v>11595</v>
      </c>
      <c r="AT2086" t="s">
        <v>11641</v>
      </c>
      <c r="AX2086" t="s">
        <v>11678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</row>
    <row r="2087" spans="1:59">
      <c r="A2087" s="1">
        <f>HYPERLINK("https://lsnyc.legalserver.org/matter/dynamic-profile/view/1906011","19-1906011")</f>
        <v>0</v>
      </c>
      <c r="B2087" t="s">
        <v>1788</v>
      </c>
      <c r="C2087" t="s">
        <v>6584</v>
      </c>
      <c r="D2087" t="s">
        <v>9941</v>
      </c>
      <c r="E2087" t="s">
        <v>10075</v>
      </c>
      <c r="F2087">
        <v>11429</v>
      </c>
      <c r="G2087" t="s">
        <v>10092</v>
      </c>
      <c r="H2087" t="s">
        <v>10139</v>
      </c>
      <c r="I2087" t="s">
        <v>10168</v>
      </c>
      <c r="J2087" t="s">
        <v>10212</v>
      </c>
      <c r="K2087" t="s">
        <v>10217</v>
      </c>
      <c r="M2087" t="s">
        <v>10416</v>
      </c>
      <c r="N2087" t="s">
        <v>10678</v>
      </c>
      <c r="P2087" t="s">
        <v>10749</v>
      </c>
      <c r="Q2087" t="s">
        <v>10769</v>
      </c>
      <c r="R2087" t="s">
        <v>10824</v>
      </c>
      <c r="T2087">
        <v>6000</v>
      </c>
      <c r="U2087">
        <v>500</v>
      </c>
      <c r="V2087">
        <v>56</v>
      </c>
      <c r="W2087">
        <v>1</v>
      </c>
      <c r="X2087">
        <v>0</v>
      </c>
      <c r="Z2087">
        <v>48.04</v>
      </c>
      <c r="AA2087">
        <v>40.717758</v>
      </c>
      <c r="AB2087">
        <v>-73.73263799999999</v>
      </c>
      <c r="AD2087" t="s">
        <v>10839</v>
      </c>
      <c r="AG2087" t="s">
        <v>10858</v>
      </c>
      <c r="AH2087" t="s">
        <v>10861</v>
      </c>
      <c r="AI2087">
        <v>234</v>
      </c>
      <c r="AJ2087" t="s">
        <v>10214</v>
      </c>
      <c r="AL2087">
        <v>3.3</v>
      </c>
      <c r="AM2087" t="s">
        <v>10892</v>
      </c>
      <c r="AN2087" t="s">
        <v>10940</v>
      </c>
      <c r="AO2087" t="s">
        <v>11020</v>
      </c>
      <c r="AP2087" t="s">
        <v>11075</v>
      </c>
      <c r="AR2087" t="s">
        <v>11263</v>
      </c>
      <c r="AS2087" t="s">
        <v>11594</v>
      </c>
      <c r="AT2087" t="s">
        <v>11641</v>
      </c>
      <c r="AX2087" t="s">
        <v>10838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</row>
    <row r="2088" spans="1:59">
      <c r="A2088" s="1">
        <f>HYPERLINK("https://lsnyc.legalserver.org/matter/dynamic-profile/view/1906013","19-1906013")</f>
        <v>0</v>
      </c>
      <c r="B2088" t="s">
        <v>1789</v>
      </c>
      <c r="C2088" t="s">
        <v>6585</v>
      </c>
      <c r="D2088" t="s">
        <v>9926</v>
      </c>
      <c r="E2088" t="s">
        <v>10075</v>
      </c>
      <c r="F2088">
        <v>10470</v>
      </c>
      <c r="G2088" t="s">
        <v>10090</v>
      </c>
      <c r="H2088" t="s">
        <v>10139</v>
      </c>
      <c r="I2088" t="s">
        <v>10168</v>
      </c>
      <c r="J2088" t="s">
        <v>10210</v>
      </c>
      <c r="K2088" t="s">
        <v>10217</v>
      </c>
      <c r="M2088" t="s">
        <v>10297</v>
      </c>
      <c r="N2088" t="s">
        <v>10666</v>
      </c>
      <c r="P2088" t="s">
        <v>10749</v>
      </c>
      <c r="Q2088" t="s">
        <v>10765</v>
      </c>
      <c r="R2088" t="s">
        <v>10820</v>
      </c>
      <c r="T2088">
        <v>4940</v>
      </c>
      <c r="U2088">
        <v>411.67</v>
      </c>
      <c r="V2088">
        <v>61</v>
      </c>
      <c r="W2088">
        <v>1</v>
      </c>
      <c r="X2088">
        <v>0</v>
      </c>
      <c r="Z2088">
        <v>39.55</v>
      </c>
      <c r="AA2088">
        <v>40.898971</v>
      </c>
      <c r="AB2088">
        <v>-73.869151</v>
      </c>
      <c r="AD2088" t="s">
        <v>10839</v>
      </c>
      <c r="AG2088" t="s">
        <v>10858</v>
      </c>
      <c r="AH2088" t="s">
        <v>10861</v>
      </c>
      <c r="AI2088">
        <v>230</v>
      </c>
      <c r="AJ2088" t="s">
        <v>10210</v>
      </c>
      <c r="AL2088">
        <v>5.5</v>
      </c>
      <c r="AM2088" t="s">
        <v>10893</v>
      </c>
      <c r="AN2088" t="s">
        <v>10919</v>
      </c>
      <c r="AO2088" t="s">
        <v>11002</v>
      </c>
      <c r="AP2088" t="s">
        <v>11057</v>
      </c>
      <c r="AR2088" t="s">
        <v>11273</v>
      </c>
      <c r="AS2088" t="s">
        <v>9926</v>
      </c>
      <c r="AT2088" t="s">
        <v>11641</v>
      </c>
      <c r="AX2088" t="s">
        <v>10838</v>
      </c>
      <c r="BA2088" t="s">
        <v>11738</v>
      </c>
      <c r="BB2088">
        <v>0</v>
      </c>
      <c r="BC2088">
        <v>0</v>
      </c>
      <c r="BD2088">
        <v>0</v>
      </c>
      <c r="BE2088">
        <v>0</v>
      </c>
      <c r="BF2088">
        <v>5</v>
      </c>
      <c r="BG2088">
        <v>0</v>
      </c>
    </row>
    <row r="2089" spans="1:59">
      <c r="A2089" s="1">
        <f>HYPERLINK("https://lsnyc.legalserver.org/matter/dynamic-profile/view/1906014","19-1906014")</f>
        <v>0</v>
      </c>
      <c r="B2089" t="s">
        <v>1790</v>
      </c>
      <c r="C2089" t="s">
        <v>5401</v>
      </c>
      <c r="D2089" t="s">
        <v>9928</v>
      </c>
      <c r="E2089" t="s">
        <v>10075</v>
      </c>
      <c r="F2089">
        <v>11233</v>
      </c>
      <c r="G2089" t="s">
        <v>10093</v>
      </c>
      <c r="H2089" t="s">
        <v>10139</v>
      </c>
      <c r="I2089" t="s">
        <v>10168</v>
      </c>
      <c r="J2089" t="s">
        <v>10213</v>
      </c>
      <c r="K2089" t="s">
        <v>10217</v>
      </c>
      <c r="M2089" t="s">
        <v>10556</v>
      </c>
      <c r="N2089" t="s">
        <v>10650</v>
      </c>
      <c r="P2089" t="s">
        <v>10749</v>
      </c>
      <c r="Q2089" t="s">
        <v>10765</v>
      </c>
      <c r="R2089" t="s">
        <v>10822</v>
      </c>
      <c r="T2089">
        <v>33000</v>
      </c>
      <c r="U2089">
        <v>2750</v>
      </c>
      <c r="V2089">
        <v>65</v>
      </c>
      <c r="W2089">
        <v>2</v>
      </c>
      <c r="X2089">
        <v>0</v>
      </c>
      <c r="Z2089">
        <v>195.15</v>
      </c>
      <c r="AA2089">
        <v>40.675515</v>
      </c>
      <c r="AB2089">
        <v>-73.911641</v>
      </c>
      <c r="AD2089" t="s">
        <v>10839</v>
      </c>
      <c r="AG2089" t="s">
        <v>10858</v>
      </c>
      <c r="AH2089" t="s">
        <v>10862</v>
      </c>
      <c r="AI2089">
        <v>239</v>
      </c>
      <c r="AJ2089" t="s">
        <v>10213</v>
      </c>
      <c r="AL2089">
        <v>0</v>
      </c>
      <c r="AM2089" t="s">
        <v>10889</v>
      </c>
      <c r="AN2089" t="s">
        <v>10922</v>
      </c>
      <c r="AO2089" t="s">
        <v>11007</v>
      </c>
      <c r="AP2089" t="s">
        <v>11064</v>
      </c>
      <c r="AR2089" t="s">
        <v>11339</v>
      </c>
      <c r="AS2089" t="s">
        <v>11595</v>
      </c>
      <c r="AT2089" t="s">
        <v>11641</v>
      </c>
      <c r="AX2089" t="s">
        <v>11678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</row>
    <row r="2090" spans="1:59">
      <c r="A2090" s="1">
        <f>HYPERLINK("https://lsnyc.legalserver.org/matter/dynamic-profile/view/1906015","19-1906015")</f>
        <v>0</v>
      </c>
      <c r="B2090" t="s">
        <v>1791</v>
      </c>
      <c r="C2090" t="s">
        <v>6586</v>
      </c>
      <c r="D2090" t="s">
        <v>9939</v>
      </c>
      <c r="E2090" t="s">
        <v>10075</v>
      </c>
      <c r="F2090">
        <v>11419</v>
      </c>
      <c r="G2090" t="s">
        <v>10092</v>
      </c>
      <c r="H2090" t="s">
        <v>10139</v>
      </c>
      <c r="I2090" t="s">
        <v>10168</v>
      </c>
      <c r="J2090" t="s">
        <v>10212</v>
      </c>
      <c r="K2090" t="s">
        <v>10217</v>
      </c>
      <c r="M2090" t="s">
        <v>10318</v>
      </c>
      <c r="N2090" t="s">
        <v>10684</v>
      </c>
      <c r="P2090" t="s">
        <v>10751</v>
      </c>
      <c r="Q2090" t="s">
        <v>10786</v>
      </c>
      <c r="R2090" t="s">
        <v>10827</v>
      </c>
      <c r="T2090">
        <v>3000</v>
      </c>
      <c r="U2090">
        <v>250</v>
      </c>
      <c r="V2090">
        <v>61</v>
      </c>
      <c r="W2090">
        <v>1</v>
      </c>
      <c r="X2090">
        <v>0</v>
      </c>
      <c r="Z2090">
        <v>24.02</v>
      </c>
      <c r="AA2090">
        <v>40.683954</v>
      </c>
      <c r="AB2090">
        <v>-73.828434</v>
      </c>
      <c r="AD2090" t="s">
        <v>10839</v>
      </c>
      <c r="AG2090" t="s">
        <v>10858</v>
      </c>
      <c r="AH2090" t="s">
        <v>10873</v>
      </c>
      <c r="AI2090">
        <v>237</v>
      </c>
      <c r="AJ2090" t="s">
        <v>10212</v>
      </c>
      <c r="AL2090">
        <v>2.25</v>
      </c>
      <c r="AM2090" t="s">
        <v>10892</v>
      </c>
      <c r="AN2090" t="s">
        <v>10930</v>
      </c>
      <c r="AO2090" t="s">
        <v>11017</v>
      </c>
      <c r="AP2090" t="s">
        <v>11070</v>
      </c>
      <c r="AR2090" t="s">
        <v>10180</v>
      </c>
      <c r="AS2090" t="s">
        <v>11594</v>
      </c>
      <c r="AT2090" t="s">
        <v>11641</v>
      </c>
      <c r="AX2090" t="s">
        <v>10838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</row>
    <row r="2091" spans="1:59">
      <c r="A2091" s="1">
        <f>HYPERLINK("https://lsnyc.legalserver.org/matter/dynamic-profile/view/1906016","19-1906016")</f>
        <v>0</v>
      </c>
      <c r="B2091" t="s">
        <v>1792</v>
      </c>
      <c r="C2091" t="s">
        <v>5065</v>
      </c>
      <c r="D2091" t="s">
        <v>9931</v>
      </c>
      <c r="E2091" t="s">
        <v>10075</v>
      </c>
      <c r="F2091">
        <v>11354</v>
      </c>
      <c r="G2091" t="s">
        <v>10092</v>
      </c>
      <c r="H2091" t="s">
        <v>10139</v>
      </c>
      <c r="I2091" t="s">
        <v>10169</v>
      </c>
      <c r="J2091" t="s">
        <v>10212</v>
      </c>
      <c r="K2091" t="s">
        <v>10217</v>
      </c>
      <c r="M2091" t="s">
        <v>10329</v>
      </c>
      <c r="N2091" t="s">
        <v>10650</v>
      </c>
      <c r="P2091" t="s">
        <v>10749</v>
      </c>
      <c r="Q2091" t="s">
        <v>10765</v>
      </c>
      <c r="R2091" t="s">
        <v>10821</v>
      </c>
      <c r="T2091">
        <v>10320</v>
      </c>
      <c r="U2091">
        <v>860</v>
      </c>
      <c r="V2091">
        <v>71</v>
      </c>
      <c r="W2091">
        <v>3</v>
      </c>
      <c r="X2091">
        <v>0</v>
      </c>
      <c r="Z2091">
        <v>48.38</v>
      </c>
      <c r="AA2091">
        <v>40.766083</v>
      </c>
      <c r="AB2091">
        <v>-73.82862</v>
      </c>
      <c r="AD2091" t="s">
        <v>10839</v>
      </c>
      <c r="AG2091" t="s">
        <v>10858</v>
      </c>
      <c r="AH2091" t="s">
        <v>10862</v>
      </c>
      <c r="AI2091">
        <v>237</v>
      </c>
      <c r="AJ2091" t="s">
        <v>10212</v>
      </c>
      <c r="AL2091">
        <v>0.4</v>
      </c>
      <c r="AM2091" t="s">
        <v>10890</v>
      </c>
      <c r="AN2091" t="s">
        <v>10927</v>
      </c>
      <c r="AO2091" t="s">
        <v>11009</v>
      </c>
      <c r="AP2091" t="s">
        <v>11067</v>
      </c>
      <c r="AR2091" t="s">
        <v>11268</v>
      </c>
      <c r="AS2091" t="s">
        <v>11594</v>
      </c>
      <c r="BA2091" t="s">
        <v>11739</v>
      </c>
      <c r="BB2091">
        <v>0</v>
      </c>
      <c r="BC2091">
        <v>0</v>
      </c>
      <c r="BD2091">
        <v>0</v>
      </c>
      <c r="BE2091">
        <v>0</v>
      </c>
      <c r="BF2091">
        <v>4</v>
      </c>
      <c r="BG2091">
        <v>0</v>
      </c>
    </row>
    <row r="2092" spans="1:59">
      <c r="A2092" s="1">
        <f>HYPERLINK("https://lsnyc.legalserver.org/matter/dynamic-profile/view/1906017","19-1906017")</f>
        <v>0</v>
      </c>
      <c r="B2092" t="s">
        <v>1793</v>
      </c>
      <c r="C2092" t="s">
        <v>6587</v>
      </c>
      <c r="D2092" t="s">
        <v>9926</v>
      </c>
      <c r="E2092" t="s">
        <v>10075</v>
      </c>
      <c r="F2092">
        <v>10451</v>
      </c>
      <c r="G2092" t="s">
        <v>10091</v>
      </c>
      <c r="H2092" t="s">
        <v>10139</v>
      </c>
      <c r="I2092" t="s">
        <v>10169</v>
      </c>
      <c r="J2092" t="s">
        <v>10214</v>
      </c>
      <c r="K2092" t="s">
        <v>10217</v>
      </c>
      <c r="M2092" t="s">
        <v>10286</v>
      </c>
      <c r="N2092" t="s">
        <v>10671</v>
      </c>
      <c r="P2092" t="s">
        <v>10749</v>
      </c>
      <c r="Q2092" t="s">
        <v>10765</v>
      </c>
      <c r="R2092" t="s">
        <v>10821</v>
      </c>
      <c r="T2092">
        <v>8400</v>
      </c>
      <c r="U2092">
        <v>700</v>
      </c>
      <c r="V2092">
        <v>46</v>
      </c>
      <c r="W2092">
        <v>1</v>
      </c>
      <c r="X2092">
        <v>0</v>
      </c>
      <c r="Z2092">
        <v>67.25</v>
      </c>
      <c r="AA2092">
        <v>40.823195</v>
      </c>
      <c r="AB2092">
        <v>-73.924087</v>
      </c>
      <c r="AD2092" t="s">
        <v>10839</v>
      </c>
      <c r="AG2092" t="s">
        <v>10858</v>
      </c>
      <c r="AH2092" t="s">
        <v>10871</v>
      </c>
      <c r="AI2092">
        <v>234</v>
      </c>
      <c r="AJ2092" t="s">
        <v>10214</v>
      </c>
      <c r="AL2092">
        <v>1</v>
      </c>
      <c r="AM2092" t="s">
        <v>10884</v>
      </c>
      <c r="AN2092" t="s">
        <v>10924</v>
      </c>
      <c r="AO2092" t="s">
        <v>11013</v>
      </c>
      <c r="AP2092" t="s">
        <v>11062</v>
      </c>
      <c r="AR2092" t="s">
        <v>11274</v>
      </c>
      <c r="AS2092" t="s">
        <v>9926</v>
      </c>
      <c r="AT2092" t="s">
        <v>11641</v>
      </c>
      <c r="AX2092" t="s">
        <v>10838</v>
      </c>
      <c r="BA2092" t="s">
        <v>11741</v>
      </c>
      <c r="BB2092">
        <v>0</v>
      </c>
      <c r="BC2092">
        <v>0</v>
      </c>
      <c r="BD2092">
        <v>0</v>
      </c>
      <c r="BE2092">
        <v>0</v>
      </c>
      <c r="BF2092">
        <v>1</v>
      </c>
      <c r="BG2092">
        <v>0</v>
      </c>
    </row>
    <row r="2093" spans="1:59">
      <c r="A2093" s="1">
        <f>HYPERLINK("https://lsnyc.legalserver.org/matter/dynamic-profile/view/1906018","19-1906018")</f>
        <v>0</v>
      </c>
      <c r="B2093" t="s">
        <v>1794</v>
      </c>
      <c r="C2093" t="s">
        <v>6588</v>
      </c>
      <c r="D2093" t="s">
        <v>9928</v>
      </c>
      <c r="E2093" t="s">
        <v>10075</v>
      </c>
      <c r="F2093">
        <v>11233</v>
      </c>
      <c r="G2093" t="s">
        <v>10093</v>
      </c>
      <c r="H2093" t="s">
        <v>10139</v>
      </c>
      <c r="I2093" t="s">
        <v>10168</v>
      </c>
      <c r="J2093" t="s">
        <v>10213</v>
      </c>
      <c r="K2093" t="s">
        <v>10218</v>
      </c>
      <c r="L2093" t="s">
        <v>10163</v>
      </c>
      <c r="M2093" t="s">
        <v>10405</v>
      </c>
      <c r="N2093" t="s">
        <v>10650</v>
      </c>
      <c r="P2093" t="s">
        <v>10749</v>
      </c>
      <c r="Q2093" t="s">
        <v>10765</v>
      </c>
      <c r="R2093" t="s">
        <v>10824</v>
      </c>
      <c r="T2093">
        <v>10596</v>
      </c>
      <c r="U2093">
        <v>883</v>
      </c>
      <c r="V2093">
        <v>68</v>
      </c>
      <c r="W2093">
        <v>3</v>
      </c>
      <c r="X2093">
        <v>1</v>
      </c>
      <c r="Y2093" t="s">
        <v>10830</v>
      </c>
      <c r="Z2093">
        <v>41.15</v>
      </c>
      <c r="AA2093">
        <v>40.667968</v>
      </c>
      <c r="AB2093">
        <v>-73.924707</v>
      </c>
      <c r="AD2093" t="s">
        <v>10839</v>
      </c>
      <c r="AG2093" t="s">
        <v>10858</v>
      </c>
      <c r="AH2093" t="s">
        <v>10861</v>
      </c>
      <c r="AI2093">
        <v>239</v>
      </c>
      <c r="AJ2093" t="s">
        <v>10213</v>
      </c>
      <c r="AK2093" t="s">
        <v>10838</v>
      </c>
      <c r="AL2093">
        <v>0.6</v>
      </c>
      <c r="AM2093" t="s">
        <v>10888</v>
      </c>
      <c r="AN2093" t="s">
        <v>10922</v>
      </c>
      <c r="AO2093" t="s">
        <v>11005</v>
      </c>
      <c r="AP2093" t="s">
        <v>11064</v>
      </c>
      <c r="AQ2093" t="s">
        <v>11123</v>
      </c>
      <c r="AR2093" t="s">
        <v>11385</v>
      </c>
      <c r="AS2093" t="s">
        <v>11595</v>
      </c>
      <c r="AT2093" t="s">
        <v>11641</v>
      </c>
      <c r="AY2093" t="s">
        <v>10830</v>
      </c>
      <c r="AZ2093" t="s">
        <v>11690</v>
      </c>
      <c r="BA2093" t="s">
        <v>11740</v>
      </c>
      <c r="BB2093">
        <v>0</v>
      </c>
      <c r="BC2093">
        <v>0</v>
      </c>
      <c r="BD2093">
        <v>0</v>
      </c>
      <c r="BE2093">
        <v>0</v>
      </c>
      <c r="BF2093">
        <v>2</v>
      </c>
      <c r="BG2093">
        <v>0</v>
      </c>
    </row>
    <row r="2094" spans="1:59">
      <c r="A2094" s="1">
        <f>HYPERLINK("https://lsnyc.legalserver.org/matter/dynamic-profile/view/1906019","19-1906019")</f>
        <v>0</v>
      </c>
      <c r="B2094" t="s">
        <v>1795</v>
      </c>
      <c r="C2094" t="s">
        <v>6589</v>
      </c>
      <c r="D2094" t="s">
        <v>9928</v>
      </c>
      <c r="E2094" t="s">
        <v>10075</v>
      </c>
      <c r="F2094">
        <v>11222</v>
      </c>
      <c r="G2094" t="s">
        <v>10093</v>
      </c>
      <c r="H2094" t="s">
        <v>10139</v>
      </c>
      <c r="J2094" t="s">
        <v>10213</v>
      </c>
      <c r="K2094" t="s">
        <v>10217</v>
      </c>
      <c r="M2094" t="s">
        <v>10457</v>
      </c>
      <c r="N2094" t="s">
        <v>10698</v>
      </c>
      <c r="P2094" t="s">
        <v>10749</v>
      </c>
      <c r="Q2094" t="s">
        <v>10765</v>
      </c>
      <c r="R2094" t="s">
        <v>10824</v>
      </c>
      <c r="T2094">
        <v>0</v>
      </c>
      <c r="U2094">
        <v>0</v>
      </c>
      <c r="V2094">
        <v>40</v>
      </c>
      <c r="W2094">
        <v>1</v>
      </c>
      <c r="X2094">
        <v>0</v>
      </c>
      <c r="Z2094">
        <v>0</v>
      </c>
      <c r="AA2094">
        <v>40.729133</v>
      </c>
      <c r="AB2094">
        <v>-73.953489</v>
      </c>
      <c r="AD2094" t="s">
        <v>10840</v>
      </c>
      <c r="AG2094" t="s">
        <v>10858</v>
      </c>
      <c r="AH2094" t="s">
        <v>10868</v>
      </c>
      <c r="AI2094">
        <v>239</v>
      </c>
      <c r="AJ2094" t="s">
        <v>10213</v>
      </c>
      <c r="AL2094">
        <v>1.55</v>
      </c>
      <c r="AM2094" t="s">
        <v>10891</v>
      </c>
      <c r="AN2094" t="s">
        <v>10939</v>
      </c>
      <c r="AO2094" t="s">
        <v>11004</v>
      </c>
      <c r="AP2094" t="s">
        <v>11054</v>
      </c>
      <c r="AR2094" t="s">
        <v>11267</v>
      </c>
      <c r="AS2094" t="s">
        <v>11595</v>
      </c>
      <c r="AT2094" t="s">
        <v>11642</v>
      </c>
      <c r="AX2094" t="s">
        <v>10837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</row>
    <row r="2095" spans="1:59">
      <c r="A2095" s="1">
        <f>HYPERLINK("https://lsnyc.legalserver.org/matter/dynamic-profile/view/1906021","19-1906021")</f>
        <v>0</v>
      </c>
      <c r="B2095" t="s">
        <v>1796</v>
      </c>
      <c r="C2095" t="s">
        <v>6590</v>
      </c>
      <c r="D2095" t="s">
        <v>9926</v>
      </c>
      <c r="E2095" t="s">
        <v>10075</v>
      </c>
      <c r="F2095">
        <v>10474</v>
      </c>
      <c r="G2095" t="s">
        <v>10090</v>
      </c>
      <c r="H2095" t="s">
        <v>10139</v>
      </c>
      <c r="I2095" t="s">
        <v>10168</v>
      </c>
      <c r="J2095" t="s">
        <v>10210</v>
      </c>
      <c r="K2095" t="s">
        <v>10217</v>
      </c>
      <c r="M2095" t="s">
        <v>10562</v>
      </c>
      <c r="N2095" t="s">
        <v>10666</v>
      </c>
      <c r="P2095" t="s">
        <v>10749</v>
      </c>
      <c r="Q2095" t="s">
        <v>10765</v>
      </c>
      <c r="R2095" t="s">
        <v>10825</v>
      </c>
      <c r="T2095">
        <v>15600</v>
      </c>
      <c r="U2095">
        <v>1300</v>
      </c>
      <c r="V2095">
        <v>47</v>
      </c>
      <c r="W2095">
        <v>1</v>
      </c>
      <c r="X2095">
        <v>0</v>
      </c>
      <c r="Z2095">
        <v>124.9</v>
      </c>
      <c r="AA2095">
        <v>40.816635</v>
      </c>
      <c r="AB2095">
        <v>-73.886374</v>
      </c>
      <c r="AD2095" t="s">
        <v>10839</v>
      </c>
      <c r="AF2095" t="s">
        <v>10843</v>
      </c>
      <c r="AG2095" t="s">
        <v>10859</v>
      </c>
      <c r="AH2095" t="s">
        <v>10862</v>
      </c>
      <c r="AI2095">
        <v>230</v>
      </c>
      <c r="AJ2095" t="s">
        <v>10210</v>
      </c>
      <c r="AL2095">
        <v>0</v>
      </c>
      <c r="AM2095" t="s">
        <v>10884</v>
      </c>
      <c r="AN2095" t="s">
        <v>10924</v>
      </c>
      <c r="AO2095" t="s">
        <v>11001</v>
      </c>
      <c r="AP2095" t="s">
        <v>11062</v>
      </c>
      <c r="AR2095" t="s">
        <v>11276</v>
      </c>
      <c r="AS2095" t="s">
        <v>9926</v>
      </c>
      <c r="BA2095" t="s">
        <v>11741</v>
      </c>
      <c r="BB2095">
        <v>0</v>
      </c>
      <c r="BC2095">
        <v>0</v>
      </c>
      <c r="BD2095">
        <v>0</v>
      </c>
      <c r="BE2095">
        <v>0</v>
      </c>
      <c r="BF2095">
        <v>1</v>
      </c>
      <c r="BG2095">
        <v>0</v>
      </c>
    </row>
    <row r="2096" spans="1:59">
      <c r="A2096" s="1">
        <f>HYPERLINK("https://lsnyc.legalserver.org/matter/dynamic-profile/view/1906022","19-1906022")</f>
        <v>0</v>
      </c>
      <c r="B2096" t="s">
        <v>1789</v>
      </c>
      <c r="C2096" t="s">
        <v>6585</v>
      </c>
      <c r="D2096" t="s">
        <v>9926</v>
      </c>
      <c r="E2096" t="s">
        <v>10075</v>
      </c>
      <c r="F2096">
        <v>10470</v>
      </c>
      <c r="G2096" t="s">
        <v>10090</v>
      </c>
      <c r="H2096" t="s">
        <v>10139</v>
      </c>
      <c r="I2096" t="s">
        <v>10168</v>
      </c>
      <c r="J2096" t="s">
        <v>10210</v>
      </c>
      <c r="K2096" t="s">
        <v>10217</v>
      </c>
      <c r="M2096" t="s">
        <v>10559</v>
      </c>
      <c r="N2096" t="s">
        <v>10677</v>
      </c>
      <c r="P2096" t="s">
        <v>10751</v>
      </c>
      <c r="Q2096" t="s">
        <v>10761</v>
      </c>
      <c r="R2096" t="s">
        <v>10820</v>
      </c>
      <c r="T2096">
        <v>4940</v>
      </c>
      <c r="U2096">
        <v>411.67</v>
      </c>
      <c r="V2096">
        <v>61</v>
      </c>
      <c r="W2096">
        <v>1</v>
      </c>
      <c r="X2096">
        <v>0</v>
      </c>
      <c r="Z2096">
        <v>39.55</v>
      </c>
      <c r="AA2096">
        <v>40.898971</v>
      </c>
      <c r="AB2096">
        <v>-73.869151</v>
      </c>
      <c r="AD2096" t="s">
        <v>10839</v>
      </c>
      <c r="AG2096" t="s">
        <v>10858</v>
      </c>
      <c r="AH2096" t="s">
        <v>10861</v>
      </c>
      <c r="AI2096">
        <v>230</v>
      </c>
      <c r="AJ2096" t="s">
        <v>10210</v>
      </c>
      <c r="AL2096">
        <v>0</v>
      </c>
      <c r="AM2096" t="s">
        <v>10893</v>
      </c>
      <c r="AN2096" t="s">
        <v>10919</v>
      </c>
      <c r="AO2096" t="s">
        <v>11002</v>
      </c>
      <c r="AP2096" t="s">
        <v>11057</v>
      </c>
      <c r="AR2096" t="s">
        <v>11273</v>
      </c>
      <c r="AS2096" t="s">
        <v>9926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</row>
    <row r="2097" spans="1:59">
      <c r="A2097" s="1">
        <f>HYPERLINK("https://lsnyc.legalserver.org/matter/dynamic-profile/view/1906023","19-1906023")</f>
        <v>0</v>
      </c>
      <c r="B2097" t="s">
        <v>1797</v>
      </c>
      <c r="C2097" t="s">
        <v>6591</v>
      </c>
      <c r="D2097" t="s">
        <v>9928</v>
      </c>
      <c r="E2097" t="s">
        <v>10075</v>
      </c>
      <c r="F2097">
        <v>11237</v>
      </c>
      <c r="G2097" t="s">
        <v>10093</v>
      </c>
      <c r="H2097" t="s">
        <v>10139</v>
      </c>
      <c r="I2097" t="s">
        <v>10169</v>
      </c>
      <c r="J2097" t="s">
        <v>10213</v>
      </c>
      <c r="K2097" t="s">
        <v>10217</v>
      </c>
      <c r="M2097" t="s">
        <v>10293</v>
      </c>
      <c r="N2097" t="s">
        <v>10671</v>
      </c>
      <c r="P2097" t="s">
        <v>10749</v>
      </c>
      <c r="Q2097" t="s">
        <v>10765</v>
      </c>
      <c r="R2097" t="s">
        <v>10821</v>
      </c>
      <c r="T2097">
        <v>19200</v>
      </c>
      <c r="U2097">
        <v>1600</v>
      </c>
      <c r="V2097">
        <v>83</v>
      </c>
      <c r="W2097">
        <v>2</v>
      </c>
      <c r="X2097">
        <v>0</v>
      </c>
      <c r="Z2097">
        <v>113.54</v>
      </c>
      <c r="AA2097">
        <v>40.696063</v>
      </c>
      <c r="AB2097">
        <v>-73.907763</v>
      </c>
      <c r="AD2097" t="s">
        <v>10840</v>
      </c>
      <c r="AG2097" t="s">
        <v>10858</v>
      </c>
      <c r="AH2097" t="s">
        <v>10871</v>
      </c>
      <c r="AI2097">
        <v>234</v>
      </c>
      <c r="AJ2097" t="s">
        <v>10214</v>
      </c>
      <c r="AL2097">
        <v>1.48</v>
      </c>
      <c r="AM2097" t="s">
        <v>10886</v>
      </c>
      <c r="AN2097" t="s">
        <v>10920</v>
      </c>
      <c r="AO2097" t="s">
        <v>11011</v>
      </c>
      <c r="AP2097" t="s">
        <v>11058</v>
      </c>
      <c r="AR2097" t="s">
        <v>11448</v>
      </c>
      <c r="AS2097" t="s">
        <v>11595</v>
      </c>
      <c r="AT2097" t="s">
        <v>11642</v>
      </c>
      <c r="AX2097" t="s">
        <v>10838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</row>
    <row r="2098" spans="1:59">
      <c r="A2098" s="1">
        <f>HYPERLINK("https://lsnyc.legalserver.org/matter/dynamic-profile/view/1906024","19-1906024")</f>
        <v>0</v>
      </c>
      <c r="B2098" t="s">
        <v>1798</v>
      </c>
      <c r="C2098" t="s">
        <v>6592</v>
      </c>
      <c r="D2098" t="s">
        <v>9925</v>
      </c>
      <c r="E2098" t="s">
        <v>10075</v>
      </c>
      <c r="F2098">
        <v>10025</v>
      </c>
      <c r="G2098" t="s">
        <v>10089</v>
      </c>
      <c r="H2098" t="s">
        <v>10139</v>
      </c>
      <c r="I2098" t="s">
        <v>10168</v>
      </c>
      <c r="J2098" t="s">
        <v>10209</v>
      </c>
      <c r="K2098" t="s">
        <v>10217</v>
      </c>
      <c r="M2098" t="s">
        <v>10288</v>
      </c>
      <c r="N2098" t="s">
        <v>10665</v>
      </c>
      <c r="P2098" t="s">
        <v>10750</v>
      </c>
      <c r="Q2098" t="s">
        <v>10779</v>
      </c>
      <c r="R2098" t="s">
        <v>10820</v>
      </c>
      <c r="T2098">
        <v>0</v>
      </c>
      <c r="U2098">
        <v>0</v>
      </c>
      <c r="V2098">
        <v>40</v>
      </c>
      <c r="W2098">
        <v>1</v>
      </c>
      <c r="X2098">
        <v>0</v>
      </c>
      <c r="Z2098">
        <v>0</v>
      </c>
      <c r="AA2098">
        <v>40.801532</v>
      </c>
      <c r="AB2098">
        <v>-73.96567</v>
      </c>
      <c r="AD2098" t="s">
        <v>10839</v>
      </c>
      <c r="AF2098" t="s">
        <v>10843</v>
      </c>
      <c r="AG2098" t="s">
        <v>10859</v>
      </c>
      <c r="AH2098" t="s">
        <v>10861</v>
      </c>
      <c r="AI2098">
        <v>234</v>
      </c>
      <c r="AJ2098" t="s">
        <v>10214</v>
      </c>
      <c r="AL2098">
        <v>2.95</v>
      </c>
      <c r="AM2098" t="s">
        <v>10894</v>
      </c>
      <c r="AN2098" t="s">
        <v>10953</v>
      </c>
      <c r="AO2098" t="s">
        <v>11019</v>
      </c>
      <c r="AP2098" t="s">
        <v>11073</v>
      </c>
      <c r="AQ2098" t="s">
        <v>11107</v>
      </c>
      <c r="AR2098" t="s">
        <v>11267</v>
      </c>
      <c r="AS2098" t="s">
        <v>9925</v>
      </c>
      <c r="AT2098" t="s">
        <v>11641</v>
      </c>
      <c r="AX2098" t="s">
        <v>10838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</row>
    <row r="2099" spans="1:59">
      <c r="A2099" s="1">
        <f>HYPERLINK("https://lsnyc.legalserver.org/matter/dynamic-profile/view/1906025","19-1906025")</f>
        <v>0</v>
      </c>
      <c r="B2099" t="s">
        <v>1799</v>
      </c>
      <c r="C2099" t="s">
        <v>6593</v>
      </c>
      <c r="D2099" t="s">
        <v>9925</v>
      </c>
      <c r="E2099" t="s">
        <v>10075</v>
      </c>
      <c r="F2099">
        <v>10027</v>
      </c>
      <c r="G2099" t="s">
        <v>10089</v>
      </c>
      <c r="H2099" t="s">
        <v>10139</v>
      </c>
      <c r="I2099" t="s">
        <v>10168</v>
      </c>
      <c r="J2099" t="s">
        <v>10209</v>
      </c>
      <c r="K2099" t="s">
        <v>10217</v>
      </c>
      <c r="M2099" t="s">
        <v>10394</v>
      </c>
      <c r="N2099" t="s">
        <v>10691</v>
      </c>
      <c r="P2099" t="s">
        <v>10751</v>
      </c>
      <c r="Q2099" t="s">
        <v>10776</v>
      </c>
      <c r="R2099" t="s">
        <v>10824</v>
      </c>
      <c r="T2099">
        <v>58132</v>
      </c>
      <c r="U2099">
        <v>4844.33</v>
      </c>
      <c r="V2099">
        <v>32</v>
      </c>
      <c r="W2099">
        <v>5</v>
      </c>
      <c r="X2099">
        <v>0</v>
      </c>
      <c r="Z2099">
        <v>192.68</v>
      </c>
      <c r="AA2099">
        <v>40.814188</v>
      </c>
      <c r="AB2099">
        <v>-73.947954</v>
      </c>
      <c r="AD2099" t="s">
        <v>10839</v>
      </c>
      <c r="AG2099" t="s">
        <v>10858</v>
      </c>
      <c r="AH2099" t="s">
        <v>10874</v>
      </c>
      <c r="AI2099">
        <v>236</v>
      </c>
      <c r="AJ2099" t="s">
        <v>10209</v>
      </c>
      <c r="AL2099">
        <v>18.25</v>
      </c>
      <c r="AM2099" t="s">
        <v>10887</v>
      </c>
      <c r="AN2099" t="s">
        <v>10936</v>
      </c>
      <c r="AO2099" t="s">
        <v>11016</v>
      </c>
      <c r="AP2099" t="s">
        <v>11076</v>
      </c>
      <c r="AR2099" t="s">
        <v>11295</v>
      </c>
      <c r="AS2099" t="s">
        <v>9925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</row>
    <row r="2100" spans="1:59">
      <c r="A2100" s="1">
        <f>HYPERLINK("https://lsnyc.legalserver.org/matter/dynamic-profile/view/1906026","19-1906026")</f>
        <v>0</v>
      </c>
      <c r="B2100" t="s">
        <v>1800</v>
      </c>
      <c r="C2100" t="s">
        <v>6594</v>
      </c>
      <c r="D2100" t="s">
        <v>9928</v>
      </c>
      <c r="E2100" t="s">
        <v>10075</v>
      </c>
      <c r="F2100">
        <v>11218</v>
      </c>
      <c r="G2100" t="s">
        <v>10093</v>
      </c>
      <c r="H2100" t="s">
        <v>10139</v>
      </c>
      <c r="I2100" t="s">
        <v>10168</v>
      </c>
      <c r="J2100" t="s">
        <v>10213</v>
      </c>
      <c r="K2100" t="s">
        <v>10217</v>
      </c>
      <c r="M2100" t="s">
        <v>10236</v>
      </c>
      <c r="N2100" t="s">
        <v>10650</v>
      </c>
      <c r="P2100" t="s">
        <v>10749</v>
      </c>
      <c r="Q2100" t="s">
        <v>10765</v>
      </c>
      <c r="R2100" t="s">
        <v>10824</v>
      </c>
      <c r="T2100">
        <v>30000</v>
      </c>
      <c r="U2100">
        <v>2500</v>
      </c>
      <c r="V2100">
        <v>50</v>
      </c>
      <c r="W2100">
        <v>1</v>
      </c>
      <c r="X2100">
        <v>0</v>
      </c>
      <c r="Z2100">
        <v>240.19</v>
      </c>
      <c r="AA2100">
        <v>40.636309</v>
      </c>
      <c r="AB2100">
        <v>-73.973384</v>
      </c>
      <c r="AD2100" t="s">
        <v>10839</v>
      </c>
      <c r="AG2100" t="s">
        <v>10858</v>
      </c>
      <c r="AH2100" t="s">
        <v>10862</v>
      </c>
      <c r="AI2100">
        <v>239</v>
      </c>
      <c r="AJ2100" t="s">
        <v>10213</v>
      </c>
      <c r="AL2100">
        <v>44.7</v>
      </c>
      <c r="AR2100" t="s">
        <v>11257</v>
      </c>
      <c r="AS2100" t="s">
        <v>11595</v>
      </c>
      <c r="BA2100" t="s">
        <v>11738</v>
      </c>
      <c r="BB2100">
        <v>0</v>
      </c>
      <c r="BC2100">
        <v>0</v>
      </c>
      <c r="BD2100">
        <v>0</v>
      </c>
      <c r="BE2100">
        <v>0</v>
      </c>
      <c r="BF2100">
        <v>5</v>
      </c>
      <c r="BG2100">
        <v>0</v>
      </c>
    </row>
    <row r="2101" spans="1:59">
      <c r="A2101" s="1">
        <f>HYPERLINK("https://lsnyc.legalserver.org/matter/dynamic-profile/view/1906027","19-1906027")</f>
        <v>0</v>
      </c>
      <c r="B2101" t="s">
        <v>1801</v>
      </c>
      <c r="C2101" t="s">
        <v>6595</v>
      </c>
      <c r="D2101" t="s">
        <v>9928</v>
      </c>
      <c r="E2101" t="s">
        <v>10075</v>
      </c>
      <c r="F2101">
        <v>11226</v>
      </c>
      <c r="G2101" t="s">
        <v>10093</v>
      </c>
      <c r="H2101" t="s">
        <v>10139</v>
      </c>
      <c r="I2101" t="s">
        <v>10168</v>
      </c>
      <c r="J2101" t="s">
        <v>10213</v>
      </c>
      <c r="K2101" t="s">
        <v>10217</v>
      </c>
      <c r="M2101" t="s">
        <v>10264</v>
      </c>
      <c r="N2101" t="s">
        <v>10667</v>
      </c>
      <c r="P2101" t="s">
        <v>10749</v>
      </c>
      <c r="Q2101" t="s">
        <v>10765</v>
      </c>
      <c r="R2101" t="s">
        <v>10822</v>
      </c>
      <c r="T2101">
        <v>11904</v>
      </c>
      <c r="U2101">
        <v>992</v>
      </c>
      <c r="V2101">
        <v>91</v>
      </c>
      <c r="W2101">
        <v>1</v>
      </c>
      <c r="X2101">
        <v>0</v>
      </c>
      <c r="Z2101">
        <v>95.31</v>
      </c>
      <c r="AA2101">
        <v>40.652492</v>
      </c>
      <c r="AB2101">
        <v>-73.95706</v>
      </c>
      <c r="AD2101" t="s">
        <v>10822</v>
      </c>
      <c r="AG2101" t="s">
        <v>10858</v>
      </c>
      <c r="AH2101" t="s">
        <v>10862</v>
      </c>
      <c r="AI2101">
        <v>239</v>
      </c>
      <c r="AJ2101" t="s">
        <v>10213</v>
      </c>
      <c r="AL2101">
        <v>8.699999999999999</v>
      </c>
      <c r="AM2101" t="s">
        <v>10888</v>
      </c>
      <c r="AN2101" t="s">
        <v>10912</v>
      </c>
      <c r="AO2101" t="s">
        <v>11008</v>
      </c>
      <c r="AP2101" t="s">
        <v>11050</v>
      </c>
      <c r="AR2101" t="s">
        <v>11253</v>
      </c>
      <c r="AS2101" t="s">
        <v>11595</v>
      </c>
      <c r="BA2101" t="s">
        <v>11738</v>
      </c>
      <c r="BB2101">
        <v>0</v>
      </c>
      <c r="BC2101">
        <v>0</v>
      </c>
      <c r="BD2101">
        <v>0</v>
      </c>
      <c r="BE2101">
        <v>0</v>
      </c>
      <c r="BF2101">
        <v>5</v>
      </c>
      <c r="BG2101">
        <v>0</v>
      </c>
    </row>
    <row r="2102" spans="1:59">
      <c r="A2102" s="1">
        <f>HYPERLINK("https://lsnyc.legalserver.org/matter/dynamic-profile/view/1906028","19-1906028")</f>
        <v>0</v>
      </c>
      <c r="B2102" t="s">
        <v>1802</v>
      </c>
      <c r="C2102" t="s">
        <v>6596</v>
      </c>
      <c r="D2102" t="s">
        <v>9928</v>
      </c>
      <c r="E2102" t="s">
        <v>10075</v>
      </c>
      <c r="F2102">
        <v>11215</v>
      </c>
      <c r="G2102" t="s">
        <v>10093</v>
      </c>
      <c r="H2102" t="s">
        <v>10139</v>
      </c>
      <c r="I2102" t="s">
        <v>10169</v>
      </c>
      <c r="J2102" t="s">
        <v>10213</v>
      </c>
      <c r="K2102" t="s">
        <v>10217</v>
      </c>
      <c r="M2102" t="s">
        <v>10293</v>
      </c>
      <c r="N2102" t="s">
        <v>10657</v>
      </c>
      <c r="P2102" t="s">
        <v>10749</v>
      </c>
      <c r="Q2102" t="s">
        <v>10791</v>
      </c>
      <c r="R2102" t="s">
        <v>10821</v>
      </c>
      <c r="T2102">
        <v>49000</v>
      </c>
      <c r="U2102">
        <v>4083.33</v>
      </c>
      <c r="V2102">
        <v>49</v>
      </c>
      <c r="W2102">
        <v>2</v>
      </c>
      <c r="X2102">
        <v>1</v>
      </c>
      <c r="Z2102">
        <v>229.72</v>
      </c>
      <c r="AA2102">
        <v>40.666436</v>
      </c>
      <c r="AB2102">
        <v>-73.99057500000001</v>
      </c>
      <c r="AD2102" t="s">
        <v>10839</v>
      </c>
      <c r="AG2102" t="s">
        <v>10858</v>
      </c>
      <c r="AH2102" t="s">
        <v>10867</v>
      </c>
      <c r="AI2102">
        <v>239</v>
      </c>
      <c r="AJ2102" t="s">
        <v>10213</v>
      </c>
      <c r="AL2102">
        <v>1.5</v>
      </c>
      <c r="AM2102" t="s">
        <v>10886</v>
      </c>
      <c r="AN2102" t="s">
        <v>10917</v>
      </c>
      <c r="AO2102" t="s">
        <v>11008</v>
      </c>
      <c r="AP2102" t="s">
        <v>11059</v>
      </c>
      <c r="AR2102" t="s">
        <v>11257</v>
      </c>
      <c r="AS2102" t="s">
        <v>11595</v>
      </c>
      <c r="BA2102" t="s">
        <v>11740</v>
      </c>
      <c r="BB2102">
        <v>0</v>
      </c>
      <c r="BC2102">
        <v>0</v>
      </c>
      <c r="BD2102">
        <v>0</v>
      </c>
      <c r="BE2102">
        <v>0</v>
      </c>
      <c r="BF2102">
        <v>2</v>
      </c>
      <c r="BG2102">
        <v>0</v>
      </c>
    </row>
    <row r="2103" spans="1:59">
      <c r="A2103" s="1">
        <f>HYPERLINK("https://lsnyc.legalserver.org/matter/dynamic-profile/view/1906029","19-1906029")</f>
        <v>0</v>
      </c>
      <c r="C2103" t="s">
        <v>6597</v>
      </c>
      <c r="D2103" t="s">
        <v>9928</v>
      </c>
      <c r="E2103" t="s">
        <v>10075</v>
      </c>
      <c r="F2103">
        <v>11211</v>
      </c>
      <c r="G2103" t="s">
        <v>10089</v>
      </c>
      <c r="H2103" t="s">
        <v>10139</v>
      </c>
      <c r="J2103" t="s">
        <v>10209</v>
      </c>
      <c r="K2103" t="s">
        <v>10217</v>
      </c>
      <c r="M2103" t="s">
        <v>10490</v>
      </c>
      <c r="N2103" t="s">
        <v>10718</v>
      </c>
      <c r="T2103">
        <v>0</v>
      </c>
      <c r="U2103">
        <v>0</v>
      </c>
      <c r="V2103">
        <v>0</v>
      </c>
      <c r="W2103">
        <v>0</v>
      </c>
      <c r="X2103">
        <v>0</v>
      </c>
      <c r="Z2103">
        <v>0</v>
      </c>
      <c r="AA2103">
        <v>40.707646</v>
      </c>
      <c r="AB2103">
        <v>-73.955158</v>
      </c>
      <c r="AH2103" t="s">
        <v>10879</v>
      </c>
      <c r="AI2103">
        <v>236</v>
      </c>
      <c r="AJ2103" t="s">
        <v>10209</v>
      </c>
      <c r="AL2103">
        <v>6.75</v>
      </c>
      <c r="AM2103" t="s">
        <v>10886</v>
      </c>
      <c r="AN2103" t="s">
        <v>10942</v>
      </c>
      <c r="AO2103" t="s">
        <v>11011</v>
      </c>
      <c r="AP2103" t="s">
        <v>11071</v>
      </c>
      <c r="AS2103" t="s">
        <v>11595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</row>
    <row r="2104" spans="1:59">
      <c r="A2104" s="1">
        <f>HYPERLINK("https://lsnyc.legalserver.org/matter/dynamic-profile/view/1906032","19-1906032")</f>
        <v>0</v>
      </c>
      <c r="B2104" t="s">
        <v>1803</v>
      </c>
      <c r="C2104" t="s">
        <v>6598</v>
      </c>
      <c r="D2104" t="s">
        <v>9929</v>
      </c>
      <c r="E2104" t="s">
        <v>10075</v>
      </c>
      <c r="F2104">
        <v>10303</v>
      </c>
      <c r="G2104" t="s">
        <v>10088</v>
      </c>
      <c r="H2104" t="s">
        <v>10109</v>
      </c>
      <c r="I2104" t="s">
        <v>10168</v>
      </c>
      <c r="J2104" t="s">
        <v>10208</v>
      </c>
      <c r="K2104" t="s">
        <v>10217</v>
      </c>
      <c r="M2104" t="s">
        <v>10542</v>
      </c>
      <c r="N2104" t="s">
        <v>10729</v>
      </c>
      <c r="P2104" t="s">
        <v>10754</v>
      </c>
      <c r="Q2104" t="s">
        <v>10775</v>
      </c>
      <c r="R2104" t="s">
        <v>10824</v>
      </c>
      <c r="T2104">
        <v>10920</v>
      </c>
      <c r="U2104">
        <v>910</v>
      </c>
      <c r="V2104">
        <v>55</v>
      </c>
      <c r="W2104">
        <v>2</v>
      </c>
      <c r="X2104">
        <v>2</v>
      </c>
      <c r="Z2104">
        <v>42.41</v>
      </c>
      <c r="AA2104">
        <v>40.637737</v>
      </c>
      <c r="AB2104">
        <v>-74.16474700000001</v>
      </c>
      <c r="AD2104" t="s">
        <v>10839</v>
      </c>
      <c r="AF2104" t="s">
        <v>10844</v>
      </c>
      <c r="AG2104" t="s">
        <v>10859</v>
      </c>
      <c r="AH2104" t="s">
        <v>10865</v>
      </c>
      <c r="AI2104">
        <v>285</v>
      </c>
      <c r="AJ2104" t="s">
        <v>10208</v>
      </c>
      <c r="AL2104">
        <v>2.8</v>
      </c>
      <c r="AM2104" t="s">
        <v>10883</v>
      </c>
      <c r="AN2104" t="s">
        <v>10928</v>
      </c>
      <c r="AO2104" t="s">
        <v>11006</v>
      </c>
      <c r="AP2104" t="s">
        <v>11051</v>
      </c>
      <c r="AQ2104" t="s">
        <v>11114</v>
      </c>
      <c r="AR2104" t="s">
        <v>11257</v>
      </c>
      <c r="AS2104" t="s">
        <v>11593</v>
      </c>
      <c r="AT2104" t="s">
        <v>11641</v>
      </c>
      <c r="AX2104" t="s">
        <v>10838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</row>
    <row r="2105" spans="1:59">
      <c r="A2105" s="1">
        <f>HYPERLINK("https://lsnyc.legalserver.org/matter/dynamic-profile/view/1906034","19-1906034")</f>
        <v>0</v>
      </c>
      <c r="B2105" t="s">
        <v>1591</v>
      </c>
      <c r="C2105" t="s">
        <v>6599</v>
      </c>
      <c r="D2105" t="s">
        <v>9929</v>
      </c>
      <c r="E2105" t="s">
        <v>10075</v>
      </c>
      <c r="F2105">
        <v>10310</v>
      </c>
      <c r="G2105" t="s">
        <v>10088</v>
      </c>
      <c r="H2105" t="s">
        <v>10109</v>
      </c>
      <c r="I2105" t="s">
        <v>10169</v>
      </c>
      <c r="J2105" t="s">
        <v>10208</v>
      </c>
      <c r="K2105" t="s">
        <v>10218</v>
      </c>
      <c r="L2105" t="s">
        <v>10145</v>
      </c>
      <c r="M2105" t="s">
        <v>10542</v>
      </c>
      <c r="N2105" t="s">
        <v>10729</v>
      </c>
      <c r="P2105" t="s">
        <v>10754</v>
      </c>
      <c r="Q2105" t="s">
        <v>10775</v>
      </c>
      <c r="R2105" t="s">
        <v>10821</v>
      </c>
      <c r="T2105">
        <v>17000</v>
      </c>
      <c r="U2105">
        <v>1416.67</v>
      </c>
      <c r="V2105">
        <v>27</v>
      </c>
      <c r="W2105">
        <v>1</v>
      </c>
      <c r="X2105">
        <v>2</v>
      </c>
      <c r="Y2105" t="s">
        <v>10829</v>
      </c>
      <c r="Z2105">
        <v>79.7</v>
      </c>
      <c r="AA2105">
        <v>40.626497</v>
      </c>
      <c r="AB2105">
        <v>-74.127882</v>
      </c>
      <c r="AD2105" t="s">
        <v>10840</v>
      </c>
      <c r="AF2105" t="s">
        <v>10844</v>
      </c>
      <c r="AG2105" t="s">
        <v>10859</v>
      </c>
      <c r="AH2105" t="s">
        <v>10865</v>
      </c>
      <c r="AI2105">
        <v>285</v>
      </c>
      <c r="AJ2105" t="s">
        <v>10208</v>
      </c>
      <c r="AK2105" t="s">
        <v>10837</v>
      </c>
      <c r="AL2105">
        <v>0.7</v>
      </c>
      <c r="AM2105" t="s">
        <v>10883</v>
      </c>
      <c r="AN2105" t="s">
        <v>10913</v>
      </c>
      <c r="AO2105" t="s">
        <v>10999</v>
      </c>
      <c r="AP2105" t="s">
        <v>11051</v>
      </c>
      <c r="AR2105" t="s">
        <v>11257</v>
      </c>
      <c r="AS2105" t="s">
        <v>11593</v>
      </c>
      <c r="AT2105" t="s">
        <v>11642</v>
      </c>
      <c r="AX2105" t="s">
        <v>10838</v>
      </c>
      <c r="AY2105" t="s">
        <v>10829</v>
      </c>
      <c r="AZ2105" t="s">
        <v>11683</v>
      </c>
      <c r="BA2105" t="s">
        <v>11741</v>
      </c>
      <c r="BB2105">
        <v>0</v>
      </c>
      <c r="BC2105">
        <v>0</v>
      </c>
      <c r="BD2105">
        <v>0</v>
      </c>
      <c r="BE2105">
        <v>0</v>
      </c>
      <c r="BF2105">
        <v>1</v>
      </c>
      <c r="BG2105">
        <v>0</v>
      </c>
    </row>
    <row r="2106" spans="1:59">
      <c r="A2106" s="1">
        <f>HYPERLINK("https://lsnyc.legalserver.org/matter/dynamic-profile/view/1906036","19-1906036")</f>
        <v>0</v>
      </c>
      <c r="B2106" t="s">
        <v>1804</v>
      </c>
      <c r="C2106" t="s">
        <v>6600</v>
      </c>
      <c r="D2106" t="s">
        <v>9938</v>
      </c>
      <c r="E2106" t="s">
        <v>10075</v>
      </c>
      <c r="F2106">
        <v>11435</v>
      </c>
      <c r="G2106" t="s">
        <v>10092</v>
      </c>
      <c r="H2106" t="s">
        <v>10102</v>
      </c>
      <c r="I2106" t="s">
        <v>10168</v>
      </c>
      <c r="J2106" t="s">
        <v>10212</v>
      </c>
      <c r="K2106" t="s">
        <v>10217</v>
      </c>
      <c r="M2106" t="s">
        <v>10258</v>
      </c>
      <c r="N2106" t="s">
        <v>10650</v>
      </c>
      <c r="P2106" t="s">
        <v>10749</v>
      </c>
      <c r="Q2106" t="s">
        <v>10765</v>
      </c>
      <c r="R2106" t="s">
        <v>10827</v>
      </c>
      <c r="T2106">
        <v>54000</v>
      </c>
      <c r="U2106">
        <v>4500</v>
      </c>
      <c r="V2106">
        <v>33</v>
      </c>
      <c r="W2106">
        <v>2</v>
      </c>
      <c r="X2106">
        <v>3</v>
      </c>
      <c r="Z2106">
        <v>178.99</v>
      </c>
      <c r="AA2106">
        <v>40.703478</v>
      </c>
      <c r="AB2106">
        <v>-73.809316</v>
      </c>
      <c r="AD2106" t="s">
        <v>10839</v>
      </c>
      <c r="AG2106" t="s">
        <v>10858</v>
      </c>
      <c r="AH2106" t="s">
        <v>10862</v>
      </c>
      <c r="AI2106">
        <v>237</v>
      </c>
      <c r="AJ2106" t="s">
        <v>10212</v>
      </c>
      <c r="AL2106">
        <v>5.91</v>
      </c>
      <c r="AM2106" t="s">
        <v>10892</v>
      </c>
      <c r="AN2106" t="s">
        <v>10951</v>
      </c>
      <c r="AO2106" t="s">
        <v>11020</v>
      </c>
      <c r="AP2106" t="s">
        <v>11081</v>
      </c>
      <c r="AR2106" t="s">
        <v>11257</v>
      </c>
      <c r="AS2106" t="s">
        <v>11594</v>
      </c>
      <c r="AT2106" t="s">
        <v>11641</v>
      </c>
      <c r="AX2106" t="s">
        <v>10838</v>
      </c>
      <c r="BA2106" t="s">
        <v>11738</v>
      </c>
      <c r="BB2106">
        <v>0</v>
      </c>
      <c r="BC2106">
        <v>0</v>
      </c>
      <c r="BD2106">
        <v>0</v>
      </c>
      <c r="BE2106">
        <v>0</v>
      </c>
      <c r="BF2106">
        <v>5</v>
      </c>
      <c r="BG2106">
        <v>0</v>
      </c>
    </row>
    <row r="2107" spans="1:59">
      <c r="A2107" s="1">
        <f>HYPERLINK("https://lsnyc.legalserver.org/matter/dynamic-profile/view/1906037","19-1906037")</f>
        <v>0</v>
      </c>
      <c r="B2107" t="s">
        <v>1805</v>
      </c>
      <c r="C2107" t="s">
        <v>6601</v>
      </c>
      <c r="D2107" t="s">
        <v>9926</v>
      </c>
      <c r="E2107" t="s">
        <v>10075</v>
      </c>
      <c r="F2107">
        <v>10468</v>
      </c>
      <c r="G2107" t="s">
        <v>10090</v>
      </c>
      <c r="H2107" t="s">
        <v>10102</v>
      </c>
      <c r="I2107" t="s">
        <v>10169</v>
      </c>
      <c r="J2107" t="s">
        <v>10215</v>
      </c>
      <c r="K2107" t="s">
        <v>10217</v>
      </c>
      <c r="M2107" t="s">
        <v>10287</v>
      </c>
      <c r="N2107" t="s">
        <v>10671</v>
      </c>
      <c r="P2107" t="s">
        <v>10751</v>
      </c>
      <c r="Q2107" t="s">
        <v>10761</v>
      </c>
      <c r="R2107" t="s">
        <v>10823</v>
      </c>
      <c r="T2107">
        <v>27000</v>
      </c>
      <c r="U2107">
        <v>2250</v>
      </c>
      <c r="V2107">
        <v>46</v>
      </c>
      <c r="W2107">
        <v>2</v>
      </c>
      <c r="X2107">
        <v>0</v>
      </c>
      <c r="Z2107">
        <v>159.67</v>
      </c>
      <c r="AA2107">
        <v>40.860202</v>
      </c>
      <c r="AB2107">
        <v>-73.906983</v>
      </c>
      <c r="AD2107" t="s">
        <v>10839</v>
      </c>
      <c r="AG2107" t="s">
        <v>10858</v>
      </c>
      <c r="AH2107" t="s">
        <v>10862</v>
      </c>
      <c r="AI2107">
        <v>231</v>
      </c>
      <c r="AJ2107" t="s">
        <v>10215</v>
      </c>
      <c r="AL2107">
        <v>3</v>
      </c>
      <c r="AM2107" t="s">
        <v>10884</v>
      </c>
      <c r="AN2107" t="s">
        <v>10931</v>
      </c>
      <c r="AO2107" t="s">
        <v>11000</v>
      </c>
      <c r="AP2107" t="s">
        <v>11045</v>
      </c>
      <c r="AR2107" t="s">
        <v>11257</v>
      </c>
      <c r="AS2107" t="s">
        <v>9926</v>
      </c>
      <c r="BA2107" t="s">
        <v>11737</v>
      </c>
      <c r="BB2107">
        <v>0</v>
      </c>
      <c r="BC2107">
        <v>0</v>
      </c>
      <c r="BD2107">
        <v>0</v>
      </c>
      <c r="BE2107">
        <v>0</v>
      </c>
      <c r="BF2107">
        <v>3</v>
      </c>
      <c r="BG2107">
        <v>0</v>
      </c>
    </row>
    <row r="2108" spans="1:59">
      <c r="A2108" s="1">
        <f>HYPERLINK("https://lsnyc.legalserver.org/matter/dynamic-profile/view/1906038","19-1906038")</f>
        <v>0</v>
      </c>
      <c r="B2108" t="s">
        <v>1806</v>
      </c>
      <c r="C2108" t="s">
        <v>6602</v>
      </c>
      <c r="D2108" t="s">
        <v>9929</v>
      </c>
      <c r="E2108" t="s">
        <v>10075</v>
      </c>
      <c r="F2108">
        <v>10310</v>
      </c>
      <c r="G2108" t="s">
        <v>10088</v>
      </c>
      <c r="H2108" t="s">
        <v>10129</v>
      </c>
      <c r="I2108" t="s">
        <v>10168</v>
      </c>
      <c r="J2108" t="s">
        <v>10208</v>
      </c>
      <c r="K2108" t="s">
        <v>10217</v>
      </c>
      <c r="M2108" t="s">
        <v>10228</v>
      </c>
      <c r="N2108" t="s">
        <v>10661</v>
      </c>
      <c r="P2108" t="s">
        <v>10749</v>
      </c>
      <c r="Q2108" t="s">
        <v>10759</v>
      </c>
      <c r="R2108" t="s">
        <v>10820</v>
      </c>
      <c r="T2108">
        <v>90000</v>
      </c>
      <c r="U2108">
        <v>7500</v>
      </c>
      <c r="V2108">
        <v>56</v>
      </c>
      <c r="W2108">
        <v>3</v>
      </c>
      <c r="X2108">
        <v>0</v>
      </c>
      <c r="Z2108">
        <v>421.94</v>
      </c>
      <c r="AA2108">
        <v>40.632649</v>
      </c>
      <c r="AB2108">
        <v>-74.12155300000001</v>
      </c>
      <c r="AC2108" t="s">
        <v>10837</v>
      </c>
      <c r="AD2108" t="s">
        <v>10840</v>
      </c>
      <c r="AG2108" t="s">
        <v>10858</v>
      </c>
      <c r="AH2108" t="s">
        <v>10861</v>
      </c>
      <c r="AI2108">
        <v>285</v>
      </c>
      <c r="AJ2108" t="s">
        <v>10208</v>
      </c>
      <c r="AL2108">
        <v>1.3</v>
      </c>
      <c r="AM2108" t="s">
        <v>10883</v>
      </c>
      <c r="AN2108" t="s">
        <v>10913</v>
      </c>
      <c r="AO2108" t="s">
        <v>11006</v>
      </c>
      <c r="AP2108" t="s">
        <v>11051</v>
      </c>
      <c r="AR2108" t="s">
        <v>11257</v>
      </c>
      <c r="AS2108" t="s">
        <v>11593</v>
      </c>
      <c r="AT2108" t="s">
        <v>11642</v>
      </c>
      <c r="AX2108" t="s">
        <v>10838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</row>
    <row r="2109" spans="1:59">
      <c r="A2109" s="1">
        <f>HYPERLINK("https://lsnyc.legalserver.org/matter/dynamic-profile/view/1906039","19-1906039")</f>
        <v>0</v>
      </c>
      <c r="B2109" t="s">
        <v>1807</v>
      </c>
      <c r="C2109" t="s">
        <v>6603</v>
      </c>
      <c r="D2109" t="s">
        <v>9928</v>
      </c>
      <c r="E2109" t="s">
        <v>10075</v>
      </c>
      <c r="F2109">
        <v>11230</v>
      </c>
      <c r="G2109" t="s">
        <v>10093</v>
      </c>
      <c r="H2109" t="s">
        <v>10102</v>
      </c>
      <c r="I2109" t="s">
        <v>10168</v>
      </c>
      <c r="J2109" t="s">
        <v>10213</v>
      </c>
      <c r="K2109" t="s">
        <v>10218</v>
      </c>
      <c r="L2109" t="s">
        <v>10143</v>
      </c>
      <c r="M2109" t="s">
        <v>10435</v>
      </c>
      <c r="N2109" t="s">
        <v>10665</v>
      </c>
      <c r="P2109" t="s">
        <v>10750</v>
      </c>
      <c r="Q2109" t="s">
        <v>10760</v>
      </c>
      <c r="R2109" t="s">
        <v>10821</v>
      </c>
      <c r="T2109">
        <v>0</v>
      </c>
      <c r="U2109">
        <v>0</v>
      </c>
      <c r="V2109">
        <v>29</v>
      </c>
      <c r="W2109">
        <v>1</v>
      </c>
      <c r="X2109">
        <v>0</v>
      </c>
      <c r="Y2109" t="s">
        <v>10829</v>
      </c>
      <c r="Z2109">
        <v>0</v>
      </c>
      <c r="AA2109">
        <v>40.63072</v>
      </c>
      <c r="AB2109">
        <v>-73.957707</v>
      </c>
      <c r="AD2109" t="s">
        <v>10839</v>
      </c>
      <c r="AG2109" t="s">
        <v>10858</v>
      </c>
      <c r="AH2109" t="s">
        <v>10876</v>
      </c>
      <c r="AI2109">
        <v>234</v>
      </c>
      <c r="AJ2109" t="s">
        <v>10214</v>
      </c>
      <c r="AK2109" t="s">
        <v>10838</v>
      </c>
      <c r="AL2109">
        <v>5</v>
      </c>
      <c r="AM2109" t="s">
        <v>10888</v>
      </c>
      <c r="AN2109" t="s">
        <v>10932</v>
      </c>
      <c r="AO2109" t="s">
        <v>11008</v>
      </c>
      <c r="AP2109" t="s">
        <v>11065</v>
      </c>
      <c r="AR2109" t="s">
        <v>11267</v>
      </c>
      <c r="AS2109" t="s">
        <v>11595</v>
      </c>
      <c r="AT2109" t="s">
        <v>11641</v>
      </c>
      <c r="AX2109" t="s">
        <v>10838</v>
      </c>
      <c r="AY2109" t="s">
        <v>10829</v>
      </c>
      <c r="AZ2109" t="s">
        <v>11679</v>
      </c>
      <c r="BA2109" t="s">
        <v>11741</v>
      </c>
      <c r="BB2109">
        <v>0</v>
      </c>
      <c r="BC2109">
        <v>0</v>
      </c>
      <c r="BD2109">
        <v>0</v>
      </c>
      <c r="BE2109">
        <v>0</v>
      </c>
      <c r="BF2109">
        <v>1</v>
      </c>
      <c r="BG2109">
        <v>0</v>
      </c>
    </row>
    <row r="2110" spans="1:59">
      <c r="A2110" s="1">
        <f>HYPERLINK("https://lsnyc.legalserver.org/matter/dynamic-profile/view/1906041","19-1906041")</f>
        <v>0</v>
      </c>
      <c r="B2110" t="s">
        <v>1808</v>
      </c>
      <c r="C2110" t="s">
        <v>6604</v>
      </c>
      <c r="D2110" t="s">
        <v>9928</v>
      </c>
      <c r="E2110" t="s">
        <v>10075</v>
      </c>
      <c r="F2110">
        <v>11226</v>
      </c>
      <c r="G2110" t="s">
        <v>10093</v>
      </c>
      <c r="H2110" t="s">
        <v>10102</v>
      </c>
      <c r="I2110" t="s">
        <v>10168</v>
      </c>
      <c r="J2110" t="s">
        <v>10213</v>
      </c>
      <c r="K2110" t="s">
        <v>10217</v>
      </c>
      <c r="M2110" t="s">
        <v>10280</v>
      </c>
      <c r="N2110" t="s">
        <v>10656</v>
      </c>
      <c r="P2110" t="s">
        <v>10751</v>
      </c>
      <c r="Q2110" t="s">
        <v>10768</v>
      </c>
      <c r="R2110" t="s">
        <v>10820</v>
      </c>
      <c r="T2110">
        <v>2196</v>
      </c>
      <c r="U2110">
        <v>183</v>
      </c>
      <c r="V2110">
        <v>58</v>
      </c>
      <c r="W2110">
        <v>1</v>
      </c>
      <c r="X2110">
        <v>0</v>
      </c>
      <c r="Z2110">
        <v>17.58</v>
      </c>
      <c r="AA2110">
        <v>40.651825</v>
      </c>
      <c r="AB2110">
        <v>-73.951825</v>
      </c>
      <c r="AD2110" t="s">
        <v>10839</v>
      </c>
      <c r="AG2110" t="s">
        <v>10858</v>
      </c>
      <c r="AH2110" t="s">
        <v>10871</v>
      </c>
      <c r="AI2110">
        <v>234</v>
      </c>
      <c r="AJ2110" t="s">
        <v>10214</v>
      </c>
      <c r="AL2110">
        <v>3</v>
      </c>
      <c r="AM2110" t="s">
        <v>10888</v>
      </c>
      <c r="AN2110" t="s">
        <v>10912</v>
      </c>
      <c r="AO2110" t="s">
        <v>11005</v>
      </c>
      <c r="AP2110" t="s">
        <v>11050</v>
      </c>
      <c r="AR2110" t="s">
        <v>11311</v>
      </c>
      <c r="AS2110" t="s">
        <v>11595</v>
      </c>
      <c r="AT2110" t="s">
        <v>11641</v>
      </c>
      <c r="AX2110" t="s">
        <v>10838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</row>
    <row r="2111" spans="1:59">
      <c r="A2111" s="1">
        <f>HYPERLINK("https://lsnyc.legalserver.org/matter/dynamic-profile/view/1906042","19-1906042")</f>
        <v>0</v>
      </c>
      <c r="B2111" t="s">
        <v>1809</v>
      </c>
      <c r="C2111" t="s">
        <v>6605</v>
      </c>
      <c r="D2111" t="s">
        <v>9928</v>
      </c>
      <c r="E2111" t="s">
        <v>10075</v>
      </c>
      <c r="F2111">
        <v>11235</v>
      </c>
      <c r="G2111" t="s">
        <v>10093</v>
      </c>
      <c r="H2111" t="s">
        <v>10102</v>
      </c>
      <c r="I2111" t="s">
        <v>10171</v>
      </c>
      <c r="J2111" t="s">
        <v>10213</v>
      </c>
      <c r="K2111" t="s">
        <v>10217</v>
      </c>
      <c r="M2111" t="s">
        <v>10390</v>
      </c>
      <c r="N2111" t="s">
        <v>10644</v>
      </c>
      <c r="P2111" t="s">
        <v>10749</v>
      </c>
      <c r="Q2111" t="s">
        <v>10765</v>
      </c>
      <c r="R2111" t="s">
        <v>10820</v>
      </c>
      <c r="T2111">
        <v>5280</v>
      </c>
      <c r="U2111">
        <v>440</v>
      </c>
      <c r="V2111">
        <v>70</v>
      </c>
      <c r="W2111">
        <v>1</v>
      </c>
      <c r="X2111">
        <v>0</v>
      </c>
      <c r="Z2111">
        <v>42.27</v>
      </c>
      <c r="AA2111">
        <v>40.579475</v>
      </c>
      <c r="AB2111">
        <v>-73.967213</v>
      </c>
      <c r="AD2111" t="s">
        <v>10839</v>
      </c>
      <c r="AF2111" t="s">
        <v>10843</v>
      </c>
      <c r="AG2111" t="s">
        <v>10859</v>
      </c>
      <c r="AH2111" t="s">
        <v>10861</v>
      </c>
      <c r="AI2111">
        <v>234</v>
      </c>
      <c r="AJ2111" t="s">
        <v>10214</v>
      </c>
      <c r="AL2111">
        <v>7.5</v>
      </c>
      <c r="AM2111" t="s">
        <v>10889</v>
      </c>
      <c r="AN2111" t="s">
        <v>10960</v>
      </c>
      <c r="AO2111" t="s">
        <v>11006</v>
      </c>
      <c r="AP2111" t="s">
        <v>11092</v>
      </c>
      <c r="AR2111" t="s">
        <v>11449</v>
      </c>
      <c r="AS2111" t="s">
        <v>11595</v>
      </c>
      <c r="AT2111" t="s">
        <v>11641</v>
      </c>
      <c r="AX2111" t="s">
        <v>10838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</row>
    <row r="2112" spans="1:59">
      <c r="A2112" s="1">
        <f>HYPERLINK("https://lsnyc.legalserver.org/matter/dynamic-profile/view/1906043","19-1906043")</f>
        <v>0</v>
      </c>
      <c r="B2112" t="s">
        <v>1810</v>
      </c>
      <c r="C2112" t="s">
        <v>6606</v>
      </c>
      <c r="D2112" t="s">
        <v>9928</v>
      </c>
      <c r="E2112" t="s">
        <v>10075</v>
      </c>
      <c r="F2112">
        <v>11223</v>
      </c>
      <c r="G2112" t="s">
        <v>10093</v>
      </c>
      <c r="H2112" t="s">
        <v>10102</v>
      </c>
      <c r="I2112" t="s">
        <v>10168</v>
      </c>
      <c r="J2112" t="s">
        <v>10213</v>
      </c>
      <c r="K2112" t="s">
        <v>10218</v>
      </c>
      <c r="L2112" t="s">
        <v>4843</v>
      </c>
      <c r="M2112" t="s">
        <v>10373</v>
      </c>
      <c r="N2112" t="s">
        <v>10665</v>
      </c>
      <c r="P2112" t="s">
        <v>10751</v>
      </c>
      <c r="Q2112" t="s">
        <v>10773</v>
      </c>
      <c r="R2112" t="s">
        <v>10820</v>
      </c>
      <c r="T2112">
        <v>0</v>
      </c>
      <c r="U2112">
        <v>0</v>
      </c>
      <c r="V2112">
        <v>24</v>
      </c>
      <c r="W2112">
        <v>1</v>
      </c>
      <c r="X2112">
        <v>0</v>
      </c>
      <c r="Y2112" t="s">
        <v>10829</v>
      </c>
      <c r="Z2112">
        <v>0</v>
      </c>
      <c r="AA2112">
        <v>40.598089</v>
      </c>
      <c r="AB2112">
        <v>-73.97603599999999</v>
      </c>
      <c r="AC2112" t="s">
        <v>10837</v>
      </c>
      <c r="AD2112" t="s">
        <v>10840</v>
      </c>
      <c r="AG2112" t="s">
        <v>10858</v>
      </c>
      <c r="AH2112" t="s">
        <v>10861</v>
      </c>
      <c r="AI2112">
        <v>234</v>
      </c>
      <c r="AJ2112" t="s">
        <v>10214</v>
      </c>
      <c r="AK2112" t="s">
        <v>10838</v>
      </c>
      <c r="AL2112">
        <v>3.65</v>
      </c>
      <c r="AM2112" t="s">
        <v>10883</v>
      </c>
      <c r="AN2112" t="s">
        <v>10969</v>
      </c>
      <c r="AO2112" t="s">
        <v>11023</v>
      </c>
      <c r="AP2112" t="s">
        <v>11087</v>
      </c>
      <c r="AQ2112" t="s">
        <v>11115</v>
      </c>
      <c r="AR2112" t="s">
        <v>11303</v>
      </c>
      <c r="AS2112" t="s">
        <v>11595</v>
      </c>
      <c r="AT2112" t="s">
        <v>11642</v>
      </c>
      <c r="AX2112" t="s">
        <v>10838</v>
      </c>
      <c r="AY2112" t="s">
        <v>10829</v>
      </c>
      <c r="AZ2112" t="s">
        <v>11682</v>
      </c>
      <c r="BA2112" t="s">
        <v>11741</v>
      </c>
      <c r="BB2112">
        <v>0</v>
      </c>
      <c r="BC2112">
        <v>0</v>
      </c>
      <c r="BD2112">
        <v>0</v>
      </c>
      <c r="BE2112">
        <v>0</v>
      </c>
      <c r="BF2112">
        <v>1</v>
      </c>
      <c r="BG2112">
        <v>0</v>
      </c>
    </row>
    <row r="2113" spans="1:59">
      <c r="A2113" s="1">
        <f>HYPERLINK("https://lsnyc.legalserver.org/matter/dynamic-profile/view/1906044","19-1906044")</f>
        <v>0</v>
      </c>
      <c r="B2113" t="s">
        <v>1811</v>
      </c>
      <c r="C2113" t="s">
        <v>6607</v>
      </c>
      <c r="D2113" t="s">
        <v>9938</v>
      </c>
      <c r="E2113" t="s">
        <v>10075</v>
      </c>
      <c r="F2113">
        <v>11432</v>
      </c>
      <c r="G2113" t="s">
        <v>10088</v>
      </c>
      <c r="H2113" t="s">
        <v>10104</v>
      </c>
      <c r="I2113" t="s">
        <v>10168</v>
      </c>
      <c r="J2113" t="s">
        <v>10208</v>
      </c>
      <c r="K2113" t="s">
        <v>10217</v>
      </c>
      <c r="M2113" t="s">
        <v>10466</v>
      </c>
      <c r="N2113" t="s">
        <v>10673</v>
      </c>
      <c r="P2113" t="s">
        <v>10753</v>
      </c>
      <c r="Q2113" t="s">
        <v>10763</v>
      </c>
      <c r="R2113" t="s">
        <v>10824</v>
      </c>
      <c r="T2113">
        <v>0</v>
      </c>
      <c r="U2113">
        <v>0</v>
      </c>
      <c r="V2113">
        <v>24</v>
      </c>
      <c r="W2113">
        <v>1</v>
      </c>
      <c r="X2113">
        <v>0</v>
      </c>
      <c r="Z2113">
        <v>0</v>
      </c>
      <c r="AA2113">
        <v>40.705204</v>
      </c>
      <c r="AB2113">
        <v>-73.800642</v>
      </c>
      <c r="AD2113" t="s">
        <v>10840</v>
      </c>
      <c r="AF2113" t="s">
        <v>10844</v>
      </c>
      <c r="AG2113" t="s">
        <v>10859</v>
      </c>
      <c r="AH2113" t="s">
        <v>10861</v>
      </c>
      <c r="AI2113">
        <v>285</v>
      </c>
      <c r="AJ2113" t="s">
        <v>10208</v>
      </c>
      <c r="AL2113">
        <v>9</v>
      </c>
      <c r="AM2113" t="s">
        <v>10892</v>
      </c>
      <c r="AN2113" t="s">
        <v>10951</v>
      </c>
      <c r="AO2113" t="s">
        <v>11020</v>
      </c>
      <c r="AP2113" t="s">
        <v>11081</v>
      </c>
      <c r="AR2113" t="s">
        <v>11267</v>
      </c>
      <c r="AS2113" t="s">
        <v>11594</v>
      </c>
      <c r="AT2113" t="s">
        <v>11642</v>
      </c>
      <c r="AX2113" t="s">
        <v>10837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</row>
    <row r="2114" spans="1:59">
      <c r="A2114" s="1">
        <f>HYPERLINK("https://lsnyc.legalserver.org/matter/dynamic-profile/view/1906045","19-1906045")</f>
        <v>0</v>
      </c>
      <c r="B2114" t="s">
        <v>743</v>
      </c>
      <c r="C2114" t="s">
        <v>5647</v>
      </c>
      <c r="D2114" t="s">
        <v>9926</v>
      </c>
      <c r="E2114" t="s">
        <v>10075</v>
      </c>
      <c r="F2114">
        <v>10467</v>
      </c>
      <c r="G2114" t="s">
        <v>10090</v>
      </c>
      <c r="H2114" t="s">
        <v>10102</v>
      </c>
      <c r="I2114" t="s">
        <v>10169</v>
      </c>
      <c r="J2114" t="s">
        <v>10210</v>
      </c>
      <c r="K2114" t="s">
        <v>10218</v>
      </c>
      <c r="L2114" t="s">
        <v>10103</v>
      </c>
      <c r="M2114" t="s">
        <v>10427</v>
      </c>
      <c r="N2114" t="s">
        <v>10650</v>
      </c>
      <c r="P2114" t="s">
        <v>10749</v>
      </c>
      <c r="Q2114" t="s">
        <v>10791</v>
      </c>
      <c r="R2114" t="s">
        <v>10821</v>
      </c>
      <c r="T2114">
        <v>9120</v>
      </c>
      <c r="U2114">
        <v>760</v>
      </c>
      <c r="V2114">
        <v>75</v>
      </c>
      <c r="W2114">
        <v>1</v>
      </c>
      <c r="X2114">
        <v>0</v>
      </c>
      <c r="Y2114" t="s">
        <v>10830</v>
      </c>
      <c r="Z2114">
        <v>73.02</v>
      </c>
      <c r="AA2114">
        <v>40.8793</v>
      </c>
      <c r="AB2114">
        <v>-73.87622500000001</v>
      </c>
      <c r="AD2114" t="s">
        <v>10839</v>
      </c>
      <c r="AG2114" t="s">
        <v>10858</v>
      </c>
      <c r="AH2114" t="s">
        <v>10862</v>
      </c>
      <c r="AI2114">
        <v>230</v>
      </c>
      <c r="AJ2114" t="s">
        <v>10210</v>
      </c>
      <c r="AK2114" t="s">
        <v>10882</v>
      </c>
      <c r="AL2114">
        <v>0.6</v>
      </c>
      <c r="AM2114" t="s">
        <v>10887</v>
      </c>
      <c r="AN2114" t="s">
        <v>10919</v>
      </c>
      <c r="AO2114" t="s">
        <v>11010</v>
      </c>
      <c r="AP2114" t="s">
        <v>11057</v>
      </c>
      <c r="AR2114" t="s">
        <v>11268</v>
      </c>
      <c r="AS2114" t="s">
        <v>9926</v>
      </c>
      <c r="AY2114" t="s">
        <v>10830</v>
      </c>
      <c r="AZ2114" t="s">
        <v>11681</v>
      </c>
      <c r="BA2114" t="s">
        <v>11740</v>
      </c>
      <c r="BB2114">
        <v>0</v>
      </c>
      <c r="BC2114">
        <v>0</v>
      </c>
      <c r="BD2114">
        <v>0</v>
      </c>
      <c r="BE2114">
        <v>0</v>
      </c>
      <c r="BF2114">
        <v>2</v>
      </c>
      <c r="BG2114">
        <v>0</v>
      </c>
    </row>
    <row r="2115" spans="1:59">
      <c r="A2115" s="1">
        <f>HYPERLINK("https://lsnyc.legalserver.org/matter/dynamic-profile/view/1906046","19-1906046")</f>
        <v>0</v>
      </c>
      <c r="B2115" t="s">
        <v>1809</v>
      </c>
      <c r="C2115" t="s">
        <v>6605</v>
      </c>
      <c r="D2115" t="s">
        <v>9928</v>
      </c>
      <c r="E2115" t="s">
        <v>10075</v>
      </c>
      <c r="F2115">
        <v>11235</v>
      </c>
      <c r="G2115" t="s">
        <v>10093</v>
      </c>
      <c r="H2115" t="s">
        <v>10102</v>
      </c>
      <c r="I2115" t="s">
        <v>10171</v>
      </c>
      <c r="J2115" t="s">
        <v>10213</v>
      </c>
      <c r="K2115" t="s">
        <v>10217</v>
      </c>
      <c r="M2115" t="s">
        <v>10390</v>
      </c>
      <c r="N2115" t="s">
        <v>10671</v>
      </c>
      <c r="P2115" t="s">
        <v>10749</v>
      </c>
      <c r="Q2115" t="s">
        <v>10765</v>
      </c>
      <c r="R2115" t="s">
        <v>10820</v>
      </c>
      <c r="T2115">
        <v>5280</v>
      </c>
      <c r="U2115">
        <v>440</v>
      </c>
      <c r="V2115">
        <v>70</v>
      </c>
      <c r="W2115">
        <v>1</v>
      </c>
      <c r="X2115">
        <v>0</v>
      </c>
      <c r="Z2115">
        <v>42.27</v>
      </c>
      <c r="AA2115">
        <v>40.579475</v>
      </c>
      <c r="AB2115">
        <v>-73.967213</v>
      </c>
      <c r="AD2115" t="s">
        <v>10839</v>
      </c>
      <c r="AF2115" t="s">
        <v>10843</v>
      </c>
      <c r="AG2115" t="s">
        <v>10859</v>
      </c>
      <c r="AH2115" t="s">
        <v>10861</v>
      </c>
      <c r="AI2115">
        <v>234</v>
      </c>
      <c r="AJ2115" t="s">
        <v>10214</v>
      </c>
      <c r="AL2115">
        <v>0.95</v>
      </c>
      <c r="AR2115" t="s">
        <v>11449</v>
      </c>
      <c r="AS2115" t="s">
        <v>11595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</row>
    <row r="2116" spans="1:59">
      <c r="A2116" s="1">
        <f>HYPERLINK("https://lsnyc.legalserver.org/matter/dynamic-profile/view/1906048","19-1906048")</f>
        <v>0</v>
      </c>
      <c r="B2116" t="s">
        <v>1610</v>
      </c>
      <c r="C2116" t="s">
        <v>6418</v>
      </c>
      <c r="D2116" t="s">
        <v>9926</v>
      </c>
      <c r="E2116" t="s">
        <v>10075</v>
      </c>
      <c r="F2116">
        <v>10452</v>
      </c>
      <c r="G2116" t="s">
        <v>10090</v>
      </c>
      <c r="H2116" t="s">
        <v>10102</v>
      </c>
      <c r="I2116" t="s">
        <v>10168</v>
      </c>
      <c r="J2116" t="s">
        <v>10210</v>
      </c>
      <c r="K2116" t="s">
        <v>10218</v>
      </c>
      <c r="L2116" t="s">
        <v>10157</v>
      </c>
      <c r="M2116" t="s">
        <v>10546</v>
      </c>
      <c r="N2116" t="s">
        <v>10666</v>
      </c>
      <c r="P2116" t="s">
        <v>10749</v>
      </c>
      <c r="Q2116" t="s">
        <v>10765</v>
      </c>
      <c r="R2116" t="s">
        <v>10824</v>
      </c>
      <c r="T2116">
        <v>15600</v>
      </c>
      <c r="U2116">
        <v>1300</v>
      </c>
      <c r="V2116">
        <v>71</v>
      </c>
      <c r="W2116">
        <v>1</v>
      </c>
      <c r="X2116">
        <v>0</v>
      </c>
      <c r="Y2116" t="s">
        <v>10831</v>
      </c>
      <c r="Z2116">
        <v>124.9</v>
      </c>
      <c r="AA2116">
        <v>40.82923</v>
      </c>
      <c r="AB2116">
        <v>-73.923169</v>
      </c>
      <c r="AD2116" t="s">
        <v>10839</v>
      </c>
      <c r="AG2116" t="s">
        <v>10858</v>
      </c>
      <c r="AH2116" t="s">
        <v>10874</v>
      </c>
      <c r="AI2116">
        <v>230</v>
      </c>
      <c r="AJ2116" t="s">
        <v>10210</v>
      </c>
      <c r="AK2116" t="s">
        <v>10838</v>
      </c>
      <c r="AL2116">
        <v>7.7</v>
      </c>
      <c r="AM2116" t="s">
        <v>10884</v>
      </c>
      <c r="AN2116" t="s">
        <v>10924</v>
      </c>
      <c r="AO2116" t="s">
        <v>11013</v>
      </c>
      <c r="AP2116" t="s">
        <v>11066</v>
      </c>
      <c r="AR2116" t="s">
        <v>11316</v>
      </c>
      <c r="AS2116" t="s">
        <v>9926</v>
      </c>
      <c r="AT2116" t="s">
        <v>11641</v>
      </c>
      <c r="AX2116" t="s">
        <v>10838</v>
      </c>
      <c r="AY2116" t="s">
        <v>10831</v>
      </c>
      <c r="AZ2116" t="s">
        <v>11687</v>
      </c>
      <c r="BA2116" t="s">
        <v>11738</v>
      </c>
      <c r="BB2116">
        <v>0</v>
      </c>
      <c r="BC2116">
        <v>0</v>
      </c>
      <c r="BD2116">
        <v>0</v>
      </c>
      <c r="BE2116">
        <v>0</v>
      </c>
      <c r="BF2116">
        <v>5</v>
      </c>
      <c r="BG2116">
        <v>0</v>
      </c>
    </row>
    <row r="2117" spans="1:59">
      <c r="A2117" s="1">
        <f>HYPERLINK("https://lsnyc.legalserver.org/matter/dynamic-profile/view/1906049","19-1906049")</f>
        <v>0</v>
      </c>
      <c r="B2117" t="s">
        <v>1812</v>
      </c>
      <c r="C2117" t="s">
        <v>6608</v>
      </c>
      <c r="D2117" t="s">
        <v>9925</v>
      </c>
      <c r="E2117" t="s">
        <v>10075</v>
      </c>
      <c r="F2117">
        <v>10033</v>
      </c>
      <c r="G2117" t="s">
        <v>10089</v>
      </c>
      <c r="H2117" t="s">
        <v>10102</v>
      </c>
      <c r="I2117" t="s">
        <v>10169</v>
      </c>
      <c r="J2117" t="s">
        <v>10209</v>
      </c>
      <c r="K2117" t="s">
        <v>10217</v>
      </c>
      <c r="M2117" t="s">
        <v>10393</v>
      </c>
      <c r="N2117" t="s">
        <v>10650</v>
      </c>
      <c r="P2117" t="s">
        <v>10749</v>
      </c>
      <c r="Q2117" t="s">
        <v>10765</v>
      </c>
      <c r="R2117" t="s">
        <v>10821</v>
      </c>
      <c r="T2117">
        <v>7560</v>
      </c>
      <c r="U2117">
        <v>630</v>
      </c>
      <c r="V2117">
        <v>69</v>
      </c>
      <c r="W2117">
        <v>1</v>
      </c>
      <c r="X2117">
        <v>0</v>
      </c>
      <c r="Z2117">
        <v>60.53</v>
      </c>
      <c r="AA2117">
        <v>40.847563</v>
      </c>
      <c r="AB2117">
        <v>-73.934467</v>
      </c>
      <c r="AD2117" t="s">
        <v>10839</v>
      </c>
      <c r="AG2117" t="s">
        <v>10858</v>
      </c>
      <c r="AH2117" t="s">
        <v>10862</v>
      </c>
      <c r="AI2117">
        <v>236</v>
      </c>
      <c r="AJ2117" t="s">
        <v>10209</v>
      </c>
      <c r="AL2117">
        <v>1.9</v>
      </c>
      <c r="AM2117" t="s">
        <v>10887</v>
      </c>
      <c r="AN2117" t="s">
        <v>10937</v>
      </c>
      <c r="AO2117" t="s">
        <v>11019</v>
      </c>
      <c r="AP2117" t="s">
        <v>11074</v>
      </c>
      <c r="AR2117" t="s">
        <v>11253</v>
      </c>
      <c r="AS2117" t="s">
        <v>9925</v>
      </c>
      <c r="AT2117" t="s">
        <v>11641</v>
      </c>
      <c r="AX2117" t="s">
        <v>10838</v>
      </c>
      <c r="BA2117" t="s">
        <v>11741</v>
      </c>
      <c r="BB2117">
        <v>0</v>
      </c>
      <c r="BC2117">
        <v>0</v>
      </c>
      <c r="BD2117">
        <v>0</v>
      </c>
      <c r="BE2117">
        <v>0</v>
      </c>
      <c r="BF2117">
        <v>1</v>
      </c>
      <c r="BG2117">
        <v>0</v>
      </c>
    </row>
    <row r="2118" spans="1:59">
      <c r="A2118" s="1">
        <f>HYPERLINK("https://lsnyc.legalserver.org/matter/dynamic-profile/view/1906050","19-1906050")</f>
        <v>0</v>
      </c>
      <c r="B2118" t="s">
        <v>1813</v>
      </c>
      <c r="C2118" t="s">
        <v>6609</v>
      </c>
      <c r="D2118" t="s">
        <v>9929</v>
      </c>
      <c r="E2118" t="s">
        <v>10075</v>
      </c>
      <c r="F2118">
        <v>10312</v>
      </c>
      <c r="G2118" t="s">
        <v>10088</v>
      </c>
      <c r="H2118" t="s">
        <v>10102</v>
      </c>
      <c r="I2118" t="s">
        <v>10168</v>
      </c>
      <c r="J2118" t="s">
        <v>10208</v>
      </c>
      <c r="K2118" t="s">
        <v>10217</v>
      </c>
      <c r="M2118" t="s">
        <v>10542</v>
      </c>
      <c r="N2118" t="s">
        <v>10729</v>
      </c>
      <c r="P2118" t="s">
        <v>10754</v>
      </c>
      <c r="Q2118" t="s">
        <v>10775</v>
      </c>
      <c r="R2118" t="s">
        <v>10820</v>
      </c>
      <c r="T2118">
        <v>13440</v>
      </c>
      <c r="U2118">
        <v>1120</v>
      </c>
      <c r="V2118">
        <v>50</v>
      </c>
      <c r="W2118">
        <v>1</v>
      </c>
      <c r="X2118">
        <v>0</v>
      </c>
      <c r="Z2118">
        <v>107.61</v>
      </c>
      <c r="AA2118">
        <v>40.536965</v>
      </c>
      <c r="AB2118">
        <v>-74.15255399999999</v>
      </c>
      <c r="AD2118" t="s">
        <v>10839</v>
      </c>
      <c r="AG2118" t="s">
        <v>10858</v>
      </c>
      <c r="AH2118" t="s">
        <v>10861</v>
      </c>
      <c r="AI2118">
        <v>285</v>
      </c>
      <c r="AJ2118" t="s">
        <v>10208</v>
      </c>
      <c r="AL2118">
        <v>2.7</v>
      </c>
      <c r="AM2118" t="s">
        <v>10883</v>
      </c>
      <c r="AN2118" t="s">
        <v>10906</v>
      </c>
      <c r="AO2118" t="s">
        <v>10999</v>
      </c>
      <c r="AP2118" t="s">
        <v>11044</v>
      </c>
      <c r="AR2118" t="s">
        <v>11263</v>
      </c>
      <c r="AS2118" t="s">
        <v>11593</v>
      </c>
      <c r="AT2118" t="s">
        <v>11641</v>
      </c>
      <c r="AX2118" t="s">
        <v>10838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</row>
    <row r="2119" spans="1:59">
      <c r="A2119" s="1">
        <f>HYPERLINK("https://lsnyc.legalserver.org/matter/dynamic-profile/view/1906051","19-1906051")</f>
        <v>0</v>
      </c>
      <c r="B2119" t="s">
        <v>1814</v>
      </c>
      <c r="C2119" t="s">
        <v>6610</v>
      </c>
      <c r="D2119" t="s">
        <v>9926</v>
      </c>
      <c r="E2119" t="s">
        <v>10075</v>
      </c>
      <c r="F2119">
        <v>10458</v>
      </c>
      <c r="G2119" t="s">
        <v>10091</v>
      </c>
      <c r="H2119" t="s">
        <v>10102</v>
      </c>
      <c r="I2119" t="s">
        <v>10169</v>
      </c>
      <c r="J2119" t="s">
        <v>10211</v>
      </c>
      <c r="K2119" t="s">
        <v>10218</v>
      </c>
      <c r="L2119" t="s">
        <v>10141</v>
      </c>
      <c r="M2119" t="s">
        <v>10231</v>
      </c>
      <c r="N2119" t="s">
        <v>10647</v>
      </c>
      <c r="P2119" t="s">
        <v>10752</v>
      </c>
      <c r="Q2119" t="s">
        <v>10762</v>
      </c>
      <c r="R2119" t="s">
        <v>10823</v>
      </c>
      <c r="T2119">
        <v>5040</v>
      </c>
      <c r="U2119">
        <v>420</v>
      </c>
      <c r="V2119">
        <v>60</v>
      </c>
      <c r="W2119">
        <v>2</v>
      </c>
      <c r="X2119">
        <v>0</v>
      </c>
      <c r="Y2119" t="s">
        <v>10829</v>
      </c>
      <c r="Z2119">
        <v>29.8</v>
      </c>
      <c r="AA2119">
        <v>40.869434</v>
      </c>
      <c r="AB2119">
        <v>-73.886624</v>
      </c>
      <c r="AD2119" t="s">
        <v>10840</v>
      </c>
      <c r="AF2119" t="s">
        <v>10843</v>
      </c>
      <c r="AG2119" t="s">
        <v>10859</v>
      </c>
      <c r="AH2119" t="s">
        <v>10861</v>
      </c>
      <c r="AI2119">
        <v>234</v>
      </c>
      <c r="AJ2119" t="s">
        <v>10214</v>
      </c>
      <c r="AK2119" t="s">
        <v>10882</v>
      </c>
      <c r="AL2119">
        <v>1.6</v>
      </c>
      <c r="AM2119" t="s">
        <v>10887</v>
      </c>
      <c r="AN2119" t="s">
        <v>10907</v>
      </c>
      <c r="AO2119" t="s">
        <v>11000</v>
      </c>
      <c r="AP2119" t="s">
        <v>11056</v>
      </c>
      <c r="AR2119" t="s">
        <v>11257</v>
      </c>
      <c r="AS2119" t="s">
        <v>9926</v>
      </c>
      <c r="AT2119" t="s">
        <v>11642</v>
      </c>
      <c r="AX2119" t="s">
        <v>10838</v>
      </c>
      <c r="AY2119" t="s">
        <v>10829</v>
      </c>
      <c r="AZ2119" t="s">
        <v>11680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</row>
    <row r="2120" spans="1:59">
      <c r="A2120" s="1">
        <f>HYPERLINK("https://lsnyc.legalserver.org/matter/dynamic-profile/view/1906052","19-1906052")</f>
        <v>0</v>
      </c>
      <c r="B2120" t="s">
        <v>1815</v>
      </c>
      <c r="C2120" t="s">
        <v>6611</v>
      </c>
      <c r="D2120" t="s">
        <v>9938</v>
      </c>
      <c r="E2120" t="s">
        <v>10075</v>
      </c>
      <c r="F2120">
        <v>11436</v>
      </c>
      <c r="G2120" t="s">
        <v>10092</v>
      </c>
      <c r="H2120" t="s">
        <v>10102</v>
      </c>
      <c r="I2120" t="s">
        <v>10168</v>
      </c>
      <c r="J2120" t="s">
        <v>10212</v>
      </c>
      <c r="K2120" t="s">
        <v>10218</v>
      </c>
      <c r="L2120" t="s">
        <v>10104</v>
      </c>
      <c r="M2120" t="s">
        <v>10520</v>
      </c>
      <c r="N2120" t="s">
        <v>10678</v>
      </c>
      <c r="P2120" t="s">
        <v>10749</v>
      </c>
      <c r="Q2120" t="s">
        <v>10769</v>
      </c>
      <c r="R2120" t="s">
        <v>10824</v>
      </c>
      <c r="T2120">
        <v>8664</v>
      </c>
      <c r="U2120">
        <v>722</v>
      </c>
      <c r="V2120">
        <v>62</v>
      </c>
      <c r="W2120">
        <v>2</v>
      </c>
      <c r="X2120">
        <v>0</v>
      </c>
      <c r="Y2120" t="s">
        <v>10829</v>
      </c>
      <c r="Z2120">
        <v>51.24</v>
      </c>
      <c r="AA2120">
        <v>40.672585</v>
      </c>
      <c r="AB2120">
        <v>-73.791613</v>
      </c>
      <c r="AD2120" t="s">
        <v>10840</v>
      </c>
      <c r="AG2120" t="s">
        <v>10858</v>
      </c>
      <c r="AH2120" t="s">
        <v>10861</v>
      </c>
      <c r="AI2120">
        <v>234</v>
      </c>
      <c r="AJ2120" t="s">
        <v>10214</v>
      </c>
      <c r="AK2120" t="s">
        <v>10838</v>
      </c>
      <c r="AL2120">
        <v>2.05</v>
      </c>
      <c r="AM2120" t="s">
        <v>10892</v>
      </c>
      <c r="AN2120" t="s">
        <v>10951</v>
      </c>
      <c r="AO2120" t="s">
        <v>11017</v>
      </c>
      <c r="AP2120" t="s">
        <v>11070</v>
      </c>
      <c r="AQ2120" t="s">
        <v>11199</v>
      </c>
      <c r="AR2120" t="s">
        <v>11300</v>
      </c>
      <c r="AS2120" t="s">
        <v>11594</v>
      </c>
      <c r="AT2120" t="s">
        <v>11642</v>
      </c>
      <c r="AX2120" t="s">
        <v>10838</v>
      </c>
      <c r="AY2120" t="s">
        <v>10829</v>
      </c>
      <c r="AZ2120" t="s">
        <v>11681</v>
      </c>
      <c r="BA2120" t="s">
        <v>11741</v>
      </c>
      <c r="BB2120">
        <v>0</v>
      </c>
      <c r="BC2120">
        <v>0</v>
      </c>
      <c r="BD2120">
        <v>0</v>
      </c>
      <c r="BE2120">
        <v>0</v>
      </c>
      <c r="BF2120">
        <v>1</v>
      </c>
      <c r="BG2120">
        <v>0</v>
      </c>
    </row>
    <row r="2121" spans="1:59">
      <c r="A2121" s="1">
        <f>HYPERLINK("https://lsnyc.legalserver.org/matter/dynamic-profile/view/1906053","19-1906053")</f>
        <v>0</v>
      </c>
      <c r="B2121" t="s">
        <v>1816</v>
      </c>
      <c r="C2121" t="s">
        <v>6514</v>
      </c>
      <c r="D2121" t="s">
        <v>9925</v>
      </c>
      <c r="E2121" t="s">
        <v>10075</v>
      </c>
      <c r="F2121">
        <v>10031</v>
      </c>
      <c r="G2121" t="s">
        <v>10091</v>
      </c>
      <c r="H2121" t="s">
        <v>10102</v>
      </c>
      <c r="I2121" t="s">
        <v>10169</v>
      </c>
      <c r="J2121" t="s">
        <v>10214</v>
      </c>
      <c r="K2121" t="s">
        <v>10217</v>
      </c>
      <c r="M2121" t="s">
        <v>10286</v>
      </c>
      <c r="N2121" t="s">
        <v>10671</v>
      </c>
      <c r="P2121" t="s">
        <v>10751</v>
      </c>
      <c r="Q2121" t="s">
        <v>10768</v>
      </c>
      <c r="R2121" t="s">
        <v>10821</v>
      </c>
      <c r="T2121">
        <v>1560</v>
      </c>
      <c r="U2121">
        <v>130</v>
      </c>
      <c r="V2121">
        <v>56</v>
      </c>
      <c r="W2121">
        <v>1</v>
      </c>
      <c r="X2121">
        <v>0</v>
      </c>
      <c r="Z2121">
        <v>12.49</v>
      </c>
      <c r="AA2121">
        <v>40.819355</v>
      </c>
      <c r="AB2121">
        <v>-73.9555</v>
      </c>
      <c r="AD2121" t="s">
        <v>10839</v>
      </c>
      <c r="AG2121" t="s">
        <v>10858</v>
      </c>
      <c r="AH2121" t="s">
        <v>10871</v>
      </c>
      <c r="AI2121">
        <v>234</v>
      </c>
      <c r="AJ2121" t="s">
        <v>10214</v>
      </c>
      <c r="AL2121">
        <v>1</v>
      </c>
      <c r="AM2121" t="s">
        <v>10887</v>
      </c>
      <c r="AN2121" t="s">
        <v>10936</v>
      </c>
      <c r="AO2121" t="s">
        <v>11019</v>
      </c>
      <c r="AP2121" t="s">
        <v>11073</v>
      </c>
      <c r="AR2121" t="s">
        <v>11311</v>
      </c>
      <c r="AS2121" t="s">
        <v>9925</v>
      </c>
      <c r="AT2121" t="s">
        <v>11641</v>
      </c>
      <c r="AX2121" t="s">
        <v>10838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</row>
    <row r="2122" spans="1:59">
      <c r="A2122" s="1">
        <f>HYPERLINK("https://lsnyc.legalserver.org/matter/dynamic-profile/view/1906055","19-1906055")</f>
        <v>0</v>
      </c>
      <c r="B2122" t="s">
        <v>1817</v>
      </c>
      <c r="C2122" t="s">
        <v>6612</v>
      </c>
      <c r="D2122" t="s">
        <v>9928</v>
      </c>
      <c r="E2122" t="s">
        <v>10075</v>
      </c>
      <c r="F2122">
        <v>11213</v>
      </c>
      <c r="G2122" t="s">
        <v>10093</v>
      </c>
      <c r="H2122" t="s">
        <v>10102</v>
      </c>
      <c r="I2122" t="s">
        <v>10168</v>
      </c>
      <c r="J2122" t="s">
        <v>10213</v>
      </c>
      <c r="K2122" t="s">
        <v>10217</v>
      </c>
      <c r="M2122" t="s">
        <v>10390</v>
      </c>
      <c r="N2122" t="s">
        <v>10671</v>
      </c>
      <c r="P2122" t="s">
        <v>10751</v>
      </c>
      <c r="Q2122" t="s">
        <v>10800</v>
      </c>
      <c r="R2122" t="s">
        <v>10824</v>
      </c>
      <c r="T2122">
        <v>36780</v>
      </c>
      <c r="U2122">
        <v>3065</v>
      </c>
      <c r="V2122">
        <v>67</v>
      </c>
      <c r="W2122">
        <v>3</v>
      </c>
      <c r="X2122">
        <v>2</v>
      </c>
      <c r="Z2122">
        <v>121.91</v>
      </c>
      <c r="AA2122">
        <v>40.673144</v>
      </c>
      <c r="AB2122">
        <v>-73.93084899999999</v>
      </c>
      <c r="AD2122" t="s">
        <v>10840</v>
      </c>
      <c r="AG2122" t="s">
        <v>10858</v>
      </c>
      <c r="AH2122" t="s">
        <v>10861</v>
      </c>
      <c r="AI2122">
        <v>234</v>
      </c>
      <c r="AJ2122" t="s">
        <v>10214</v>
      </c>
      <c r="AL2122">
        <v>2.5</v>
      </c>
      <c r="AM2122" t="s">
        <v>10888</v>
      </c>
      <c r="AN2122" t="s">
        <v>10914</v>
      </c>
      <c r="AO2122" t="s">
        <v>11007</v>
      </c>
      <c r="AP2122" t="s">
        <v>11052</v>
      </c>
      <c r="AR2122" t="s">
        <v>11379</v>
      </c>
      <c r="AS2122" t="s">
        <v>11595</v>
      </c>
      <c r="AT2122" t="s">
        <v>11641</v>
      </c>
      <c r="AX2122" t="s">
        <v>10838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</row>
    <row r="2123" spans="1:59">
      <c r="A2123" s="1">
        <f>HYPERLINK("https://lsnyc.legalserver.org/matter/dynamic-profile/view/1906056","19-1906056")</f>
        <v>0</v>
      </c>
      <c r="B2123" t="s">
        <v>1818</v>
      </c>
      <c r="C2123" t="s">
        <v>6613</v>
      </c>
      <c r="D2123" t="s">
        <v>9940</v>
      </c>
      <c r="E2123" t="s">
        <v>10075</v>
      </c>
      <c r="F2123">
        <v>11421</v>
      </c>
      <c r="G2123" t="s">
        <v>10092</v>
      </c>
      <c r="H2123" t="s">
        <v>10102</v>
      </c>
      <c r="I2123" t="s">
        <v>10168</v>
      </c>
      <c r="J2123" t="s">
        <v>10212</v>
      </c>
      <c r="K2123" t="s">
        <v>10218</v>
      </c>
      <c r="L2123" t="s">
        <v>10101</v>
      </c>
      <c r="M2123" t="s">
        <v>10491</v>
      </c>
      <c r="N2123" t="s">
        <v>10695</v>
      </c>
      <c r="P2123" t="s">
        <v>10749</v>
      </c>
      <c r="Q2123" t="s">
        <v>10765</v>
      </c>
      <c r="R2123" t="s">
        <v>10820</v>
      </c>
      <c r="T2123">
        <v>14100</v>
      </c>
      <c r="U2123">
        <v>1175</v>
      </c>
      <c r="V2123">
        <v>76</v>
      </c>
      <c r="W2123">
        <v>1</v>
      </c>
      <c r="X2123">
        <v>0</v>
      </c>
      <c r="Y2123" t="s">
        <v>10829</v>
      </c>
      <c r="Z2123">
        <v>112.89</v>
      </c>
      <c r="AA2123">
        <v>40.695122</v>
      </c>
      <c r="AB2123">
        <v>-73.85768899999999</v>
      </c>
      <c r="AD2123" t="s">
        <v>10839</v>
      </c>
      <c r="AG2123" t="s">
        <v>10858</v>
      </c>
      <c r="AH2123" t="s">
        <v>10862</v>
      </c>
      <c r="AI2123">
        <v>237</v>
      </c>
      <c r="AJ2123" t="s">
        <v>10212</v>
      </c>
      <c r="AK2123" t="s">
        <v>10838</v>
      </c>
      <c r="AL2123">
        <v>1.9</v>
      </c>
      <c r="AM2123" t="s">
        <v>10886</v>
      </c>
      <c r="AN2123" t="s">
        <v>10945</v>
      </c>
      <c r="AO2123" t="s">
        <v>11024</v>
      </c>
      <c r="AP2123" t="s">
        <v>11088</v>
      </c>
      <c r="AR2123" t="s">
        <v>11268</v>
      </c>
      <c r="AS2123" t="s">
        <v>11594</v>
      </c>
      <c r="AY2123" t="s">
        <v>10829</v>
      </c>
      <c r="AZ2123" t="s">
        <v>11681</v>
      </c>
      <c r="BA2123" t="s">
        <v>11741</v>
      </c>
      <c r="BB2123">
        <v>0</v>
      </c>
      <c r="BC2123">
        <v>0</v>
      </c>
      <c r="BD2123">
        <v>0</v>
      </c>
      <c r="BE2123">
        <v>0</v>
      </c>
      <c r="BF2123">
        <v>1</v>
      </c>
      <c r="BG2123">
        <v>0</v>
      </c>
    </row>
    <row r="2124" spans="1:59">
      <c r="A2124" s="1">
        <f>HYPERLINK("https://lsnyc.legalserver.org/matter/dynamic-profile/view/1906057","19-1906057")</f>
        <v>0</v>
      </c>
      <c r="B2124" t="s">
        <v>1819</v>
      </c>
      <c r="C2124" t="s">
        <v>6614</v>
      </c>
      <c r="D2124" t="s">
        <v>9928</v>
      </c>
      <c r="E2124" t="s">
        <v>10075</v>
      </c>
      <c r="F2124">
        <v>11226</v>
      </c>
      <c r="G2124" t="s">
        <v>10093</v>
      </c>
      <c r="H2124" t="s">
        <v>10146</v>
      </c>
      <c r="I2124" t="s">
        <v>10177</v>
      </c>
      <c r="J2124" t="s">
        <v>10213</v>
      </c>
      <c r="K2124" t="s">
        <v>10217</v>
      </c>
      <c r="M2124" t="s">
        <v>10563</v>
      </c>
      <c r="N2124" t="s">
        <v>10650</v>
      </c>
      <c r="P2124" t="s">
        <v>10749</v>
      </c>
      <c r="Q2124" t="s">
        <v>10765</v>
      </c>
      <c r="R2124" t="s">
        <v>10824</v>
      </c>
      <c r="T2124">
        <v>12000</v>
      </c>
      <c r="U2124">
        <v>1000</v>
      </c>
      <c r="V2124">
        <v>64</v>
      </c>
      <c r="W2124">
        <v>3</v>
      </c>
      <c r="X2124">
        <v>0</v>
      </c>
      <c r="Z2124">
        <v>56.26</v>
      </c>
      <c r="AA2124">
        <v>40.639948</v>
      </c>
      <c r="AB2124">
        <v>-73.952907</v>
      </c>
      <c r="AD2124" t="s">
        <v>10839</v>
      </c>
      <c r="AG2124" t="s">
        <v>10858</v>
      </c>
      <c r="AH2124" t="s">
        <v>10862</v>
      </c>
      <c r="AI2124">
        <v>239</v>
      </c>
      <c r="AJ2124" t="s">
        <v>10213</v>
      </c>
      <c r="AL2124">
        <v>2</v>
      </c>
      <c r="AM2124" t="s">
        <v>10888</v>
      </c>
      <c r="AN2124" t="s">
        <v>10932</v>
      </c>
      <c r="AO2124" t="s">
        <v>11008</v>
      </c>
      <c r="AP2124" t="s">
        <v>11065</v>
      </c>
      <c r="AR2124" t="s">
        <v>11268</v>
      </c>
      <c r="AS2124" t="s">
        <v>11595</v>
      </c>
      <c r="BA2124" t="s">
        <v>11737</v>
      </c>
      <c r="BB2124">
        <v>0</v>
      </c>
      <c r="BC2124">
        <v>0</v>
      </c>
      <c r="BD2124">
        <v>0</v>
      </c>
      <c r="BE2124">
        <v>0</v>
      </c>
      <c r="BF2124">
        <v>3</v>
      </c>
      <c r="BG2124">
        <v>0</v>
      </c>
    </row>
    <row r="2125" spans="1:59">
      <c r="A2125" s="1">
        <f>HYPERLINK("https://lsnyc.legalserver.org/matter/dynamic-profile/view/1906058","19-1906058")</f>
        <v>0</v>
      </c>
      <c r="B2125" t="s">
        <v>838</v>
      </c>
      <c r="C2125" t="s">
        <v>6615</v>
      </c>
      <c r="D2125" t="s">
        <v>9928</v>
      </c>
      <c r="E2125" t="s">
        <v>10075</v>
      </c>
      <c r="F2125">
        <v>11233</v>
      </c>
      <c r="G2125" t="s">
        <v>10093</v>
      </c>
      <c r="H2125" t="s">
        <v>10102</v>
      </c>
      <c r="I2125" t="s">
        <v>10168</v>
      </c>
      <c r="J2125" t="s">
        <v>10213</v>
      </c>
      <c r="K2125" t="s">
        <v>10217</v>
      </c>
      <c r="M2125" t="s">
        <v>10345</v>
      </c>
      <c r="N2125" t="s">
        <v>10650</v>
      </c>
      <c r="P2125" t="s">
        <v>10749</v>
      </c>
      <c r="Q2125" t="s">
        <v>10765</v>
      </c>
      <c r="R2125" t="s">
        <v>10824</v>
      </c>
      <c r="T2125">
        <v>23496</v>
      </c>
      <c r="U2125">
        <v>1958</v>
      </c>
      <c r="V2125">
        <v>48</v>
      </c>
      <c r="W2125">
        <v>3</v>
      </c>
      <c r="X2125">
        <v>0</v>
      </c>
      <c r="Z2125">
        <v>110.15</v>
      </c>
      <c r="AA2125">
        <v>40.66893</v>
      </c>
      <c r="AB2125">
        <v>-73.924271</v>
      </c>
      <c r="AD2125" t="s">
        <v>10839</v>
      </c>
      <c r="AG2125" t="s">
        <v>10858</v>
      </c>
      <c r="AH2125" t="s">
        <v>10862</v>
      </c>
      <c r="AI2125">
        <v>239</v>
      </c>
      <c r="AJ2125" t="s">
        <v>10213</v>
      </c>
      <c r="AL2125">
        <v>15.8</v>
      </c>
      <c r="AM2125" t="s">
        <v>10888</v>
      </c>
      <c r="AN2125" t="s">
        <v>10922</v>
      </c>
      <c r="AO2125" t="s">
        <v>11005</v>
      </c>
      <c r="AP2125" t="s">
        <v>11064</v>
      </c>
      <c r="AR2125" t="s">
        <v>11423</v>
      </c>
      <c r="AS2125" t="s">
        <v>11595</v>
      </c>
      <c r="AT2125" t="s">
        <v>11641</v>
      </c>
      <c r="AX2125" t="s">
        <v>10838</v>
      </c>
      <c r="BA2125" t="s">
        <v>11738</v>
      </c>
      <c r="BB2125">
        <v>0</v>
      </c>
      <c r="BC2125">
        <v>0</v>
      </c>
      <c r="BD2125">
        <v>0</v>
      </c>
      <c r="BE2125">
        <v>0</v>
      </c>
      <c r="BF2125">
        <v>5</v>
      </c>
      <c r="BG2125">
        <v>0</v>
      </c>
    </row>
    <row r="2126" spans="1:59">
      <c r="A2126" s="1">
        <f>HYPERLINK("https://lsnyc.legalserver.org/matter/dynamic-profile/view/1906059","19-1906059")</f>
        <v>0</v>
      </c>
      <c r="B2126" t="s">
        <v>1820</v>
      </c>
      <c r="C2126" t="s">
        <v>6616</v>
      </c>
      <c r="D2126" t="s">
        <v>9925</v>
      </c>
      <c r="E2126" t="s">
        <v>10075</v>
      </c>
      <c r="F2126">
        <v>10031</v>
      </c>
      <c r="G2126" t="s">
        <v>10089</v>
      </c>
      <c r="H2126" t="s">
        <v>10102</v>
      </c>
      <c r="I2126" t="s">
        <v>10169</v>
      </c>
      <c r="J2126" t="s">
        <v>10209</v>
      </c>
      <c r="K2126" t="s">
        <v>10218</v>
      </c>
      <c r="L2126" t="s">
        <v>10152</v>
      </c>
      <c r="M2126" t="s">
        <v>10472</v>
      </c>
      <c r="N2126" t="s">
        <v>10691</v>
      </c>
      <c r="P2126" t="s">
        <v>10751</v>
      </c>
      <c r="Q2126" t="s">
        <v>10776</v>
      </c>
      <c r="R2126" t="s">
        <v>10823</v>
      </c>
      <c r="T2126">
        <v>57352</v>
      </c>
      <c r="U2126">
        <v>4779.33</v>
      </c>
      <c r="V2126">
        <v>87</v>
      </c>
      <c r="W2126">
        <v>3</v>
      </c>
      <c r="X2126">
        <v>3</v>
      </c>
      <c r="Y2126" t="s">
        <v>10833</v>
      </c>
      <c r="Z2126">
        <v>165.81</v>
      </c>
      <c r="AA2126">
        <v>40.82287</v>
      </c>
      <c r="AB2126">
        <v>-73.95434</v>
      </c>
      <c r="AD2126" t="s">
        <v>10839</v>
      </c>
      <c r="AG2126" t="s">
        <v>10858</v>
      </c>
      <c r="AH2126" t="s">
        <v>10874</v>
      </c>
      <c r="AI2126">
        <v>236</v>
      </c>
      <c r="AJ2126" t="s">
        <v>10209</v>
      </c>
      <c r="AK2126" t="s">
        <v>10838</v>
      </c>
      <c r="AL2126">
        <v>24.85</v>
      </c>
      <c r="AM2126" t="s">
        <v>10887</v>
      </c>
      <c r="AN2126" t="s">
        <v>10936</v>
      </c>
      <c r="AO2126" t="s">
        <v>11019</v>
      </c>
      <c r="AP2126" t="s">
        <v>11073</v>
      </c>
      <c r="AR2126" t="s">
        <v>11265</v>
      </c>
      <c r="AS2126" t="s">
        <v>9925</v>
      </c>
      <c r="AY2126" t="s">
        <v>10833</v>
      </c>
      <c r="AZ2126" t="s">
        <v>11688</v>
      </c>
      <c r="BB2126">
        <v>0</v>
      </c>
      <c r="BC2126">
        <v>0</v>
      </c>
      <c r="BD2126">
        <v>15043.02</v>
      </c>
      <c r="BE2126">
        <v>0</v>
      </c>
      <c r="BF2126">
        <v>0</v>
      </c>
      <c r="BG2126">
        <v>0</v>
      </c>
    </row>
    <row r="2127" spans="1:59">
      <c r="A2127" s="1">
        <f>HYPERLINK("https://lsnyc.legalserver.org/matter/dynamic-profile/view/1906060","19-1906060")</f>
        <v>0</v>
      </c>
      <c r="B2127" t="s">
        <v>1821</v>
      </c>
      <c r="C2127" t="s">
        <v>6617</v>
      </c>
      <c r="D2127" t="s">
        <v>9933</v>
      </c>
      <c r="E2127" t="s">
        <v>10075</v>
      </c>
      <c r="F2127">
        <v>11420</v>
      </c>
      <c r="G2127" t="s">
        <v>10092</v>
      </c>
      <c r="H2127" t="s">
        <v>10102</v>
      </c>
      <c r="I2127" t="s">
        <v>10168</v>
      </c>
      <c r="J2127" t="s">
        <v>10212</v>
      </c>
      <c r="K2127" t="s">
        <v>10217</v>
      </c>
      <c r="M2127" t="s">
        <v>10311</v>
      </c>
      <c r="N2127" t="s">
        <v>10684</v>
      </c>
      <c r="P2127" t="s">
        <v>10751</v>
      </c>
      <c r="Q2127" t="s">
        <v>10786</v>
      </c>
      <c r="R2127" t="s">
        <v>10827</v>
      </c>
      <c r="T2127">
        <v>9240</v>
      </c>
      <c r="U2127">
        <v>770</v>
      </c>
      <c r="V2127">
        <v>81</v>
      </c>
      <c r="W2127">
        <v>1</v>
      </c>
      <c r="X2127">
        <v>0</v>
      </c>
      <c r="Z2127">
        <v>73.98</v>
      </c>
      <c r="AA2127">
        <v>40.669777</v>
      </c>
      <c r="AB2127">
        <v>-73.82144</v>
      </c>
      <c r="AD2127" t="s">
        <v>10839</v>
      </c>
      <c r="AG2127" t="s">
        <v>10858</v>
      </c>
      <c r="AH2127" t="s">
        <v>10873</v>
      </c>
      <c r="AI2127">
        <v>237</v>
      </c>
      <c r="AJ2127" t="s">
        <v>10212</v>
      </c>
      <c r="AL2127">
        <v>3</v>
      </c>
      <c r="AM2127" t="s">
        <v>10892</v>
      </c>
      <c r="AN2127" t="s">
        <v>10930</v>
      </c>
      <c r="AO2127" t="s">
        <v>11024</v>
      </c>
      <c r="AP2127" t="s">
        <v>11088</v>
      </c>
      <c r="AR2127" t="s">
        <v>11268</v>
      </c>
      <c r="AS2127" t="s">
        <v>11594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</row>
    <row r="2128" spans="1:59">
      <c r="A2128" s="1">
        <f>HYPERLINK("https://lsnyc.legalserver.org/matter/dynamic-profile/view/1906061","19-1906061")</f>
        <v>0</v>
      </c>
      <c r="B2128" t="s">
        <v>1819</v>
      </c>
      <c r="C2128" t="s">
        <v>6614</v>
      </c>
      <c r="D2128" t="s">
        <v>9928</v>
      </c>
      <c r="E2128" t="s">
        <v>10075</v>
      </c>
      <c r="F2128">
        <v>11226</v>
      </c>
      <c r="G2128" t="s">
        <v>10093</v>
      </c>
      <c r="H2128" t="s">
        <v>10102</v>
      </c>
      <c r="I2128" t="s">
        <v>10177</v>
      </c>
      <c r="J2128" t="s">
        <v>10213</v>
      </c>
      <c r="K2128" t="s">
        <v>10217</v>
      </c>
      <c r="M2128" t="s">
        <v>10563</v>
      </c>
      <c r="N2128" t="s">
        <v>10667</v>
      </c>
      <c r="P2128" t="s">
        <v>10749</v>
      </c>
      <c r="Q2128" t="s">
        <v>10765</v>
      </c>
      <c r="R2128" t="s">
        <v>10824</v>
      </c>
      <c r="T2128">
        <v>12000</v>
      </c>
      <c r="U2128">
        <v>1000</v>
      </c>
      <c r="V2128">
        <v>64</v>
      </c>
      <c r="W2128">
        <v>3</v>
      </c>
      <c r="X2128">
        <v>0</v>
      </c>
      <c r="Z2128">
        <v>56.26</v>
      </c>
      <c r="AA2128">
        <v>40.639948</v>
      </c>
      <c r="AB2128">
        <v>-73.952907</v>
      </c>
      <c r="AD2128" t="s">
        <v>10839</v>
      </c>
      <c r="AG2128" t="s">
        <v>10858</v>
      </c>
      <c r="AH2128" t="s">
        <v>10862</v>
      </c>
      <c r="AI2128">
        <v>239</v>
      </c>
      <c r="AJ2128" t="s">
        <v>10213</v>
      </c>
      <c r="AL2128">
        <v>0.5</v>
      </c>
      <c r="AM2128" t="s">
        <v>10888</v>
      </c>
      <c r="AN2128" t="s">
        <v>10932</v>
      </c>
      <c r="AO2128" t="s">
        <v>11008</v>
      </c>
      <c r="AP2128" t="s">
        <v>11065</v>
      </c>
      <c r="AR2128" t="s">
        <v>11268</v>
      </c>
      <c r="AS2128" t="s">
        <v>11595</v>
      </c>
      <c r="AT2128" t="s">
        <v>11641</v>
      </c>
      <c r="AU2128" t="s">
        <v>11645</v>
      </c>
      <c r="AV2128" t="s">
        <v>11656</v>
      </c>
      <c r="AW2128" t="s">
        <v>11645</v>
      </c>
      <c r="BA2128" t="s">
        <v>11738</v>
      </c>
      <c r="BB2128">
        <v>0</v>
      </c>
      <c r="BC2128">
        <v>0</v>
      </c>
      <c r="BD2128">
        <v>0</v>
      </c>
      <c r="BE2128">
        <v>0</v>
      </c>
      <c r="BF2128">
        <v>5</v>
      </c>
      <c r="BG2128">
        <v>0</v>
      </c>
    </row>
    <row r="2129" spans="1:59">
      <c r="A2129" s="1">
        <f>HYPERLINK("https://lsnyc.legalserver.org/matter/dynamic-profile/view/1906062","19-1906062")</f>
        <v>0</v>
      </c>
      <c r="B2129" t="s">
        <v>1822</v>
      </c>
      <c r="C2129" t="s">
        <v>6590</v>
      </c>
      <c r="D2129" t="s">
        <v>9926</v>
      </c>
      <c r="E2129" t="s">
        <v>10075</v>
      </c>
      <c r="F2129">
        <v>10474</v>
      </c>
      <c r="G2129" t="s">
        <v>10090</v>
      </c>
      <c r="H2129" t="s">
        <v>10102</v>
      </c>
      <c r="I2129" t="s">
        <v>10168</v>
      </c>
      <c r="J2129" t="s">
        <v>10210</v>
      </c>
      <c r="K2129" t="s">
        <v>10217</v>
      </c>
      <c r="M2129" t="s">
        <v>10234</v>
      </c>
      <c r="N2129" t="s">
        <v>10650</v>
      </c>
      <c r="P2129" t="s">
        <v>10749</v>
      </c>
      <c r="Q2129" t="s">
        <v>10765</v>
      </c>
      <c r="R2129" t="s">
        <v>10824</v>
      </c>
      <c r="T2129">
        <v>49400</v>
      </c>
      <c r="U2129">
        <v>4116.67</v>
      </c>
      <c r="V2129">
        <v>70</v>
      </c>
      <c r="W2129">
        <v>2</v>
      </c>
      <c r="X2129">
        <v>0</v>
      </c>
      <c r="Z2129">
        <v>292.13</v>
      </c>
      <c r="AA2129">
        <v>40.816635</v>
      </c>
      <c r="AB2129">
        <v>-73.886374</v>
      </c>
      <c r="AD2129" t="s">
        <v>10840</v>
      </c>
      <c r="AG2129" t="s">
        <v>10858</v>
      </c>
      <c r="AH2129" t="s">
        <v>10862</v>
      </c>
      <c r="AI2129">
        <v>230</v>
      </c>
      <c r="AJ2129" t="s">
        <v>10210</v>
      </c>
      <c r="AL2129">
        <v>69.45</v>
      </c>
      <c r="AM2129" t="s">
        <v>10884</v>
      </c>
      <c r="AN2129" t="s">
        <v>10924</v>
      </c>
      <c r="AO2129" t="s">
        <v>11001</v>
      </c>
      <c r="AP2129" t="s">
        <v>11062</v>
      </c>
      <c r="AR2129" t="s">
        <v>11257</v>
      </c>
      <c r="AS2129" t="s">
        <v>9926</v>
      </c>
      <c r="BA2129" t="s">
        <v>11738</v>
      </c>
      <c r="BB2129">
        <v>0</v>
      </c>
      <c r="BC2129">
        <v>0</v>
      </c>
      <c r="BD2129">
        <v>0</v>
      </c>
      <c r="BE2129">
        <v>0</v>
      </c>
      <c r="BF2129">
        <v>5</v>
      </c>
      <c r="BG2129">
        <v>0</v>
      </c>
    </row>
    <row r="2130" spans="1:59">
      <c r="A2130" s="1">
        <f>HYPERLINK("https://lsnyc.legalserver.org/matter/dynamic-profile/view/1906063","19-1906063")</f>
        <v>0</v>
      </c>
      <c r="B2130" t="s">
        <v>1823</v>
      </c>
      <c r="C2130" t="s">
        <v>6618</v>
      </c>
      <c r="D2130" t="s">
        <v>9925</v>
      </c>
      <c r="E2130" t="s">
        <v>10075</v>
      </c>
      <c r="F2130">
        <v>10009</v>
      </c>
      <c r="G2130" t="s">
        <v>10089</v>
      </c>
      <c r="H2130" t="s">
        <v>10102</v>
      </c>
      <c r="I2130" t="s">
        <v>10168</v>
      </c>
      <c r="J2130" t="s">
        <v>10209</v>
      </c>
      <c r="K2130" t="s">
        <v>10217</v>
      </c>
      <c r="M2130" t="s">
        <v>10305</v>
      </c>
      <c r="N2130" t="s">
        <v>10691</v>
      </c>
      <c r="P2130" t="s">
        <v>10752</v>
      </c>
      <c r="Q2130" t="s">
        <v>10783</v>
      </c>
      <c r="R2130" t="s">
        <v>10820</v>
      </c>
      <c r="T2130">
        <v>23400</v>
      </c>
      <c r="U2130">
        <v>1950</v>
      </c>
      <c r="V2130">
        <v>47</v>
      </c>
      <c r="W2130">
        <v>1</v>
      </c>
      <c r="X2130">
        <v>0</v>
      </c>
      <c r="Z2130">
        <v>187.35</v>
      </c>
      <c r="AA2130">
        <v>40.730038</v>
      </c>
      <c r="AB2130">
        <v>-73.980914</v>
      </c>
      <c r="AD2130" t="s">
        <v>10839</v>
      </c>
      <c r="AG2130" t="s">
        <v>10858</v>
      </c>
      <c r="AH2130" t="s">
        <v>10861</v>
      </c>
      <c r="AI2130">
        <v>234</v>
      </c>
      <c r="AJ2130" t="s">
        <v>10214</v>
      </c>
      <c r="AL2130">
        <v>3.6</v>
      </c>
      <c r="AM2130" t="s">
        <v>10891</v>
      </c>
      <c r="AN2130" t="s">
        <v>10910</v>
      </c>
      <c r="AO2130" t="s">
        <v>11021</v>
      </c>
      <c r="AP2130" t="s">
        <v>11048</v>
      </c>
      <c r="AR2130" t="s">
        <v>11293</v>
      </c>
      <c r="AS2130" t="s">
        <v>9925</v>
      </c>
      <c r="AT2130" t="s">
        <v>11641</v>
      </c>
      <c r="AX2130" t="s">
        <v>10838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</row>
    <row r="2131" spans="1:59">
      <c r="A2131" s="1">
        <f>HYPERLINK("https://lsnyc.legalserver.org/matter/dynamic-profile/view/1906065","19-1906065")</f>
        <v>0</v>
      </c>
      <c r="B2131" t="s">
        <v>1824</v>
      </c>
      <c r="C2131" t="s">
        <v>6619</v>
      </c>
      <c r="D2131" t="s">
        <v>10007</v>
      </c>
      <c r="E2131" t="s">
        <v>10082</v>
      </c>
      <c r="F2131">
        <v>20774</v>
      </c>
      <c r="G2131" t="s">
        <v>10093</v>
      </c>
      <c r="H2131" t="s">
        <v>10102</v>
      </c>
      <c r="I2131" t="s">
        <v>10168</v>
      </c>
      <c r="J2131" t="s">
        <v>10213</v>
      </c>
      <c r="K2131" t="s">
        <v>10218</v>
      </c>
      <c r="L2131" t="s">
        <v>10142</v>
      </c>
      <c r="M2131" t="s">
        <v>10414</v>
      </c>
      <c r="N2131" t="s">
        <v>10671</v>
      </c>
      <c r="P2131" t="s">
        <v>10750</v>
      </c>
      <c r="Q2131" t="s">
        <v>10760</v>
      </c>
      <c r="R2131" t="s">
        <v>10821</v>
      </c>
      <c r="T2131">
        <v>0</v>
      </c>
      <c r="U2131">
        <v>0</v>
      </c>
      <c r="V2131">
        <v>43</v>
      </c>
      <c r="W2131">
        <v>1</v>
      </c>
      <c r="X2131">
        <v>0</v>
      </c>
      <c r="Y2131" t="s">
        <v>10829</v>
      </c>
      <c r="Z2131">
        <v>0</v>
      </c>
      <c r="AA2131">
        <v>38.848914</v>
      </c>
      <c r="AB2131">
        <v>-76.808729</v>
      </c>
      <c r="AC2131" t="s">
        <v>10837</v>
      </c>
      <c r="AD2131" t="s">
        <v>10839</v>
      </c>
      <c r="AG2131" t="s">
        <v>10858</v>
      </c>
      <c r="AH2131" t="s">
        <v>10861</v>
      </c>
      <c r="AI2131">
        <v>234</v>
      </c>
      <c r="AJ2131" t="s">
        <v>10214</v>
      </c>
      <c r="AK2131" t="s">
        <v>10882</v>
      </c>
      <c r="AL2131">
        <v>2.3</v>
      </c>
      <c r="AR2131" t="s">
        <v>11267</v>
      </c>
      <c r="AS2131" t="s">
        <v>11616</v>
      </c>
      <c r="AT2131" t="s">
        <v>11641</v>
      </c>
      <c r="AX2131" t="s">
        <v>10837</v>
      </c>
      <c r="AY2131" t="s">
        <v>10829</v>
      </c>
      <c r="AZ2131" t="s">
        <v>11679</v>
      </c>
      <c r="BA2131" t="s">
        <v>11741</v>
      </c>
      <c r="BB2131">
        <v>0</v>
      </c>
      <c r="BC2131">
        <v>0</v>
      </c>
      <c r="BD2131">
        <v>0</v>
      </c>
      <c r="BE2131">
        <v>0</v>
      </c>
      <c r="BF2131">
        <v>1</v>
      </c>
      <c r="BG2131">
        <v>0</v>
      </c>
    </row>
    <row r="2132" spans="1:59">
      <c r="A2132" s="1">
        <f>HYPERLINK("https://lsnyc.legalserver.org/matter/dynamic-profile/view/1906066","19-1906066")</f>
        <v>0</v>
      </c>
      <c r="B2132" t="s">
        <v>1825</v>
      </c>
      <c r="C2132" t="s">
        <v>6590</v>
      </c>
      <c r="D2132" t="s">
        <v>9926</v>
      </c>
      <c r="E2132" t="s">
        <v>10075</v>
      </c>
      <c r="F2132">
        <v>10474</v>
      </c>
      <c r="G2132" t="s">
        <v>10090</v>
      </c>
      <c r="H2132" t="s">
        <v>10102</v>
      </c>
      <c r="I2132" t="s">
        <v>10168</v>
      </c>
      <c r="J2132" t="s">
        <v>10210</v>
      </c>
      <c r="K2132" t="s">
        <v>10217</v>
      </c>
      <c r="M2132" t="s">
        <v>10234</v>
      </c>
      <c r="N2132" t="s">
        <v>10646</v>
      </c>
      <c r="P2132" t="s">
        <v>10749</v>
      </c>
      <c r="Q2132" t="s">
        <v>10765</v>
      </c>
      <c r="R2132" t="s">
        <v>10821</v>
      </c>
      <c r="T2132">
        <v>62000</v>
      </c>
      <c r="U2132">
        <v>5166.67</v>
      </c>
      <c r="V2132">
        <v>58</v>
      </c>
      <c r="W2132">
        <v>2</v>
      </c>
      <c r="X2132">
        <v>0</v>
      </c>
      <c r="Z2132">
        <v>366.65</v>
      </c>
      <c r="AA2132">
        <v>40.816635</v>
      </c>
      <c r="AB2132">
        <v>-73.886374</v>
      </c>
      <c r="AD2132" t="s">
        <v>10839</v>
      </c>
      <c r="AG2132" t="s">
        <v>10858</v>
      </c>
      <c r="AH2132" t="s">
        <v>10862</v>
      </c>
      <c r="AI2132">
        <v>230</v>
      </c>
      <c r="AJ2132" t="s">
        <v>10210</v>
      </c>
      <c r="AL2132">
        <v>0</v>
      </c>
      <c r="AM2132" t="s">
        <v>10884</v>
      </c>
      <c r="AN2132" t="s">
        <v>10924</v>
      </c>
      <c r="AO2132" t="s">
        <v>11001</v>
      </c>
      <c r="AP2132" t="s">
        <v>11062</v>
      </c>
      <c r="AR2132" t="s">
        <v>11328</v>
      </c>
      <c r="AS2132" t="s">
        <v>9926</v>
      </c>
      <c r="BA2132" t="s">
        <v>11738</v>
      </c>
      <c r="BB2132">
        <v>0</v>
      </c>
      <c r="BC2132">
        <v>0</v>
      </c>
      <c r="BD2132">
        <v>0</v>
      </c>
      <c r="BE2132">
        <v>0</v>
      </c>
      <c r="BF2132">
        <v>5</v>
      </c>
      <c r="BG2132">
        <v>0</v>
      </c>
    </row>
    <row r="2133" spans="1:59">
      <c r="A2133" s="1">
        <f>HYPERLINK("https://lsnyc.legalserver.org/matter/dynamic-profile/view/1906067","19-1906067")</f>
        <v>0</v>
      </c>
      <c r="B2133" t="s">
        <v>1826</v>
      </c>
      <c r="C2133" t="s">
        <v>6620</v>
      </c>
      <c r="D2133" t="s">
        <v>9929</v>
      </c>
      <c r="E2133" t="s">
        <v>10075</v>
      </c>
      <c r="F2133">
        <v>10312</v>
      </c>
      <c r="G2133" t="s">
        <v>10088</v>
      </c>
      <c r="H2133" t="s">
        <v>10103</v>
      </c>
      <c r="I2133" t="s">
        <v>10168</v>
      </c>
      <c r="J2133" t="s">
        <v>10208</v>
      </c>
      <c r="K2133" t="s">
        <v>10217</v>
      </c>
      <c r="M2133" t="s">
        <v>10468</v>
      </c>
      <c r="N2133" t="s">
        <v>10644</v>
      </c>
      <c r="P2133" t="s">
        <v>10749</v>
      </c>
      <c r="Q2133" t="s">
        <v>10791</v>
      </c>
      <c r="R2133" t="s">
        <v>10820</v>
      </c>
      <c r="T2133">
        <v>22820</v>
      </c>
      <c r="U2133">
        <v>1901.67</v>
      </c>
      <c r="V2133">
        <v>82</v>
      </c>
      <c r="W2133">
        <v>4</v>
      </c>
      <c r="X2133">
        <v>0</v>
      </c>
      <c r="Z2133">
        <v>88.62</v>
      </c>
      <c r="AA2133">
        <v>40.542851</v>
      </c>
      <c r="AB2133">
        <v>-74.172527</v>
      </c>
      <c r="AD2133" t="s">
        <v>10839</v>
      </c>
      <c r="AG2133" t="s">
        <v>10858</v>
      </c>
      <c r="AH2133" t="s">
        <v>10861</v>
      </c>
      <c r="AI2133">
        <v>285</v>
      </c>
      <c r="AJ2133" t="s">
        <v>10208</v>
      </c>
      <c r="AL2133">
        <v>11.4</v>
      </c>
      <c r="AM2133" t="s">
        <v>10883</v>
      </c>
      <c r="AN2133" t="s">
        <v>10906</v>
      </c>
      <c r="AO2133" t="s">
        <v>10999</v>
      </c>
      <c r="AP2133" t="s">
        <v>11044</v>
      </c>
      <c r="AR2133" t="s">
        <v>11355</v>
      </c>
      <c r="AS2133" t="s">
        <v>11593</v>
      </c>
      <c r="AT2133" t="s">
        <v>11641</v>
      </c>
      <c r="AX2133" t="s">
        <v>10838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</row>
    <row r="2134" spans="1:59">
      <c r="A2134" s="1">
        <f>HYPERLINK("https://lsnyc.legalserver.org/matter/dynamic-profile/view/1906068","19-1906068")</f>
        <v>0</v>
      </c>
      <c r="B2134" t="s">
        <v>1827</v>
      </c>
      <c r="C2134" t="s">
        <v>6621</v>
      </c>
      <c r="D2134" t="s">
        <v>9925</v>
      </c>
      <c r="E2134" t="s">
        <v>10075</v>
      </c>
      <c r="F2134">
        <v>10009</v>
      </c>
      <c r="G2134" t="s">
        <v>10089</v>
      </c>
      <c r="H2134" t="s">
        <v>10134</v>
      </c>
      <c r="I2134" t="s">
        <v>10169</v>
      </c>
      <c r="J2134" t="s">
        <v>10209</v>
      </c>
      <c r="K2134" t="s">
        <v>10217</v>
      </c>
      <c r="M2134" t="s">
        <v>10233</v>
      </c>
      <c r="N2134" t="s">
        <v>10649</v>
      </c>
      <c r="P2134" t="s">
        <v>10753</v>
      </c>
      <c r="Q2134" t="s">
        <v>10763</v>
      </c>
      <c r="R2134" t="s">
        <v>10821</v>
      </c>
      <c r="T2134">
        <v>17064</v>
      </c>
      <c r="U2134">
        <v>1422</v>
      </c>
      <c r="V2134">
        <v>60</v>
      </c>
      <c r="W2134">
        <v>2</v>
      </c>
      <c r="X2134">
        <v>2</v>
      </c>
      <c r="Z2134">
        <v>66.27</v>
      </c>
      <c r="AA2134">
        <v>40.721529</v>
      </c>
      <c r="AB2134">
        <v>-73.975796</v>
      </c>
      <c r="AD2134" t="s">
        <v>10839</v>
      </c>
      <c r="AF2134" t="s">
        <v>10843</v>
      </c>
      <c r="AG2134" t="s">
        <v>10859</v>
      </c>
      <c r="AH2134" t="s">
        <v>10864</v>
      </c>
      <c r="AI2134">
        <v>236</v>
      </c>
      <c r="AJ2134" t="s">
        <v>10209</v>
      </c>
      <c r="AL2134">
        <v>3.25</v>
      </c>
      <c r="AM2134" t="s">
        <v>10886</v>
      </c>
      <c r="AN2134" t="s">
        <v>10910</v>
      </c>
      <c r="AO2134" t="s">
        <v>11004</v>
      </c>
      <c r="AP2134" t="s">
        <v>11048</v>
      </c>
      <c r="AQ2134" t="s">
        <v>11097</v>
      </c>
      <c r="AR2134" t="s">
        <v>11346</v>
      </c>
      <c r="AS2134" t="s">
        <v>9925</v>
      </c>
      <c r="BA2134" t="s">
        <v>11739</v>
      </c>
      <c r="BB2134">
        <v>0</v>
      </c>
      <c r="BC2134">
        <v>0</v>
      </c>
      <c r="BD2134">
        <v>0</v>
      </c>
      <c r="BE2134">
        <v>0</v>
      </c>
      <c r="BF2134">
        <v>4</v>
      </c>
      <c r="BG2134">
        <v>0</v>
      </c>
    </row>
    <row r="2135" spans="1:59">
      <c r="A2135" s="1">
        <f>HYPERLINK("https://lsnyc.legalserver.org/matter/dynamic-profile/view/1906069","19-1906069")</f>
        <v>0</v>
      </c>
      <c r="B2135" t="s">
        <v>1828</v>
      </c>
      <c r="C2135" t="s">
        <v>6622</v>
      </c>
      <c r="D2135" t="s">
        <v>9925</v>
      </c>
      <c r="E2135" t="s">
        <v>10075</v>
      </c>
      <c r="F2135">
        <v>10040</v>
      </c>
      <c r="G2135" t="s">
        <v>10089</v>
      </c>
      <c r="H2135" t="s">
        <v>10102</v>
      </c>
      <c r="I2135" t="s">
        <v>10169</v>
      </c>
      <c r="J2135" t="s">
        <v>10209</v>
      </c>
      <c r="K2135" t="s">
        <v>10217</v>
      </c>
      <c r="M2135" t="s">
        <v>10381</v>
      </c>
      <c r="N2135" t="s">
        <v>10694</v>
      </c>
      <c r="P2135" t="s">
        <v>10751</v>
      </c>
      <c r="Q2135" t="s">
        <v>10780</v>
      </c>
      <c r="R2135" t="s">
        <v>10821</v>
      </c>
      <c r="T2135">
        <v>6060</v>
      </c>
      <c r="U2135">
        <v>505</v>
      </c>
      <c r="V2135">
        <v>51</v>
      </c>
      <c r="W2135">
        <v>3</v>
      </c>
      <c r="X2135">
        <v>1</v>
      </c>
      <c r="Z2135">
        <v>23.53</v>
      </c>
      <c r="AA2135">
        <v>40.856964</v>
      </c>
      <c r="AB2135">
        <v>-73.930195</v>
      </c>
      <c r="AD2135" t="s">
        <v>10839</v>
      </c>
      <c r="AF2135" t="s">
        <v>10843</v>
      </c>
      <c r="AG2135" t="s">
        <v>10859</v>
      </c>
      <c r="AH2135" t="s">
        <v>10866</v>
      </c>
      <c r="AI2135">
        <v>236</v>
      </c>
      <c r="AJ2135" t="s">
        <v>10209</v>
      </c>
      <c r="AL2135">
        <v>7.25</v>
      </c>
      <c r="AM2135" t="s">
        <v>10887</v>
      </c>
      <c r="AN2135" t="s">
        <v>10937</v>
      </c>
      <c r="AO2135" t="s">
        <v>11019</v>
      </c>
      <c r="AP2135" t="s">
        <v>11074</v>
      </c>
      <c r="AR2135" t="s">
        <v>11450</v>
      </c>
      <c r="AS2135" t="s">
        <v>9925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</row>
    <row r="2136" spans="1:59">
      <c r="A2136" s="1">
        <f>HYPERLINK("https://lsnyc.legalserver.org/matter/dynamic-profile/view/1906070","19-1906070")</f>
        <v>0</v>
      </c>
      <c r="B2136" t="s">
        <v>1829</v>
      </c>
      <c r="C2136" t="s">
        <v>6623</v>
      </c>
      <c r="D2136" t="s">
        <v>9928</v>
      </c>
      <c r="E2136" t="s">
        <v>10075</v>
      </c>
      <c r="F2136">
        <v>11235</v>
      </c>
      <c r="G2136" t="s">
        <v>10093</v>
      </c>
      <c r="H2136" t="s">
        <v>10102</v>
      </c>
      <c r="I2136" t="s">
        <v>10168</v>
      </c>
      <c r="J2136" t="s">
        <v>10213</v>
      </c>
      <c r="K2136" t="s">
        <v>10218</v>
      </c>
      <c r="L2136" t="s">
        <v>10166</v>
      </c>
      <c r="M2136" t="s">
        <v>10315</v>
      </c>
      <c r="N2136" t="s">
        <v>10671</v>
      </c>
      <c r="P2136" t="s">
        <v>10750</v>
      </c>
      <c r="Q2136" t="s">
        <v>10778</v>
      </c>
      <c r="R2136" t="s">
        <v>10820</v>
      </c>
      <c r="T2136">
        <v>0</v>
      </c>
      <c r="U2136">
        <v>0</v>
      </c>
      <c r="V2136">
        <v>56</v>
      </c>
      <c r="W2136">
        <v>1</v>
      </c>
      <c r="X2136">
        <v>0</v>
      </c>
      <c r="Y2136" t="s">
        <v>10830</v>
      </c>
      <c r="Z2136">
        <v>0</v>
      </c>
      <c r="AA2136">
        <v>40.588632</v>
      </c>
      <c r="AB2136">
        <v>-73.956785</v>
      </c>
      <c r="AD2136" t="s">
        <v>10840</v>
      </c>
      <c r="AG2136" t="s">
        <v>10858</v>
      </c>
      <c r="AH2136" t="s">
        <v>10861</v>
      </c>
      <c r="AI2136">
        <v>234</v>
      </c>
      <c r="AJ2136" t="s">
        <v>10214</v>
      </c>
      <c r="AK2136" t="s">
        <v>10838</v>
      </c>
      <c r="AL2136">
        <v>2.6</v>
      </c>
      <c r="AM2136" t="s">
        <v>10883</v>
      </c>
      <c r="AN2136" t="s">
        <v>10965</v>
      </c>
      <c r="AO2136" t="s">
        <v>11023</v>
      </c>
      <c r="AP2136" t="s">
        <v>11092</v>
      </c>
      <c r="AR2136" t="s">
        <v>11279</v>
      </c>
      <c r="AS2136" t="s">
        <v>11595</v>
      </c>
      <c r="AT2136" t="s">
        <v>11642</v>
      </c>
      <c r="AX2136" t="s">
        <v>10838</v>
      </c>
      <c r="AY2136" t="s">
        <v>10830</v>
      </c>
      <c r="AZ2136" t="s">
        <v>11679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</row>
    <row r="2137" spans="1:59">
      <c r="A2137" s="1">
        <f>HYPERLINK("https://lsnyc.legalserver.org/matter/dynamic-profile/view/1906071","19-1906071")</f>
        <v>0</v>
      </c>
      <c r="B2137" t="s">
        <v>1065</v>
      </c>
      <c r="C2137" t="s">
        <v>6624</v>
      </c>
      <c r="D2137" t="s">
        <v>9938</v>
      </c>
      <c r="E2137" t="s">
        <v>10075</v>
      </c>
      <c r="F2137">
        <v>11435</v>
      </c>
      <c r="G2137" t="s">
        <v>10092</v>
      </c>
      <c r="H2137" t="s">
        <v>10102</v>
      </c>
      <c r="I2137" t="s">
        <v>10192</v>
      </c>
      <c r="J2137" t="s">
        <v>10212</v>
      </c>
      <c r="K2137" t="s">
        <v>10218</v>
      </c>
      <c r="L2137" t="s">
        <v>10098</v>
      </c>
      <c r="M2137" t="s">
        <v>10318</v>
      </c>
      <c r="N2137" t="s">
        <v>10684</v>
      </c>
      <c r="P2137" t="s">
        <v>10751</v>
      </c>
      <c r="Q2137" t="s">
        <v>10786</v>
      </c>
      <c r="R2137" t="s">
        <v>10821</v>
      </c>
      <c r="T2137">
        <v>9564</v>
      </c>
      <c r="U2137">
        <v>797</v>
      </c>
      <c r="V2137">
        <v>67</v>
      </c>
      <c r="W2137">
        <v>1</v>
      </c>
      <c r="X2137">
        <v>0</v>
      </c>
      <c r="Y2137" t="s">
        <v>10833</v>
      </c>
      <c r="Z2137">
        <v>76.56999999999999</v>
      </c>
      <c r="AA2137">
        <v>40.708865</v>
      </c>
      <c r="AB2137">
        <v>-73.810318</v>
      </c>
      <c r="AD2137" t="s">
        <v>10839</v>
      </c>
      <c r="AG2137" t="s">
        <v>10858</v>
      </c>
      <c r="AH2137" t="s">
        <v>10861</v>
      </c>
      <c r="AI2137">
        <v>234</v>
      </c>
      <c r="AJ2137" t="s">
        <v>10214</v>
      </c>
      <c r="AK2137" t="s">
        <v>10838</v>
      </c>
      <c r="AL2137">
        <v>3.3</v>
      </c>
      <c r="AM2137" t="s">
        <v>10890</v>
      </c>
      <c r="AN2137" t="s">
        <v>10944</v>
      </c>
      <c r="AO2137" t="s">
        <v>11020</v>
      </c>
      <c r="AP2137" t="s">
        <v>11081</v>
      </c>
      <c r="AR2137" t="s">
        <v>11394</v>
      </c>
      <c r="AS2137" t="s">
        <v>11594</v>
      </c>
      <c r="AT2137" t="s">
        <v>11641</v>
      </c>
      <c r="AX2137" t="s">
        <v>10838</v>
      </c>
      <c r="AY2137" t="s">
        <v>10833</v>
      </c>
      <c r="AZ2137" t="s">
        <v>11693</v>
      </c>
      <c r="BB2137">
        <v>0</v>
      </c>
      <c r="BC2137">
        <v>0</v>
      </c>
      <c r="BD2137">
        <v>0</v>
      </c>
      <c r="BE2137">
        <v>15</v>
      </c>
      <c r="BF2137">
        <v>0</v>
      </c>
      <c r="BG2137">
        <v>0</v>
      </c>
    </row>
    <row r="2138" spans="1:59">
      <c r="A2138" s="1">
        <f>HYPERLINK("https://lsnyc.legalserver.org/matter/dynamic-profile/view/1906072","19-1906072")</f>
        <v>0</v>
      </c>
      <c r="B2138" t="s">
        <v>1830</v>
      </c>
      <c r="C2138" t="s">
        <v>6625</v>
      </c>
      <c r="D2138" t="s">
        <v>9925</v>
      </c>
      <c r="E2138" t="s">
        <v>10075</v>
      </c>
      <c r="F2138">
        <v>10025</v>
      </c>
      <c r="G2138" t="s">
        <v>10089</v>
      </c>
      <c r="H2138" t="s">
        <v>10102</v>
      </c>
      <c r="I2138" t="s">
        <v>10168</v>
      </c>
      <c r="J2138" t="s">
        <v>10209</v>
      </c>
      <c r="K2138" t="s">
        <v>10217</v>
      </c>
      <c r="M2138" t="s">
        <v>10301</v>
      </c>
      <c r="N2138" t="s">
        <v>10665</v>
      </c>
      <c r="P2138" t="s">
        <v>10751</v>
      </c>
      <c r="Q2138" t="s">
        <v>10773</v>
      </c>
      <c r="R2138" t="s">
        <v>10821</v>
      </c>
      <c r="T2138">
        <v>0</v>
      </c>
      <c r="U2138">
        <v>0</v>
      </c>
      <c r="V2138">
        <v>49</v>
      </c>
      <c r="W2138">
        <v>1</v>
      </c>
      <c r="X2138">
        <v>0</v>
      </c>
      <c r="Z2138">
        <v>0</v>
      </c>
      <c r="AA2138">
        <v>40.796103</v>
      </c>
      <c r="AB2138">
        <v>-73.969802</v>
      </c>
      <c r="AD2138" t="s">
        <v>10839</v>
      </c>
      <c r="AG2138" t="s">
        <v>10858</v>
      </c>
      <c r="AH2138" t="s">
        <v>10874</v>
      </c>
      <c r="AI2138">
        <v>236</v>
      </c>
      <c r="AJ2138" t="s">
        <v>10209</v>
      </c>
      <c r="AL2138">
        <v>2.5</v>
      </c>
      <c r="AM2138" t="s">
        <v>10894</v>
      </c>
      <c r="AN2138" t="s">
        <v>10953</v>
      </c>
      <c r="AO2138" t="s">
        <v>11016</v>
      </c>
      <c r="AP2138" t="s">
        <v>11073</v>
      </c>
      <c r="AQ2138" t="s">
        <v>11115</v>
      </c>
      <c r="AR2138" t="s">
        <v>11267</v>
      </c>
      <c r="AS2138" t="s">
        <v>9925</v>
      </c>
      <c r="AT2138" t="s">
        <v>11641</v>
      </c>
      <c r="BA2138" t="s">
        <v>11741</v>
      </c>
      <c r="BB2138">
        <v>0</v>
      </c>
      <c r="BC2138">
        <v>0</v>
      </c>
      <c r="BD2138">
        <v>0</v>
      </c>
      <c r="BE2138">
        <v>0</v>
      </c>
      <c r="BF2138">
        <v>1</v>
      </c>
      <c r="BG2138">
        <v>0</v>
      </c>
    </row>
    <row r="2139" spans="1:59">
      <c r="A2139" s="1">
        <f>HYPERLINK("https://lsnyc.legalserver.org/matter/dynamic-profile/view/1906073","19-1906073")</f>
        <v>0</v>
      </c>
      <c r="B2139" t="s">
        <v>1831</v>
      </c>
      <c r="C2139" t="s">
        <v>6626</v>
      </c>
      <c r="D2139" t="s">
        <v>9939</v>
      </c>
      <c r="E2139" t="s">
        <v>10075</v>
      </c>
      <c r="F2139">
        <v>11419</v>
      </c>
      <c r="G2139" t="s">
        <v>10092</v>
      </c>
      <c r="H2139" t="s">
        <v>10102</v>
      </c>
      <c r="I2139" t="s">
        <v>10174</v>
      </c>
      <c r="J2139" t="s">
        <v>10212</v>
      </c>
      <c r="K2139" t="s">
        <v>10217</v>
      </c>
      <c r="M2139" t="s">
        <v>10311</v>
      </c>
      <c r="N2139" t="s">
        <v>10684</v>
      </c>
      <c r="P2139" t="s">
        <v>10751</v>
      </c>
      <c r="Q2139" t="s">
        <v>10786</v>
      </c>
      <c r="R2139" t="s">
        <v>10827</v>
      </c>
      <c r="T2139">
        <v>0</v>
      </c>
      <c r="U2139">
        <v>0</v>
      </c>
      <c r="V2139">
        <v>58</v>
      </c>
      <c r="W2139">
        <v>1</v>
      </c>
      <c r="X2139">
        <v>0</v>
      </c>
      <c r="Z2139">
        <v>0</v>
      </c>
      <c r="AA2139">
        <v>40.684247</v>
      </c>
      <c r="AB2139">
        <v>-73.82274200000001</v>
      </c>
      <c r="AD2139" t="s">
        <v>10839</v>
      </c>
      <c r="AF2139" t="s">
        <v>10843</v>
      </c>
      <c r="AG2139" t="s">
        <v>10859</v>
      </c>
      <c r="AH2139" t="s">
        <v>10873</v>
      </c>
      <c r="AI2139">
        <v>237</v>
      </c>
      <c r="AJ2139" t="s">
        <v>10212</v>
      </c>
      <c r="AL2139">
        <v>3.5</v>
      </c>
      <c r="AM2139" t="s">
        <v>10892</v>
      </c>
      <c r="AN2139" t="s">
        <v>10930</v>
      </c>
      <c r="AO2139" t="s">
        <v>11017</v>
      </c>
      <c r="AP2139" t="s">
        <v>11070</v>
      </c>
      <c r="AR2139" t="s">
        <v>11267</v>
      </c>
      <c r="AS2139" t="s">
        <v>11594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</row>
    <row r="2140" spans="1:59">
      <c r="A2140" s="1">
        <f>HYPERLINK("https://lsnyc.legalserver.org/matter/dynamic-profile/view/1906075","19-1906075")</f>
        <v>0</v>
      </c>
      <c r="B2140" t="s">
        <v>1827</v>
      </c>
      <c r="C2140" t="s">
        <v>6621</v>
      </c>
      <c r="D2140" t="s">
        <v>9925</v>
      </c>
      <c r="E2140" t="s">
        <v>10075</v>
      </c>
      <c r="F2140">
        <v>10009</v>
      </c>
      <c r="G2140" t="s">
        <v>10089</v>
      </c>
      <c r="H2140" t="s">
        <v>10102</v>
      </c>
      <c r="I2140" t="s">
        <v>10169</v>
      </c>
      <c r="J2140" t="s">
        <v>10209</v>
      </c>
      <c r="K2140" t="s">
        <v>10217</v>
      </c>
      <c r="M2140" t="s">
        <v>10233</v>
      </c>
      <c r="N2140" t="s">
        <v>10649</v>
      </c>
      <c r="P2140" t="s">
        <v>10753</v>
      </c>
      <c r="Q2140" t="s">
        <v>10763</v>
      </c>
      <c r="R2140" t="s">
        <v>10821</v>
      </c>
      <c r="T2140">
        <v>17064</v>
      </c>
      <c r="U2140">
        <v>1422</v>
      </c>
      <c r="V2140">
        <v>60</v>
      </c>
      <c r="W2140">
        <v>2</v>
      </c>
      <c r="X2140">
        <v>2</v>
      </c>
      <c r="Z2140">
        <v>66.27</v>
      </c>
      <c r="AA2140">
        <v>40.721529</v>
      </c>
      <c r="AB2140">
        <v>-73.975796</v>
      </c>
      <c r="AD2140" t="s">
        <v>10839</v>
      </c>
      <c r="AF2140" t="s">
        <v>10843</v>
      </c>
      <c r="AG2140" t="s">
        <v>10859</v>
      </c>
      <c r="AH2140" t="s">
        <v>10864</v>
      </c>
      <c r="AI2140">
        <v>236</v>
      </c>
      <c r="AJ2140" t="s">
        <v>10209</v>
      </c>
      <c r="AL2140">
        <v>2.5</v>
      </c>
      <c r="AM2140" t="s">
        <v>10886</v>
      </c>
      <c r="AN2140" t="s">
        <v>10910</v>
      </c>
      <c r="AO2140" t="s">
        <v>11004</v>
      </c>
      <c r="AP2140" t="s">
        <v>11048</v>
      </c>
      <c r="AQ2140" t="s">
        <v>11104</v>
      </c>
      <c r="AR2140" t="s">
        <v>11346</v>
      </c>
      <c r="AS2140" t="s">
        <v>9925</v>
      </c>
      <c r="BA2140" t="s">
        <v>11739</v>
      </c>
      <c r="BB2140">
        <v>0</v>
      </c>
      <c r="BC2140">
        <v>0</v>
      </c>
      <c r="BD2140">
        <v>0</v>
      </c>
      <c r="BE2140">
        <v>0</v>
      </c>
      <c r="BF2140">
        <v>4</v>
      </c>
      <c r="BG2140">
        <v>0</v>
      </c>
    </row>
    <row r="2141" spans="1:59">
      <c r="A2141" s="1">
        <f>HYPERLINK("https://lsnyc.legalserver.org/matter/dynamic-profile/view/1906076","19-1906076")</f>
        <v>0</v>
      </c>
      <c r="B2141" t="s">
        <v>1832</v>
      </c>
      <c r="C2141" t="s">
        <v>5645</v>
      </c>
      <c r="D2141" t="s">
        <v>9925</v>
      </c>
      <c r="E2141" t="s">
        <v>10075</v>
      </c>
      <c r="F2141">
        <v>10034</v>
      </c>
      <c r="G2141" t="s">
        <v>10089</v>
      </c>
      <c r="H2141" t="s">
        <v>10102</v>
      </c>
      <c r="I2141" t="s">
        <v>10169</v>
      </c>
      <c r="J2141" t="s">
        <v>10209</v>
      </c>
      <c r="K2141" t="s">
        <v>10217</v>
      </c>
      <c r="M2141" t="s">
        <v>10393</v>
      </c>
      <c r="N2141" t="s">
        <v>10650</v>
      </c>
      <c r="P2141" t="s">
        <v>10749</v>
      </c>
      <c r="Q2141" t="s">
        <v>10765</v>
      </c>
      <c r="R2141" t="s">
        <v>10821</v>
      </c>
      <c r="T2141">
        <v>52000</v>
      </c>
      <c r="U2141">
        <v>4333.33</v>
      </c>
      <c r="V2141">
        <v>48</v>
      </c>
      <c r="W2141">
        <v>2</v>
      </c>
      <c r="X2141">
        <v>3</v>
      </c>
      <c r="Z2141">
        <v>172.36</v>
      </c>
      <c r="AA2141">
        <v>40.863855</v>
      </c>
      <c r="AB2141">
        <v>-73.92445499999999</v>
      </c>
      <c r="AD2141" t="s">
        <v>10840</v>
      </c>
      <c r="AG2141" t="s">
        <v>10858</v>
      </c>
      <c r="AH2141" t="s">
        <v>10862</v>
      </c>
      <c r="AI2141">
        <v>236</v>
      </c>
      <c r="AJ2141" t="s">
        <v>10209</v>
      </c>
      <c r="AL2141">
        <v>1.2</v>
      </c>
      <c r="AM2141" t="s">
        <v>10887</v>
      </c>
      <c r="AN2141" t="s">
        <v>10937</v>
      </c>
      <c r="AO2141" t="s">
        <v>11019</v>
      </c>
      <c r="AP2141" t="s">
        <v>11074</v>
      </c>
      <c r="AR2141" t="s">
        <v>11257</v>
      </c>
      <c r="AS2141" t="s">
        <v>9925</v>
      </c>
      <c r="AT2141" t="s">
        <v>11642</v>
      </c>
      <c r="AX2141" t="s">
        <v>10838</v>
      </c>
      <c r="BA2141" t="s">
        <v>11741</v>
      </c>
      <c r="BB2141">
        <v>0</v>
      </c>
      <c r="BC2141">
        <v>0</v>
      </c>
      <c r="BD2141">
        <v>0</v>
      </c>
      <c r="BE2141">
        <v>0</v>
      </c>
      <c r="BF2141">
        <v>1</v>
      </c>
      <c r="BG2141">
        <v>0</v>
      </c>
    </row>
    <row r="2142" spans="1:59">
      <c r="A2142" s="1">
        <f>HYPERLINK("https://lsnyc.legalserver.org/matter/dynamic-profile/view/1906077","19-1906077")</f>
        <v>0</v>
      </c>
      <c r="B2142" t="s">
        <v>1833</v>
      </c>
      <c r="C2142" t="s">
        <v>6347</v>
      </c>
      <c r="D2142" t="s">
        <v>9925</v>
      </c>
      <c r="E2142" t="s">
        <v>10075</v>
      </c>
      <c r="F2142">
        <v>10002</v>
      </c>
      <c r="G2142" t="s">
        <v>10089</v>
      </c>
      <c r="H2142" t="s">
        <v>10134</v>
      </c>
      <c r="I2142" t="s">
        <v>10169</v>
      </c>
      <c r="J2142" t="s">
        <v>10209</v>
      </c>
      <c r="K2142" t="s">
        <v>10217</v>
      </c>
      <c r="M2142" t="s">
        <v>10233</v>
      </c>
      <c r="N2142" t="s">
        <v>10649</v>
      </c>
      <c r="P2142" t="s">
        <v>10753</v>
      </c>
      <c r="Q2142" t="s">
        <v>10763</v>
      </c>
      <c r="R2142" t="s">
        <v>10821</v>
      </c>
      <c r="T2142">
        <v>31200</v>
      </c>
      <c r="U2142">
        <v>2600</v>
      </c>
      <c r="V2142">
        <v>46</v>
      </c>
      <c r="W2142">
        <v>2</v>
      </c>
      <c r="X2142">
        <v>0</v>
      </c>
      <c r="Z2142">
        <v>184.51</v>
      </c>
      <c r="AA2142">
        <v>40.722771</v>
      </c>
      <c r="AB2142">
        <v>-73.992672</v>
      </c>
      <c r="AD2142" t="s">
        <v>10840</v>
      </c>
      <c r="AF2142" t="s">
        <v>10843</v>
      </c>
      <c r="AG2142" t="s">
        <v>10859</v>
      </c>
      <c r="AH2142" t="s">
        <v>10864</v>
      </c>
      <c r="AI2142">
        <v>236</v>
      </c>
      <c r="AJ2142" t="s">
        <v>10209</v>
      </c>
      <c r="AL2142">
        <v>2.8</v>
      </c>
      <c r="AM2142" t="s">
        <v>10886</v>
      </c>
      <c r="AN2142" t="s">
        <v>10963</v>
      </c>
      <c r="AO2142" t="s">
        <v>11004</v>
      </c>
      <c r="AP2142" t="s">
        <v>11093</v>
      </c>
      <c r="AQ2142" t="s">
        <v>11097</v>
      </c>
      <c r="AR2142" t="s">
        <v>11257</v>
      </c>
      <c r="AS2142" t="s">
        <v>9925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</row>
    <row r="2143" spans="1:59">
      <c r="A2143" s="1">
        <f>HYPERLINK("https://lsnyc.legalserver.org/matter/dynamic-profile/view/1906078","19-1906078")</f>
        <v>0</v>
      </c>
      <c r="B2143" t="s">
        <v>1403</v>
      </c>
      <c r="C2143" t="s">
        <v>6227</v>
      </c>
      <c r="D2143" t="s">
        <v>9926</v>
      </c>
      <c r="E2143" t="s">
        <v>10075</v>
      </c>
      <c r="F2143">
        <v>10458</v>
      </c>
      <c r="G2143" t="s">
        <v>10090</v>
      </c>
      <c r="H2143" t="s">
        <v>10102</v>
      </c>
      <c r="I2143" t="s">
        <v>10169</v>
      </c>
      <c r="J2143" t="s">
        <v>10210</v>
      </c>
      <c r="K2143" t="s">
        <v>10217</v>
      </c>
      <c r="M2143" t="s">
        <v>10334</v>
      </c>
      <c r="N2143" t="s">
        <v>10671</v>
      </c>
      <c r="P2143" t="s">
        <v>10751</v>
      </c>
      <c r="Q2143" t="s">
        <v>10761</v>
      </c>
      <c r="R2143" t="s">
        <v>10821</v>
      </c>
      <c r="T2143">
        <v>0</v>
      </c>
      <c r="U2143">
        <v>0</v>
      </c>
      <c r="V2143">
        <v>37</v>
      </c>
      <c r="W2143">
        <v>1</v>
      </c>
      <c r="X2143">
        <v>2</v>
      </c>
      <c r="Z2143">
        <v>0</v>
      </c>
      <c r="AA2143">
        <v>40.85605</v>
      </c>
      <c r="AB2143">
        <v>-73.89216</v>
      </c>
      <c r="AD2143" t="s">
        <v>10839</v>
      </c>
      <c r="AF2143" t="s">
        <v>10843</v>
      </c>
      <c r="AG2143" t="s">
        <v>10859</v>
      </c>
      <c r="AH2143" t="s">
        <v>10862</v>
      </c>
      <c r="AI2143">
        <v>230</v>
      </c>
      <c r="AJ2143" t="s">
        <v>10210</v>
      </c>
      <c r="AL2143">
        <v>0.5</v>
      </c>
      <c r="AM2143" t="s">
        <v>10884</v>
      </c>
      <c r="AN2143" t="s">
        <v>10907</v>
      </c>
      <c r="AO2143" t="s">
        <v>11000</v>
      </c>
      <c r="AP2143" t="s">
        <v>11056</v>
      </c>
      <c r="AR2143" t="s">
        <v>11267</v>
      </c>
      <c r="AS2143" t="s">
        <v>9926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</row>
    <row r="2144" spans="1:59">
      <c r="A2144" s="1">
        <f>HYPERLINK("https://lsnyc.legalserver.org/matter/dynamic-profile/view/1906079","19-1906079")</f>
        <v>0</v>
      </c>
      <c r="B2144" t="s">
        <v>1833</v>
      </c>
      <c r="C2144" t="s">
        <v>6347</v>
      </c>
      <c r="D2144" t="s">
        <v>9925</v>
      </c>
      <c r="E2144" t="s">
        <v>10075</v>
      </c>
      <c r="F2144">
        <v>10002</v>
      </c>
      <c r="G2144" t="s">
        <v>10089</v>
      </c>
      <c r="H2144" t="s">
        <v>10134</v>
      </c>
      <c r="I2144" t="s">
        <v>10169</v>
      </c>
      <c r="J2144" t="s">
        <v>10209</v>
      </c>
      <c r="K2144" t="s">
        <v>10217</v>
      </c>
      <c r="M2144" t="s">
        <v>10233</v>
      </c>
      <c r="N2144" t="s">
        <v>10649</v>
      </c>
      <c r="P2144" t="s">
        <v>10753</v>
      </c>
      <c r="Q2144" t="s">
        <v>10763</v>
      </c>
      <c r="R2144" t="s">
        <v>10821</v>
      </c>
      <c r="T2144">
        <v>31200</v>
      </c>
      <c r="U2144">
        <v>2600</v>
      </c>
      <c r="V2144">
        <v>46</v>
      </c>
      <c r="W2144">
        <v>2</v>
      </c>
      <c r="X2144">
        <v>0</v>
      </c>
      <c r="Z2144">
        <v>184.51</v>
      </c>
      <c r="AA2144">
        <v>40.722771</v>
      </c>
      <c r="AB2144">
        <v>-73.992672</v>
      </c>
      <c r="AD2144" t="s">
        <v>10840</v>
      </c>
      <c r="AF2144" t="s">
        <v>10843</v>
      </c>
      <c r="AG2144" t="s">
        <v>10859</v>
      </c>
      <c r="AH2144" t="s">
        <v>10864</v>
      </c>
      <c r="AI2144">
        <v>236</v>
      </c>
      <c r="AJ2144" t="s">
        <v>10209</v>
      </c>
      <c r="AL2144">
        <v>2.7</v>
      </c>
      <c r="AM2144" t="s">
        <v>10886</v>
      </c>
      <c r="AN2144" t="s">
        <v>10963</v>
      </c>
      <c r="AO2144" t="s">
        <v>11004</v>
      </c>
      <c r="AP2144" t="s">
        <v>11093</v>
      </c>
      <c r="AQ2144" t="s">
        <v>11104</v>
      </c>
      <c r="AR2144" t="s">
        <v>11257</v>
      </c>
      <c r="AS2144" t="s">
        <v>9925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</row>
    <row r="2145" spans="1:59">
      <c r="A2145" s="1">
        <f>HYPERLINK("https://lsnyc.legalserver.org/matter/dynamic-profile/view/1906081","19-1906081")</f>
        <v>0</v>
      </c>
      <c r="B2145" t="s">
        <v>1834</v>
      </c>
      <c r="C2145" t="s">
        <v>6590</v>
      </c>
      <c r="D2145" t="s">
        <v>9926</v>
      </c>
      <c r="E2145" t="s">
        <v>10075</v>
      </c>
      <c r="F2145">
        <v>10474</v>
      </c>
      <c r="G2145" t="s">
        <v>10090</v>
      </c>
      <c r="H2145" t="s">
        <v>10102</v>
      </c>
      <c r="I2145" t="s">
        <v>10168</v>
      </c>
      <c r="J2145" t="s">
        <v>10210</v>
      </c>
      <c r="K2145" t="s">
        <v>10217</v>
      </c>
      <c r="M2145" t="s">
        <v>10234</v>
      </c>
      <c r="N2145" t="s">
        <v>10646</v>
      </c>
      <c r="P2145" t="s">
        <v>10749</v>
      </c>
      <c r="Q2145" t="s">
        <v>10765</v>
      </c>
      <c r="R2145" t="s">
        <v>10824</v>
      </c>
      <c r="T2145">
        <v>58000</v>
      </c>
      <c r="U2145">
        <v>4833.33</v>
      </c>
      <c r="V2145">
        <v>27</v>
      </c>
      <c r="W2145">
        <v>2</v>
      </c>
      <c r="X2145">
        <v>1</v>
      </c>
      <c r="Z2145">
        <v>271.92</v>
      </c>
      <c r="AA2145">
        <v>40.816635</v>
      </c>
      <c r="AB2145">
        <v>-73.886374</v>
      </c>
      <c r="AD2145" t="s">
        <v>10839</v>
      </c>
      <c r="AG2145" t="s">
        <v>10858</v>
      </c>
      <c r="AH2145" t="s">
        <v>10862</v>
      </c>
      <c r="AI2145">
        <v>230</v>
      </c>
      <c r="AJ2145" t="s">
        <v>10210</v>
      </c>
      <c r="AL2145">
        <v>0</v>
      </c>
      <c r="AM2145" t="s">
        <v>10884</v>
      </c>
      <c r="AN2145" t="s">
        <v>10924</v>
      </c>
      <c r="AO2145" t="s">
        <v>11001</v>
      </c>
      <c r="AP2145" t="s">
        <v>11062</v>
      </c>
      <c r="AR2145" t="s">
        <v>11257</v>
      </c>
      <c r="AS2145" t="s">
        <v>9926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</row>
    <row r="2146" spans="1:59">
      <c r="A2146" s="1">
        <f>HYPERLINK("https://lsnyc.legalserver.org/matter/dynamic-profile/view/1906083","19-1906083")</f>
        <v>0</v>
      </c>
      <c r="B2146" t="s">
        <v>1835</v>
      </c>
      <c r="C2146" t="s">
        <v>6627</v>
      </c>
      <c r="D2146" t="s">
        <v>9928</v>
      </c>
      <c r="E2146" t="s">
        <v>10075</v>
      </c>
      <c r="F2146">
        <v>11201</v>
      </c>
      <c r="G2146" t="s">
        <v>10093</v>
      </c>
      <c r="H2146" t="s">
        <v>10102</v>
      </c>
      <c r="I2146" t="s">
        <v>10168</v>
      </c>
      <c r="J2146" t="s">
        <v>10213</v>
      </c>
      <c r="K2146" t="s">
        <v>10217</v>
      </c>
      <c r="M2146" t="s">
        <v>10293</v>
      </c>
      <c r="N2146" t="s">
        <v>10644</v>
      </c>
      <c r="P2146" t="s">
        <v>10756</v>
      </c>
      <c r="Q2146" t="s">
        <v>10787</v>
      </c>
      <c r="R2146" t="s">
        <v>10820</v>
      </c>
      <c r="T2146">
        <v>40360</v>
      </c>
      <c r="U2146">
        <v>3363.33</v>
      </c>
      <c r="V2146">
        <v>68</v>
      </c>
      <c r="W2146">
        <v>1</v>
      </c>
      <c r="X2146">
        <v>0</v>
      </c>
      <c r="Z2146">
        <v>323.14</v>
      </c>
      <c r="AA2146">
        <v>40.690938</v>
      </c>
      <c r="AB2146">
        <v>-73.989936</v>
      </c>
      <c r="AD2146" t="s">
        <v>10839</v>
      </c>
      <c r="AG2146" t="s">
        <v>10858</v>
      </c>
      <c r="AH2146" t="s">
        <v>10869</v>
      </c>
      <c r="AI2146">
        <v>239</v>
      </c>
      <c r="AJ2146" t="s">
        <v>10213</v>
      </c>
      <c r="AL2146">
        <v>1.25</v>
      </c>
      <c r="AM2146" t="s">
        <v>10886</v>
      </c>
      <c r="AN2146" t="s">
        <v>10917</v>
      </c>
      <c r="AO2146" t="s">
        <v>11004</v>
      </c>
      <c r="AP2146" t="s">
        <v>11054</v>
      </c>
      <c r="AR2146" t="s">
        <v>11451</v>
      </c>
      <c r="AS2146" t="s">
        <v>11595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</row>
    <row r="2147" spans="1:59">
      <c r="A2147" s="1">
        <f>HYPERLINK("https://lsnyc.legalserver.org/matter/dynamic-profile/view/1906084","19-1906084")</f>
        <v>0</v>
      </c>
      <c r="B2147" t="s">
        <v>1836</v>
      </c>
      <c r="C2147" t="s">
        <v>6628</v>
      </c>
      <c r="D2147" t="s">
        <v>9929</v>
      </c>
      <c r="E2147" t="s">
        <v>10075</v>
      </c>
      <c r="F2147">
        <v>10312</v>
      </c>
      <c r="G2147" t="s">
        <v>10093</v>
      </c>
      <c r="H2147" t="s">
        <v>10102</v>
      </c>
      <c r="I2147" t="s">
        <v>10168</v>
      </c>
      <c r="J2147" t="s">
        <v>10213</v>
      </c>
      <c r="K2147" t="s">
        <v>10218</v>
      </c>
      <c r="L2147" t="s">
        <v>10147</v>
      </c>
      <c r="M2147" t="s">
        <v>10436</v>
      </c>
      <c r="N2147" t="s">
        <v>10710</v>
      </c>
      <c r="P2147" t="s">
        <v>10750</v>
      </c>
      <c r="Q2147" t="s">
        <v>10760</v>
      </c>
      <c r="R2147" t="s">
        <v>10820</v>
      </c>
      <c r="T2147">
        <v>15600</v>
      </c>
      <c r="U2147">
        <v>1300</v>
      </c>
      <c r="V2147">
        <v>85</v>
      </c>
      <c r="W2147">
        <v>1</v>
      </c>
      <c r="X2147">
        <v>0</v>
      </c>
      <c r="Y2147" t="s">
        <v>10829</v>
      </c>
      <c r="Z2147">
        <v>124.9</v>
      </c>
      <c r="AA2147">
        <v>40.532997</v>
      </c>
      <c r="AB2147">
        <v>-74.152382</v>
      </c>
      <c r="AD2147" t="s">
        <v>10839</v>
      </c>
      <c r="AG2147" t="s">
        <v>10858</v>
      </c>
      <c r="AH2147" t="s">
        <v>10861</v>
      </c>
      <c r="AI2147">
        <v>234</v>
      </c>
      <c r="AJ2147" t="s">
        <v>10214</v>
      </c>
      <c r="AK2147" t="s">
        <v>10838</v>
      </c>
      <c r="AL2147">
        <v>1</v>
      </c>
      <c r="AM2147" t="s">
        <v>10883</v>
      </c>
      <c r="AN2147" t="s">
        <v>10906</v>
      </c>
      <c r="AO2147" t="s">
        <v>10999</v>
      </c>
      <c r="AP2147" t="s">
        <v>11044</v>
      </c>
      <c r="AR2147" t="s">
        <v>11268</v>
      </c>
      <c r="AS2147" t="s">
        <v>11593</v>
      </c>
      <c r="AT2147" t="s">
        <v>11641</v>
      </c>
      <c r="AX2147" t="s">
        <v>10838</v>
      </c>
      <c r="AY2147" t="s">
        <v>10829</v>
      </c>
      <c r="AZ2147" t="s">
        <v>11679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</row>
    <row r="2148" spans="1:59">
      <c r="A2148" s="1">
        <f>HYPERLINK("https://lsnyc.legalserver.org/matter/dynamic-profile/view/1906085","19-1906085")</f>
        <v>0</v>
      </c>
      <c r="B2148" t="s">
        <v>1837</v>
      </c>
      <c r="C2148" t="s">
        <v>6590</v>
      </c>
      <c r="D2148" t="s">
        <v>9926</v>
      </c>
      <c r="E2148" t="s">
        <v>10075</v>
      </c>
      <c r="F2148">
        <v>10474</v>
      </c>
      <c r="G2148" t="s">
        <v>10090</v>
      </c>
      <c r="H2148" t="s">
        <v>10102</v>
      </c>
      <c r="I2148" t="s">
        <v>10173</v>
      </c>
      <c r="J2148" t="s">
        <v>10210</v>
      </c>
      <c r="K2148" t="s">
        <v>10217</v>
      </c>
      <c r="M2148" t="s">
        <v>10234</v>
      </c>
      <c r="N2148" t="s">
        <v>10646</v>
      </c>
      <c r="P2148" t="s">
        <v>10749</v>
      </c>
      <c r="Q2148" t="s">
        <v>10765</v>
      </c>
      <c r="R2148" t="s">
        <v>10827</v>
      </c>
      <c r="T2148">
        <v>115000</v>
      </c>
      <c r="U2148">
        <v>9583.33</v>
      </c>
      <c r="V2148">
        <v>27</v>
      </c>
      <c r="W2148">
        <v>2</v>
      </c>
      <c r="X2148">
        <v>0</v>
      </c>
      <c r="Z2148">
        <v>680.0700000000001</v>
      </c>
      <c r="AA2148">
        <v>40.816635</v>
      </c>
      <c r="AB2148">
        <v>-73.886374</v>
      </c>
      <c r="AD2148" t="s">
        <v>10839</v>
      </c>
      <c r="AF2148" t="s">
        <v>10843</v>
      </c>
      <c r="AG2148" t="s">
        <v>10859</v>
      </c>
      <c r="AH2148" t="s">
        <v>10862</v>
      </c>
      <c r="AI2148">
        <v>230</v>
      </c>
      <c r="AJ2148" t="s">
        <v>10210</v>
      </c>
      <c r="AL2148">
        <v>0</v>
      </c>
      <c r="AM2148" t="s">
        <v>10884</v>
      </c>
      <c r="AN2148" t="s">
        <v>10924</v>
      </c>
      <c r="AO2148" t="s">
        <v>11001</v>
      </c>
      <c r="AP2148" t="s">
        <v>11062</v>
      </c>
      <c r="AR2148" t="s">
        <v>11257</v>
      </c>
      <c r="AS2148" t="s">
        <v>9926</v>
      </c>
      <c r="BA2148" t="s">
        <v>11738</v>
      </c>
      <c r="BB2148">
        <v>0</v>
      </c>
      <c r="BC2148">
        <v>0</v>
      </c>
      <c r="BD2148">
        <v>0</v>
      </c>
      <c r="BE2148">
        <v>0</v>
      </c>
      <c r="BF2148">
        <v>5</v>
      </c>
      <c r="BG2148">
        <v>0</v>
      </c>
    </row>
    <row r="2149" spans="1:59">
      <c r="A2149" s="1">
        <f>HYPERLINK("https://lsnyc.legalserver.org/matter/dynamic-profile/view/1906086","19-1906086")</f>
        <v>0</v>
      </c>
      <c r="B2149" t="s">
        <v>1542</v>
      </c>
      <c r="C2149" t="s">
        <v>6629</v>
      </c>
      <c r="D2149" t="s">
        <v>9926</v>
      </c>
      <c r="E2149" t="s">
        <v>10075</v>
      </c>
      <c r="F2149">
        <v>10456</v>
      </c>
      <c r="G2149" t="s">
        <v>10090</v>
      </c>
      <c r="H2149" t="s">
        <v>10102</v>
      </c>
      <c r="I2149" t="s">
        <v>10170</v>
      </c>
      <c r="J2149" t="s">
        <v>10210</v>
      </c>
      <c r="K2149" t="s">
        <v>10217</v>
      </c>
      <c r="M2149" t="s">
        <v>10540</v>
      </c>
      <c r="N2149" t="s">
        <v>10727</v>
      </c>
      <c r="P2149" t="s">
        <v>10753</v>
      </c>
      <c r="Q2149" t="s">
        <v>10809</v>
      </c>
      <c r="R2149" t="s">
        <v>10824</v>
      </c>
      <c r="T2149">
        <v>15600</v>
      </c>
      <c r="U2149">
        <v>1300</v>
      </c>
      <c r="V2149">
        <v>32</v>
      </c>
      <c r="W2149">
        <v>1</v>
      </c>
      <c r="X2149">
        <v>0</v>
      </c>
      <c r="Z2149">
        <v>124.9</v>
      </c>
      <c r="AA2149">
        <v>40.839337</v>
      </c>
      <c r="AB2149">
        <v>-73.913008</v>
      </c>
      <c r="AD2149" t="s">
        <v>10840</v>
      </c>
      <c r="AF2149" t="s">
        <v>10842</v>
      </c>
      <c r="AG2149" t="s">
        <v>10859</v>
      </c>
      <c r="AH2149" t="s">
        <v>10864</v>
      </c>
      <c r="AI2149">
        <v>230</v>
      </c>
      <c r="AJ2149" t="s">
        <v>10210</v>
      </c>
      <c r="AL2149">
        <v>6.8</v>
      </c>
      <c r="AM2149" t="s">
        <v>10884</v>
      </c>
      <c r="AN2149" t="s">
        <v>10929</v>
      </c>
      <c r="AO2149" t="s">
        <v>11013</v>
      </c>
      <c r="AP2149" t="s">
        <v>11045</v>
      </c>
      <c r="AQ2149" t="s">
        <v>11180</v>
      </c>
      <c r="AR2149" t="s">
        <v>11257</v>
      </c>
      <c r="AS2149" t="s">
        <v>9926</v>
      </c>
      <c r="AX2149" t="s">
        <v>10837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</row>
    <row r="2150" spans="1:59">
      <c r="A2150" s="1">
        <f>HYPERLINK("https://lsnyc.legalserver.org/matter/dynamic-profile/view/1906087","19-1906087")</f>
        <v>0</v>
      </c>
      <c r="B2150" t="s">
        <v>1838</v>
      </c>
      <c r="C2150" t="s">
        <v>6630</v>
      </c>
      <c r="D2150" t="s">
        <v>9928</v>
      </c>
      <c r="E2150" t="s">
        <v>10075</v>
      </c>
      <c r="F2150">
        <v>11204</v>
      </c>
      <c r="G2150" t="s">
        <v>10093</v>
      </c>
      <c r="H2150" t="s">
        <v>10102</v>
      </c>
      <c r="I2150" t="s">
        <v>10168</v>
      </c>
      <c r="J2150" t="s">
        <v>10213</v>
      </c>
      <c r="K2150" t="s">
        <v>10217</v>
      </c>
      <c r="M2150" t="s">
        <v>10344</v>
      </c>
      <c r="N2150" t="s">
        <v>10664</v>
      </c>
      <c r="P2150" t="s">
        <v>10749</v>
      </c>
      <c r="Q2150" t="s">
        <v>10765</v>
      </c>
      <c r="R2150" t="s">
        <v>10822</v>
      </c>
      <c r="T2150">
        <v>4550</v>
      </c>
      <c r="U2150">
        <v>379.17</v>
      </c>
      <c r="V2150">
        <v>50</v>
      </c>
      <c r="W2150">
        <v>2</v>
      </c>
      <c r="X2150">
        <v>2</v>
      </c>
      <c r="Z2150">
        <v>17.67</v>
      </c>
      <c r="AA2150">
        <v>40.613847</v>
      </c>
      <c r="AB2150">
        <v>-73.98954500000001</v>
      </c>
      <c r="AD2150" t="s">
        <v>10822</v>
      </c>
      <c r="AG2150" t="s">
        <v>10858</v>
      </c>
      <c r="AH2150" t="s">
        <v>10862</v>
      </c>
      <c r="AI2150">
        <v>239</v>
      </c>
      <c r="AJ2150" t="s">
        <v>10213</v>
      </c>
      <c r="AL2150">
        <v>0</v>
      </c>
      <c r="AM2150" t="s">
        <v>10894</v>
      </c>
      <c r="AN2150" t="s">
        <v>10974</v>
      </c>
      <c r="AO2150" t="s">
        <v>11023</v>
      </c>
      <c r="AP2150" t="s">
        <v>11087</v>
      </c>
      <c r="AQ2150" t="s">
        <v>11101</v>
      </c>
      <c r="AR2150" t="s">
        <v>11311</v>
      </c>
      <c r="AS2150" t="s">
        <v>11595</v>
      </c>
      <c r="BA2150" t="s">
        <v>11742</v>
      </c>
      <c r="BB2150">
        <v>0</v>
      </c>
      <c r="BC2150">
        <v>0</v>
      </c>
      <c r="BD2150">
        <v>0</v>
      </c>
      <c r="BE2150">
        <v>0</v>
      </c>
      <c r="BF2150">
        <v>7</v>
      </c>
      <c r="BG2150">
        <v>0</v>
      </c>
    </row>
    <row r="2151" spans="1:59">
      <c r="A2151" s="1">
        <f>HYPERLINK("https://lsnyc.legalserver.org/matter/dynamic-profile/view/1906088","19-1906088")</f>
        <v>0</v>
      </c>
      <c r="B2151" t="s">
        <v>1839</v>
      </c>
      <c r="C2151" t="s">
        <v>6631</v>
      </c>
      <c r="D2151" t="s">
        <v>9925</v>
      </c>
      <c r="E2151" t="s">
        <v>10075</v>
      </c>
      <c r="F2151">
        <v>10040</v>
      </c>
      <c r="G2151" t="s">
        <v>10089</v>
      </c>
      <c r="H2151" t="s">
        <v>10102</v>
      </c>
      <c r="I2151" t="s">
        <v>10168</v>
      </c>
      <c r="J2151" t="s">
        <v>10209</v>
      </c>
      <c r="K2151" t="s">
        <v>10217</v>
      </c>
      <c r="M2151" t="s">
        <v>10301</v>
      </c>
      <c r="N2151" t="s">
        <v>10665</v>
      </c>
      <c r="P2151" t="s">
        <v>10751</v>
      </c>
      <c r="Q2151" t="s">
        <v>10773</v>
      </c>
      <c r="R2151" t="s">
        <v>10821</v>
      </c>
      <c r="T2151">
        <v>31200</v>
      </c>
      <c r="U2151">
        <v>2600</v>
      </c>
      <c r="V2151">
        <v>25</v>
      </c>
      <c r="W2151">
        <v>1</v>
      </c>
      <c r="X2151">
        <v>0</v>
      </c>
      <c r="Z2151">
        <v>249.8</v>
      </c>
      <c r="AA2151">
        <v>40.863464</v>
      </c>
      <c r="AB2151">
        <v>-73.92723100000001</v>
      </c>
      <c r="AD2151" t="s">
        <v>10840</v>
      </c>
      <c r="AG2151" t="s">
        <v>10858</v>
      </c>
      <c r="AH2151" t="s">
        <v>10861</v>
      </c>
      <c r="AI2151">
        <v>234</v>
      </c>
      <c r="AJ2151" t="s">
        <v>10214</v>
      </c>
      <c r="AL2151">
        <v>2.25</v>
      </c>
      <c r="AM2151" t="s">
        <v>10887</v>
      </c>
      <c r="AN2151" t="s">
        <v>10937</v>
      </c>
      <c r="AO2151" t="s">
        <v>11019</v>
      </c>
      <c r="AP2151" t="s">
        <v>11074</v>
      </c>
      <c r="AQ2151" t="s">
        <v>11115</v>
      </c>
      <c r="AR2151" t="s">
        <v>11257</v>
      </c>
      <c r="AS2151" t="s">
        <v>9925</v>
      </c>
      <c r="AT2151" t="s">
        <v>11642</v>
      </c>
      <c r="AX2151" t="s">
        <v>10838</v>
      </c>
      <c r="BA2151" t="s">
        <v>11741</v>
      </c>
      <c r="BB2151">
        <v>0</v>
      </c>
      <c r="BC2151">
        <v>0</v>
      </c>
      <c r="BD2151">
        <v>0</v>
      </c>
      <c r="BE2151">
        <v>0</v>
      </c>
      <c r="BF2151">
        <v>1</v>
      </c>
      <c r="BG2151">
        <v>0</v>
      </c>
    </row>
    <row r="2152" spans="1:59">
      <c r="A2152" s="1">
        <f>HYPERLINK("https://lsnyc.legalserver.org/matter/dynamic-profile/view/1906089","19-1906089")</f>
        <v>0</v>
      </c>
      <c r="B2152" t="s">
        <v>1840</v>
      </c>
      <c r="C2152" t="s">
        <v>6632</v>
      </c>
      <c r="D2152" t="s">
        <v>9928</v>
      </c>
      <c r="E2152" t="s">
        <v>10075</v>
      </c>
      <c r="F2152">
        <v>11238</v>
      </c>
      <c r="G2152" t="s">
        <v>10093</v>
      </c>
      <c r="H2152" t="s">
        <v>10102</v>
      </c>
      <c r="I2152" t="s">
        <v>10168</v>
      </c>
      <c r="J2152" t="s">
        <v>10213</v>
      </c>
      <c r="K2152" t="s">
        <v>10218</v>
      </c>
      <c r="L2152" t="s">
        <v>10102</v>
      </c>
      <c r="M2152" t="s">
        <v>10443</v>
      </c>
      <c r="N2152" t="s">
        <v>10644</v>
      </c>
      <c r="P2152" t="s">
        <v>10756</v>
      </c>
      <c r="Q2152" t="s">
        <v>10787</v>
      </c>
      <c r="R2152" t="s">
        <v>10824</v>
      </c>
      <c r="T2152">
        <v>33336</v>
      </c>
      <c r="U2152">
        <v>2778</v>
      </c>
      <c r="V2152">
        <v>70</v>
      </c>
      <c r="W2152">
        <v>3</v>
      </c>
      <c r="X2152">
        <v>0</v>
      </c>
      <c r="Y2152" t="s">
        <v>10830</v>
      </c>
      <c r="Z2152">
        <v>156.29</v>
      </c>
      <c r="AA2152">
        <v>40.674605</v>
      </c>
      <c r="AB2152">
        <v>-73.95981500000001</v>
      </c>
      <c r="AD2152" t="s">
        <v>10839</v>
      </c>
      <c r="AG2152" t="s">
        <v>10858</v>
      </c>
      <c r="AH2152" t="s">
        <v>10869</v>
      </c>
      <c r="AI2152">
        <v>239</v>
      </c>
      <c r="AJ2152" t="s">
        <v>10213</v>
      </c>
      <c r="AK2152" t="s">
        <v>10838</v>
      </c>
      <c r="AL2152">
        <v>2</v>
      </c>
      <c r="AM2152" t="s">
        <v>10888</v>
      </c>
      <c r="AN2152" t="s">
        <v>10923</v>
      </c>
      <c r="AO2152" t="s">
        <v>11005</v>
      </c>
      <c r="AP2152" t="s">
        <v>11061</v>
      </c>
      <c r="AR2152" t="s">
        <v>11379</v>
      </c>
      <c r="AS2152" t="s">
        <v>11595</v>
      </c>
      <c r="AY2152" t="s">
        <v>10830</v>
      </c>
      <c r="AZ2152" t="s">
        <v>11698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</row>
    <row r="2153" spans="1:59">
      <c r="A2153" s="1">
        <f>HYPERLINK("https://lsnyc.legalserver.org/matter/dynamic-profile/view/1906090","19-1906090")</f>
        <v>0</v>
      </c>
      <c r="B2153" t="s">
        <v>1800</v>
      </c>
      <c r="C2153" t="s">
        <v>6633</v>
      </c>
      <c r="D2153" t="s">
        <v>9928</v>
      </c>
      <c r="E2153" t="s">
        <v>10075</v>
      </c>
      <c r="F2153">
        <v>11218</v>
      </c>
      <c r="G2153" t="s">
        <v>10093</v>
      </c>
      <c r="H2153" t="s">
        <v>10102</v>
      </c>
      <c r="I2153" t="s">
        <v>10168</v>
      </c>
      <c r="J2153" t="s">
        <v>10213</v>
      </c>
      <c r="K2153" t="s">
        <v>10217</v>
      </c>
      <c r="M2153" t="s">
        <v>10236</v>
      </c>
      <c r="N2153" t="s">
        <v>10650</v>
      </c>
      <c r="P2153" t="s">
        <v>10749</v>
      </c>
      <c r="Q2153" t="s">
        <v>10765</v>
      </c>
      <c r="R2153" t="s">
        <v>10824</v>
      </c>
      <c r="T2153">
        <v>30000</v>
      </c>
      <c r="U2153">
        <v>2500</v>
      </c>
      <c r="V2153">
        <v>50</v>
      </c>
      <c r="W2153">
        <v>1</v>
      </c>
      <c r="X2153">
        <v>0</v>
      </c>
      <c r="Z2153">
        <v>240.19</v>
      </c>
      <c r="AA2153">
        <v>40.636309</v>
      </c>
      <c r="AB2153">
        <v>-73.973384</v>
      </c>
      <c r="AD2153" t="s">
        <v>10839</v>
      </c>
      <c r="AG2153" t="s">
        <v>10858</v>
      </c>
      <c r="AH2153" t="s">
        <v>10862</v>
      </c>
      <c r="AI2153">
        <v>239</v>
      </c>
      <c r="AJ2153" t="s">
        <v>10213</v>
      </c>
      <c r="AL2153">
        <v>0.6</v>
      </c>
      <c r="AM2153" t="s">
        <v>10894</v>
      </c>
      <c r="AN2153" t="s">
        <v>10941</v>
      </c>
      <c r="AO2153" t="s">
        <v>11015</v>
      </c>
      <c r="AP2153" t="s">
        <v>11059</v>
      </c>
      <c r="AR2153" t="s">
        <v>11257</v>
      </c>
      <c r="AS2153" t="s">
        <v>11595</v>
      </c>
      <c r="BA2153" t="s">
        <v>11738</v>
      </c>
      <c r="BB2153">
        <v>0</v>
      </c>
      <c r="BC2153">
        <v>0</v>
      </c>
      <c r="BD2153">
        <v>0</v>
      </c>
      <c r="BE2153">
        <v>0</v>
      </c>
      <c r="BF2153">
        <v>5</v>
      </c>
      <c r="BG2153">
        <v>0</v>
      </c>
    </row>
    <row r="2154" spans="1:59">
      <c r="A2154" s="1">
        <f>HYPERLINK("https://lsnyc.legalserver.org/matter/dynamic-profile/view/1906091","19-1906091")</f>
        <v>0</v>
      </c>
      <c r="B2154" t="s">
        <v>1841</v>
      </c>
      <c r="C2154" t="s">
        <v>6634</v>
      </c>
      <c r="D2154" t="s">
        <v>9925</v>
      </c>
      <c r="E2154" t="s">
        <v>10075</v>
      </c>
      <c r="F2154">
        <v>10029</v>
      </c>
      <c r="G2154" t="s">
        <v>10089</v>
      </c>
      <c r="H2154" t="s">
        <v>10134</v>
      </c>
      <c r="I2154" t="s">
        <v>10168</v>
      </c>
      <c r="J2154" t="s">
        <v>10209</v>
      </c>
      <c r="K2154" t="s">
        <v>10218</v>
      </c>
      <c r="L2154" t="s">
        <v>10127</v>
      </c>
      <c r="M2154" t="s">
        <v>10270</v>
      </c>
      <c r="N2154" t="s">
        <v>10716</v>
      </c>
      <c r="P2154" t="s">
        <v>10754</v>
      </c>
      <c r="Q2154" t="s">
        <v>10777</v>
      </c>
      <c r="R2154" t="s">
        <v>10821</v>
      </c>
      <c r="T2154">
        <v>0</v>
      </c>
      <c r="U2154">
        <v>0</v>
      </c>
      <c r="V2154">
        <v>38</v>
      </c>
      <c r="W2154">
        <v>1</v>
      </c>
      <c r="X2154">
        <v>2</v>
      </c>
      <c r="Y2154" t="s">
        <v>10829</v>
      </c>
      <c r="Z2154">
        <v>0</v>
      </c>
      <c r="AA2154">
        <v>40.798152</v>
      </c>
      <c r="AB2154">
        <v>-73.943431</v>
      </c>
      <c r="AD2154" t="s">
        <v>10839</v>
      </c>
      <c r="AG2154" t="s">
        <v>10858</v>
      </c>
      <c r="AH2154" t="s">
        <v>10865</v>
      </c>
      <c r="AI2154">
        <v>236</v>
      </c>
      <c r="AJ2154" t="s">
        <v>10209</v>
      </c>
      <c r="AK2154" t="s">
        <v>10837</v>
      </c>
      <c r="AL2154">
        <v>1.75</v>
      </c>
      <c r="AM2154" t="s">
        <v>10887</v>
      </c>
      <c r="AN2154" t="s">
        <v>10926</v>
      </c>
      <c r="AO2154" t="s">
        <v>11016</v>
      </c>
      <c r="AP2154" t="s">
        <v>11066</v>
      </c>
      <c r="AQ2154" t="s">
        <v>11128</v>
      </c>
      <c r="AR2154" t="s">
        <v>11267</v>
      </c>
      <c r="AS2154" t="s">
        <v>9925</v>
      </c>
      <c r="AT2154" t="s">
        <v>11641</v>
      </c>
      <c r="AY2154" t="s">
        <v>10829</v>
      </c>
      <c r="AZ2154" t="s">
        <v>11683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</row>
    <row r="2155" spans="1:59">
      <c r="A2155" s="1">
        <f>HYPERLINK("https://lsnyc.legalserver.org/matter/dynamic-profile/view/1906092","19-1906092")</f>
        <v>0</v>
      </c>
      <c r="B2155" t="s">
        <v>1842</v>
      </c>
      <c r="C2155" t="s">
        <v>6635</v>
      </c>
      <c r="D2155" t="s">
        <v>9928</v>
      </c>
      <c r="E2155" t="s">
        <v>10075</v>
      </c>
      <c r="F2155">
        <v>11207</v>
      </c>
      <c r="G2155" t="s">
        <v>10093</v>
      </c>
      <c r="H2155" t="s">
        <v>10102</v>
      </c>
      <c r="I2155" t="s">
        <v>10168</v>
      </c>
      <c r="J2155" t="s">
        <v>10213</v>
      </c>
      <c r="K2155" t="s">
        <v>10217</v>
      </c>
      <c r="M2155" t="s">
        <v>10280</v>
      </c>
      <c r="N2155" t="s">
        <v>10656</v>
      </c>
      <c r="P2155" t="s">
        <v>10751</v>
      </c>
      <c r="Q2155" t="s">
        <v>10768</v>
      </c>
      <c r="R2155" t="s">
        <v>10824</v>
      </c>
      <c r="T2155">
        <v>19500</v>
      </c>
      <c r="U2155">
        <v>1625</v>
      </c>
      <c r="V2155">
        <v>2</v>
      </c>
      <c r="W2155">
        <v>1</v>
      </c>
      <c r="X2155">
        <v>4</v>
      </c>
      <c r="Z2155">
        <v>64.63</v>
      </c>
      <c r="AA2155">
        <v>40.661134</v>
      </c>
      <c r="AB2155">
        <v>-73.887423</v>
      </c>
      <c r="AD2155" t="s">
        <v>10839</v>
      </c>
      <c r="AG2155" t="s">
        <v>10858</v>
      </c>
      <c r="AH2155" t="s">
        <v>10866</v>
      </c>
      <c r="AI2155">
        <v>239</v>
      </c>
      <c r="AJ2155" t="s">
        <v>10213</v>
      </c>
      <c r="AL2155">
        <v>2.5</v>
      </c>
      <c r="AM2155" t="s">
        <v>10889</v>
      </c>
      <c r="AN2155" t="s">
        <v>10946</v>
      </c>
      <c r="AO2155" t="s">
        <v>11012</v>
      </c>
      <c r="AP2155" t="s">
        <v>11060</v>
      </c>
      <c r="AR2155" t="s">
        <v>11262</v>
      </c>
      <c r="AS2155" t="s">
        <v>11595</v>
      </c>
      <c r="AT2155" t="s">
        <v>11641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</row>
    <row r="2156" spans="1:59">
      <c r="A2156" s="1">
        <f>HYPERLINK("https://lsnyc.legalserver.org/matter/dynamic-profile/view/1906094","19-1906094")</f>
        <v>0</v>
      </c>
      <c r="B2156" t="s">
        <v>1843</v>
      </c>
      <c r="C2156" t="s">
        <v>6636</v>
      </c>
      <c r="D2156" t="s">
        <v>9925</v>
      </c>
      <c r="E2156" t="s">
        <v>10075</v>
      </c>
      <c r="F2156">
        <v>10035</v>
      </c>
      <c r="G2156" t="s">
        <v>10089</v>
      </c>
      <c r="H2156" t="s">
        <v>10102</v>
      </c>
      <c r="I2156" t="s">
        <v>10168</v>
      </c>
      <c r="J2156" t="s">
        <v>10209</v>
      </c>
      <c r="K2156" t="s">
        <v>10217</v>
      </c>
      <c r="M2156" t="s">
        <v>10381</v>
      </c>
      <c r="N2156" t="s">
        <v>10694</v>
      </c>
      <c r="P2156" t="s">
        <v>10751</v>
      </c>
      <c r="Q2156" t="s">
        <v>10780</v>
      </c>
      <c r="R2156" t="s">
        <v>10825</v>
      </c>
      <c r="T2156">
        <v>8472</v>
      </c>
      <c r="U2156">
        <v>706</v>
      </c>
      <c r="V2156">
        <v>40</v>
      </c>
      <c r="W2156">
        <v>1</v>
      </c>
      <c r="X2156">
        <v>1</v>
      </c>
      <c r="Z2156">
        <v>50.1</v>
      </c>
      <c r="AA2156">
        <v>40.801405</v>
      </c>
      <c r="AB2156">
        <v>-73.933814</v>
      </c>
      <c r="AD2156" t="s">
        <v>10840</v>
      </c>
      <c r="AG2156" t="s">
        <v>10858</v>
      </c>
      <c r="AH2156" t="s">
        <v>10866</v>
      </c>
      <c r="AI2156">
        <v>236</v>
      </c>
      <c r="AJ2156" t="s">
        <v>10209</v>
      </c>
      <c r="AL2156">
        <v>0.45</v>
      </c>
      <c r="AM2156" t="s">
        <v>10887</v>
      </c>
      <c r="AN2156" t="s">
        <v>10926</v>
      </c>
      <c r="AO2156" t="s">
        <v>11016</v>
      </c>
      <c r="AP2156" t="s">
        <v>11066</v>
      </c>
      <c r="AR2156" t="s">
        <v>11452</v>
      </c>
      <c r="AS2156" t="s">
        <v>9925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</row>
    <row r="2157" spans="1:59">
      <c r="A2157" s="1">
        <f>HYPERLINK("https://lsnyc.legalserver.org/matter/dynamic-profile/view/1906095","19-1906095")</f>
        <v>0</v>
      </c>
      <c r="B2157" t="s">
        <v>1844</v>
      </c>
      <c r="C2157" t="s">
        <v>6637</v>
      </c>
      <c r="D2157" t="s">
        <v>9928</v>
      </c>
      <c r="E2157" t="s">
        <v>10075</v>
      </c>
      <c r="F2157">
        <v>11238</v>
      </c>
      <c r="G2157" t="s">
        <v>10093</v>
      </c>
      <c r="H2157" t="s">
        <v>10102</v>
      </c>
      <c r="I2157" t="s">
        <v>10168</v>
      </c>
      <c r="J2157" t="s">
        <v>10213</v>
      </c>
      <c r="K2157" t="s">
        <v>10217</v>
      </c>
      <c r="M2157" t="s">
        <v>10293</v>
      </c>
      <c r="N2157" t="s">
        <v>10644</v>
      </c>
      <c r="P2157" t="s">
        <v>10756</v>
      </c>
      <c r="Q2157" t="s">
        <v>10787</v>
      </c>
      <c r="R2157" t="s">
        <v>10824</v>
      </c>
      <c r="T2157">
        <v>30000</v>
      </c>
      <c r="U2157">
        <v>2500</v>
      </c>
      <c r="V2157">
        <v>77</v>
      </c>
      <c r="W2157">
        <v>1</v>
      </c>
      <c r="X2157">
        <v>0</v>
      </c>
      <c r="Z2157">
        <v>240.19</v>
      </c>
      <c r="AA2157">
        <v>40.689312</v>
      </c>
      <c r="AB2157">
        <v>-73.961782</v>
      </c>
      <c r="AD2157" t="s">
        <v>10840</v>
      </c>
      <c r="AG2157" t="s">
        <v>10858</v>
      </c>
      <c r="AH2157" t="s">
        <v>10869</v>
      </c>
      <c r="AI2157">
        <v>239</v>
      </c>
      <c r="AJ2157" t="s">
        <v>10213</v>
      </c>
      <c r="AL2157">
        <v>1</v>
      </c>
      <c r="AM2157" t="s">
        <v>10889</v>
      </c>
      <c r="AN2157" t="s">
        <v>10923</v>
      </c>
      <c r="AO2157" t="s">
        <v>11007</v>
      </c>
      <c r="AP2157" t="s">
        <v>11061</v>
      </c>
      <c r="AR2157" t="s">
        <v>11300</v>
      </c>
      <c r="AS2157" t="s">
        <v>11595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</row>
    <row r="2158" spans="1:59">
      <c r="A2158" s="1">
        <f>HYPERLINK("https://lsnyc.legalserver.org/matter/dynamic-profile/view/1906096","19-1906096")</f>
        <v>0</v>
      </c>
      <c r="B2158" t="s">
        <v>1845</v>
      </c>
      <c r="C2158" t="s">
        <v>6430</v>
      </c>
      <c r="D2158" t="s">
        <v>9926</v>
      </c>
      <c r="E2158" t="s">
        <v>10075</v>
      </c>
      <c r="F2158">
        <v>10460</v>
      </c>
      <c r="G2158" t="s">
        <v>10090</v>
      </c>
      <c r="H2158" t="s">
        <v>10102</v>
      </c>
      <c r="I2158" t="s">
        <v>10168</v>
      </c>
      <c r="J2158" t="s">
        <v>10210</v>
      </c>
      <c r="K2158" t="s">
        <v>10218</v>
      </c>
      <c r="L2158" t="s">
        <v>10103</v>
      </c>
      <c r="M2158" t="s">
        <v>10262</v>
      </c>
      <c r="N2158" t="s">
        <v>10646</v>
      </c>
      <c r="P2158" t="s">
        <v>10749</v>
      </c>
      <c r="Q2158" t="s">
        <v>10765</v>
      </c>
      <c r="R2158" t="s">
        <v>10823</v>
      </c>
      <c r="T2158">
        <v>29000</v>
      </c>
      <c r="U2158">
        <v>2416.67</v>
      </c>
      <c r="V2158">
        <v>60</v>
      </c>
      <c r="W2158">
        <v>1</v>
      </c>
      <c r="X2158">
        <v>0</v>
      </c>
      <c r="Y2158" t="s">
        <v>10829</v>
      </c>
      <c r="Z2158">
        <v>232.19</v>
      </c>
      <c r="AA2158">
        <v>40.837448</v>
      </c>
      <c r="AB2158">
        <v>-73.871172</v>
      </c>
      <c r="AD2158" t="s">
        <v>10839</v>
      </c>
      <c r="AG2158" t="s">
        <v>10858</v>
      </c>
      <c r="AH2158" t="s">
        <v>10861</v>
      </c>
      <c r="AI2158">
        <v>230</v>
      </c>
      <c r="AJ2158" t="s">
        <v>10210</v>
      </c>
      <c r="AK2158" t="s">
        <v>10838</v>
      </c>
      <c r="AL2158">
        <v>0.7</v>
      </c>
      <c r="AM2158" t="s">
        <v>10884</v>
      </c>
      <c r="AN2158" t="s">
        <v>10908</v>
      </c>
      <c r="AO2158" t="s">
        <v>11001</v>
      </c>
      <c r="AP2158" t="s">
        <v>11046</v>
      </c>
      <c r="AR2158" t="s">
        <v>11257</v>
      </c>
      <c r="AS2158" t="s">
        <v>9926</v>
      </c>
      <c r="AT2158" t="s">
        <v>11641</v>
      </c>
      <c r="AX2158" t="s">
        <v>10838</v>
      </c>
      <c r="AY2158" t="s">
        <v>10829</v>
      </c>
      <c r="AZ2158" t="s">
        <v>11681</v>
      </c>
      <c r="BA2158" t="s">
        <v>11741</v>
      </c>
      <c r="BB2158">
        <v>0</v>
      </c>
      <c r="BC2158">
        <v>0</v>
      </c>
      <c r="BD2158">
        <v>0</v>
      </c>
      <c r="BE2158">
        <v>0</v>
      </c>
      <c r="BF2158">
        <v>1</v>
      </c>
      <c r="BG2158">
        <v>0</v>
      </c>
    </row>
    <row r="2159" spans="1:59">
      <c r="A2159" s="1">
        <f>HYPERLINK("https://lsnyc.legalserver.org/matter/dynamic-profile/view/1906097","19-1906097")</f>
        <v>0</v>
      </c>
      <c r="B2159" t="s">
        <v>1846</v>
      </c>
      <c r="C2159" t="s">
        <v>6638</v>
      </c>
      <c r="D2159" t="s">
        <v>9946</v>
      </c>
      <c r="E2159" t="s">
        <v>10075</v>
      </c>
      <c r="F2159">
        <v>11385</v>
      </c>
      <c r="G2159" t="s">
        <v>10092</v>
      </c>
      <c r="H2159" t="s">
        <v>10102</v>
      </c>
      <c r="I2159" t="s">
        <v>10168</v>
      </c>
      <c r="J2159" t="s">
        <v>10212</v>
      </c>
      <c r="K2159" t="s">
        <v>10217</v>
      </c>
      <c r="M2159" t="s">
        <v>10363</v>
      </c>
      <c r="N2159" t="s">
        <v>10706</v>
      </c>
      <c r="P2159" t="s">
        <v>10753</v>
      </c>
      <c r="Q2159" t="s">
        <v>10809</v>
      </c>
      <c r="R2159" t="s">
        <v>10824</v>
      </c>
      <c r="T2159">
        <v>11400</v>
      </c>
      <c r="U2159">
        <v>950</v>
      </c>
      <c r="V2159">
        <v>27</v>
      </c>
      <c r="W2159">
        <v>1</v>
      </c>
      <c r="X2159">
        <v>0</v>
      </c>
      <c r="Z2159">
        <v>91.27</v>
      </c>
      <c r="AA2159">
        <v>40.701136</v>
      </c>
      <c r="AB2159">
        <v>-73.894969</v>
      </c>
      <c r="AC2159" t="s">
        <v>10837</v>
      </c>
      <c r="AD2159" t="s">
        <v>10840</v>
      </c>
      <c r="AG2159" t="s">
        <v>10858</v>
      </c>
      <c r="AH2159" t="s">
        <v>10861</v>
      </c>
      <c r="AI2159">
        <v>234</v>
      </c>
      <c r="AJ2159" t="s">
        <v>10214</v>
      </c>
      <c r="AL2159">
        <v>5.5</v>
      </c>
      <c r="AM2159" t="s">
        <v>10890</v>
      </c>
      <c r="AN2159" t="s">
        <v>10961</v>
      </c>
      <c r="AO2159" t="s">
        <v>11024</v>
      </c>
      <c r="AP2159" t="s">
        <v>11077</v>
      </c>
      <c r="AR2159" t="s">
        <v>11262</v>
      </c>
      <c r="AS2159" t="s">
        <v>11594</v>
      </c>
      <c r="AT2159" t="s">
        <v>11642</v>
      </c>
      <c r="AX2159" t="s">
        <v>10837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</row>
    <row r="2160" spans="1:59">
      <c r="A2160" s="1">
        <f>HYPERLINK("https://lsnyc.legalserver.org/matter/dynamic-profile/view/1906098","19-1906098")</f>
        <v>0</v>
      </c>
      <c r="B2160" t="s">
        <v>1847</v>
      </c>
      <c r="C2160" t="s">
        <v>6639</v>
      </c>
      <c r="D2160" t="s">
        <v>9925</v>
      </c>
      <c r="E2160" t="s">
        <v>10075</v>
      </c>
      <c r="F2160">
        <v>10038</v>
      </c>
      <c r="G2160" t="s">
        <v>10089</v>
      </c>
      <c r="H2160" t="s">
        <v>10134</v>
      </c>
      <c r="I2160" t="s">
        <v>10169</v>
      </c>
      <c r="J2160" t="s">
        <v>10209</v>
      </c>
      <c r="K2160" t="s">
        <v>10217</v>
      </c>
      <c r="M2160" t="s">
        <v>10503</v>
      </c>
      <c r="N2160" t="s">
        <v>10721</v>
      </c>
      <c r="P2160" t="s">
        <v>10754</v>
      </c>
      <c r="Q2160" t="s">
        <v>10766</v>
      </c>
      <c r="R2160" t="s">
        <v>10821</v>
      </c>
      <c r="T2160">
        <v>0</v>
      </c>
      <c r="U2160">
        <v>0</v>
      </c>
      <c r="V2160">
        <v>31</v>
      </c>
      <c r="W2160">
        <v>1</v>
      </c>
      <c r="X2160">
        <v>0</v>
      </c>
      <c r="Z2160">
        <v>0</v>
      </c>
      <c r="AA2160">
        <v>40.710604</v>
      </c>
      <c r="AB2160">
        <v>-73.99750899999999</v>
      </c>
      <c r="AD2160" t="s">
        <v>10839</v>
      </c>
      <c r="AF2160" t="s">
        <v>10842</v>
      </c>
      <c r="AG2160" t="s">
        <v>10859</v>
      </c>
      <c r="AH2160" t="s">
        <v>10865</v>
      </c>
      <c r="AI2160">
        <v>236</v>
      </c>
      <c r="AJ2160" t="s">
        <v>10209</v>
      </c>
      <c r="AK2160" t="s">
        <v>10837</v>
      </c>
      <c r="AL2160">
        <v>5</v>
      </c>
      <c r="AM2160" t="s">
        <v>10886</v>
      </c>
      <c r="AN2160" t="s">
        <v>10963</v>
      </c>
      <c r="AO2160" t="s">
        <v>11004</v>
      </c>
      <c r="AP2160" t="s">
        <v>11093</v>
      </c>
      <c r="AQ2160" t="s">
        <v>11175</v>
      </c>
      <c r="AR2160" t="s">
        <v>11267</v>
      </c>
      <c r="AS2160" t="s">
        <v>9925</v>
      </c>
      <c r="AT2160" t="s">
        <v>11641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</row>
    <row r="2161" spans="1:59">
      <c r="A2161" s="1">
        <f>HYPERLINK("https://lsnyc.legalserver.org/matter/dynamic-profile/view/1906099","19-1906099")</f>
        <v>0</v>
      </c>
      <c r="B2161" t="s">
        <v>1848</v>
      </c>
      <c r="C2161" t="s">
        <v>6640</v>
      </c>
      <c r="D2161" t="s">
        <v>9925</v>
      </c>
      <c r="E2161" t="s">
        <v>10075</v>
      </c>
      <c r="F2161">
        <v>10034</v>
      </c>
      <c r="G2161" t="s">
        <v>10089</v>
      </c>
      <c r="H2161" t="s">
        <v>10102</v>
      </c>
      <c r="I2161" t="s">
        <v>10168</v>
      </c>
      <c r="J2161" t="s">
        <v>10209</v>
      </c>
      <c r="K2161" t="s">
        <v>10217</v>
      </c>
      <c r="M2161" t="s">
        <v>10393</v>
      </c>
      <c r="N2161" t="s">
        <v>10650</v>
      </c>
      <c r="P2161" t="s">
        <v>10749</v>
      </c>
      <c r="Q2161" t="s">
        <v>10765</v>
      </c>
      <c r="R2161" t="s">
        <v>10821</v>
      </c>
      <c r="T2161">
        <v>8739</v>
      </c>
      <c r="U2161">
        <v>728.25</v>
      </c>
      <c r="V2161">
        <v>61</v>
      </c>
      <c r="W2161">
        <v>1</v>
      </c>
      <c r="X2161">
        <v>0</v>
      </c>
      <c r="Z2161">
        <v>69.97</v>
      </c>
      <c r="AA2161">
        <v>40.86626</v>
      </c>
      <c r="AB2161">
        <v>-73.92133200000001</v>
      </c>
      <c r="AD2161" t="s">
        <v>10840</v>
      </c>
      <c r="AF2161" t="s">
        <v>10843</v>
      </c>
      <c r="AG2161" t="s">
        <v>10859</v>
      </c>
      <c r="AH2161" t="s">
        <v>10862</v>
      </c>
      <c r="AI2161">
        <v>236</v>
      </c>
      <c r="AJ2161" t="s">
        <v>10209</v>
      </c>
      <c r="AL2161">
        <v>6.2</v>
      </c>
      <c r="AM2161" t="s">
        <v>10887</v>
      </c>
      <c r="AN2161" t="s">
        <v>10937</v>
      </c>
      <c r="AO2161" t="s">
        <v>11019</v>
      </c>
      <c r="AP2161" t="s">
        <v>11074</v>
      </c>
      <c r="AR2161" t="s">
        <v>11253</v>
      </c>
      <c r="AS2161" t="s">
        <v>9925</v>
      </c>
      <c r="AT2161" t="s">
        <v>11642</v>
      </c>
      <c r="AX2161" t="s">
        <v>10838</v>
      </c>
      <c r="BA2161" t="s">
        <v>11740</v>
      </c>
      <c r="BB2161">
        <v>0</v>
      </c>
      <c r="BC2161">
        <v>0</v>
      </c>
      <c r="BD2161">
        <v>0</v>
      </c>
      <c r="BE2161">
        <v>0</v>
      </c>
      <c r="BF2161">
        <v>2</v>
      </c>
      <c r="BG2161">
        <v>0</v>
      </c>
    </row>
    <row r="2162" spans="1:59">
      <c r="A2162" s="1">
        <f>HYPERLINK("https://lsnyc.legalserver.org/matter/dynamic-profile/view/1906100","19-1906100")</f>
        <v>0</v>
      </c>
      <c r="B2162" t="s">
        <v>1849</v>
      </c>
      <c r="C2162" t="s">
        <v>6641</v>
      </c>
      <c r="D2162" t="s">
        <v>9928</v>
      </c>
      <c r="E2162" t="s">
        <v>10075</v>
      </c>
      <c r="F2162">
        <v>11210</v>
      </c>
      <c r="G2162" t="s">
        <v>10093</v>
      </c>
      <c r="H2162" t="s">
        <v>10102</v>
      </c>
      <c r="J2162" t="s">
        <v>10213</v>
      </c>
      <c r="K2162" t="s">
        <v>10218</v>
      </c>
      <c r="L2162" t="s">
        <v>10136</v>
      </c>
      <c r="M2162" t="s">
        <v>10238</v>
      </c>
      <c r="N2162" t="s">
        <v>10720</v>
      </c>
      <c r="P2162" t="s">
        <v>10749</v>
      </c>
      <c r="Q2162" t="s">
        <v>10759</v>
      </c>
      <c r="R2162" t="s">
        <v>10824</v>
      </c>
      <c r="T2162">
        <v>50000</v>
      </c>
      <c r="U2162">
        <v>4166.67</v>
      </c>
      <c r="V2162">
        <v>59</v>
      </c>
      <c r="W2162">
        <v>1</v>
      </c>
      <c r="X2162">
        <v>0</v>
      </c>
      <c r="Y2162" t="s">
        <v>10829</v>
      </c>
      <c r="Z2162">
        <v>400.32</v>
      </c>
      <c r="AA2162">
        <v>40.637101</v>
      </c>
      <c r="AB2162">
        <v>-73.957266</v>
      </c>
      <c r="AD2162" t="s">
        <v>10839</v>
      </c>
      <c r="AG2162" t="s">
        <v>10858</v>
      </c>
      <c r="AH2162" t="s">
        <v>10860</v>
      </c>
      <c r="AI2162">
        <v>239</v>
      </c>
      <c r="AJ2162" t="s">
        <v>10213</v>
      </c>
      <c r="AK2162" t="s">
        <v>10882</v>
      </c>
      <c r="AL2162">
        <v>2.6</v>
      </c>
      <c r="AM2162" t="s">
        <v>10888</v>
      </c>
      <c r="AN2162" t="s">
        <v>10932</v>
      </c>
      <c r="AO2162" t="s">
        <v>11008</v>
      </c>
      <c r="AP2162" t="s">
        <v>11050</v>
      </c>
      <c r="AR2162" t="s">
        <v>11257</v>
      </c>
      <c r="AS2162" t="s">
        <v>11595</v>
      </c>
      <c r="AY2162" t="s">
        <v>10829</v>
      </c>
      <c r="AZ2162" t="s">
        <v>11702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</row>
    <row r="2163" spans="1:59">
      <c r="A2163" s="1">
        <f>HYPERLINK("https://lsnyc.legalserver.org/matter/dynamic-profile/view/1906101","19-1906101")</f>
        <v>0</v>
      </c>
      <c r="B2163" t="s">
        <v>1850</v>
      </c>
      <c r="C2163" t="s">
        <v>6642</v>
      </c>
      <c r="D2163" t="s">
        <v>9926</v>
      </c>
      <c r="E2163" t="s">
        <v>10075</v>
      </c>
      <c r="F2163">
        <v>10472</v>
      </c>
      <c r="G2163" t="s">
        <v>10090</v>
      </c>
      <c r="H2163" t="s">
        <v>10102</v>
      </c>
      <c r="I2163" t="s">
        <v>10168</v>
      </c>
      <c r="J2163" t="s">
        <v>10210</v>
      </c>
      <c r="K2163" t="s">
        <v>10217</v>
      </c>
      <c r="M2163" t="s">
        <v>10524</v>
      </c>
      <c r="N2163" t="s">
        <v>10690</v>
      </c>
      <c r="P2163" t="s">
        <v>10749</v>
      </c>
      <c r="Q2163" t="s">
        <v>10765</v>
      </c>
      <c r="R2163" t="s">
        <v>10826</v>
      </c>
      <c r="T2163">
        <v>8280</v>
      </c>
      <c r="U2163">
        <v>690</v>
      </c>
      <c r="V2163">
        <v>32</v>
      </c>
      <c r="W2163">
        <v>1</v>
      </c>
      <c r="X2163">
        <v>0</v>
      </c>
      <c r="Z2163">
        <v>66.29000000000001</v>
      </c>
      <c r="AA2163">
        <v>40.828203</v>
      </c>
      <c r="AB2163">
        <v>-73.874966</v>
      </c>
      <c r="AC2163" t="s">
        <v>10837</v>
      </c>
      <c r="AD2163" t="s">
        <v>10840</v>
      </c>
      <c r="AG2163" t="s">
        <v>10858</v>
      </c>
      <c r="AH2163" t="s">
        <v>10861</v>
      </c>
      <c r="AI2163">
        <v>234</v>
      </c>
      <c r="AJ2163" t="s">
        <v>10214</v>
      </c>
      <c r="AL2163">
        <v>10</v>
      </c>
      <c r="AM2163" t="s">
        <v>10884</v>
      </c>
      <c r="AN2163" t="s">
        <v>10968</v>
      </c>
      <c r="AO2163" t="s">
        <v>11001</v>
      </c>
      <c r="AP2163" t="s">
        <v>11046</v>
      </c>
      <c r="AR2163" t="s">
        <v>11303</v>
      </c>
      <c r="AS2163" t="s">
        <v>9926</v>
      </c>
      <c r="AT2163" t="s">
        <v>11642</v>
      </c>
      <c r="AX2163" t="s">
        <v>10838</v>
      </c>
      <c r="BA2163" t="s">
        <v>11738</v>
      </c>
      <c r="BB2163">
        <v>0</v>
      </c>
      <c r="BC2163">
        <v>0</v>
      </c>
      <c r="BD2163">
        <v>0</v>
      </c>
      <c r="BE2163">
        <v>0</v>
      </c>
      <c r="BF2163">
        <v>5</v>
      </c>
      <c r="BG2163">
        <v>0</v>
      </c>
    </row>
    <row r="2164" spans="1:59">
      <c r="A2164" s="1">
        <f>HYPERLINK("https://lsnyc.legalserver.org/matter/dynamic-profile/view/1906102","19-1906102")</f>
        <v>0</v>
      </c>
      <c r="B2164" t="s">
        <v>1560</v>
      </c>
      <c r="C2164" t="s">
        <v>6643</v>
      </c>
      <c r="D2164" t="s">
        <v>9925</v>
      </c>
      <c r="E2164" t="s">
        <v>10075</v>
      </c>
      <c r="F2164">
        <v>10037</v>
      </c>
      <c r="G2164" t="s">
        <v>10089</v>
      </c>
      <c r="H2164" t="s">
        <v>10139</v>
      </c>
      <c r="I2164" t="s">
        <v>10168</v>
      </c>
      <c r="J2164" t="s">
        <v>10209</v>
      </c>
      <c r="K2164" t="s">
        <v>10217</v>
      </c>
      <c r="M2164" t="s">
        <v>10270</v>
      </c>
      <c r="N2164" t="s">
        <v>10716</v>
      </c>
      <c r="P2164" t="s">
        <v>10754</v>
      </c>
      <c r="Q2164" t="s">
        <v>10766</v>
      </c>
      <c r="R2164" t="s">
        <v>10821</v>
      </c>
      <c r="T2164">
        <v>7800</v>
      </c>
      <c r="U2164">
        <v>650</v>
      </c>
      <c r="V2164">
        <v>34</v>
      </c>
      <c r="W2164">
        <v>1</v>
      </c>
      <c r="X2164">
        <v>2</v>
      </c>
      <c r="Z2164">
        <v>36.57</v>
      </c>
      <c r="AA2164">
        <v>40.814999</v>
      </c>
      <c r="AB2164">
        <v>-73.93638199999999</v>
      </c>
      <c r="AD2164" t="s">
        <v>10839</v>
      </c>
      <c r="AF2164" t="s">
        <v>10842</v>
      </c>
      <c r="AG2164" t="s">
        <v>10859</v>
      </c>
      <c r="AH2164" t="s">
        <v>10865</v>
      </c>
      <c r="AI2164">
        <v>236</v>
      </c>
      <c r="AJ2164" t="s">
        <v>10209</v>
      </c>
      <c r="AK2164" t="s">
        <v>10837</v>
      </c>
      <c r="AL2164">
        <v>0</v>
      </c>
      <c r="AQ2164" t="s">
        <v>11175</v>
      </c>
      <c r="AR2164" t="s">
        <v>11257</v>
      </c>
      <c r="AS2164" t="s">
        <v>9925</v>
      </c>
      <c r="AT2164" t="s">
        <v>11641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</row>
    <row r="2165" spans="1:59">
      <c r="A2165" s="1">
        <f>HYPERLINK("https://lsnyc.legalserver.org/matter/dynamic-profile/view/1906103","19-1906103")</f>
        <v>0</v>
      </c>
      <c r="B2165" t="s">
        <v>1851</v>
      </c>
      <c r="C2165" t="s">
        <v>6644</v>
      </c>
      <c r="D2165" t="s">
        <v>9928</v>
      </c>
      <c r="E2165" t="s">
        <v>10075</v>
      </c>
      <c r="F2165">
        <v>11231</v>
      </c>
      <c r="G2165" t="s">
        <v>10093</v>
      </c>
      <c r="H2165" t="s">
        <v>10102</v>
      </c>
      <c r="I2165" t="s">
        <v>10168</v>
      </c>
      <c r="J2165" t="s">
        <v>10213</v>
      </c>
      <c r="K2165" t="s">
        <v>10218</v>
      </c>
      <c r="L2165" t="s">
        <v>10221</v>
      </c>
      <c r="M2165" t="s">
        <v>10293</v>
      </c>
      <c r="N2165" t="s">
        <v>10644</v>
      </c>
      <c r="P2165" t="s">
        <v>10756</v>
      </c>
      <c r="Q2165" t="s">
        <v>10787</v>
      </c>
      <c r="R2165" t="s">
        <v>10824</v>
      </c>
      <c r="T2165">
        <v>15144</v>
      </c>
      <c r="U2165">
        <v>1262</v>
      </c>
      <c r="V2165">
        <v>82</v>
      </c>
      <c r="W2165">
        <v>1</v>
      </c>
      <c r="X2165">
        <v>0</v>
      </c>
      <c r="Y2165" t="s">
        <v>10829</v>
      </c>
      <c r="Z2165">
        <v>121.25</v>
      </c>
      <c r="AA2165">
        <v>40.674698</v>
      </c>
      <c r="AB2165">
        <v>-74.004519</v>
      </c>
      <c r="AD2165" t="s">
        <v>10839</v>
      </c>
      <c r="AG2165" t="s">
        <v>10858</v>
      </c>
      <c r="AH2165" t="s">
        <v>10869</v>
      </c>
      <c r="AI2165">
        <v>239</v>
      </c>
      <c r="AJ2165" t="s">
        <v>10213</v>
      </c>
      <c r="AK2165" t="s">
        <v>10838</v>
      </c>
      <c r="AL2165">
        <v>1.25</v>
      </c>
      <c r="AM2165" t="s">
        <v>10886</v>
      </c>
      <c r="AN2165" t="s">
        <v>10921</v>
      </c>
      <c r="AO2165" t="s">
        <v>11007</v>
      </c>
      <c r="AP2165" t="s">
        <v>11069</v>
      </c>
      <c r="AR2165" t="s">
        <v>11316</v>
      </c>
      <c r="AS2165" t="s">
        <v>11595</v>
      </c>
      <c r="AT2165" t="s">
        <v>11641</v>
      </c>
      <c r="AV2165" t="s">
        <v>11656</v>
      </c>
      <c r="AW2165" t="s">
        <v>11645</v>
      </c>
      <c r="AX2165" t="s">
        <v>10838</v>
      </c>
      <c r="AY2165" t="s">
        <v>10829</v>
      </c>
      <c r="AZ2165" t="s">
        <v>11694</v>
      </c>
      <c r="BA2165" t="s">
        <v>11741</v>
      </c>
      <c r="BB2165">
        <v>0</v>
      </c>
      <c r="BC2165">
        <v>0</v>
      </c>
      <c r="BD2165">
        <v>0</v>
      </c>
      <c r="BE2165">
        <v>0</v>
      </c>
      <c r="BF2165">
        <v>1</v>
      </c>
      <c r="BG2165">
        <v>0</v>
      </c>
    </row>
    <row r="2166" spans="1:59">
      <c r="A2166" s="1">
        <f>HYPERLINK("https://lsnyc.legalserver.org/matter/dynamic-profile/view/1906104","19-1906104")</f>
        <v>0</v>
      </c>
      <c r="B2166" t="s">
        <v>1852</v>
      </c>
      <c r="C2166" t="s">
        <v>6645</v>
      </c>
      <c r="D2166" t="s">
        <v>9926</v>
      </c>
      <c r="E2166" t="s">
        <v>10075</v>
      </c>
      <c r="F2166">
        <v>10457</v>
      </c>
      <c r="G2166" t="s">
        <v>10090</v>
      </c>
      <c r="H2166" t="s">
        <v>10102</v>
      </c>
      <c r="I2166" t="s">
        <v>10168</v>
      </c>
      <c r="J2166" t="s">
        <v>10210</v>
      </c>
      <c r="K2166" t="s">
        <v>10218</v>
      </c>
      <c r="L2166" t="s">
        <v>10223</v>
      </c>
      <c r="M2166" t="s">
        <v>10417</v>
      </c>
      <c r="N2166" t="s">
        <v>10651</v>
      </c>
      <c r="P2166" t="s">
        <v>10749</v>
      </c>
      <c r="Q2166" t="s">
        <v>10765</v>
      </c>
      <c r="R2166" t="s">
        <v>10824</v>
      </c>
      <c r="T2166">
        <v>26000</v>
      </c>
      <c r="U2166">
        <v>2166.67</v>
      </c>
      <c r="V2166">
        <v>29</v>
      </c>
      <c r="W2166">
        <v>1</v>
      </c>
      <c r="X2166">
        <v>1</v>
      </c>
      <c r="Y2166" t="s">
        <v>10831</v>
      </c>
      <c r="Z2166">
        <v>153.76</v>
      </c>
      <c r="AA2166">
        <v>40.843015</v>
      </c>
      <c r="AB2166">
        <v>-73.89728100000001</v>
      </c>
      <c r="AD2166" t="s">
        <v>10839</v>
      </c>
      <c r="AG2166" t="s">
        <v>10858</v>
      </c>
      <c r="AH2166" t="s">
        <v>10861</v>
      </c>
      <c r="AI2166">
        <v>230</v>
      </c>
      <c r="AJ2166" t="s">
        <v>10210</v>
      </c>
      <c r="AK2166" t="s">
        <v>10882</v>
      </c>
      <c r="AL2166">
        <v>8</v>
      </c>
      <c r="AM2166" t="s">
        <v>10884</v>
      </c>
      <c r="AN2166" t="s">
        <v>10918</v>
      </c>
      <c r="AO2166" t="s">
        <v>11000</v>
      </c>
      <c r="AP2166" t="s">
        <v>11056</v>
      </c>
      <c r="AR2166" t="s">
        <v>11257</v>
      </c>
      <c r="AS2166" t="s">
        <v>9926</v>
      </c>
      <c r="AT2166" t="s">
        <v>11641</v>
      </c>
      <c r="AX2166" t="s">
        <v>10838</v>
      </c>
      <c r="AY2166" t="s">
        <v>10831</v>
      </c>
      <c r="AZ2166" t="s">
        <v>11704</v>
      </c>
      <c r="BA2166" t="s">
        <v>11738</v>
      </c>
      <c r="BB2166">
        <v>0</v>
      </c>
      <c r="BC2166">
        <v>0</v>
      </c>
      <c r="BD2166">
        <v>0</v>
      </c>
      <c r="BE2166">
        <v>0</v>
      </c>
      <c r="BF2166">
        <v>5</v>
      </c>
      <c r="BG2166">
        <v>0</v>
      </c>
    </row>
    <row r="2167" spans="1:59">
      <c r="A2167" s="1">
        <f>HYPERLINK("https://lsnyc.legalserver.org/matter/dynamic-profile/view/1906105","19-1906105")</f>
        <v>0</v>
      </c>
      <c r="B2167" t="s">
        <v>1853</v>
      </c>
      <c r="C2167" t="s">
        <v>6646</v>
      </c>
      <c r="D2167" t="s">
        <v>9926</v>
      </c>
      <c r="E2167" t="s">
        <v>10075</v>
      </c>
      <c r="F2167">
        <v>10457</v>
      </c>
      <c r="G2167" t="s">
        <v>10090</v>
      </c>
      <c r="H2167" t="s">
        <v>10102</v>
      </c>
      <c r="I2167" t="s">
        <v>10168</v>
      </c>
      <c r="J2167" t="s">
        <v>10210</v>
      </c>
      <c r="K2167" t="s">
        <v>10218</v>
      </c>
      <c r="L2167" t="s">
        <v>10146</v>
      </c>
      <c r="M2167" t="s">
        <v>10336</v>
      </c>
      <c r="N2167" t="s">
        <v>10671</v>
      </c>
      <c r="P2167" t="s">
        <v>10754</v>
      </c>
      <c r="Q2167" t="s">
        <v>10770</v>
      </c>
      <c r="R2167" t="s">
        <v>10821</v>
      </c>
      <c r="T2167">
        <v>30408</v>
      </c>
      <c r="U2167">
        <v>2534</v>
      </c>
      <c r="V2167">
        <v>36</v>
      </c>
      <c r="W2167">
        <v>1</v>
      </c>
      <c r="X2167">
        <v>1</v>
      </c>
      <c r="Y2167" t="s">
        <v>10829</v>
      </c>
      <c r="Z2167">
        <v>179.82</v>
      </c>
      <c r="AA2167">
        <v>40.855619</v>
      </c>
      <c r="AB2167">
        <v>-73.900204</v>
      </c>
      <c r="AD2167" t="s">
        <v>10839</v>
      </c>
      <c r="AG2167" t="s">
        <v>10858</v>
      </c>
      <c r="AH2167" t="s">
        <v>10861</v>
      </c>
      <c r="AI2167">
        <v>234</v>
      </c>
      <c r="AJ2167" t="s">
        <v>10214</v>
      </c>
      <c r="AK2167" t="s">
        <v>10838</v>
      </c>
      <c r="AL2167">
        <v>1.3</v>
      </c>
      <c r="AM2167" t="s">
        <v>10884</v>
      </c>
      <c r="AN2167" t="s">
        <v>10931</v>
      </c>
      <c r="AO2167" t="s">
        <v>11000</v>
      </c>
      <c r="AP2167" t="s">
        <v>11056</v>
      </c>
      <c r="AQ2167" t="s">
        <v>11206</v>
      </c>
      <c r="AR2167" t="s">
        <v>11335</v>
      </c>
      <c r="AS2167" t="s">
        <v>9926</v>
      </c>
      <c r="AT2167" t="s">
        <v>11641</v>
      </c>
      <c r="AX2167" t="s">
        <v>10838</v>
      </c>
      <c r="AY2167" t="s">
        <v>10829</v>
      </c>
      <c r="AZ2167" t="s">
        <v>11683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</row>
    <row r="2168" spans="1:59">
      <c r="A2168" s="1">
        <f>HYPERLINK("https://lsnyc.legalserver.org/matter/dynamic-profile/view/1906106","19-1906106")</f>
        <v>0</v>
      </c>
      <c r="B2168" t="s">
        <v>1854</v>
      </c>
      <c r="C2168" t="s">
        <v>6647</v>
      </c>
      <c r="D2168" t="s">
        <v>9931</v>
      </c>
      <c r="E2168" t="s">
        <v>10075</v>
      </c>
      <c r="F2168">
        <v>11355</v>
      </c>
      <c r="G2168" t="s">
        <v>10092</v>
      </c>
      <c r="H2168" t="s">
        <v>10102</v>
      </c>
      <c r="I2168" t="s">
        <v>10188</v>
      </c>
      <c r="J2168" t="s">
        <v>10212</v>
      </c>
      <c r="K2168" t="s">
        <v>10217</v>
      </c>
      <c r="M2168" t="s">
        <v>10282</v>
      </c>
      <c r="N2168" t="s">
        <v>10714</v>
      </c>
      <c r="P2168" t="s">
        <v>10753</v>
      </c>
      <c r="Q2168" t="s">
        <v>10763</v>
      </c>
      <c r="R2168" t="s">
        <v>10827</v>
      </c>
      <c r="T2168">
        <v>2160</v>
      </c>
      <c r="U2168">
        <v>180</v>
      </c>
      <c r="V2168">
        <v>30</v>
      </c>
      <c r="W2168">
        <v>1</v>
      </c>
      <c r="X2168">
        <v>1</v>
      </c>
      <c r="Z2168">
        <v>12.77</v>
      </c>
      <c r="AA2168">
        <v>40.752154</v>
      </c>
      <c r="AB2168">
        <v>-73.83120099999999</v>
      </c>
      <c r="AD2168" t="s">
        <v>10839</v>
      </c>
      <c r="AF2168" t="s">
        <v>10842</v>
      </c>
      <c r="AG2168" t="s">
        <v>10859</v>
      </c>
      <c r="AH2168" t="s">
        <v>10864</v>
      </c>
      <c r="AI2168">
        <v>237</v>
      </c>
      <c r="AJ2168" t="s">
        <v>10212</v>
      </c>
      <c r="AL2168">
        <v>0.8</v>
      </c>
      <c r="AM2168" t="s">
        <v>10890</v>
      </c>
      <c r="AN2168" t="s">
        <v>10934</v>
      </c>
      <c r="AO2168" t="s">
        <v>11009</v>
      </c>
      <c r="AP2168" t="s">
        <v>11067</v>
      </c>
      <c r="AQ2168" t="s">
        <v>11109</v>
      </c>
      <c r="AR2168" t="s">
        <v>11273</v>
      </c>
      <c r="AS2168" t="s">
        <v>11594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</row>
    <row r="2169" spans="1:59">
      <c r="A2169" s="1">
        <f>HYPERLINK("https://lsnyc.legalserver.org/matter/dynamic-profile/view/1906107","19-1906107")</f>
        <v>0</v>
      </c>
      <c r="B2169" t="s">
        <v>1855</v>
      </c>
      <c r="C2169" t="s">
        <v>6648</v>
      </c>
      <c r="D2169" t="s">
        <v>9926</v>
      </c>
      <c r="E2169" t="s">
        <v>10075</v>
      </c>
      <c r="F2169">
        <v>10458</v>
      </c>
      <c r="G2169" t="s">
        <v>10090</v>
      </c>
      <c r="H2169" t="s">
        <v>10102</v>
      </c>
      <c r="I2169" t="s">
        <v>10168</v>
      </c>
      <c r="J2169" t="s">
        <v>10210</v>
      </c>
      <c r="K2169" t="s">
        <v>10217</v>
      </c>
      <c r="M2169" t="s">
        <v>10450</v>
      </c>
      <c r="N2169" t="s">
        <v>10650</v>
      </c>
      <c r="P2169" t="s">
        <v>10749</v>
      </c>
      <c r="Q2169" t="s">
        <v>10765</v>
      </c>
      <c r="R2169" t="s">
        <v>10824</v>
      </c>
      <c r="T2169">
        <v>31800</v>
      </c>
      <c r="U2169">
        <v>2650</v>
      </c>
      <c r="V2169">
        <v>86</v>
      </c>
      <c r="W2169">
        <v>4</v>
      </c>
      <c r="X2169">
        <v>0</v>
      </c>
      <c r="Z2169">
        <v>123.5</v>
      </c>
      <c r="AA2169">
        <v>40.871409</v>
      </c>
      <c r="AB2169">
        <v>-73.888096</v>
      </c>
      <c r="AD2169" t="s">
        <v>10839</v>
      </c>
      <c r="AG2169" t="s">
        <v>10858</v>
      </c>
      <c r="AH2169" t="s">
        <v>10862</v>
      </c>
      <c r="AI2169">
        <v>230</v>
      </c>
      <c r="AJ2169" t="s">
        <v>10210</v>
      </c>
      <c r="AL2169">
        <v>0.9</v>
      </c>
      <c r="AM2169" t="s">
        <v>10887</v>
      </c>
      <c r="AN2169" t="s">
        <v>10907</v>
      </c>
      <c r="AO2169" t="s">
        <v>11002</v>
      </c>
      <c r="AP2169" t="s">
        <v>11057</v>
      </c>
      <c r="AR2169" t="s">
        <v>11339</v>
      </c>
      <c r="AS2169" t="s">
        <v>9926</v>
      </c>
      <c r="BA2169" t="s">
        <v>11737</v>
      </c>
      <c r="BB2169">
        <v>0</v>
      </c>
      <c r="BC2169">
        <v>0</v>
      </c>
      <c r="BD2169">
        <v>0</v>
      </c>
      <c r="BE2169">
        <v>0</v>
      </c>
      <c r="BF2169">
        <v>3</v>
      </c>
      <c r="BG2169">
        <v>0</v>
      </c>
    </row>
    <row r="2170" spans="1:59">
      <c r="A2170" s="1">
        <f>HYPERLINK("https://lsnyc.legalserver.org/matter/dynamic-profile/view/1906108","19-1906108")</f>
        <v>0</v>
      </c>
      <c r="B2170" t="s">
        <v>1090</v>
      </c>
      <c r="C2170" t="s">
        <v>5956</v>
      </c>
      <c r="D2170" t="s">
        <v>9931</v>
      </c>
      <c r="E2170" t="s">
        <v>10075</v>
      </c>
      <c r="F2170">
        <v>11358</v>
      </c>
      <c r="G2170" t="s">
        <v>10092</v>
      </c>
      <c r="H2170" t="s">
        <v>10102</v>
      </c>
      <c r="J2170" t="s">
        <v>10212</v>
      </c>
      <c r="K2170" t="s">
        <v>10217</v>
      </c>
      <c r="M2170" t="s">
        <v>10423</v>
      </c>
      <c r="N2170" t="s">
        <v>10709</v>
      </c>
      <c r="P2170" t="s">
        <v>10754</v>
      </c>
      <c r="Q2170" t="s">
        <v>10766</v>
      </c>
      <c r="R2170" t="s">
        <v>10821</v>
      </c>
      <c r="T2170">
        <v>0</v>
      </c>
      <c r="U2170">
        <v>0</v>
      </c>
      <c r="V2170">
        <v>33</v>
      </c>
      <c r="W2170">
        <v>1</v>
      </c>
      <c r="X2170">
        <v>1</v>
      </c>
      <c r="Z2170">
        <v>0</v>
      </c>
      <c r="AA2170">
        <v>40.756803</v>
      </c>
      <c r="AB2170">
        <v>-73.806877</v>
      </c>
      <c r="AD2170" t="s">
        <v>10839</v>
      </c>
      <c r="AG2170" t="s">
        <v>10858</v>
      </c>
      <c r="AH2170" t="s">
        <v>10865</v>
      </c>
      <c r="AI2170">
        <v>237</v>
      </c>
      <c r="AJ2170" t="s">
        <v>10212</v>
      </c>
      <c r="AK2170" t="s">
        <v>10837</v>
      </c>
      <c r="AL2170">
        <v>13.25</v>
      </c>
      <c r="AM2170" t="s">
        <v>10890</v>
      </c>
      <c r="AN2170" t="s">
        <v>10927</v>
      </c>
      <c r="AO2170" t="s">
        <v>11009</v>
      </c>
      <c r="AP2170" t="s">
        <v>11067</v>
      </c>
      <c r="AQ2170" t="s">
        <v>11175</v>
      </c>
      <c r="AR2170" t="s">
        <v>11267</v>
      </c>
      <c r="AS2170" t="s">
        <v>11594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</row>
    <row r="2171" spans="1:59">
      <c r="A2171" s="1">
        <f>HYPERLINK("https://lsnyc.legalserver.org/matter/dynamic-profile/view/1906109","19-1906109")</f>
        <v>0</v>
      </c>
      <c r="B2171" t="s">
        <v>1852</v>
      </c>
      <c r="C2171" t="s">
        <v>6645</v>
      </c>
      <c r="D2171" t="s">
        <v>9926</v>
      </c>
      <c r="E2171" t="s">
        <v>10075</v>
      </c>
      <c r="F2171">
        <v>10457</v>
      </c>
      <c r="G2171" t="s">
        <v>10090</v>
      </c>
      <c r="H2171" t="s">
        <v>10102</v>
      </c>
      <c r="I2171" t="s">
        <v>10168</v>
      </c>
      <c r="J2171" t="s">
        <v>10210</v>
      </c>
      <c r="K2171" t="s">
        <v>10217</v>
      </c>
      <c r="M2171" t="s">
        <v>10417</v>
      </c>
      <c r="N2171" t="s">
        <v>10671</v>
      </c>
      <c r="P2171" t="s">
        <v>10751</v>
      </c>
      <c r="Q2171" t="s">
        <v>10761</v>
      </c>
      <c r="R2171" t="s">
        <v>10824</v>
      </c>
      <c r="T2171">
        <v>26000</v>
      </c>
      <c r="U2171">
        <v>2166.67</v>
      </c>
      <c r="V2171">
        <v>29</v>
      </c>
      <c r="W2171">
        <v>1</v>
      </c>
      <c r="X2171">
        <v>1</v>
      </c>
      <c r="Z2171">
        <v>153.76</v>
      </c>
      <c r="AA2171">
        <v>40.843015</v>
      </c>
      <c r="AB2171">
        <v>-73.89728100000001</v>
      </c>
      <c r="AD2171" t="s">
        <v>10839</v>
      </c>
      <c r="AG2171" t="s">
        <v>10858</v>
      </c>
      <c r="AH2171" t="s">
        <v>10861</v>
      </c>
      <c r="AI2171">
        <v>230</v>
      </c>
      <c r="AJ2171" t="s">
        <v>10210</v>
      </c>
      <c r="AL2171">
        <v>5</v>
      </c>
      <c r="AM2171" t="s">
        <v>10884</v>
      </c>
      <c r="AN2171" t="s">
        <v>10918</v>
      </c>
      <c r="AO2171" t="s">
        <v>11000</v>
      </c>
      <c r="AP2171" t="s">
        <v>11056</v>
      </c>
      <c r="AR2171" t="s">
        <v>11257</v>
      </c>
      <c r="AS2171" t="s">
        <v>9926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</row>
    <row r="2172" spans="1:59">
      <c r="A2172" s="1">
        <f>HYPERLINK("https://lsnyc.legalserver.org/matter/dynamic-profile/view/1906110","19-1906110")</f>
        <v>0</v>
      </c>
      <c r="B2172" t="s">
        <v>1856</v>
      </c>
      <c r="C2172" t="s">
        <v>6649</v>
      </c>
      <c r="D2172" t="s">
        <v>9926</v>
      </c>
      <c r="E2172" t="s">
        <v>10075</v>
      </c>
      <c r="F2172">
        <v>10460</v>
      </c>
      <c r="G2172" t="s">
        <v>10090</v>
      </c>
      <c r="H2172" t="s">
        <v>10102</v>
      </c>
      <c r="I2172" t="s">
        <v>10168</v>
      </c>
      <c r="J2172" t="s">
        <v>10210</v>
      </c>
      <c r="K2172" t="s">
        <v>10217</v>
      </c>
      <c r="M2172" t="s">
        <v>10401</v>
      </c>
      <c r="N2172" t="s">
        <v>10671</v>
      </c>
      <c r="P2172" t="s">
        <v>10751</v>
      </c>
      <c r="Q2172" t="s">
        <v>10761</v>
      </c>
      <c r="R2172" t="s">
        <v>10821</v>
      </c>
      <c r="T2172">
        <v>11160</v>
      </c>
      <c r="U2172">
        <v>930</v>
      </c>
      <c r="V2172">
        <v>34</v>
      </c>
      <c r="W2172">
        <v>1</v>
      </c>
      <c r="X2172">
        <v>5</v>
      </c>
      <c r="Z2172">
        <v>32.26</v>
      </c>
      <c r="AA2172">
        <v>40.845075</v>
      </c>
      <c r="AB2172">
        <v>-73.87970900000001</v>
      </c>
      <c r="AD2172" t="s">
        <v>10839</v>
      </c>
      <c r="AG2172" t="s">
        <v>10858</v>
      </c>
      <c r="AH2172" t="s">
        <v>10862</v>
      </c>
      <c r="AI2172">
        <v>230</v>
      </c>
      <c r="AJ2172" t="s">
        <v>10210</v>
      </c>
      <c r="AL2172">
        <v>2</v>
      </c>
      <c r="AM2172" t="s">
        <v>10884</v>
      </c>
      <c r="AN2172" t="s">
        <v>10908</v>
      </c>
      <c r="AO2172" t="s">
        <v>11001</v>
      </c>
      <c r="AP2172" t="s">
        <v>11056</v>
      </c>
      <c r="AR2172" t="s">
        <v>11452</v>
      </c>
      <c r="AS2172" t="s">
        <v>9926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</row>
    <row r="2173" spans="1:59">
      <c r="A2173" s="1">
        <f>HYPERLINK("https://lsnyc.legalserver.org/matter/dynamic-profile/view/1906112","19-1906112")</f>
        <v>0</v>
      </c>
      <c r="B2173" t="s">
        <v>1857</v>
      </c>
      <c r="C2173" t="s">
        <v>6650</v>
      </c>
      <c r="D2173" t="s">
        <v>9928</v>
      </c>
      <c r="E2173" t="s">
        <v>10075</v>
      </c>
      <c r="F2173">
        <v>11226</v>
      </c>
      <c r="G2173" t="s">
        <v>10091</v>
      </c>
      <c r="H2173" t="s">
        <v>10102</v>
      </c>
      <c r="I2173" t="s">
        <v>10168</v>
      </c>
      <c r="J2173" t="s">
        <v>10211</v>
      </c>
      <c r="K2173" t="s">
        <v>10217</v>
      </c>
      <c r="M2173" t="s">
        <v>10307</v>
      </c>
      <c r="N2173" t="s">
        <v>10671</v>
      </c>
      <c r="P2173" t="s">
        <v>10752</v>
      </c>
      <c r="Q2173" t="s">
        <v>10762</v>
      </c>
      <c r="R2173" t="s">
        <v>10824</v>
      </c>
      <c r="T2173">
        <v>20280</v>
      </c>
      <c r="U2173">
        <v>1690</v>
      </c>
      <c r="V2173">
        <v>64</v>
      </c>
      <c r="W2173">
        <v>2</v>
      </c>
      <c r="X2173">
        <v>0</v>
      </c>
      <c r="Z2173">
        <v>119.93</v>
      </c>
      <c r="AA2173">
        <v>40.642073</v>
      </c>
      <c r="AB2173">
        <v>-73.961009</v>
      </c>
      <c r="AD2173" t="s">
        <v>10840</v>
      </c>
      <c r="AG2173" t="s">
        <v>10858</v>
      </c>
      <c r="AH2173" t="s">
        <v>10861</v>
      </c>
      <c r="AI2173">
        <v>234</v>
      </c>
      <c r="AJ2173" t="s">
        <v>10214</v>
      </c>
      <c r="AL2173">
        <v>1</v>
      </c>
      <c r="AM2173" t="s">
        <v>10888</v>
      </c>
      <c r="AN2173" t="s">
        <v>10932</v>
      </c>
      <c r="AO2173" t="s">
        <v>11008</v>
      </c>
      <c r="AP2173" t="s">
        <v>11050</v>
      </c>
      <c r="AR2173" t="s">
        <v>11407</v>
      </c>
      <c r="AS2173" t="s">
        <v>11595</v>
      </c>
      <c r="AT2173" t="s">
        <v>11642</v>
      </c>
      <c r="AX2173" t="s">
        <v>10838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</row>
    <row r="2174" spans="1:59">
      <c r="A2174" s="1">
        <f>HYPERLINK("https://lsnyc.legalserver.org/matter/dynamic-profile/view/1906113","19-1906113")</f>
        <v>0</v>
      </c>
      <c r="B2174" t="s">
        <v>1858</v>
      </c>
      <c r="C2174" t="s">
        <v>6651</v>
      </c>
      <c r="D2174" t="s">
        <v>9925</v>
      </c>
      <c r="E2174" t="s">
        <v>10075</v>
      </c>
      <c r="F2174">
        <v>10016</v>
      </c>
      <c r="G2174" t="s">
        <v>10091</v>
      </c>
      <c r="H2174" t="s">
        <v>10102</v>
      </c>
      <c r="I2174" t="s">
        <v>10168</v>
      </c>
      <c r="J2174" t="s">
        <v>10211</v>
      </c>
      <c r="K2174" t="s">
        <v>10217</v>
      </c>
      <c r="M2174" t="s">
        <v>10307</v>
      </c>
      <c r="N2174" t="s">
        <v>10671</v>
      </c>
      <c r="P2174" t="s">
        <v>10752</v>
      </c>
      <c r="Q2174" t="s">
        <v>10762</v>
      </c>
      <c r="R2174" t="s">
        <v>10820</v>
      </c>
      <c r="T2174">
        <v>19800</v>
      </c>
      <c r="U2174">
        <v>1650</v>
      </c>
      <c r="V2174">
        <v>87</v>
      </c>
      <c r="W2174">
        <v>1</v>
      </c>
      <c r="X2174">
        <v>0</v>
      </c>
      <c r="Z2174">
        <v>158.53</v>
      </c>
      <c r="AA2174">
        <v>40.748893</v>
      </c>
      <c r="AB2174">
        <v>-73.973091</v>
      </c>
      <c r="AD2174" t="s">
        <v>10839</v>
      </c>
      <c r="AG2174" t="s">
        <v>10858</v>
      </c>
      <c r="AH2174" t="s">
        <v>10861</v>
      </c>
      <c r="AI2174">
        <v>234</v>
      </c>
      <c r="AJ2174" t="s">
        <v>10214</v>
      </c>
      <c r="AL2174">
        <v>1</v>
      </c>
      <c r="AM2174" t="s">
        <v>10891</v>
      </c>
      <c r="AN2174" t="s">
        <v>10970</v>
      </c>
      <c r="AO2174" t="s">
        <v>11021</v>
      </c>
      <c r="AP2174" t="s">
        <v>11091</v>
      </c>
      <c r="AR2174" t="s">
        <v>11268</v>
      </c>
      <c r="AS2174" t="s">
        <v>9925</v>
      </c>
      <c r="AT2174" t="s">
        <v>11641</v>
      </c>
      <c r="AX2174" t="s">
        <v>10838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</row>
    <row r="2175" spans="1:59">
      <c r="A2175" s="1">
        <f>HYPERLINK("https://lsnyc.legalserver.org/matter/dynamic-profile/view/1906114","19-1906114")</f>
        <v>0</v>
      </c>
      <c r="B2175" t="s">
        <v>1859</v>
      </c>
      <c r="C2175" t="s">
        <v>6652</v>
      </c>
      <c r="D2175" t="s">
        <v>9928</v>
      </c>
      <c r="E2175" t="s">
        <v>10075</v>
      </c>
      <c r="F2175">
        <v>11206</v>
      </c>
      <c r="G2175" t="s">
        <v>10093</v>
      </c>
      <c r="H2175" t="s">
        <v>10102</v>
      </c>
      <c r="I2175" t="s">
        <v>10168</v>
      </c>
      <c r="J2175" t="s">
        <v>10213</v>
      </c>
      <c r="K2175" t="s">
        <v>10217</v>
      </c>
      <c r="M2175" t="s">
        <v>10290</v>
      </c>
      <c r="N2175" t="s">
        <v>10665</v>
      </c>
      <c r="P2175" t="s">
        <v>10751</v>
      </c>
      <c r="Q2175" t="s">
        <v>10773</v>
      </c>
      <c r="R2175" t="s">
        <v>10820</v>
      </c>
      <c r="T2175">
        <v>0</v>
      </c>
      <c r="U2175">
        <v>0</v>
      </c>
      <c r="V2175">
        <v>43</v>
      </c>
      <c r="W2175">
        <v>1</v>
      </c>
      <c r="X2175">
        <v>0</v>
      </c>
      <c r="Z2175">
        <v>0</v>
      </c>
      <c r="AA2175">
        <v>40.706049</v>
      </c>
      <c r="AB2175">
        <v>-73.94899100000001</v>
      </c>
      <c r="AD2175" t="s">
        <v>10840</v>
      </c>
      <c r="AG2175" t="s">
        <v>10858</v>
      </c>
      <c r="AH2175" t="s">
        <v>10861</v>
      </c>
      <c r="AI2175">
        <v>234</v>
      </c>
      <c r="AJ2175" t="s">
        <v>10214</v>
      </c>
      <c r="AL2175">
        <v>1</v>
      </c>
      <c r="AM2175" t="s">
        <v>10886</v>
      </c>
      <c r="AN2175" t="s">
        <v>10942</v>
      </c>
      <c r="AO2175" t="s">
        <v>11011</v>
      </c>
      <c r="AP2175" t="s">
        <v>11071</v>
      </c>
      <c r="AR2175" t="s">
        <v>11279</v>
      </c>
      <c r="AS2175" t="s">
        <v>11595</v>
      </c>
      <c r="AT2175" t="s">
        <v>11642</v>
      </c>
      <c r="AX2175" t="s">
        <v>10838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</row>
    <row r="2176" spans="1:59">
      <c r="A2176" s="1">
        <f>HYPERLINK("https://lsnyc.legalserver.org/matter/dynamic-profile/view/1906116","19-1906116")</f>
        <v>0</v>
      </c>
      <c r="B2176" t="s">
        <v>1860</v>
      </c>
      <c r="C2176" t="s">
        <v>6653</v>
      </c>
      <c r="D2176" t="s">
        <v>9928</v>
      </c>
      <c r="E2176" t="s">
        <v>10075</v>
      </c>
      <c r="F2176">
        <v>11218</v>
      </c>
      <c r="G2176" t="s">
        <v>10093</v>
      </c>
      <c r="H2176" t="s">
        <v>10102</v>
      </c>
      <c r="I2176" t="s">
        <v>10181</v>
      </c>
      <c r="J2176" t="s">
        <v>10213</v>
      </c>
      <c r="K2176" t="s">
        <v>10217</v>
      </c>
      <c r="M2176" t="s">
        <v>10443</v>
      </c>
      <c r="N2176" t="s">
        <v>10680</v>
      </c>
      <c r="P2176" t="s">
        <v>10749</v>
      </c>
      <c r="Q2176" t="s">
        <v>10765</v>
      </c>
      <c r="R2176" t="s">
        <v>10827</v>
      </c>
      <c r="T2176">
        <v>6000</v>
      </c>
      <c r="U2176">
        <v>500</v>
      </c>
      <c r="V2176">
        <v>74</v>
      </c>
      <c r="W2176">
        <v>3</v>
      </c>
      <c r="X2176">
        <v>0</v>
      </c>
      <c r="Z2176">
        <v>28.13</v>
      </c>
      <c r="AA2176">
        <v>40.640829</v>
      </c>
      <c r="AB2176">
        <v>-73.978802</v>
      </c>
      <c r="AC2176" t="s">
        <v>10837</v>
      </c>
      <c r="AD2176" t="s">
        <v>10840</v>
      </c>
      <c r="AG2176" t="s">
        <v>10858</v>
      </c>
      <c r="AH2176" t="s">
        <v>10862</v>
      </c>
      <c r="AI2176">
        <v>239</v>
      </c>
      <c r="AJ2176" t="s">
        <v>10213</v>
      </c>
      <c r="AL2176">
        <v>16.25</v>
      </c>
      <c r="AM2176" t="s">
        <v>10894</v>
      </c>
      <c r="AN2176" t="s">
        <v>10941</v>
      </c>
      <c r="AO2176" t="s">
        <v>11008</v>
      </c>
      <c r="AP2176" t="s">
        <v>11059</v>
      </c>
      <c r="AR2176" t="s">
        <v>11351</v>
      </c>
      <c r="AS2176" t="s">
        <v>11595</v>
      </c>
      <c r="BA2176" t="s">
        <v>11738</v>
      </c>
      <c r="BB2176">
        <v>0</v>
      </c>
      <c r="BC2176">
        <v>0</v>
      </c>
      <c r="BD2176">
        <v>0</v>
      </c>
      <c r="BE2176">
        <v>0</v>
      </c>
      <c r="BF2176">
        <v>5</v>
      </c>
      <c r="BG2176">
        <v>0</v>
      </c>
    </row>
    <row r="2177" spans="1:59">
      <c r="A2177" s="1">
        <f>HYPERLINK("https://lsnyc.legalserver.org/matter/dynamic-profile/view/1906117","19-1906117")</f>
        <v>0</v>
      </c>
      <c r="B2177" t="s">
        <v>1861</v>
      </c>
      <c r="C2177" t="s">
        <v>6654</v>
      </c>
      <c r="D2177" t="s">
        <v>9956</v>
      </c>
      <c r="E2177" t="s">
        <v>10075</v>
      </c>
      <c r="F2177">
        <v>11365</v>
      </c>
      <c r="G2177" t="s">
        <v>10092</v>
      </c>
      <c r="H2177" t="s">
        <v>10102</v>
      </c>
      <c r="I2177" t="s">
        <v>10168</v>
      </c>
      <c r="J2177" t="s">
        <v>10212</v>
      </c>
      <c r="K2177" t="s">
        <v>10217</v>
      </c>
      <c r="M2177" t="s">
        <v>10416</v>
      </c>
      <c r="N2177" t="s">
        <v>10678</v>
      </c>
      <c r="P2177" t="s">
        <v>10749</v>
      </c>
      <c r="Q2177" t="s">
        <v>10769</v>
      </c>
      <c r="R2177" t="s">
        <v>10825</v>
      </c>
      <c r="T2177">
        <v>20400</v>
      </c>
      <c r="U2177">
        <v>1700</v>
      </c>
      <c r="V2177">
        <v>90</v>
      </c>
      <c r="W2177">
        <v>1</v>
      </c>
      <c r="X2177">
        <v>0</v>
      </c>
      <c r="Z2177">
        <v>163.33</v>
      </c>
      <c r="AA2177">
        <v>40.742522</v>
      </c>
      <c r="AB2177">
        <v>-73.79020800000001</v>
      </c>
      <c r="AC2177" t="s">
        <v>10837</v>
      </c>
      <c r="AD2177" t="s">
        <v>10840</v>
      </c>
      <c r="AG2177" t="s">
        <v>10858</v>
      </c>
      <c r="AH2177" t="s">
        <v>10861</v>
      </c>
      <c r="AI2177">
        <v>234</v>
      </c>
      <c r="AJ2177" t="s">
        <v>10214</v>
      </c>
      <c r="AL2177">
        <v>1.8</v>
      </c>
      <c r="AM2177" t="s">
        <v>10890</v>
      </c>
      <c r="AN2177" t="s">
        <v>10934</v>
      </c>
      <c r="AO2177" t="s">
        <v>11009</v>
      </c>
      <c r="AP2177" t="s">
        <v>11067</v>
      </c>
      <c r="AR2177" t="s">
        <v>11300</v>
      </c>
      <c r="AS2177" t="s">
        <v>11594</v>
      </c>
      <c r="AT2177" t="s">
        <v>11642</v>
      </c>
      <c r="AX2177" t="s">
        <v>10838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</row>
    <row r="2178" spans="1:59">
      <c r="A2178" s="1">
        <f>HYPERLINK("https://lsnyc.legalserver.org/matter/dynamic-profile/view/1906119","19-1906119")</f>
        <v>0</v>
      </c>
      <c r="B2178" t="s">
        <v>1321</v>
      </c>
      <c r="C2178" t="s">
        <v>6655</v>
      </c>
      <c r="D2178" t="s">
        <v>9925</v>
      </c>
      <c r="E2178" t="s">
        <v>10075</v>
      </c>
      <c r="F2178">
        <v>10034</v>
      </c>
      <c r="G2178" t="s">
        <v>10089</v>
      </c>
      <c r="H2178" t="s">
        <v>10102</v>
      </c>
      <c r="I2178" t="s">
        <v>10168</v>
      </c>
      <c r="J2178" t="s">
        <v>10209</v>
      </c>
      <c r="K2178" t="s">
        <v>10217</v>
      </c>
      <c r="M2178" t="s">
        <v>10529</v>
      </c>
      <c r="N2178" t="s">
        <v>10694</v>
      </c>
      <c r="P2178" t="s">
        <v>10751</v>
      </c>
      <c r="Q2178" t="s">
        <v>10780</v>
      </c>
      <c r="R2178" t="s">
        <v>10820</v>
      </c>
      <c r="T2178">
        <v>0</v>
      </c>
      <c r="U2178">
        <v>0</v>
      </c>
      <c r="V2178">
        <v>25</v>
      </c>
      <c r="W2178">
        <v>1</v>
      </c>
      <c r="X2178">
        <v>0</v>
      </c>
      <c r="Z2178">
        <v>0</v>
      </c>
      <c r="AA2178">
        <v>40.862576</v>
      </c>
      <c r="AB2178">
        <v>-73.924891</v>
      </c>
      <c r="AD2178" t="s">
        <v>10840</v>
      </c>
      <c r="AG2178" t="s">
        <v>10858</v>
      </c>
      <c r="AH2178" t="s">
        <v>10866</v>
      </c>
      <c r="AI2178">
        <v>236</v>
      </c>
      <c r="AJ2178" t="s">
        <v>10209</v>
      </c>
      <c r="AL2178">
        <v>0</v>
      </c>
      <c r="AM2178" t="s">
        <v>10887</v>
      </c>
      <c r="AN2178" t="s">
        <v>10937</v>
      </c>
      <c r="AO2178" t="s">
        <v>11019</v>
      </c>
      <c r="AP2178" t="s">
        <v>11074</v>
      </c>
      <c r="AR2178" t="s">
        <v>11279</v>
      </c>
      <c r="AS2178" t="s">
        <v>9925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</row>
    <row r="2179" spans="1:59">
      <c r="A2179" s="1">
        <f>HYPERLINK("https://lsnyc.legalserver.org/matter/dynamic-profile/view/1906120","19-1906120")</f>
        <v>0</v>
      </c>
      <c r="B2179" t="s">
        <v>1862</v>
      </c>
      <c r="C2179" t="s">
        <v>5687</v>
      </c>
      <c r="D2179" t="s">
        <v>9925</v>
      </c>
      <c r="E2179" t="s">
        <v>10075</v>
      </c>
      <c r="F2179">
        <v>10002</v>
      </c>
      <c r="G2179" t="s">
        <v>10091</v>
      </c>
      <c r="H2179" t="s">
        <v>10102</v>
      </c>
      <c r="I2179" t="s">
        <v>10168</v>
      </c>
      <c r="J2179" t="s">
        <v>10211</v>
      </c>
      <c r="K2179" t="s">
        <v>10217</v>
      </c>
      <c r="M2179" t="s">
        <v>10231</v>
      </c>
      <c r="N2179" t="s">
        <v>10647</v>
      </c>
      <c r="P2179" t="s">
        <v>10752</v>
      </c>
      <c r="Q2179" t="s">
        <v>10762</v>
      </c>
      <c r="R2179" t="s">
        <v>10824</v>
      </c>
      <c r="T2179">
        <v>13000</v>
      </c>
      <c r="U2179">
        <v>1083.33</v>
      </c>
      <c r="V2179">
        <v>41</v>
      </c>
      <c r="W2179">
        <v>1</v>
      </c>
      <c r="X2179">
        <v>0</v>
      </c>
      <c r="Z2179">
        <v>104.08</v>
      </c>
      <c r="AA2179">
        <v>40.718323</v>
      </c>
      <c r="AB2179">
        <v>-73.97999900000001</v>
      </c>
      <c r="AD2179" t="s">
        <v>10839</v>
      </c>
      <c r="AG2179" t="s">
        <v>10858</v>
      </c>
      <c r="AH2179" t="s">
        <v>10871</v>
      </c>
      <c r="AI2179">
        <v>234</v>
      </c>
      <c r="AJ2179" t="s">
        <v>10214</v>
      </c>
      <c r="AL2179">
        <v>1.4</v>
      </c>
      <c r="AM2179" t="s">
        <v>10886</v>
      </c>
      <c r="AN2179" t="s">
        <v>10963</v>
      </c>
      <c r="AO2179" t="s">
        <v>11004</v>
      </c>
      <c r="AP2179" t="s">
        <v>11048</v>
      </c>
      <c r="AR2179" t="s">
        <v>11276</v>
      </c>
      <c r="AS2179" t="s">
        <v>9925</v>
      </c>
      <c r="AT2179" t="s">
        <v>11641</v>
      </c>
      <c r="AX2179" t="s">
        <v>10838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</row>
    <row r="2180" spans="1:59">
      <c r="A2180" s="1">
        <f>HYPERLINK("https://lsnyc.legalserver.org/matter/dynamic-profile/view/1906121","19-1906121")</f>
        <v>0</v>
      </c>
      <c r="B2180" t="s">
        <v>1863</v>
      </c>
      <c r="C2180" t="s">
        <v>6656</v>
      </c>
      <c r="D2180" t="s">
        <v>9925</v>
      </c>
      <c r="E2180" t="s">
        <v>10075</v>
      </c>
      <c r="F2180">
        <v>10011</v>
      </c>
      <c r="G2180" t="s">
        <v>10093</v>
      </c>
      <c r="H2180" t="s">
        <v>10102</v>
      </c>
      <c r="I2180" t="s">
        <v>10168</v>
      </c>
      <c r="J2180" t="s">
        <v>10213</v>
      </c>
      <c r="K2180" t="s">
        <v>10217</v>
      </c>
      <c r="M2180" t="s">
        <v>10358</v>
      </c>
      <c r="N2180" t="s">
        <v>10671</v>
      </c>
      <c r="P2180" t="s">
        <v>10752</v>
      </c>
      <c r="Q2180" t="s">
        <v>10783</v>
      </c>
      <c r="R2180" t="s">
        <v>10820</v>
      </c>
      <c r="T2180">
        <v>10800</v>
      </c>
      <c r="U2180">
        <v>900</v>
      </c>
      <c r="V2180">
        <v>48</v>
      </c>
      <c r="W2180">
        <v>1</v>
      </c>
      <c r="X2180">
        <v>0</v>
      </c>
      <c r="Z2180">
        <v>86.47</v>
      </c>
      <c r="AA2180">
        <v>40.748389</v>
      </c>
      <c r="AB2180">
        <v>-74.005359</v>
      </c>
      <c r="AD2180" t="s">
        <v>10840</v>
      </c>
      <c r="AG2180" t="s">
        <v>10858</v>
      </c>
      <c r="AH2180" t="s">
        <v>10861</v>
      </c>
      <c r="AI2180">
        <v>234</v>
      </c>
      <c r="AJ2180" t="s">
        <v>10214</v>
      </c>
      <c r="AL2180">
        <v>2.25</v>
      </c>
      <c r="AM2180" t="s">
        <v>10894</v>
      </c>
      <c r="AN2180" t="s">
        <v>10966</v>
      </c>
      <c r="AO2180" t="s">
        <v>11021</v>
      </c>
      <c r="AP2180" t="s">
        <v>11090</v>
      </c>
      <c r="AQ2180" t="s">
        <v>11184</v>
      </c>
      <c r="AR2180" t="s">
        <v>11297</v>
      </c>
      <c r="AS2180" t="s">
        <v>9925</v>
      </c>
      <c r="AT2180" t="s">
        <v>11642</v>
      </c>
      <c r="AX2180" t="s">
        <v>10837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</row>
    <row r="2181" spans="1:59">
      <c r="A2181" s="1">
        <f>HYPERLINK("https://lsnyc.legalserver.org/matter/dynamic-profile/view/1906122","19-1906122")</f>
        <v>0</v>
      </c>
      <c r="B2181" t="s">
        <v>1864</v>
      </c>
      <c r="C2181" t="s">
        <v>6657</v>
      </c>
      <c r="D2181" t="s">
        <v>9925</v>
      </c>
      <c r="E2181" t="s">
        <v>10075</v>
      </c>
      <c r="F2181">
        <v>10029</v>
      </c>
      <c r="G2181" t="s">
        <v>10089</v>
      </c>
      <c r="H2181" t="s">
        <v>10102</v>
      </c>
      <c r="I2181" t="s">
        <v>10169</v>
      </c>
      <c r="J2181" t="s">
        <v>10209</v>
      </c>
      <c r="K2181" t="s">
        <v>10217</v>
      </c>
      <c r="M2181" t="s">
        <v>10233</v>
      </c>
      <c r="N2181" t="s">
        <v>10679</v>
      </c>
      <c r="P2181" t="s">
        <v>10753</v>
      </c>
      <c r="Q2181" t="s">
        <v>10763</v>
      </c>
      <c r="R2181" t="s">
        <v>10823</v>
      </c>
      <c r="T2181">
        <v>6672</v>
      </c>
      <c r="U2181">
        <v>556</v>
      </c>
      <c r="V2181">
        <v>16</v>
      </c>
      <c r="W2181">
        <v>1</v>
      </c>
      <c r="X2181">
        <v>4</v>
      </c>
      <c r="Z2181">
        <v>22.11</v>
      </c>
      <c r="AA2181">
        <v>40.786952</v>
      </c>
      <c r="AB2181">
        <v>-73.948776</v>
      </c>
      <c r="AD2181" t="s">
        <v>10840</v>
      </c>
      <c r="AF2181" t="s">
        <v>10852</v>
      </c>
      <c r="AG2181" t="s">
        <v>10859</v>
      </c>
      <c r="AH2181" t="s">
        <v>10864</v>
      </c>
      <c r="AI2181">
        <v>236</v>
      </c>
      <c r="AJ2181" t="s">
        <v>10209</v>
      </c>
      <c r="AL2181">
        <v>2.5</v>
      </c>
      <c r="AM2181" t="s">
        <v>10887</v>
      </c>
      <c r="AN2181" t="s">
        <v>10926</v>
      </c>
      <c r="AO2181" t="s">
        <v>11016</v>
      </c>
      <c r="AP2181" t="s">
        <v>11094</v>
      </c>
      <c r="AQ2181" t="s">
        <v>11109</v>
      </c>
      <c r="AR2181" t="s">
        <v>11453</v>
      </c>
      <c r="AS2181" t="s">
        <v>9925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</row>
    <row r="2182" spans="1:59">
      <c r="A2182" s="1">
        <f>HYPERLINK("https://lsnyc.legalserver.org/matter/dynamic-profile/view/1906123","19-1906123")</f>
        <v>0</v>
      </c>
      <c r="B2182" t="s">
        <v>1865</v>
      </c>
      <c r="C2182" t="s">
        <v>6658</v>
      </c>
      <c r="D2182" t="s">
        <v>9925</v>
      </c>
      <c r="E2182" t="s">
        <v>10075</v>
      </c>
      <c r="F2182">
        <v>10039</v>
      </c>
      <c r="G2182" t="s">
        <v>10089</v>
      </c>
      <c r="H2182" t="s">
        <v>10102</v>
      </c>
      <c r="J2182" t="s">
        <v>10209</v>
      </c>
      <c r="K2182" t="s">
        <v>10217</v>
      </c>
      <c r="M2182" t="s">
        <v>10381</v>
      </c>
      <c r="N2182" t="s">
        <v>10694</v>
      </c>
      <c r="P2182" t="s">
        <v>10751</v>
      </c>
      <c r="Q2182" t="s">
        <v>10768</v>
      </c>
      <c r="R2182" t="s">
        <v>10824</v>
      </c>
      <c r="T2182">
        <v>6960</v>
      </c>
      <c r="U2182">
        <v>580</v>
      </c>
      <c r="V2182">
        <v>36</v>
      </c>
      <c r="W2182">
        <v>1</v>
      </c>
      <c r="X2182">
        <v>2</v>
      </c>
      <c r="Z2182">
        <v>32.63</v>
      </c>
      <c r="AA2182">
        <v>40.824972</v>
      </c>
      <c r="AB2182">
        <v>-73.938742</v>
      </c>
      <c r="AD2182" t="s">
        <v>10839</v>
      </c>
      <c r="AF2182" t="s">
        <v>10843</v>
      </c>
      <c r="AG2182" t="s">
        <v>10859</v>
      </c>
      <c r="AH2182" t="s">
        <v>10866</v>
      </c>
      <c r="AI2182">
        <v>236</v>
      </c>
      <c r="AJ2182" t="s">
        <v>10209</v>
      </c>
      <c r="AL2182">
        <v>4</v>
      </c>
      <c r="AM2182" t="s">
        <v>10887</v>
      </c>
      <c r="AN2182" t="s">
        <v>10943</v>
      </c>
      <c r="AO2182" t="s">
        <v>11016</v>
      </c>
      <c r="AP2182" t="s">
        <v>11076</v>
      </c>
      <c r="AR2182" t="s">
        <v>11292</v>
      </c>
      <c r="AS2182" t="s">
        <v>9925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</row>
    <row r="2183" spans="1:59">
      <c r="A2183" s="1">
        <f>HYPERLINK("https://lsnyc.legalserver.org/matter/dynamic-profile/view/1906124","19-1906124")</f>
        <v>0</v>
      </c>
      <c r="B2183" t="s">
        <v>1866</v>
      </c>
      <c r="C2183" t="s">
        <v>6659</v>
      </c>
      <c r="D2183" t="s">
        <v>9925</v>
      </c>
      <c r="E2183" t="s">
        <v>10075</v>
      </c>
      <c r="F2183">
        <v>10026</v>
      </c>
      <c r="G2183" t="s">
        <v>10089</v>
      </c>
      <c r="H2183" t="s">
        <v>10102</v>
      </c>
      <c r="I2183" t="s">
        <v>10168</v>
      </c>
      <c r="J2183" t="s">
        <v>10209</v>
      </c>
      <c r="K2183" t="s">
        <v>10218</v>
      </c>
      <c r="L2183" t="s">
        <v>10101</v>
      </c>
      <c r="M2183" t="s">
        <v>10506</v>
      </c>
      <c r="N2183" t="s">
        <v>10694</v>
      </c>
      <c r="P2183" t="s">
        <v>10751</v>
      </c>
      <c r="Q2183" t="s">
        <v>10768</v>
      </c>
      <c r="R2183" t="s">
        <v>10821</v>
      </c>
      <c r="T2183">
        <v>2136</v>
      </c>
      <c r="U2183">
        <v>178</v>
      </c>
      <c r="V2183">
        <v>47</v>
      </c>
      <c r="W2183">
        <v>1</v>
      </c>
      <c r="X2183">
        <v>1</v>
      </c>
      <c r="Y2183" t="s">
        <v>10829</v>
      </c>
      <c r="Z2183">
        <v>12.63</v>
      </c>
      <c r="AA2183">
        <v>40.801213</v>
      </c>
      <c r="AB2183">
        <v>-73.95706</v>
      </c>
      <c r="AD2183" t="s">
        <v>10839</v>
      </c>
      <c r="AG2183" t="s">
        <v>10858</v>
      </c>
      <c r="AH2183" t="s">
        <v>10871</v>
      </c>
      <c r="AI2183">
        <v>236</v>
      </c>
      <c r="AJ2183" t="s">
        <v>10209</v>
      </c>
      <c r="AK2183" t="s">
        <v>10882</v>
      </c>
      <c r="AL2183">
        <v>0.25</v>
      </c>
      <c r="AM2183" t="s">
        <v>10887</v>
      </c>
      <c r="AN2183" t="s">
        <v>10936</v>
      </c>
      <c r="AO2183" t="s">
        <v>11016</v>
      </c>
      <c r="AP2183" t="s">
        <v>11076</v>
      </c>
      <c r="AR2183" t="s">
        <v>11405</v>
      </c>
      <c r="AS2183" t="s">
        <v>9925</v>
      </c>
      <c r="AY2183" t="s">
        <v>10829</v>
      </c>
      <c r="AZ2183" t="s">
        <v>11682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</row>
    <row r="2184" spans="1:59">
      <c r="A2184" s="1">
        <f>HYPERLINK("https://lsnyc.legalserver.org/matter/dynamic-profile/view/1906125","19-1906125")</f>
        <v>0</v>
      </c>
      <c r="B2184" t="s">
        <v>1867</v>
      </c>
      <c r="C2184" t="s">
        <v>5777</v>
      </c>
      <c r="D2184" t="s">
        <v>9925</v>
      </c>
      <c r="E2184" t="s">
        <v>10075</v>
      </c>
      <c r="F2184">
        <v>10040</v>
      </c>
      <c r="G2184" t="s">
        <v>10089</v>
      </c>
      <c r="H2184" t="s">
        <v>10102</v>
      </c>
      <c r="I2184" t="s">
        <v>10168</v>
      </c>
      <c r="J2184" t="s">
        <v>10209</v>
      </c>
      <c r="K2184" t="s">
        <v>10217</v>
      </c>
      <c r="M2184" t="s">
        <v>10393</v>
      </c>
      <c r="N2184" t="s">
        <v>10650</v>
      </c>
      <c r="P2184" t="s">
        <v>10749</v>
      </c>
      <c r="Q2184" t="s">
        <v>10765</v>
      </c>
      <c r="R2184" t="s">
        <v>10821</v>
      </c>
      <c r="T2184">
        <v>9000</v>
      </c>
      <c r="U2184">
        <v>750</v>
      </c>
      <c r="V2184">
        <v>61</v>
      </c>
      <c r="W2184">
        <v>1</v>
      </c>
      <c r="X2184">
        <v>0</v>
      </c>
      <c r="Z2184">
        <v>72.06</v>
      </c>
      <c r="AA2184">
        <v>40.861784</v>
      </c>
      <c r="AB2184">
        <v>-73.926269</v>
      </c>
      <c r="AD2184" t="s">
        <v>10839</v>
      </c>
      <c r="AG2184" t="s">
        <v>10858</v>
      </c>
      <c r="AH2184" t="s">
        <v>10862</v>
      </c>
      <c r="AI2184">
        <v>236</v>
      </c>
      <c r="AJ2184" t="s">
        <v>10209</v>
      </c>
      <c r="AL2184">
        <v>12.2</v>
      </c>
      <c r="AM2184" t="s">
        <v>10887</v>
      </c>
      <c r="AN2184" t="s">
        <v>10937</v>
      </c>
      <c r="AO2184" t="s">
        <v>11019</v>
      </c>
      <c r="AP2184" t="s">
        <v>11074</v>
      </c>
      <c r="AR2184" t="s">
        <v>11263</v>
      </c>
      <c r="AS2184" t="s">
        <v>9925</v>
      </c>
      <c r="AT2184" t="s">
        <v>11641</v>
      </c>
      <c r="AX2184" t="s">
        <v>10838</v>
      </c>
      <c r="BA2184" t="s">
        <v>11738</v>
      </c>
      <c r="BB2184">
        <v>0</v>
      </c>
      <c r="BC2184">
        <v>0</v>
      </c>
      <c r="BD2184">
        <v>0</v>
      </c>
      <c r="BE2184">
        <v>0</v>
      </c>
      <c r="BF2184">
        <v>5</v>
      </c>
      <c r="BG2184">
        <v>0</v>
      </c>
    </row>
    <row r="2185" spans="1:59">
      <c r="A2185" s="1">
        <f>HYPERLINK("https://lsnyc.legalserver.org/matter/dynamic-profile/view/1906126","19-1906126")</f>
        <v>0</v>
      </c>
      <c r="B2185" t="s">
        <v>1868</v>
      </c>
      <c r="C2185" t="s">
        <v>6660</v>
      </c>
      <c r="D2185" t="s">
        <v>9928</v>
      </c>
      <c r="E2185" t="s">
        <v>10075</v>
      </c>
      <c r="F2185">
        <v>11233</v>
      </c>
      <c r="G2185" t="s">
        <v>10093</v>
      </c>
      <c r="H2185" t="s">
        <v>10102</v>
      </c>
      <c r="I2185" t="s">
        <v>10168</v>
      </c>
      <c r="J2185" t="s">
        <v>10213</v>
      </c>
      <c r="K2185" t="s">
        <v>10218</v>
      </c>
      <c r="L2185" t="s">
        <v>10098</v>
      </c>
      <c r="M2185" t="s">
        <v>10348</v>
      </c>
      <c r="N2185" t="s">
        <v>10650</v>
      </c>
      <c r="P2185" t="s">
        <v>10749</v>
      </c>
      <c r="Q2185" t="s">
        <v>10765</v>
      </c>
      <c r="R2185" t="s">
        <v>10820</v>
      </c>
      <c r="T2185">
        <v>0</v>
      </c>
      <c r="U2185">
        <v>0</v>
      </c>
      <c r="V2185">
        <v>38</v>
      </c>
      <c r="W2185">
        <v>1</v>
      </c>
      <c r="X2185">
        <v>0</v>
      </c>
      <c r="Y2185" t="s">
        <v>10829</v>
      </c>
      <c r="Z2185">
        <v>0</v>
      </c>
      <c r="AA2185">
        <v>40.681252</v>
      </c>
      <c r="AB2185">
        <v>-73.92709600000001</v>
      </c>
      <c r="AD2185" t="s">
        <v>10839</v>
      </c>
      <c r="AG2185" t="s">
        <v>10858</v>
      </c>
      <c r="AH2185" t="s">
        <v>10861</v>
      </c>
      <c r="AI2185">
        <v>234</v>
      </c>
      <c r="AJ2185" t="s">
        <v>10214</v>
      </c>
      <c r="AK2185" t="s">
        <v>10838</v>
      </c>
      <c r="AL2185">
        <v>6.5</v>
      </c>
      <c r="AM2185" t="s">
        <v>10889</v>
      </c>
      <c r="AN2185" t="s">
        <v>10914</v>
      </c>
      <c r="AO2185" t="s">
        <v>11007</v>
      </c>
      <c r="AP2185" t="s">
        <v>11052</v>
      </c>
      <c r="AR2185" t="s">
        <v>11267</v>
      </c>
      <c r="AS2185" t="s">
        <v>11595</v>
      </c>
      <c r="AT2185" t="s">
        <v>11641</v>
      </c>
      <c r="AX2185" t="s">
        <v>10838</v>
      </c>
      <c r="AY2185" t="s">
        <v>10829</v>
      </c>
      <c r="AZ2185" t="s">
        <v>11681</v>
      </c>
      <c r="BA2185" t="s">
        <v>11741</v>
      </c>
      <c r="BB2185">
        <v>0</v>
      </c>
      <c r="BC2185">
        <v>0</v>
      </c>
      <c r="BD2185">
        <v>0</v>
      </c>
      <c r="BE2185">
        <v>0</v>
      </c>
      <c r="BF2185">
        <v>1</v>
      </c>
      <c r="BG2185">
        <v>0</v>
      </c>
    </row>
    <row r="2186" spans="1:59">
      <c r="A2186" s="1">
        <f>HYPERLINK("https://lsnyc.legalserver.org/matter/dynamic-profile/view/1906127","19-1906127")</f>
        <v>0</v>
      </c>
      <c r="B2186" t="s">
        <v>1869</v>
      </c>
      <c r="C2186" t="s">
        <v>6661</v>
      </c>
      <c r="D2186" t="s">
        <v>9928</v>
      </c>
      <c r="E2186" t="s">
        <v>10075</v>
      </c>
      <c r="F2186">
        <v>11233</v>
      </c>
      <c r="G2186" t="s">
        <v>10093</v>
      </c>
      <c r="H2186" t="s">
        <v>10102</v>
      </c>
      <c r="I2186" t="s">
        <v>10168</v>
      </c>
      <c r="J2186" t="s">
        <v>10213</v>
      </c>
      <c r="K2186" t="s">
        <v>10218</v>
      </c>
      <c r="L2186" t="s">
        <v>10110</v>
      </c>
      <c r="M2186" t="s">
        <v>10564</v>
      </c>
      <c r="N2186" t="s">
        <v>10650</v>
      </c>
      <c r="P2186" t="s">
        <v>10749</v>
      </c>
      <c r="Q2186" t="s">
        <v>10765</v>
      </c>
      <c r="R2186" t="s">
        <v>10824</v>
      </c>
      <c r="T2186">
        <v>18012</v>
      </c>
      <c r="U2186">
        <v>1501</v>
      </c>
      <c r="V2186">
        <v>29</v>
      </c>
      <c r="W2186">
        <v>1</v>
      </c>
      <c r="X2186">
        <v>1</v>
      </c>
      <c r="Y2186" t="s">
        <v>10829</v>
      </c>
      <c r="Z2186">
        <v>106.52</v>
      </c>
      <c r="AA2186">
        <v>40.674129</v>
      </c>
      <c r="AB2186">
        <v>-73.91839400000001</v>
      </c>
      <c r="AD2186" t="s">
        <v>10839</v>
      </c>
      <c r="AG2186" t="s">
        <v>10858</v>
      </c>
      <c r="AH2186" t="s">
        <v>10861</v>
      </c>
      <c r="AI2186">
        <v>234</v>
      </c>
      <c r="AJ2186" t="s">
        <v>10214</v>
      </c>
      <c r="AK2186" t="s">
        <v>10838</v>
      </c>
      <c r="AL2186">
        <v>0.5</v>
      </c>
      <c r="AM2186" t="s">
        <v>10889</v>
      </c>
      <c r="AN2186" t="s">
        <v>10922</v>
      </c>
      <c r="AO2186" t="s">
        <v>11007</v>
      </c>
      <c r="AP2186" t="s">
        <v>11064</v>
      </c>
      <c r="AR2186" t="s">
        <v>11454</v>
      </c>
      <c r="AS2186" t="s">
        <v>11595</v>
      </c>
      <c r="AT2186" t="s">
        <v>11641</v>
      </c>
      <c r="AX2186" t="s">
        <v>10838</v>
      </c>
      <c r="AY2186" t="s">
        <v>10829</v>
      </c>
      <c r="AZ2186" t="s">
        <v>11681</v>
      </c>
      <c r="BA2186" t="s">
        <v>11741</v>
      </c>
      <c r="BB2186">
        <v>0</v>
      </c>
      <c r="BC2186">
        <v>0</v>
      </c>
      <c r="BD2186">
        <v>0</v>
      </c>
      <c r="BE2186">
        <v>0</v>
      </c>
      <c r="BF2186">
        <v>1</v>
      </c>
      <c r="BG2186">
        <v>0</v>
      </c>
    </row>
    <row r="2187" spans="1:59">
      <c r="A2187" s="1">
        <f>HYPERLINK("https://lsnyc.legalserver.org/matter/dynamic-profile/view/1906128","19-1906128")</f>
        <v>0</v>
      </c>
      <c r="B2187" t="s">
        <v>1870</v>
      </c>
      <c r="C2187" t="s">
        <v>6662</v>
      </c>
      <c r="D2187" t="s">
        <v>9931</v>
      </c>
      <c r="E2187" t="s">
        <v>10075</v>
      </c>
      <c r="F2187">
        <v>11354</v>
      </c>
      <c r="G2187" t="s">
        <v>10092</v>
      </c>
      <c r="H2187" t="s">
        <v>10102</v>
      </c>
      <c r="I2187" t="s">
        <v>10168</v>
      </c>
      <c r="J2187" t="s">
        <v>10212</v>
      </c>
      <c r="K2187" t="s">
        <v>10218</v>
      </c>
      <c r="L2187" t="s">
        <v>10146</v>
      </c>
      <c r="M2187" t="s">
        <v>10258</v>
      </c>
      <c r="N2187" t="s">
        <v>10650</v>
      </c>
      <c r="P2187" t="s">
        <v>10749</v>
      </c>
      <c r="Q2187" t="s">
        <v>10765</v>
      </c>
      <c r="R2187" t="s">
        <v>10824</v>
      </c>
      <c r="T2187">
        <v>17267.52</v>
      </c>
      <c r="U2187">
        <v>1438.96</v>
      </c>
      <c r="V2187">
        <v>67</v>
      </c>
      <c r="W2187">
        <v>2</v>
      </c>
      <c r="X2187">
        <v>0</v>
      </c>
      <c r="Y2187" t="s">
        <v>10829</v>
      </c>
      <c r="Z2187">
        <v>102.11</v>
      </c>
      <c r="AA2187">
        <v>40.764186</v>
      </c>
      <c r="AB2187">
        <v>-73.82173</v>
      </c>
      <c r="AD2187" t="s">
        <v>10840</v>
      </c>
      <c r="AG2187" t="s">
        <v>10858</v>
      </c>
      <c r="AH2187" t="s">
        <v>10861</v>
      </c>
      <c r="AI2187">
        <v>234</v>
      </c>
      <c r="AJ2187" t="s">
        <v>10214</v>
      </c>
      <c r="AK2187" t="s">
        <v>10882</v>
      </c>
      <c r="AL2187">
        <v>2.4</v>
      </c>
      <c r="AM2187" t="s">
        <v>10890</v>
      </c>
      <c r="AN2187" t="s">
        <v>10927</v>
      </c>
      <c r="AO2187" t="s">
        <v>11009</v>
      </c>
      <c r="AP2187" t="s">
        <v>11067</v>
      </c>
      <c r="AR2187" t="s">
        <v>11270</v>
      </c>
      <c r="AS2187" t="s">
        <v>11594</v>
      </c>
      <c r="AT2187" t="s">
        <v>11642</v>
      </c>
      <c r="AX2187" t="s">
        <v>10838</v>
      </c>
      <c r="AY2187" t="s">
        <v>10829</v>
      </c>
      <c r="AZ2187" t="s">
        <v>11681</v>
      </c>
      <c r="BA2187" t="s">
        <v>11741</v>
      </c>
      <c r="BB2187">
        <v>0</v>
      </c>
      <c r="BC2187">
        <v>0</v>
      </c>
      <c r="BD2187">
        <v>0</v>
      </c>
      <c r="BE2187">
        <v>0</v>
      </c>
      <c r="BF2187">
        <v>1</v>
      </c>
      <c r="BG2187">
        <v>0</v>
      </c>
    </row>
    <row r="2188" spans="1:59">
      <c r="A2188" s="1">
        <f>HYPERLINK("https://lsnyc.legalserver.org/matter/dynamic-profile/view/1906129","19-1906129")</f>
        <v>0</v>
      </c>
      <c r="B2188" t="s">
        <v>1871</v>
      </c>
      <c r="C2188" t="s">
        <v>6663</v>
      </c>
      <c r="D2188" t="s">
        <v>9928</v>
      </c>
      <c r="E2188" t="s">
        <v>10075</v>
      </c>
      <c r="F2188">
        <v>11220</v>
      </c>
      <c r="G2188" t="s">
        <v>10093</v>
      </c>
      <c r="H2188" t="s">
        <v>10102</v>
      </c>
      <c r="I2188" t="s">
        <v>10169</v>
      </c>
      <c r="J2188" t="s">
        <v>10213</v>
      </c>
      <c r="K2188" t="s">
        <v>10217</v>
      </c>
      <c r="M2188" t="s">
        <v>10426</v>
      </c>
      <c r="N2188" t="s">
        <v>10671</v>
      </c>
      <c r="P2188" t="s">
        <v>10751</v>
      </c>
      <c r="Q2188" t="s">
        <v>10761</v>
      </c>
      <c r="R2188" t="s">
        <v>10823</v>
      </c>
      <c r="T2188">
        <v>0</v>
      </c>
      <c r="U2188">
        <v>0</v>
      </c>
      <c r="V2188">
        <v>44</v>
      </c>
      <c r="W2188">
        <v>1</v>
      </c>
      <c r="X2188">
        <v>2</v>
      </c>
      <c r="Z2188">
        <v>0</v>
      </c>
      <c r="AA2188">
        <v>40.646279</v>
      </c>
      <c r="AB2188">
        <v>-74.01086599999999</v>
      </c>
      <c r="AD2188" t="s">
        <v>10840</v>
      </c>
      <c r="AF2188" t="s">
        <v>10843</v>
      </c>
      <c r="AG2188" t="s">
        <v>10859</v>
      </c>
      <c r="AH2188" t="s">
        <v>10862</v>
      </c>
      <c r="AI2188">
        <v>239</v>
      </c>
      <c r="AJ2188" t="s">
        <v>10213</v>
      </c>
      <c r="AL2188">
        <v>3.2</v>
      </c>
      <c r="AM2188" t="s">
        <v>10886</v>
      </c>
      <c r="AN2188" t="s">
        <v>10921</v>
      </c>
      <c r="AO2188" t="s">
        <v>11005</v>
      </c>
      <c r="AP2188" t="s">
        <v>11069</v>
      </c>
      <c r="AR2188" t="s">
        <v>11267</v>
      </c>
      <c r="AS2188" t="s">
        <v>11595</v>
      </c>
      <c r="BA2188" t="s">
        <v>11737</v>
      </c>
      <c r="BB2188">
        <v>0</v>
      </c>
      <c r="BC2188">
        <v>0</v>
      </c>
      <c r="BD2188">
        <v>0</v>
      </c>
      <c r="BE2188">
        <v>0</v>
      </c>
      <c r="BF2188">
        <v>3</v>
      </c>
      <c r="BG2188">
        <v>0</v>
      </c>
    </row>
    <row r="2189" spans="1:59">
      <c r="A2189" s="1">
        <f>HYPERLINK("https://lsnyc.legalserver.org/matter/dynamic-profile/view/1906130","19-1906130")</f>
        <v>0</v>
      </c>
      <c r="B2189" t="s">
        <v>1215</v>
      </c>
      <c r="C2189" t="s">
        <v>6664</v>
      </c>
      <c r="D2189" t="s">
        <v>9928</v>
      </c>
      <c r="E2189" t="s">
        <v>10075</v>
      </c>
      <c r="F2189">
        <v>11206</v>
      </c>
      <c r="G2189" t="s">
        <v>10093</v>
      </c>
      <c r="H2189" t="s">
        <v>10102</v>
      </c>
      <c r="I2189" t="s">
        <v>10168</v>
      </c>
      <c r="J2189" t="s">
        <v>10213</v>
      </c>
      <c r="K2189" t="s">
        <v>10218</v>
      </c>
      <c r="L2189" t="s">
        <v>10102</v>
      </c>
      <c r="M2189" t="s">
        <v>10358</v>
      </c>
      <c r="N2189" t="s">
        <v>10682</v>
      </c>
      <c r="P2189" t="s">
        <v>10752</v>
      </c>
      <c r="Q2189" t="s">
        <v>10783</v>
      </c>
      <c r="R2189" t="s">
        <v>10821</v>
      </c>
      <c r="S2189" t="s">
        <v>10821</v>
      </c>
      <c r="T2189">
        <v>15036</v>
      </c>
      <c r="U2189">
        <v>1253</v>
      </c>
      <c r="V2189">
        <v>58</v>
      </c>
      <c r="W2189">
        <v>1</v>
      </c>
      <c r="X2189">
        <v>0</v>
      </c>
      <c r="Y2189" t="s">
        <v>10830</v>
      </c>
      <c r="Z2189">
        <v>120.38</v>
      </c>
      <c r="AA2189">
        <v>40.704385</v>
      </c>
      <c r="AB2189">
        <v>-73.941975</v>
      </c>
      <c r="AD2189" t="s">
        <v>10840</v>
      </c>
      <c r="AF2189" t="s">
        <v>10843</v>
      </c>
      <c r="AG2189" t="s">
        <v>10859</v>
      </c>
      <c r="AH2189" t="s">
        <v>10863</v>
      </c>
      <c r="AI2189">
        <v>239</v>
      </c>
      <c r="AJ2189" t="s">
        <v>10213</v>
      </c>
      <c r="AK2189" t="s">
        <v>10838</v>
      </c>
      <c r="AL2189">
        <v>0.75</v>
      </c>
      <c r="AM2189" t="s">
        <v>10886</v>
      </c>
      <c r="AN2189" t="s">
        <v>10942</v>
      </c>
      <c r="AO2189" t="s">
        <v>11011</v>
      </c>
      <c r="AP2189" t="s">
        <v>11071</v>
      </c>
      <c r="AR2189" t="s">
        <v>11268</v>
      </c>
      <c r="AS2189" t="s">
        <v>11595</v>
      </c>
      <c r="AY2189" t="s">
        <v>10830</v>
      </c>
      <c r="AZ2189" t="s">
        <v>11718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</row>
    <row r="2190" spans="1:59">
      <c r="A2190" s="1">
        <f>HYPERLINK("https://lsnyc.legalserver.org/matter/dynamic-profile/view/1906131","19-1906131")</f>
        <v>0</v>
      </c>
      <c r="B2190" t="s">
        <v>1872</v>
      </c>
      <c r="C2190" t="s">
        <v>6236</v>
      </c>
      <c r="D2190" t="s">
        <v>9926</v>
      </c>
      <c r="E2190" t="s">
        <v>10075</v>
      </c>
      <c r="F2190">
        <v>10452</v>
      </c>
      <c r="G2190" t="s">
        <v>10090</v>
      </c>
      <c r="H2190" t="s">
        <v>10102</v>
      </c>
      <c r="I2190" t="s">
        <v>10168</v>
      </c>
      <c r="J2190" t="s">
        <v>10210</v>
      </c>
      <c r="K2190" t="s">
        <v>10217</v>
      </c>
      <c r="M2190" t="s">
        <v>10450</v>
      </c>
      <c r="N2190" t="s">
        <v>10650</v>
      </c>
      <c r="P2190" t="s">
        <v>10749</v>
      </c>
      <c r="Q2190" t="s">
        <v>10765</v>
      </c>
      <c r="R2190" t="s">
        <v>10824</v>
      </c>
      <c r="T2190">
        <v>12000</v>
      </c>
      <c r="U2190">
        <v>1000</v>
      </c>
      <c r="V2190">
        <v>56</v>
      </c>
      <c r="W2190">
        <v>1</v>
      </c>
      <c r="X2190">
        <v>0</v>
      </c>
      <c r="Z2190">
        <v>96.08</v>
      </c>
      <c r="AA2190">
        <v>40.832781</v>
      </c>
      <c r="AB2190">
        <v>-73.928279</v>
      </c>
      <c r="AD2190" t="s">
        <v>10839</v>
      </c>
      <c r="AG2190" t="s">
        <v>10858</v>
      </c>
      <c r="AH2190" t="s">
        <v>10862</v>
      </c>
      <c r="AI2190">
        <v>230</v>
      </c>
      <c r="AJ2190" t="s">
        <v>10210</v>
      </c>
      <c r="AL2190">
        <v>0.5</v>
      </c>
      <c r="AM2190" t="s">
        <v>10884</v>
      </c>
      <c r="AN2190" t="s">
        <v>10924</v>
      </c>
      <c r="AO2190" t="s">
        <v>11013</v>
      </c>
      <c r="AP2190" t="s">
        <v>11066</v>
      </c>
      <c r="AR2190" t="s">
        <v>11270</v>
      </c>
      <c r="AS2190" t="s">
        <v>9926</v>
      </c>
      <c r="BA2190" t="s">
        <v>11740</v>
      </c>
      <c r="BB2190">
        <v>0</v>
      </c>
      <c r="BC2190">
        <v>0</v>
      </c>
      <c r="BD2190">
        <v>0</v>
      </c>
      <c r="BE2190">
        <v>0</v>
      </c>
      <c r="BF2190">
        <v>2</v>
      </c>
      <c r="BG2190">
        <v>0</v>
      </c>
    </row>
    <row r="2191" spans="1:59">
      <c r="A2191" s="1">
        <f>HYPERLINK("https://lsnyc.legalserver.org/matter/dynamic-profile/view/1906132","19-1906132")</f>
        <v>0</v>
      </c>
      <c r="B2191" t="s">
        <v>1873</v>
      </c>
      <c r="C2191" t="s">
        <v>6665</v>
      </c>
      <c r="D2191" t="s">
        <v>9925</v>
      </c>
      <c r="E2191" t="s">
        <v>10075</v>
      </c>
      <c r="F2191">
        <v>10027</v>
      </c>
      <c r="G2191" t="s">
        <v>10089</v>
      </c>
      <c r="H2191" t="s">
        <v>10102</v>
      </c>
      <c r="I2191" t="s">
        <v>10168</v>
      </c>
      <c r="J2191" t="s">
        <v>10209</v>
      </c>
      <c r="K2191" t="s">
        <v>10217</v>
      </c>
      <c r="M2191" t="s">
        <v>10305</v>
      </c>
      <c r="N2191" t="s">
        <v>10691</v>
      </c>
      <c r="P2191" t="s">
        <v>10752</v>
      </c>
      <c r="Q2191" t="s">
        <v>10805</v>
      </c>
      <c r="R2191" t="s">
        <v>10824</v>
      </c>
      <c r="T2191">
        <v>9096</v>
      </c>
      <c r="U2191">
        <v>758</v>
      </c>
      <c r="V2191">
        <v>59</v>
      </c>
      <c r="W2191">
        <v>3</v>
      </c>
      <c r="X2191">
        <v>0</v>
      </c>
      <c r="Z2191">
        <v>42.64</v>
      </c>
      <c r="AA2191">
        <v>40.813018</v>
      </c>
      <c r="AB2191">
        <v>-73.95503100000001</v>
      </c>
      <c r="AD2191" t="s">
        <v>10839</v>
      </c>
      <c r="AG2191" t="s">
        <v>10858</v>
      </c>
      <c r="AH2191" t="s">
        <v>10863</v>
      </c>
      <c r="AI2191">
        <v>236</v>
      </c>
      <c r="AJ2191" t="s">
        <v>10209</v>
      </c>
      <c r="AL2191">
        <v>0.2</v>
      </c>
      <c r="AM2191" t="s">
        <v>10887</v>
      </c>
      <c r="AN2191" t="s">
        <v>10936</v>
      </c>
      <c r="AO2191" t="s">
        <v>11016</v>
      </c>
      <c r="AP2191" t="s">
        <v>11073</v>
      </c>
      <c r="AQ2191" t="s">
        <v>11155</v>
      </c>
      <c r="AR2191" t="s">
        <v>11253</v>
      </c>
      <c r="AS2191" t="s">
        <v>9925</v>
      </c>
      <c r="AT2191" t="s">
        <v>11641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</row>
    <row r="2192" spans="1:59">
      <c r="A2192" s="1">
        <f>HYPERLINK("https://lsnyc.legalserver.org/matter/dynamic-profile/view/1906133","19-1906133")</f>
        <v>0</v>
      </c>
      <c r="B2192" t="s">
        <v>1874</v>
      </c>
      <c r="C2192" t="s">
        <v>6666</v>
      </c>
      <c r="D2192" t="s">
        <v>9928</v>
      </c>
      <c r="E2192" t="s">
        <v>10075</v>
      </c>
      <c r="F2192">
        <v>11237</v>
      </c>
      <c r="G2192" t="s">
        <v>10093</v>
      </c>
      <c r="H2192" t="s">
        <v>10102</v>
      </c>
      <c r="I2192" t="s">
        <v>10168</v>
      </c>
      <c r="J2192" t="s">
        <v>10213</v>
      </c>
      <c r="K2192" t="s">
        <v>10217</v>
      </c>
      <c r="M2192" t="s">
        <v>10290</v>
      </c>
      <c r="N2192" t="s">
        <v>10665</v>
      </c>
      <c r="P2192" t="s">
        <v>10751</v>
      </c>
      <c r="Q2192" t="s">
        <v>10773</v>
      </c>
      <c r="R2192" t="s">
        <v>10820</v>
      </c>
      <c r="T2192">
        <v>22776</v>
      </c>
      <c r="U2192">
        <v>1898</v>
      </c>
      <c r="V2192">
        <v>37</v>
      </c>
      <c r="W2192">
        <v>1</v>
      </c>
      <c r="X2192">
        <v>0</v>
      </c>
      <c r="Z2192">
        <v>182.35</v>
      </c>
      <c r="AA2192">
        <v>40.704091</v>
      </c>
      <c r="AB2192">
        <v>-73.925534</v>
      </c>
      <c r="AD2192" t="s">
        <v>10839</v>
      </c>
      <c r="AG2192" t="s">
        <v>10858</v>
      </c>
      <c r="AH2192" t="s">
        <v>10861</v>
      </c>
      <c r="AI2192">
        <v>234</v>
      </c>
      <c r="AJ2192" t="s">
        <v>10214</v>
      </c>
      <c r="AL2192">
        <v>1.3</v>
      </c>
      <c r="AM2192" t="s">
        <v>10886</v>
      </c>
      <c r="AN2192" t="s">
        <v>10942</v>
      </c>
      <c r="AO2192" t="s">
        <v>11011</v>
      </c>
      <c r="AP2192" t="s">
        <v>11071</v>
      </c>
      <c r="AR2192" t="s">
        <v>11293</v>
      </c>
      <c r="AS2192" t="s">
        <v>11595</v>
      </c>
      <c r="AT2192" t="s">
        <v>11641</v>
      </c>
      <c r="AX2192" t="s">
        <v>10837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</row>
    <row r="2193" spans="1:59">
      <c r="A2193" s="1">
        <f>HYPERLINK("https://lsnyc.legalserver.org/matter/dynamic-profile/view/1906134","19-1906134")</f>
        <v>0</v>
      </c>
      <c r="B2193" t="s">
        <v>940</v>
      </c>
      <c r="C2193" t="s">
        <v>6429</v>
      </c>
      <c r="D2193" t="s">
        <v>9925</v>
      </c>
      <c r="E2193" t="s">
        <v>10075</v>
      </c>
      <c r="F2193">
        <v>10027</v>
      </c>
      <c r="G2193" t="s">
        <v>10089</v>
      </c>
      <c r="H2193" t="s">
        <v>10102</v>
      </c>
      <c r="I2193" t="s">
        <v>10168</v>
      </c>
      <c r="J2193" t="s">
        <v>10209</v>
      </c>
      <c r="K2193" t="s">
        <v>10217</v>
      </c>
      <c r="M2193" t="s">
        <v>10305</v>
      </c>
      <c r="N2193" t="s">
        <v>10650</v>
      </c>
      <c r="P2193" t="s">
        <v>10752</v>
      </c>
      <c r="Q2193" t="s">
        <v>10783</v>
      </c>
      <c r="R2193" t="s">
        <v>10824</v>
      </c>
      <c r="T2193">
        <v>15840</v>
      </c>
      <c r="U2193">
        <v>1320</v>
      </c>
      <c r="V2193">
        <v>62</v>
      </c>
      <c r="W2193">
        <v>1</v>
      </c>
      <c r="X2193">
        <v>0</v>
      </c>
      <c r="Z2193">
        <v>126.82</v>
      </c>
      <c r="AA2193">
        <v>40.807273</v>
      </c>
      <c r="AB2193">
        <v>-73.947777</v>
      </c>
      <c r="AD2193" t="s">
        <v>10839</v>
      </c>
      <c r="AG2193" t="s">
        <v>10858</v>
      </c>
      <c r="AH2193" t="s">
        <v>10863</v>
      </c>
      <c r="AI2193">
        <v>236</v>
      </c>
      <c r="AJ2193" t="s">
        <v>10209</v>
      </c>
      <c r="AL2193">
        <v>39</v>
      </c>
      <c r="AM2193" t="s">
        <v>10887</v>
      </c>
      <c r="AN2193" t="s">
        <v>10936</v>
      </c>
      <c r="AO2193" t="s">
        <v>11016</v>
      </c>
      <c r="AP2193" t="s">
        <v>11076</v>
      </c>
      <c r="AR2193" t="s">
        <v>11296</v>
      </c>
      <c r="AS2193" t="s">
        <v>9925</v>
      </c>
      <c r="AT2193" t="s">
        <v>11641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</row>
    <row r="2194" spans="1:59">
      <c r="A2194" s="1">
        <f>HYPERLINK("https://lsnyc.legalserver.org/matter/dynamic-profile/view/1906135","19-1906135")</f>
        <v>0</v>
      </c>
      <c r="B2194" t="s">
        <v>1875</v>
      </c>
      <c r="C2194" t="s">
        <v>6667</v>
      </c>
      <c r="D2194" t="s">
        <v>9925</v>
      </c>
      <c r="E2194" t="s">
        <v>10075</v>
      </c>
      <c r="F2194">
        <v>10029</v>
      </c>
      <c r="G2194" t="s">
        <v>10089</v>
      </c>
      <c r="H2194" t="s">
        <v>10102</v>
      </c>
      <c r="I2194" t="s">
        <v>10168</v>
      </c>
      <c r="J2194" t="s">
        <v>10209</v>
      </c>
      <c r="K2194" t="s">
        <v>10217</v>
      </c>
      <c r="M2194" t="s">
        <v>10381</v>
      </c>
      <c r="N2194" t="s">
        <v>10694</v>
      </c>
      <c r="P2194" t="s">
        <v>10751</v>
      </c>
      <c r="Q2194" t="s">
        <v>10780</v>
      </c>
      <c r="R2194" t="s">
        <v>10821</v>
      </c>
      <c r="T2194">
        <v>40740</v>
      </c>
      <c r="U2194">
        <v>3395</v>
      </c>
      <c r="V2194">
        <v>48</v>
      </c>
      <c r="W2194">
        <v>3</v>
      </c>
      <c r="X2194">
        <v>0</v>
      </c>
      <c r="Z2194">
        <v>191</v>
      </c>
      <c r="AA2194">
        <v>40.787195</v>
      </c>
      <c r="AB2194">
        <v>-73.93958600000001</v>
      </c>
      <c r="AD2194" t="s">
        <v>10839</v>
      </c>
      <c r="AG2194" t="s">
        <v>10858</v>
      </c>
      <c r="AH2194" t="s">
        <v>10866</v>
      </c>
      <c r="AI2194">
        <v>236</v>
      </c>
      <c r="AJ2194" t="s">
        <v>10209</v>
      </c>
      <c r="AL2194">
        <v>7.25</v>
      </c>
      <c r="AM2194" t="s">
        <v>10887</v>
      </c>
      <c r="AN2194" t="s">
        <v>10926</v>
      </c>
      <c r="AO2194" t="s">
        <v>11016</v>
      </c>
      <c r="AP2194" t="s">
        <v>11066</v>
      </c>
      <c r="AR2194" t="s">
        <v>11281</v>
      </c>
      <c r="AS2194" t="s">
        <v>9925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</row>
    <row r="2195" spans="1:59">
      <c r="A2195" s="1">
        <f>HYPERLINK("https://lsnyc.legalserver.org/matter/dynamic-profile/view/1906136","19-1906136")</f>
        <v>0</v>
      </c>
      <c r="B2195" t="s">
        <v>1876</v>
      </c>
      <c r="C2195" t="s">
        <v>6668</v>
      </c>
      <c r="D2195" t="s">
        <v>9928</v>
      </c>
      <c r="E2195" t="s">
        <v>10075</v>
      </c>
      <c r="F2195">
        <v>11216</v>
      </c>
      <c r="G2195" t="s">
        <v>10093</v>
      </c>
      <c r="H2195" t="s">
        <v>10102</v>
      </c>
      <c r="I2195" t="s">
        <v>10168</v>
      </c>
      <c r="J2195" t="s">
        <v>10213</v>
      </c>
      <c r="K2195" t="s">
        <v>10217</v>
      </c>
      <c r="M2195" t="s">
        <v>10308</v>
      </c>
      <c r="N2195" t="s">
        <v>10650</v>
      </c>
      <c r="P2195" t="s">
        <v>10749</v>
      </c>
      <c r="Q2195" t="s">
        <v>10765</v>
      </c>
      <c r="R2195" t="s">
        <v>10820</v>
      </c>
      <c r="T2195">
        <v>40000</v>
      </c>
      <c r="U2195">
        <v>3333.33</v>
      </c>
      <c r="V2195">
        <v>31</v>
      </c>
      <c r="W2195">
        <v>2</v>
      </c>
      <c r="X2195">
        <v>0</v>
      </c>
      <c r="Z2195">
        <v>236.55</v>
      </c>
      <c r="AA2195">
        <v>40.672367</v>
      </c>
      <c r="AB2195">
        <v>-73.952482</v>
      </c>
      <c r="AD2195" t="s">
        <v>10839</v>
      </c>
      <c r="AG2195" t="s">
        <v>10858</v>
      </c>
      <c r="AH2195" t="s">
        <v>10862</v>
      </c>
      <c r="AI2195">
        <v>239</v>
      </c>
      <c r="AJ2195" t="s">
        <v>10213</v>
      </c>
      <c r="AL2195">
        <v>0</v>
      </c>
      <c r="AM2195" t="s">
        <v>10888</v>
      </c>
      <c r="AN2195" t="s">
        <v>10912</v>
      </c>
      <c r="AO2195" t="s">
        <v>11005</v>
      </c>
      <c r="AP2195" t="s">
        <v>11061</v>
      </c>
      <c r="AR2195" t="s">
        <v>11257</v>
      </c>
      <c r="AS2195" t="s">
        <v>11595</v>
      </c>
      <c r="AT2195" t="s">
        <v>11641</v>
      </c>
      <c r="AX2195" t="s">
        <v>10838</v>
      </c>
      <c r="BA2195" t="s">
        <v>11738</v>
      </c>
      <c r="BB2195">
        <v>0</v>
      </c>
      <c r="BC2195">
        <v>0</v>
      </c>
      <c r="BD2195">
        <v>0</v>
      </c>
      <c r="BE2195">
        <v>0</v>
      </c>
      <c r="BF2195">
        <v>5</v>
      </c>
      <c r="BG2195">
        <v>0</v>
      </c>
    </row>
    <row r="2196" spans="1:59">
      <c r="A2196" s="1">
        <f>HYPERLINK("https://lsnyc.legalserver.org/matter/dynamic-profile/view/1906137","19-1906137")</f>
        <v>0</v>
      </c>
      <c r="B2196" t="s">
        <v>838</v>
      </c>
      <c r="C2196" t="s">
        <v>6669</v>
      </c>
      <c r="D2196" t="s">
        <v>9926</v>
      </c>
      <c r="E2196" t="s">
        <v>10075</v>
      </c>
      <c r="F2196">
        <v>10456</v>
      </c>
      <c r="G2196" t="s">
        <v>10089</v>
      </c>
      <c r="H2196" t="s">
        <v>10102</v>
      </c>
      <c r="I2196" t="s">
        <v>10168</v>
      </c>
      <c r="J2196" t="s">
        <v>10209</v>
      </c>
      <c r="K2196" t="s">
        <v>10217</v>
      </c>
      <c r="M2196" t="s">
        <v>10381</v>
      </c>
      <c r="N2196" t="s">
        <v>10694</v>
      </c>
      <c r="P2196" t="s">
        <v>10751</v>
      </c>
      <c r="Q2196" t="s">
        <v>10768</v>
      </c>
      <c r="R2196" t="s">
        <v>10821</v>
      </c>
      <c r="T2196">
        <v>1896</v>
      </c>
      <c r="U2196">
        <v>158</v>
      </c>
      <c r="V2196">
        <v>48</v>
      </c>
      <c r="W2196">
        <v>1</v>
      </c>
      <c r="X2196">
        <v>0</v>
      </c>
      <c r="Z2196">
        <v>15.18</v>
      </c>
      <c r="AA2196">
        <v>40.833254</v>
      </c>
      <c r="AB2196">
        <v>-73.90115900000001</v>
      </c>
      <c r="AD2196" t="s">
        <v>10839</v>
      </c>
      <c r="AG2196" t="s">
        <v>10858</v>
      </c>
      <c r="AH2196" t="s">
        <v>10866</v>
      </c>
      <c r="AI2196">
        <v>236</v>
      </c>
      <c r="AJ2196" t="s">
        <v>10209</v>
      </c>
      <c r="AL2196">
        <v>0</v>
      </c>
      <c r="AM2196" t="s">
        <v>10884</v>
      </c>
      <c r="AN2196" t="s">
        <v>10918</v>
      </c>
      <c r="AO2196" t="s">
        <v>11000</v>
      </c>
      <c r="AP2196" t="s">
        <v>11055</v>
      </c>
      <c r="AR2196" t="s">
        <v>11255</v>
      </c>
      <c r="AS2196" t="s">
        <v>9926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</row>
    <row r="2197" spans="1:59">
      <c r="A2197" s="1">
        <f>HYPERLINK("https://lsnyc.legalserver.org/matter/dynamic-profile/view/1906138","19-1906138")</f>
        <v>0</v>
      </c>
      <c r="B2197" t="s">
        <v>1876</v>
      </c>
      <c r="C2197" t="s">
        <v>6668</v>
      </c>
      <c r="D2197" t="s">
        <v>9928</v>
      </c>
      <c r="E2197" t="s">
        <v>10075</v>
      </c>
      <c r="F2197">
        <v>11216</v>
      </c>
      <c r="G2197" t="s">
        <v>10093</v>
      </c>
      <c r="H2197" t="s">
        <v>10102</v>
      </c>
      <c r="I2197" t="s">
        <v>10168</v>
      </c>
      <c r="J2197" t="s">
        <v>10213</v>
      </c>
      <c r="K2197" t="s">
        <v>10217</v>
      </c>
      <c r="M2197" t="s">
        <v>10308</v>
      </c>
      <c r="N2197" t="s">
        <v>10650</v>
      </c>
      <c r="P2197" t="s">
        <v>10749</v>
      </c>
      <c r="Q2197" t="s">
        <v>10765</v>
      </c>
      <c r="R2197" t="s">
        <v>10820</v>
      </c>
      <c r="T2197">
        <v>40000</v>
      </c>
      <c r="U2197">
        <v>3333.33</v>
      </c>
      <c r="V2197">
        <v>31</v>
      </c>
      <c r="W2197">
        <v>2</v>
      </c>
      <c r="X2197">
        <v>0</v>
      </c>
      <c r="Z2197">
        <v>236.55</v>
      </c>
      <c r="AA2197">
        <v>40.672367</v>
      </c>
      <c r="AB2197">
        <v>-73.952482</v>
      </c>
      <c r="AD2197" t="s">
        <v>10839</v>
      </c>
      <c r="AG2197" t="s">
        <v>10858</v>
      </c>
      <c r="AH2197" t="s">
        <v>10862</v>
      </c>
      <c r="AI2197">
        <v>239</v>
      </c>
      <c r="AJ2197" t="s">
        <v>10213</v>
      </c>
      <c r="AL2197">
        <v>0</v>
      </c>
      <c r="AR2197" t="s">
        <v>11257</v>
      </c>
      <c r="AS2197" t="s">
        <v>11595</v>
      </c>
      <c r="AT2197" t="s">
        <v>11641</v>
      </c>
      <c r="AX2197" t="s">
        <v>10838</v>
      </c>
      <c r="BA2197" t="s">
        <v>11740</v>
      </c>
      <c r="BB2197">
        <v>0</v>
      </c>
      <c r="BC2197">
        <v>0</v>
      </c>
      <c r="BD2197">
        <v>0</v>
      </c>
      <c r="BE2197">
        <v>0</v>
      </c>
      <c r="BF2197">
        <v>2</v>
      </c>
      <c r="BG2197">
        <v>0</v>
      </c>
    </row>
    <row r="2198" spans="1:59">
      <c r="A2198" s="1">
        <f>HYPERLINK("https://lsnyc.legalserver.org/matter/dynamic-profile/view/1906139","19-1906139")</f>
        <v>0</v>
      </c>
      <c r="B2198" t="s">
        <v>1305</v>
      </c>
      <c r="C2198" t="s">
        <v>6130</v>
      </c>
      <c r="D2198" t="s">
        <v>9925</v>
      </c>
      <c r="E2198" t="s">
        <v>10075</v>
      </c>
      <c r="F2198">
        <v>10032</v>
      </c>
      <c r="G2198" t="s">
        <v>10089</v>
      </c>
      <c r="H2198" t="s">
        <v>10102</v>
      </c>
      <c r="J2198" t="s">
        <v>10209</v>
      </c>
      <c r="K2198" t="s">
        <v>10217</v>
      </c>
      <c r="M2198" t="s">
        <v>10381</v>
      </c>
      <c r="N2198" t="s">
        <v>10694</v>
      </c>
      <c r="P2198" t="s">
        <v>10751</v>
      </c>
      <c r="Q2198" t="s">
        <v>10768</v>
      </c>
      <c r="R2198" t="s">
        <v>10821</v>
      </c>
      <c r="T2198">
        <v>16807.8</v>
      </c>
      <c r="U2198">
        <v>1400.65</v>
      </c>
      <c r="V2198">
        <v>58</v>
      </c>
      <c r="W2198">
        <v>1</v>
      </c>
      <c r="X2198">
        <v>0</v>
      </c>
      <c r="Z2198">
        <v>134.57</v>
      </c>
      <c r="AA2198">
        <v>40.842027</v>
      </c>
      <c r="AB2198">
        <v>-73.937658</v>
      </c>
      <c r="AD2198" t="s">
        <v>10840</v>
      </c>
      <c r="AG2198" t="s">
        <v>10858</v>
      </c>
      <c r="AH2198" t="s">
        <v>10874</v>
      </c>
      <c r="AI2198">
        <v>236</v>
      </c>
      <c r="AJ2198" t="s">
        <v>10209</v>
      </c>
      <c r="AL2198">
        <v>6.25</v>
      </c>
      <c r="AM2198" t="s">
        <v>10887</v>
      </c>
      <c r="AN2198" t="s">
        <v>10937</v>
      </c>
      <c r="AO2198" t="s">
        <v>11019</v>
      </c>
      <c r="AP2198" t="s">
        <v>11074</v>
      </c>
      <c r="AR2198" t="s">
        <v>11418</v>
      </c>
      <c r="AS2198" t="s">
        <v>9925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</row>
    <row r="2199" spans="1:59">
      <c r="A2199" s="1">
        <f>HYPERLINK("https://lsnyc.legalserver.org/matter/dynamic-profile/view/1906140","19-1906140")</f>
        <v>0</v>
      </c>
      <c r="B2199" t="s">
        <v>1241</v>
      </c>
      <c r="C2199" t="s">
        <v>5601</v>
      </c>
      <c r="D2199" t="s">
        <v>9926</v>
      </c>
      <c r="E2199" t="s">
        <v>10075</v>
      </c>
      <c r="F2199">
        <v>10453</v>
      </c>
      <c r="G2199" t="s">
        <v>10090</v>
      </c>
      <c r="H2199" t="s">
        <v>10102</v>
      </c>
      <c r="I2199" t="s">
        <v>10169</v>
      </c>
      <c r="J2199" t="s">
        <v>10210</v>
      </c>
      <c r="K2199" t="s">
        <v>10217</v>
      </c>
      <c r="M2199" t="s">
        <v>10333</v>
      </c>
      <c r="N2199" t="s">
        <v>10683</v>
      </c>
      <c r="P2199" t="s">
        <v>10753</v>
      </c>
      <c r="Q2199" t="s">
        <v>10790</v>
      </c>
      <c r="R2199" t="s">
        <v>10821</v>
      </c>
      <c r="T2199">
        <v>0</v>
      </c>
      <c r="U2199">
        <v>0</v>
      </c>
      <c r="V2199">
        <v>60</v>
      </c>
      <c r="W2199">
        <v>1</v>
      </c>
      <c r="X2199">
        <v>1</v>
      </c>
      <c r="Z2199">
        <v>0</v>
      </c>
      <c r="AA2199">
        <v>40.846849</v>
      </c>
      <c r="AB2199">
        <v>-73.90953500000001</v>
      </c>
      <c r="AD2199" t="s">
        <v>10839</v>
      </c>
      <c r="AF2199" t="s">
        <v>10843</v>
      </c>
      <c r="AG2199" t="s">
        <v>10859</v>
      </c>
      <c r="AH2199" t="s">
        <v>10874</v>
      </c>
      <c r="AI2199">
        <v>230</v>
      </c>
      <c r="AJ2199" t="s">
        <v>10210</v>
      </c>
      <c r="AL2199">
        <v>5.1</v>
      </c>
      <c r="AM2199" t="s">
        <v>10884</v>
      </c>
      <c r="AN2199" t="s">
        <v>10931</v>
      </c>
      <c r="AO2199" t="s">
        <v>11000</v>
      </c>
      <c r="AP2199" t="s">
        <v>11045</v>
      </c>
      <c r="AR2199" t="s">
        <v>11267</v>
      </c>
      <c r="AS2199" t="s">
        <v>9926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</row>
    <row r="2200" spans="1:59">
      <c r="A2200" s="1">
        <f>HYPERLINK("https://lsnyc.legalserver.org/matter/dynamic-profile/view/1906141","19-1906141")</f>
        <v>0</v>
      </c>
      <c r="B2200" t="s">
        <v>1795</v>
      </c>
      <c r="C2200" t="s">
        <v>6589</v>
      </c>
      <c r="D2200" t="s">
        <v>9928</v>
      </c>
      <c r="E2200" t="s">
        <v>10075</v>
      </c>
      <c r="F2200">
        <v>11222</v>
      </c>
      <c r="G2200" t="s">
        <v>10093</v>
      </c>
      <c r="H2200" t="s">
        <v>10139</v>
      </c>
      <c r="J2200" t="s">
        <v>10213</v>
      </c>
      <c r="K2200" t="s">
        <v>10217</v>
      </c>
      <c r="M2200" t="s">
        <v>10457</v>
      </c>
      <c r="N2200" t="s">
        <v>10698</v>
      </c>
      <c r="P2200" t="s">
        <v>10751</v>
      </c>
      <c r="Q2200" t="s">
        <v>10761</v>
      </c>
      <c r="R2200" t="s">
        <v>10824</v>
      </c>
      <c r="T2200">
        <v>0</v>
      </c>
      <c r="U2200">
        <v>0</v>
      </c>
      <c r="V2200">
        <v>40</v>
      </c>
      <c r="W2200">
        <v>1</v>
      </c>
      <c r="X2200">
        <v>0</v>
      </c>
      <c r="Z2200">
        <v>0</v>
      </c>
      <c r="AA2200">
        <v>40.729133</v>
      </c>
      <c r="AB2200">
        <v>-73.953489</v>
      </c>
      <c r="AD2200" t="s">
        <v>10840</v>
      </c>
      <c r="AG2200" t="s">
        <v>10858</v>
      </c>
      <c r="AH2200" t="s">
        <v>10868</v>
      </c>
      <c r="AI2200">
        <v>239</v>
      </c>
      <c r="AJ2200" t="s">
        <v>10213</v>
      </c>
      <c r="AL2200">
        <v>8</v>
      </c>
      <c r="AM2200" t="s">
        <v>10891</v>
      </c>
      <c r="AN2200" t="s">
        <v>10939</v>
      </c>
      <c r="AO2200" t="s">
        <v>11004</v>
      </c>
      <c r="AP2200" t="s">
        <v>11054</v>
      </c>
      <c r="AR2200" t="s">
        <v>11267</v>
      </c>
      <c r="AS2200" t="s">
        <v>11595</v>
      </c>
      <c r="AT2200" t="s">
        <v>11642</v>
      </c>
      <c r="AX2200" t="s">
        <v>10837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</row>
    <row r="2201" spans="1:59">
      <c r="A2201" s="1">
        <f>HYPERLINK("https://lsnyc.legalserver.org/matter/dynamic-profile/view/1906143","19-1906143")</f>
        <v>0</v>
      </c>
      <c r="B2201" t="s">
        <v>1877</v>
      </c>
      <c r="C2201" t="s">
        <v>6670</v>
      </c>
      <c r="D2201" t="s">
        <v>9933</v>
      </c>
      <c r="E2201" t="s">
        <v>10075</v>
      </c>
      <c r="F2201">
        <v>11420</v>
      </c>
      <c r="G2201" t="s">
        <v>10092</v>
      </c>
      <c r="H2201" t="s">
        <v>10139</v>
      </c>
      <c r="I2201" t="s">
        <v>10169</v>
      </c>
      <c r="J2201" t="s">
        <v>10212</v>
      </c>
      <c r="K2201" t="s">
        <v>10217</v>
      </c>
      <c r="M2201" t="s">
        <v>10329</v>
      </c>
      <c r="N2201" t="s">
        <v>10711</v>
      </c>
      <c r="P2201" t="s">
        <v>10749</v>
      </c>
      <c r="Q2201" t="s">
        <v>10765</v>
      </c>
      <c r="R2201" t="s">
        <v>10821</v>
      </c>
      <c r="T2201">
        <v>16640</v>
      </c>
      <c r="U2201">
        <v>1386.67</v>
      </c>
      <c r="V2201">
        <v>47</v>
      </c>
      <c r="W2201">
        <v>2</v>
      </c>
      <c r="X2201">
        <v>0</v>
      </c>
      <c r="Z2201">
        <v>98.40000000000001</v>
      </c>
      <c r="AA2201">
        <v>40.679765</v>
      </c>
      <c r="AB2201">
        <v>-73.805476</v>
      </c>
      <c r="AD2201" t="s">
        <v>10839</v>
      </c>
      <c r="AF2201" t="s">
        <v>10843</v>
      </c>
      <c r="AG2201" t="s">
        <v>10859</v>
      </c>
      <c r="AH2201" t="s">
        <v>10862</v>
      </c>
      <c r="AI2201">
        <v>237</v>
      </c>
      <c r="AJ2201" t="s">
        <v>10212</v>
      </c>
      <c r="AL2201">
        <v>3.56</v>
      </c>
      <c r="AM2201" t="s">
        <v>10892</v>
      </c>
      <c r="AN2201" t="s">
        <v>10930</v>
      </c>
      <c r="AO2201" t="s">
        <v>11017</v>
      </c>
      <c r="AP2201" t="s">
        <v>11070</v>
      </c>
      <c r="AR2201" t="s">
        <v>11257</v>
      </c>
      <c r="AS2201" t="s">
        <v>11594</v>
      </c>
      <c r="BA2201" t="s">
        <v>11741</v>
      </c>
      <c r="BB2201">
        <v>0</v>
      </c>
      <c r="BC2201">
        <v>0</v>
      </c>
      <c r="BD2201">
        <v>0</v>
      </c>
      <c r="BE2201">
        <v>0</v>
      </c>
      <c r="BF2201">
        <v>1</v>
      </c>
      <c r="BG2201">
        <v>0</v>
      </c>
    </row>
    <row r="2202" spans="1:59">
      <c r="A2202" s="1">
        <f>HYPERLINK("https://lsnyc.legalserver.org/matter/dynamic-profile/view/1906144","19-1906144")</f>
        <v>0</v>
      </c>
      <c r="B2202" t="s">
        <v>953</v>
      </c>
      <c r="C2202" t="s">
        <v>6671</v>
      </c>
      <c r="D2202" t="s">
        <v>9928</v>
      </c>
      <c r="E2202" t="s">
        <v>10075</v>
      </c>
      <c r="F2202">
        <v>11216</v>
      </c>
      <c r="G2202" t="s">
        <v>10093</v>
      </c>
      <c r="H2202" t="s">
        <v>10103</v>
      </c>
      <c r="I2202" t="s">
        <v>10168</v>
      </c>
      <c r="J2202" t="s">
        <v>10213</v>
      </c>
      <c r="K2202" t="s">
        <v>10217</v>
      </c>
      <c r="M2202" t="s">
        <v>10291</v>
      </c>
      <c r="N2202" t="s">
        <v>10667</v>
      </c>
      <c r="P2202" t="s">
        <v>10749</v>
      </c>
      <c r="Q2202" t="s">
        <v>10765</v>
      </c>
      <c r="R2202" t="s">
        <v>10821</v>
      </c>
      <c r="T2202">
        <v>0</v>
      </c>
      <c r="U2202">
        <v>0</v>
      </c>
      <c r="V2202">
        <v>38</v>
      </c>
      <c r="W2202">
        <v>1</v>
      </c>
      <c r="X2202">
        <v>0</v>
      </c>
      <c r="Z2202">
        <v>0</v>
      </c>
      <c r="AA2202">
        <v>40.677716</v>
      </c>
      <c r="AB2202">
        <v>-73.95360100000001</v>
      </c>
      <c r="AD2202" t="s">
        <v>10840</v>
      </c>
      <c r="AG2202" t="s">
        <v>10858</v>
      </c>
      <c r="AH2202" t="s">
        <v>10862</v>
      </c>
      <c r="AI2202">
        <v>239</v>
      </c>
      <c r="AJ2202" t="s">
        <v>10213</v>
      </c>
      <c r="AL2202">
        <v>10.2</v>
      </c>
      <c r="AM2202" t="s">
        <v>10889</v>
      </c>
      <c r="AN2202" t="s">
        <v>10923</v>
      </c>
      <c r="AO2202" t="s">
        <v>11007</v>
      </c>
      <c r="AP2202" t="s">
        <v>11061</v>
      </c>
      <c r="AR2202" t="s">
        <v>11279</v>
      </c>
      <c r="AS2202" t="s">
        <v>11595</v>
      </c>
      <c r="AT2202" t="s">
        <v>11642</v>
      </c>
      <c r="BA2202" t="s">
        <v>11738</v>
      </c>
      <c r="BB2202">
        <v>0</v>
      </c>
      <c r="BC2202">
        <v>0</v>
      </c>
      <c r="BD2202">
        <v>0</v>
      </c>
      <c r="BE2202">
        <v>0</v>
      </c>
      <c r="BF2202">
        <v>5</v>
      </c>
      <c r="BG2202">
        <v>0</v>
      </c>
    </row>
    <row r="2203" spans="1:59">
      <c r="A2203" s="1">
        <f>HYPERLINK("https://lsnyc.legalserver.org/matter/dynamic-profile/view/1906145","19-1906145")</f>
        <v>0</v>
      </c>
      <c r="B2203" t="s">
        <v>1878</v>
      </c>
      <c r="C2203" t="s">
        <v>6672</v>
      </c>
      <c r="D2203" t="s">
        <v>9954</v>
      </c>
      <c r="E2203" t="s">
        <v>10075</v>
      </c>
      <c r="F2203">
        <v>11372</v>
      </c>
      <c r="G2203" t="s">
        <v>10092</v>
      </c>
      <c r="H2203" t="s">
        <v>10103</v>
      </c>
      <c r="I2203" t="s">
        <v>10168</v>
      </c>
      <c r="J2203" t="s">
        <v>10212</v>
      </c>
      <c r="K2203" t="s">
        <v>10217</v>
      </c>
      <c r="M2203" t="s">
        <v>10318</v>
      </c>
      <c r="N2203" t="s">
        <v>10684</v>
      </c>
      <c r="P2203" t="s">
        <v>10751</v>
      </c>
      <c r="Q2203" t="s">
        <v>10786</v>
      </c>
      <c r="R2203" t="s">
        <v>10827</v>
      </c>
      <c r="T2203">
        <v>0</v>
      </c>
      <c r="U2203">
        <v>0</v>
      </c>
      <c r="V2203">
        <v>63</v>
      </c>
      <c r="W2203">
        <v>2</v>
      </c>
      <c r="X2203">
        <v>0</v>
      </c>
      <c r="Z2203">
        <v>0</v>
      </c>
      <c r="AA2203">
        <v>40.753156</v>
      </c>
      <c r="AB2203">
        <v>-73.877612</v>
      </c>
      <c r="AD2203" t="s">
        <v>10839</v>
      </c>
      <c r="AF2203" t="s">
        <v>10843</v>
      </c>
      <c r="AG2203" t="s">
        <v>10859</v>
      </c>
      <c r="AH2203" t="s">
        <v>10873</v>
      </c>
      <c r="AI2203">
        <v>237</v>
      </c>
      <c r="AJ2203" t="s">
        <v>10212</v>
      </c>
      <c r="AL2203">
        <v>3.75</v>
      </c>
      <c r="AM2203" t="s">
        <v>10885</v>
      </c>
      <c r="AN2203" t="s">
        <v>10909</v>
      </c>
      <c r="AO2203" t="s">
        <v>11014</v>
      </c>
      <c r="AP2203" t="s">
        <v>11053</v>
      </c>
      <c r="AR2203" t="s">
        <v>11267</v>
      </c>
      <c r="AS2203" t="s">
        <v>11594</v>
      </c>
      <c r="AT2203" t="s">
        <v>11641</v>
      </c>
      <c r="AX2203" t="s">
        <v>10838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</row>
    <row r="2204" spans="1:59">
      <c r="A2204" s="1">
        <f>HYPERLINK("https://lsnyc.legalserver.org/matter/dynamic-profile/view/1906146","19-1906146")</f>
        <v>0</v>
      </c>
      <c r="B2204" t="s">
        <v>1879</v>
      </c>
      <c r="C2204" t="s">
        <v>6673</v>
      </c>
      <c r="D2204" t="s">
        <v>9928</v>
      </c>
      <c r="E2204" t="s">
        <v>10075</v>
      </c>
      <c r="F2204">
        <v>11210</v>
      </c>
      <c r="G2204" t="s">
        <v>10093</v>
      </c>
      <c r="H2204" t="s">
        <v>10103</v>
      </c>
      <c r="I2204" t="s">
        <v>10168</v>
      </c>
      <c r="J2204" t="s">
        <v>10213</v>
      </c>
      <c r="K2204" t="s">
        <v>10218</v>
      </c>
      <c r="L2204" t="s">
        <v>10095</v>
      </c>
      <c r="M2204" t="s">
        <v>10245</v>
      </c>
      <c r="N2204" t="s">
        <v>10664</v>
      </c>
      <c r="P2204" t="s">
        <v>10749</v>
      </c>
      <c r="Q2204" t="s">
        <v>10765</v>
      </c>
      <c r="R2204" t="s">
        <v>10822</v>
      </c>
      <c r="T2204">
        <v>20800</v>
      </c>
      <c r="U2204">
        <v>1733.33</v>
      </c>
      <c r="V2204">
        <v>57</v>
      </c>
      <c r="W2204">
        <v>2</v>
      </c>
      <c r="X2204">
        <v>1</v>
      </c>
      <c r="Y2204" t="s">
        <v>10829</v>
      </c>
      <c r="Z2204">
        <v>97.52</v>
      </c>
      <c r="AA2204">
        <v>40.626668</v>
      </c>
      <c r="AB2204">
        <v>-73.94152800000001</v>
      </c>
      <c r="AD2204" t="s">
        <v>10822</v>
      </c>
      <c r="AF2204" t="s">
        <v>10843</v>
      </c>
      <c r="AG2204" t="s">
        <v>10859</v>
      </c>
      <c r="AH2204" t="s">
        <v>10862</v>
      </c>
      <c r="AI2204">
        <v>239</v>
      </c>
      <c r="AJ2204" t="s">
        <v>10213</v>
      </c>
      <c r="AK2204" t="s">
        <v>10838</v>
      </c>
      <c r="AL2204">
        <v>0.5</v>
      </c>
      <c r="AM2204" t="s">
        <v>10888</v>
      </c>
      <c r="AN2204" t="s">
        <v>10957</v>
      </c>
      <c r="AO2204" t="s">
        <v>11008</v>
      </c>
      <c r="AP2204" t="s">
        <v>11065</v>
      </c>
      <c r="AQ2204" t="s">
        <v>11101</v>
      </c>
      <c r="AR2204" t="s">
        <v>11257</v>
      </c>
      <c r="AS2204" t="s">
        <v>11595</v>
      </c>
      <c r="AY2204" t="s">
        <v>10829</v>
      </c>
      <c r="AZ2204" t="s">
        <v>11681</v>
      </c>
      <c r="BA2204" t="s">
        <v>11741</v>
      </c>
      <c r="BB2204">
        <v>0</v>
      </c>
      <c r="BC2204">
        <v>0</v>
      </c>
      <c r="BD2204">
        <v>0</v>
      </c>
      <c r="BE2204">
        <v>0</v>
      </c>
      <c r="BF2204">
        <v>1</v>
      </c>
      <c r="BG2204">
        <v>0</v>
      </c>
    </row>
    <row r="2205" spans="1:59">
      <c r="A2205" s="1">
        <f>HYPERLINK("https://lsnyc.legalserver.org/matter/dynamic-profile/view/1906147","19-1906147")</f>
        <v>0</v>
      </c>
      <c r="B2205" t="s">
        <v>1880</v>
      </c>
      <c r="C2205" t="s">
        <v>6674</v>
      </c>
      <c r="D2205" t="s">
        <v>9928</v>
      </c>
      <c r="E2205" t="s">
        <v>10075</v>
      </c>
      <c r="F2205">
        <v>11225</v>
      </c>
      <c r="G2205" t="s">
        <v>10093</v>
      </c>
      <c r="H2205" t="s">
        <v>10103</v>
      </c>
      <c r="I2205" t="s">
        <v>10168</v>
      </c>
      <c r="J2205" t="s">
        <v>10213</v>
      </c>
      <c r="K2205" t="s">
        <v>10218</v>
      </c>
      <c r="L2205" t="s">
        <v>10156</v>
      </c>
      <c r="M2205" t="s">
        <v>10291</v>
      </c>
      <c r="N2205" t="s">
        <v>10667</v>
      </c>
      <c r="P2205" t="s">
        <v>10749</v>
      </c>
      <c r="Q2205" t="s">
        <v>10765</v>
      </c>
      <c r="R2205" t="s">
        <v>10824</v>
      </c>
      <c r="T2205">
        <v>39000</v>
      </c>
      <c r="U2205">
        <v>3250</v>
      </c>
      <c r="V2205">
        <v>45</v>
      </c>
      <c r="W2205">
        <v>1</v>
      </c>
      <c r="X2205">
        <v>2</v>
      </c>
      <c r="Y2205" t="s">
        <v>10831</v>
      </c>
      <c r="Z2205">
        <v>182.84</v>
      </c>
      <c r="AA2205">
        <v>40.665525</v>
      </c>
      <c r="AB2205">
        <v>-73.956576</v>
      </c>
      <c r="AD2205" t="s">
        <v>10840</v>
      </c>
      <c r="AG2205" t="s">
        <v>10858</v>
      </c>
      <c r="AH2205" t="s">
        <v>10862</v>
      </c>
      <c r="AI2205">
        <v>239</v>
      </c>
      <c r="AJ2205" t="s">
        <v>10213</v>
      </c>
      <c r="AK2205" t="s">
        <v>10882</v>
      </c>
      <c r="AL2205">
        <v>5.6</v>
      </c>
      <c r="AM2205" t="s">
        <v>10888</v>
      </c>
      <c r="AN2205" t="s">
        <v>10923</v>
      </c>
      <c r="AO2205" t="s">
        <v>11005</v>
      </c>
      <c r="AP2205" t="s">
        <v>11061</v>
      </c>
      <c r="AR2205" t="s">
        <v>11257</v>
      </c>
      <c r="AS2205" t="s">
        <v>11595</v>
      </c>
      <c r="AT2205" t="s">
        <v>11642</v>
      </c>
      <c r="AY2205" t="s">
        <v>10831</v>
      </c>
      <c r="AZ2205" t="s">
        <v>11687</v>
      </c>
      <c r="BA2205" t="s">
        <v>11738</v>
      </c>
      <c r="BB2205">
        <v>0</v>
      </c>
      <c r="BC2205">
        <v>0</v>
      </c>
      <c r="BD2205">
        <v>4231.11</v>
      </c>
      <c r="BE2205">
        <v>0</v>
      </c>
      <c r="BF2205">
        <v>5</v>
      </c>
      <c r="BG2205">
        <v>0</v>
      </c>
    </row>
    <row r="2206" spans="1:59">
      <c r="A2206" s="1">
        <f>HYPERLINK("https://lsnyc.legalserver.org/matter/dynamic-profile/view/1906149","19-1906149")</f>
        <v>0</v>
      </c>
      <c r="B2206" t="s">
        <v>1881</v>
      </c>
      <c r="C2206" t="s">
        <v>6675</v>
      </c>
      <c r="D2206" t="s">
        <v>9929</v>
      </c>
      <c r="E2206" t="s">
        <v>10075</v>
      </c>
      <c r="F2206">
        <v>10302</v>
      </c>
      <c r="G2206" t="s">
        <v>10088</v>
      </c>
      <c r="H2206" t="s">
        <v>10103</v>
      </c>
      <c r="I2206" t="s">
        <v>10168</v>
      </c>
      <c r="J2206" t="s">
        <v>10208</v>
      </c>
      <c r="K2206" t="s">
        <v>10217</v>
      </c>
      <c r="M2206" t="s">
        <v>10243</v>
      </c>
      <c r="N2206" t="s">
        <v>10655</v>
      </c>
      <c r="P2206" t="s">
        <v>10749</v>
      </c>
      <c r="Q2206" t="s">
        <v>10765</v>
      </c>
      <c r="R2206" t="s">
        <v>10820</v>
      </c>
      <c r="T2206">
        <v>18000</v>
      </c>
      <c r="U2206">
        <v>1500</v>
      </c>
      <c r="V2206">
        <v>62</v>
      </c>
      <c r="W2206">
        <v>3</v>
      </c>
      <c r="X2206">
        <v>2</v>
      </c>
      <c r="Z2206">
        <v>59.66</v>
      </c>
      <c r="AA2206">
        <v>40.638648</v>
      </c>
      <c r="AB2206">
        <v>-74.12906599999999</v>
      </c>
      <c r="AD2206" t="s">
        <v>10840</v>
      </c>
      <c r="AG2206" t="s">
        <v>10858</v>
      </c>
      <c r="AH2206" t="s">
        <v>10862</v>
      </c>
      <c r="AI2206">
        <v>285</v>
      </c>
      <c r="AJ2206" t="s">
        <v>10208</v>
      </c>
      <c r="AL2206">
        <v>11.55</v>
      </c>
      <c r="AM2206" t="s">
        <v>10883</v>
      </c>
      <c r="AN2206" t="s">
        <v>10913</v>
      </c>
      <c r="AO2206" t="s">
        <v>11006</v>
      </c>
      <c r="AP2206" t="s">
        <v>11051</v>
      </c>
      <c r="AR2206" t="s">
        <v>11296</v>
      </c>
      <c r="AS2206" t="s">
        <v>11593</v>
      </c>
      <c r="BA2206" t="s">
        <v>11738</v>
      </c>
      <c r="BB2206">
        <v>0</v>
      </c>
      <c r="BC2206">
        <v>0</v>
      </c>
      <c r="BD2206">
        <v>0</v>
      </c>
      <c r="BE2206">
        <v>0</v>
      </c>
      <c r="BF2206">
        <v>5</v>
      </c>
      <c r="BG2206">
        <v>0</v>
      </c>
    </row>
    <row r="2207" spans="1:59">
      <c r="A2207" s="1">
        <f>HYPERLINK("https://lsnyc.legalserver.org/matter/dynamic-profile/view/1906150","19-1906150")</f>
        <v>0</v>
      </c>
      <c r="B2207" t="s">
        <v>1882</v>
      </c>
      <c r="C2207" t="s">
        <v>6676</v>
      </c>
      <c r="D2207" t="s">
        <v>9928</v>
      </c>
      <c r="E2207" t="s">
        <v>10075</v>
      </c>
      <c r="F2207">
        <v>11221</v>
      </c>
      <c r="G2207" t="s">
        <v>10093</v>
      </c>
      <c r="H2207" t="s">
        <v>10103</v>
      </c>
      <c r="I2207" t="s">
        <v>10168</v>
      </c>
      <c r="J2207" t="s">
        <v>10213</v>
      </c>
      <c r="K2207" t="s">
        <v>10217</v>
      </c>
      <c r="M2207" t="s">
        <v>10291</v>
      </c>
      <c r="N2207" t="s">
        <v>10667</v>
      </c>
      <c r="P2207" t="s">
        <v>10749</v>
      </c>
      <c r="Q2207" t="s">
        <v>10765</v>
      </c>
      <c r="R2207" t="s">
        <v>10824</v>
      </c>
      <c r="T2207">
        <v>0</v>
      </c>
      <c r="U2207">
        <v>0</v>
      </c>
      <c r="V2207">
        <v>39</v>
      </c>
      <c r="W2207">
        <v>1</v>
      </c>
      <c r="X2207">
        <v>0</v>
      </c>
      <c r="Z2207">
        <v>0</v>
      </c>
      <c r="AA2207">
        <v>40.685723</v>
      </c>
      <c r="AB2207">
        <v>-73.940046</v>
      </c>
      <c r="AD2207" t="s">
        <v>10839</v>
      </c>
      <c r="AG2207" t="s">
        <v>10858</v>
      </c>
      <c r="AH2207" t="s">
        <v>10862</v>
      </c>
      <c r="AI2207">
        <v>239</v>
      </c>
      <c r="AJ2207" t="s">
        <v>10213</v>
      </c>
      <c r="AL2207">
        <v>8.800000000000001</v>
      </c>
      <c r="AM2207" t="s">
        <v>10889</v>
      </c>
      <c r="AN2207" t="s">
        <v>10914</v>
      </c>
      <c r="AO2207" t="s">
        <v>11007</v>
      </c>
      <c r="AP2207" t="s">
        <v>11052</v>
      </c>
      <c r="AR2207" t="s">
        <v>11267</v>
      </c>
      <c r="AS2207" t="s">
        <v>11595</v>
      </c>
      <c r="AT2207" t="s">
        <v>11641</v>
      </c>
      <c r="AX2207" t="s">
        <v>10838</v>
      </c>
      <c r="BA2207" t="s">
        <v>11738</v>
      </c>
      <c r="BB2207">
        <v>0</v>
      </c>
      <c r="BC2207">
        <v>0</v>
      </c>
      <c r="BD2207">
        <v>0</v>
      </c>
      <c r="BE2207">
        <v>0</v>
      </c>
      <c r="BF2207">
        <v>5</v>
      </c>
      <c r="BG2207">
        <v>0</v>
      </c>
    </row>
    <row r="2208" spans="1:59">
      <c r="A2208" s="1">
        <f>HYPERLINK("https://lsnyc.legalserver.org/matter/dynamic-profile/view/1906151","19-1906151")</f>
        <v>0</v>
      </c>
      <c r="B2208" t="s">
        <v>1883</v>
      </c>
      <c r="C2208" t="s">
        <v>6677</v>
      </c>
      <c r="D2208" t="s">
        <v>9929</v>
      </c>
      <c r="E2208" t="s">
        <v>10075</v>
      </c>
      <c r="F2208">
        <v>10303</v>
      </c>
      <c r="G2208" t="s">
        <v>10088</v>
      </c>
      <c r="H2208" t="s">
        <v>10103</v>
      </c>
      <c r="I2208" t="s">
        <v>10168</v>
      </c>
      <c r="J2208" t="s">
        <v>10208</v>
      </c>
      <c r="K2208" t="s">
        <v>10217</v>
      </c>
      <c r="M2208" t="s">
        <v>10254</v>
      </c>
      <c r="N2208" t="s">
        <v>10655</v>
      </c>
      <c r="P2208" t="s">
        <v>10749</v>
      </c>
      <c r="Q2208" t="s">
        <v>10765</v>
      </c>
      <c r="R2208" t="s">
        <v>10825</v>
      </c>
      <c r="T2208">
        <v>9502.799999999999</v>
      </c>
      <c r="U2208">
        <v>791.9</v>
      </c>
      <c r="V2208">
        <v>62</v>
      </c>
      <c r="W2208">
        <v>1</v>
      </c>
      <c r="X2208">
        <v>0</v>
      </c>
      <c r="Z2208">
        <v>76.08</v>
      </c>
      <c r="AA2208">
        <v>40.630858</v>
      </c>
      <c r="AB2208">
        <v>-74.15326399999999</v>
      </c>
      <c r="AD2208" t="s">
        <v>10839</v>
      </c>
      <c r="AG2208" t="s">
        <v>10858</v>
      </c>
      <c r="AH2208" t="s">
        <v>10862</v>
      </c>
      <c r="AI2208">
        <v>285</v>
      </c>
      <c r="AJ2208" t="s">
        <v>10208</v>
      </c>
      <c r="AL2208">
        <v>4.8</v>
      </c>
      <c r="AM2208" t="s">
        <v>10883</v>
      </c>
      <c r="AN2208" t="s">
        <v>10913</v>
      </c>
      <c r="AO2208" t="s">
        <v>11006</v>
      </c>
      <c r="AP2208" t="s">
        <v>11051</v>
      </c>
      <c r="AR2208" t="s">
        <v>11318</v>
      </c>
      <c r="AS2208" t="s">
        <v>11593</v>
      </c>
      <c r="AT2208" t="s">
        <v>11641</v>
      </c>
      <c r="AX2208" t="s">
        <v>10838</v>
      </c>
      <c r="BA2208" t="s">
        <v>11738</v>
      </c>
      <c r="BB2208">
        <v>0</v>
      </c>
      <c r="BC2208">
        <v>0</v>
      </c>
      <c r="BD2208">
        <v>0</v>
      </c>
      <c r="BE2208">
        <v>0</v>
      </c>
      <c r="BF2208">
        <v>5</v>
      </c>
      <c r="BG2208">
        <v>0</v>
      </c>
    </row>
    <row r="2209" spans="1:59">
      <c r="A2209" s="1">
        <f>HYPERLINK("https://lsnyc.legalserver.org/matter/dynamic-profile/view/1906152","19-1906152")</f>
        <v>0</v>
      </c>
      <c r="B2209" t="s">
        <v>391</v>
      </c>
      <c r="C2209" t="s">
        <v>6678</v>
      </c>
      <c r="D2209" t="s">
        <v>9928</v>
      </c>
      <c r="E2209" t="s">
        <v>10075</v>
      </c>
      <c r="F2209">
        <v>11221</v>
      </c>
      <c r="G2209" t="s">
        <v>10093</v>
      </c>
      <c r="H2209" t="s">
        <v>10103</v>
      </c>
      <c r="I2209" t="s">
        <v>10168</v>
      </c>
      <c r="J2209" t="s">
        <v>10213</v>
      </c>
      <c r="K2209" t="s">
        <v>10217</v>
      </c>
      <c r="M2209" t="s">
        <v>10291</v>
      </c>
      <c r="N2209" t="s">
        <v>10667</v>
      </c>
      <c r="P2209" t="s">
        <v>10749</v>
      </c>
      <c r="Q2209" t="s">
        <v>10765</v>
      </c>
      <c r="R2209" t="s">
        <v>10824</v>
      </c>
      <c r="T2209">
        <v>0</v>
      </c>
      <c r="U2209">
        <v>0</v>
      </c>
      <c r="V2209">
        <v>32</v>
      </c>
      <c r="W2209">
        <v>1</v>
      </c>
      <c r="X2209">
        <v>2</v>
      </c>
      <c r="Z2209">
        <v>0</v>
      </c>
      <c r="AA2209">
        <v>40.688137</v>
      </c>
      <c r="AB2209">
        <v>-73.93967000000001</v>
      </c>
      <c r="AD2209" t="s">
        <v>10839</v>
      </c>
      <c r="AG2209" t="s">
        <v>10858</v>
      </c>
      <c r="AH2209" t="s">
        <v>10862</v>
      </c>
      <c r="AI2209">
        <v>239</v>
      </c>
      <c r="AJ2209" t="s">
        <v>10213</v>
      </c>
      <c r="AL2209">
        <v>5.4</v>
      </c>
      <c r="AM2209" t="s">
        <v>10889</v>
      </c>
      <c r="AN2209" t="s">
        <v>10914</v>
      </c>
      <c r="AO2209" t="s">
        <v>11007</v>
      </c>
      <c r="AP2209" t="s">
        <v>11052</v>
      </c>
      <c r="AR2209" t="s">
        <v>11279</v>
      </c>
      <c r="AS2209" t="s">
        <v>11595</v>
      </c>
      <c r="AT2209" t="s">
        <v>11641</v>
      </c>
      <c r="AX2209" t="s">
        <v>10838</v>
      </c>
      <c r="BA2209" t="s">
        <v>11738</v>
      </c>
      <c r="BB2209">
        <v>0</v>
      </c>
      <c r="BC2209">
        <v>0</v>
      </c>
      <c r="BD2209">
        <v>0</v>
      </c>
      <c r="BE2209">
        <v>0</v>
      </c>
      <c r="BF2209">
        <v>5</v>
      </c>
      <c r="BG2209">
        <v>0</v>
      </c>
    </row>
    <row r="2210" spans="1:59">
      <c r="A2210" s="1">
        <f>HYPERLINK("https://lsnyc.legalserver.org/matter/dynamic-profile/view/1906153","19-1906153")</f>
        <v>0</v>
      </c>
      <c r="B2210" t="s">
        <v>1138</v>
      </c>
      <c r="C2210" t="s">
        <v>6679</v>
      </c>
      <c r="D2210" t="s">
        <v>9926</v>
      </c>
      <c r="E2210" t="s">
        <v>10075</v>
      </c>
      <c r="F2210">
        <v>10475</v>
      </c>
      <c r="G2210" t="s">
        <v>10090</v>
      </c>
      <c r="H2210" t="s">
        <v>10103</v>
      </c>
      <c r="I2210" t="s">
        <v>10168</v>
      </c>
      <c r="J2210" t="s">
        <v>10210</v>
      </c>
      <c r="K2210" t="s">
        <v>10217</v>
      </c>
      <c r="M2210" t="s">
        <v>10372</v>
      </c>
      <c r="N2210" t="s">
        <v>10704</v>
      </c>
      <c r="P2210" t="s">
        <v>10750</v>
      </c>
      <c r="Q2210" t="s">
        <v>10778</v>
      </c>
      <c r="R2210" t="s">
        <v>10824</v>
      </c>
      <c r="T2210">
        <v>15252</v>
      </c>
      <c r="U2210">
        <v>1271</v>
      </c>
      <c r="V2210">
        <v>47</v>
      </c>
      <c r="W2210">
        <v>1</v>
      </c>
      <c r="X2210">
        <v>2</v>
      </c>
      <c r="Z2210">
        <v>71.5</v>
      </c>
      <c r="AA2210">
        <v>40.8778</v>
      </c>
      <c r="AB2210">
        <v>-73.82616299999999</v>
      </c>
      <c r="AD2210" t="s">
        <v>10839</v>
      </c>
      <c r="AG2210" t="s">
        <v>10858</v>
      </c>
      <c r="AH2210" t="s">
        <v>10861</v>
      </c>
      <c r="AI2210">
        <v>234</v>
      </c>
      <c r="AJ2210" t="s">
        <v>10214</v>
      </c>
      <c r="AL2210">
        <v>3.75</v>
      </c>
      <c r="AM2210" t="s">
        <v>10893</v>
      </c>
      <c r="AN2210" t="s">
        <v>10911</v>
      </c>
      <c r="AO2210" t="s">
        <v>11010</v>
      </c>
      <c r="AP2210" t="s">
        <v>11085</v>
      </c>
      <c r="AR2210" t="s">
        <v>11392</v>
      </c>
      <c r="AS2210" t="s">
        <v>9926</v>
      </c>
      <c r="AT2210" t="s">
        <v>11641</v>
      </c>
      <c r="AX2210" t="s">
        <v>10838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</row>
    <row r="2211" spans="1:59">
      <c r="A2211" s="1">
        <f>HYPERLINK("https://lsnyc.legalserver.org/matter/dynamic-profile/view/1906154","19-1906154")</f>
        <v>0</v>
      </c>
      <c r="B2211" t="s">
        <v>1884</v>
      </c>
      <c r="C2211" t="s">
        <v>6680</v>
      </c>
      <c r="D2211" t="s">
        <v>9926</v>
      </c>
      <c r="E2211" t="s">
        <v>10075</v>
      </c>
      <c r="F2211">
        <v>10460</v>
      </c>
      <c r="G2211" t="s">
        <v>10091</v>
      </c>
      <c r="H2211" t="s">
        <v>10103</v>
      </c>
      <c r="I2211" t="s">
        <v>10169</v>
      </c>
      <c r="J2211" t="s">
        <v>10211</v>
      </c>
      <c r="K2211" t="s">
        <v>10217</v>
      </c>
      <c r="M2211" t="s">
        <v>10307</v>
      </c>
      <c r="N2211" t="s">
        <v>10671</v>
      </c>
      <c r="P2211" t="s">
        <v>10752</v>
      </c>
      <c r="Q2211" t="s">
        <v>10762</v>
      </c>
      <c r="R2211" t="s">
        <v>10823</v>
      </c>
      <c r="T2211">
        <v>0</v>
      </c>
      <c r="U2211">
        <v>0</v>
      </c>
      <c r="V2211">
        <v>24</v>
      </c>
      <c r="W2211">
        <v>1</v>
      </c>
      <c r="X2211">
        <v>1</v>
      </c>
      <c r="Z2211">
        <v>0</v>
      </c>
      <c r="AA2211">
        <v>40.839474</v>
      </c>
      <c r="AB2211">
        <v>-73.86648599999999</v>
      </c>
      <c r="AD2211" t="s">
        <v>10839</v>
      </c>
      <c r="AG2211" t="s">
        <v>10858</v>
      </c>
      <c r="AH2211" t="s">
        <v>10861</v>
      </c>
      <c r="AI2211">
        <v>234</v>
      </c>
      <c r="AJ2211" t="s">
        <v>10214</v>
      </c>
      <c r="AL2211">
        <v>0.8</v>
      </c>
      <c r="AM2211" t="s">
        <v>10884</v>
      </c>
      <c r="AN2211" t="s">
        <v>10908</v>
      </c>
      <c r="AO2211" t="s">
        <v>11001</v>
      </c>
      <c r="AP2211" t="s">
        <v>11046</v>
      </c>
      <c r="AR2211" t="s">
        <v>11279</v>
      </c>
      <c r="AS2211" t="s">
        <v>9926</v>
      </c>
      <c r="AT2211" t="s">
        <v>11641</v>
      </c>
      <c r="AX2211" t="s">
        <v>10838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</row>
    <row r="2212" spans="1:59">
      <c r="A2212" s="1">
        <f>HYPERLINK("https://lsnyc.legalserver.org/matter/dynamic-profile/view/1906155","19-1906155")</f>
        <v>0</v>
      </c>
      <c r="B2212" t="s">
        <v>1885</v>
      </c>
      <c r="C2212" t="s">
        <v>6681</v>
      </c>
      <c r="D2212" t="s">
        <v>9928</v>
      </c>
      <c r="E2212" t="s">
        <v>10075</v>
      </c>
      <c r="F2212">
        <v>11221</v>
      </c>
      <c r="G2212" t="s">
        <v>10093</v>
      </c>
      <c r="H2212" t="s">
        <v>10103</v>
      </c>
      <c r="I2212" t="s">
        <v>10168</v>
      </c>
      <c r="J2212" t="s">
        <v>10213</v>
      </c>
      <c r="K2212" t="s">
        <v>10217</v>
      </c>
      <c r="M2212" t="s">
        <v>10507</v>
      </c>
      <c r="N2212" t="s">
        <v>10667</v>
      </c>
      <c r="P2212" t="s">
        <v>10749</v>
      </c>
      <c r="Q2212" t="s">
        <v>10765</v>
      </c>
      <c r="R2212" t="s">
        <v>10824</v>
      </c>
      <c r="T2212">
        <v>26000</v>
      </c>
      <c r="U2212">
        <v>2166.67</v>
      </c>
      <c r="V2212">
        <v>35</v>
      </c>
      <c r="W2212">
        <v>1</v>
      </c>
      <c r="X2212">
        <v>1</v>
      </c>
      <c r="Z2212">
        <v>153.76</v>
      </c>
      <c r="AA2212">
        <v>40.68938</v>
      </c>
      <c r="AB2212">
        <v>-73.944485</v>
      </c>
      <c r="AD2212" t="s">
        <v>10840</v>
      </c>
      <c r="AG2212" t="s">
        <v>10858</v>
      </c>
      <c r="AH2212" t="s">
        <v>10862</v>
      </c>
      <c r="AI2212">
        <v>239</v>
      </c>
      <c r="AJ2212" t="s">
        <v>10213</v>
      </c>
      <c r="AL2212">
        <v>6.4</v>
      </c>
      <c r="AM2212" t="s">
        <v>10889</v>
      </c>
      <c r="AN2212" t="s">
        <v>10914</v>
      </c>
      <c r="AO2212" t="s">
        <v>11007</v>
      </c>
      <c r="AP2212" t="s">
        <v>11052</v>
      </c>
      <c r="AR2212" t="s">
        <v>11262</v>
      </c>
      <c r="AS2212" t="s">
        <v>11595</v>
      </c>
      <c r="AT2212" t="s">
        <v>11642</v>
      </c>
      <c r="BA2212" t="s">
        <v>11738</v>
      </c>
      <c r="BB2212">
        <v>0</v>
      </c>
      <c r="BC2212">
        <v>0</v>
      </c>
      <c r="BD2212">
        <v>0</v>
      </c>
      <c r="BE2212">
        <v>0</v>
      </c>
      <c r="BF2212">
        <v>5</v>
      </c>
      <c r="BG2212">
        <v>0</v>
      </c>
    </row>
    <row r="2213" spans="1:59">
      <c r="A2213" s="1">
        <f>HYPERLINK("https://lsnyc.legalserver.org/matter/dynamic-profile/view/1906156","19-1906156")</f>
        <v>0</v>
      </c>
      <c r="B2213" t="s">
        <v>1886</v>
      </c>
      <c r="C2213" t="s">
        <v>6682</v>
      </c>
      <c r="D2213" t="s">
        <v>9925</v>
      </c>
      <c r="E2213" t="s">
        <v>10075</v>
      </c>
      <c r="F2213">
        <v>10031</v>
      </c>
      <c r="G2213" t="s">
        <v>10093</v>
      </c>
      <c r="H2213" t="s">
        <v>10103</v>
      </c>
      <c r="I2213" t="s">
        <v>10168</v>
      </c>
      <c r="J2213" t="s">
        <v>10213</v>
      </c>
      <c r="K2213" t="s">
        <v>10217</v>
      </c>
      <c r="M2213" t="s">
        <v>10253</v>
      </c>
      <c r="N2213" t="s">
        <v>10649</v>
      </c>
      <c r="P2213" t="s">
        <v>10753</v>
      </c>
      <c r="Q2213" t="s">
        <v>10763</v>
      </c>
      <c r="R2213" t="s">
        <v>10824</v>
      </c>
      <c r="T2213">
        <v>15600</v>
      </c>
      <c r="U2213">
        <v>1300</v>
      </c>
      <c r="V2213">
        <v>13</v>
      </c>
      <c r="W2213">
        <v>1</v>
      </c>
      <c r="X2213">
        <v>4</v>
      </c>
      <c r="Z2213">
        <v>51.71</v>
      </c>
      <c r="AA2213">
        <v>40.822163</v>
      </c>
      <c r="AB2213">
        <v>-73.95256000000001</v>
      </c>
      <c r="AD2213" t="s">
        <v>10839</v>
      </c>
      <c r="AF2213" t="s">
        <v>10851</v>
      </c>
      <c r="AG2213" t="s">
        <v>10859</v>
      </c>
      <c r="AH2213" t="s">
        <v>10864</v>
      </c>
      <c r="AI2213">
        <v>239</v>
      </c>
      <c r="AJ2213" t="s">
        <v>10213</v>
      </c>
      <c r="AL2213">
        <v>1.5</v>
      </c>
      <c r="AM2213" t="s">
        <v>10887</v>
      </c>
      <c r="AN2213" t="s">
        <v>10936</v>
      </c>
      <c r="AO2213" t="s">
        <v>11019</v>
      </c>
      <c r="AP2213" t="s">
        <v>11073</v>
      </c>
      <c r="AQ2213" t="s">
        <v>11109</v>
      </c>
      <c r="AR2213" t="s">
        <v>11262</v>
      </c>
      <c r="AS2213" t="s">
        <v>9925</v>
      </c>
      <c r="BA2213" t="s">
        <v>11739</v>
      </c>
      <c r="BB2213">
        <v>0</v>
      </c>
      <c r="BC2213">
        <v>0</v>
      </c>
      <c r="BD2213">
        <v>0</v>
      </c>
      <c r="BE2213">
        <v>0</v>
      </c>
      <c r="BF2213">
        <v>4</v>
      </c>
      <c r="BG2213">
        <v>0</v>
      </c>
    </row>
    <row r="2214" spans="1:59">
      <c r="A2214" s="1">
        <f>HYPERLINK("https://lsnyc.legalserver.org/matter/dynamic-profile/view/1906157","19-1906157")</f>
        <v>0</v>
      </c>
      <c r="B2214" t="s">
        <v>1887</v>
      </c>
      <c r="C2214" t="s">
        <v>6682</v>
      </c>
      <c r="D2214" t="s">
        <v>9925</v>
      </c>
      <c r="E2214" t="s">
        <v>10075</v>
      </c>
      <c r="F2214">
        <v>10031</v>
      </c>
      <c r="G2214" t="s">
        <v>10093</v>
      </c>
      <c r="H2214" t="s">
        <v>10103</v>
      </c>
      <c r="I2214" t="s">
        <v>10168</v>
      </c>
      <c r="J2214" t="s">
        <v>10213</v>
      </c>
      <c r="K2214" t="s">
        <v>10217</v>
      </c>
      <c r="M2214" t="s">
        <v>10253</v>
      </c>
      <c r="N2214" t="s">
        <v>10649</v>
      </c>
      <c r="P2214" t="s">
        <v>10753</v>
      </c>
      <c r="Q2214" t="s">
        <v>10763</v>
      </c>
      <c r="R2214" t="s">
        <v>10824</v>
      </c>
      <c r="T2214">
        <v>15600</v>
      </c>
      <c r="U2214">
        <v>1300</v>
      </c>
      <c r="V2214">
        <v>12</v>
      </c>
      <c r="W2214">
        <v>1</v>
      </c>
      <c r="X2214">
        <v>1</v>
      </c>
      <c r="Z2214">
        <v>92.25</v>
      </c>
      <c r="AA2214">
        <v>40.822163</v>
      </c>
      <c r="AB2214">
        <v>-73.95256000000001</v>
      </c>
      <c r="AD2214" t="s">
        <v>10839</v>
      </c>
      <c r="AF2214" t="s">
        <v>10851</v>
      </c>
      <c r="AG2214" t="s">
        <v>10859</v>
      </c>
      <c r="AH2214" t="s">
        <v>10864</v>
      </c>
      <c r="AI2214">
        <v>239</v>
      </c>
      <c r="AJ2214" t="s">
        <v>10213</v>
      </c>
      <c r="AL2214">
        <v>1.25</v>
      </c>
      <c r="AM2214" t="s">
        <v>10887</v>
      </c>
      <c r="AN2214" t="s">
        <v>10936</v>
      </c>
      <c r="AO2214" t="s">
        <v>11019</v>
      </c>
      <c r="AP2214" t="s">
        <v>11073</v>
      </c>
      <c r="AQ2214" t="s">
        <v>11109</v>
      </c>
      <c r="AR2214" t="s">
        <v>11262</v>
      </c>
      <c r="AS2214" t="s">
        <v>9925</v>
      </c>
      <c r="BA2214" t="s">
        <v>11739</v>
      </c>
      <c r="BB2214">
        <v>0</v>
      </c>
      <c r="BC2214">
        <v>0</v>
      </c>
      <c r="BD2214">
        <v>0</v>
      </c>
      <c r="BE2214">
        <v>0</v>
      </c>
      <c r="BF2214">
        <v>4</v>
      </c>
      <c r="BG2214">
        <v>0</v>
      </c>
    </row>
    <row r="2215" spans="1:59">
      <c r="A2215" s="1">
        <f>HYPERLINK("https://lsnyc.legalserver.org/matter/dynamic-profile/view/1906158","19-1906158")</f>
        <v>0</v>
      </c>
      <c r="B2215" t="s">
        <v>1888</v>
      </c>
      <c r="C2215" t="s">
        <v>6682</v>
      </c>
      <c r="D2215" t="s">
        <v>9925</v>
      </c>
      <c r="E2215" t="s">
        <v>10075</v>
      </c>
      <c r="F2215">
        <v>10031</v>
      </c>
      <c r="G2215" t="s">
        <v>10093</v>
      </c>
      <c r="H2215" t="s">
        <v>10103</v>
      </c>
      <c r="I2215" t="s">
        <v>10168</v>
      </c>
      <c r="J2215" t="s">
        <v>10213</v>
      </c>
      <c r="K2215" t="s">
        <v>10217</v>
      </c>
      <c r="M2215" t="s">
        <v>10253</v>
      </c>
      <c r="N2215" t="s">
        <v>10649</v>
      </c>
      <c r="P2215" t="s">
        <v>10753</v>
      </c>
      <c r="Q2215" t="s">
        <v>10763</v>
      </c>
      <c r="R2215" t="s">
        <v>10824</v>
      </c>
      <c r="T2215">
        <v>18694</v>
      </c>
      <c r="U2215">
        <v>1557.83</v>
      </c>
      <c r="V2215">
        <v>15</v>
      </c>
      <c r="W2215">
        <v>1</v>
      </c>
      <c r="X2215">
        <v>4</v>
      </c>
      <c r="Z2215">
        <v>61.96</v>
      </c>
      <c r="AA2215">
        <v>40.822163</v>
      </c>
      <c r="AB2215">
        <v>-73.95256000000001</v>
      </c>
      <c r="AD2215" t="s">
        <v>10840</v>
      </c>
      <c r="AF2215" t="s">
        <v>10851</v>
      </c>
      <c r="AG2215" t="s">
        <v>10859</v>
      </c>
      <c r="AH2215" t="s">
        <v>10864</v>
      </c>
      <c r="AI2215">
        <v>239</v>
      </c>
      <c r="AJ2215" t="s">
        <v>10213</v>
      </c>
      <c r="AL2215">
        <v>1.25</v>
      </c>
      <c r="AM2215" t="s">
        <v>10887</v>
      </c>
      <c r="AN2215" t="s">
        <v>10936</v>
      </c>
      <c r="AO2215" t="s">
        <v>11019</v>
      </c>
      <c r="AP2215" t="s">
        <v>11073</v>
      </c>
      <c r="AQ2215" t="s">
        <v>11109</v>
      </c>
      <c r="AR2215" t="s">
        <v>11383</v>
      </c>
      <c r="AS2215" t="s">
        <v>9925</v>
      </c>
      <c r="BA2215" t="s">
        <v>11739</v>
      </c>
      <c r="BB2215">
        <v>0</v>
      </c>
      <c r="BC2215">
        <v>0</v>
      </c>
      <c r="BD2215">
        <v>0</v>
      </c>
      <c r="BE2215">
        <v>0</v>
      </c>
      <c r="BF2215">
        <v>4</v>
      </c>
      <c r="BG2215">
        <v>0</v>
      </c>
    </row>
    <row r="2216" spans="1:59">
      <c r="A2216" s="1">
        <f>HYPERLINK("https://lsnyc.legalserver.org/matter/dynamic-profile/view/1906159","19-1906159")</f>
        <v>0</v>
      </c>
      <c r="B2216" t="s">
        <v>1889</v>
      </c>
      <c r="C2216" t="s">
        <v>6683</v>
      </c>
      <c r="D2216" t="s">
        <v>9926</v>
      </c>
      <c r="E2216" t="s">
        <v>10075</v>
      </c>
      <c r="F2216">
        <v>10469</v>
      </c>
      <c r="G2216" t="s">
        <v>10090</v>
      </c>
      <c r="H2216" t="s">
        <v>10103</v>
      </c>
      <c r="I2216" t="s">
        <v>10168</v>
      </c>
      <c r="J2216" t="s">
        <v>10210</v>
      </c>
      <c r="K2216" t="s">
        <v>10218</v>
      </c>
      <c r="L2216" t="s">
        <v>10110</v>
      </c>
      <c r="M2216" t="s">
        <v>10524</v>
      </c>
      <c r="N2216" t="s">
        <v>10687</v>
      </c>
      <c r="P2216" t="s">
        <v>10749</v>
      </c>
      <c r="Q2216" t="s">
        <v>10765</v>
      </c>
      <c r="R2216" t="s">
        <v>10824</v>
      </c>
      <c r="T2216">
        <v>29088</v>
      </c>
      <c r="U2216">
        <v>2424</v>
      </c>
      <c r="V2216">
        <v>89</v>
      </c>
      <c r="W2216">
        <v>2</v>
      </c>
      <c r="X2216">
        <v>0</v>
      </c>
      <c r="Y2216" t="s">
        <v>10829</v>
      </c>
      <c r="Z2216">
        <v>172.02</v>
      </c>
      <c r="AA2216">
        <v>40.86839</v>
      </c>
      <c r="AB2216">
        <v>-73.84022899999999</v>
      </c>
      <c r="AC2216" t="s">
        <v>10837</v>
      </c>
      <c r="AD2216" t="s">
        <v>10840</v>
      </c>
      <c r="AG2216" t="s">
        <v>10858</v>
      </c>
      <c r="AH2216" t="s">
        <v>10862</v>
      </c>
      <c r="AI2216">
        <v>230</v>
      </c>
      <c r="AJ2216" t="s">
        <v>10210</v>
      </c>
      <c r="AK2216" t="s">
        <v>10838</v>
      </c>
      <c r="AL2216">
        <v>1.35</v>
      </c>
      <c r="AM2216" t="s">
        <v>10893</v>
      </c>
      <c r="AN2216" t="s">
        <v>10956</v>
      </c>
      <c r="AO2216" t="s">
        <v>11010</v>
      </c>
      <c r="AP2216" t="s">
        <v>11085</v>
      </c>
      <c r="AR2216" t="s">
        <v>11379</v>
      </c>
      <c r="AS2216" t="s">
        <v>9926</v>
      </c>
      <c r="AT2216" t="s">
        <v>11642</v>
      </c>
      <c r="AX2216" t="s">
        <v>10838</v>
      </c>
      <c r="AY2216" t="s">
        <v>10829</v>
      </c>
      <c r="AZ2216" t="s">
        <v>11681</v>
      </c>
      <c r="BA2216" t="s">
        <v>11741</v>
      </c>
      <c r="BB2216">
        <v>0</v>
      </c>
      <c r="BC2216">
        <v>0</v>
      </c>
      <c r="BD2216">
        <v>0</v>
      </c>
      <c r="BE2216">
        <v>0</v>
      </c>
      <c r="BF2216">
        <v>1</v>
      </c>
      <c r="BG2216">
        <v>0</v>
      </c>
    </row>
    <row r="2217" spans="1:59">
      <c r="A2217" s="1">
        <f>HYPERLINK("https://lsnyc.legalserver.org/matter/dynamic-profile/view/1906160","19-1906160")</f>
        <v>0</v>
      </c>
      <c r="B2217" t="s">
        <v>1890</v>
      </c>
      <c r="C2217" t="s">
        <v>6684</v>
      </c>
      <c r="D2217" t="s">
        <v>9929</v>
      </c>
      <c r="E2217" t="s">
        <v>10075</v>
      </c>
      <c r="F2217">
        <v>10303</v>
      </c>
      <c r="G2217" t="s">
        <v>10088</v>
      </c>
      <c r="H2217" t="s">
        <v>10103</v>
      </c>
      <c r="I2217" t="s">
        <v>10168</v>
      </c>
      <c r="J2217" t="s">
        <v>10208</v>
      </c>
      <c r="K2217" t="s">
        <v>10217</v>
      </c>
      <c r="M2217" t="s">
        <v>10542</v>
      </c>
      <c r="N2217" t="s">
        <v>10729</v>
      </c>
      <c r="P2217" t="s">
        <v>10754</v>
      </c>
      <c r="Q2217" t="s">
        <v>10771</v>
      </c>
      <c r="R2217" t="s">
        <v>10825</v>
      </c>
      <c r="T2217">
        <v>0</v>
      </c>
      <c r="U2217">
        <v>0</v>
      </c>
      <c r="V2217">
        <v>34</v>
      </c>
      <c r="W2217">
        <v>1</v>
      </c>
      <c r="X2217">
        <v>2</v>
      </c>
      <c r="Z2217">
        <v>0</v>
      </c>
      <c r="AA2217">
        <v>40.623664</v>
      </c>
      <c r="AB2217">
        <v>-74.16402100000001</v>
      </c>
      <c r="AD2217" t="s">
        <v>10839</v>
      </c>
      <c r="AG2217" t="s">
        <v>10858</v>
      </c>
      <c r="AH2217" t="s">
        <v>10861</v>
      </c>
      <c r="AI2217">
        <v>234</v>
      </c>
      <c r="AJ2217" t="s">
        <v>10214</v>
      </c>
      <c r="AL2217">
        <v>2.9</v>
      </c>
      <c r="AM2217" t="s">
        <v>10883</v>
      </c>
      <c r="AN2217" t="s">
        <v>10928</v>
      </c>
      <c r="AO2217" t="s">
        <v>11006</v>
      </c>
      <c r="AP2217" t="s">
        <v>11051</v>
      </c>
      <c r="AQ2217" t="s">
        <v>11102</v>
      </c>
      <c r="AR2217" t="s">
        <v>11279</v>
      </c>
      <c r="AS2217" t="s">
        <v>11593</v>
      </c>
      <c r="AT2217" t="s">
        <v>11641</v>
      </c>
      <c r="AX2217" t="s">
        <v>10838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</row>
    <row r="2218" spans="1:59">
      <c r="A2218" s="1">
        <f>HYPERLINK("https://lsnyc.legalserver.org/matter/dynamic-profile/view/1906161","19-1906161")</f>
        <v>0</v>
      </c>
      <c r="B2218" t="s">
        <v>1891</v>
      </c>
      <c r="C2218" t="s">
        <v>6685</v>
      </c>
      <c r="D2218" t="s">
        <v>9928</v>
      </c>
      <c r="E2218" t="s">
        <v>10075</v>
      </c>
      <c r="F2218">
        <v>11217</v>
      </c>
      <c r="G2218" t="s">
        <v>10093</v>
      </c>
      <c r="H2218" t="s">
        <v>10103</v>
      </c>
      <c r="I2218" t="s">
        <v>10168</v>
      </c>
      <c r="J2218" t="s">
        <v>10213</v>
      </c>
      <c r="K2218" t="s">
        <v>10217</v>
      </c>
      <c r="M2218" t="s">
        <v>10457</v>
      </c>
      <c r="N2218" t="s">
        <v>10698</v>
      </c>
      <c r="P2218" t="s">
        <v>10751</v>
      </c>
      <c r="Q2218" t="s">
        <v>10761</v>
      </c>
      <c r="R2218" t="s">
        <v>10824</v>
      </c>
      <c r="T2218">
        <v>10260</v>
      </c>
      <c r="U2218">
        <v>855</v>
      </c>
      <c r="V2218">
        <v>68</v>
      </c>
      <c r="W2218">
        <v>1</v>
      </c>
      <c r="X2218">
        <v>0</v>
      </c>
      <c r="Z2218">
        <v>82.15000000000001</v>
      </c>
      <c r="AA2218">
        <v>40.685549</v>
      </c>
      <c r="AB2218">
        <v>-73.980372</v>
      </c>
      <c r="AC2218" t="s">
        <v>10837</v>
      </c>
      <c r="AD2218" t="s">
        <v>10839</v>
      </c>
      <c r="AG2218" t="s">
        <v>10858</v>
      </c>
      <c r="AH2218" t="s">
        <v>10868</v>
      </c>
      <c r="AI2218">
        <v>239</v>
      </c>
      <c r="AJ2218" t="s">
        <v>10213</v>
      </c>
      <c r="AL2218">
        <v>16.25</v>
      </c>
      <c r="AM2218" t="s">
        <v>10889</v>
      </c>
      <c r="AN2218" t="s">
        <v>10917</v>
      </c>
      <c r="AO2218" t="s">
        <v>11007</v>
      </c>
      <c r="AP2218" t="s">
        <v>11054</v>
      </c>
      <c r="AR2218" t="s">
        <v>11268</v>
      </c>
      <c r="AS2218" t="s">
        <v>11595</v>
      </c>
      <c r="AT2218" t="s">
        <v>11641</v>
      </c>
      <c r="AX2218" t="s">
        <v>10837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</row>
    <row r="2219" spans="1:59">
      <c r="A2219" s="1">
        <f>HYPERLINK("https://lsnyc.legalserver.org/matter/dynamic-profile/view/1906162","19-1906162")</f>
        <v>0</v>
      </c>
      <c r="B2219" t="s">
        <v>1892</v>
      </c>
      <c r="C2219" t="s">
        <v>6686</v>
      </c>
      <c r="D2219" t="s">
        <v>9926</v>
      </c>
      <c r="E2219" t="s">
        <v>10075</v>
      </c>
      <c r="F2219">
        <v>10460</v>
      </c>
      <c r="G2219" t="s">
        <v>10090</v>
      </c>
      <c r="H2219" t="s">
        <v>10103</v>
      </c>
      <c r="I2219" t="s">
        <v>10168</v>
      </c>
      <c r="J2219" t="s">
        <v>10210</v>
      </c>
      <c r="K2219" t="s">
        <v>10217</v>
      </c>
      <c r="M2219" t="s">
        <v>10261</v>
      </c>
      <c r="N2219" t="s">
        <v>10671</v>
      </c>
      <c r="P2219" t="s">
        <v>10749</v>
      </c>
      <c r="Q2219" t="s">
        <v>10765</v>
      </c>
      <c r="R2219" t="s">
        <v>10825</v>
      </c>
      <c r="T2219">
        <v>14400</v>
      </c>
      <c r="U2219">
        <v>1200</v>
      </c>
      <c r="V2219">
        <v>61</v>
      </c>
      <c r="W2219">
        <v>1</v>
      </c>
      <c r="X2219">
        <v>0</v>
      </c>
      <c r="Z2219">
        <v>115.29</v>
      </c>
      <c r="AA2219">
        <v>40.841568</v>
      </c>
      <c r="AB2219">
        <v>-73.877976</v>
      </c>
      <c r="AD2219" t="s">
        <v>10839</v>
      </c>
      <c r="AG2219" t="s">
        <v>10858</v>
      </c>
      <c r="AH2219" t="s">
        <v>10861</v>
      </c>
      <c r="AI2219">
        <v>234</v>
      </c>
      <c r="AJ2219" t="s">
        <v>10214</v>
      </c>
      <c r="AL2219">
        <v>2</v>
      </c>
      <c r="AM2219" t="s">
        <v>10884</v>
      </c>
      <c r="AN2219" t="s">
        <v>10908</v>
      </c>
      <c r="AO2219" t="s">
        <v>11000</v>
      </c>
      <c r="AP2219" t="s">
        <v>11056</v>
      </c>
      <c r="AR2219" t="s">
        <v>11262</v>
      </c>
      <c r="AS2219" t="s">
        <v>9926</v>
      </c>
      <c r="AT2219" t="s">
        <v>11641</v>
      </c>
      <c r="AX2219" t="s">
        <v>10838</v>
      </c>
      <c r="BA2219" t="s">
        <v>11741</v>
      </c>
      <c r="BB2219">
        <v>0</v>
      </c>
      <c r="BC2219">
        <v>0</v>
      </c>
      <c r="BD2219">
        <v>0</v>
      </c>
      <c r="BE2219">
        <v>0</v>
      </c>
      <c r="BF2219">
        <v>1</v>
      </c>
      <c r="BG2219">
        <v>0</v>
      </c>
    </row>
    <row r="2220" spans="1:59">
      <c r="A2220" s="1">
        <f>HYPERLINK("https://lsnyc.legalserver.org/matter/dynamic-profile/view/1906163","19-1906163")</f>
        <v>0</v>
      </c>
      <c r="B2220" t="s">
        <v>1893</v>
      </c>
      <c r="C2220" t="s">
        <v>6687</v>
      </c>
      <c r="D2220" t="s">
        <v>9928</v>
      </c>
      <c r="E2220" t="s">
        <v>10075</v>
      </c>
      <c r="F2220">
        <v>11232</v>
      </c>
      <c r="G2220" t="s">
        <v>10093</v>
      </c>
      <c r="H2220" t="s">
        <v>10103</v>
      </c>
      <c r="I2220" t="s">
        <v>10168</v>
      </c>
      <c r="J2220" t="s">
        <v>10213</v>
      </c>
      <c r="K2220" t="s">
        <v>10217</v>
      </c>
      <c r="M2220" t="s">
        <v>10384</v>
      </c>
      <c r="N2220" t="s">
        <v>10650</v>
      </c>
      <c r="P2220" t="s">
        <v>10749</v>
      </c>
      <c r="Q2220" t="s">
        <v>10765</v>
      </c>
      <c r="R2220" t="s">
        <v>10822</v>
      </c>
      <c r="T2220">
        <v>0</v>
      </c>
      <c r="U2220">
        <v>0</v>
      </c>
      <c r="V2220">
        <v>51</v>
      </c>
      <c r="W2220">
        <v>1</v>
      </c>
      <c r="X2220">
        <v>0</v>
      </c>
      <c r="Z2220">
        <v>0</v>
      </c>
      <c r="AA2220">
        <v>40.659296</v>
      </c>
      <c r="AB2220">
        <v>-73.998715</v>
      </c>
      <c r="AD2220" t="s">
        <v>10822</v>
      </c>
      <c r="AG2220" t="s">
        <v>10858</v>
      </c>
      <c r="AH2220" t="s">
        <v>10862</v>
      </c>
      <c r="AI2220">
        <v>239</v>
      </c>
      <c r="AJ2220" t="s">
        <v>10213</v>
      </c>
      <c r="AL2220">
        <v>15.9</v>
      </c>
      <c r="AM2220" t="s">
        <v>10886</v>
      </c>
      <c r="AN2220" t="s">
        <v>10921</v>
      </c>
      <c r="AO2220" t="s">
        <v>11005</v>
      </c>
      <c r="AP2220" t="s">
        <v>11069</v>
      </c>
      <c r="AR2220" t="s">
        <v>11267</v>
      </c>
      <c r="AS2220" t="s">
        <v>11595</v>
      </c>
      <c r="BA2220" t="s">
        <v>11741</v>
      </c>
      <c r="BB2220">
        <v>0</v>
      </c>
      <c r="BC2220">
        <v>0</v>
      </c>
      <c r="BD2220">
        <v>0</v>
      </c>
      <c r="BE2220">
        <v>0</v>
      </c>
      <c r="BF2220">
        <v>1</v>
      </c>
      <c r="BG2220">
        <v>0</v>
      </c>
    </row>
    <row r="2221" spans="1:59">
      <c r="A2221" s="1">
        <f>HYPERLINK("https://lsnyc.legalserver.org/matter/dynamic-profile/view/1906164","19-1906164")</f>
        <v>0</v>
      </c>
      <c r="B2221" t="s">
        <v>1894</v>
      </c>
      <c r="C2221" t="s">
        <v>6688</v>
      </c>
      <c r="D2221" t="s">
        <v>9929</v>
      </c>
      <c r="E2221" t="s">
        <v>10075</v>
      </c>
      <c r="F2221">
        <v>10314</v>
      </c>
      <c r="G2221" t="s">
        <v>10088</v>
      </c>
      <c r="H2221" t="s">
        <v>10103</v>
      </c>
      <c r="I2221" t="s">
        <v>10168</v>
      </c>
      <c r="J2221" t="s">
        <v>10208</v>
      </c>
      <c r="K2221" t="s">
        <v>10218</v>
      </c>
      <c r="L2221" t="s">
        <v>10141</v>
      </c>
      <c r="M2221" t="s">
        <v>10254</v>
      </c>
      <c r="N2221" t="s">
        <v>10655</v>
      </c>
      <c r="P2221" t="s">
        <v>10749</v>
      </c>
      <c r="Q2221" t="s">
        <v>10767</v>
      </c>
      <c r="R2221" t="s">
        <v>10824</v>
      </c>
      <c r="T2221">
        <v>30939.96</v>
      </c>
      <c r="U2221">
        <v>2578.33</v>
      </c>
      <c r="V2221">
        <v>27</v>
      </c>
      <c r="W2221">
        <v>1</v>
      </c>
      <c r="X2221">
        <v>1</v>
      </c>
      <c r="Y2221" t="s">
        <v>10831</v>
      </c>
      <c r="Z2221">
        <v>182.97</v>
      </c>
      <c r="AA2221">
        <v>40.609068</v>
      </c>
      <c r="AB2221">
        <v>-74.118627</v>
      </c>
      <c r="AD2221" t="s">
        <v>10839</v>
      </c>
      <c r="AG2221" t="s">
        <v>10858</v>
      </c>
      <c r="AH2221" t="s">
        <v>10862</v>
      </c>
      <c r="AI2221">
        <v>285</v>
      </c>
      <c r="AJ2221" t="s">
        <v>10208</v>
      </c>
      <c r="AK2221" t="s">
        <v>10838</v>
      </c>
      <c r="AL2221">
        <v>1.8</v>
      </c>
      <c r="AM2221" t="s">
        <v>10883</v>
      </c>
      <c r="AN2221" t="s">
        <v>10928</v>
      </c>
      <c r="AO2221" t="s">
        <v>10999</v>
      </c>
      <c r="AP2221" t="s">
        <v>11051</v>
      </c>
      <c r="AR2221" t="s">
        <v>11257</v>
      </c>
      <c r="AS2221" t="s">
        <v>11593</v>
      </c>
      <c r="AT2221" t="s">
        <v>11641</v>
      </c>
      <c r="AY2221" t="s">
        <v>10831</v>
      </c>
      <c r="AZ2221" t="s">
        <v>11685</v>
      </c>
      <c r="BA2221" t="s">
        <v>11738</v>
      </c>
      <c r="BB2221">
        <v>0</v>
      </c>
      <c r="BC2221">
        <v>0</v>
      </c>
      <c r="BD2221">
        <v>0</v>
      </c>
      <c r="BE2221">
        <v>0</v>
      </c>
      <c r="BF2221">
        <v>5</v>
      </c>
      <c r="BG2221">
        <v>0</v>
      </c>
    </row>
    <row r="2222" spans="1:59">
      <c r="A2222" s="1">
        <f>HYPERLINK("https://lsnyc.legalserver.org/matter/dynamic-profile/view/1906165","19-1906165")</f>
        <v>0</v>
      </c>
      <c r="B2222" t="s">
        <v>1895</v>
      </c>
      <c r="C2222" t="s">
        <v>6689</v>
      </c>
      <c r="D2222" t="s">
        <v>9928</v>
      </c>
      <c r="E2222" t="s">
        <v>10075</v>
      </c>
      <c r="F2222">
        <v>11233</v>
      </c>
      <c r="G2222" t="s">
        <v>10093</v>
      </c>
      <c r="H2222" t="s">
        <v>10103</v>
      </c>
      <c r="I2222" t="s">
        <v>10168</v>
      </c>
      <c r="J2222" t="s">
        <v>10213</v>
      </c>
      <c r="K2222" t="s">
        <v>10217</v>
      </c>
      <c r="M2222" t="s">
        <v>10505</v>
      </c>
      <c r="N2222" t="s">
        <v>10650</v>
      </c>
      <c r="P2222" t="s">
        <v>10749</v>
      </c>
      <c r="Q2222" t="s">
        <v>10765</v>
      </c>
      <c r="R2222" t="s">
        <v>10824</v>
      </c>
      <c r="T2222">
        <v>12340</v>
      </c>
      <c r="U2222">
        <v>1028.33</v>
      </c>
      <c r="V2222">
        <v>42</v>
      </c>
      <c r="W2222">
        <v>1</v>
      </c>
      <c r="X2222">
        <v>0</v>
      </c>
      <c r="Z2222">
        <v>98.8</v>
      </c>
      <c r="AA2222">
        <v>40.680193</v>
      </c>
      <c r="AB2222">
        <v>-73.929833</v>
      </c>
      <c r="AD2222" t="s">
        <v>10839</v>
      </c>
      <c r="AG2222" t="s">
        <v>10858</v>
      </c>
      <c r="AH2222" t="s">
        <v>10861</v>
      </c>
      <c r="AI2222">
        <v>234</v>
      </c>
      <c r="AJ2222" t="s">
        <v>10214</v>
      </c>
      <c r="AL2222">
        <v>6.5</v>
      </c>
      <c r="AM2222" t="s">
        <v>10889</v>
      </c>
      <c r="AN2222" t="s">
        <v>10914</v>
      </c>
      <c r="AO2222" t="s">
        <v>11007</v>
      </c>
      <c r="AP2222" t="s">
        <v>11052</v>
      </c>
      <c r="AR2222" t="s">
        <v>11455</v>
      </c>
      <c r="AS2222" t="s">
        <v>11595</v>
      </c>
      <c r="AT2222" t="s">
        <v>11641</v>
      </c>
      <c r="AX2222" t="s">
        <v>10838</v>
      </c>
      <c r="BA2222" t="s">
        <v>11738</v>
      </c>
      <c r="BB2222">
        <v>0</v>
      </c>
      <c r="BC2222">
        <v>0</v>
      </c>
      <c r="BD2222">
        <v>0</v>
      </c>
      <c r="BE2222">
        <v>0</v>
      </c>
      <c r="BF2222">
        <v>5</v>
      </c>
      <c r="BG2222">
        <v>0</v>
      </c>
    </row>
    <row r="2223" spans="1:59">
      <c r="A2223" s="1">
        <f>HYPERLINK("https://lsnyc.legalserver.org/matter/dynamic-profile/view/1906166","19-1906166")</f>
        <v>0</v>
      </c>
      <c r="B2223" t="s">
        <v>1896</v>
      </c>
      <c r="C2223" t="s">
        <v>6690</v>
      </c>
      <c r="D2223" t="s">
        <v>9928</v>
      </c>
      <c r="E2223" t="s">
        <v>10075</v>
      </c>
      <c r="F2223">
        <v>11225</v>
      </c>
      <c r="G2223" t="s">
        <v>10093</v>
      </c>
      <c r="H2223" t="s">
        <v>10103</v>
      </c>
      <c r="I2223" t="s">
        <v>10168</v>
      </c>
      <c r="J2223" t="s">
        <v>10213</v>
      </c>
      <c r="K2223" t="s">
        <v>10218</v>
      </c>
      <c r="L2223" t="s">
        <v>10156</v>
      </c>
      <c r="M2223" t="s">
        <v>10291</v>
      </c>
      <c r="N2223" t="s">
        <v>10667</v>
      </c>
      <c r="P2223" t="s">
        <v>10749</v>
      </c>
      <c r="Q2223" t="s">
        <v>10765</v>
      </c>
      <c r="R2223" t="s">
        <v>10824</v>
      </c>
      <c r="T2223">
        <v>36400</v>
      </c>
      <c r="U2223">
        <v>3033.33</v>
      </c>
      <c r="V2223">
        <v>39</v>
      </c>
      <c r="W2223">
        <v>3</v>
      </c>
      <c r="X2223">
        <v>2</v>
      </c>
      <c r="Y2223" t="s">
        <v>10831</v>
      </c>
      <c r="Z2223">
        <v>120.65</v>
      </c>
      <c r="AA2223">
        <v>40.65633</v>
      </c>
      <c r="AB2223">
        <v>-73.95843600000001</v>
      </c>
      <c r="AD2223" t="s">
        <v>10839</v>
      </c>
      <c r="AG2223" t="s">
        <v>10858</v>
      </c>
      <c r="AH2223" t="s">
        <v>10862</v>
      </c>
      <c r="AI2223">
        <v>239</v>
      </c>
      <c r="AJ2223" t="s">
        <v>10213</v>
      </c>
      <c r="AK2223" t="s">
        <v>10838</v>
      </c>
      <c r="AL2223">
        <v>7.4</v>
      </c>
      <c r="AM2223" t="s">
        <v>10888</v>
      </c>
      <c r="AN2223" t="s">
        <v>10912</v>
      </c>
      <c r="AO2223" t="s">
        <v>11008</v>
      </c>
      <c r="AP2223" t="s">
        <v>11050</v>
      </c>
      <c r="AR2223" t="s">
        <v>11257</v>
      </c>
      <c r="AS2223" t="s">
        <v>11595</v>
      </c>
      <c r="AY2223" t="s">
        <v>10831</v>
      </c>
      <c r="AZ2223" t="s">
        <v>11681</v>
      </c>
      <c r="BA2223" t="s">
        <v>11738</v>
      </c>
      <c r="BB2223">
        <v>0</v>
      </c>
      <c r="BC2223">
        <v>0</v>
      </c>
      <c r="BD2223">
        <v>3222.24</v>
      </c>
      <c r="BE2223">
        <v>0</v>
      </c>
      <c r="BF2223">
        <v>5</v>
      </c>
      <c r="BG2223">
        <v>0</v>
      </c>
    </row>
    <row r="2224" spans="1:59">
      <c r="A2224" s="1">
        <f>HYPERLINK("https://lsnyc.legalserver.org/matter/dynamic-profile/view/1906167","19-1906167")</f>
        <v>0</v>
      </c>
      <c r="B2224" t="s">
        <v>1897</v>
      </c>
      <c r="C2224" t="s">
        <v>6691</v>
      </c>
      <c r="D2224" t="s">
        <v>9929</v>
      </c>
      <c r="E2224" t="s">
        <v>10075</v>
      </c>
      <c r="F2224">
        <v>10310</v>
      </c>
      <c r="G2224" t="s">
        <v>10088</v>
      </c>
      <c r="H2224" t="s">
        <v>10103</v>
      </c>
      <c r="I2224" t="s">
        <v>10168</v>
      </c>
      <c r="J2224" t="s">
        <v>10208</v>
      </c>
      <c r="K2224" t="s">
        <v>10217</v>
      </c>
      <c r="M2224" t="s">
        <v>10259</v>
      </c>
      <c r="N2224" t="s">
        <v>10655</v>
      </c>
      <c r="P2224" t="s">
        <v>10749</v>
      </c>
      <c r="Q2224" t="s">
        <v>10765</v>
      </c>
      <c r="R2224" t="s">
        <v>10820</v>
      </c>
      <c r="T2224">
        <v>36696</v>
      </c>
      <c r="U2224">
        <v>3058</v>
      </c>
      <c r="V2224">
        <v>31</v>
      </c>
      <c r="W2224">
        <v>1</v>
      </c>
      <c r="X2224">
        <v>3</v>
      </c>
      <c r="Z2224">
        <v>142.51</v>
      </c>
      <c r="AA2224">
        <v>40.63995</v>
      </c>
      <c r="AB2224">
        <v>-74.11603599999999</v>
      </c>
      <c r="AD2224" t="s">
        <v>10839</v>
      </c>
      <c r="AG2224" t="s">
        <v>10858</v>
      </c>
      <c r="AH2224" t="s">
        <v>10862</v>
      </c>
      <c r="AI2224">
        <v>285</v>
      </c>
      <c r="AJ2224" t="s">
        <v>10208</v>
      </c>
      <c r="AL2224">
        <v>4.95</v>
      </c>
      <c r="AM2224" t="s">
        <v>10883</v>
      </c>
      <c r="AN2224" t="s">
        <v>10913</v>
      </c>
      <c r="AO2224" t="s">
        <v>11006</v>
      </c>
      <c r="AP2224" t="s">
        <v>11051</v>
      </c>
      <c r="AR2224" t="s">
        <v>11280</v>
      </c>
      <c r="AS2224" t="s">
        <v>11593</v>
      </c>
      <c r="BA2224" t="s">
        <v>11738</v>
      </c>
      <c r="BB2224">
        <v>0</v>
      </c>
      <c r="BC2224">
        <v>0</v>
      </c>
      <c r="BD2224">
        <v>0</v>
      </c>
      <c r="BE2224">
        <v>0</v>
      </c>
      <c r="BF2224">
        <v>5</v>
      </c>
      <c r="BG2224">
        <v>0</v>
      </c>
    </row>
    <row r="2225" spans="1:59">
      <c r="A2225" s="1">
        <f>HYPERLINK("https://lsnyc.legalserver.org/matter/dynamic-profile/view/1906168","19-1906168")</f>
        <v>0</v>
      </c>
      <c r="B2225" t="s">
        <v>1864</v>
      </c>
      <c r="C2225" t="s">
        <v>6657</v>
      </c>
      <c r="D2225" t="s">
        <v>9925</v>
      </c>
      <c r="E2225" t="s">
        <v>10075</v>
      </c>
      <c r="F2225">
        <v>10029</v>
      </c>
      <c r="G2225" t="s">
        <v>10089</v>
      </c>
      <c r="H2225" t="s">
        <v>10103</v>
      </c>
      <c r="I2225" t="s">
        <v>10169</v>
      </c>
      <c r="J2225" t="s">
        <v>10209</v>
      </c>
      <c r="K2225" t="s">
        <v>10217</v>
      </c>
      <c r="M2225" t="s">
        <v>10233</v>
      </c>
      <c r="N2225" t="s">
        <v>10679</v>
      </c>
      <c r="P2225" t="s">
        <v>10753</v>
      </c>
      <c r="Q2225" t="s">
        <v>10763</v>
      </c>
      <c r="R2225" t="s">
        <v>10823</v>
      </c>
      <c r="T2225">
        <v>6672</v>
      </c>
      <c r="U2225">
        <v>556</v>
      </c>
      <c r="V2225">
        <v>16</v>
      </c>
      <c r="W2225">
        <v>1</v>
      </c>
      <c r="X2225">
        <v>4</v>
      </c>
      <c r="Z2225">
        <v>22.11</v>
      </c>
      <c r="AA2225">
        <v>40.786952</v>
      </c>
      <c r="AB2225">
        <v>-73.948776</v>
      </c>
      <c r="AD2225" t="s">
        <v>10840</v>
      </c>
      <c r="AF2225" t="s">
        <v>10852</v>
      </c>
      <c r="AG2225" t="s">
        <v>10859</v>
      </c>
      <c r="AH2225" t="s">
        <v>10864</v>
      </c>
      <c r="AI2225">
        <v>236</v>
      </c>
      <c r="AJ2225" t="s">
        <v>10209</v>
      </c>
      <c r="AL2225">
        <v>2.25</v>
      </c>
      <c r="AM2225" t="s">
        <v>10887</v>
      </c>
      <c r="AN2225" t="s">
        <v>10926</v>
      </c>
      <c r="AO2225" t="s">
        <v>11016</v>
      </c>
      <c r="AP2225" t="s">
        <v>11094</v>
      </c>
      <c r="AQ2225" t="s">
        <v>11142</v>
      </c>
      <c r="AR2225" t="s">
        <v>11453</v>
      </c>
      <c r="AS2225" t="s">
        <v>9925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</row>
    <row r="2226" spans="1:59">
      <c r="A2226" s="1">
        <f>HYPERLINK("https://lsnyc.legalserver.org/matter/dynamic-profile/view/1906169","19-1906169")</f>
        <v>0</v>
      </c>
      <c r="B2226" t="s">
        <v>1898</v>
      </c>
      <c r="C2226" t="s">
        <v>6692</v>
      </c>
      <c r="D2226" t="s">
        <v>9928</v>
      </c>
      <c r="E2226" t="s">
        <v>10075</v>
      </c>
      <c r="F2226">
        <v>11221</v>
      </c>
      <c r="G2226" t="s">
        <v>10093</v>
      </c>
      <c r="H2226" t="s">
        <v>10103</v>
      </c>
      <c r="I2226" t="s">
        <v>10168</v>
      </c>
      <c r="J2226" t="s">
        <v>10213</v>
      </c>
      <c r="K2226" t="s">
        <v>10217</v>
      </c>
      <c r="M2226" t="s">
        <v>10291</v>
      </c>
      <c r="N2226" t="s">
        <v>10667</v>
      </c>
      <c r="P2226" t="s">
        <v>10749</v>
      </c>
      <c r="Q2226" t="s">
        <v>10765</v>
      </c>
      <c r="R2226" t="s">
        <v>10821</v>
      </c>
      <c r="T2226">
        <v>13312</v>
      </c>
      <c r="U2226">
        <v>1109.33</v>
      </c>
      <c r="V2226">
        <v>38</v>
      </c>
      <c r="W2226">
        <v>1</v>
      </c>
      <c r="X2226">
        <v>0</v>
      </c>
      <c r="Z2226">
        <v>106.58</v>
      </c>
      <c r="AA2226">
        <v>40.686059</v>
      </c>
      <c r="AB2226">
        <v>-73.92944900000001</v>
      </c>
      <c r="AD2226" t="s">
        <v>10839</v>
      </c>
      <c r="AG2226" t="s">
        <v>10858</v>
      </c>
      <c r="AH2226" t="s">
        <v>10862</v>
      </c>
      <c r="AI2226">
        <v>239</v>
      </c>
      <c r="AJ2226" t="s">
        <v>10213</v>
      </c>
      <c r="AL2226">
        <v>11.7</v>
      </c>
      <c r="AM2226" t="s">
        <v>10889</v>
      </c>
      <c r="AN2226" t="s">
        <v>10914</v>
      </c>
      <c r="AO2226" t="s">
        <v>11007</v>
      </c>
      <c r="AP2226" t="s">
        <v>11052</v>
      </c>
      <c r="AR2226" t="s">
        <v>11257</v>
      </c>
      <c r="AS2226" t="s">
        <v>11595</v>
      </c>
      <c r="AT2226" t="s">
        <v>11641</v>
      </c>
      <c r="BA2226" t="s">
        <v>11738</v>
      </c>
      <c r="BB2226">
        <v>0</v>
      </c>
      <c r="BC2226">
        <v>0</v>
      </c>
      <c r="BD2226">
        <v>0</v>
      </c>
      <c r="BE2226">
        <v>0</v>
      </c>
      <c r="BF2226">
        <v>5</v>
      </c>
      <c r="BG2226">
        <v>0</v>
      </c>
    </row>
    <row r="2227" spans="1:59">
      <c r="A2227" s="1">
        <f>HYPERLINK("https://lsnyc.legalserver.org/matter/dynamic-profile/view/1906170","19-1906170")</f>
        <v>0</v>
      </c>
      <c r="B2227" t="s">
        <v>1899</v>
      </c>
      <c r="C2227" t="s">
        <v>6693</v>
      </c>
      <c r="D2227" t="s">
        <v>9938</v>
      </c>
      <c r="E2227" t="s">
        <v>10075</v>
      </c>
      <c r="F2227">
        <v>11435</v>
      </c>
      <c r="G2227" t="s">
        <v>10092</v>
      </c>
      <c r="H2227" t="s">
        <v>10103</v>
      </c>
      <c r="I2227" t="s">
        <v>10168</v>
      </c>
      <c r="J2227" t="s">
        <v>10212</v>
      </c>
      <c r="K2227" t="s">
        <v>10217</v>
      </c>
      <c r="M2227" t="s">
        <v>10335</v>
      </c>
      <c r="N2227" t="s">
        <v>10695</v>
      </c>
      <c r="P2227" t="s">
        <v>10749</v>
      </c>
      <c r="Q2227" t="s">
        <v>10765</v>
      </c>
      <c r="R2227" t="s">
        <v>10825</v>
      </c>
      <c r="T2227">
        <v>0</v>
      </c>
      <c r="U2227">
        <v>0</v>
      </c>
      <c r="V2227">
        <v>54</v>
      </c>
      <c r="W2227">
        <v>5</v>
      </c>
      <c r="X2227">
        <v>2</v>
      </c>
      <c r="Z2227">
        <v>0</v>
      </c>
      <c r="AA2227">
        <v>40.690805</v>
      </c>
      <c r="AB2227">
        <v>-73.808682</v>
      </c>
      <c r="AD2227" t="s">
        <v>10840</v>
      </c>
      <c r="AF2227" t="s">
        <v>10843</v>
      </c>
      <c r="AG2227" t="s">
        <v>10859</v>
      </c>
      <c r="AH2227" t="s">
        <v>10862</v>
      </c>
      <c r="AI2227">
        <v>237</v>
      </c>
      <c r="AJ2227" t="s">
        <v>10212</v>
      </c>
      <c r="AK2227" t="s">
        <v>10838</v>
      </c>
      <c r="AL2227">
        <v>1.3</v>
      </c>
      <c r="AM2227" t="s">
        <v>10892</v>
      </c>
      <c r="AN2227" t="s">
        <v>10951</v>
      </c>
      <c r="AO2227" t="s">
        <v>11017</v>
      </c>
      <c r="AP2227" t="s">
        <v>11070</v>
      </c>
      <c r="AQ2227" t="s">
        <v>11101</v>
      </c>
      <c r="AR2227" t="s">
        <v>11267</v>
      </c>
      <c r="AS2227" t="s">
        <v>11594</v>
      </c>
      <c r="AX2227" t="s">
        <v>10838</v>
      </c>
      <c r="BA2227" t="s">
        <v>11741</v>
      </c>
      <c r="BB2227">
        <v>0</v>
      </c>
      <c r="BC2227">
        <v>0</v>
      </c>
      <c r="BD2227">
        <v>0</v>
      </c>
      <c r="BE2227">
        <v>0</v>
      </c>
      <c r="BF2227">
        <v>1</v>
      </c>
      <c r="BG2227">
        <v>0</v>
      </c>
    </row>
    <row r="2228" spans="1:59">
      <c r="A2228" s="1">
        <f>HYPERLINK("https://lsnyc.legalserver.org/matter/dynamic-profile/view/1906172","19-1906172")</f>
        <v>0</v>
      </c>
      <c r="B2228" t="s">
        <v>1864</v>
      </c>
      <c r="C2228" t="s">
        <v>6657</v>
      </c>
      <c r="D2228" t="s">
        <v>9925</v>
      </c>
      <c r="E2228" t="s">
        <v>10075</v>
      </c>
      <c r="F2228">
        <v>10029</v>
      </c>
      <c r="G2228" t="s">
        <v>10089</v>
      </c>
      <c r="H2228" t="s">
        <v>10103</v>
      </c>
      <c r="I2228" t="s">
        <v>10169</v>
      </c>
      <c r="J2228" t="s">
        <v>10209</v>
      </c>
      <c r="K2228" t="s">
        <v>10217</v>
      </c>
      <c r="M2228" t="s">
        <v>10233</v>
      </c>
      <c r="N2228" t="s">
        <v>10679</v>
      </c>
      <c r="P2228" t="s">
        <v>10753</v>
      </c>
      <c r="Q2228" t="s">
        <v>10763</v>
      </c>
      <c r="R2228" t="s">
        <v>10823</v>
      </c>
      <c r="T2228">
        <v>6672</v>
      </c>
      <c r="U2228">
        <v>556</v>
      </c>
      <c r="V2228">
        <v>16</v>
      </c>
      <c r="W2228">
        <v>1</v>
      </c>
      <c r="X2228">
        <v>4</v>
      </c>
      <c r="Z2228">
        <v>22.11</v>
      </c>
      <c r="AA2228">
        <v>40.786952</v>
      </c>
      <c r="AB2228">
        <v>-73.948776</v>
      </c>
      <c r="AD2228" t="s">
        <v>10840</v>
      </c>
      <c r="AF2228" t="s">
        <v>10852</v>
      </c>
      <c r="AG2228" t="s">
        <v>10859</v>
      </c>
      <c r="AH2228" t="s">
        <v>10864</v>
      </c>
      <c r="AI2228">
        <v>236</v>
      </c>
      <c r="AJ2228" t="s">
        <v>10209</v>
      </c>
      <c r="AL2228">
        <v>2</v>
      </c>
      <c r="AM2228" t="s">
        <v>10887</v>
      </c>
      <c r="AN2228" t="s">
        <v>10926</v>
      </c>
      <c r="AO2228" t="s">
        <v>11016</v>
      </c>
      <c r="AP2228" t="s">
        <v>11094</v>
      </c>
      <c r="AQ2228" t="s">
        <v>11104</v>
      </c>
      <c r="AR2228" t="s">
        <v>11453</v>
      </c>
      <c r="AS2228" t="s">
        <v>9925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</row>
    <row r="2229" spans="1:59">
      <c r="A2229" s="1">
        <f>HYPERLINK("https://lsnyc.legalserver.org/matter/dynamic-profile/view/1906174","19-1906174")</f>
        <v>0</v>
      </c>
      <c r="B2229" t="s">
        <v>1900</v>
      </c>
      <c r="C2229" t="s">
        <v>6694</v>
      </c>
      <c r="D2229" t="s">
        <v>9938</v>
      </c>
      <c r="E2229" t="s">
        <v>10075</v>
      </c>
      <c r="F2229">
        <v>11435</v>
      </c>
      <c r="G2229" t="s">
        <v>10092</v>
      </c>
      <c r="H2229" t="s">
        <v>10103</v>
      </c>
      <c r="I2229" t="s">
        <v>10179</v>
      </c>
      <c r="J2229" t="s">
        <v>10212</v>
      </c>
      <c r="K2229" t="s">
        <v>10218</v>
      </c>
      <c r="L2229" t="s">
        <v>10158</v>
      </c>
      <c r="M2229" t="s">
        <v>10325</v>
      </c>
      <c r="N2229" t="s">
        <v>10671</v>
      </c>
      <c r="P2229" t="s">
        <v>10751</v>
      </c>
      <c r="Q2229" t="s">
        <v>10761</v>
      </c>
      <c r="R2229" t="s">
        <v>10827</v>
      </c>
      <c r="T2229">
        <v>6240</v>
      </c>
      <c r="U2229">
        <v>520</v>
      </c>
      <c r="V2229">
        <v>69</v>
      </c>
      <c r="W2229">
        <v>2</v>
      </c>
      <c r="X2229">
        <v>0</v>
      </c>
      <c r="Y2229" t="s">
        <v>10829</v>
      </c>
      <c r="Z2229">
        <v>36.9</v>
      </c>
      <c r="AA2229">
        <v>40.695268</v>
      </c>
      <c r="AB2229">
        <v>-73.808153</v>
      </c>
      <c r="AD2229" t="s">
        <v>10839</v>
      </c>
      <c r="AF2229" t="s">
        <v>10843</v>
      </c>
      <c r="AG2229" t="s">
        <v>10859</v>
      </c>
      <c r="AH2229" t="s">
        <v>10861</v>
      </c>
      <c r="AI2229">
        <v>234</v>
      </c>
      <c r="AJ2229" t="s">
        <v>10214</v>
      </c>
      <c r="AK2229" t="s">
        <v>10838</v>
      </c>
      <c r="AL2229">
        <v>1.25</v>
      </c>
      <c r="AM2229" t="s">
        <v>10892</v>
      </c>
      <c r="AN2229" t="s">
        <v>10951</v>
      </c>
      <c r="AO2229" t="s">
        <v>11017</v>
      </c>
      <c r="AP2229" t="s">
        <v>11070</v>
      </c>
      <c r="AR2229" t="s">
        <v>11274</v>
      </c>
      <c r="AS2229" t="s">
        <v>11594</v>
      </c>
      <c r="AT2229" t="s">
        <v>11641</v>
      </c>
      <c r="AX2229" t="s">
        <v>10838</v>
      </c>
      <c r="AY2229" t="s">
        <v>10829</v>
      </c>
      <c r="AZ2229" t="s">
        <v>11682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</row>
    <row r="2230" spans="1:59">
      <c r="A2230" s="1">
        <f>HYPERLINK("https://lsnyc.legalserver.org/matter/dynamic-profile/view/1906175","19-1906175")</f>
        <v>0</v>
      </c>
      <c r="B2230" t="s">
        <v>1901</v>
      </c>
      <c r="C2230" t="s">
        <v>6695</v>
      </c>
      <c r="D2230" t="s">
        <v>9981</v>
      </c>
      <c r="E2230" t="s">
        <v>10075</v>
      </c>
      <c r="F2230">
        <v>11378</v>
      </c>
      <c r="G2230" t="s">
        <v>10092</v>
      </c>
      <c r="H2230" t="s">
        <v>10103</v>
      </c>
      <c r="I2230" t="s">
        <v>10168</v>
      </c>
      <c r="J2230" t="s">
        <v>10212</v>
      </c>
      <c r="K2230" t="s">
        <v>10218</v>
      </c>
      <c r="L2230" t="s">
        <v>10096</v>
      </c>
      <c r="M2230" t="s">
        <v>10360</v>
      </c>
      <c r="N2230" t="s">
        <v>10695</v>
      </c>
      <c r="P2230" t="s">
        <v>10749</v>
      </c>
      <c r="Q2230" t="s">
        <v>10765</v>
      </c>
      <c r="R2230" t="s">
        <v>10821</v>
      </c>
      <c r="T2230">
        <v>0</v>
      </c>
      <c r="U2230">
        <v>0</v>
      </c>
      <c r="V2230">
        <v>20</v>
      </c>
      <c r="W2230">
        <v>2</v>
      </c>
      <c r="X2230">
        <v>1</v>
      </c>
      <c r="Y2230" t="s">
        <v>10829</v>
      </c>
      <c r="Z2230">
        <v>0</v>
      </c>
      <c r="AA2230">
        <v>40.717524</v>
      </c>
      <c r="AB2230">
        <v>-73.907259</v>
      </c>
      <c r="AD2230" t="s">
        <v>10840</v>
      </c>
      <c r="AG2230" t="s">
        <v>10858</v>
      </c>
      <c r="AH2230" t="s">
        <v>10862</v>
      </c>
      <c r="AI2230">
        <v>237</v>
      </c>
      <c r="AJ2230" t="s">
        <v>10212</v>
      </c>
      <c r="AK2230" t="s">
        <v>10838</v>
      </c>
      <c r="AL2230">
        <v>1.7</v>
      </c>
      <c r="AM2230" t="s">
        <v>10890</v>
      </c>
      <c r="AN2230" t="s">
        <v>10961</v>
      </c>
      <c r="AO2230" t="s">
        <v>11024</v>
      </c>
      <c r="AP2230" t="s">
        <v>11077</v>
      </c>
      <c r="AR2230" t="s">
        <v>11267</v>
      </c>
      <c r="AS2230" t="s">
        <v>11594</v>
      </c>
      <c r="AX2230" t="s">
        <v>10838</v>
      </c>
      <c r="AY2230" t="s">
        <v>10829</v>
      </c>
      <c r="AZ2230" t="s">
        <v>11681</v>
      </c>
      <c r="BA2230" t="s">
        <v>11741</v>
      </c>
      <c r="BB2230">
        <v>0</v>
      </c>
      <c r="BC2230">
        <v>0</v>
      </c>
      <c r="BD2230">
        <v>0</v>
      </c>
      <c r="BE2230">
        <v>0</v>
      </c>
      <c r="BF2230">
        <v>1</v>
      </c>
      <c r="BG2230">
        <v>0</v>
      </c>
    </row>
    <row r="2231" spans="1:59">
      <c r="A2231" s="1">
        <f>HYPERLINK("https://lsnyc.legalserver.org/matter/dynamic-profile/view/1906176","19-1906176")</f>
        <v>0</v>
      </c>
      <c r="B2231" t="s">
        <v>644</v>
      </c>
      <c r="C2231" t="s">
        <v>6696</v>
      </c>
      <c r="D2231" t="s">
        <v>9928</v>
      </c>
      <c r="E2231" t="s">
        <v>10075</v>
      </c>
      <c r="F2231">
        <v>11226</v>
      </c>
      <c r="G2231" t="s">
        <v>10093</v>
      </c>
      <c r="H2231" t="s">
        <v>10103</v>
      </c>
      <c r="I2231" t="s">
        <v>10168</v>
      </c>
      <c r="J2231" t="s">
        <v>10213</v>
      </c>
      <c r="K2231" t="s">
        <v>10217</v>
      </c>
      <c r="M2231" t="s">
        <v>10425</v>
      </c>
      <c r="N2231" t="s">
        <v>10667</v>
      </c>
      <c r="P2231" t="s">
        <v>10749</v>
      </c>
      <c r="Q2231" t="s">
        <v>10765</v>
      </c>
      <c r="R2231" t="s">
        <v>10824</v>
      </c>
      <c r="T2231">
        <v>33900</v>
      </c>
      <c r="U2231">
        <v>2825</v>
      </c>
      <c r="V2231">
        <v>63</v>
      </c>
      <c r="W2231">
        <v>4</v>
      </c>
      <c r="X2231">
        <v>1</v>
      </c>
      <c r="Z2231">
        <v>112.36</v>
      </c>
      <c r="AA2231">
        <v>40.651227</v>
      </c>
      <c r="AB2231">
        <v>-73.96163900000001</v>
      </c>
      <c r="AD2231" t="s">
        <v>10839</v>
      </c>
      <c r="AG2231" t="s">
        <v>10858</v>
      </c>
      <c r="AH2231" t="s">
        <v>10862</v>
      </c>
      <c r="AI2231">
        <v>239</v>
      </c>
      <c r="AJ2231" t="s">
        <v>10213</v>
      </c>
      <c r="AL2231">
        <v>7.5</v>
      </c>
      <c r="AM2231" t="s">
        <v>10888</v>
      </c>
      <c r="AN2231" t="s">
        <v>10932</v>
      </c>
      <c r="AO2231" t="s">
        <v>11008</v>
      </c>
      <c r="AP2231" t="s">
        <v>11050</v>
      </c>
      <c r="AQ2231" t="s">
        <v>11101</v>
      </c>
      <c r="AR2231" t="s">
        <v>11379</v>
      </c>
      <c r="AS2231" t="s">
        <v>11595</v>
      </c>
      <c r="BA2231" t="s">
        <v>11738</v>
      </c>
      <c r="BB2231">
        <v>0</v>
      </c>
      <c r="BC2231">
        <v>0</v>
      </c>
      <c r="BD2231">
        <v>0</v>
      </c>
      <c r="BE2231">
        <v>0</v>
      </c>
      <c r="BF2231">
        <v>5</v>
      </c>
      <c r="BG2231">
        <v>0</v>
      </c>
    </row>
    <row r="2232" spans="1:59">
      <c r="A2232" s="1">
        <f>HYPERLINK("https://lsnyc.legalserver.org/matter/dynamic-profile/view/1906177","19-1906177")</f>
        <v>0</v>
      </c>
      <c r="B2232" t="s">
        <v>1524</v>
      </c>
      <c r="C2232" t="s">
        <v>6697</v>
      </c>
      <c r="D2232" t="s">
        <v>9925</v>
      </c>
      <c r="E2232" t="s">
        <v>10075</v>
      </c>
      <c r="F2232">
        <v>10026</v>
      </c>
      <c r="G2232" t="s">
        <v>10089</v>
      </c>
      <c r="H2232" t="s">
        <v>10103</v>
      </c>
      <c r="I2232" t="s">
        <v>10168</v>
      </c>
      <c r="J2232" t="s">
        <v>10209</v>
      </c>
      <c r="K2232" t="s">
        <v>10217</v>
      </c>
      <c r="M2232" t="s">
        <v>10476</v>
      </c>
      <c r="N2232" t="s">
        <v>10702</v>
      </c>
      <c r="P2232" t="s">
        <v>10749</v>
      </c>
      <c r="Q2232" t="s">
        <v>10765</v>
      </c>
      <c r="R2232" t="s">
        <v>10824</v>
      </c>
      <c r="T2232">
        <v>9204</v>
      </c>
      <c r="U2232">
        <v>767</v>
      </c>
      <c r="V2232">
        <v>54</v>
      </c>
      <c r="W2232">
        <v>1</v>
      </c>
      <c r="X2232">
        <v>0</v>
      </c>
      <c r="Z2232">
        <v>73.69</v>
      </c>
      <c r="AA2232">
        <v>40.800765</v>
      </c>
      <c r="AB2232">
        <v>-73.952285</v>
      </c>
      <c r="AD2232" t="s">
        <v>10840</v>
      </c>
      <c r="AG2232" t="s">
        <v>10858</v>
      </c>
      <c r="AH2232" t="s">
        <v>10862</v>
      </c>
      <c r="AI2232">
        <v>236</v>
      </c>
      <c r="AJ2232" t="s">
        <v>10209</v>
      </c>
      <c r="AL2232">
        <v>4</v>
      </c>
      <c r="AM2232" t="s">
        <v>10887</v>
      </c>
      <c r="AN2232" t="s">
        <v>10936</v>
      </c>
      <c r="AO2232" t="s">
        <v>11016</v>
      </c>
      <c r="AP2232" t="s">
        <v>11076</v>
      </c>
      <c r="AR2232" t="s">
        <v>11274</v>
      </c>
      <c r="AS2232" t="s">
        <v>9925</v>
      </c>
      <c r="BA2232" t="s">
        <v>11738</v>
      </c>
      <c r="BB2232">
        <v>0</v>
      </c>
      <c r="BC2232">
        <v>0</v>
      </c>
      <c r="BD2232">
        <v>0</v>
      </c>
      <c r="BE2232">
        <v>0</v>
      </c>
      <c r="BF2232">
        <v>5</v>
      </c>
      <c r="BG2232">
        <v>0</v>
      </c>
    </row>
    <row r="2233" spans="1:59">
      <c r="A2233" s="1">
        <f>HYPERLINK("https://lsnyc.legalserver.org/matter/dynamic-profile/view/1906179","19-1906179")</f>
        <v>0</v>
      </c>
      <c r="B2233" t="s">
        <v>1902</v>
      </c>
      <c r="C2233" t="s">
        <v>6698</v>
      </c>
      <c r="D2233" t="s">
        <v>9928</v>
      </c>
      <c r="E2233" t="s">
        <v>10075</v>
      </c>
      <c r="F2233">
        <v>11203</v>
      </c>
      <c r="G2233" t="s">
        <v>10093</v>
      </c>
      <c r="H2233" t="s">
        <v>10103</v>
      </c>
      <c r="I2233" t="s">
        <v>10168</v>
      </c>
      <c r="J2233" t="s">
        <v>10213</v>
      </c>
      <c r="K2233" t="s">
        <v>10218</v>
      </c>
      <c r="L2233" t="s">
        <v>10143</v>
      </c>
      <c r="M2233" t="s">
        <v>10435</v>
      </c>
      <c r="N2233" t="s">
        <v>10665</v>
      </c>
      <c r="P2233" t="s">
        <v>10750</v>
      </c>
      <c r="Q2233" t="s">
        <v>10779</v>
      </c>
      <c r="R2233" t="s">
        <v>10824</v>
      </c>
      <c r="T2233">
        <v>26000</v>
      </c>
      <c r="U2233">
        <v>2166.67</v>
      </c>
      <c r="V2233">
        <v>49</v>
      </c>
      <c r="W2233">
        <v>1</v>
      </c>
      <c r="X2233">
        <v>1</v>
      </c>
      <c r="Y2233" t="s">
        <v>10829</v>
      </c>
      <c r="Z2233">
        <v>153.76</v>
      </c>
      <c r="AA2233">
        <v>40.646071</v>
      </c>
      <c r="AB2233">
        <v>-73.944053</v>
      </c>
      <c r="AD2233" t="s">
        <v>10840</v>
      </c>
      <c r="AG2233" t="s">
        <v>10858</v>
      </c>
      <c r="AH2233" t="s">
        <v>10861</v>
      </c>
      <c r="AI2233">
        <v>234</v>
      </c>
      <c r="AJ2233" t="s">
        <v>10214</v>
      </c>
      <c r="AK2233" t="s">
        <v>10838</v>
      </c>
      <c r="AL2233">
        <v>1.5</v>
      </c>
      <c r="AM2233" t="s">
        <v>10888</v>
      </c>
      <c r="AN2233" t="s">
        <v>10932</v>
      </c>
      <c r="AO2233" t="s">
        <v>11008</v>
      </c>
      <c r="AP2233" t="s">
        <v>11065</v>
      </c>
      <c r="AQ2233" t="s">
        <v>11207</v>
      </c>
      <c r="AR2233" t="s">
        <v>11257</v>
      </c>
      <c r="AS2233" t="s">
        <v>11595</v>
      </c>
      <c r="AT2233" t="s">
        <v>11642</v>
      </c>
      <c r="AX2233" t="s">
        <v>10838</v>
      </c>
      <c r="AY2233" t="s">
        <v>10829</v>
      </c>
      <c r="AZ2233" t="s">
        <v>11679</v>
      </c>
      <c r="BA2233" t="s">
        <v>11741</v>
      </c>
      <c r="BB2233">
        <v>0</v>
      </c>
      <c r="BC2233">
        <v>0</v>
      </c>
      <c r="BD2233">
        <v>0</v>
      </c>
      <c r="BE2233">
        <v>0</v>
      </c>
      <c r="BF2233">
        <v>1</v>
      </c>
      <c r="BG2233">
        <v>0</v>
      </c>
    </row>
    <row r="2234" spans="1:59">
      <c r="A2234" s="1">
        <f>HYPERLINK("https://lsnyc.legalserver.org/matter/dynamic-profile/view/1906180","19-1906180")</f>
        <v>0</v>
      </c>
      <c r="B2234" t="s">
        <v>1903</v>
      </c>
      <c r="C2234" t="s">
        <v>6699</v>
      </c>
      <c r="D2234" t="s">
        <v>9938</v>
      </c>
      <c r="E2234" t="s">
        <v>10075</v>
      </c>
      <c r="F2234">
        <v>11435</v>
      </c>
      <c r="G2234" t="s">
        <v>10092</v>
      </c>
      <c r="H2234" t="s">
        <v>10103</v>
      </c>
      <c r="I2234" t="s">
        <v>10168</v>
      </c>
      <c r="J2234" t="s">
        <v>10212</v>
      </c>
      <c r="K2234" t="s">
        <v>10217</v>
      </c>
      <c r="M2234" t="s">
        <v>10387</v>
      </c>
      <c r="N2234" t="s">
        <v>10650</v>
      </c>
      <c r="P2234" t="s">
        <v>10749</v>
      </c>
      <c r="Q2234" t="s">
        <v>10765</v>
      </c>
      <c r="R2234" t="s">
        <v>10824</v>
      </c>
      <c r="T2234">
        <v>37940</v>
      </c>
      <c r="U2234">
        <v>3161.67</v>
      </c>
      <c r="V2234">
        <v>42</v>
      </c>
      <c r="W2234">
        <v>4</v>
      </c>
      <c r="X2234">
        <v>3</v>
      </c>
      <c r="Z2234">
        <v>97.26000000000001</v>
      </c>
      <c r="AA2234">
        <v>40.68671</v>
      </c>
      <c r="AB2234">
        <v>-73.806904</v>
      </c>
      <c r="AD2234" t="s">
        <v>10839</v>
      </c>
      <c r="AG2234" t="s">
        <v>10858</v>
      </c>
      <c r="AH2234" t="s">
        <v>10862</v>
      </c>
      <c r="AI2234">
        <v>237</v>
      </c>
      <c r="AJ2234" t="s">
        <v>10212</v>
      </c>
      <c r="AL2234">
        <v>1.4</v>
      </c>
      <c r="AM2234" t="s">
        <v>10892</v>
      </c>
      <c r="AN2234" t="s">
        <v>10951</v>
      </c>
      <c r="AO2234" t="s">
        <v>11017</v>
      </c>
      <c r="AP2234" t="s">
        <v>11070</v>
      </c>
      <c r="AR2234" t="s">
        <v>11332</v>
      </c>
      <c r="AS2234" t="s">
        <v>11594</v>
      </c>
      <c r="AX2234" t="s">
        <v>10838</v>
      </c>
      <c r="BA2234" t="s">
        <v>11741</v>
      </c>
      <c r="BB2234">
        <v>0</v>
      </c>
      <c r="BC2234">
        <v>0</v>
      </c>
      <c r="BD2234">
        <v>0</v>
      </c>
      <c r="BE2234">
        <v>0</v>
      </c>
      <c r="BF2234">
        <v>1</v>
      </c>
      <c r="BG2234">
        <v>0</v>
      </c>
    </row>
    <row r="2235" spans="1:59">
      <c r="A2235" s="1">
        <f>HYPERLINK("https://lsnyc.legalserver.org/matter/dynamic-profile/view/1906181","19-1906181")</f>
        <v>0</v>
      </c>
      <c r="B2235" t="s">
        <v>1904</v>
      </c>
      <c r="C2235" t="s">
        <v>6700</v>
      </c>
      <c r="D2235" t="s">
        <v>9928</v>
      </c>
      <c r="E2235" t="s">
        <v>10075</v>
      </c>
      <c r="F2235">
        <v>11214</v>
      </c>
      <c r="G2235" t="s">
        <v>10093</v>
      </c>
      <c r="H2235" t="s">
        <v>10103</v>
      </c>
      <c r="I2235" t="s">
        <v>10168</v>
      </c>
      <c r="J2235" t="s">
        <v>10213</v>
      </c>
      <c r="K2235" t="s">
        <v>10217</v>
      </c>
      <c r="M2235" t="s">
        <v>10565</v>
      </c>
      <c r="N2235" t="s">
        <v>10664</v>
      </c>
      <c r="P2235" t="s">
        <v>10749</v>
      </c>
      <c r="Q2235" t="s">
        <v>10765</v>
      </c>
      <c r="R2235" t="s">
        <v>10821</v>
      </c>
      <c r="T2235">
        <v>16848</v>
      </c>
      <c r="U2235">
        <v>1404</v>
      </c>
      <c r="V2235">
        <v>50</v>
      </c>
      <c r="W2235">
        <v>4</v>
      </c>
      <c r="X2235">
        <v>1</v>
      </c>
      <c r="Z2235">
        <v>55.84</v>
      </c>
      <c r="AA2235">
        <v>40.599022</v>
      </c>
      <c r="AB2235">
        <v>-74.000151</v>
      </c>
      <c r="AD2235" t="s">
        <v>10839</v>
      </c>
      <c r="AG2235" t="s">
        <v>10858</v>
      </c>
      <c r="AH2235" t="s">
        <v>10861</v>
      </c>
      <c r="AI2235">
        <v>239</v>
      </c>
      <c r="AJ2235" t="s">
        <v>10213</v>
      </c>
      <c r="AL2235">
        <v>0</v>
      </c>
      <c r="AM2235" t="s">
        <v>10883</v>
      </c>
      <c r="AN2235" t="s">
        <v>10969</v>
      </c>
      <c r="AO2235" t="s">
        <v>11006</v>
      </c>
      <c r="AP2235" t="s">
        <v>11087</v>
      </c>
      <c r="AR2235" t="s">
        <v>11268</v>
      </c>
      <c r="AS2235" t="s">
        <v>11595</v>
      </c>
      <c r="BA2235" t="s">
        <v>11741</v>
      </c>
      <c r="BB2235">
        <v>0</v>
      </c>
      <c r="BC2235">
        <v>0</v>
      </c>
      <c r="BD2235">
        <v>0</v>
      </c>
      <c r="BE2235">
        <v>0</v>
      </c>
      <c r="BF2235">
        <v>1</v>
      </c>
      <c r="BG2235">
        <v>0</v>
      </c>
    </row>
    <row r="2236" spans="1:59">
      <c r="A2236" s="1">
        <f>HYPERLINK("https://lsnyc.legalserver.org/matter/dynamic-profile/view/1906182","19-1906182")</f>
        <v>0</v>
      </c>
      <c r="B2236" t="s">
        <v>1905</v>
      </c>
      <c r="C2236" t="s">
        <v>5200</v>
      </c>
      <c r="D2236" t="s">
        <v>9928</v>
      </c>
      <c r="E2236" t="s">
        <v>10075</v>
      </c>
      <c r="F2236">
        <v>11226</v>
      </c>
      <c r="G2236" t="s">
        <v>10093</v>
      </c>
      <c r="H2236" t="s">
        <v>10103</v>
      </c>
      <c r="I2236" t="s">
        <v>10168</v>
      </c>
      <c r="J2236" t="s">
        <v>10213</v>
      </c>
      <c r="K2236" t="s">
        <v>10217</v>
      </c>
      <c r="M2236" t="s">
        <v>10314</v>
      </c>
      <c r="N2236" t="s">
        <v>10667</v>
      </c>
      <c r="P2236" t="s">
        <v>10749</v>
      </c>
      <c r="Q2236" t="s">
        <v>10765</v>
      </c>
      <c r="R2236" t="s">
        <v>10824</v>
      </c>
      <c r="T2236">
        <v>50000</v>
      </c>
      <c r="U2236">
        <v>4166.67</v>
      </c>
      <c r="V2236">
        <v>32</v>
      </c>
      <c r="W2236">
        <v>2</v>
      </c>
      <c r="X2236">
        <v>3</v>
      </c>
      <c r="Z2236">
        <v>165.73</v>
      </c>
      <c r="AA2236">
        <v>40.64936</v>
      </c>
      <c r="AB2236">
        <v>-73.96032200000001</v>
      </c>
      <c r="AD2236" t="s">
        <v>10839</v>
      </c>
      <c r="AG2236" t="s">
        <v>10858</v>
      </c>
      <c r="AH2236" t="s">
        <v>10862</v>
      </c>
      <c r="AI2236">
        <v>239</v>
      </c>
      <c r="AJ2236" t="s">
        <v>10213</v>
      </c>
      <c r="AL2236">
        <v>4</v>
      </c>
      <c r="AM2236" t="s">
        <v>10888</v>
      </c>
      <c r="AN2236" t="s">
        <v>10932</v>
      </c>
      <c r="AO2236" t="s">
        <v>11008</v>
      </c>
      <c r="AP2236" t="s">
        <v>11050</v>
      </c>
      <c r="AQ2236" t="s">
        <v>11101</v>
      </c>
      <c r="AR2236" t="s">
        <v>11257</v>
      </c>
      <c r="AS2236" t="s">
        <v>11595</v>
      </c>
      <c r="BA2236" t="s">
        <v>11738</v>
      </c>
      <c r="BB2236">
        <v>0</v>
      </c>
      <c r="BC2236">
        <v>0</v>
      </c>
      <c r="BD2236">
        <v>0</v>
      </c>
      <c r="BE2236">
        <v>0</v>
      </c>
      <c r="BF2236">
        <v>5</v>
      </c>
      <c r="BG2236">
        <v>0</v>
      </c>
    </row>
    <row r="2237" spans="1:59">
      <c r="A2237" s="1">
        <f>HYPERLINK("https://lsnyc.legalserver.org/matter/dynamic-profile/view/1906183","19-1906183")</f>
        <v>0</v>
      </c>
      <c r="B2237" t="s">
        <v>1906</v>
      </c>
      <c r="C2237" t="s">
        <v>6701</v>
      </c>
      <c r="D2237" t="s">
        <v>9926</v>
      </c>
      <c r="E2237" t="s">
        <v>10075</v>
      </c>
      <c r="F2237">
        <v>10472</v>
      </c>
      <c r="G2237" t="s">
        <v>10090</v>
      </c>
      <c r="H2237" t="s">
        <v>10103</v>
      </c>
      <c r="I2237" t="s">
        <v>10169</v>
      </c>
      <c r="J2237" t="s">
        <v>10210</v>
      </c>
      <c r="K2237" t="s">
        <v>10218</v>
      </c>
      <c r="L2237" t="s">
        <v>10101</v>
      </c>
      <c r="M2237" t="s">
        <v>10333</v>
      </c>
      <c r="N2237" t="s">
        <v>10677</v>
      </c>
      <c r="P2237" t="s">
        <v>10757</v>
      </c>
      <c r="Q2237" t="s">
        <v>10789</v>
      </c>
      <c r="R2237" t="s">
        <v>10821</v>
      </c>
      <c r="T2237">
        <v>23052</v>
      </c>
      <c r="U2237">
        <v>1921</v>
      </c>
      <c r="V2237">
        <v>67</v>
      </c>
      <c r="W2237">
        <v>2</v>
      </c>
      <c r="X2237">
        <v>0</v>
      </c>
      <c r="Y2237" t="s">
        <v>10829</v>
      </c>
      <c r="Z2237">
        <v>136.32</v>
      </c>
      <c r="AA2237">
        <v>40.827522</v>
      </c>
      <c r="AB2237">
        <v>-73.881147</v>
      </c>
      <c r="AD2237" t="s">
        <v>10839</v>
      </c>
      <c r="AG2237" t="s">
        <v>10858</v>
      </c>
      <c r="AH2237" t="s">
        <v>10861</v>
      </c>
      <c r="AI2237">
        <v>234</v>
      </c>
      <c r="AJ2237" t="s">
        <v>10214</v>
      </c>
      <c r="AK2237" t="s">
        <v>10838</v>
      </c>
      <c r="AL2237">
        <v>0.45</v>
      </c>
      <c r="AM2237" t="s">
        <v>10884</v>
      </c>
      <c r="AN2237" t="s">
        <v>10968</v>
      </c>
      <c r="AO2237" t="s">
        <v>11001</v>
      </c>
      <c r="AP2237" t="s">
        <v>11062</v>
      </c>
      <c r="AR2237" t="s">
        <v>11300</v>
      </c>
      <c r="AS2237" t="s">
        <v>9926</v>
      </c>
      <c r="AT2237" t="s">
        <v>11641</v>
      </c>
      <c r="AX2237" t="s">
        <v>10838</v>
      </c>
      <c r="AY2237" t="s">
        <v>10829</v>
      </c>
      <c r="AZ2237" t="s">
        <v>11703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</row>
    <row r="2238" spans="1:59">
      <c r="A2238" s="1">
        <f>HYPERLINK("https://lsnyc.legalserver.org/matter/dynamic-profile/view/1906184","19-1906184")</f>
        <v>0</v>
      </c>
      <c r="B2238" t="s">
        <v>1907</v>
      </c>
      <c r="C2238" t="s">
        <v>6702</v>
      </c>
      <c r="D2238" t="s">
        <v>9928</v>
      </c>
      <c r="E2238" t="s">
        <v>10075</v>
      </c>
      <c r="F2238">
        <v>11221</v>
      </c>
      <c r="G2238" t="s">
        <v>10093</v>
      </c>
      <c r="H2238" t="s">
        <v>10103</v>
      </c>
      <c r="I2238" t="s">
        <v>10168</v>
      </c>
      <c r="J2238" t="s">
        <v>10213</v>
      </c>
      <c r="K2238" t="s">
        <v>10217</v>
      </c>
      <c r="M2238" t="s">
        <v>10531</v>
      </c>
      <c r="N2238" t="s">
        <v>10667</v>
      </c>
      <c r="P2238" t="s">
        <v>10749</v>
      </c>
      <c r="Q2238" t="s">
        <v>10765</v>
      </c>
      <c r="R2238" t="s">
        <v>10824</v>
      </c>
      <c r="T2238">
        <v>0</v>
      </c>
      <c r="U2238">
        <v>0</v>
      </c>
      <c r="V2238">
        <v>81</v>
      </c>
      <c r="W2238">
        <v>1</v>
      </c>
      <c r="X2238">
        <v>0</v>
      </c>
      <c r="Z2238">
        <v>0</v>
      </c>
      <c r="AA2238">
        <v>40.687601</v>
      </c>
      <c r="AB2238">
        <v>-73.916031</v>
      </c>
      <c r="AD2238" t="s">
        <v>10840</v>
      </c>
      <c r="AF2238" t="s">
        <v>10842</v>
      </c>
      <c r="AG2238" t="s">
        <v>10859</v>
      </c>
      <c r="AH2238" t="s">
        <v>10862</v>
      </c>
      <c r="AI2238">
        <v>239</v>
      </c>
      <c r="AJ2238" t="s">
        <v>10213</v>
      </c>
      <c r="AL2238">
        <v>18.1</v>
      </c>
      <c r="AM2238" t="s">
        <v>10889</v>
      </c>
      <c r="AN2238" t="s">
        <v>10920</v>
      </c>
      <c r="AO2238" t="s">
        <v>11011</v>
      </c>
      <c r="AP2238" t="s">
        <v>11058</v>
      </c>
      <c r="AR2238" t="s">
        <v>11267</v>
      </c>
      <c r="AS2238" t="s">
        <v>11595</v>
      </c>
      <c r="BA2238" t="s">
        <v>11738</v>
      </c>
      <c r="BB2238">
        <v>0</v>
      </c>
      <c r="BC2238">
        <v>0</v>
      </c>
      <c r="BD2238">
        <v>0</v>
      </c>
      <c r="BE2238">
        <v>0</v>
      </c>
      <c r="BF2238">
        <v>5</v>
      </c>
      <c r="BG2238">
        <v>0</v>
      </c>
    </row>
    <row r="2239" spans="1:59">
      <c r="A2239" s="1">
        <f>HYPERLINK("https://lsnyc.legalserver.org/matter/dynamic-profile/view/1906185","19-1906185")</f>
        <v>0</v>
      </c>
      <c r="B2239" t="s">
        <v>1908</v>
      </c>
      <c r="C2239" t="s">
        <v>6703</v>
      </c>
      <c r="D2239" t="s">
        <v>9929</v>
      </c>
      <c r="E2239" t="s">
        <v>10075</v>
      </c>
      <c r="F2239">
        <v>10308</v>
      </c>
      <c r="G2239" t="s">
        <v>10088</v>
      </c>
      <c r="H2239" t="s">
        <v>10103</v>
      </c>
      <c r="J2239" t="s">
        <v>10208</v>
      </c>
      <c r="K2239" t="s">
        <v>10217</v>
      </c>
      <c r="M2239" t="s">
        <v>10237</v>
      </c>
      <c r="N2239" t="s">
        <v>10701</v>
      </c>
      <c r="P2239" t="s">
        <v>10754</v>
      </c>
      <c r="Q2239" t="s">
        <v>10766</v>
      </c>
      <c r="R2239" t="s">
        <v>10825</v>
      </c>
      <c r="T2239">
        <v>0</v>
      </c>
      <c r="U2239">
        <v>0</v>
      </c>
      <c r="V2239">
        <v>27</v>
      </c>
      <c r="W2239">
        <v>1</v>
      </c>
      <c r="X2239">
        <v>1</v>
      </c>
      <c r="Z2239">
        <v>0</v>
      </c>
      <c r="AA2239">
        <v>40.545172</v>
      </c>
      <c r="AB2239">
        <v>-74.15663600000001</v>
      </c>
      <c r="AD2239" t="s">
        <v>10839</v>
      </c>
      <c r="AG2239" t="s">
        <v>10858</v>
      </c>
      <c r="AH2239" t="s">
        <v>10865</v>
      </c>
      <c r="AI2239">
        <v>285</v>
      </c>
      <c r="AJ2239" t="s">
        <v>10208</v>
      </c>
      <c r="AL2239">
        <v>0.7</v>
      </c>
      <c r="AM2239" t="s">
        <v>10883</v>
      </c>
      <c r="AN2239" t="s">
        <v>10915</v>
      </c>
      <c r="AO2239" t="s">
        <v>10999</v>
      </c>
      <c r="AP2239" t="s">
        <v>11044</v>
      </c>
      <c r="AR2239" t="s">
        <v>11267</v>
      </c>
      <c r="AS2239" t="s">
        <v>11593</v>
      </c>
      <c r="AT2239" t="s">
        <v>11641</v>
      </c>
      <c r="AX2239" t="s">
        <v>10838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</row>
    <row r="2240" spans="1:59">
      <c r="A2240" s="1">
        <f>HYPERLINK("https://lsnyc.legalserver.org/matter/dynamic-profile/view/1906186","19-1906186")</f>
        <v>0</v>
      </c>
      <c r="B2240" t="s">
        <v>1909</v>
      </c>
      <c r="C2240" t="s">
        <v>6704</v>
      </c>
      <c r="D2240" t="s">
        <v>9928</v>
      </c>
      <c r="E2240" t="s">
        <v>10075</v>
      </c>
      <c r="F2240">
        <v>11212</v>
      </c>
      <c r="G2240" t="s">
        <v>10090</v>
      </c>
      <c r="H2240" t="s">
        <v>10103</v>
      </c>
      <c r="I2240" t="s">
        <v>10168</v>
      </c>
      <c r="J2240" t="s">
        <v>10210</v>
      </c>
      <c r="K2240" t="s">
        <v>10218</v>
      </c>
      <c r="L2240" t="s">
        <v>10161</v>
      </c>
      <c r="M2240" t="s">
        <v>10327</v>
      </c>
      <c r="N2240" t="s">
        <v>10687</v>
      </c>
      <c r="P2240" t="s">
        <v>10749</v>
      </c>
      <c r="Q2240" t="s">
        <v>10765</v>
      </c>
      <c r="R2240" t="s">
        <v>10824</v>
      </c>
      <c r="T2240">
        <v>0</v>
      </c>
      <c r="U2240">
        <v>0</v>
      </c>
      <c r="V2240">
        <v>31</v>
      </c>
      <c r="W2240">
        <v>1</v>
      </c>
      <c r="X2240">
        <v>0</v>
      </c>
      <c r="Y2240" t="s">
        <v>10829</v>
      </c>
      <c r="Z2240">
        <v>0</v>
      </c>
      <c r="AA2240">
        <v>40.664015</v>
      </c>
      <c r="AB2240">
        <v>-73.913443</v>
      </c>
      <c r="AC2240" t="s">
        <v>10837</v>
      </c>
      <c r="AD2240" t="s">
        <v>10840</v>
      </c>
      <c r="AG2240" t="s">
        <v>10858</v>
      </c>
      <c r="AH2240" t="s">
        <v>10862</v>
      </c>
      <c r="AI2240">
        <v>230</v>
      </c>
      <c r="AJ2240" t="s">
        <v>10210</v>
      </c>
      <c r="AK2240" t="s">
        <v>10882</v>
      </c>
      <c r="AL2240">
        <v>3.25</v>
      </c>
      <c r="AM2240" t="s">
        <v>10888</v>
      </c>
      <c r="AN2240" t="s">
        <v>10922</v>
      </c>
      <c r="AO2240" t="s">
        <v>11012</v>
      </c>
      <c r="AP2240" t="s">
        <v>11064</v>
      </c>
      <c r="AR2240" t="s">
        <v>11267</v>
      </c>
      <c r="AS2240" t="s">
        <v>11595</v>
      </c>
      <c r="AT2240" t="s">
        <v>11642</v>
      </c>
      <c r="AX2240" t="s">
        <v>10838</v>
      </c>
      <c r="AY2240" t="s">
        <v>10829</v>
      </c>
      <c r="AZ2240" t="s">
        <v>11681</v>
      </c>
      <c r="BA2240" t="s">
        <v>11741</v>
      </c>
      <c r="BB2240">
        <v>0</v>
      </c>
      <c r="BC2240">
        <v>0</v>
      </c>
      <c r="BD2240">
        <v>0</v>
      </c>
      <c r="BE2240">
        <v>0</v>
      </c>
      <c r="BF2240">
        <v>1</v>
      </c>
      <c r="BG2240">
        <v>0</v>
      </c>
    </row>
    <row r="2241" spans="1:59">
      <c r="A2241" s="1">
        <f>HYPERLINK("https://lsnyc.legalserver.org/matter/dynamic-profile/view/1906188","19-1906188")</f>
        <v>0</v>
      </c>
      <c r="B2241" t="s">
        <v>1910</v>
      </c>
      <c r="C2241" t="s">
        <v>6705</v>
      </c>
      <c r="D2241" t="s">
        <v>9926</v>
      </c>
      <c r="E2241" t="s">
        <v>10075</v>
      </c>
      <c r="F2241">
        <v>10466</v>
      </c>
      <c r="G2241" t="s">
        <v>10090</v>
      </c>
      <c r="H2241" t="s">
        <v>10103</v>
      </c>
      <c r="I2241" t="s">
        <v>10168</v>
      </c>
      <c r="J2241" t="s">
        <v>10210</v>
      </c>
      <c r="K2241" t="s">
        <v>10217</v>
      </c>
      <c r="M2241" t="s">
        <v>10372</v>
      </c>
      <c r="N2241" t="s">
        <v>10704</v>
      </c>
      <c r="P2241" t="s">
        <v>10750</v>
      </c>
      <c r="Q2241" t="s">
        <v>10778</v>
      </c>
      <c r="R2241" t="s">
        <v>10821</v>
      </c>
      <c r="T2241">
        <v>4800</v>
      </c>
      <c r="U2241">
        <v>400</v>
      </c>
      <c r="V2241">
        <v>55</v>
      </c>
      <c r="W2241">
        <v>1</v>
      </c>
      <c r="X2241">
        <v>0</v>
      </c>
      <c r="Z2241">
        <v>38.43</v>
      </c>
      <c r="AA2241">
        <v>40.88484</v>
      </c>
      <c r="AB2241">
        <v>-73.847813</v>
      </c>
      <c r="AD2241" t="s">
        <v>10839</v>
      </c>
      <c r="AF2241" t="s">
        <v>10843</v>
      </c>
      <c r="AG2241" t="s">
        <v>10859</v>
      </c>
      <c r="AH2241" t="s">
        <v>10871</v>
      </c>
      <c r="AI2241">
        <v>234</v>
      </c>
      <c r="AJ2241" t="s">
        <v>10214</v>
      </c>
      <c r="AL2241">
        <v>5.5</v>
      </c>
      <c r="AM2241" t="s">
        <v>10893</v>
      </c>
      <c r="AN2241" t="s">
        <v>10956</v>
      </c>
      <c r="AO2241" t="s">
        <v>11010</v>
      </c>
      <c r="AP2241" t="s">
        <v>11085</v>
      </c>
      <c r="AR2241" t="s">
        <v>11311</v>
      </c>
      <c r="AS2241" t="s">
        <v>9926</v>
      </c>
      <c r="AT2241" t="s">
        <v>11641</v>
      </c>
      <c r="AX2241" t="s">
        <v>10838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</row>
    <row r="2242" spans="1:59">
      <c r="A2242" s="1">
        <f>HYPERLINK("https://lsnyc.legalserver.org/matter/dynamic-profile/view/1906189","19-1906189")</f>
        <v>0</v>
      </c>
      <c r="B2242" t="s">
        <v>1911</v>
      </c>
      <c r="C2242" t="s">
        <v>6706</v>
      </c>
      <c r="D2242" t="s">
        <v>9928</v>
      </c>
      <c r="E2242" t="s">
        <v>10075</v>
      </c>
      <c r="F2242">
        <v>11203</v>
      </c>
      <c r="G2242" t="s">
        <v>10093</v>
      </c>
      <c r="H2242" t="s">
        <v>10110</v>
      </c>
      <c r="I2242" t="s">
        <v>10168</v>
      </c>
      <c r="J2242" t="s">
        <v>10213</v>
      </c>
      <c r="K2242" t="s">
        <v>10217</v>
      </c>
      <c r="M2242" t="s">
        <v>10494</v>
      </c>
      <c r="N2242" t="s">
        <v>10664</v>
      </c>
      <c r="P2242" t="s">
        <v>10749</v>
      </c>
      <c r="Q2242" t="s">
        <v>10765</v>
      </c>
      <c r="R2242" t="s">
        <v>10824</v>
      </c>
      <c r="T2242">
        <v>10426</v>
      </c>
      <c r="U2242">
        <v>868.83</v>
      </c>
      <c r="V2242">
        <v>80</v>
      </c>
      <c r="W2242">
        <v>1</v>
      </c>
      <c r="X2242">
        <v>0</v>
      </c>
      <c r="Z2242">
        <v>83.47</v>
      </c>
      <c r="AA2242">
        <v>40.648922</v>
      </c>
      <c r="AB2242">
        <v>-73.944081</v>
      </c>
      <c r="AD2242" t="s">
        <v>10839</v>
      </c>
      <c r="AG2242" t="s">
        <v>10858</v>
      </c>
      <c r="AH2242" t="s">
        <v>10862</v>
      </c>
      <c r="AI2242">
        <v>239</v>
      </c>
      <c r="AJ2242" t="s">
        <v>10213</v>
      </c>
      <c r="AL2242">
        <v>1.3</v>
      </c>
      <c r="AM2242" t="s">
        <v>10888</v>
      </c>
      <c r="AN2242" t="s">
        <v>10932</v>
      </c>
      <c r="AO2242" t="s">
        <v>11008</v>
      </c>
      <c r="AP2242" t="s">
        <v>11065</v>
      </c>
      <c r="AR2242" t="s">
        <v>11268</v>
      </c>
      <c r="AS2242" t="s">
        <v>11595</v>
      </c>
      <c r="BA2242" t="s">
        <v>11742</v>
      </c>
      <c r="BB2242">
        <v>0</v>
      </c>
      <c r="BC2242">
        <v>0</v>
      </c>
      <c r="BD2242">
        <v>0</v>
      </c>
      <c r="BE2242">
        <v>0</v>
      </c>
      <c r="BF2242">
        <v>7</v>
      </c>
      <c r="BG2242">
        <v>0</v>
      </c>
    </row>
    <row r="2243" spans="1:59">
      <c r="A2243" s="1">
        <f>HYPERLINK("https://lsnyc.legalserver.org/matter/dynamic-profile/view/1906190","19-1906190")</f>
        <v>0</v>
      </c>
      <c r="B2243" t="s">
        <v>1912</v>
      </c>
      <c r="C2243" t="s">
        <v>5088</v>
      </c>
      <c r="D2243" t="s">
        <v>9926</v>
      </c>
      <c r="E2243" t="s">
        <v>10075</v>
      </c>
      <c r="F2243">
        <v>10460</v>
      </c>
      <c r="G2243" t="s">
        <v>10090</v>
      </c>
      <c r="H2243" t="s">
        <v>10103</v>
      </c>
      <c r="J2243" t="s">
        <v>10210</v>
      </c>
      <c r="K2243" t="s">
        <v>10217</v>
      </c>
      <c r="M2243" t="s">
        <v>10272</v>
      </c>
      <c r="N2243" t="s">
        <v>10650</v>
      </c>
      <c r="P2243" t="s">
        <v>10749</v>
      </c>
      <c r="Q2243" t="s">
        <v>10765</v>
      </c>
      <c r="R2243" t="s">
        <v>10824</v>
      </c>
      <c r="T2243">
        <v>9960</v>
      </c>
      <c r="U2243">
        <v>830</v>
      </c>
      <c r="V2243">
        <v>75</v>
      </c>
      <c r="W2243">
        <v>1</v>
      </c>
      <c r="X2243">
        <v>0</v>
      </c>
      <c r="Z2243">
        <v>79.73999999999999</v>
      </c>
      <c r="AA2243">
        <v>40.846284</v>
      </c>
      <c r="AB2243">
        <v>-73.884609</v>
      </c>
      <c r="AD2243" t="s">
        <v>10839</v>
      </c>
      <c r="AG2243" t="s">
        <v>10858</v>
      </c>
      <c r="AH2243" t="s">
        <v>10862</v>
      </c>
      <c r="AI2243">
        <v>230</v>
      </c>
      <c r="AJ2243" t="s">
        <v>10210</v>
      </c>
      <c r="AL2243">
        <v>5</v>
      </c>
      <c r="AM2243" t="s">
        <v>10884</v>
      </c>
      <c r="AN2243" t="s">
        <v>10918</v>
      </c>
      <c r="AO2243" t="s">
        <v>11000</v>
      </c>
      <c r="AP2243" t="s">
        <v>11056</v>
      </c>
      <c r="AR2243" t="s">
        <v>11268</v>
      </c>
      <c r="AS2243" t="s">
        <v>9926</v>
      </c>
      <c r="AT2243" t="s">
        <v>11641</v>
      </c>
      <c r="BA2243" t="s">
        <v>11738</v>
      </c>
      <c r="BB2243">
        <v>0</v>
      </c>
      <c r="BC2243">
        <v>0</v>
      </c>
      <c r="BD2243">
        <v>0</v>
      </c>
      <c r="BE2243">
        <v>0</v>
      </c>
      <c r="BF2243">
        <v>5</v>
      </c>
      <c r="BG2243">
        <v>0</v>
      </c>
    </row>
    <row r="2244" spans="1:59">
      <c r="A2244" s="1">
        <f>HYPERLINK("https://lsnyc.legalserver.org/matter/dynamic-profile/view/1906191","19-1906191")</f>
        <v>0</v>
      </c>
      <c r="B2244" t="s">
        <v>1909</v>
      </c>
      <c r="C2244" t="s">
        <v>6704</v>
      </c>
      <c r="D2244" t="s">
        <v>9928</v>
      </c>
      <c r="E2244" t="s">
        <v>10075</v>
      </c>
      <c r="F2244">
        <v>11212</v>
      </c>
      <c r="G2244" t="s">
        <v>10090</v>
      </c>
      <c r="H2244" t="s">
        <v>10103</v>
      </c>
      <c r="I2244" t="s">
        <v>10168</v>
      </c>
      <c r="J2244" t="s">
        <v>10210</v>
      </c>
      <c r="K2244" t="s">
        <v>10218</v>
      </c>
      <c r="L2244" t="s">
        <v>10103</v>
      </c>
      <c r="M2244" t="s">
        <v>10334</v>
      </c>
      <c r="N2244" t="s">
        <v>10687</v>
      </c>
      <c r="P2244" t="s">
        <v>10751</v>
      </c>
      <c r="Q2244" t="s">
        <v>10761</v>
      </c>
      <c r="R2244" t="s">
        <v>10824</v>
      </c>
      <c r="T2244">
        <v>0</v>
      </c>
      <c r="U2244">
        <v>0</v>
      </c>
      <c r="V2244">
        <v>31</v>
      </c>
      <c r="W2244">
        <v>1</v>
      </c>
      <c r="X2244">
        <v>0</v>
      </c>
      <c r="Y2244" t="s">
        <v>10829</v>
      </c>
      <c r="Z2244">
        <v>0</v>
      </c>
      <c r="AA2244">
        <v>40.664015</v>
      </c>
      <c r="AB2244">
        <v>-73.913443</v>
      </c>
      <c r="AC2244" t="s">
        <v>10837</v>
      </c>
      <c r="AD2244" t="s">
        <v>10840</v>
      </c>
      <c r="AG2244" t="s">
        <v>10858</v>
      </c>
      <c r="AH2244" t="s">
        <v>10862</v>
      </c>
      <c r="AI2244">
        <v>230</v>
      </c>
      <c r="AJ2244" t="s">
        <v>10210</v>
      </c>
      <c r="AK2244" t="s">
        <v>10838</v>
      </c>
      <c r="AL2244">
        <v>0.5</v>
      </c>
      <c r="AM2244" t="s">
        <v>10888</v>
      </c>
      <c r="AN2244" t="s">
        <v>10922</v>
      </c>
      <c r="AO2244" t="s">
        <v>11012</v>
      </c>
      <c r="AP2244" t="s">
        <v>11064</v>
      </c>
      <c r="AR2244" t="s">
        <v>11267</v>
      </c>
      <c r="AS2244" t="s">
        <v>11595</v>
      </c>
      <c r="AT2244" t="s">
        <v>11642</v>
      </c>
      <c r="AX2244" t="s">
        <v>10838</v>
      </c>
      <c r="AY2244" t="s">
        <v>10829</v>
      </c>
      <c r="AZ2244" t="s">
        <v>11682</v>
      </c>
      <c r="BA2244" t="s">
        <v>11741</v>
      </c>
      <c r="BB2244">
        <v>0</v>
      </c>
      <c r="BC2244">
        <v>0</v>
      </c>
      <c r="BD2244">
        <v>0</v>
      </c>
      <c r="BE2244">
        <v>0</v>
      </c>
      <c r="BF2244">
        <v>1</v>
      </c>
      <c r="BG2244">
        <v>0</v>
      </c>
    </row>
    <row r="2245" spans="1:59">
      <c r="A2245" s="1">
        <f>HYPERLINK("https://lsnyc.legalserver.org/matter/dynamic-profile/view/1906192","19-1906192")</f>
        <v>0</v>
      </c>
      <c r="B2245" t="s">
        <v>1913</v>
      </c>
      <c r="C2245" t="s">
        <v>6707</v>
      </c>
      <c r="D2245" t="s">
        <v>9926</v>
      </c>
      <c r="E2245" t="s">
        <v>10075</v>
      </c>
      <c r="F2245">
        <v>10474</v>
      </c>
      <c r="G2245" t="s">
        <v>10093</v>
      </c>
      <c r="H2245" t="s">
        <v>10103</v>
      </c>
      <c r="I2245" t="s">
        <v>10168</v>
      </c>
      <c r="J2245" t="s">
        <v>10213</v>
      </c>
      <c r="K2245" t="s">
        <v>10218</v>
      </c>
      <c r="L2245" t="s">
        <v>10147</v>
      </c>
      <c r="M2245" t="s">
        <v>10436</v>
      </c>
      <c r="N2245" t="s">
        <v>10710</v>
      </c>
      <c r="P2245" t="s">
        <v>10750</v>
      </c>
      <c r="Q2245" t="s">
        <v>10760</v>
      </c>
      <c r="R2245" t="s">
        <v>10821</v>
      </c>
      <c r="T2245">
        <v>16908</v>
      </c>
      <c r="U2245">
        <v>1409</v>
      </c>
      <c r="V2245">
        <v>60</v>
      </c>
      <c r="W2245">
        <v>1</v>
      </c>
      <c r="X2245">
        <v>0</v>
      </c>
      <c r="Y2245" t="s">
        <v>10829</v>
      </c>
      <c r="Z2245">
        <v>135.37</v>
      </c>
      <c r="AA2245">
        <v>40.813578</v>
      </c>
      <c r="AB2245">
        <v>-73.890726</v>
      </c>
      <c r="AD2245" t="s">
        <v>10839</v>
      </c>
      <c r="AG2245" t="s">
        <v>10858</v>
      </c>
      <c r="AH2245" t="s">
        <v>10861</v>
      </c>
      <c r="AI2245">
        <v>234</v>
      </c>
      <c r="AJ2245" t="s">
        <v>10214</v>
      </c>
      <c r="AK2245" t="s">
        <v>10838</v>
      </c>
      <c r="AL2245">
        <v>0.5</v>
      </c>
      <c r="AM2245" t="s">
        <v>10884</v>
      </c>
      <c r="AN2245" t="s">
        <v>10924</v>
      </c>
      <c r="AO2245" t="s">
        <v>11002</v>
      </c>
      <c r="AP2245" t="s">
        <v>11062</v>
      </c>
      <c r="AR2245" t="s">
        <v>11339</v>
      </c>
      <c r="AS2245" t="s">
        <v>9926</v>
      </c>
      <c r="AT2245" t="s">
        <v>11641</v>
      </c>
      <c r="AX2245" t="s">
        <v>10838</v>
      </c>
      <c r="AY2245" t="s">
        <v>10829</v>
      </c>
      <c r="AZ2245" t="s">
        <v>11679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</row>
    <row r="2246" spans="1:59">
      <c r="A2246" s="1">
        <f>HYPERLINK("https://lsnyc.legalserver.org/matter/dynamic-profile/view/1906193","19-1906193")</f>
        <v>0</v>
      </c>
      <c r="B2246" t="s">
        <v>1914</v>
      </c>
      <c r="C2246" t="s">
        <v>6708</v>
      </c>
      <c r="D2246" t="s">
        <v>9926</v>
      </c>
      <c r="E2246" t="s">
        <v>10075</v>
      </c>
      <c r="F2246">
        <v>10459</v>
      </c>
      <c r="G2246" t="s">
        <v>10091</v>
      </c>
      <c r="H2246" t="s">
        <v>10103</v>
      </c>
      <c r="I2246" t="s">
        <v>10169</v>
      </c>
      <c r="J2246" t="s">
        <v>10214</v>
      </c>
      <c r="K2246" t="s">
        <v>10217</v>
      </c>
      <c r="M2246" t="s">
        <v>10286</v>
      </c>
      <c r="N2246" t="s">
        <v>10671</v>
      </c>
      <c r="P2246" t="s">
        <v>10752</v>
      </c>
      <c r="Q2246" t="s">
        <v>10762</v>
      </c>
      <c r="R2246" t="s">
        <v>10821</v>
      </c>
      <c r="T2246">
        <v>22116</v>
      </c>
      <c r="U2246">
        <v>1843</v>
      </c>
      <c r="V2246">
        <v>69</v>
      </c>
      <c r="W2246">
        <v>1</v>
      </c>
      <c r="X2246">
        <v>0</v>
      </c>
      <c r="Z2246">
        <v>177.07</v>
      </c>
      <c r="AA2246">
        <v>40.822649</v>
      </c>
      <c r="AB2246">
        <v>-73.89981400000001</v>
      </c>
      <c r="AD2246" t="s">
        <v>10839</v>
      </c>
      <c r="AG2246" t="s">
        <v>10858</v>
      </c>
      <c r="AH2246" t="s">
        <v>10861</v>
      </c>
      <c r="AI2246">
        <v>234</v>
      </c>
      <c r="AJ2246" t="s">
        <v>10214</v>
      </c>
      <c r="AL2246">
        <v>0.5</v>
      </c>
      <c r="AM2246" t="s">
        <v>10884</v>
      </c>
      <c r="AN2246" t="s">
        <v>10918</v>
      </c>
      <c r="AO2246" t="s">
        <v>11001</v>
      </c>
      <c r="AP2246" t="s">
        <v>11062</v>
      </c>
      <c r="AR2246" t="s">
        <v>11345</v>
      </c>
      <c r="AS2246" t="s">
        <v>9926</v>
      </c>
      <c r="AT2246" t="s">
        <v>11641</v>
      </c>
      <c r="AX2246" t="s">
        <v>10838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</row>
    <row r="2247" spans="1:59">
      <c r="A2247" s="1">
        <f>HYPERLINK("https://lsnyc.legalserver.org/matter/dynamic-profile/view/1906194","19-1906194")</f>
        <v>0</v>
      </c>
      <c r="B2247" t="s">
        <v>1915</v>
      </c>
      <c r="C2247" t="s">
        <v>6709</v>
      </c>
      <c r="D2247" t="s">
        <v>9928</v>
      </c>
      <c r="E2247" t="s">
        <v>10075</v>
      </c>
      <c r="F2247">
        <v>11206</v>
      </c>
      <c r="G2247" t="s">
        <v>10093</v>
      </c>
      <c r="H2247" t="s">
        <v>10103</v>
      </c>
      <c r="I2247" t="s">
        <v>10168</v>
      </c>
      <c r="J2247" t="s">
        <v>10213</v>
      </c>
      <c r="K2247" t="s">
        <v>10217</v>
      </c>
      <c r="M2247" t="s">
        <v>10457</v>
      </c>
      <c r="N2247" t="s">
        <v>10698</v>
      </c>
      <c r="P2247" t="s">
        <v>10749</v>
      </c>
      <c r="Q2247" t="s">
        <v>10765</v>
      </c>
      <c r="R2247" t="s">
        <v>10820</v>
      </c>
      <c r="T2247">
        <v>12000</v>
      </c>
      <c r="U2247">
        <v>1000</v>
      </c>
      <c r="V2247">
        <v>36</v>
      </c>
      <c r="W2247">
        <v>1</v>
      </c>
      <c r="X2247">
        <v>0</v>
      </c>
      <c r="Z2247">
        <v>96.08</v>
      </c>
      <c r="AA2247">
        <v>40.708321</v>
      </c>
      <c r="AB2247">
        <v>-73.94568700000001</v>
      </c>
      <c r="AD2247" t="s">
        <v>10840</v>
      </c>
      <c r="AG2247" t="s">
        <v>10858</v>
      </c>
      <c r="AH2247" t="s">
        <v>10861</v>
      </c>
      <c r="AI2247">
        <v>234</v>
      </c>
      <c r="AJ2247" t="s">
        <v>10214</v>
      </c>
      <c r="AL2247">
        <v>6.25</v>
      </c>
      <c r="AM2247" t="s">
        <v>10886</v>
      </c>
      <c r="AN2247" t="s">
        <v>10942</v>
      </c>
      <c r="AO2247" t="s">
        <v>11011</v>
      </c>
      <c r="AP2247" t="s">
        <v>11071</v>
      </c>
      <c r="AR2247" t="s">
        <v>11276</v>
      </c>
      <c r="AS2247" t="s">
        <v>11595</v>
      </c>
      <c r="AT2247" t="s">
        <v>11642</v>
      </c>
      <c r="AX2247" t="s">
        <v>10837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</row>
    <row r="2248" spans="1:59">
      <c r="A2248" s="1">
        <f>HYPERLINK("https://lsnyc.legalserver.org/matter/dynamic-profile/view/1906195","19-1906195")</f>
        <v>0</v>
      </c>
      <c r="B2248" t="s">
        <v>1916</v>
      </c>
      <c r="C2248" t="s">
        <v>6710</v>
      </c>
      <c r="D2248" t="s">
        <v>9928</v>
      </c>
      <c r="E2248" t="s">
        <v>10075</v>
      </c>
      <c r="F2248">
        <v>11221</v>
      </c>
      <c r="G2248" t="s">
        <v>10093</v>
      </c>
      <c r="H2248" t="s">
        <v>10103</v>
      </c>
      <c r="I2248" t="s">
        <v>10168</v>
      </c>
      <c r="J2248" t="s">
        <v>10213</v>
      </c>
      <c r="K2248" t="s">
        <v>10217</v>
      </c>
      <c r="M2248" t="s">
        <v>10500</v>
      </c>
      <c r="N2248" t="s">
        <v>10667</v>
      </c>
      <c r="P2248" t="s">
        <v>10749</v>
      </c>
      <c r="Q2248" t="s">
        <v>10765</v>
      </c>
      <c r="R2248" t="s">
        <v>10824</v>
      </c>
      <c r="T2248">
        <v>4800</v>
      </c>
      <c r="U2248">
        <v>400</v>
      </c>
      <c r="V2248">
        <v>25</v>
      </c>
      <c r="W2248">
        <v>1</v>
      </c>
      <c r="X2248">
        <v>0</v>
      </c>
      <c r="Z2248">
        <v>38.43</v>
      </c>
      <c r="AA2248">
        <v>40.68549</v>
      </c>
      <c r="AB2248">
        <v>-73.929794</v>
      </c>
      <c r="AD2248" t="s">
        <v>10840</v>
      </c>
      <c r="AG2248" t="s">
        <v>10858</v>
      </c>
      <c r="AH2248" t="s">
        <v>10862</v>
      </c>
      <c r="AI2248">
        <v>239</v>
      </c>
      <c r="AJ2248" t="s">
        <v>10213</v>
      </c>
      <c r="AL2248">
        <v>0</v>
      </c>
      <c r="AM2248" t="s">
        <v>10889</v>
      </c>
      <c r="AN2248" t="s">
        <v>10914</v>
      </c>
      <c r="AO2248" t="s">
        <v>11007</v>
      </c>
      <c r="AP2248" t="s">
        <v>11052</v>
      </c>
      <c r="AR2248" t="s">
        <v>11276</v>
      </c>
      <c r="AS2248" t="s">
        <v>11595</v>
      </c>
      <c r="BA2248" t="s">
        <v>11742</v>
      </c>
      <c r="BB2248">
        <v>0</v>
      </c>
      <c r="BC2248">
        <v>0</v>
      </c>
      <c r="BD2248">
        <v>0</v>
      </c>
      <c r="BE2248">
        <v>0</v>
      </c>
      <c r="BF2248">
        <v>7</v>
      </c>
      <c r="BG2248">
        <v>0</v>
      </c>
    </row>
    <row r="2249" spans="1:59">
      <c r="A2249" s="1">
        <f>HYPERLINK("https://lsnyc.legalserver.org/matter/dynamic-profile/view/1906197","19-1906197")</f>
        <v>0</v>
      </c>
      <c r="B2249" t="s">
        <v>1917</v>
      </c>
      <c r="C2249" t="s">
        <v>6711</v>
      </c>
      <c r="D2249" t="s">
        <v>9931</v>
      </c>
      <c r="E2249" t="s">
        <v>10075</v>
      </c>
      <c r="F2249">
        <v>11358</v>
      </c>
      <c r="G2249" t="s">
        <v>10092</v>
      </c>
      <c r="H2249" t="s">
        <v>10103</v>
      </c>
      <c r="J2249" t="s">
        <v>10212</v>
      </c>
      <c r="K2249" t="s">
        <v>10218</v>
      </c>
      <c r="L2249" t="s">
        <v>10220</v>
      </c>
      <c r="M2249" t="s">
        <v>10350</v>
      </c>
      <c r="N2249" t="s">
        <v>10692</v>
      </c>
      <c r="P2249" t="s">
        <v>10754</v>
      </c>
      <c r="Q2249" t="s">
        <v>10775</v>
      </c>
      <c r="R2249" t="s">
        <v>10827</v>
      </c>
      <c r="T2249">
        <v>24000</v>
      </c>
      <c r="U2249">
        <v>2000</v>
      </c>
      <c r="V2249">
        <v>34</v>
      </c>
      <c r="W2249">
        <v>1</v>
      </c>
      <c r="X2249">
        <v>0</v>
      </c>
      <c r="Y2249" t="s">
        <v>10830</v>
      </c>
      <c r="Z2249">
        <v>192.15</v>
      </c>
      <c r="AA2249">
        <v>40.76442</v>
      </c>
      <c r="AB2249">
        <v>-73.806479</v>
      </c>
      <c r="AD2249" t="s">
        <v>10839</v>
      </c>
      <c r="AF2249" t="s">
        <v>10843</v>
      </c>
      <c r="AG2249" t="s">
        <v>10859</v>
      </c>
      <c r="AH2249" t="s">
        <v>10865</v>
      </c>
      <c r="AI2249">
        <v>237</v>
      </c>
      <c r="AJ2249" t="s">
        <v>10212</v>
      </c>
      <c r="AK2249" t="s">
        <v>10837</v>
      </c>
      <c r="AL2249">
        <v>7.3</v>
      </c>
      <c r="AM2249" t="s">
        <v>10890</v>
      </c>
      <c r="AN2249" t="s">
        <v>10927</v>
      </c>
      <c r="AO2249" t="s">
        <v>11022</v>
      </c>
      <c r="AP2249" t="s">
        <v>11080</v>
      </c>
      <c r="AR2249" t="s">
        <v>11257</v>
      </c>
      <c r="AS2249" t="s">
        <v>11594</v>
      </c>
      <c r="AY2249" t="s">
        <v>10830</v>
      </c>
      <c r="AZ2249" t="s">
        <v>11683</v>
      </c>
      <c r="BA2249" t="s">
        <v>11740</v>
      </c>
      <c r="BB2249">
        <v>0</v>
      </c>
      <c r="BC2249">
        <v>0</v>
      </c>
      <c r="BD2249">
        <v>0</v>
      </c>
      <c r="BE2249">
        <v>0</v>
      </c>
      <c r="BF2249">
        <v>2</v>
      </c>
      <c r="BG2249">
        <v>0</v>
      </c>
    </row>
    <row r="2250" spans="1:59">
      <c r="A2250" s="1">
        <f>HYPERLINK("https://lsnyc.legalserver.org/matter/dynamic-profile/view/1906198","19-1906198")</f>
        <v>0</v>
      </c>
      <c r="B2250" t="s">
        <v>1918</v>
      </c>
      <c r="C2250" t="s">
        <v>6712</v>
      </c>
      <c r="D2250" t="s">
        <v>9925</v>
      </c>
      <c r="E2250" t="s">
        <v>10075</v>
      </c>
      <c r="F2250">
        <v>10003</v>
      </c>
      <c r="G2250" t="s">
        <v>10091</v>
      </c>
      <c r="H2250" t="s">
        <v>10103</v>
      </c>
      <c r="I2250" t="s">
        <v>10168</v>
      </c>
      <c r="J2250" t="s">
        <v>10211</v>
      </c>
      <c r="K2250" t="s">
        <v>10218</v>
      </c>
      <c r="L2250" t="s">
        <v>10223</v>
      </c>
      <c r="M2250" t="s">
        <v>10231</v>
      </c>
      <c r="N2250" t="s">
        <v>10647</v>
      </c>
      <c r="P2250" t="s">
        <v>10750</v>
      </c>
      <c r="Q2250" t="s">
        <v>10760</v>
      </c>
      <c r="R2250" t="s">
        <v>10825</v>
      </c>
      <c r="T2250">
        <v>22200</v>
      </c>
      <c r="U2250">
        <v>1850</v>
      </c>
      <c r="V2250">
        <v>50</v>
      </c>
      <c r="W2250">
        <v>2</v>
      </c>
      <c r="X2250">
        <v>1</v>
      </c>
      <c r="Y2250" t="s">
        <v>10829</v>
      </c>
      <c r="Z2250">
        <v>104.08</v>
      </c>
      <c r="AA2250">
        <v>40.725936</v>
      </c>
      <c r="AB2250">
        <v>-73.99037199999999</v>
      </c>
      <c r="AD2250" t="s">
        <v>10840</v>
      </c>
      <c r="AG2250" t="s">
        <v>10858</v>
      </c>
      <c r="AH2250" t="s">
        <v>10861</v>
      </c>
      <c r="AI2250">
        <v>234</v>
      </c>
      <c r="AJ2250" t="s">
        <v>10214</v>
      </c>
      <c r="AK2250" t="s">
        <v>10882</v>
      </c>
      <c r="AL2250">
        <v>2.45</v>
      </c>
      <c r="AM2250" t="s">
        <v>10891</v>
      </c>
      <c r="AN2250" t="s">
        <v>10950</v>
      </c>
      <c r="AO2250" t="s">
        <v>11021</v>
      </c>
      <c r="AP2250" t="s">
        <v>11048</v>
      </c>
      <c r="AR2250" t="s">
        <v>11276</v>
      </c>
      <c r="AS2250" t="s">
        <v>9925</v>
      </c>
      <c r="AT2250" t="s">
        <v>11642</v>
      </c>
      <c r="AX2250" t="s">
        <v>10838</v>
      </c>
      <c r="AY2250" t="s">
        <v>10829</v>
      </c>
      <c r="AZ2250" t="s">
        <v>11679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</row>
    <row r="2251" spans="1:59">
      <c r="A2251" s="1">
        <f>HYPERLINK("https://lsnyc.legalserver.org/matter/dynamic-profile/view/1906199","19-1906199")</f>
        <v>0</v>
      </c>
      <c r="B2251" t="s">
        <v>1919</v>
      </c>
      <c r="C2251" t="s">
        <v>6713</v>
      </c>
      <c r="D2251" t="s">
        <v>9928</v>
      </c>
      <c r="E2251" t="s">
        <v>10075</v>
      </c>
      <c r="F2251">
        <v>11215</v>
      </c>
      <c r="G2251" t="s">
        <v>10093</v>
      </c>
      <c r="H2251" t="s">
        <v>10103</v>
      </c>
      <c r="I2251" t="s">
        <v>10168</v>
      </c>
      <c r="J2251" t="s">
        <v>10213</v>
      </c>
      <c r="K2251" t="s">
        <v>10217</v>
      </c>
      <c r="M2251" t="s">
        <v>10304</v>
      </c>
      <c r="N2251" t="s">
        <v>10671</v>
      </c>
      <c r="P2251" t="s">
        <v>10749</v>
      </c>
      <c r="Q2251" t="s">
        <v>10765</v>
      </c>
      <c r="R2251" t="s">
        <v>10820</v>
      </c>
      <c r="T2251">
        <v>10596</v>
      </c>
      <c r="U2251">
        <v>883</v>
      </c>
      <c r="V2251">
        <v>54</v>
      </c>
      <c r="W2251">
        <v>1</v>
      </c>
      <c r="X2251">
        <v>0</v>
      </c>
      <c r="Z2251">
        <v>84.84</v>
      </c>
      <c r="AA2251">
        <v>40.668447</v>
      </c>
      <c r="AB2251">
        <v>-73.984431</v>
      </c>
      <c r="AD2251" t="s">
        <v>10839</v>
      </c>
      <c r="AG2251" t="s">
        <v>10858</v>
      </c>
      <c r="AH2251" t="s">
        <v>10861</v>
      </c>
      <c r="AI2251">
        <v>234</v>
      </c>
      <c r="AJ2251" t="s">
        <v>10214</v>
      </c>
      <c r="AL2251">
        <v>1</v>
      </c>
      <c r="AM2251" t="s">
        <v>10886</v>
      </c>
      <c r="AN2251" t="s">
        <v>10917</v>
      </c>
      <c r="AO2251" t="s">
        <v>11008</v>
      </c>
      <c r="AP2251" t="s">
        <v>11059</v>
      </c>
      <c r="AR2251" t="s">
        <v>11298</v>
      </c>
      <c r="AS2251" t="s">
        <v>11595</v>
      </c>
      <c r="AT2251" t="s">
        <v>11641</v>
      </c>
      <c r="AX2251" t="s">
        <v>10838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</row>
    <row r="2252" spans="1:59">
      <c r="A2252" s="1">
        <f>HYPERLINK("https://lsnyc.legalserver.org/matter/dynamic-profile/view/1906200","19-1906200")</f>
        <v>0</v>
      </c>
      <c r="B2252" t="s">
        <v>1920</v>
      </c>
      <c r="C2252" t="s">
        <v>6714</v>
      </c>
      <c r="D2252" t="s">
        <v>9936</v>
      </c>
      <c r="E2252" t="s">
        <v>10075</v>
      </c>
      <c r="F2252">
        <v>11102</v>
      </c>
      <c r="G2252" t="s">
        <v>10092</v>
      </c>
      <c r="H2252" t="s">
        <v>10103</v>
      </c>
      <c r="J2252" t="s">
        <v>10212</v>
      </c>
      <c r="K2252" t="s">
        <v>10218</v>
      </c>
      <c r="L2252" t="s">
        <v>10116</v>
      </c>
      <c r="M2252" t="s">
        <v>10350</v>
      </c>
      <c r="N2252" t="s">
        <v>10692</v>
      </c>
      <c r="P2252" t="s">
        <v>10754</v>
      </c>
      <c r="Q2252" t="s">
        <v>10777</v>
      </c>
      <c r="R2252" t="s">
        <v>10821</v>
      </c>
      <c r="T2252">
        <v>15600</v>
      </c>
      <c r="U2252">
        <v>1300</v>
      </c>
      <c r="V2252">
        <v>39</v>
      </c>
      <c r="W2252">
        <v>3</v>
      </c>
      <c r="X2252">
        <v>4</v>
      </c>
      <c r="Y2252" t="s">
        <v>10829</v>
      </c>
      <c r="Z2252">
        <v>39.99</v>
      </c>
      <c r="AA2252">
        <v>40.77249</v>
      </c>
      <c r="AB2252">
        <v>-73.936166</v>
      </c>
      <c r="AD2252" t="s">
        <v>10839</v>
      </c>
      <c r="AF2252" t="s">
        <v>10843</v>
      </c>
      <c r="AG2252" t="s">
        <v>10859</v>
      </c>
      <c r="AH2252" t="s">
        <v>10865</v>
      </c>
      <c r="AI2252">
        <v>237</v>
      </c>
      <c r="AJ2252" t="s">
        <v>10212</v>
      </c>
      <c r="AK2252" t="s">
        <v>10837</v>
      </c>
      <c r="AL2252">
        <v>2.75</v>
      </c>
      <c r="AM2252" t="s">
        <v>10891</v>
      </c>
      <c r="AN2252" t="s">
        <v>10961</v>
      </c>
      <c r="AO2252" t="s">
        <v>11003</v>
      </c>
      <c r="AP2252" t="s">
        <v>11084</v>
      </c>
      <c r="AR2252" t="s">
        <v>11306</v>
      </c>
      <c r="AS2252" t="s">
        <v>11594</v>
      </c>
      <c r="AY2252" t="s">
        <v>10829</v>
      </c>
      <c r="AZ2252" t="s">
        <v>11683</v>
      </c>
      <c r="BA2252" t="s">
        <v>11741</v>
      </c>
      <c r="BB2252">
        <v>0</v>
      </c>
      <c r="BC2252">
        <v>0</v>
      </c>
      <c r="BD2252">
        <v>0</v>
      </c>
      <c r="BE2252">
        <v>0</v>
      </c>
      <c r="BF2252">
        <v>1</v>
      </c>
      <c r="BG2252">
        <v>0</v>
      </c>
    </row>
    <row r="2253" spans="1:59">
      <c r="A2253" s="1">
        <f>HYPERLINK("https://lsnyc.legalserver.org/matter/dynamic-profile/view/1906201","19-1906201")</f>
        <v>0</v>
      </c>
      <c r="B2253" t="s">
        <v>1921</v>
      </c>
      <c r="C2253" t="s">
        <v>6715</v>
      </c>
      <c r="D2253" t="s">
        <v>10008</v>
      </c>
      <c r="E2253" t="s">
        <v>10075</v>
      </c>
      <c r="F2253">
        <v>10605</v>
      </c>
      <c r="G2253" t="s">
        <v>10090</v>
      </c>
      <c r="H2253" t="s">
        <v>10103</v>
      </c>
      <c r="I2253" t="s">
        <v>10168</v>
      </c>
      <c r="J2253" t="s">
        <v>10210</v>
      </c>
      <c r="K2253" t="s">
        <v>10217</v>
      </c>
      <c r="M2253" t="s">
        <v>10372</v>
      </c>
      <c r="N2253" t="s">
        <v>10671</v>
      </c>
      <c r="P2253" t="s">
        <v>10750</v>
      </c>
      <c r="Q2253" t="s">
        <v>10778</v>
      </c>
      <c r="R2253" t="s">
        <v>10820</v>
      </c>
      <c r="T2253">
        <v>0</v>
      </c>
      <c r="U2253">
        <v>0</v>
      </c>
      <c r="V2253">
        <v>49</v>
      </c>
      <c r="W2253">
        <v>1</v>
      </c>
      <c r="X2253">
        <v>2</v>
      </c>
      <c r="Z2253">
        <v>0</v>
      </c>
      <c r="AA2253">
        <v>41.02396</v>
      </c>
      <c r="AB2253">
        <v>-73.766885</v>
      </c>
      <c r="AD2253" t="s">
        <v>10840</v>
      </c>
      <c r="AG2253" t="s">
        <v>10858</v>
      </c>
      <c r="AH2253" t="s">
        <v>10861</v>
      </c>
      <c r="AI2253">
        <v>234</v>
      </c>
      <c r="AJ2253" t="s">
        <v>10214</v>
      </c>
      <c r="AL2253">
        <v>0.85</v>
      </c>
      <c r="AM2253" t="s">
        <v>10896</v>
      </c>
      <c r="AN2253" t="s">
        <v>10983</v>
      </c>
      <c r="AO2253" t="s">
        <v>11036</v>
      </c>
      <c r="AR2253" t="s">
        <v>11267</v>
      </c>
      <c r="AS2253" t="s">
        <v>11604</v>
      </c>
      <c r="AT2253" t="s">
        <v>11642</v>
      </c>
      <c r="AX2253" t="s">
        <v>10838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</row>
    <row r="2254" spans="1:59">
      <c r="A2254" s="1">
        <f>HYPERLINK("https://lsnyc.legalserver.org/matter/dynamic-profile/view/1906202","19-1906202")</f>
        <v>0</v>
      </c>
      <c r="B2254" t="s">
        <v>1922</v>
      </c>
      <c r="C2254" t="s">
        <v>6716</v>
      </c>
      <c r="D2254" t="s">
        <v>9926</v>
      </c>
      <c r="E2254" t="s">
        <v>10075</v>
      </c>
      <c r="F2254">
        <v>10470</v>
      </c>
      <c r="G2254" t="s">
        <v>10090</v>
      </c>
      <c r="H2254" t="s">
        <v>10103</v>
      </c>
      <c r="I2254" t="s">
        <v>10168</v>
      </c>
      <c r="J2254" t="s">
        <v>10210</v>
      </c>
      <c r="K2254" t="s">
        <v>10217</v>
      </c>
      <c r="M2254" t="s">
        <v>10519</v>
      </c>
      <c r="N2254" t="s">
        <v>10723</v>
      </c>
      <c r="P2254" t="s">
        <v>10753</v>
      </c>
      <c r="Q2254" t="s">
        <v>10809</v>
      </c>
      <c r="R2254" t="s">
        <v>10821</v>
      </c>
      <c r="T2254">
        <v>12000</v>
      </c>
      <c r="U2254">
        <v>1000</v>
      </c>
      <c r="V2254">
        <v>32</v>
      </c>
      <c r="W2254">
        <v>1</v>
      </c>
      <c r="X2254">
        <v>2</v>
      </c>
      <c r="Z2254">
        <v>56.26</v>
      </c>
      <c r="AA2254">
        <v>40.896947</v>
      </c>
      <c r="AB2254">
        <v>-73.864786</v>
      </c>
      <c r="AD2254" t="s">
        <v>10839</v>
      </c>
      <c r="AG2254" t="s">
        <v>10858</v>
      </c>
      <c r="AH2254" t="s">
        <v>10865</v>
      </c>
      <c r="AI2254">
        <v>230</v>
      </c>
      <c r="AJ2254" t="s">
        <v>10210</v>
      </c>
      <c r="AL2254">
        <v>8.800000000000001</v>
      </c>
      <c r="AM2254" t="s">
        <v>10893</v>
      </c>
      <c r="AN2254" t="s">
        <v>10919</v>
      </c>
      <c r="AO2254" t="s">
        <v>11002</v>
      </c>
      <c r="AP2254" t="s">
        <v>11057</v>
      </c>
      <c r="AQ2254" t="s">
        <v>11180</v>
      </c>
      <c r="AR2254" t="s">
        <v>11257</v>
      </c>
      <c r="AS2254" t="s">
        <v>9926</v>
      </c>
      <c r="AT2254" t="s">
        <v>11641</v>
      </c>
      <c r="AX2254" t="s">
        <v>10838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</row>
    <row r="2255" spans="1:59">
      <c r="A2255" s="1">
        <f>HYPERLINK("https://lsnyc.legalserver.org/matter/dynamic-profile/view/1906203","19-1906203")</f>
        <v>0</v>
      </c>
      <c r="B2255" t="s">
        <v>1923</v>
      </c>
      <c r="C2255" t="s">
        <v>6717</v>
      </c>
      <c r="D2255" t="s">
        <v>9926</v>
      </c>
      <c r="E2255" t="s">
        <v>10075</v>
      </c>
      <c r="F2255">
        <v>10457</v>
      </c>
      <c r="G2255" t="s">
        <v>10090</v>
      </c>
      <c r="H2255" t="s">
        <v>10103</v>
      </c>
      <c r="I2255" t="s">
        <v>10168</v>
      </c>
      <c r="J2255" t="s">
        <v>10210</v>
      </c>
      <c r="K2255" t="s">
        <v>10217</v>
      </c>
      <c r="M2255" t="s">
        <v>10261</v>
      </c>
      <c r="N2255" t="s">
        <v>10671</v>
      </c>
      <c r="P2255" t="s">
        <v>10749</v>
      </c>
      <c r="Q2255" t="s">
        <v>10765</v>
      </c>
      <c r="R2255" t="s">
        <v>10824</v>
      </c>
      <c r="T2255">
        <v>24722</v>
      </c>
      <c r="U2255">
        <v>2060.17</v>
      </c>
      <c r="V2255">
        <v>36</v>
      </c>
      <c r="W2255">
        <v>1</v>
      </c>
      <c r="X2255">
        <v>2</v>
      </c>
      <c r="Z2255">
        <v>115.9</v>
      </c>
      <c r="AA2255">
        <v>40.846368</v>
      </c>
      <c r="AB2255">
        <v>-73.907168</v>
      </c>
      <c r="AD2255" t="s">
        <v>10839</v>
      </c>
      <c r="AG2255" t="s">
        <v>10858</v>
      </c>
      <c r="AH2255" t="s">
        <v>10861</v>
      </c>
      <c r="AI2255">
        <v>234</v>
      </c>
      <c r="AJ2255" t="s">
        <v>10214</v>
      </c>
      <c r="AL2255">
        <v>0.9</v>
      </c>
      <c r="AM2255" t="s">
        <v>10884</v>
      </c>
      <c r="AN2255" t="s">
        <v>10931</v>
      </c>
      <c r="AO2255" t="s">
        <v>11000</v>
      </c>
      <c r="AP2255" t="s">
        <v>11056</v>
      </c>
      <c r="AR2255" t="s">
        <v>11281</v>
      </c>
      <c r="AS2255" t="s">
        <v>9926</v>
      </c>
      <c r="AT2255" t="s">
        <v>11641</v>
      </c>
      <c r="AX2255" t="s">
        <v>10838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</row>
    <row r="2256" spans="1:59">
      <c r="A2256" s="1">
        <f>HYPERLINK("https://lsnyc.legalserver.org/matter/dynamic-profile/view/1906204","19-1906204")</f>
        <v>0</v>
      </c>
      <c r="B2256" t="s">
        <v>1924</v>
      </c>
      <c r="C2256" t="s">
        <v>6718</v>
      </c>
      <c r="D2256" t="s">
        <v>9925</v>
      </c>
      <c r="E2256" t="s">
        <v>10075</v>
      </c>
      <c r="F2256">
        <v>10002</v>
      </c>
      <c r="G2256" t="s">
        <v>10089</v>
      </c>
      <c r="H2256" t="s">
        <v>10103</v>
      </c>
      <c r="I2256" t="s">
        <v>10181</v>
      </c>
      <c r="J2256" t="s">
        <v>10209</v>
      </c>
      <c r="K2256" t="s">
        <v>10217</v>
      </c>
      <c r="M2256" t="s">
        <v>10288</v>
      </c>
      <c r="N2256" t="s">
        <v>10691</v>
      </c>
      <c r="P2256" t="s">
        <v>10756</v>
      </c>
      <c r="Q2256" t="s">
        <v>10787</v>
      </c>
      <c r="R2256" t="s">
        <v>10827</v>
      </c>
      <c r="T2256">
        <v>8076</v>
      </c>
      <c r="U2256">
        <v>673</v>
      </c>
      <c r="V2256">
        <v>66</v>
      </c>
      <c r="W2256">
        <v>1</v>
      </c>
      <c r="X2256">
        <v>0</v>
      </c>
      <c r="Z2256">
        <v>64.66</v>
      </c>
      <c r="AA2256">
        <v>40.71311</v>
      </c>
      <c r="AB2256">
        <v>-73.982398</v>
      </c>
      <c r="AD2256" t="s">
        <v>10840</v>
      </c>
      <c r="AG2256" t="s">
        <v>10858</v>
      </c>
      <c r="AH2256" t="s">
        <v>10861</v>
      </c>
      <c r="AI2256">
        <v>236</v>
      </c>
      <c r="AJ2256" t="s">
        <v>10209</v>
      </c>
      <c r="AL2256">
        <v>2.45</v>
      </c>
      <c r="AM2256" t="s">
        <v>10886</v>
      </c>
      <c r="AN2256" t="s">
        <v>10963</v>
      </c>
      <c r="AO2256" t="s">
        <v>11004</v>
      </c>
      <c r="AP2256" t="s">
        <v>11048</v>
      </c>
      <c r="AQ2256" t="s">
        <v>11146</v>
      </c>
      <c r="AR2256" t="s">
        <v>11316</v>
      </c>
      <c r="AS2256" t="s">
        <v>9925</v>
      </c>
      <c r="AT2256" t="s">
        <v>11642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</row>
    <row r="2257" spans="1:59">
      <c r="A2257" s="1">
        <f>HYPERLINK("https://lsnyc.legalserver.org/matter/dynamic-profile/view/1906205","19-1906205")</f>
        <v>0</v>
      </c>
      <c r="B2257" t="s">
        <v>1925</v>
      </c>
      <c r="C2257" t="s">
        <v>6719</v>
      </c>
      <c r="D2257" t="s">
        <v>9937</v>
      </c>
      <c r="E2257" t="s">
        <v>10075</v>
      </c>
      <c r="F2257">
        <v>11412</v>
      </c>
      <c r="G2257" t="s">
        <v>10092</v>
      </c>
      <c r="H2257" t="s">
        <v>10103</v>
      </c>
      <c r="J2257" t="s">
        <v>10212</v>
      </c>
      <c r="K2257" t="s">
        <v>10217</v>
      </c>
      <c r="M2257" t="s">
        <v>10520</v>
      </c>
      <c r="N2257" t="s">
        <v>10678</v>
      </c>
      <c r="P2257" t="s">
        <v>10749</v>
      </c>
      <c r="Q2257" t="s">
        <v>10769</v>
      </c>
      <c r="R2257" t="s">
        <v>10822</v>
      </c>
      <c r="T2257">
        <v>14400</v>
      </c>
      <c r="U2257">
        <v>1200</v>
      </c>
      <c r="V2257">
        <v>73</v>
      </c>
      <c r="W2257">
        <v>3</v>
      </c>
      <c r="X2257">
        <v>0</v>
      </c>
      <c r="Z2257">
        <v>67.51000000000001</v>
      </c>
      <c r="AA2257">
        <v>40.696332</v>
      </c>
      <c r="AB2257">
        <v>-73.76870599999999</v>
      </c>
      <c r="AD2257" t="s">
        <v>10839</v>
      </c>
      <c r="AF2257" t="s">
        <v>10843</v>
      </c>
      <c r="AG2257" t="s">
        <v>10859</v>
      </c>
      <c r="AH2257" t="s">
        <v>10860</v>
      </c>
      <c r="AI2257">
        <v>237</v>
      </c>
      <c r="AJ2257" t="s">
        <v>10212</v>
      </c>
      <c r="AL2257">
        <v>4.45</v>
      </c>
      <c r="AR2257" t="s">
        <v>11456</v>
      </c>
      <c r="AS2257" t="s">
        <v>11594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</row>
    <row r="2258" spans="1:59">
      <c r="A2258" s="1">
        <f>HYPERLINK("https://lsnyc.legalserver.org/matter/dynamic-profile/view/1906206","19-1906206")</f>
        <v>0</v>
      </c>
      <c r="B2258" t="s">
        <v>1926</v>
      </c>
      <c r="C2258" t="s">
        <v>6720</v>
      </c>
      <c r="D2258" t="s">
        <v>9929</v>
      </c>
      <c r="E2258" t="s">
        <v>10075</v>
      </c>
      <c r="F2258">
        <v>10301</v>
      </c>
      <c r="G2258" t="s">
        <v>10089</v>
      </c>
      <c r="H2258" t="s">
        <v>10103</v>
      </c>
      <c r="I2258" t="s">
        <v>10168</v>
      </c>
      <c r="J2258" t="s">
        <v>10209</v>
      </c>
      <c r="K2258" t="s">
        <v>10217</v>
      </c>
      <c r="M2258" t="s">
        <v>10301</v>
      </c>
      <c r="N2258" t="s">
        <v>10665</v>
      </c>
      <c r="P2258" t="s">
        <v>10751</v>
      </c>
      <c r="Q2258" t="s">
        <v>10773</v>
      </c>
      <c r="R2258" t="s">
        <v>10824</v>
      </c>
      <c r="T2258">
        <v>13000</v>
      </c>
      <c r="U2258">
        <v>1083.33</v>
      </c>
      <c r="V2258">
        <v>26</v>
      </c>
      <c r="W2258">
        <v>2</v>
      </c>
      <c r="X2258">
        <v>2</v>
      </c>
      <c r="Z2258">
        <v>50.49</v>
      </c>
      <c r="AA2258">
        <v>40.640593</v>
      </c>
      <c r="AB2258">
        <v>-74.08165200000001</v>
      </c>
      <c r="AD2258" t="s">
        <v>10840</v>
      </c>
      <c r="AG2258" t="s">
        <v>10858</v>
      </c>
      <c r="AH2258" t="s">
        <v>10861</v>
      </c>
      <c r="AI2258">
        <v>234</v>
      </c>
      <c r="AJ2258" t="s">
        <v>10214</v>
      </c>
      <c r="AL2258">
        <v>4.35</v>
      </c>
      <c r="AM2258" t="s">
        <v>10883</v>
      </c>
      <c r="AN2258" t="s">
        <v>10913</v>
      </c>
      <c r="AO2258" t="s">
        <v>11006</v>
      </c>
      <c r="AP2258" t="s">
        <v>11051</v>
      </c>
      <c r="AQ2258" t="s">
        <v>11115</v>
      </c>
      <c r="AR2258" t="s">
        <v>11257</v>
      </c>
      <c r="AS2258" t="s">
        <v>11593</v>
      </c>
      <c r="AT2258" t="s">
        <v>11642</v>
      </c>
      <c r="AX2258" t="s">
        <v>10838</v>
      </c>
      <c r="BA2258" t="s">
        <v>11741</v>
      </c>
      <c r="BB2258">
        <v>0</v>
      </c>
      <c r="BC2258">
        <v>0</v>
      </c>
      <c r="BD2258">
        <v>0</v>
      </c>
      <c r="BE2258">
        <v>0</v>
      </c>
      <c r="BF2258">
        <v>1</v>
      </c>
      <c r="BG2258">
        <v>0</v>
      </c>
    </row>
    <row r="2259" spans="1:59">
      <c r="A2259" s="1">
        <f>HYPERLINK("https://lsnyc.legalserver.org/matter/dynamic-profile/view/1906207","19-1906207")</f>
        <v>0</v>
      </c>
      <c r="B2259" t="s">
        <v>1927</v>
      </c>
      <c r="C2259" t="s">
        <v>6721</v>
      </c>
      <c r="D2259" t="s">
        <v>9928</v>
      </c>
      <c r="E2259" t="s">
        <v>10075</v>
      </c>
      <c r="F2259">
        <v>11207</v>
      </c>
      <c r="G2259" t="s">
        <v>10093</v>
      </c>
      <c r="H2259" t="s">
        <v>10103</v>
      </c>
      <c r="I2259" t="s">
        <v>10168</v>
      </c>
      <c r="J2259" t="s">
        <v>10213</v>
      </c>
      <c r="K2259" t="s">
        <v>10218</v>
      </c>
      <c r="L2259" t="s">
        <v>10104</v>
      </c>
      <c r="M2259" t="s">
        <v>10290</v>
      </c>
      <c r="N2259" t="s">
        <v>10665</v>
      </c>
      <c r="P2259" t="s">
        <v>10751</v>
      </c>
      <c r="Q2259" t="s">
        <v>10773</v>
      </c>
      <c r="R2259" t="s">
        <v>10824</v>
      </c>
      <c r="T2259">
        <v>23400</v>
      </c>
      <c r="U2259">
        <v>1950</v>
      </c>
      <c r="V2259">
        <v>36</v>
      </c>
      <c r="W2259">
        <v>1</v>
      </c>
      <c r="X2259">
        <v>0</v>
      </c>
      <c r="Y2259" t="s">
        <v>10829</v>
      </c>
      <c r="Z2259">
        <v>187.35</v>
      </c>
      <c r="AA2259">
        <v>40.657852</v>
      </c>
      <c r="AB2259">
        <v>-73.88182999999999</v>
      </c>
      <c r="AC2259" t="s">
        <v>10837</v>
      </c>
      <c r="AD2259" t="s">
        <v>10840</v>
      </c>
      <c r="AG2259" t="s">
        <v>10858</v>
      </c>
      <c r="AH2259" t="s">
        <v>10861</v>
      </c>
      <c r="AI2259">
        <v>234</v>
      </c>
      <c r="AJ2259" t="s">
        <v>10214</v>
      </c>
      <c r="AK2259" t="s">
        <v>10882</v>
      </c>
      <c r="AL2259">
        <v>1.65</v>
      </c>
      <c r="AM2259" t="s">
        <v>10889</v>
      </c>
      <c r="AN2259" t="s">
        <v>10946</v>
      </c>
      <c r="AO2259" t="s">
        <v>11012</v>
      </c>
      <c r="AP2259" t="s">
        <v>11060</v>
      </c>
      <c r="AR2259" t="s">
        <v>11293</v>
      </c>
      <c r="AS2259" t="s">
        <v>11595</v>
      </c>
      <c r="AT2259" t="s">
        <v>11642</v>
      </c>
      <c r="AX2259" t="s">
        <v>10838</v>
      </c>
      <c r="AY2259" t="s">
        <v>10829</v>
      </c>
      <c r="AZ2259" t="s">
        <v>11682</v>
      </c>
      <c r="BA2259" t="s">
        <v>11741</v>
      </c>
      <c r="BB2259">
        <v>0</v>
      </c>
      <c r="BC2259">
        <v>0</v>
      </c>
      <c r="BD2259">
        <v>0</v>
      </c>
      <c r="BE2259">
        <v>0</v>
      </c>
      <c r="BF2259">
        <v>1</v>
      </c>
      <c r="BG2259">
        <v>0</v>
      </c>
    </row>
    <row r="2260" spans="1:59">
      <c r="A2260" s="1">
        <f>HYPERLINK("https://lsnyc.legalserver.org/matter/dynamic-profile/view/1906208","19-1906208")</f>
        <v>0</v>
      </c>
      <c r="B2260" t="s">
        <v>1928</v>
      </c>
      <c r="C2260" t="s">
        <v>6722</v>
      </c>
      <c r="D2260" t="s">
        <v>9925</v>
      </c>
      <c r="E2260" t="s">
        <v>10075</v>
      </c>
      <c r="F2260">
        <v>10024</v>
      </c>
      <c r="G2260" t="s">
        <v>10089</v>
      </c>
      <c r="H2260" t="s">
        <v>10103</v>
      </c>
      <c r="I2260" t="s">
        <v>10168</v>
      </c>
      <c r="J2260" t="s">
        <v>10209</v>
      </c>
      <c r="K2260" t="s">
        <v>10217</v>
      </c>
      <c r="M2260" t="s">
        <v>10460</v>
      </c>
      <c r="N2260" t="s">
        <v>10650</v>
      </c>
      <c r="O2260" t="s">
        <v>10743</v>
      </c>
      <c r="P2260" t="s">
        <v>10749</v>
      </c>
      <c r="Q2260" t="s">
        <v>10765</v>
      </c>
      <c r="R2260" t="s">
        <v>10820</v>
      </c>
      <c r="T2260">
        <v>103000</v>
      </c>
      <c r="U2260">
        <v>8583.33</v>
      </c>
      <c r="V2260">
        <v>75</v>
      </c>
      <c r="W2260">
        <v>3</v>
      </c>
      <c r="X2260">
        <v>0</v>
      </c>
      <c r="Z2260">
        <v>482.89</v>
      </c>
      <c r="AA2260">
        <v>40.790297</v>
      </c>
      <c r="AB2260">
        <v>-73.97955899999999</v>
      </c>
      <c r="AD2260" t="s">
        <v>10839</v>
      </c>
      <c r="AG2260" t="s">
        <v>10858</v>
      </c>
      <c r="AH2260" t="s">
        <v>10862</v>
      </c>
      <c r="AI2260">
        <v>236</v>
      </c>
      <c r="AJ2260" t="s">
        <v>10209</v>
      </c>
      <c r="AL2260">
        <v>3.5</v>
      </c>
      <c r="AM2260" t="s">
        <v>10894</v>
      </c>
      <c r="AN2260" t="s">
        <v>10964</v>
      </c>
      <c r="AO2260" t="s">
        <v>11019</v>
      </c>
      <c r="AP2260" t="s">
        <v>11089</v>
      </c>
      <c r="AR2260" t="s">
        <v>11257</v>
      </c>
      <c r="AS2260" t="s">
        <v>9925</v>
      </c>
      <c r="AT2260" t="s">
        <v>11641</v>
      </c>
      <c r="AX2260" t="s">
        <v>10838</v>
      </c>
      <c r="BA2260" t="s">
        <v>11741</v>
      </c>
      <c r="BB2260">
        <v>0</v>
      </c>
      <c r="BC2260">
        <v>0</v>
      </c>
      <c r="BD2260">
        <v>0</v>
      </c>
      <c r="BE2260">
        <v>0</v>
      </c>
      <c r="BF2260">
        <v>1</v>
      </c>
      <c r="BG2260">
        <v>0</v>
      </c>
    </row>
    <row r="2261" spans="1:59">
      <c r="A2261" s="1">
        <f>HYPERLINK("https://lsnyc.legalserver.org/matter/dynamic-profile/view/1906209","19-1906209")</f>
        <v>0</v>
      </c>
      <c r="B2261" t="s">
        <v>1929</v>
      </c>
      <c r="C2261" t="s">
        <v>6723</v>
      </c>
      <c r="D2261" t="s">
        <v>9938</v>
      </c>
      <c r="E2261" t="s">
        <v>10075</v>
      </c>
      <c r="F2261">
        <v>11433</v>
      </c>
      <c r="G2261" t="s">
        <v>10092</v>
      </c>
      <c r="H2261" t="s">
        <v>10103</v>
      </c>
      <c r="I2261" t="s">
        <v>10168</v>
      </c>
      <c r="J2261" t="s">
        <v>10212</v>
      </c>
      <c r="K2261" t="s">
        <v>10217</v>
      </c>
      <c r="M2261" t="s">
        <v>10547</v>
      </c>
      <c r="N2261" t="s">
        <v>10671</v>
      </c>
      <c r="P2261" t="s">
        <v>10753</v>
      </c>
      <c r="Q2261" t="s">
        <v>10763</v>
      </c>
      <c r="R2261" t="s">
        <v>10824</v>
      </c>
      <c r="T2261">
        <v>0</v>
      </c>
      <c r="U2261">
        <v>0</v>
      </c>
      <c r="V2261">
        <v>24</v>
      </c>
      <c r="W2261">
        <v>1</v>
      </c>
      <c r="X2261">
        <v>0</v>
      </c>
      <c r="Z2261">
        <v>0</v>
      </c>
      <c r="AA2261">
        <v>40.697701</v>
      </c>
      <c r="AB2261">
        <v>-73.792911</v>
      </c>
      <c r="AD2261" t="s">
        <v>10839</v>
      </c>
      <c r="AF2261" t="s">
        <v>10843</v>
      </c>
      <c r="AG2261" t="s">
        <v>10859</v>
      </c>
      <c r="AH2261" t="s">
        <v>10861</v>
      </c>
      <c r="AI2261">
        <v>234</v>
      </c>
      <c r="AJ2261" t="s">
        <v>10214</v>
      </c>
      <c r="AL2261">
        <v>1</v>
      </c>
      <c r="AM2261" t="s">
        <v>10892</v>
      </c>
      <c r="AN2261" t="s">
        <v>10951</v>
      </c>
      <c r="AO2261" t="s">
        <v>11020</v>
      </c>
      <c r="AP2261" t="s">
        <v>11070</v>
      </c>
      <c r="AR2261" t="s">
        <v>11267</v>
      </c>
      <c r="AS2261" t="s">
        <v>11594</v>
      </c>
      <c r="AT2261" t="s">
        <v>11641</v>
      </c>
      <c r="AX2261" t="s">
        <v>10838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</row>
    <row r="2262" spans="1:59">
      <c r="A2262" s="1">
        <f>HYPERLINK("https://lsnyc.legalserver.org/matter/dynamic-profile/view/1906210","19-1906210")</f>
        <v>0</v>
      </c>
      <c r="B2262" t="s">
        <v>1930</v>
      </c>
      <c r="C2262" t="s">
        <v>5047</v>
      </c>
      <c r="D2262" t="s">
        <v>9931</v>
      </c>
      <c r="E2262" t="s">
        <v>10075</v>
      </c>
      <c r="F2262">
        <v>11354</v>
      </c>
      <c r="G2262" t="s">
        <v>10092</v>
      </c>
      <c r="H2262" t="s">
        <v>10103</v>
      </c>
      <c r="I2262" t="s">
        <v>10168</v>
      </c>
      <c r="J2262" t="s">
        <v>10212</v>
      </c>
      <c r="K2262" t="s">
        <v>10217</v>
      </c>
      <c r="M2262" t="s">
        <v>10258</v>
      </c>
      <c r="N2262" t="s">
        <v>10650</v>
      </c>
      <c r="P2262" t="s">
        <v>10749</v>
      </c>
      <c r="Q2262" t="s">
        <v>10765</v>
      </c>
      <c r="R2262" t="s">
        <v>10820</v>
      </c>
      <c r="T2262">
        <v>66400</v>
      </c>
      <c r="U2262">
        <v>5533.33</v>
      </c>
      <c r="V2262">
        <v>47</v>
      </c>
      <c r="W2262">
        <v>1</v>
      </c>
      <c r="X2262">
        <v>1</v>
      </c>
      <c r="Z2262">
        <v>392.67</v>
      </c>
      <c r="AA2262">
        <v>40.766192</v>
      </c>
      <c r="AB2262">
        <v>-73.828405</v>
      </c>
      <c r="AD2262" t="s">
        <v>10839</v>
      </c>
      <c r="AG2262" t="s">
        <v>10858</v>
      </c>
      <c r="AH2262" t="s">
        <v>10862</v>
      </c>
      <c r="AI2262">
        <v>237</v>
      </c>
      <c r="AJ2262" t="s">
        <v>10212</v>
      </c>
      <c r="AL2262">
        <v>0.4</v>
      </c>
      <c r="AM2262" t="s">
        <v>10890</v>
      </c>
      <c r="AN2262" t="s">
        <v>10927</v>
      </c>
      <c r="AO2262" t="s">
        <v>11009</v>
      </c>
      <c r="AP2262" t="s">
        <v>11067</v>
      </c>
      <c r="AR2262" t="s">
        <v>11335</v>
      </c>
      <c r="AS2262" t="s">
        <v>11594</v>
      </c>
      <c r="AT2262" t="s">
        <v>11641</v>
      </c>
      <c r="AX2262" t="s">
        <v>10838</v>
      </c>
      <c r="BA2262" t="s">
        <v>11739</v>
      </c>
      <c r="BB2262">
        <v>0</v>
      </c>
      <c r="BC2262">
        <v>0</v>
      </c>
      <c r="BD2262">
        <v>0</v>
      </c>
      <c r="BE2262">
        <v>0</v>
      </c>
      <c r="BF2262">
        <v>4</v>
      </c>
      <c r="BG2262">
        <v>0</v>
      </c>
    </row>
    <row r="2263" spans="1:59">
      <c r="A2263" s="1">
        <f>HYPERLINK("https://lsnyc.legalserver.org/matter/dynamic-profile/view/1906211","19-1906211")</f>
        <v>0</v>
      </c>
      <c r="B2263" t="s">
        <v>1561</v>
      </c>
      <c r="C2263" t="s">
        <v>6376</v>
      </c>
      <c r="D2263" t="s">
        <v>9925</v>
      </c>
      <c r="E2263" t="s">
        <v>10075</v>
      </c>
      <c r="F2263">
        <v>10039</v>
      </c>
      <c r="G2263" t="s">
        <v>10089</v>
      </c>
      <c r="H2263" t="s">
        <v>10103</v>
      </c>
      <c r="I2263" t="s">
        <v>10168</v>
      </c>
      <c r="J2263" t="s">
        <v>10209</v>
      </c>
      <c r="K2263" t="s">
        <v>10218</v>
      </c>
      <c r="L2263" t="s">
        <v>10154</v>
      </c>
      <c r="M2263" t="s">
        <v>10488</v>
      </c>
      <c r="N2263" t="s">
        <v>10679</v>
      </c>
      <c r="P2263" t="s">
        <v>10753</v>
      </c>
      <c r="Q2263" t="s">
        <v>10763</v>
      </c>
      <c r="R2263" t="s">
        <v>10824</v>
      </c>
      <c r="T2263">
        <v>0</v>
      </c>
      <c r="U2263">
        <v>0</v>
      </c>
      <c r="V2263">
        <v>18</v>
      </c>
      <c r="W2263">
        <v>1</v>
      </c>
      <c r="X2263">
        <v>0</v>
      </c>
      <c r="Y2263" t="s">
        <v>10830</v>
      </c>
      <c r="Z2263">
        <v>0</v>
      </c>
      <c r="AA2263">
        <v>40.82714</v>
      </c>
      <c r="AB2263">
        <v>-73.937842</v>
      </c>
      <c r="AD2263" t="s">
        <v>10839</v>
      </c>
      <c r="AF2263" t="s">
        <v>10843</v>
      </c>
      <c r="AG2263" t="s">
        <v>10859</v>
      </c>
      <c r="AH2263" t="s">
        <v>10861</v>
      </c>
      <c r="AI2263">
        <v>234</v>
      </c>
      <c r="AJ2263" t="s">
        <v>10214</v>
      </c>
      <c r="AK2263" t="s">
        <v>10837</v>
      </c>
      <c r="AL2263">
        <v>2</v>
      </c>
      <c r="AM2263" t="s">
        <v>10887</v>
      </c>
      <c r="AN2263" t="s">
        <v>10943</v>
      </c>
      <c r="AO2263" t="s">
        <v>11016</v>
      </c>
      <c r="AP2263" t="s">
        <v>11076</v>
      </c>
      <c r="AQ2263" t="s">
        <v>11131</v>
      </c>
      <c r="AR2263" t="s">
        <v>11267</v>
      </c>
      <c r="AS2263" t="s">
        <v>9925</v>
      </c>
      <c r="AY2263" t="s">
        <v>10830</v>
      </c>
      <c r="AZ2263" t="s">
        <v>11699</v>
      </c>
      <c r="BA2263" t="s">
        <v>11739</v>
      </c>
      <c r="BB2263">
        <v>455</v>
      </c>
      <c r="BC2263">
        <v>0</v>
      </c>
      <c r="BD2263">
        <v>0</v>
      </c>
      <c r="BE2263">
        <v>0</v>
      </c>
      <c r="BF2263">
        <v>4</v>
      </c>
      <c r="BG2263">
        <v>0</v>
      </c>
    </row>
    <row r="2264" spans="1:59">
      <c r="A2264" s="1">
        <f>HYPERLINK("https://lsnyc.legalserver.org/matter/dynamic-profile/view/1906212","19-1906212")</f>
        <v>0</v>
      </c>
      <c r="B2264" t="s">
        <v>1931</v>
      </c>
      <c r="C2264" t="s">
        <v>6724</v>
      </c>
      <c r="D2264" t="s">
        <v>9927</v>
      </c>
      <c r="E2264" t="s">
        <v>10075</v>
      </c>
      <c r="F2264">
        <v>11377</v>
      </c>
      <c r="G2264" t="s">
        <v>10092</v>
      </c>
      <c r="H2264" t="s">
        <v>10103</v>
      </c>
      <c r="I2264" t="s">
        <v>10169</v>
      </c>
      <c r="J2264" t="s">
        <v>10212</v>
      </c>
      <c r="K2264" t="s">
        <v>10217</v>
      </c>
      <c r="M2264" t="s">
        <v>10566</v>
      </c>
      <c r="N2264" t="s">
        <v>10650</v>
      </c>
      <c r="P2264" t="s">
        <v>10749</v>
      </c>
      <c r="Q2264" t="s">
        <v>10765</v>
      </c>
      <c r="R2264" t="s">
        <v>10823</v>
      </c>
      <c r="T2264">
        <v>0</v>
      </c>
      <c r="U2264">
        <v>0</v>
      </c>
      <c r="V2264">
        <v>44</v>
      </c>
      <c r="W2264">
        <v>1</v>
      </c>
      <c r="X2264">
        <v>1</v>
      </c>
      <c r="Z2264">
        <v>0</v>
      </c>
      <c r="AA2264">
        <v>40.743285</v>
      </c>
      <c r="AB2264">
        <v>-73.896896</v>
      </c>
      <c r="AD2264" t="s">
        <v>10839</v>
      </c>
      <c r="AF2264" t="s">
        <v>10842</v>
      </c>
      <c r="AG2264" t="s">
        <v>10859</v>
      </c>
      <c r="AH2264" t="s">
        <v>10862</v>
      </c>
      <c r="AI2264">
        <v>237</v>
      </c>
      <c r="AJ2264" t="s">
        <v>10212</v>
      </c>
      <c r="AL2264">
        <v>2.02</v>
      </c>
      <c r="AM2264" t="s">
        <v>10885</v>
      </c>
      <c r="AN2264" t="s">
        <v>10909</v>
      </c>
      <c r="AO2264" t="s">
        <v>11003</v>
      </c>
      <c r="AP2264" t="s">
        <v>11047</v>
      </c>
      <c r="AR2264" t="s">
        <v>11267</v>
      </c>
      <c r="AS2264" t="s">
        <v>11594</v>
      </c>
      <c r="BA2264" t="s">
        <v>11738</v>
      </c>
      <c r="BB2264">
        <v>0</v>
      </c>
      <c r="BC2264">
        <v>0</v>
      </c>
      <c r="BD2264">
        <v>0</v>
      </c>
      <c r="BE2264">
        <v>0</v>
      </c>
      <c r="BF2264">
        <v>5</v>
      </c>
      <c r="BG2264">
        <v>0</v>
      </c>
    </row>
    <row r="2265" spans="1:59">
      <c r="A2265" s="1">
        <f>HYPERLINK("https://lsnyc.legalserver.org/matter/dynamic-profile/view/1906213","19-1906213")</f>
        <v>0</v>
      </c>
      <c r="B2265" t="s">
        <v>1561</v>
      </c>
      <c r="C2265" t="s">
        <v>6376</v>
      </c>
      <c r="D2265" t="s">
        <v>9925</v>
      </c>
      <c r="E2265" t="s">
        <v>10075</v>
      </c>
      <c r="F2265">
        <v>10039</v>
      </c>
      <c r="G2265" t="s">
        <v>10089</v>
      </c>
      <c r="H2265" t="s">
        <v>10103</v>
      </c>
      <c r="I2265" t="s">
        <v>10168</v>
      </c>
      <c r="J2265" t="s">
        <v>10209</v>
      </c>
      <c r="K2265" t="s">
        <v>10217</v>
      </c>
      <c r="M2265" t="s">
        <v>10488</v>
      </c>
      <c r="N2265" t="s">
        <v>10679</v>
      </c>
      <c r="P2265" t="s">
        <v>10753</v>
      </c>
      <c r="Q2265" t="s">
        <v>10763</v>
      </c>
      <c r="R2265" t="s">
        <v>10824</v>
      </c>
      <c r="T2265">
        <v>0</v>
      </c>
      <c r="U2265">
        <v>0</v>
      </c>
      <c r="V2265">
        <v>18</v>
      </c>
      <c r="W2265">
        <v>1</v>
      </c>
      <c r="X2265">
        <v>0</v>
      </c>
      <c r="Z2265">
        <v>0</v>
      </c>
      <c r="AA2265">
        <v>40.82714</v>
      </c>
      <c r="AB2265">
        <v>-73.937842</v>
      </c>
      <c r="AD2265" t="s">
        <v>10839</v>
      </c>
      <c r="AF2265" t="s">
        <v>10843</v>
      </c>
      <c r="AG2265" t="s">
        <v>10859</v>
      </c>
      <c r="AH2265" t="s">
        <v>10861</v>
      </c>
      <c r="AI2265">
        <v>234</v>
      </c>
      <c r="AJ2265" t="s">
        <v>10214</v>
      </c>
      <c r="AL2265">
        <v>0.25</v>
      </c>
      <c r="AM2265" t="s">
        <v>10887</v>
      </c>
      <c r="AN2265" t="s">
        <v>10943</v>
      </c>
      <c r="AO2265" t="s">
        <v>11016</v>
      </c>
      <c r="AP2265" t="s">
        <v>11076</v>
      </c>
      <c r="AQ2265" t="s">
        <v>11208</v>
      </c>
      <c r="AR2265" t="s">
        <v>11267</v>
      </c>
      <c r="AS2265" t="s">
        <v>9925</v>
      </c>
      <c r="BA2265" t="s">
        <v>11743</v>
      </c>
      <c r="BB2265">
        <v>0</v>
      </c>
      <c r="BC2265">
        <v>0</v>
      </c>
      <c r="BD2265">
        <v>0</v>
      </c>
      <c r="BE2265">
        <v>0</v>
      </c>
      <c r="BF2265">
        <v>40</v>
      </c>
      <c r="BG2265">
        <v>0</v>
      </c>
    </row>
    <row r="2266" spans="1:59">
      <c r="A2266" s="1">
        <f>HYPERLINK("https://lsnyc.legalserver.org/matter/dynamic-profile/view/1906214","19-1906214")</f>
        <v>0</v>
      </c>
      <c r="B2266" t="s">
        <v>1561</v>
      </c>
      <c r="C2266" t="s">
        <v>6376</v>
      </c>
      <c r="D2266" t="s">
        <v>9925</v>
      </c>
      <c r="E2266" t="s">
        <v>10075</v>
      </c>
      <c r="F2266">
        <v>10039</v>
      </c>
      <c r="G2266" t="s">
        <v>10089</v>
      </c>
      <c r="H2266" t="s">
        <v>10103</v>
      </c>
      <c r="I2266" t="s">
        <v>10168</v>
      </c>
      <c r="J2266" t="s">
        <v>10209</v>
      </c>
      <c r="K2266" t="s">
        <v>10217</v>
      </c>
      <c r="M2266" t="s">
        <v>10488</v>
      </c>
      <c r="N2266" t="s">
        <v>10679</v>
      </c>
      <c r="P2266" t="s">
        <v>10753</v>
      </c>
      <c r="Q2266" t="s">
        <v>10763</v>
      </c>
      <c r="R2266" t="s">
        <v>10824</v>
      </c>
      <c r="T2266">
        <v>0</v>
      </c>
      <c r="U2266">
        <v>0</v>
      </c>
      <c r="V2266">
        <v>18</v>
      </c>
      <c r="W2266">
        <v>1</v>
      </c>
      <c r="X2266">
        <v>0</v>
      </c>
      <c r="Z2266">
        <v>0</v>
      </c>
      <c r="AA2266">
        <v>40.82714</v>
      </c>
      <c r="AB2266">
        <v>-73.937842</v>
      </c>
      <c r="AD2266" t="s">
        <v>10839</v>
      </c>
      <c r="AF2266" t="s">
        <v>10843</v>
      </c>
      <c r="AG2266" t="s">
        <v>10859</v>
      </c>
      <c r="AH2266" t="s">
        <v>10861</v>
      </c>
      <c r="AI2266">
        <v>234</v>
      </c>
      <c r="AJ2266" t="s">
        <v>10214</v>
      </c>
      <c r="AL2266">
        <v>0.75</v>
      </c>
      <c r="AM2266" t="s">
        <v>10887</v>
      </c>
      <c r="AN2266" t="s">
        <v>10943</v>
      </c>
      <c r="AO2266" t="s">
        <v>11016</v>
      </c>
      <c r="AP2266" t="s">
        <v>11076</v>
      </c>
      <c r="AQ2266" t="s">
        <v>11168</v>
      </c>
      <c r="AR2266" t="s">
        <v>11267</v>
      </c>
      <c r="AS2266" t="s">
        <v>9925</v>
      </c>
      <c r="BA2266" t="s">
        <v>11739</v>
      </c>
      <c r="BB2266">
        <v>0</v>
      </c>
      <c r="BC2266">
        <v>0</v>
      </c>
      <c r="BD2266">
        <v>0</v>
      </c>
      <c r="BE2266">
        <v>0</v>
      </c>
      <c r="BF2266">
        <v>4</v>
      </c>
      <c r="BG2266">
        <v>0</v>
      </c>
    </row>
    <row r="2267" spans="1:59">
      <c r="A2267" s="1">
        <f>HYPERLINK("https://lsnyc.legalserver.org/matter/dynamic-profile/view/1906215","19-1906215")</f>
        <v>0</v>
      </c>
      <c r="B2267" t="s">
        <v>1561</v>
      </c>
      <c r="C2267" t="s">
        <v>6376</v>
      </c>
      <c r="D2267" t="s">
        <v>9925</v>
      </c>
      <c r="E2267" t="s">
        <v>10075</v>
      </c>
      <c r="F2267">
        <v>10039</v>
      </c>
      <c r="G2267" t="s">
        <v>10089</v>
      </c>
      <c r="H2267" t="s">
        <v>10103</v>
      </c>
      <c r="I2267" t="s">
        <v>10168</v>
      </c>
      <c r="J2267" t="s">
        <v>10209</v>
      </c>
      <c r="K2267" t="s">
        <v>10217</v>
      </c>
      <c r="M2267" t="s">
        <v>10488</v>
      </c>
      <c r="N2267" t="s">
        <v>10679</v>
      </c>
      <c r="P2267" t="s">
        <v>10753</v>
      </c>
      <c r="Q2267" t="s">
        <v>10763</v>
      </c>
      <c r="R2267" t="s">
        <v>10824</v>
      </c>
      <c r="T2267">
        <v>0</v>
      </c>
      <c r="U2267">
        <v>0</v>
      </c>
      <c r="V2267">
        <v>18</v>
      </c>
      <c r="W2267">
        <v>1</v>
      </c>
      <c r="X2267">
        <v>0</v>
      </c>
      <c r="Z2267">
        <v>0</v>
      </c>
      <c r="AA2267">
        <v>40.82714</v>
      </c>
      <c r="AB2267">
        <v>-73.937842</v>
      </c>
      <c r="AD2267" t="s">
        <v>10839</v>
      </c>
      <c r="AF2267" t="s">
        <v>10843</v>
      </c>
      <c r="AG2267" t="s">
        <v>10859</v>
      </c>
      <c r="AH2267" t="s">
        <v>10861</v>
      </c>
      <c r="AI2267">
        <v>234</v>
      </c>
      <c r="AJ2267" t="s">
        <v>10214</v>
      </c>
      <c r="AL2267">
        <v>1.25</v>
      </c>
      <c r="AM2267" t="s">
        <v>10887</v>
      </c>
      <c r="AN2267" t="s">
        <v>10943</v>
      </c>
      <c r="AO2267" t="s">
        <v>11016</v>
      </c>
      <c r="AP2267" t="s">
        <v>11076</v>
      </c>
      <c r="AQ2267" t="s">
        <v>11194</v>
      </c>
      <c r="AR2267" t="s">
        <v>11267</v>
      </c>
      <c r="AS2267" t="s">
        <v>9925</v>
      </c>
      <c r="BA2267" t="s">
        <v>11739</v>
      </c>
      <c r="BB2267">
        <v>0</v>
      </c>
      <c r="BC2267">
        <v>0</v>
      </c>
      <c r="BD2267">
        <v>0</v>
      </c>
      <c r="BE2267">
        <v>0</v>
      </c>
      <c r="BF2267">
        <v>4</v>
      </c>
      <c r="BG2267">
        <v>0</v>
      </c>
    </row>
    <row r="2268" spans="1:59">
      <c r="A2268" s="1">
        <f>HYPERLINK("https://lsnyc.legalserver.org/matter/dynamic-profile/view/1906216","19-1906216")</f>
        <v>0</v>
      </c>
      <c r="B2268" t="s">
        <v>1813</v>
      </c>
      <c r="C2268" t="s">
        <v>6609</v>
      </c>
      <c r="D2268" t="s">
        <v>9929</v>
      </c>
      <c r="E2268" t="s">
        <v>10075</v>
      </c>
      <c r="F2268">
        <v>10312</v>
      </c>
      <c r="G2268" t="s">
        <v>10088</v>
      </c>
      <c r="H2268" t="s">
        <v>10102</v>
      </c>
      <c r="I2268" t="s">
        <v>10168</v>
      </c>
      <c r="J2268" t="s">
        <v>10208</v>
      </c>
      <c r="K2268" t="s">
        <v>10218</v>
      </c>
      <c r="L2268" t="s">
        <v>10111</v>
      </c>
      <c r="M2268" t="s">
        <v>10542</v>
      </c>
      <c r="N2268" t="s">
        <v>10729</v>
      </c>
      <c r="P2268" t="s">
        <v>10754</v>
      </c>
      <c r="Q2268" t="s">
        <v>10770</v>
      </c>
      <c r="R2268" t="s">
        <v>10820</v>
      </c>
      <c r="T2268">
        <v>13440</v>
      </c>
      <c r="U2268">
        <v>1120</v>
      </c>
      <c r="V2268">
        <v>50</v>
      </c>
      <c r="W2268">
        <v>1</v>
      </c>
      <c r="X2268">
        <v>0</v>
      </c>
      <c r="Y2268" t="s">
        <v>10829</v>
      </c>
      <c r="Z2268">
        <v>107.61</v>
      </c>
      <c r="AA2268">
        <v>40.536965</v>
      </c>
      <c r="AB2268">
        <v>-74.15255399999999</v>
      </c>
      <c r="AD2268" t="s">
        <v>10839</v>
      </c>
      <c r="AG2268" t="s">
        <v>10858</v>
      </c>
      <c r="AH2268" t="s">
        <v>10861</v>
      </c>
      <c r="AI2268">
        <v>285</v>
      </c>
      <c r="AJ2268" t="s">
        <v>10208</v>
      </c>
      <c r="AK2268" t="s">
        <v>10837</v>
      </c>
      <c r="AL2268">
        <v>1</v>
      </c>
      <c r="AM2268" t="s">
        <v>10883</v>
      </c>
      <c r="AN2268" t="s">
        <v>10906</v>
      </c>
      <c r="AO2268" t="s">
        <v>10999</v>
      </c>
      <c r="AP2268" t="s">
        <v>11044</v>
      </c>
      <c r="AQ2268" t="s">
        <v>11122</v>
      </c>
      <c r="AR2268" t="s">
        <v>11263</v>
      </c>
      <c r="AS2268" t="s">
        <v>11593</v>
      </c>
      <c r="AY2268" t="s">
        <v>10829</v>
      </c>
      <c r="AZ2268" t="s">
        <v>11683</v>
      </c>
      <c r="BA2268" t="s">
        <v>11741</v>
      </c>
      <c r="BB2268">
        <v>0</v>
      </c>
      <c r="BC2268">
        <v>0</v>
      </c>
      <c r="BD2268">
        <v>0</v>
      </c>
      <c r="BE2268">
        <v>0</v>
      </c>
      <c r="BF2268">
        <v>1</v>
      </c>
      <c r="BG2268">
        <v>0</v>
      </c>
    </row>
    <row r="2269" spans="1:59">
      <c r="A2269" s="1">
        <f>HYPERLINK("https://lsnyc.legalserver.org/matter/dynamic-profile/view/1906217","19-1906217")</f>
        <v>0</v>
      </c>
      <c r="B2269" t="s">
        <v>1932</v>
      </c>
      <c r="C2269" t="s">
        <v>5811</v>
      </c>
      <c r="D2269" t="s">
        <v>9925</v>
      </c>
      <c r="E2269" t="s">
        <v>10075</v>
      </c>
      <c r="F2269">
        <v>10002</v>
      </c>
      <c r="G2269" t="s">
        <v>10089</v>
      </c>
      <c r="H2269" t="s">
        <v>10121</v>
      </c>
      <c r="I2269" t="s">
        <v>10169</v>
      </c>
      <c r="J2269" t="s">
        <v>10209</v>
      </c>
      <c r="K2269" t="s">
        <v>10218</v>
      </c>
      <c r="L2269" t="s">
        <v>10096</v>
      </c>
      <c r="M2269" t="s">
        <v>10288</v>
      </c>
      <c r="N2269" t="s">
        <v>10691</v>
      </c>
      <c r="P2269" t="s">
        <v>10756</v>
      </c>
      <c r="Q2269" t="s">
        <v>10792</v>
      </c>
      <c r="R2269" t="s">
        <v>10821</v>
      </c>
      <c r="T2269">
        <v>26400</v>
      </c>
      <c r="U2269">
        <v>2200</v>
      </c>
      <c r="V2269">
        <v>55</v>
      </c>
      <c r="W2269">
        <v>3</v>
      </c>
      <c r="X2269">
        <v>0</v>
      </c>
      <c r="Y2269" t="s">
        <v>10830</v>
      </c>
      <c r="Z2269">
        <v>123.77</v>
      </c>
      <c r="AA2269">
        <v>40.715577</v>
      </c>
      <c r="AB2269">
        <v>-73.98443399999999</v>
      </c>
      <c r="AD2269" t="s">
        <v>10839</v>
      </c>
      <c r="AG2269" t="s">
        <v>10858</v>
      </c>
      <c r="AH2269" t="s">
        <v>10861</v>
      </c>
      <c r="AI2269">
        <v>236</v>
      </c>
      <c r="AJ2269" t="s">
        <v>10209</v>
      </c>
      <c r="AK2269" t="s">
        <v>10838</v>
      </c>
      <c r="AL2269">
        <v>1.1</v>
      </c>
      <c r="AM2269" t="s">
        <v>10891</v>
      </c>
      <c r="AN2269" t="s">
        <v>10963</v>
      </c>
      <c r="AO2269" t="s">
        <v>11004</v>
      </c>
      <c r="AP2269" t="s">
        <v>11093</v>
      </c>
      <c r="AR2269" t="s">
        <v>11457</v>
      </c>
      <c r="AS2269" t="s">
        <v>9925</v>
      </c>
      <c r="AT2269" t="s">
        <v>11641</v>
      </c>
      <c r="AY2269" t="s">
        <v>10830</v>
      </c>
      <c r="AZ2269" t="s">
        <v>11698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</row>
    <row r="2270" spans="1:59">
      <c r="A2270" s="1">
        <f>HYPERLINK("https://lsnyc.legalserver.org/matter/dynamic-profile/view/1906218","19-1906218")</f>
        <v>0</v>
      </c>
      <c r="B2270" t="s">
        <v>1933</v>
      </c>
      <c r="C2270" t="s">
        <v>6725</v>
      </c>
      <c r="D2270" t="s">
        <v>9936</v>
      </c>
      <c r="E2270" t="s">
        <v>10075</v>
      </c>
      <c r="F2270">
        <v>11102</v>
      </c>
      <c r="G2270" t="s">
        <v>10092</v>
      </c>
      <c r="H2270" t="s">
        <v>10103</v>
      </c>
      <c r="I2270" t="s">
        <v>10168</v>
      </c>
      <c r="J2270" t="s">
        <v>10212</v>
      </c>
      <c r="K2270" t="s">
        <v>10217</v>
      </c>
      <c r="M2270" t="s">
        <v>10491</v>
      </c>
      <c r="N2270" t="s">
        <v>10695</v>
      </c>
      <c r="P2270" t="s">
        <v>10749</v>
      </c>
      <c r="Q2270" t="s">
        <v>10765</v>
      </c>
      <c r="R2270" t="s">
        <v>10821</v>
      </c>
      <c r="T2270">
        <v>6300</v>
      </c>
      <c r="U2270">
        <v>525</v>
      </c>
      <c r="V2270">
        <v>66</v>
      </c>
      <c r="W2270">
        <v>3</v>
      </c>
      <c r="X2270">
        <v>0</v>
      </c>
      <c r="Z2270">
        <v>29.54</v>
      </c>
      <c r="AA2270">
        <v>40.767759</v>
      </c>
      <c r="AB2270">
        <v>-73.91908100000001</v>
      </c>
      <c r="AD2270" t="s">
        <v>10839</v>
      </c>
      <c r="AG2270" t="s">
        <v>10858</v>
      </c>
      <c r="AH2270" t="s">
        <v>10862</v>
      </c>
      <c r="AI2270">
        <v>237</v>
      </c>
      <c r="AJ2270" t="s">
        <v>10212</v>
      </c>
      <c r="AL2270">
        <v>1.5</v>
      </c>
      <c r="AR2270" t="s">
        <v>11300</v>
      </c>
      <c r="AS2270" t="s">
        <v>11594</v>
      </c>
      <c r="BA2270" t="s">
        <v>11742</v>
      </c>
      <c r="BB2270">
        <v>0</v>
      </c>
      <c r="BC2270">
        <v>0</v>
      </c>
      <c r="BD2270">
        <v>0</v>
      </c>
      <c r="BE2270">
        <v>0</v>
      </c>
      <c r="BF2270">
        <v>7</v>
      </c>
      <c r="BG2270">
        <v>0</v>
      </c>
    </row>
    <row r="2271" spans="1:59">
      <c r="A2271" s="1">
        <f>HYPERLINK("https://lsnyc.legalserver.org/matter/dynamic-profile/view/1906219","19-1906219")</f>
        <v>0</v>
      </c>
      <c r="B2271" t="s">
        <v>1934</v>
      </c>
      <c r="C2271" t="s">
        <v>6726</v>
      </c>
      <c r="D2271" t="s">
        <v>9926</v>
      </c>
      <c r="E2271" t="s">
        <v>10075</v>
      </c>
      <c r="F2271">
        <v>10455</v>
      </c>
      <c r="G2271" t="s">
        <v>10090</v>
      </c>
      <c r="H2271" t="s">
        <v>10103</v>
      </c>
      <c r="I2271" t="s">
        <v>10168</v>
      </c>
      <c r="J2271" t="s">
        <v>10210</v>
      </c>
      <c r="K2271" t="s">
        <v>10218</v>
      </c>
      <c r="L2271" t="s">
        <v>10146</v>
      </c>
      <c r="M2271" t="s">
        <v>10336</v>
      </c>
      <c r="N2271" t="s">
        <v>10671</v>
      </c>
      <c r="P2271" t="s">
        <v>10754</v>
      </c>
      <c r="Q2271" t="s">
        <v>10771</v>
      </c>
      <c r="R2271" t="s">
        <v>10821</v>
      </c>
      <c r="T2271">
        <v>11652</v>
      </c>
      <c r="U2271">
        <v>971</v>
      </c>
      <c r="V2271">
        <v>39</v>
      </c>
      <c r="W2271">
        <v>1</v>
      </c>
      <c r="X2271">
        <v>1</v>
      </c>
      <c r="Y2271" t="s">
        <v>10829</v>
      </c>
      <c r="Z2271">
        <v>68.91</v>
      </c>
      <c r="AA2271">
        <v>40.812911</v>
      </c>
      <c r="AB2271">
        <v>-73.910257</v>
      </c>
      <c r="AD2271" t="s">
        <v>10839</v>
      </c>
      <c r="AG2271" t="s">
        <v>10858</v>
      </c>
      <c r="AH2271" t="s">
        <v>10861</v>
      </c>
      <c r="AI2271">
        <v>234</v>
      </c>
      <c r="AJ2271" t="s">
        <v>10214</v>
      </c>
      <c r="AK2271" t="s">
        <v>10838</v>
      </c>
      <c r="AL2271">
        <v>1.55</v>
      </c>
      <c r="AM2271" t="s">
        <v>10884</v>
      </c>
      <c r="AN2271" t="s">
        <v>10924</v>
      </c>
      <c r="AO2271" t="s">
        <v>11013</v>
      </c>
      <c r="AP2271" t="s">
        <v>11066</v>
      </c>
      <c r="AQ2271" t="s">
        <v>11209</v>
      </c>
      <c r="AR2271" t="s">
        <v>11318</v>
      </c>
      <c r="AS2271" t="s">
        <v>9926</v>
      </c>
      <c r="AT2271" t="s">
        <v>11641</v>
      </c>
      <c r="AX2271" t="s">
        <v>10838</v>
      </c>
      <c r="AY2271" t="s">
        <v>10829</v>
      </c>
      <c r="AZ2271" t="s">
        <v>11683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</row>
    <row r="2272" spans="1:59">
      <c r="A2272" s="1">
        <f>HYPERLINK("https://lsnyc.legalserver.org/matter/dynamic-profile/view/1906220","19-1906220")</f>
        <v>0</v>
      </c>
      <c r="B2272" t="s">
        <v>1935</v>
      </c>
      <c r="C2272" t="s">
        <v>6727</v>
      </c>
      <c r="D2272" t="s">
        <v>9928</v>
      </c>
      <c r="E2272" t="s">
        <v>10075</v>
      </c>
      <c r="F2272">
        <v>11233</v>
      </c>
      <c r="G2272" t="s">
        <v>10093</v>
      </c>
      <c r="H2272" t="s">
        <v>10103</v>
      </c>
      <c r="I2272" t="s">
        <v>10168</v>
      </c>
      <c r="J2272" t="s">
        <v>10213</v>
      </c>
      <c r="K2272" t="s">
        <v>10218</v>
      </c>
      <c r="L2272" t="s">
        <v>10149</v>
      </c>
      <c r="M2272" t="s">
        <v>10317</v>
      </c>
      <c r="N2272" t="s">
        <v>10671</v>
      </c>
      <c r="P2272" t="s">
        <v>10751</v>
      </c>
      <c r="Q2272" t="s">
        <v>10761</v>
      </c>
      <c r="R2272" t="s">
        <v>10824</v>
      </c>
      <c r="T2272">
        <v>14154</v>
      </c>
      <c r="U2272">
        <v>1179.5</v>
      </c>
      <c r="V2272">
        <v>28</v>
      </c>
      <c r="W2272">
        <v>1</v>
      </c>
      <c r="X2272">
        <v>2</v>
      </c>
      <c r="Y2272" t="s">
        <v>10829</v>
      </c>
      <c r="Z2272">
        <v>66.36</v>
      </c>
      <c r="AA2272">
        <v>40.684184</v>
      </c>
      <c r="AB2272">
        <v>-73.914052</v>
      </c>
      <c r="AD2272" t="s">
        <v>10839</v>
      </c>
      <c r="AG2272" t="s">
        <v>10858</v>
      </c>
      <c r="AH2272" t="s">
        <v>10861</v>
      </c>
      <c r="AI2272">
        <v>234</v>
      </c>
      <c r="AJ2272" t="s">
        <v>10214</v>
      </c>
      <c r="AK2272" t="s">
        <v>10882</v>
      </c>
      <c r="AL2272">
        <v>3.65</v>
      </c>
      <c r="AM2272" t="s">
        <v>10889</v>
      </c>
      <c r="AN2272" t="s">
        <v>10922</v>
      </c>
      <c r="AO2272" t="s">
        <v>11007</v>
      </c>
      <c r="AP2272" t="s">
        <v>11064</v>
      </c>
      <c r="AR2272" t="s">
        <v>11405</v>
      </c>
      <c r="AS2272" t="s">
        <v>11595</v>
      </c>
      <c r="AT2272" t="s">
        <v>11641</v>
      </c>
      <c r="AX2272" t="s">
        <v>10838</v>
      </c>
      <c r="AY2272" t="s">
        <v>10829</v>
      </c>
      <c r="AZ2272" t="s">
        <v>11682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</row>
    <row r="2273" spans="1:59">
      <c r="A2273" s="1">
        <f>HYPERLINK("https://lsnyc.legalserver.org/matter/dynamic-profile/view/1906222","19-1906222")</f>
        <v>0</v>
      </c>
      <c r="B2273" t="s">
        <v>1936</v>
      </c>
      <c r="C2273" t="s">
        <v>6728</v>
      </c>
      <c r="D2273" t="s">
        <v>9925</v>
      </c>
      <c r="E2273" t="s">
        <v>10075</v>
      </c>
      <c r="F2273">
        <v>10040</v>
      </c>
      <c r="G2273" t="s">
        <v>10089</v>
      </c>
      <c r="H2273" t="s">
        <v>10103</v>
      </c>
      <c r="I2273" t="s">
        <v>10168</v>
      </c>
      <c r="J2273" t="s">
        <v>10209</v>
      </c>
      <c r="K2273" t="s">
        <v>10217</v>
      </c>
      <c r="M2273" t="s">
        <v>10460</v>
      </c>
      <c r="N2273" t="s">
        <v>10650</v>
      </c>
      <c r="P2273" t="s">
        <v>10749</v>
      </c>
      <c r="Q2273" t="s">
        <v>10765</v>
      </c>
      <c r="R2273" t="s">
        <v>10822</v>
      </c>
      <c r="T2273">
        <v>14400</v>
      </c>
      <c r="U2273">
        <v>1200</v>
      </c>
      <c r="V2273">
        <v>63</v>
      </c>
      <c r="W2273">
        <v>1</v>
      </c>
      <c r="X2273">
        <v>0</v>
      </c>
      <c r="Z2273">
        <v>115.29</v>
      </c>
      <c r="AA2273">
        <v>40.858711</v>
      </c>
      <c r="AB2273">
        <v>-73.931332</v>
      </c>
      <c r="AD2273" t="s">
        <v>10840</v>
      </c>
      <c r="AG2273" t="s">
        <v>10858</v>
      </c>
      <c r="AH2273" t="s">
        <v>10862</v>
      </c>
      <c r="AI2273">
        <v>236</v>
      </c>
      <c r="AJ2273" t="s">
        <v>10209</v>
      </c>
      <c r="AL2273">
        <v>1</v>
      </c>
      <c r="AM2273" t="s">
        <v>10887</v>
      </c>
      <c r="AN2273" t="s">
        <v>10937</v>
      </c>
      <c r="AO2273" t="s">
        <v>11019</v>
      </c>
      <c r="AP2273" t="s">
        <v>11074</v>
      </c>
      <c r="AR2273" t="s">
        <v>11257</v>
      </c>
      <c r="AS2273" t="s">
        <v>9925</v>
      </c>
      <c r="AT2273" t="s">
        <v>11642</v>
      </c>
      <c r="AX2273" t="s">
        <v>10838</v>
      </c>
      <c r="BA2273" t="s">
        <v>11742</v>
      </c>
      <c r="BB2273">
        <v>0</v>
      </c>
      <c r="BC2273">
        <v>0</v>
      </c>
      <c r="BD2273">
        <v>0</v>
      </c>
      <c r="BE2273">
        <v>0</v>
      </c>
      <c r="BF2273">
        <v>7</v>
      </c>
      <c r="BG2273">
        <v>0</v>
      </c>
    </row>
    <row r="2274" spans="1:59">
      <c r="A2274" s="1">
        <f>HYPERLINK("https://lsnyc.legalserver.org/matter/dynamic-profile/view/1906223","19-1906223")</f>
        <v>0</v>
      </c>
      <c r="B2274" t="s">
        <v>1937</v>
      </c>
      <c r="C2274" t="s">
        <v>6729</v>
      </c>
      <c r="D2274" t="s">
        <v>9926</v>
      </c>
      <c r="E2274" t="s">
        <v>10075</v>
      </c>
      <c r="F2274">
        <v>10472</v>
      </c>
      <c r="G2274" t="s">
        <v>10090</v>
      </c>
      <c r="H2274" t="s">
        <v>10134</v>
      </c>
      <c r="I2274" t="s">
        <v>10170</v>
      </c>
      <c r="J2274" t="s">
        <v>10210</v>
      </c>
      <c r="K2274" t="s">
        <v>10217</v>
      </c>
      <c r="M2274" t="s">
        <v>10445</v>
      </c>
      <c r="N2274" t="s">
        <v>10712</v>
      </c>
      <c r="P2274" t="s">
        <v>10753</v>
      </c>
      <c r="Q2274" t="s">
        <v>10763</v>
      </c>
      <c r="R2274" t="s">
        <v>10824</v>
      </c>
      <c r="T2274">
        <v>0</v>
      </c>
      <c r="U2274">
        <v>0</v>
      </c>
      <c r="V2274">
        <v>18</v>
      </c>
      <c r="W2274">
        <v>3</v>
      </c>
      <c r="X2274">
        <v>0</v>
      </c>
      <c r="Z2274">
        <v>0</v>
      </c>
      <c r="AA2274">
        <v>40.828595</v>
      </c>
      <c r="AB2274">
        <v>-73.87464900000001</v>
      </c>
      <c r="AD2274" t="s">
        <v>10840</v>
      </c>
      <c r="AF2274" t="s">
        <v>10842</v>
      </c>
      <c r="AG2274" t="s">
        <v>10859</v>
      </c>
      <c r="AH2274" t="s">
        <v>10864</v>
      </c>
      <c r="AI2274">
        <v>230</v>
      </c>
      <c r="AJ2274" t="s">
        <v>10210</v>
      </c>
      <c r="AL2274">
        <v>4</v>
      </c>
      <c r="AM2274" t="s">
        <v>10884</v>
      </c>
      <c r="AN2274" t="s">
        <v>10968</v>
      </c>
      <c r="AO2274" t="s">
        <v>11001</v>
      </c>
      <c r="AP2274" t="s">
        <v>11046</v>
      </c>
      <c r="AQ2274" t="s">
        <v>11168</v>
      </c>
      <c r="AR2274" t="s">
        <v>11267</v>
      </c>
      <c r="AS2274" t="s">
        <v>9926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</row>
    <row r="2275" spans="1:59">
      <c r="A2275" s="1">
        <f>HYPERLINK("https://lsnyc.legalserver.org/matter/dynamic-profile/view/1906224","19-1906224")</f>
        <v>0</v>
      </c>
      <c r="B2275" t="s">
        <v>1938</v>
      </c>
      <c r="C2275" t="s">
        <v>5063</v>
      </c>
      <c r="D2275" t="s">
        <v>9925</v>
      </c>
      <c r="E2275" t="s">
        <v>10075</v>
      </c>
      <c r="F2275">
        <v>10009</v>
      </c>
      <c r="G2275" t="s">
        <v>10089</v>
      </c>
      <c r="H2275" t="s">
        <v>10121</v>
      </c>
      <c r="I2275" t="s">
        <v>10168</v>
      </c>
      <c r="J2275" t="s">
        <v>10209</v>
      </c>
      <c r="K2275" t="s">
        <v>10217</v>
      </c>
      <c r="M2275" t="s">
        <v>10288</v>
      </c>
      <c r="N2275" t="s">
        <v>10665</v>
      </c>
      <c r="P2275" t="s">
        <v>10750</v>
      </c>
      <c r="Q2275" t="s">
        <v>10799</v>
      </c>
      <c r="R2275" t="s">
        <v>10822</v>
      </c>
      <c r="T2275">
        <v>0</v>
      </c>
      <c r="U2275">
        <v>0</v>
      </c>
      <c r="V2275">
        <v>61</v>
      </c>
      <c r="W2275">
        <v>1</v>
      </c>
      <c r="X2275">
        <v>0</v>
      </c>
      <c r="Z2275">
        <v>0</v>
      </c>
      <c r="AA2275">
        <v>40.722119</v>
      </c>
      <c r="AB2275">
        <v>-73.981284</v>
      </c>
      <c r="AD2275" t="s">
        <v>10840</v>
      </c>
      <c r="AG2275" t="s">
        <v>10858</v>
      </c>
      <c r="AH2275" t="s">
        <v>10861</v>
      </c>
      <c r="AI2275">
        <v>236</v>
      </c>
      <c r="AJ2275" t="s">
        <v>10209</v>
      </c>
      <c r="AL2275">
        <v>1.35</v>
      </c>
      <c r="AM2275" t="s">
        <v>10891</v>
      </c>
      <c r="AN2275" t="s">
        <v>10910</v>
      </c>
      <c r="AO2275" t="s">
        <v>11004</v>
      </c>
      <c r="AP2275" t="s">
        <v>11048</v>
      </c>
      <c r="AQ2275" t="s">
        <v>11169</v>
      </c>
      <c r="AR2275" t="s">
        <v>11267</v>
      </c>
      <c r="AS2275" t="s">
        <v>9925</v>
      </c>
      <c r="AT2275" t="s">
        <v>11642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</row>
    <row r="2276" spans="1:59">
      <c r="A2276" s="1">
        <f>HYPERLINK("https://lsnyc.legalserver.org/matter/dynamic-profile/view/1906225","19-1906225")</f>
        <v>0</v>
      </c>
      <c r="B2276" t="s">
        <v>1075</v>
      </c>
      <c r="C2276" t="s">
        <v>6730</v>
      </c>
      <c r="D2276" t="s">
        <v>9925</v>
      </c>
      <c r="E2276" t="s">
        <v>10075</v>
      </c>
      <c r="F2276">
        <v>10001</v>
      </c>
      <c r="G2276" t="s">
        <v>10089</v>
      </c>
      <c r="H2276" t="s">
        <v>10103</v>
      </c>
      <c r="I2276" t="s">
        <v>10168</v>
      </c>
      <c r="J2276" t="s">
        <v>10209</v>
      </c>
      <c r="K2276" t="s">
        <v>10217</v>
      </c>
      <c r="M2276" t="s">
        <v>10381</v>
      </c>
      <c r="N2276" t="s">
        <v>10694</v>
      </c>
      <c r="P2276" t="s">
        <v>10751</v>
      </c>
      <c r="Q2276" t="s">
        <v>10768</v>
      </c>
      <c r="R2276" t="s">
        <v>10821</v>
      </c>
      <c r="T2276">
        <v>6396</v>
      </c>
      <c r="U2276">
        <v>533</v>
      </c>
      <c r="V2276">
        <v>66</v>
      </c>
      <c r="W2276">
        <v>1</v>
      </c>
      <c r="X2276">
        <v>0</v>
      </c>
      <c r="Z2276">
        <v>51.21</v>
      </c>
      <c r="AA2276">
        <v>40.749216</v>
      </c>
      <c r="AB2276">
        <v>-74.00263200000001</v>
      </c>
      <c r="AD2276" t="s">
        <v>10840</v>
      </c>
      <c r="AG2276" t="s">
        <v>10858</v>
      </c>
      <c r="AH2276" t="s">
        <v>10861</v>
      </c>
      <c r="AI2276">
        <v>236</v>
      </c>
      <c r="AJ2276" t="s">
        <v>10209</v>
      </c>
      <c r="AL2276">
        <v>5.25</v>
      </c>
      <c r="AM2276" t="s">
        <v>10894</v>
      </c>
      <c r="AN2276" t="s">
        <v>10966</v>
      </c>
      <c r="AO2276" t="s">
        <v>11021</v>
      </c>
      <c r="AP2276" t="s">
        <v>11090</v>
      </c>
      <c r="AR2276" t="s">
        <v>11283</v>
      </c>
      <c r="AS2276" t="s">
        <v>9925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</row>
    <row r="2277" spans="1:59">
      <c r="A2277" s="1">
        <f>HYPERLINK("https://lsnyc.legalserver.org/matter/dynamic-profile/view/1906226","19-1906226")</f>
        <v>0</v>
      </c>
      <c r="B2277" t="s">
        <v>1131</v>
      </c>
      <c r="C2277" t="s">
        <v>6304</v>
      </c>
      <c r="D2277" t="s">
        <v>9929</v>
      </c>
      <c r="E2277" t="s">
        <v>10075</v>
      </c>
      <c r="F2277">
        <v>10309</v>
      </c>
      <c r="G2277" t="s">
        <v>10088</v>
      </c>
      <c r="H2277" t="s">
        <v>10109</v>
      </c>
      <c r="I2277" t="s">
        <v>10168</v>
      </c>
      <c r="J2277" t="s">
        <v>10208</v>
      </c>
      <c r="K2277" t="s">
        <v>10218</v>
      </c>
      <c r="L2277" t="s">
        <v>10111</v>
      </c>
      <c r="M2277" t="s">
        <v>10542</v>
      </c>
      <c r="N2277" t="s">
        <v>10729</v>
      </c>
      <c r="P2277" t="s">
        <v>10754</v>
      </c>
      <c r="Q2277" t="s">
        <v>10770</v>
      </c>
      <c r="R2277" t="s">
        <v>10824</v>
      </c>
      <c r="T2277">
        <v>520</v>
      </c>
      <c r="U2277">
        <v>43.33</v>
      </c>
      <c r="V2277">
        <v>54</v>
      </c>
      <c r="W2277">
        <v>3</v>
      </c>
      <c r="X2277">
        <v>0</v>
      </c>
      <c r="Y2277" t="s">
        <v>10829</v>
      </c>
      <c r="Z2277">
        <v>2.44</v>
      </c>
      <c r="AA2277">
        <v>40.534416</v>
      </c>
      <c r="AB2277">
        <v>-74.206445</v>
      </c>
      <c r="AD2277" t="s">
        <v>10839</v>
      </c>
      <c r="AF2277" t="s">
        <v>10843</v>
      </c>
      <c r="AG2277" t="s">
        <v>10859</v>
      </c>
      <c r="AH2277" t="s">
        <v>10865</v>
      </c>
      <c r="AI2277">
        <v>285</v>
      </c>
      <c r="AJ2277" t="s">
        <v>10208</v>
      </c>
      <c r="AK2277" t="s">
        <v>10837</v>
      </c>
      <c r="AL2277">
        <v>1</v>
      </c>
      <c r="AM2277" t="s">
        <v>10883</v>
      </c>
      <c r="AN2277" t="s">
        <v>10906</v>
      </c>
      <c r="AO2277" t="s">
        <v>10999</v>
      </c>
      <c r="AP2277" t="s">
        <v>11044</v>
      </c>
      <c r="AQ2277" t="s">
        <v>11122</v>
      </c>
      <c r="AR2277" t="s">
        <v>11382</v>
      </c>
      <c r="AS2277" t="s">
        <v>11593</v>
      </c>
      <c r="AY2277" t="s">
        <v>10829</v>
      </c>
      <c r="AZ2277" t="s">
        <v>11683</v>
      </c>
      <c r="BA2277" t="s">
        <v>11741</v>
      </c>
      <c r="BB2277">
        <v>0</v>
      </c>
      <c r="BC2277">
        <v>0</v>
      </c>
      <c r="BD2277">
        <v>0</v>
      </c>
      <c r="BE2277">
        <v>0</v>
      </c>
      <c r="BF2277">
        <v>1</v>
      </c>
      <c r="BG2277">
        <v>0</v>
      </c>
    </row>
    <row r="2278" spans="1:59">
      <c r="A2278" s="1">
        <f>HYPERLINK("https://lsnyc.legalserver.org/matter/dynamic-profile/view/1906227","19-1906227")</f>
        <v>0</v>
      </c>
      <c r="B2278" t="s">
        <v>1939</v>
      </c>
      <c r="C2278" t="s">
        <v>6731</v>
      </c>
      <c r="D2278" t="s">
        <v>9926</v>
      </c>
      <c r="E2278" t="s">
        <v>10075</v>
      </c>
      <c r="F2278">
        <v>10451</v>
      </c>
      <c r="G2278" t="s">
        <v>10090</v>
      </c>
      <c r="H2278" t="s">
        <v>10103</v>
      </c>
      <c r="I2278" t="s">
        <v>10168</v>
      </c>
      <c r="J2278" t="s">
        <v>10210</v>
      </c>
      <c r="K2278" t="s">
        <v>10217</v>
      </c>
      <c r="M2278" t="s">
        <v>10397</v>
      </c>
      <c r="N2278" t="s">
        <v>10650</v>
      </c>
      <c r="P2278" t="s">
        <v>10749</v>
      </c>
      <c r="Q2278" t="s">
        <v>10765</v>
      </c>
      <c r="R2278" t="s">
        <v>10821</v>
      </c>
      <c r="T2278">
        <v>5400</v>
      </c>
      <c r="U2278">
        <v>450</v>
      </c>
      <c r="V2278">
        <v>30</v>
      </c>
      <c r="W2278">
        <v>1</v>
      </c>
      <c r="X2278">
        <v>3</v>
      </c>
      <c r="Z2278">
        <v>20.97</v>
      </c>
      <c r="AA2278">
        <v>40.826632</v>
      </c>
      <c r="AB2278">
        <v>-73.91461200000001</v>
      </c>
      <c r="AD2278" t="s">
        <v>10839</v>
      </c>
      <c r="AG2278" t="s">
        <v>10858</v>
      </c>
      <c r="AH2278" t="s">
        <v>10862</v>
      </c>
      <c r="AI2278">
        <v>230</v>
      </c>
      <c r="AJ2278" t="s">
        <v>10210</v>
      </c>
      <c r="AL2278">
        <v>0</v>
      </c>
      <c r="AM2278" t="s">
        <v>10884</v>
      </c>
      <c r="AN2278" t="s">
        <v>10929</v>
      </c>
      <c r="AO2278" t="s">
        <v>11001</v>
      </c>
      <c r="AP2278" t="s">
        <v>11062</v>
      </c>
      <c r="AR2278" t="s">
        <v>11255</v>
      </c>
      <c r="AS2278" t="s">
        <v>9926</v>
      </c>
      <c r="AT2278" t="s">
        <v>11641</v>
      </c>
      <c r="AX2278" t="s">
        <v>10838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</row>
    <row r="2279" spans="1:59">
      <c r="A2279" s="1">
        <f>HYPERLINK("https://lsnyc.legalserver.org/matter/dynamic-profile/view/1906228","19-1906228")</f>
        <v>0</v>
      </c>
      <c r="B2279" t="s">
        <v>1940</v>
      </c>
      <c r="C2279" t="s">
        <v>6732</v>
      </c>
      <c r="D2279" t="s">
        <v>9926</v>
      </c>
      <c r="E2279" t="s">
        <v>10075</v>
      </c>
      <c r="F2279">
        <v>10463</v>
      </c>
      <c r="G2279" t="s">
        <v>10089</v>
      </c>
      <c r="H2279" t="s">
        <v>10103</v>
      </c>
      <c r="I2279" t="s">
        <v>10169</v>
      </c>
      <c r="J2279" t="s">
        <v>10209</v>
      </c>
      <c r="K2279" t="s">
        <v>10217</v>
      </c>
      <c r="M2279" t="s">
        <v>10460</v>
      </c>
      <c r="N2279" t="s">
        <v>10650</v>
      </c>
      <c r="P2279" t="s">
        <v>10749</v>
      </c>
      <c r="Q2279" t="s">
        <v>10765</v>
      </c>
      <c r="R2279" t="s">
        <v>10821</v>
      </c>
      <c r="T2279">
        <v>10608</v>
      </c>
      <c r="U2279">
        <v>884</v>
      </c>
      <c r="V2279">
        <v>70</v>
      </c>
      <c r="W2279">
        <v>1</v>
      </c>
      <c r="X2279">
        <v>1</v>
      </c>
      <c r="Z2279">
        <v>62.73</v>
      </c>
      <c r="AA2279">
        <v>40.875991</v>
      </c>
      <c r="AB2279">
        <v>-73.9132</v>
      </c>
      <c r="AD2279" t="s">
        <v>10840</v>
      </c>
      <c r="AG2279" t="s">
        <v>10858</v>
      </c>
      <c r="AH2279" t="s">
        <v>10862</v>
      </c>
      <c r="AI2279">
        <v>236</v>
      </c>
      <c r="AJ2279" t="s">
        <v>10209</v>
      </c>
      <c r="AL2279">
        <v>0</v>
      </c>
      <c r="AM2279" t="s">
        <v>10887</v>
      </c>
      <c r="AN2279" t="s">
        <v>10937</v>
      </c>
      <c r="AO2279" t="s">
        <v>11019</v>
      </c>
      <c r="AP2279" t="s">
        <v>11074</v>
      </c>
      <c r="AR2279" t="s">
        <v>11268</v>
      </c>
      <c r="AS2279" t="s">
        <v>9926</v>
      </c>
      <c r="AT2279" t="s">
        <v>11642</v>
      </c>
      <c r="AX2279" t="s">
        <v>10838</v>
      </c>
      <c r="BA2279" t="s">
        <v>11742</v>
      </c>
      <c r="BB2279">
        <v>0</v>
      </c>
      <c r="BC2279">
        <v>0</v>
      </c>
      <c r="BD2279">
        <v>0</v>
      </c>
      <c r="BE2279">
        <v>0</v>
      </c>
      <c r="BF2279">
        <v>7</v>
      </c>
      <c r="BG2279">
        <v>0</v>
      </c>
    </row>
    <row r="2280" spans="1:59">
      <c r="A2280" s="1">
        <f>HYPERLINK("https://lsnyc.legalserver.org/matter/dynamic-profile/view/1906229","19-1906229")</f>
        <v>0</v>
      </c>
      <c r="B2280" t="s">
        <v>1941</v>
      </c>
      <c r="C2280" t="s">
        <v>6733</v>
      </c>
      <c r="D2280" t="s">
        <v>9925</v>
      </c>
      <c r="E2280" t="s">
        <v>10075</v>
      </c>
      <c r="F2280">
        <v>10009</v>
      </c>
      <c r="G2280" t="s">
        <v>10089</v>
      </c>
      <c r="H2280" t="s">
        <v>10103</v>
      </c>
      <c r="I2280" t="s">
        <v>10168</v>
      </c>
      <c r="J2280" t="s">
        <v>10209</v>
      </c>
      <c r="K2280" t="s">
        <v>10218</v>
      </c>
      <c r="L2280" t="s">
        <v>10116</v>
      </c>
      <c r="M2280" t="s">
        <v>10332</v>
      </c>
      <c r="N2280" t="s">
        <v>10646</v>
      </c>
      <c r="P2280" t="s">
        <v>10749</v>
      </c>
      <c r="Q2280" t="s">
        <v>10767</v>
      </c>
      <c r="R2280" t="s">
        <v>10823</v>
      </c>
      <c r="T2280">
        <v>33600</v>
      </c>
      <c r="U2280">
        <v>2800</v>
      </c>
      <c r="V2280">
        <v>84</v>
      </c>
      <c r="W2280">
        <v>1</v>
      </c>
      <c r="X2280">
        <v>0</v>
      </c>
      <c r="Y2280" t="s">
        <v>10829</v>
      </c>
      <c r="Z2280">
        <v>269.02</v>
      </c>
      <c r="AA2280">
        <v>40.720628</v>
      </c>
      <c r="AB2280">
        <v>-73.977784</v>
      </c>
      <c r="AC2280" t="s">
        <v>10837</v>
      </c>
      <c r="AD2280" t="s">
        <v>10840</v>
      </c>
      <c r="AG2280" t="s">
        <v>10858</v>
      </c>
      <c r="AH2280" t="s">
        <v>10861</v>
      </c>
      <c r="AI2280">
        <v>234</v>
      </c>
      <c r="AJ2280" t="s">
        <v>10214</v>
      </c>
      <c r="AK2280" t="s">
        <v>10882</v>
      </c>
      <c r="AL2280">
        <v>1.1</v>
      </c>
      <c r="AM2280" t="s">
        <v>10886</v>
      </c>
      <c r="AN2280" t="s">
        <v>10910</v>
      </c>
      <c r="AO2280" t="s">
        <v>11004</v>
      </c>
      <c r="AP2280" t="s">
        <v>11048</v>
      </c>
      <c r="AR2280" t="s">
        <v>11345</v>
      </c>
      <c r="AS2280" t="s">
        <v>9925</v>
      </c>
      <c r="AT2280" t="s">
        <v>11642</v>
      </c>
      <c r="AX2280" t="s">
        <v>10838</v>
      </c>
      <c r="AY2280" t="s">
        <v>10829</v>
      </c>
      <c r="AZ2280" t="s">
        <v>11681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</row>
    <row r="2281" spans="1:59">
      <c r="A2281" s="1">
        <f>HYPERLINK("https://lsnyc.legalserver.org/matter/dynamic-profile/view/1906230","19-1906230")</f>
        <v>0</v>
      </c>
      <c r="B2281" t="s">
        <v>1591</v>
      </c>
      <c r="C2281" t="s">
        <v>6599</v>
      </c>
      <c r="D2281" t="s">
        <v>9929</v>
      </c>
      <c r="E2281" t="s">
        <v>10075</v>
      </c>
      <c r="F2281">
        <v>10310</v>
      </c>
      <c r="G2281" t="s">
        <v>10088</v>
      </c>
      <c r="H2281" t="s">
        <v>10109</v>
      </c>
      <c r="I2281" t="s">
        <v>10169</v>
      </c>
      <c r="J2281" t="s">
        <v>10208</v>
      </c>
      <c r="K2281" t="s">
        <v>10217</v>
      </c>
      <c r="M2281" t="s">
        <v>10567</v>
      </c>
      <c r="N2281" t="s">
        <v>10729</v>
      </c>
      <c r="P2281" t="s">
        <v>10754</v>
      </c>
      <c r="Q2281" t="s">
        <v>10770</v>
      </c>
      <c r="R2281" t="s">
        <v>10821</v>
      </c>
      <c r="T2281">
        <v>17000</v>
      </c>
      <c r="U2281">
        <v>1416.67</v>
      </c>
      <c r="V2281">
        <v>27</v>
      </c>
      <c r="W2281">
        <v>1</v>
      </c>
      <c r="X2281">
        <v>2</v>
      </c>
      <c r="Z2281">
        <v>79.7</v>
      </c>
      <c r="AA2281">
        <v>40.626497</v>
      </c>
      <c r="AB2281">
        <v>-74.127882</v>
      </c>
      <c r="AD2281" t="s">
        <v>10840</v>
      </c>
      <c r="AF2281" t="s">
        <v>10844</v>
      </c>
      <c r="AG2281" t="s">
        <v>10859</v>
      </c>
      <c r="AH2281" t="s">
        <v>10865</v>
      </c>
      <c r="AI2281">
        <v>285</v>
      </c>
      <c r="AJ2281" t="s">
        <v>10208</v>
      </c>
      <c r="AL2281">
        <v>0.9</v>
      </c>
      <c r="AM2281" t="s">
        <v>10883</v>
      </c>
      <c r="AN2281" t="s">
        <v>10913</v>
      </c>
      <c r="AO2281" t="s">
        <v>10999</v>
      </c>
      <c r="AP2281" t="s">
        <v>11051</v>
      </c>
      <c r="AQ2281" t="s">
        <v>11111</v>
      </c>
      <c r="AR2281" t="s">
        <v>11257</v>
      </c>
      <c r="AS2281" t="s">
        <v>11593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</row>
    <row r="2282" spans="1:59">
      <c r="A2282" s="1">
        <f>HYPERLINK("https://lsnyc.legalserver.org/matter/dynamic-profile/view/1906231","19-1906231")</f>
        <v>0</v>
      </c>
      <c r="B2282" t="s">
        <v>1938</v>
      </c>
      <c r="C2282" t="s">
        <v>5063</v>
      </c>
      <c r="D2282" t="s">
        <v>9925</v>
      </c>
      <c r="E2282" t="s">
        <v>10075</v>
      </c>
      <c r="F2282">
        <v>10009</v>
      </c>
      <c r="G2282" t="s">
        <v>10089</v>
      </c>
      <c r="H2282" t="s">
        <v>10121</v>
      </c>
      <c r="I2282" t="s">
        <v>10168</v>
      </c>
      <c r="J2282" t="s">
        <v>10209</v>
      </c>
      <c r="K2282" t="s">
        <v>10217</v>
      </c>
      <c r="M2282" t="s">
        <v>10288</v>
      </c>
      <c r="N2282" t="s">
        <v>10665</v>
      </c>
      <c r="P2282" t="s">
        <v>10751</v>
      </c>
      <c r="Q2282" t="s">
        <v>10773</v>
      </c>
      <c r="R2282" t="s">
        <v>10822</v>
      </c>
      <c r="T2282">
        <v>0</v>
      </c>
      <c r="U2282">
        <v>0</v>
      </c>
      <c r="V2282">
        <v>61</v>
      </c>
      <c r="W2282">
        <v>1</v>
      </c>
      <c r="X2282">
        <v>0</v>
      </c>
      <c r="Z2282">
        <v>0</v>
      </c>
      <c r="AA2282">
        <v>40.722119</v>
      </c>
      <c r="AB2282">
        <v>-73.981284</v>
      </c>
      <c r="AD2282" t="s">
        <v>10840</v>
      </c>
      <c r="AG2282" t="s">
        <v>10858</v>
      </c>
      <c r="AH2282" t="s">
        <v>10861</v>
      </c>
      <c r="AI2282">
        <v>236</v>
      </c>
      <c r="AJ2282" t="s">
        <v>10209</v>
      </c>
      <c r="AL2282">
        <v>4.05</v>
      </c>
      <c r="AM2282" t="s">
        <v>10891</v>
      </c>
      <c r="AN2282" t="s">
        <v>10910</v>
      </c>
      <c r="AO2282" t="s">
        <v>11004</v>
      </c>
      <c r="AP2282" t="s">
        <v>11048</v>
      </c>
      <c r="AR2282" t="s">
        <v>11267</v>
      </c>
      <c r="AS2282" t="s">
        <v>9925</v>
      </c>
      <c r="AT2282" t="s">
        <v>11641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</row>
    <row r="2283" spans="1:59">
      <c r="A2283" s="1">
        <f>HYPERLINK("https://lsnyc.legalserver.org/matter/dynamic-profile/view/1906232","19-1906232")</f>
        <v>0</v>
      </c>
      <c r="B2283" t="s">
        <v>1942</v>
      </c>
      <c r="C2283" t="s">
        <v>6631</v>
      </c>
      <c r="D2283" t="s">
        <v>9925</v>
      </c>
      <c r="E2283" t="s">
        <v>10075</v>
      </c>
      <c r="F2283">
        <v>10040</v>
      </c>
      <c r="G2283" t="s">
        <v>10089</v>
      </c>
      <c r="H2283" t="s">
        <v>10103</v>
      </c>
      <c r="I2283" t="s">
        <v>10168</v>
      </c>
      <c r="J2283" t="s">
        <v>10209</v>
      </c>
      <c r="K2283" t="s">
        <v>10217</v>
      </c>
      <c r="M2283" t="s">
        <v>10460</v>
      </c>
      <c r="N2283" t="s">
        <v>10650</v>
      </c>
      <c r="P2283" t="s">
        <v>10749</v>
      </c>
      <c r="Q2283" t="s">
        <v>10765</v>
      </c>
      <c r="R2283" t="s">
        <v>10822</v>
      </c>
      <c r="T2283">
        <v>9072</v>
      </c>
      <c r="U2283">
        <v>756</v>
      </c>
      <c r="V2283">
        <v>64</v>
      </c>
      <c r="W2283">
        <v>1</v>
      </c>
      <c r="X2283">
        <v>0</v>
      </c>
      <c r="Z2283">
        <v>72.63</v>
      </c>
      <c r="AA2283">
        <v>40.863464</v>
      </c>
      <c r="AB2283">
        <v>-73.92723100000001</v>
      </c>
      <c r="AD2283" t="s">
        <v>10839</v>
      </c>
      <c r="AG2283" t="s">
        <v>10858</v>
      </c>
      <c r="AH2283" t="s">
        <v>10862</v>
      </c>
      <c r="AI2283">
        <v>236</v>
      </c>
      <c r="AJ2283" t="s">
        <v>10209</v>
      </c>
      <c r="AL2283">
        <v>0.3</v>
      </c>
      <c r="AM2283" t="s">
        <v>10887</v>
      </c>
      <c r="AN2283" t="s">
        <v>10937</v>
      </c>
      <c r="AO2283" t="s">
        <v>11019</v>
      </c>
      <c r="AP2283" t="s">
        <v>11074</v>
      </c>
      <c r="AR2283" t="s">
        <v>11268</v>
      </c>
      <c r="AS2283" t="s">
        <v>9925</v>
      </c>
      <c r="AT2283" t="s">
        <v>11641</v>
      </c>
      <c r="AX2283" t="s">
        <v>10838</v>
      </c>
      <c r="BA2283" t="s">
        <v>11742</v>
      </c>
      <c r="BB2283">
        <v>0</v>
      </c>
      <c r="BC2283">
        <v>0</v>
      </c>
      <c r="BD2283">
        <v>0</v>
      </c>
      <c r="BE2283">
        <v>0</v>
      </c>
      <c r="BF2283">
        <v>7</v>
      </c>
      <c r="BG2283">
        <v>0</v>
      </c>
    </row>
    <row r="2284" spans="1:59">
      <c r="A2284" s="1">
        <f>HYPERLINK("https://lsnyc.legalserver.org/matter/dynamic-profile/view/1906233","19-1906233")</f>
        <v>0</v>
      </c>
      <c r="B2284" t="s">
        <v>1943</v>
      </c>
      <c r="C2284" t="s">
        <v>6734</v>
      </c>
      <c r="D2284" t="s">
        <v>9941</v>
      </c>
      <c r="E2284" t="s">
        <v>10075</v>
      </c>
      <c r="F2284">
        <v>11429</v>
      </c>
      <c r="G2284" t="s">
        <v>10092</v>
      </c>
      <c r="H2284" t="s">
        <v>10103</v>
      </c>
      <c r="I2284" t="s">
        <v>10168</v>
      </c>
      <c r="J2284" t="s">
        <v>10212</v>
      </c>
      <c r="K2284" t="s">
        <v>10217</v>
      </c>
      <c r="M2284" t="s">
        <v>10452</v>
      </c>
      <c r="N2284" t="s">
        <v>10678</v>
      </c>
      <c r="P2284" t="s">
        <v>10749</v>
      </c>
      <c r="Q2284" t="s">
        <v>10769</v>
      </c>
      <c r="R2284" t="s">
        <v>10824</v>
      </c>
      <c r="T2284">
        <v>19860</v>
      </c>
      <c r="U2284">
        <v>1655</v>
      </c>
      <c r="V2284">
        <v>60</v>
      </c>
      <c r="W2284">
        <v>1</v>
      </c>
      <c r="X2284">
        <v>2</v>
      </c>
      <c r="Z2284">
        <v>93.11</v>
      </c>
      <c r="AA2284">
        <v>40.720031</v>
      </c>
      <c r="AB2284">
        <v>-73.73066799999999</v>
      </c>
      <c r="AC2284" t="s">
        <v>10837</v>
      </c>
      <c r="AD2284" t="s">
        <v>10840</v>
      </c>
      <c r="AG2284" t="s">
        <v>10858</v>
      </c>
      <c r="AH2284" t="s">
        <v>10861</v>
      </c>
      <c r="AI2284">
        <v>234</v>
      </c>
      <c r="AJ2284" t="s">
        <v>10214</v>
      </c>
      <c r="AL2284">
        <v>7</v>
      </c>
      <c r="AM2284" t="s">
        <v>10892</v>
      </c>
      <c r="AN2284" t="s">
        <v>10940</v>
      </c>
      <c r="AO2284" t="s">
        <v>11020</v>
      </c>
      <c r="AP2284" t="s">
        <v>11075</v>
      </c>
      <c r="AR2284" t="s">
        <v>11303</v>
      </c>
      <c r="AS2284" t="s">
        <v>11594</v>
      </c>
      <c r="AT2284" t="s">
        <v>11642</v>
      </c>
      <c r="AX2284" t="s">
        <v>10838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</row>
    <row r="2285" spans="1:59">
      <c r="A2285" s="1">
        <f>HYPERLINK("https://lsnyc.legalserver.org/matter/dynamic-profile/view/1906234","19-1906234")</f>
        <v>0</v>
      </c>
      <c r="B2285" t="s">
        <v>1944</v>
      </c>
      <c r="C2285" t="s">
        <v>6735</v>
      </c>
      <c r="D2285" t="s">
        <v>9928</v>
      </c>
      <c r="E2285" t="s">
        <v>10075</v>
      </c>
      <c r="F2285">
        <v>11216</v>
      </c>
      <c r="G2285" t="s">
        <v>10093</v>
      </c>
      <c r="H2285" t="s">
        <v>10103</v>
      </c>
      <c r="I2285" t="s">
        <v>10168</v>
      </c>
      <c r="J2285" t="s">
        <v>10213</v>
      </c>
      <c r="K2285" t="s">
        <v>10217</v>
      </c>
      <c r="M2285" t="s">
        <v>10358</v>
      </c>
      <c r="N2285" t="s">
        <v>10688</v>
      </c>
      <c r="P2285" t="s">
        <v>10752</v>
      </c>
      <c r="Q2285" t="s">
        <v>10783</v>
      </c>
      <c r="R2285" t="s">
        <v>10824</v>
      </c>
      <c r="T2285">
        <v>14400</v>
      </c>
      <c r="U2285">
        <v>1200</v>
      </c>
      <c r="V2285">
        <v>67</v>
      </c>
      <c r="W2285">
        <v>1</v>
      </c>
      <c r="X2285">
        <v>0</v>
      </c>
      <c r="Z2285">
        <v>115.29</v>
      </c>
      <c r="AA2285">
        <v>40.677959</v>
      </c>
      <c r="AB2285">
        <v>-73.945075</v>
      </c>
      <c r="AD2285" t="s">
        <v>10840</v>
      </c>
      <c r="AG2285" t="s">
        <v>10858</v>
      </c>
      <c r="AH2285" t="s">
        <v>10871</v>
      </c>
      <c r="AI2285">
        <v>239</v>
      </c>
      <c r="AJ2285" t="s">
        <v>10213</v>
      </c>
      <c r="AL2285">
        <v>5.75</v>
      </c>
      <c r="AM2285" t="s">
        <v>10889</v>
      </c>
      <c r="AN2285" t="s">
        <v>10914</v>
      </c>
      <c r="AO2285" t="s">
        <v>11007</v>
      </c>
      <c r="AP2285" t="s">
        <v>11052</v>
      </c>
      <c r="AQ2285" t="s">
        <v>11210</v>
      </c>
      <c r="AR2285" t="s">
        <v>11257</v>
      </c>
      <c r="AS2285" t="s">
        <v>11595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</row>
    <row r="2286" spans="1:59">
      <c r="A2286" s="1">
        <f>HYPERLINK("https://lsnyc.legalserver.org/matter/dynamic-profile/view/1906235","19-1906235")</f>
        <v>0</v>
      </c>
      <c r="B2286" t="s">
        <v>1179</v>
      </c>
      <c r="C2286" t="s">
        <v>5508</v>
      </c>
      <c r="D2286" t="s">
        <v>9926</v>
      </c>
      <c r="E2286" t="s">
        <v>10075</v>
      </c>
      <c r="F2286">
        <v>10455</v>
      </c>
      <c r="G2286" t="s">
        <v>10090</v>
      </c>
      <c r="H2286" t="s">
        <v>10103</v>
      </c>
      <c r="I2286" t="s">
        <v>10168</v>
      </c>
      <c r="J2286" t="s">
        <v>10210</v>
      </c>
      <c r="K2286" t="s">
        <v>10217</v>
      </c>
      <c r="M2286" t="s">
        <v>10517</v>
      </c>
      <c r="N2286" t="s">
        <v>10650</v>
      </c>
      <c r="P2286" t="s">
        <v>10749</v>
      </c>
      <c r="Q2286" t="s">
        <v>10765</v>
      </c>
      <c r="R2286" t="s">
        <v>10824</v>
      </c>
      <c r="T2286">
        <v>4870.8</v>
      </c>
      <c r="U2286">
        <v>405.9</v>
      </c>
      <c r="V2286">
        <v>34</v>
      </c>
      <c r="W2286">
        <v>1</v>
      </c>
      <c r="X2286">
        <v>3</v>
      </c>
      <c r="Z2286">
        <v>18.92</v>
      </c>
      <c r="AA2286">
        <v>40.814695</v>
      </c>
      <c r="AB2286">
        <v>-73.910837</v>
      </c>
      <c r="AD2286" t="s">
        <v>10839</v>
      </c>
      <c r="AG2286" t="s">
        <v>10858</v>
      </c>
      <c r="AH2286" t="s">
        <v>10862</v>
      </c>
      <c r="AI2286">
        <v>230</v>
      </c>
      <c r="AJ2286" t="s">
        <v>10210</v>
      </c>
      <c r="AL2286">
        <v>0</v>
      </c>
      <c r="AR2286" t="s">
        <v>11273</v>
      </c>
      <c r="AS2286" t="s">
        <v>9926</v>
      </c>
      <c r="BA2286" t="s">
        <v>11739</v>
      </c>
      <c r="BB2286">
        <v>0</v>
      </c>
      <c r="BC2286">
        <v>0</v>
      </c>
      <c r="BD2286">
        <v>0</v>
      </c>
      <c r="BE2286">
        <v>0</v>
      </c>
      <c r="BF2286">
        <v>4</v>
      </c>
      <c r="BG2286">
        <v>0</v>
      </c>
    </row>
    <row r="2287" spans="1:59">
      <c r="A2287" s="1">
        <f>HYPERLINK("https://lsnyc.legalserver.org/matter/dynamic-profile/view/1906236","19-1906236")</f>
        <v>0</v>
      </c>
      <c r="B2287" t="s">
        <v>1945</v>
      </c>
      <c r="C2287" t="s">
        <v>6736</v>
      </c>
      <c r="D2287" t="s">
        <v>9926</v>
      </c>
      <c r="E2287" t="s">
        <v>10075</v>
      </c>
      <c r="F2287">
        <v>10469</v>
      </c>
      <c r="G2287" t="s">
        <v>10090</v>
      </c>
      <c r="H2287" t="s">
        <v>10110</v>
      </c>
      <c r="I2287" t="s">
        <v>10168</v>
      </c>
      <c r="J2287" t="s">
        <v>10210</v>
      </c>
      <c r="K2287" t="s">
        <v>10218</v>
      </c>
      <c r="L2287" t="s">
        <v>10115</v>
      </c>
      <c r="M2287" t="s">
        <v>10548</v>
      </c>
      <c r="N2287" t="s">
        <v>10677</v>
      </c>
      <c r="P2287" t="s">
        <v>10757</v>
      </c>
      <c r="Q2287" t="s">
        <v>10789</v>
      </c>
      <c r="R2287" t="s">
        <v>10821</v>
      </c>
      <c r="T2287">
        <v>17940</v>
      </c>
      <c r="U2287">
        <v>1495</v>
      </c>
      <c r="V2287">
        <v>65</v>
      </c>
      <c r="W2287">
        <v>1</v>
      </c>
      <c r="X2287">
        <v>0</v>
      </c>
      <c r="Y2287" t="s">
        <v>10830</v>
      </c>
      <c r="Z2287">
        <v>143.63</v>
      </c>
      <c r="AA2287">
        <v>40.863509</v>
      </c>
      <c r="AB2287">
        <v>-73.853657</v>
      </c>
      <c r="AD2287" t="s">
        <v>10840</v>
      </c>
      <c r="AG2287" t="s">
        <v>10858</v>
      </c>
      <c r="AH2287" t="s">
        <v>10861</v>
      </c>
      <c r="AI2287">
        <v>234</v>
      </c>
      <c r="AJ2287" t="s">
        <v>10214</v>
      </c>
      <c r="AK2287" t="s">
        <v>10838</v>
      </c>
      <c r="AL2287">
        <v>11.5</v>
      </c>
      <c r="AM2287" t="s">
        <v>10885</v>
      </c>
      <c r="AN2287" t="s">
        <v>10938</v>
      </c>
      <c r="AO2287" t="s">
        <v>11002</v>
      </c>
      <c r="AP2287" t="s">
        <v>11049</v>
      </c>
      <c r="AR2287" t="s">
        <v>11264</v>
      </c>
      <c r="AS2287" t="s">
        <v>9926</v>
      </c>
      <c r="AT2287" t="s">
        <v>11642</v>
      </c>
      <c r="AX2287" t="s">
        <v>10838</v>
      </c>
      <c r="AY2287" t="s">
        <v>10830</v>
      </c>
      <c r="AZ2287" t="s">
        <v>11703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</row>
    <row r="2288" spans="1:59">
      <c r="A2288" s="1">
        <f>HYPERLINK("https://lsnyc.legalserver.org/matter/dynamic-profile/view/1906237","19-1906237")</f>
        <v>0</v>
      </c>
      <c r="B2288" t="s">
        <v>1946</v>
      </c>
      <c r="C2288" t="s">
        <v>6737</v>
      </c>
      <c r="D2288" t="s">
        <v>9928</v>
      </c>
      <c r="E2288" t="s">
        <v>10075</v>
      </c>
      <c r="F2288">
        <v>11237</v>
      </c>
      <c r="G2288" t="s">
        <v>10093</v>
      </c>
      <c r="H2288" t="s">
        <v>10103</v>
      </c>
      <c r="I2288" t="s">
        <v>10168</v>
      </c>
      <c r="J2288" t="s">
        <v>10213</v>
      </c>
      <c r="K2288" t="s">
        <v>10218</v>
      </c>
      <c r="L2288" t="s">
        <v>10151</v>
      </c>
      <c r="M2288" t="s">
        <v>10457</v>
      </c>
      <c r="N2288" t="s">
        <v>10662</v>
      </c>
      <c r="P2288" t="s">
        <v>10749</v>
      </c>
      <c r="Q2288" t="s">
        <v>10765</v>
      </c>
      <c r="R2288" t="s">
        <v>10820</v>
      </c>
      <c r="T2288">
        <v>19000</v>
      </c>
      <c r="U2288">
        <v>1583.33</v>
      </c>
      <c r="V2288">
        <v>37</v>
      </c>
      <c r="W2288">
        <v>1</v>
      </c>
      <c r="X2288">
        <v>0</v>
      </c>
      <c r="Y2288" t="s">
        <v>10829</v>
      </c>
      <c r="Z2288">
        <v>152.12</v>
      </c>
      <c r="AA2288">
        <v>40.703078</v>
      </c>
      <c r="AB2288">
        <v>-73.918966</v>
      </c>
      <c r="AD2288" t="s">
        <v>10839</v>
      </c>
      <c r="AG2288" t="s">
        <v>10858</v>
      </c>
      <c r="AH2288" t="s">
        <v>10861</v>
      </c>
      <c r="AI2288">
        <v>234</v>
      </c>
      <c r="AJ2288" t="s">
        <v>10214</v>
      </c>
      <c r="AK2288" t="s">
        <v>10838</v>
      </c>
      <c r="AL2288">
        <v>4.25</v>
      </c>
      <c r="AM2288" t="s">
        <v>10886</v>
      </c>
      <c r="AN2288" t="s">
        <v>10942</v>
      </c>
      <c r="AO2288" t="s">
        <v>11011</v>
      </c>
      <c r="AP2288" t="s">
        <v>11058</v>
      </c>
      <c r="AR2288" t="s">
        <v>11257</v>
      </c>
      <c r="AS2288" t="s">
        <v>11595</v>
      </c>
      <c r="AT2288" t="s">
        <v>11641</v>
      </c>
      <c r="AX2288" t="s">
        <v>10837</v>
      </c>
      <c r="AY2288" t="s">
        <v>10829</v>
      </c>
      <c r="AZ2288" t="s">
        <v>11681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</row>
    <row r="2289" spans="1:59">
      <c r="A2289" s="1">
        <f>HYPERLINK("https://lsnyc.legalserver.org/matter/dynamic-profile/view/1906238","19-1906238")</f>
        <v>0</v>
      </c>
      <c r="B2289" t="s">
        <v>1947</v>
      </c>
      <c r="C2289" t="s">
        <v>6738</v>
      </c>
      <c r="D2289" t="s">
        <v>9926</v>
      </c>
      <c r="E2289" t="s">
        <v>10075</v>
      </c>
      <c r="F2289">
        <v>10455</v>
      </c>
      <c r="G2289" t="s">
        <v>10091</v>
      </c>
      <c r="H2289" t="s">
        <v>10103</v>
      </c>
      <c r="I2289" t="s">
        <v>10169</v>
      </c>
      <c r="J2289" t="s">
        <v>10214</v>
      </c>
      <c r="K2289" t="s">
        <v>10217</v>
      </c>
      <c r="M2289" t="s">
        <v>10286</v>
      </c>
      <c r="N2289" t="s">
        <v>10671</v>
      </c>
      <c r="P2289" t="s">
        <v>10751</v>
      </c>
      <c r="Q2289" t="s">
        <v>10768</v>
      </c>
      <c r="R2289" t="s">
        <v>10821</v>
      </c>
      <c r="T2289">
        <v>2080</v>
      </c>
      <c r="U2289">
        <v>173.33</v>
      </c>
      <c r="V2289">
        <v>50</v>
      </c>
      <c r="W2289">
        <v>1</v>
      </c>
      <c r="X2289">
        <v>0</v>
      </c>
      <c r="Z2289">
        <v>16.65</v>
      </c>
      <c r="AA2289">
        <v>40.814519</v>
      </c>
      <c r="AB2289">
        <v>-73.91446500000001</v>
      </c>
      <c r="AD2289" t="s">
        <v>10839</v>
      </c>
      <c r="AG2289" t="s">
        <v>10858</v>
      </c>
      <c r="AH2289" t="s">
        <v>10871</v>
      </c>
      <c r="AI2289">
        <v>234</v>
      </c>
      <c r="AJ2289" t="s">
        <v>10214</v>
      </c>
      <c r="AL2289">
        <v>1</v>
      </c>
      <c r="AM2289" t="s">
        <v>10884</v>
      </c>
      <c r="AN2289" t="s">
        <v>10924</v>
      </c>
      <c r="AO2289" t="s">
        <v>11013</v>
      </c>
      <c r="AP2289" t="s">
        <v>11066</v>
      </c>
      <c r="AR2289" t="s">
        <v>11311</v>
      </c>
      <c r="AS2289" t="s">
        <v>9926</v>
      </c>
      <c r="AT2289" t="s">
        <v>11641</v>
      </c>
      <c r="AX2289" t="s">
        <v>10838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</row>
    <row r="2290" spans="1:59">
      <c r="A2290" s="1">
        <f>HYPERLINK("https://lsnyc.legalserver.org/matter/dynamic-profile/view/1906239","19-1906239")</f>
        <v>0</v>
      </c>
      <c r="B2290" t="s">
        <v>1948</v>
      </c>
      <c r="C2290" t="s">
        <v>6739</v>
      </c>
      <c r="D2290" t="s">
        <v>9925</v>
      </c>
      <c r="E2290" t="s">
        <v>10075</v>
      </c>
      <c r="F2290">
        <v>10033</v>
      </c>
      <c r="G2290" t="s">
        <v>10089</v>
      </c>
      <c r="H2290" t="s">
        <v>10103</v>
      </c>
      <c r="I2290" t="s">
        <v>10169</v>
      </c>
      <c r="J2290" t="s">
        <v>10209</v>
      </c>
      <c r="K2290" t="s">
        <v>10217</v>
      </c>
      <c r="M2290" t="s">
        <v>10302</v>
      </c>
      <c r="N2290" t="s">
        <v>10681</v>
      </c>
      <c r="P2290" t="s">
        <v>10754</v>
      </c>
      <c r="Q2290" t="s">
        <v>10766</v>
      </c>
      <c r="R2290" t="s">
        <v>10821</v>
      </c>
      <c r="T2290">
        <v>10000</v>
      </c>
      <c r="U2290">
        <v>833.33</v>
      </c>
      <c r="V2290">
        <v>25</v>
      </c>
      <c r="W2290">
        <v>1</v>
      </c>
      <c r="X2290">
        <v>2</v>
      </c>
      <c r="Z2290">
        <v>46.88</v>
      </c>
      <c r="AA2290">
        <v>40.849562</v>
      </c>
      <c r="AB2290">
        <v>-73.932813</v>
      </c>
      <c r="AD2290" t="s">
        <v>10839</v>
      </c>
      <c r="AG2290" t="s">
        <v>10858</v>
      </c>
      <c r="AH2290" t="s">
        <v>10861</v>
      </c>
      <c r="AI2290">
        <v>236</v>
      </c>
      <c r="AJ2290" t="s">
        <v>10209</v>
      </c>
      <c r="AL2290">
        <v>0</v>
      </c>
      <c r="AM2290" t="s">
        <v>10887</v>
      </c>
      <c r="AN2290" t="s">
        <v>10937</v>
      </c>
      <c r="AO2290" t="s">
        <v>11019</v>
      </c>
      <c r="AP2290" t="s">
        <v>11074</v>
      </c>
      <c r="AQ2290" t="s">
        <v>11175</v>
      </c>
      <c r="AR2290" t="s">
        <v>11257</v>
      </c>
      <c r="AS2290" t="s">
        <v>9925</v>
      </c>
      <c r="AT2290" t="s">
        <v>11641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</row>
    <row r="2291" spans="1:59">
      <c r="A2291" s="1">
        <f>HYPERLINK("https://lsnyc.legalserver.org/matter/dynamic-profile/view/1906240","19-1906240")</f>
        <v>0</v>
      </c>
      <c r="B2291" t="s">
        <v>1949</v>
      </c>
      <c r="C2291" t="s">
        <v>6740</v>
      </c>
      <c r="D2291" t="s">
        <v>9948</v>
      </c>
      <c r="E2291" t="s">
        <v>10075</v>
      </c>
      <c r="F2291">
        <v>11691</v>
      </c>
      <c r="G2291" t="s">
        <v>10092</v>
      </c>
      <c r="H2291" t="s">
        <v>10103</v>
      </c>
      <c r="I2291" t="s">
        <v>10168</v>
      </c>
      <c r="J2291" t="s">
        <v>10212</v>
      </c>
      <c r="K2291" t="s">
        <v>10217</v>
      </c>
      <c r="M2291" t="s">
        <v>10441</v>
      </c>
      <c r="N2291" t="s">
        <v>10694</v>
      </c>
      <c r="P2291" t="s">
        <v>10751</v>
      </c>
      <c r="Q2291" t="s">
        <v>10780</v>
      </c>
      <c r="R2291" t="s">
        <v>10824</v>
      </c>
      <c r="T2291">
        <v>1846</v>
      </c>
      <c r="U2291">
        <v>153.83</v>
      </c>
      <c r="V2291">
        <v>34</v>
      </c>
      <c r="W2291">
        <v>1</v>
      </c>
      <c r="X2291">
        <v>0</v>
      </c>
      <c r="Z2291">
        <v>14.78</v>
      </c>
      <c r="AA2291">
        <v>40.608108</v>
      </c>
      <c r="AB2291">
        <v>-73.760655</v>
      </c>
      <c r="AD2291" t="s">
        <v>10839</v>
      </c>
      <c r="AG2291" t="s">
        <v>10858</v>
      </c>
      <c r="AH2291" t="s">
        <v>10861</v>
      </c>
      <c r="AI2291">
        <v>234</v>
      </c>
      <c r="AJ2291" t="s">
        <v>10214</v>
      </c>
      <c r="AL2291">
        <v>13.3</v>
      </c>
      <c r="AM2291" t="s">
        <v>10892</v>
      </c>
      <c r="AN2291" t="s">
        <v>10958</v>
      </c>
      <c r="AO2291" t="s">
        <v>11017</v>
      </c>
      <c r="AP2291" t="s">
        <v>11082</v>
      </c>
      <c r="AR2291" t="s">
        <v>11255</v>
      </c>
      <c r="AS2291" t="s">
        <v>11594</v>
      </c>
      <c r="AT2291" t="s">
        <v>11641</v>
      </c>
      <c r="AX2291" t="s">
        <v>10838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</row>
    <row r="2292" spans="1:59">
      <c r="A2292" s="1">
        <f>HYPERLINK("https://lsnyc.legalserver.org/matter/dynamic-profile/view/1906242","19-1906242")</f>
        <v>0</v>
      </c>
      <c r="B2292" t="s">
        <v>1950</v>
      </c>
      <c r="C2292" t="s">
        <v>6741</v>
      </c>
      <c r="D2292" t="s">
        <v>9926</v>
      </c>
      <c r="E2292" t="s">
        <v>10075</v>
      </c>
      <c r="F2292">
        <v>10458</v>
      </c>
      <c r="G2292" t="s">
        <v>10091</v>
      </c>
      <c r="H2292" t="s">
        <v>10103</v>
      </c>
      <c r="I2292" t="s">
        <v>10168</v>
      </c>
      <c r="J2292" t="s">
        <v>10214</v>
      </c>
      <c r="K2292" t="s">
        <v>10217</v>
      </c>
      <c r="M2292" t="s">
        <v>10286</v>
      </c>
      <c r="N2292" t="s">
        <v>10671</v>
      </c>
      <c r="P2292" t="s">
        <v>10749</v>
      </c>
      <c r="Q2292" t="s">
        <v>10765</v>
      </c>
      <c r="R2292" t="s">
        <v>10821</v>
      </c>
      <c r="T2292">
        <v>0</v>
      </c>
      <c r="U2292">
        <v>0</v>
      </c>
      <c r="V2292">
        <v>59</v>
      </c>
      <c r="W2292">
        <v>1</v>
      </c>
      <c r="X2292">
        <v>0</v>
      </c>
      <c r="Z2292">
        <v>0</v>
      </c>
      <c r="AA2292">
        <v>40.866964</v>
      </c>
      <c r="AB2292">
        <v>-73.893084</v>
      </c>
      <c r="AD2292" t="s">
        <v>10839</v>
      </c>
      <c r="AG2292" t="s">
        <v>10858</v>
      </c>
      <c r="AH2292" t="s">
        <v>10871</v>
      </c>
      <c r="AI2292">
        <v>234</v>
      </c>
      <c r="AJ2292" t="s">
        <v>10214</v>
      </c>
      <c r="AL2292">
        <v>1</v>
      </c>
      <c r="AM2292" t="s">
        <v>10887</v>
      </c>
      <c r="AN2292" t="s">
        <v>10907</v>
      </c>
      <c r="AO2292" t="s">
        <v>11000</v>
      </c>
      <c r="AP2292" t="s">
        <v>11056</v>
      </c>
      <c r="AR2292" t="s">
        <v>11267</v>
      </c>
      <c r="AS2292" t="s">
        <v>9926</v>
      </c>
      <c r="AT2292" t="s">
        <v>11641</v>
      </c>
      <c r="AX2292" t="s">
        <v>10838</v>
      </c>
      <c r="BA2292" t="s">
        <v>11741</v>
      </c>
      <c r="BB2292">
        <v>0</v>
      </c>
      <c r="BC2292">
        <v>0</v>
      </c>
      <c r="BD2292">
        <v>0</v>
      </c>
      <c r="BE2292">
        <v>0</v>
      </c>
      <c r="BF2292">
        <v>1</v>
      </c>
      <c r="BG2292">
        <v>0</v>
      </c>
    </row>
    <row r="2293" spans="1:59">
      <c r="A2293" s="1">
        <f>HYPERLINK("https://lsnyc.legalserver.org/matter/dynamic-profile/view/1906243","19-1906243")</f>
        <v>0</v>
      </c>
      <c r="B2293" t="s">
        <v>1001</v>
      </c>
      <c r="C2293" t="s">
        <v>6742</v>
      </c>
      <c r="D2293" t="s">
        <v>9941</v>
      </c>
      <c r="E2293" t="s">
        <v>10075</v>
      </c>
      <c r="F2293">
        <v>11427</v>
      </c>
      <c r="G2293" t="s">
        <v>10092</v>
      </c>
      <c r="H2293" t="s">
        <v>10103</v>
      </c>
      <c r="I2293" t="s">
        <v>10168</v>
      </c>
      <c r="J2293" t="s">
        <v>10212</v>
      </c>
      <c r="K2293" t="s">
        <v>10218</v>
      </c>
      <c r="L2293" t="s">
        <v>10145</v>
      </c>
      <c r="M2293" t="s">
        <v>10340</v>
      </c>
      <c r="N2293" t="s">
        <v>10656</v>
      </c>
      <c r="P2293" t="s">
        <v>10751</v>
      </c>
      <c r="Q2293" t="s">
        <v>10768</v>
      </c>
      <c r="R2293" t="s">
        <v>10821</v>
      </c>
      <c r="T2293">
        <v>12528</v>
      </c>
      <c r="U2293">
        <v>1044</v>
      </c>
      <c r="V2293">
        <v>32</v>
      </c>
      <c r="W2293">
        <v>1</v>
      </c>
      <c r="X2293">
        <v>0</v>
      </c>
      <c r="Y2293" t="s">
        <v>10829</v>
      </c>
      <c r="Z2293">
        <v>100.3</v>
      </c>
      <c r="AA2293">
        <v>40.717255</v>
      </c>
      <c r="AB2293">
        <v>-73.73744600000001</v>
      </c>
      <c r="AD2293" t="s">
        <v>10839</v>
      </c>
      <c r="AG2293" t="s">
        <v>10858</v>
      </c>
      <c r="AH2293" t="s">
        <v>10861</v>
      </c>
      <c r="AI2293">
        <v>234</v>
      </c>
      <c r="AJ2293" t="s">
        <v>10214</v>
      </c>
      <c r="AK2293" t="s">
        <v>10838</v>
      </c>
      <c r="AL2293">
        <v>2.7</v>
      </c>
      <c r="AM2293" t="s">
        <v>10892</v>
      </c>
      <c r="AN2293" t="s">
        <v>10940</v>
      </c>
      <c r="AO2293" t="s">
        <v>11020</v>
      </c>
      <c r="AP2293" t="s">
        <v>11075</v>
      </c>
      <c r="AR2293" t="s">
        <v>11312</v>
      </c>
      <c r="AS2293" t="s">
        <v>11594</v>
      </c>
      <c r="AT2293" t="s">
        <v>11641</v>
      </c>
      <c r="AX2293" t="s">
        <v>10838</v>
      </c>
      <c r="AY2293" t="s">
        <v>10829</v>
      </c>
      <c r="AZ2293" t="s">
        <v>11682</v>
      </c>
      <c r="BA2293" t="s">
        <v>11741</v>
      </c>
      <c r="BB2293">
        <v>0</v>
      </c>
      <c r="BC2293">
        <v>0</v>
      </c>
      <c r="BD2293">
        <v>0</v>
      </c>
      <c r="BE2293">
        <v>0</v>
      </c>
      <c r="BF2293">
        <v>1</v>
      </c>
      <c r="BG2293">
        <v>0</v>
      </c>
    </row>
    <row r="2294" spans="1:59">
      <c r="A2294" s="1">
        <f>HYPERLINK("https://lsnyc.legalserver.org/matter/dynamic-profile/view/1906244","19-1906244")</f>
        <v>0</v>
      </c>
      <c r="B2294" t="s">
        <v>1951</v>
      </c>
      <c r="C2294" t="s">
        <v>6743</v>
      </c>
      <c r="D2294" t="s">
        <v>9928</v>
      </c>
      <c r="E2294" t="s">
        <v>10075</v>
      </c>
      <c r="F2294">
        <v>11233</v>
      </c>
      <c r="G2294" t="s">
        <v>10093</v>
      </c>
      <c r="H2294" t="s">
        <v>10103</v>
      </c>
      <c r="I2294" t="s">
        <v>10168</v>
      </c>
      <c r="J2294" t="s">
        <v>10213</v>
      </c>
      <c r="K2294" t="s">
        <v>10218</v>
      </c>
      <c r="L2294" t="s">
        <v>10099</v>
      </c>
      <c r="M2294" t="s">
        <v>10405</v>
      </c>
      <c r="N2294" t="s">
        <v>10650</v>
      </c>
      <c r="P2294" t="s">
        <v>10749</v>
      </c>
      <c r="Q2294" t="s">
        <v>10765</v>
      </c>
      <c r="R2294" t="s">
        <v>10822</v>
      </c>
      <c r="T2294">
        <v>9300</v>
      </c>
      <c r="U2294">
        <v>775</v>
      </c>
      <c r="V2294">
        <v>56</v>
      </c>
      <c r="W2294">
        <v>1</v>
      </c>
      <c r="X2294">
        <v>0</v>
      </c>
      <c r="Y2294" t="s">
        <v>10830</v>
      </c>
      <c r="Z2294">
        <v>74.45999999999999</v>
      </c>
      <c r="AA2294">
        <v>40.674839</v>
      </c>
      <c r="AB2294">
        <v>-73.915981</v>
      </c>
      <c r="AD2294" t="s">
        <v>10840</v>
      </c>
      <c r="AG2294" t="s">
        <v>10858</v>
      </c>
      <c r="AH2294" t="s">
        <v>10861</v>
      </c>
      <c r="AI2294">
        <v>239</v>
      </c>
      <c r="AJ2294" t="s">
        <v>10213</v>
      </c>
      <c r="AK2294" t="s">
        <v>10838</v>
      </c>
      <c r="AL2294">
        <v>0.4</v>
      </c>
      <c r="AM2294" t="s">
        <v>10889</v>
      </c>
      <c r="AN2294" t="s">
        <v>10922</v>
      </c>
      <c r="AO2294" t="s">
        <v>11007</v>
      </c>
      <c r="AP2294" t="s">
        <v>11064</v>
      </c>
      <c r="AQ2294" t="s">
        <v>11120</v>
      </c>
      <c r="AR2294" t="s">
        <v>11274</v>
      </c>
      <c r="AS2294" t="s">
        <v>11595</v>
      </c>
      <c r="AT2294" t="s">
        <v>11642</v>
      </c>
      <c r="AY2294" t="s">
        <v>10830</v>
      </c>
      <c r="AZ2294" t="s">
        <v>11690</v>
      </c>
      <c r="BA2294" t="s">
        <v>11740</v>
      </c>
      <c r="BB2294">
        <v>0</v>
      </c>
      <c r="BC2294">
        <v>0</v>
      </c>
      <c r="BD2294">
        <v>0</v>
      </c>
      <c r="BE2294">
        <v>0</v>
      </c>
      <c r="BF2294">
        <v>2</v>
      </c>
      <c r="BG2294">
        <v>0</v>
      </c>
    </row>
    <row r="2295" spans="1:59">
      <c r="A2295" s="1">
        <f>HYPERLINK("https://lsnyc.legalserver.org/matter/dynamic-profile/view/1906245","19-1906245")</f>
        <v>0</v>
      </c>
      <c r="B2295" t="s">
        <v>1952</v>
      </c>
      <c r="C2295" t="s">
        <v>6744</v>
      </c>
      <c r="D2295" t="s">
        <v>9930</v>
      </c>
      <c r="E2295" t="s">
        <v>10075</v>
      </c>
      <c r="F2295">
        <v>11373</v>
      </c>
      <c r="G2295" t="s">
        <v>10092</v>
      </c>
      <c r="H2295" t="s">
        <v>10103</v>
      </c>
      <c r="I2295" t="s">
        <v>10168</v>
      </c>
      <c r="J2295" t="s">
        <v>10212</v>
      </c>
      <c r="K2295" t="s">
        <v>10217</v>
      </c>
      <c r="M2295" t="s">
        <v>10428</v>
      </c>
      <c r="N2295" t="s">
        <v>10693</v>
      </c>
      <c r="P2295" t="s">
        <v>10749</v>
      </c>
      <c r="Q2295" t="s">
        <v>10765</v>
      </c>
      <c r="R2295" t="s">
        <v>10824</v>
      </c>
      <c r="T2295">
        <v>21840</v>
      </c>
      <c r="U2295">
        <v>1820</v>
      </c>
      <c r="V2295">
        <v>26</v>
      </c>
      <c r="W2295">
        <v>2</v>
      </c>
      <c r="X2295">
        <v>0</v>
      </c>
      <c r="Z2295">
        <v>129.15</v>
      </c>
      <c r="AA2295">
        <v>40.732396</v>
      </c>
      <c r="AB2295">
        <v>-73.87643199999999</v>
      </c>
      <c r="AD2295" t="s">
        <v>10839</v>
      </c>
      <c r="AG2295" t="s">
        <v>10858</v>
      </c>
      <c r="AH2295" t="s">
        <v>10862</v>
      </c>
      <c r="AI2295">
        <v>237</v>
      </c>
      <c r="AJ2295" t="s">
        <v>10212</v>
      </c>
      <c r="AL2295">
        <v>33.3</v>
      </c>
      <c r="AR2295" t="s">
        <v>11327</v>
      </c>
      <c r="AS2295" t="s">
        <v>11594</v>
      </c>
      <c r="AX2295" t="s">
        <v>10838</v>
      </c>
      <c r="BA2295" t="s">
        <v>11738</v>
      </c>
      <c r="BB2295">
        <v>0</v>
      </c>
      <c r="BC2295">
        <v>0</v>
      </c>
      <c r="BD2295">
        <v>0</v>
      </c>
      <c r="BE2295">
        <v>0</v>
      </c>
      <c r="BF2295">
        <v>5</v>
      </c>
      <c r="BG2295">
        <v>0</v>
      </c>
    </row>
    <row r="2296" spans="1:59">
      <c r="A2296" s="1">
        <f>HYPERLINK("https://lsnyc.legalserver.org/matter/dynamic-profile/view/1906246","19-1906246")</f>
        <v>0</v>
      </c>
      <c r="B2296" t="s">
        <v>1886</v>
      </c>
      <c r="C2296" t="s">
        <v>6682</v>
      </c>
      <c r="D2296" t="s">
        <v>9925</v>
      </c>
      <c r="E2296" t="s">
        <v>10075</v>
      </c>
      <c r="F2296">
        <v>10031</v>
      </c>
      <c r="G2296" t="s">
        <v>10093</v>
      </c>
      <c r="H2296" t="s">
        <v>10103</v>
      </c>
      <c r="I2296" t="s">
        <v>10168</v>
      </c>
      <c r="J2296" t="s">
        <v>10213</v>
      </c>
      <c r="K2296" t="s">
        <v>10217</v>
      </c>
      <c r="M2296" t="s">
        <v>10253</v>
      </c>
      <c r="N2296" t="s">
        <v>10649</v>
      </c>
      <c r="P2296" t="s">
        <v>10753</v>
      </c>
      <c r="Q2296" t="s">
        <v>10763</v>
      </c>
      <c r="R2296" t="s">
        <v>10824</v>
      </c>
      <c r="T2296">
        <v>15600</v>
      </c>
      <c r="U2296">
        <v>1300</v>
      </c>
      <c r="V2296">
        <v>13</v>
      </c>
      <c r="W2296">
        <v>1</v>
      </c>
      <c r="X2296">
        <v>4</v>
      </c>
      <c r="Z2296">
        <v>51.71</v>
      </c>
      <c r="AA2296">
        <v>40.822163</v>
      </c>
      <c r="AB2296">
        <v>-73.95256000000001</v>
      </c>
      <c r="AD2296" t="s">
        <v>10839</v>
      </c>
      <c r="AF2296" t="s">
        <v>10851</v>
      </c>
      <c r="AG2296" t="s">
        <v>10859</v>
      </c>
      <c r="AH2296" t="s">
        <v>10864</v>
      </c>
      <c r="AI2296">
        <v>239</v>
      </c>
      <c r="AJ2296" t="s">
        <v>10213</v>
      </c>
      <c r="AL2296">
        <v>1.25</v>
      </c>
      <c r="AQ2296" t="s">
        <v>11211</v>
      </c>
      <c r="AR2296" t="s">
        <v>11262</v>
      </c>
      <c r="AS2296" t="s">
        <v>9925</v>
      </c>
      <c r="BA2296" t="s">
        <v>11739</v>
      </c>
      <c r="BB2296">
        <v>0</v>
      </c>
      <c r="BC2296">
        <v>0</v>
      </c>
      <c r="BD2296">
        <v>0</v>
      </c>
      <c r="BE2296">
        <v>0</v>
      </c>
      <c r="BF2296">
        <v>4</v>
      </c>
      <c r="BG2296">
        <v>0</v>
      </c>
    </row>
    <row r="2297" spans="1:59">
      <c r="A2297" s="1">
        <f>HYPERLINK("https://lsnyc.legalserver.org/matter/dynamic-profile/view/1906247","19-1906247")</f>
        <v>0</v>
      </c>
      <c r="B2297" t="s">
        <v>1887</v>
      </c>
      <c r="C2297" t="s">
        <v>6682</v>
      </c>
      <c r="D2297" t="s">
        <v>9925</v>
      </c>
      <c r="E2297" t="s">
        <v>10075</v>
      </c>
      <c r="F2297">
        <v>10031</v>
      </c>
      <c r="G2297" t="s">
        <v>10093</v>
      </c>
      <c r="H2297" t="s">
        <v>10103</v>
      </c>
      <c r="I2297" t="s">
        <v>10168</v>
      </c>
      <c r="J2297" t="s">
        <v>10213</v>
      </c>
      <c r="K2297" t="s">
        <v>10217</v>
      </c>
      <c r="M2297" t="s">
        <v>10253</v>
      </c>
      <c r="N2297" t="s">
        <v>10649</v>
      </c>
      <c r="P2297" t="s">
        <v>10753</v>
      </c>
      <c r="Q2297" t="s">
        <v>10763</v>
      </c>
      <c r="R2297" t="s">
        <v>10824</v>
      </c>
      <c r="T2297">
        <v>15600</v>
      </c>
      <c r="U2297">
        <v>1300</v>
      </c>
      <c r="V2297">
        <v>12</v>
      </c>
      <c r="W2297">
        <v>1</v>
      </c>
      <c r="X2297">
        <v>1</v>
      </c>
      <c r="Z2297">
        <v>92.25</v>
      </c>
      <c r="AA2297">
        <v>40.822163</v>
      </c>
      <c r="AB2297">
        <v>-73.95256000000001</v>
      </c>
      <c r="AD2297" t="s">
        <v>10839</v>
      </c>
      <c r="AF2297" t="s">
        <v>10851</v>
      </c>
      <c r="AG2297" t="s">
        <v>10859</v>
      </c>
      <c r="AH2297" t="s">
        <v>10864</v>
      </c>
      <c r="AI2297">
        <v>239</v>
      </c>
      <c r="AJ2297" t="s">
        <v>10213</v>
      </c>
      <c r="AL2297">
        <v>1.25</v>
      </c>
      <c r="AQ2297" t="s">
        <v>11211</v>
      </c>
      <c r="AR2297" t="s">
        <v>11262</v>
      </c>
      <c r="AS2297" t="s">
        <v>9925</v>
      </c>
      <c r="BA2297" t="s">
        <v>11739</v>
      </c>
      <c r="BB2297">
        <v>0</v>
      </c>
      <c r="BC2297">
        <v>0</v>
      </c>
      <c r="BD2297">
        <v>0</v>
      </c>
      <c r="BE2297">
        <v>0</v>
      </c>
      <c r="BF2297">
        <v>4</v>
      </c>
      <c r="BG2297">
        <v>0</v>
      </c>
    </row>
    <row r="2298" spans="1:59">
      <c r="A2298" s="1">
        <f>HYPERLINK("https://lsnyc.legalserver.org/matter/dynamic-profile/view/1906248","19-1906248")</f>
        <v>0</v>
      </c>
      <c r="B2298" t="s">
        <v>1953</v>
      </c>
      <c r="C2298" t="s">
        <v>6745</v>
      </c>
      <c r="D2298" t="s">
        <v>9926</v>
      </c>
      <c r="E2298" t="s">
        <v>10075</v>
      </c>
      <c r="F2298">
        <v>10458</v>
      </c>
      <c r="G2298" t="s">
        <v>10090</v>
      </c>
      <c r="H2298" t="s">
        <v>10103</v>
      </c>
      <c r="I2298" t="s">
        <v>10169</v>
      </c>
      <c r="J2298" t="s">
        <v>10210</v>
      </c>
      <c r="K2298" t="s">
        <v>10217</v>
      </c>
      <c r="M2298" t="s">
        <v>10561</v>
      </c>
      <c r="N2298" t="s">
        <v>10683</v>
      </c>
      <c r="P2298" t="s">
        <v>10754</v>
      </c>
      <c r="Q2298" t="s">
        <v>10766</v>
      </c>
      <c r="R2298" t="s">
        <v>10822</v>
      </c>
      <c r="T2298">
        <v>0</v>
      </c>
      <c r="U2298">
        <v>0</v>
      </c>
      <c r="V2298">
        <v>26</v>
      </c>
      <c r="W2298">
        <v>2</v>
      </c>
      <c r="X2298">
        <v>2</v>
      </c>
      <c r="Z2298">
        <v>0</v>
      </c>
      <c r="AA2298">
        <v>40.855562</v>
      </c>
      <c r="AB2298">
        <v>-73.892307</v>
      </c>
      <c r="AD2298" t="s">
        <v>10839</v>
      </c>
      <c r="AF2298" t="s">
        <v>10842</v>
      </c>
      <c r="AG2298" t="s">
        <v>10859</v>
      </c>
      <c r="AH2298" t="s">
        <v>10865</v>
      </c>
      <c r="AI2298">
        <v>230</v>
      </c>
      <c r="AJ2298" t="s">
        <v>10210</v>
      </c>
      <c r="AL2298">
        <v>15.5</v>
      </c>
      <c r="AM2298" t="s">
        <v>10884</v>
      </c>
      <c r="AN2298" t="s">
        <v>10907</v>
      </c>
      <c r="AO2298" t="s">
        <v>11000</v>
      </c>
      <c r="AP2298" t="s">
        <v>11056</v>
      </c>
      <c r="AQ2298" t="s">
        <v>11112</v>
      </c>
      <c r="AR2298" t="s">
        <v>11266</v>
      </c>
      <c r="AS2298" t="s">
        <v>9926</v>
      </c>
      <c r="AT2298" t="s">
        <v>11641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</row>
    <row r="2299" spans="1:59">
      <c r="A2299" s="1">
        <f>HYPERLINK("https://lsnyc.legalserver.org/matter/dynamic-profile/view/1906249","19-1906249")</f>
        <v>0</v>
      </c>
      <c r="B2299" t="s">
        <v>1954</v>
      </c>
      <c r="C2299" t="s">
        <v>6746</v>
      </c>
      <c r="D2299" t="s">
        <v>9982</v>
      </c>
      <c r="E2299" t="s">
        <v>10075</v>
      </c>
      <c r="F2299">
        <v>11375</v>
      </c>
      <c r="G2299" t="s">
        <v>10092</v>
      </c>
      <c r="H2299" t="s">
        <v>10103</v>
      </c>
      <c r="J2299" t="s">
        <v>10212</v>
      </c>
      <c r="K2299" t="s">
        <v>10218</v>
      </c>
      <c r="L2299" t="s">
        <v>10151</v>
      </c>
      <c r="M2299" t="s">
        <v>10350</v>
      </c>
      <c r="N2299" t="s">
        <v>10692</v>
      </c>
      <c r="P2299" t="s">
        <v>10754</v>
      </c>
      <c r="Q2299" t="s">
        <v>10775</v>
      </c>
      <c r="R2299" t="s">
        <v>10828</v>
      </c>
      <c r="T2299">
        <v>11960</v>
      </c>
      <c r="U2299">
        <v>996.67</v>
      </c>
      <c r="V2299">
        <v>24</v>
      </c>
      <c r="W2299">
        <v>1</v>
      </c>
      <c r="X2299">
        <v>0</v>
      </c>
      <c r="Y2299" t="s">
        <v>10829</v>
      </c>
      <c r="Z2299">
        <v>95.76000000000001</v>
      </c>
      <c r="AA2299">
        <v>40.720877</v>
      </c>
      <c r="AB2299">
        <v>-73.839421</v>
      </c>
      <c r="AD2299" t="s">
        <v>10839</v>
      </c>
      <c r="AF2299" t="s">
        <v>10842</v>
      </c>
      <c r="AG2299" t="s">
        <v>10859</v>
      </c>
      <c r="AH2299" t="s">
        <v>10865</v>
      </c>
      <c r="AI2299">
        <v>237</v>
      </c>
      <c r="AJ2299" t="s">
        <v>10212</v>
      </c>
      <c r="AK2299" t="s">
        <v>10837</v>
      </c>
      <c r="AL2299">
        <v>3</v>
      </c>
      <c r="AM2299" t="s">
        <v>10890</v>
      </c>
      <c r="AN2299" t="s">
        <v>10952</v>
      </c>
      <c r="AO2299" t="s">
        <v>11009</v>
      </c>
      <c r="AP2299" t="s">
        <v>11083</v>
      </c>
      <c r="AR2299" t="s">
        <v>11257</v>
      </c>
      <c r="AS2299" t="s">
        <v>11594</v>
      </c>
      <c r="AY2299" t="s">
        <v>10829</v>
      </c>
      <c r="AZ2299" t="s">
        <v>11683</v>
      </c>
      <c r="BA2299" t="s">
        <v>11741</v>
      </c>
      <c r="BB2299">
        <v>0</v>
      </c>
      <c r="BC2299">
        <v>0</v>
      </c>
      <c r="BD2299">
        <v>0</v>
      </c>
      <c r="BE2299">
        <v>0</v>
      </c>
      <c r="BF2299">
        <v>1</v>
      </c>
      <c r="BG2299">
        <v>0</v>
      </c>
    </row>
    <row r="2300" spans="1:59">
      <c r="A2300" s="1">
        <f>HYPERLINK("https://lsnyc.legalserver.org/matter/dynamic-profile/view/1906250","19-1906250")</f>
        <v>0</v>
      </c>
      <c r="B2300" t="s">
        <v>1955</v>
      </c>
      <c r="C2300" t="s">
        <v>6747</v>
      </c>
      <c r="D2300" t="s">
        <v>9965</v>
      </c>
      <c r="E2300" t="s">
        <v>10075</v>
      </c>
      <c r="F2300">
        <v>11101</v>
      </c>
      <c r="G2300" t="s">
        <v>10092</v>
      </c>
      <c r="H2300" t="s">
        <v>10103</v>
      </c>
      <c r="J2300" t="s">
        <v>10212</v>
      </c>
      <c r="K2300" t="s">
        <v>10217</v>
      </c>
      <c r="M2300" t="s">
        <v>10285</v>
      </c>
      <c r="N2300" t="s">
        <v>10650</v>
      </c>
      <c r="P2300" t="s">
        <v>10749</v>
      </c>
      <c r="Q2300" t="s">
        <v>10765</v>
      </c>
      <c r="R2300" t="s">
        <v>10821</v>
      </c>
      <c r="T2300">
        <v>20000</v>
      </c>
      <c r="U2300">
        <v>1666.67</v>
      </c>
      <c r="V2300">
        <v>50</v>
      </c>
      <c r="W2300">
        <v>2</v>
      </c>
      <c r="X2300">
        <v>0</v>
      </c>
      <c r="Z2300">
        <v>118.27</v>
      </c>
      <c r="AA2300">
        <v>40.755721</v>
      </c>
      <c r="AB2300">
        <v>-73.93625299999999</v>
      </c>
      <c r="AD2300" t="s">
        <v>10839</v>
      </c>
      <c r="AG2300" t="s">
        <v>10858</v>
      </c>
      <c r="AH2300" t="s">
        <v>10862</v>
      </c>
      <c r="AI2300">
        <v>237</v>
      </c>
      <c r="AJ2300" t="s">
        <v>10212</v>
      </c>
      <c r="AL2300">
        <v>3.93</v>
      </c>
      <c r="AM2300" t="s">
        <v>10891</v>
      </c>
      <c r="AN2300" t="s">
        <v>10961</v>
      </c>
      <c r="AO2300" t="s">
        <v>11003</v>
      </c>
      <c r="AP2300" t="s">
        <v>11047</v>
      </c>
      <c r="AR2300" t="s">
        <v>11262</v>
      </c>
      <c r="AS2300" t="s">
        <v>11594</v>
      </c>
      <c r="AX2300" t="s">
        <v>10838</v>
      </c>
      <c r="BA2300" t="s">
        <v>11742</v>
      </c>
      <c r="BB2300">
        <v>0</v>
      </c>
      <c r="BC2300">
        <v>0</v>
      </c>
      <c r="BD2300">
        <v>0</v>
      </c>
      <c r="BE2300">
        <v>0</v>
      </c>
      <c r="BF2300">
        <v>7</v>
      </c>
      <c r="BG2300">
        <v>0</v>
      </c>
    </row>
    <row r="2301" spans="1:59">
      <c r="A2301" s="1">
        <f>HYPERLINK("https://lsnyc.legalserver.org/matter/dynamic-profile/view/1906251","19-1906251")</f>
        <v>0</v>
      </c>
      <c r="B2301" t="s">
        <v>1953</v>
      </c>
      <c r="C2301" t="s">
        <v>6745</v>
      </c>
      <c r="D2301" t="s">
        <v>9926</v>
      </c>
      <c r="E2301" t="s">
        <v>10075</v>
      </c>
      <c r="F2301">
        <v>10458</v>
      </c>
      <c r="G2301" t="s">
        <v>10090</v>
      </c>
      <c r="H2301" t="s">
        <v>10103</v>
      </c>
      <c r="I2301" t="s">
        <v>10169</v>
      </c>
      <c r="J2301" t="s">
        <v>10210</v>
      </c>
      <c r="K2301" t="s">
        <v>10217</v>
      </c>
      <c r="M2301" t="s">
        <v>10561</v>
      </c>
      <c r="N2301" t="s">
        <v>10683</v>
      </c>
      <c r="P2301" t="s">
        <v>10754</v>
      </c>
      <c r="Q2301" t="s">
        <v>10777</v>
      </c>
      <c r="R2301" t="s">
        <v>10822</v>
      </c>
      <c r="T2301">
        <v>0</v>
      </c>
      <c r="U2301">
        <v>0</v>
      </c>
      <c r="V2301">
        <v>26</v>
      </c>
      <c r="W2301">
        <v>2</v>
      </c>
      <c r="X2301">
        <v>2</v>
      </c>
      <c r="Z2301">
        <v>0</v>
      </c>
      <c r="AA2301">
        <v>40.855562</v>
      </c>
      <c r="AB2301">
        <v>-73.892307</v>
      </c>
      <c r="AD2301" t="s">
        <v>10839</v>
      </c>
      <c r="AF2301" t="s">
        <v>10842</v>
      </c>
      <c r="AG2301" t="s">
        <v>10859</v>
      </c>
      <c r="AH2301" t="s">
        <v>10865</v>
      </c>
      <c r="AI2301">
        <v>230</v>
      </c>
      <c r="AJ2301" t="s">
        <v>10210</v>
      </c>
      <c r="AL2301">
        <v>5.25</v>
      </c>
      <c r="AM2301" t="s">
        <v>10884</v>
      </c>
      <c r="AN2301" t="s">
        <v>10907</v>
      </c>
      <c r="AO2301" t="s">
        <v>11000</v>
      </c>
      <c r="AP2301" t="s">
        <v>11056</v>
      </c>
      <c r="AQ2301" t="s">
        <v>11128</v>
      </c>
      <c r="AR2301" t="s">
        <v>11266</v>
      </c>
      <c r="AS2301" t="s">
        <v>9926</v>
      </c>
      <c r="AT2301" t="s">
        <v>11641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</row>
    <row r="2302" spans="1:59">
      <c r="A2302" s="1">
        <f>HYPERLINK("https://lsnyc.legalserver.org/matter/dynamic-profile/view/1906254","19-1906254")</f>
        <v>0</v>
      </c>
      <c r="B2302" t="s">
        <v>959</v>
      </c>
      <c r="C2302" t="s">
        <v>6432</v>
      </c>
      <c r="D2302" t="s">
        <v>9928</v>
      </c>
      <c r="E2302" t="s">
        <v>10075</v>
      </c>
      <c r="F2302">
        <v>11230</v>
      </c>
      <c r="G2302" t="s">
        <v>10093</v>
      </c>
      <c r="H2302" t="s">
        <v>10102</v>
      </c>
      <c r="J2302" t="s">
        <v>10213</v>
      </c>
      <c r="K2302" t="s">
        <v>10217</v>
      </c>
      <c r="M2302" t="s">
        <v>10390</v>
      </c>
      <c r="N2302" t="s">
        <v>10644</v>
      </c>
      <c r="P2302" t="s">
        <v>10751</v>
      </c>
      <c r="Q2302" t="s">
        <v>10786</v>
      </c>
      <c r="R2302" t="s">
        <v>10825</v>
      </c>
      <c r="T2302">
        <v>14616</v>
      </c>
      <c r="U2302">
        <v>1218</v>
      </c>
      <c r="V2302">
        <v>65</v>
      </c>
      <c r="W2302">
        <v>1</v>
      </c>
      <c r="X2302">
        <v>0</v>
      </c>
      <c r="Z2302">
        <v>117.02</v>
      </c>
      <c r="AA2302">
        <v>40.629731</v>
      </c>
      <c r="AB2302">
        <v>-73.97067</v>
      </c>
      <c r="AD2302" t="s">
        <v>10840</v>
      </c>
      <c r="AG2302" t="s">
        <v>10858</v>
      </c>
      <c r="AH2302" t="s">
        <v>10869</v>
      </c>
      <c r="AI2302">
        <v>239</v>
      </c>
      <c r="AJ2302" t="s">
        <v>10213</v>
      </c>
      <c r="AL2302">
        <v>4.75</v>
      </c>
      <c r="AQ2302" t="s">
        <v>11134</v>
      </c>
      <c r="AR2302" t="s">
        <v>11268</v>
      </c>
      <c r="AS2302" t="s">
        <v>11595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</row>
    <row r="2303" spans="1:59">
      <c r="A2303" s="1">
        <f>HYPERLINK("https://lsnyc.legalserver.org/matter/dynamic-profile/view/1906255","19-1906255")</f>
        <v>0</v>
      </c>
      <c r="B2303" t="s">
        <v>1956</v>
      </c>
      <c r="C2303" t="s">
        <v>6748</v>
      </c>
      <c r="D2303" t="s">
        <v>9953</v>
      </c>
      <c r="E2303" t="s">
        <v>10075</v>
      </c>
      <c r="F2303">
        <v>11104</v>
      </c>
      <c r="G2303" t="s">
        <v>10092</v>
      </c>
      <c r="H2303" t="s">
        <v>10103</v>
      </c>
      <c r="I2303" t="s">
        <v>10179</v>
      </c>
      <c r="J2303" t="s">
        <v>10212</v>
      </c>
      <c r="K2303" t="s">
        <v>10217</v>
      </c>
      <c r="M2303" t="s">
        <v>10285</v>
      </c>
      <c r="N2303" t="s">
        <v>10695</v>
      </c>
      <c r="P2303" t="s">
        <v>10749</v>
      </c>
      <c r="Q2303" t="s">
        <v>10765</v>
      </c>
      <c r="R2303" t="s">
        <v>10827</v>
      </c>
      <c r="T2303">
        <v>0</v>
      </c>
      <c r="U2303">
        <v>0</v>
      </c>
      <c r="V2303">
        <v>51</v>
      </c>
      <c r="W2303">
        <v>1</v>
      </c>
      <c r="X2303">
        <v>0</v>
      </c>
      <c r="Z2303">
        <v>0</v>
      </c>
      <c r="AA2303">
        <v>40.745816</v>
      </c>
      <c r="AB2303">
        <v>-73.92404000000001</v>
      </c>
      <c r="AD2303" t="s">
        <v>10839</v>
      </c>
      <c r="AF2303" t="s">
        <v>10845</v>
      </c>
      <c r="AG2303" t="s">
        <v>10859</v>
      </c>
      <c r="AH2303" t="s">
        <v>10862</v>
      </c>
      <c r="AI2303">
        <v>237</v>
      </c>
      <c r="AJ2303" t="s">
        <v>10212</v>
      </c>
      <c r="AL2303">
        <v>42.6</v>
      </c>
      <c r="AM2303" t="s">
        <v>10885</v>
      </c>
      <c r="AN2303" t="s">
        <v>10961</v>
      </c>
      <c r="AO2303" t="s">
        <v>11003</v>
      </c>
      <c r="AP2303" t="s">
        <v>11047</v>
      </c>
      <c r="AR2303" t="s">
        <v>11267</v>
      </c>
      <c r="AS2303" t="s">
        <v>11594</v>
      </c>
      <c r="AX2303" t="s">
        <v>10838</v>
      </c>
      <c r="BA2303" t="s">
        <v>11738</v>
      </c>
      <c r="BB2303">
        <v>0</v>
      </c>
      <c r="BC2303">
        <v>0</v>
      </c>
      <c r="BD2303">
        <v>0</v>
      </c>
      <c r="BE2303">
        <v>0</v>
      </c>
      <c r="BF2303">
        <v>5</v>
      </c>
      <c r="BG2303">
        <v>0</v>
      </c>
    </row>
    <row r="2304" spans="1:59">
      <c r="A2304" s="1">
        <f>HYPERLINK("https://lsnyc.legalserver.org/matter/dynamic-profile/view/1906256","19-1906256")</f>
        <v>0</v>
      </c>
      <c r="B2304" t="s">
        <v>1957</v>
      </c>
      <c r="C2304" t="s">
        <v>6749</v>
      </c>
      <c r="D2304" t="s">
        <v>9932</v>
      </c>
      <c r="E2304" t="s">
        <v>10075</v>
      </c>
      <c r="F2304">
        <v>11368</v>
      </c>
      <c r="G2304" t="s">
        <v>10092</v>
      </c>
      <c r="H2304" t="s">
        <v>10103</v>
      </c>
      <c r="I2304" t="s">
        <v>10169</v>
      </c>
      <c r="J2304" t="s">
        <v>10212</v>
      </c>
      <c r="K2304" t="s">
        <v>10217</v>
      </c>
      <c r="M2304" t="s">
        <v>10486</v>
      </c>
      <c r="N2304" t="s">
        <v>10673</v>
      </c>
      <c r="O2304" t="s">
        <v>10648</v>
      </c>
      <c r="P2304" t="s">
        <v>10753</v>
      </c>
      <c r="Q2304" t="s">
        <v>10763</v>
      </c>
      <c r="R2304" t="s">
        <v>10823</v>
      </c>
      <c r="T2304">
        <v>18200</v>
      </c>
      <c r="U2304">
        <v>1516.67</v>
      </c>
      <c r="V2304">
        <v>49</v>
      </c>
      <c r="W2304">
        <v>2</v>
      </c>
      <c r="X2304">
        <v>2</v>
      </c>
      <c r="Z2304">
        <v>70.68000000000001</v>
      </c>
      <c r="AA2304">
        <v>40.741998</v>
      </c>
      <c r="AB2304">
        <v>-73.858136</v>
      </c>
      <c r="AD2304" t="s">
        <v>10839</v>
      </c>
      <c r="AF2304" t="s">
        <v>10842</v>
      </c>
      <c r="AG2304" t="s">
        <v>10859</v>
      </c>
      <c r="AH2304" t="s">
        <v>10864</v>
      </c>
      <c r="AI2304">
        <v>237</v>
      </c>
      <c r="AJ2304" t="s">
        <v>10212</v>
      </c>
      <c r="AL2304">
        <v>0.85</v>
      </c>
      <c r="AM2304" t="s">
        <v>10885</v>
      </c>
      <c r="AN2304" t="s">
        <v>10949</v>
      </c>
      <c r="AO2304" t="s">
        <v>11014</v>
      </c>
      <c r="AP2304" t="s">
        <v>11068</v>
      </c>
      <c r="AQ2304" t="s">
        <v>11119</v>
      </c>
      <c r="AR2304" t="s">
        <v>11257</v>
      </c>
      <c r="AS2304" t="s">
        <v>11594</v>
      </c>
      <c r="AX2304" t="s">
        <v>10838</v>
      </c>
      <c r="BA2304" t="s">
        <v>11743</v>
      </c>
      <c r="BB2304">
        <v>0</v>
      </c>
      <c r="BC2304">
        <v>0</v>
      </c>
      <c r="BD2304">
        <v>0</v>
      </c>
      <c r="BE2304">
        <v>0</v>
      </c>
      <c r="BF2304">
        <v>40</v>
      </c>
      <c r="BG2304">
        <v>0</v>
      </c>
    </row>
    <row r="2305" spans="1:59">
      <c r="A2305" s="1">
        <f>HYPERLINK("https://lsnyc.legalserver.org/matter/dynamic-profile/view/1906257","19-1906257")</f>
        <v>0</v>
      </c>
      <c r="C2305" t="s">
        <v>6750</v>
      </c>
      <c r="D2305" t="s">
        <v>9926</v>
      </c>
      <c r="E2305" t="s">
        <v>10075</v>
      </c>
      <c r="F2305">
        <v>10472</v>
      </c>
      <c r="G2305" t="s">
        <v>10090</v>
      </c>
      <c r="H2305" t="s">
        <v>10134</v>
      </c>
      <c r="I2305" t="s">
        <v>10168</v>
      </c>
      <c r="J2305" t="s">
        <v>10210</v>
      </c>
      <c r="K2305" t="s">
        <v>10217</v>
      </c>
      <c r="M2305" t="s">
        <v>10517</v>
      </c>
      <c r="N2305" t="s">
        <v>10650</v>
      </c>
      <c r="P2305" t="s">
        <v>10749</v>
      </c>
      <c r="Q2305" t="s">
        <v>10765</v>
      </c>
      <c r="R2305" t="s">
        <v>10824</v>
      </c>
      <c r="T2305">
        <v>57200</v>
      </c>
      <c r="U2305">
        <v>4766.67</v>
      </c>
      <c r="V2305">
        <v>0</v>
      </c>
      <c r="W2305">
        <v>2</v>
      </c>
      <c r="X2305">
        <v>2</v>
      </c>
      <c r="Z2305">
        <v>222.14</v>
      </c>
      <c r="AA2305">
        <v>40.82627</v>
      </c>
      <c r="AB2305">
        <v>-73.878884</v>
      </c>
      <c r="AD2305" t="s">
        <v>10840</v>
      </c>
      <c r="AG2305" t="s">
        <v>10858</v>
      </c>
      <c r="AH2305" t="s">
        <v>10862</v>
      </c>
      <c r="AI2305">
        <v>230</v>
      </c>
      <c r="AJ2305" t="s">
        <v>10210</v>
      </c>
      <c r="AL2305">
        <v>1.8</v>
      </c>
      <c r="AM2305" t="s">
        <v>10884</v>
      </c>
      <c r="AN2305" t="s">
        <v>10968</v>
      </c>
      <c r="AO2305" t="s">
        <v>11001</v>
      </c>
      <c r="AP2305" t="s">
        <v>11062</v>
      </c>
      <c r="AR2305" t="s">
        <v>11257</v>
      </c>
      <c r="AS2305" t="s">
        <v>9926</v>
      </c>
      <c r="AX2305" t="s">
        <v>10838</v>
      </c>
      <c r="BA2305" t="s">
        <v>11741</v>
      </c>
      <c r="BB2305">
        <v>0</v>
      </c>
      <c r="BC2305">
        <v>0</v>
      </c>
      <c r="BD2305">
        <v>0</v>
      </c>
      <c r="BE2305">
        <v>0</v>
      </c>
      <c r="BF2305">
        <v>1</v>
      </c>
      <c r="BG2305">
        <v>0</v>
      </c>
    </row>
    <row r="2306" spans="1:59">
      <c r="A2306" s="1">
        <f>HYPERLINK("https://lsnyc.legalserver.org/matter/dynamic-profile/view/1906258","19-1906258")</f>
        <v>0</v>
      </c>
      <c r="B2306" t="s">
        <v>1597</v>
      </c>
      <c r="C2306" t="s">
        <v>6751</v>
      </c>
      <c r="D2306" t="s">
        <v>9928</v>
      </c>
      <c r="E2306" t="s">
        <v>10075</v>
      </c>
      <c r="F2306">
        <v>11230</v>
      </c>
      <c r="G2306" t="s">
        <v>10093</v>
      </c>
      <c r="H2306" t="s">
        <v>10110</v>
      </c>
      <c r="I2306" t="s">
        <v>10169</v>
      </c>
      <c r="J2306" t="s">
        <v>10213</v>
      </c>
      <c r="K2306" t="s">
        <v>10217</v>
      </c>
      <c r="M2306" t="s">
        <v>10239</v>
      </c>
      <c r="N2306" t="s">
        <v>10650</v>
      </c>
      <c r="P2306" t="s">
        <v>10749</v>
      </c>
      <c r="Q2306" t="s">
        <v>10765</v>
      </c>
      <c r="R2306" t="s">
        <v>10823</v>
      </c>
      <c r="T2306">
        <v>46200</v>
      </c>
      <c r="U2306">
        <v>3850</v>
      </c>
      <c r="V2306">
        <v>62</v>
      </c>
      <c r="W2306">
        <v>2</v>
      </c>
      <c r="X2306">
        <v>1</v>
      </c>
      <c r="Z2306">
        <v>216.6</v>
      </c>
      <c r="AA2306">
        <v>40.61204</v>
      </c>
      <c r="AB2306">
        <v>-73.96236399999999</v>
      </c>
      <c r="AD2306" t="s">
        <v>10840</v>
      </c>
      <c r="AF2306" t="s">
        <v>10843</v>
      </c>
      <c r="AG2306" t="s">
        <v>10859</v>
      </c>
      <c r="AH2306" t="s">
        <v>10862</v>
      </c>
      <c r="AI2306">
        <v>239</v>
      </c>
      <c r="AJ2306" t="s">
        <v>10213</v>
      </c>
      <c r="AL2306">
        <v>9.9</v>
      </c>
      <c r="AM2306" t="s">
        <v>10888</v>
      </c>
      <c r="AN2306" t="s">
        <v>10965</v>
      </c>
      <c r="AO2306" t="s">
        <v>11015</v>
      </c>
      <c r="AP2306" t="s">
        <v>11092</v>
      </c>
      <c r="AR2306" t="s">
        <v>11257</v>
      </c>
      <c r="AS2306" t="s">
        <v>11595</v>
      </c>
      <c r="AT2306" t="s">
        <v>11642</v>
      </c>
      <c r="AX2306" t="s">
        <v>10838</v>
      </c>
      <c r="BA2306" t="s">
        <v>11738</v>
      </c>
      <c r="BB2306">
        <v>0</v>
      </c>
      <c r="BC2306">
        <v>0</v>
      </c>
      <c r="BD2306">
        <v>0</v>
      </c>
      <c r="BE2306">
        <v>0</v>
      </c>
      <c r="BF2306">
        <v>5</v>
      </c>
      <c r="BG2306">
        <v>0</v>
      </c>
    </row>
    <row r="2307" spans="1:59">
      <c r="A2307" s="1">
        <f>HYPERLINK("https://lsnyc.legalserver.org/matter/dynamic-profile/view/1906259","19-1906259")</f>
        <v>0</v>
      </c>
      <c r="B2307" t="s">
        <v>1958</v>
      </c>
      <c r="C2307" t="s">
        <v>6752</v>
      </c>
      <c r="D2307" t="s">
        <v>9938</v>
      </c>
      <c r="E2307" t="s">
        <v>10075</v>
      </c>
      <c r="F2307">
        <v>11436</v>
      </c>
      <c r="G2307" t="s">
        <v>10092</v>
      </c>
      <c r="H2307" t="s">
        <v>10110</v>
      </c>
      <c r="I2307" t="s">
        <v>10168</v>
      </c>
      <c r="J2307" t="s">
        <v>10212</v>
      </c>
      <c r="K2307" t="s">
        <v>10217</v>
      </c>
      <c r="M2307" t="s">
        <v>10311</v>
      </c>
      <c r="N2307" t="s">
        <v>10684</v>
      </c>
      <c r="P2307" t="s">
        <v>10751</v>
      </c>
      <c r="Q2307" t="s">
        <v>10786</v>
      </c>
      <c r="R2307" t="s">
        <v>10827</v>
      </c>
      <c r="T2307">
        <v>0</v>
      </c>
      <c r="U2307">
        <v>0</v>
      </c>
      <c r="V2307">
        <v>32</v>
      </c>
      <c r="W2307">
        <v>1</v>
      </c>
      <c r="X2307">
        <v>0</v>
      </c>
      <c r="Z2307">
        <v>0</v>
      </c>
      <c r="AA2307">
        <v>40.678</v>
      </c>
      <c r="AB2307">
        <v>-73.794298</v>
      </c>
      <c r="AD2307" t="s">
        <v>10840</v>
      </c>
      <c r="AF2307" t="s">
        <v>10843</v>
      </c>
      <c r="AG2307" t="s">
        <v>10859</v>
      </c>
      <c r="AH2307" t="s">
        <v>10873</v>
      </c>
      <c r="AI2307">
        <v>237</v>
      </c>
      <c r="AJ2307" t="s">
        <v>10212</v>
      </c>
      <c r="AL2307">
        <v>2.25</v>
      </c>
      <c r="AM2307" t="s">
        <v>10892</v>
      </c>
      <c r="AN2307" t="s">
        <v>10951</v>
      </c>
      <c r="AO2307" t="s">
        <v>11017</v>
      </c>
      <c r="AP2307" t="s">
        <v>11070</v>
      </c>
      <c r="AR2307" t="s">
        <v>11267</v>
      </c>
      <c r="AS2307" t="s">
        <v>11594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</row>
    <row r="2308" spans="1:59">
      <c r="A2308" s="1">
        <f>HYPERLINK("https://lsnyc.legalserver.org/matter/dynamic-profile/view/1906260","19-1906260")</f>
        <v>0</v>
      </c>
      <c r="B2308" t="s">
        <v>1959</v>
      </c>
      <c r="C2308" t="s">
        <v>6753</v>
      </c>
      <c r="D2308" t="s">
        <v>9928</v>
      </c>
      <c r="E2308" t="s">
        <v>10075</v>
      </c>
      <c r="F2308">
        <v>11208</v>
      </c>
      <c r="G2308" t="s">
        <v>10093</v>
      </c>
      <c r="H2308" t="s">
        <v>10110</v>
      </c>
      <c r="I2308" t="s">
        <v>10168</v>
      </c>
      <c r="J2308" t="s">
        <v>10213</v>
      </c>
      <c r="K2308" t="s">
        <v>10217</v>
      </c>
      <c r="M2308" t="s">
        <v>10565</v>
      </c>
      <c r="N2308" t="s">
        <v>10664</v>
      </c>
      <c r="P2308" t="s">
        <v>10749</v>
      </c>
      <c r="Q2308" t="s">
        <v>10765</v>
      </c>
      <c r="R2308" t="s">
        <v>10824</v>
      </c>
      <c r="T2308">
        <v>16860</v>
      </c>
      <c r="U2308">
        <v>1405</v>
      </c>
      <c r="V2308">
        <v>65</v>
      </c>
      <c r="W2308">
        <v>1</v>
      </c>
      <c r="X2308">
        <v>0</v>
      </c>
      <c r="Z2308">
        <v>134.99</v>
      </c>
      <c r="AA2308">
        <v>40.669058</v>
      </c>
      <c r="AB2308">
        <v>-73.870959</v>
      </c>
      <c r="AD2308" t="s">
        <v>10839</v>
      </c>
      <c r="AG2308" t="s">
        <v>10858</v>
      </c>
      <c r="AH2308" t="s">
        <v>10861</v>
      </c>
      <c r="AI2308">
        <v>239</v>
      </c>
      <c r="AJ2308" t="s">
        <v>10213</v>
      </c>
      <c r="AL2308">
        <v>0</v>
      </c>
      <c r="AR2308" t="s">
        <v>11296</v>
      </c>
      <c r="AS2308" t="s">
        <v>11595</v>
      </c>
      <c r="BA2308" t="s">
        <v>11741</v>
      </c>
      <c r="BB2308">
        <v>0</v>
      </c>
      <c r="BC2308">
        <v>0</v>
      </c>
      <c r="BD2308">
        <v>0</v>
      </c>
      <c r="BE2308">
        <v>0</v>
      </c>
      <c r="BF2308">
        <v>1</v>
      </c>
      <c r="BG2308">
        <v>0</v>
      </c>
    </row>
    <row r="2309" spans="1:59">
      <c r="A2309" s="1">
        <f>HYPERLINK("https://lsnyc.legalserver.org/matter/dynamic-profile/view/1906261","19-1906261")</f>
        <v>0</v>
      </c>
      <c r="B2309" t="s">
        <v>1960</v>
      </c>
      <c r="C2309" t="s">
        <v>6754</v>
      </c>
      <c r="D2309" t="s">
        <v>9926</v>
      </c>
      <c r="E2309" t="s">
        <v>10075</v>
      </c>
      <c r="F2309">
        <v>10462</v>
      </c>
      <c r="G2309" t="s">
        <v>10090</v>
      </c>
      <c r="H2309" t="s">
        <v>10110</v>
      </c>
      <c r="I2309" t="s">
        <v>10168</v>
      </c>
      <c r="J2309" t="s">
        <v>10210</v>
      </c>
      <c r="K2309" t="s">
        <v>10217</v>
      </c>
      <c r="M2309" t="s">
        <v>10281</v>
      </c>
      <c r="N2309" t="s">
        <v>10651</v>
      </c>
      <c r="P2309" t="s">
        <v>10749</v>
      </c>
      <c r="Q2309" t="s">
        <v>10765</v>
      </c>
      <c r="R2309" t="s">
        <v>10821</v>
      </c>
      <c r="T2309">
        <v>39642</v>
      </c>
      <c r="U2309">
        <v>3303.5</v>
      </c>
      <c r="V2309">
        <v>72</v>
      </c>
      <c r="W2309">
        <v>2</v>
      </c>
      <c r="X2309">
        <v>1</v>
      </c>
      <c r="Z2309">
        <v>185.85</v>
      </c>
      <c r="AA2309">
        <v>40.833364</v>
      </c>
      <c r="AB2309">
        <v>-73.854348</v>
      </c>
      <c r="AC2309" t="s">
        <v>10837</v>
      </c>
      <c r="AD2309" t="s">
        <v>10840</v>
      </c>
      <c r="AG2309" t="s">
        <v>10858</v>
      </c>
      <c r="AH2309" t="s">
        <v>10862</v>
      </c>
      <c r="AI2309">
        <v>230</v>
      </c>
      <c r="AJ2309" t="s">
        <v>10210</v>
      </c>
      <c r="AL2309">
        <v>14.5</v>
      </c>
      <c r="AM2309" t="s">
        <v>10885</v>
      </c>
      <c r="AN2309" t="s">
        <v>10908</v>
      </c>
      <c r="AO2309" t="s">
        <v>11002</v>
      </c>
      <c r="AP2309" t="s">
        <v>11046</v>
      </c>
      <c r="AR2309" t="s">
        <v>11458</v>
      </c>
      <c r="AS2309" t="s">
        <v>9926</v>
      </c>
      <c r="AT2309" t="s">
        <v>11642</v>
      </c>
      <c r="BA2309" t="s">
        <v>11738</v>
      </c>
      <c r="BB2309">
        <v>0</v>
      </c>
      <c r="BC2309">
        <v>0</v>
      </c>
      <c r="BD2309">
        <v>0</v>
      </c>
      <c r="BE2309">
        <v>0</v>
      </c>
      <c r="BF2309">
        <v>5</v>
      </c>
      <c r="BG2309">
        <v>0</v>
      </c>
    </row>
    <row r="2310" spans="1:59">
      <c r="A2310" s="1">
        <f>HYPERLINK("https://lsnyc.legalserver.org/matter/dynamic-profile/view/1906262","19-1906262")</f>
        <v>0</v>
      </c>
      <c r="B2310" t="s">
        <v>1961</v>
      </c>
      <c r="C2310" t="s">
        <v>6755</v>
      </c>
      <c r="D2310" t="s">
        <v>9929</v>
      </c>
      <c r="E2310" t="s">
        <v>10075</v>
      </c>
      <c r="F2310">
        <v>10306</v>
      </c>
      <c r="G2310" t="s">
        <v>10088</v>
      </c>
      <c r="H2310" t="s">
        <v>10110</v>
      </c>
      <c r="I2310" t="s">
        <v>10195</v>
      </c>
      <c r="J2310" t="s">
        <v>10208</v>
      </c>
      <c r="K2310" t="s">
        <v>10217</v>
      </c>
      <c r="M2310" t="s">
        <v>10251</v>
      </c>
      <c r="N2310" t="s">
        <v>10661</v>
      </c>
      <c r="P2310" t="s">
        <v>10749</v>
      </c>
      <c r="Q2310" t="s">
        <v>10759</v>
      </c>
      <c r="R2310" t="s">
        <v>10820</v>
      </c>
      <c r="T2310">
        <v>78000</v>
      </c>
      <c r="U2310">
        <v>6500</v>
      </c>
      <c r="V2310">
        <v>50</v>
      </c>
      <c r="W2310">
        <v>3</v>
      </c>
      <c r="X2310">
        <v>0</v>
      </c>
      <c r="Z2310">
        <v>365.68</v>
      </c>
      <c r="AA2310">
        <v>40.569015</v>
      </c>
      <c r="AB2310">
        <v>-74.09472100000001</v>
      </c>
      <c r="AD2310" t="s">
        <v>10840</v>
      </c>
      <c r="AF2310" t="s">
        <v>10843</v>
      </c>
      <c r="AG2310" t="s">
        <v>10859</v>
      </c>
      <c r="AH2310" t="s">
        <v>10860</v>
      </c>
      <c r="AI2310">
        <v>285</v>
      </c>
      <c r="AJ2310" t="s">
        <v>10208</v>
      </c>
      <c r="AL2310">
        <v>15.1</v>
      </c>
      <c r="AM2310" t="s">
        <v>10883</v>
      </c>
      <c r="AN2310" t="s">
        <v>10915</v>
      </c>
      <c r="AO2310" t="s">
        <v>10999</v>
      </c>
      <c r="AP2310" t="s">
        <v>11063</v>
      </c>
      <c r="AR2310" t="s">
        <v>11257</v>
      </c>
      <c r="AS2310" t="s">
        <v>11593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</row>
    <row r="2311" spans="1:59">
      <c r="A2311" s="1">
        <f>HYPERLINK("https://lsnyc.legalserver.org/matter/dynamic-profile/view/1906263","19-1906263")</f>
        <v>0</v>
      </c>
      <c r="B2311" t="s">
        <v>1962</v>
      </c>
      <c r="C2311" t="s">
        <v>6756</v>
      </c>
      <c r="D2311" t="s">
        <v>9929</v>
      </c>
      <c r="E2311" t="s">
        <v>10075</v>
      </c>
      <c r="F2311">
        <v>10301</v>
      </c>
      <c r="G2311" t="s">
        <v>10088</v>
      </c>
      <c r="H2311" t="s">
        <v>10110</v>
      </c>
      <c r="I2311" t="s">
        <v>10168</v>
      </c>
      <c r="J2311" t="s">
        <v>10208</v>
      </c>
      <c r="K2311" t="s">
        <v>10217</v>
      </c>
      <c r="M2311" t="s">
        <v>10259</v>
      </c>
      <c r="N2311" t="s">
        <v>10711</v>
      </c>
      <c r="P2311" t="s">
        <v>10749</v>
      </c>
      <c r="Q2311" t="s">
        <v>10774</v>
      </c>
      <c r="R2311" t="s">
        <v>10824</v>
      </c>
      <c r="T2311">
        <v>10332</v>
      </c>
      <c r="U2311">
        <v>861</v>
      </c>
      <c r="V2311">
        <v>49</v>
      </c>
      <c r="W2311">
        <v>4</v>
      </c>
      <c r="X2311">
        <v>0</v>
      </c>
      <c r="Z2311">
        <v>40.12</v>
      </c>
      <c r="AA2311">
        <v>40.636988</v>
      </c>
      <c r="AB2311">
        <v>-74.083733</v>
      </c>
      <c r="AD2311" t="s">
        <v>10839</v>
      </c>
      <c r="AG2311" t="s">
        <v>10858</v>
      </c>
      <c r="AH2311" t="s">
        <v>10862</v>
      </c>
      <c r="AI2311">
        <v>285</v>
      </c>
      <c r="AJ2311" t="s">
        <v>10208</v>
      </c>
      <c r="AL2311">
        <v>1.6</v>
      </c>
      <c r="AM2311" t="s">
        <v>10883</v>
      </c>
      <c r="AN2311" t="s">
        <v>10913</v>
      </c>
      <c r="AO2311" t="s">
        <v>11006</v>
      </c>
      <c r="AP2311" t="s">
        <v>11051</v>
      </c>
      <c r="AQ2311" t="s">
        <v>11136</v>
      </c>
      <c r="AR2311" t="s">
        <v>11334</v>
      </c>
      <c r="AS2311" t="s">
        <v>11593</v>
      </c>
      <c r="BA2311" t="s">
        <v>11740</v>
      </c>
      <c r="BB2311">
        <v>0</v>
      </c>
      <c r="BC2311">
        <v>0</v>
      </c>
      <c r="BD2311">
        <v>0</v>
      </c>
      <c r="BE2311">
        <v>0</v>
      </c>
      <c r="BF2311">
        <v>2</v>
      </c>
      <c r="BG2311">
        <v>0</v>
      </c>
    </row>
    <row r="2312" spans="1:59">
      <c r="A2312" s="1">
        <f>HYPERLINK("https://lsnyc.legalserver.org/matter/dynamic-profile/view/1906264","19-1906264")</f>
        <v>0</v>
      </c>
      <c r="B2312" t="s">
        <v>1963</v>
      </c>
      <c r="C2312" t="s">
        <v>5200</v>
      </c>
      <c r="D2312" t="s">
        <v>9928</v>
      </c>
      <c r="E2312" t="s">
        <v>10075</v>
      </c>
      <c r="F2312">
        <v>11226</v>
      </c>
      <c r="G2312" t="s">
        <v>10093</v>
      </c>
      <c r="H2312" t="s">
        <v>10110</v>
      </c>
      <c r="I2312" t="s">
        <v>10168</v>
      </c>
      <c r="J2312" t="s">
        <v>10213</v>
      </c>
      <c r="K2312" t="s">
        <v>10217</v>
      </c>
      <c r="M2312" t="s">
        <v>10314</v>
      </c>
      <c r="N2312" t="s">
        <v>10667</v>
      </c>
      <c r="P2312" t="s">
        <v>10749</v>
      </c>
      <c r="Q2312" t="s">
        <v>10765</v>
      </c>
      <c r="R2312" t="s">
        <v>10822</v>
      </c>
      <c r="T2312">
        <v>34320</v>
      </c>
      <c r="U2312">
        <v>2860</v>
      </c>
      <c r="V2312">
        <v>63</v>
      </c>
      <c r="W2312">
        <v>2</v>
      </c>
      <c r="X2312">
        <v>1</v>
      </c>
      <c r="Z2312">
        <v>160.9</v>
      </c>
      <c r="AA2312">
        <v>40.64936</v>
      </c>
      <c r="AB2312">
        <v>-73.96032200000001</v>
      </c>
      <c r="AD2312" t="s">
        <v>10822</v>
      </c>
      <c r="AG2312" t="s">
        <v>10858</v>
      </c>
      <c r="AH2312" t="s">
        <v>10862</v>
      </c>
      <c r="AI2312">
        <v>239</v>
      </c>
      <c r="AJ2312" t="s">
        <v>10213</v>
      </c>
      <c r="AL2312">
        <v>5.25</v>
      </c>
      <c r="AM2312" t="s">
        <v>10888</v>
      </c>
      <c r="AN2312" t="s">
        <v>10932</v>
      </c>
      <c r="AO2312" t="s">
        <v>11008</v>
      </c>
      <c r="AP2312" t="s">
        <v>11050</v>
      </c>
      <c r="AQ2312" t="s">
        <v>11101</v>
      </c>
      <c r="AR2312" t="s">
        <v>11379</v>
      </c>
      <c r="AS2312" t="s">
        <v>11595</v>
      </c>
      <c r="BA2312" t="s">
        <v>11738</v>
      </c>
      <c r="BB2312">
        <v>0</v>
      </c>
      <c r="BC2312">
        <v>0</v>
      </c>
      <c r="BD2312">
        <v>0</v>
      </c>
      <c r="BE2312">
        <v>0</v>
      </c>
      <c r="BF2312">
        <v>5</v>
      </c>
      <c r="BG2312">
        <v>0</v>
      </c>
    </row>
    <row r="2313" spans="1:59">
      <c r="A2313" s="1">
        <f>HYPERLINK("https://lsnyc.legalserver.org/matter/dynamic-profile/view/1906265","19-1906265")</f>
        <v>0</v>
      </c>
      <c r="B2313" t="s">
        <v>1424</v>
      </c>
      <c r="C2313" t="s">
        <v>6757</v>
      </c>
      <c r="D2313" t="s">
        <v>9925</v>
      </c>
      <c r="E2313" t="s">
        <v>10075</v>
      </c>
      <c r="F2313">
        <v>10026</v>
      </c>
      <c r="G2313" t="s">
        <v>10089</v>
      </c>
      <c r="H2313" t="s">
        <v>10110</v>
      </c>
      <c r="I2313" t="s">
        <v>10168</v>
      </c>
      <c r="J2313" t="s">
        <v>10209</v>
      </c>
      <c r="K2313" t="s">
        <v>10217</v>
      </c>
      <c r="M2313" t="s">
        <v>10388</v>
      </c>
      <c r="N2313" t="s">
        <v>10702</v>
      </c>
      <c r="P2313" t="s">
        <v>10749</v>
      </c>
      <c r="Q2313" t="s">
        <v>10765</v>
      </c>
      <c r="R2313" t="s">
        <v>10824</v>
      </c>
      <c r="T2313">
        <v>4800</v>
      </c>
      <c r="U2313">
        <v>400</v>
      </c>
      <c r="V2313">
        <v>65</v>
      </c>
      <c r="W2313">
        <v>1</v>
      </c>
      <c r="X2313">
        <v>0</v>
      </c>
      <c r="Z2313">
        <v>38.43</v>
      </c>
      <c r="AA2313">
        <v>40.804067</v>
      </c>
      <c r="AB2313">
        <v>-73.95706</v>
      </c>
      <c r="AD2313" t="s">
        <v>10839</v>
      </c>
      <c r="AG2313" t="s">
        <v>10858</v>
      </c>
      <c r="AH2313" t="s">
        <v>10862</v>
      </c>
      <c r="AI2313">
        <v>236</v>
      </c>
      <c r="AJ2313" t="s">
        <v>10209</v>
      </c>
      <c r="AL2313">
        <v>5.6</v>
      </c>
      <c r="AM2313" t="s">
        <v>10887</v>
      </c>
      <c r="AN2313" t="s">
        <v>10936</v>
      </c>
      <c r="AO2313" t="s">
        <v>11016</v>
      </c>
      <c r="AP2313" t="s">
        <v>11076</v>
      </c>
      <c r="AR2313" t="s">
        <v>11268</v>
      </c>
      <c r="AS2313" t="s">
        <v>9925</v>
      </c>
      <c r="BA2313" t="s">
        <v>11738</v>
      </c>
      <c r="BB2313">
        <v>0</v>
      </c>
      <c r="BC2313">
        <v>0</v>
      </c>
      <c r="BD2313">
        <v>0</v>
      </c>
      <c r="BE2313">
        <v>0</v>
      </c>
      <c r="BF2313">
        <v>5</v>
      </c>
      <c r="BG2313">
        <v>0</v>
      </c>
    </row>
    <row r="2314" spans="1:59">
      <c r="A2314" s="1">
        <f>HYPERLINK("https://lsnyc.legalserver.org/matter/dynamic-profile/view/1906266","19-1906266")</f>
        <v>0</v>
      </c>
      <c r="B2314" t="s">
        <v>1964</v>
      </c>
      <c r="C2314" t="s">
        <v>6758</v>
      </c>
      <c r="D2314" t="s">
        <v>9926</v>
      </c>
      <c r="E2314" t="s">
        <v>10075</v>
      </c>
      <c r="F2314">
        <v>10467</v>
      </c>
      <c r="G2314" t="s">
        <v>10090</v>
      </c>
      <c r="H2314" t="s">
        <v>10110</v>
      </c>
      <c r="I2314" t="s">
        <v>10169</v>
      </c>
      <c r="J2314" t="s">
        <v>10210</v>
      </c>
      <c r="K2314" t="s">
        <v>10218</v>
      </c>
      <c r="L2314" t="s">
        <v>10127</v>
      </c>
      <c r="M2314" t="s">
        <v>10336</v>
      </c>
      <c r="N2314" t="s">
        <v>10671</v>
      </c>
      <c r="P2314" t="s">
        <v>10754</v>
      </c>
      <c r="Q2314" t="s">
        <v>10770</v>
      </c>
      <c r="R2314" t="s">
        <v>10821</v>
      </c>
      <c r="T2314">
        <v>20800</v>
      </c>
      <c r="U2314">
        <v>1733.33</v>
      </c>
      <c r="V2314">
        <v>47</v>
      </c>
      <c r="W2314">
        <v>2</v>
      </c>
      <c r="X2314">
        <v>0</v>
      </c>
      <c r="Y2314" t="s">
        <v>10829</v>
      </c>
      <c r="Z2314">
        <v>123</v>
      </c>
      <c r="AA2314">
        <v>40.875112</v>
      </c>
      <c r="AB2314">
        <v>-73.877989</v>
      </c>
      <c r="AD2314" t="s">
        <v>10840</v>
      </c>
      <c r="AG2314" t="s">
        <v>10858</v>
      </c>
      <c r="AH2314" t="s">
        <v>10861</v>
      </c>
      <c r="AI2314">
        <v>234</v>
      </c>
      <c r="AJ2314" t="s">
        <v>10214</v>
      </c>
      <c r="AK2314" t="s">
        <v>10882</v>
      </c>
      <c r="AL2314">
        <v>1.75</v>
      </c>
      <c r="AM2314" t="s">
        <v>10887</v>
      </c>
      <c r="AN2314" t="s">
        <v>10938</v>
      </c>
      <c r="AO2314" t="s">
        <v>11010</v>
      </c>
      <c r="AP2314" t="s">
        <v>11057</v>
      </c>
      <c r="AQ2314" t="s">
        <v>11206</v>
      </c>
      <c r="AR2314" t="s">
        <v>11351</v>
      </c>
      <c r="AS2314" t="s">
        <v>9926</v>
      </c>
      <c r="AT2314" t="s">
        <v>11642</v>
      </c>
      <c r="AX2314" t="s">
        <v>10838</v>
      </c>
      <c r="AY2314" t="s">
        <v>10829</v>
      </c>
      <c r="AZ2314" t="s">
        <v>11683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</row>
    <row r="2315" spans="1:59">
      <c r="A2315" s="1">
        <f>HYPERLINK("https://lsnyc.legalserver.org/matter/dynamic-profile/view/1906267","19-1906267")</f>
        <v>0</v>
      </c>
      <c r="B2315" t="s">
        <v>1965</v>
      </c>
      <c r="C2315" t="s">
        <v>6759</v>
      </c>
      <c r="D2315" t="s">
        <v>9925</v>
      </c>
      <c r="E2315" t="s">
        <v>10075</v>
      </c>
      <c r="F2315">
        <v>10033</v>
      </c>
      <c r="G2315" t="s">
        <v>10091</v>
      </c>
      <c r="H2315" t="s">
        <v>10110</v>
      </c>
      <c r="I2315" t="s">
        <v>10169</v>
      </c>
      <c r="J2315" t="s">
        <v>10214</v>
      </c>
      <c r="K2315" t="s">
        <v>10217</v>
      </c>
      <c r="M2315" t="s">
        <v>10286</v>
      </c>
      <c r="N2315" t="s">
        <v>10671</v>
      </c>
      <c r="P2315" t="s">
        <v>10751</v>
      </c>
      <c r="Q2315" t="s">
        <v>10780</v>
      </c>
      <c r="R2315" t="s">
        <v>10821</v>
      </c>
      <c r="T2315">
        <v>10296</v>
      </c>
      <c r="U2315">
        <v>858</v>
      </c>
      <c r="V2315">
        <v>70</v>
      </c>
      <c r="W2315">
        <v>1</v>
      </c>
      <c r="X2315">
        <v>0</v>
      </c>
      <c r="Z2315">
        <v>82.43000000000001</v>
      </c>
      <c r="AA2315">
        <v>40.846164</v>
      </c>
      <c r="AB2315">
        <v>-73.93649600000001</v>
      </c>
      <c r="AD2315" t="s">
        <v>10840</v>
      </c>
      <c r="AF2315" t="s">
        <v>10843</v>
      </c>
      <c r="AG2315" t="s">
        <v>10859</v>
      </c>
      <c r="AH2315" t="s">
        <v>10861</v>
      </c>
      <c r="AI2315">
        <v>234</v>
      </c>
      <c r="AJ2315" t="s">
        <v>10214</v>
      </c>
      <c r="AL2315">
        <v>0.5</v>
      </c>
      <c r="AM2315" t="s">
        <v>10887</v>
      </c>
      <c r="AN2315" t="s">
        <v>10937</v>
      </c>
      <c r="AO2315" t="s">
        <v>11019</v>
      </c>
      <c r="AP2315" t="s">
        <v>11074</v>
      </c>
      <c r="AR2315" t="s">
        <v>11274</v>
      </c>
      <c r="AS2315" t="s">
        <v>9925</v>
      </c>
      <c r="AT2315" t="s">
        <v>11642</v>
      </c>
      <c r="AX2315" t="s">
        <v>10838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</row>
    <row r="2316" spans="1:59">
      <c r="A2316" s="1">
        <f>HYPERLINK("https://lsnyc.legalserver.org/matter/dynamic-profile/view/1906268","19-1906268")</f>
        <v>0</v>
      </c>
      <c r="B2316" t="s">
        <v>1966</v>
      </c>
      <c r="C2316" t="s">
        <v>6760</v>
      </c>
      <c r="D2316" t="s">
        <v>9951</v>
      </c>
      <c r="E2316" t="s">
        <v>10075</v>
      </c>
      <c r="F2316">
        <v>11416</v>
      </c>
      <c r="G2316" t="s">
        <v>10092</v>
      </c>
      <c r="H2316" t="s">
        <v>10110</v>
      </c>
      <c r="I2316" t="s">
        <v>10168</v>
      </c>
      <c r="J2316" t="s">
        <v>10212</v>
      </c>
      <c r="K2316" t="s">
        <v>10217</v>
      </c>
      <c r="M2316" t="s">
        <v>10527</v>
      </c>
      <c r="N2316" t="s">
        <v>10671</v>
      </c>
      <c r="P2316" t="s">
        <v>10755</v>
      </c>
      <c r="Q2316" t="s">
        <v>10772</v>
      </c>
      <c r="R2316" t="s">
        <v>10821</v>
      </c>
      <c r="T2316">
        <v>28600</v>
      </c>
      <c r="U2316">
        <v>2383.33</v>
      </c>
      <c r="V2316">
        <v>13</v>
      </c>
      <c r="W2316">
        <v>1</v>
      </c>
      <c r="X2316">
        <v>1</v>
      </c>
      <c r="Z2316">
        <v>169.13</v>
      </c>
      <c r="AA2316">
        <v>40.683132</v>
      </c>
      <c r="AB2316">
        <v>-73.844202</v>
      </c>
      <c r="AD2316" t="s">
        <v>10839</v>
      </c>
      <c r="AG2316" t="s">
        <v>10858</v>
      </c>
      <c r="AH2316" t="s">
        <v>10861</v>
      </c>
      <c r="AI2316">
        <v>234</v>
      </c>
      <c r="AJ2316" t="s">
        <v>10214</v>
      </c>
      <c r="AL2316">
        <v>1.9</v>
      </c>
      <c r="AM2316" t="s">
        <v>10886</v>
      </c>
      <c r="AN2316" t="s">
        <v>10958</v>
      </c>
      <c r="AO2316" t="s">
        <v>11024</v>
      </c>
      <c r="AP2316" t="s">
        <v>11088</v>
      </c>
      <c r="AR2316" t="s">
        <v>11257</v>
      </c>
      <c r="AS2316" t="s">
        <v>11594</v>
      </c>
      <c r="AT2316" t="s">
        <v>11642</v>
      </c>
      <c r="AX2316" t="s">
        <v>10838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</row>
    <row r="2317" spans="1:59">
      <c r="A2317" s="1">
        <f>HYPERLINK("https://lsnyc.legalserver.org/matter/dynamic-profile/view/1906269","19-1906269")</f>
        <v>0</v>
      </c>
      <c r="B2317" t="s">
        <v>1967</v>
      </c>
      <c r="C2317" t="s">
        <v>6761</v>
      </c>
      <c r="D2317" t="s">
        <v>9925</v>
      </c>
      <c r="E2317" t="s">
        <v>10075</v>
      </c>
      <c r="F2317">
        <v>10031</v>
      </c>
      <c r="G2317" t="s">
        <v>10089</v>
      </c>
      <c r="H2317" t="s">
        <v>10110</v>
      </c>
      <c r="I2317" t="s">
        <v>10169</v>
      </c>
      <c r="J2317" t="s">
        <v>10209</v>
      </c>
      <c r="K2317" t="s">
        <v>10217</v>
      </c>
      <c r="M2317" t="s">
        <v>10501</v>
      </c>
      <c r="N2317" t="s">
        <v>10702</v>
      </c>
      <c r="P2317" t="s">
        <v>10749</v>
      </c>
      <c r="Q2317" t="s">
        <v>10765</v>
      </c>
      <c r="R2317" t="s">
        <v>10821</v>
      </c>
      <c r="T2317">
        <v>8793</v>
      </c>
      <c r="U2317">
        <v>732.75</v>
      </c>
      <c r="V2317">
        <v>49</v>
      </c>
      <c r="W2317">
        <v>2</v>
      </c>
      <c r="X2317">
        <v>0</v>
      </c>
      <c r="Z2317">
        <v>52</v>
      </c>
      <c r="AA2317">
        <v>40.829241</v>
      </c>
      <c r="AB2317">
        <v>-73.94583299999999</v>
      </c>
      <c r="AD2317" t="s">
        <v>10839</v>
      </c>
      <c r="AF2317" t="s">
        <v>10844</v>
      </c>
      <c r="AG2317" t="s">
        <v>10859</v>
      </c>
      <c r="AH2317" t="s">
        <v>10862</v>
      </c>
      <c r="AI2317">
        <v>236</v>
      </c>
      <c r="AJ2317" t="s">
        <v>10209</v>
      </c>
      <c r="AL2317">
        <v>9.199999999999999</v>
      </c>
      <c r="AM2317" t="s">
        <v>10887</v>
      </c>
      <c r="AN2317" t="s">
        <v>10943</v>
      </c>
      <c r="AO2317" t="s">
        <v>11016</v>
      </c>
      <c r="AP2317" t="s">
        <v>11073</v>
      </c>
      <c r="AR2317" t="s">
        <v>11263</v>
      </c>
      <c r="AS2317" t="s">
        <v>9925</v>
      </c>
      <c r="BA2317" t="s">
        <v>11738</v>
      </c>
      <c r="BB2317">
        <v>0</v>
      </c>
      <c r="BC2317">
        <v>0</v>
      </c>
      <c r="BD2317">
        <v>0</v>
      </c>
      <c r="BE2317">
        <v>0</v>
      </c>
      <c r="BF2317">
        <v>5</v>
      </c>
      <c r="BG2317">
        <v>0</v>
      </c>
    </row>
    <row r="2318" spans="1:59">
      <c r="A2318" s="1">
        <f>HYPERLINK("https://lsnyc.legalserver.org/matter/dynamic-profile/view/1906270","19-1906270")</f>
        <v>0</v>
      </c>
      <c r="B2318" t="s">
        <v>1968</v>
      </c>
      <c r="C2318" t="s">
        <v>6762</v>
      </c>
      <c r="D2318" t="s">
        <v>9938</v>
      </c>
      <c r="E2318" t="s">
        <v>10075</v>
      </c>
      <c r="F2318">
        <v>11435</v>
      </c>
      <c r="G2318" t="s">
        <v>10092</v>
      </c>
      <c r="H2318" t="s">
        <v>10110</v>
      </c>
      <c r="I2318" t="s">
        <v>10168</v>
      </c>
      <c r="J2318" t="s">
        <v>10212</v>
      </c>
      <c r="K2318" t="s">
        <v>10217</v>
      </c>
      <c r="M2318" t="s">
        <v>10325</v>
      </c>
      <c r="N2318" t="s">
        <v>10675</v>
      </c>
      <c r="P2318" t="s">
        <v>10751</v>
      </c>
      <c r="Q2318" t="s">
        <v>10761</v>
      </c>
      <c r="R2318" t="s">
        <v>10824</v>
      </c>
      <c r="T2318">
        <v>2196</v>
      </c>
      <c r="U2318">
        <v>183</v>
      </c>
      <c r="V2318">
        <v>61</v>
      </c>
      <c r="W2318">
        <v>1</v>
      </c>
      <c r="X2318">
        <v>0</v>
      </c>
      <c r="Z2318">
        <v>17.58</v>
      </c>
      <c r="AA2318">
        <v>40.703668</v>
      </c>
      <c r="AB2318">
        <v>-73.806528</v>
      </c>
      <c r="AC2318" t="s">
        <v>10837</v>
      </c>
      <c r="AD2318" t="s">
        <v>10840</v>
      </c>
      <c r="AG2318" t="s">
        <v>10858</v>
      </c>
      <c r="AH2318" t="s">
        <v>10861</v>
      </c>
      <c r="AI2318">
        <v>234</v>
      </c>
      <c r="AJ2318" t="s">
        <v>10214</v>
      </c>
      <c r="AL2318">
        <v>2.6</v>
      </c>
      <c r="AM2318" t="s">
        <v>10892</v>
      </c>
      <c r="AN2318" t="s">
        <v>10951</v>
      </c>
      <c r="AO2318" t="s">
        <v>11020</v>
      </c>
      <c r="AP2318" t="s">
        <v>11081</v>
      </c>
      <c r="AR2318" t="s">
        <v>11311</v>
      </c>
      <c r="AS2318" t="s">
        <v>11594</v>
      </c>
      <c r="AT2318" t="s">
        <v>11642</v>
      </c>
      <c r="AX2318" t="s">
        <v>10838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</row>
    <row r="2319" spans="1:59">
      <c r="A2319" s="1">
        <f>HYPERLINK("https://lsnyc.legalserver.org/matter/dynamic-profile/view/1906272","19-1906272")</f>
        <v>0</v>
      </c>
      <c r="B2319" t="s">
        <v>1969</v>
      </c>
      <c r="C2319" t="s">
        <v>6334</v>
      </c>
      <c r="D2319" t="s">
        <v>9928</v>
      </c>
      <c r="E2319" t="s">
        <v>10075</v>
      </c>
      <c r="F2319">
        <v>11226</v>
      </c>
      <c r="G2319" t="s">
        <v>10093</v>
      </c>
      <c r="H2319" t="s">
        <v>10110</v>
      </c>
      <c r="I2319" t="s">
        <v>10168</v>
      </c>
      <c r="J2319" t="s">
        <v>10213</v>
      </c>
      <c r="K2319" t="s">
        <v>10217</v>
      </c>
      <c r="M2319" t="s">
        <v>10531</v>
      </c>
      <c r="N2319" t="s">
        <v>10667</v>
      </c>
      <c r="P2319" t="s">
        <v>10749</v>
      </c>
      <c r="Q2319" t="s">
        <v>10765</v>
      </c>
      <c r="R2319" t="s">
        <v>10824</v>
      </c>
      <c r="T2319">
        <v>24996</v>
      </c>
      <c r="U2319">
        <v>2083</v>
      </c>
      <c r="V2319">
        <v>84</v>
      </c>
      <c r="W2319">
        <v>1</v>
      </c>
      <c r="X2319">
        <v>0</v>
      </c>
      <c r="Z2319">
        <v>200.13</v>
      </c>
      <c r="AA2319">
        <v>40.648335</v>
      </c>
      <c r="AB2319">
        <v>-73.961631</v>
      </c>
      <c r="AD2319" t="s">
        <v>10839</v>
      </c>
      <c r="AG2319" t="s">
        <v>10858</v>
      </c>
      <c r="AH2319" t="s">
        <v>10862</v>
      </c>
      <c r="AI2319">
        <v>239</v>
      </c>
      <c r="AJ2319" t="s">
        <v>10213</v>
      </c>
      <c r="AL2319">
        <v>7.8</v>
      </c>
      <c r="AM2319" t="s">
        <v>10888</v>
      </c>
      <c r="AN2319" t="s">
        <v>10932</v>
      </c>
      <c r="AO2319" t="s">
        <v>11008</v>
      </c>
      <c r="AP2319" t="s">
        <v>11050</v>
      </c>
      <c r="AR2319" t="s">
        <v>11379</v>
      </c>
      <c r="AS2319" t="s">
        <v>11595</v>
      </c>
      <c r="BA2319" t="s">
        <v>11738</v>
      </c>
      <c r="BB2319">
        <v>0</v>
      </c>
      <c r="BC2319">
        <v>0</v>
      </c>
      <c r="BD2319">
        <v>0</v>
      </c>
      <c r="BE2319">
        <v>0</v>
      </c>
      <c r="BF2319">
        <v>5</v>
      </c>
      <c r="BG2319">
        <v>0</v>
      </c>
    </row>
    <row r="2320" spans="1:59">
      <c r="A2320" s="1">
        <f>HYPERLINK("https://lsnyc.legalserver.org/matter/dynamic-profile/view/1906273","19-1906273")</f>
        <v>0</v>
      </c>
      <c r="B2320" t="s">
        <v>1970</v>
      </c>
      <c r="C2320" t="s">
        <v>6763</v>
      </c>
      <c r="D2320" t="s">
        <v>9928</v>
      </c>
      <c r="E2320" t="s">
        <v>10075</v>
      </c>
      <c r="F2320">
        <v>11233</v>
      </c>
      <c r="G2320" t="s">
        <v>10093</v>
      </c>
      <c r="H2320" t="s">
        <v>10110</v>
      </c>
      <c r="I2320" t="s">
        <v>10168</v>
      </c>
      <c r="J2320" t="s">
        <v>10213</v>
      </c>
      <c r="K2320" t="s">
        <v>10218</v>
      </c>
      <c r="L2320" t="s">
        <v>10152</v>
      </c>
      <c r="M2320" t="s">
        <v>10568</v>
      </c>
      <c r="N2320" t="s">
        <v>10650</v>
      </c>
      <c r="P2320" t="s">
        <v>10749</v>
      </c>
      <c r="Q2320" t="s">
        <v>10765</v>
      </c>
      <c r="R2320" t="s">
        <v>10824</v>
      </c>
      <c r="T2320">
        <v>26000</v>
      </c>
      <c r="U2320">
        <v>2166.67</v>
      </c>
      <c r="V2320">
        <v>41</v>
      </c>
      <c r="W2320">
        <v>3</v>
      </c>
      <c r="X2320">
        <v>3</v>
      </c>
      <c r="Y2320" t="s">
        <v>10831</v>
      </c>
      <c r="Z2320">
        <v>75.17</v>
      </c>
      <c r="AA2320">
        <v>40.671715</v>
      </c>
      <c r="AB2320">
        <v>-73.915143</v>
      </c>
      <c r="AD2320" t="s">
        <v>10839</v>
      </c>
      <c r="AG2320" t="s">
        <v>10858</v>
      </c>
      <c r="AH2320" t="s">
        <v>10862</v>
      </c>
      <c r="AI2320">
        <v>239</v>
      </c>
      <c r="AJ2320" t="s">
        <v>10213</v>
      </c>
      <c r="AK2320" t="s">
        <v>10838</v>
      </c>
      <c r="AL2320">
        <v>2.3</v>
      </c>
      <c r="AM2320" t="s">
        <v>10888</v>
      </c>
      <c r="AN2320" t="s">
        <v>10922</v>
      </c>
      <c r="AO2320" t="s">
        <v>11007</v>
      </c>
      <c r="AP2320" t="s">
        <v>11064</v>
      </c>
      <c r="AQ2320" t="s">
        <v>11101</v>
      </c>
      <c r="AR2320" t="s">
        <v>11257</v>
      </c>
      <c r="AS2320" t="s">
        <v>11595</v>
      </c>
      <c r="AT2320" t="s">
        <v>11641</v>
      </c>
      <c r="AX2320" t="s">
        <v>10838</v>
      </c>
      <c r="AY2320" t="s">
        <v>10831</v>
      </c>
      <c r="AZ2320" t="s">
        <v>11687</v>
      </c>
      <c r="BA2320" t="s">
        <v>11738</v>
      </c>
      <c r="BB2320">
        <v>0</v>
      </c>
      <c r="BC2320">
        <v>0</v>
      </c>
      <c r="BD2320">
        <v>0</v>
      </c>
      <c r="BE2320">
        <v>0</v>
      </c>
      <c r="BF2320">
        <v>5</v>
      </c>
      <c r="BG2320">
        <v>0</v>
      </c>
    </row>
    <row r="2321" spans="1:59">
      <c r="A2321" s="1">
        <f>HYPERLINK("https://lsnyc.legalserver.org/matter/dynamic-profile/view/1906274","19-1906274")</f>
        <v>0</v>
      </c>
      <c r="B2321" t="s">
        <v>1971</v>
      </c>
      <c r="C2321" t="s">
        <v>6764</v>
      </c>
      <c r="D2321" t="s">
        <v>9926</v>
      </c>
      <c r="E2321" t="s">
        <v>10075</v>
      </c>
      <c r="F2321">
        <v>10469</v>
      </c>
      <c r="G2321" t="s">
        <v>10091</v>
      </c>
      <c r="H2321" t="s">
        <v>10110</v>
      </c>
      <c r="I2321" t="s">
        <v>10169</v>
      </c>
      <c r="J2321" t="s">
        <v>10214</v>
      </c>
      <c r="K2321" t="s">
        <v>10217</v>
      </c>
      <c r="M2321" t="s">
        <v>10286</v>
      </c>
      <c r="N2321" t="s">
        <v>10671</v>
      </c>
      <c r="P2321" t="s">
        <v>10749</v>
      </c>
      <c r="Q2321" t="s">
        <v>10765</v>
      </c>
      <c r="R2321" t="s">
        <v>10821</v>
      </c>
      <c r="T2321">
        <v>9336</v>
      </c>
      <c r="U2321">
        <v>778</v>
      </c>
      <c r="V2321">
        <v>61</v>
      </c>
      <c r="W2321">
        <v>2</v>
      </c>
      <c r="X2321">
        <v>0</v>
      </c>
      <c r="Z2321">
        <v>55.21</v>
      </c>
      <c r="AA2321">
        <v>40.87581</v>
      </c>
      <c r="AB2321">
        <v>-73.85144</v>
      </c>
      <c r="AD2321" t="s">
        <v>10839</v>
      </c>
      <c r="AG2321" t="s">
        <v>10858</v>
      </c>
      <c r="AH2321" t="s">
        <v>10861</v>
      </c>
      <c r="AI2321">
        <v>234</v>
      </c>
      <c r="AJ2321" t="s">
        <v>10214</v>
      </c>
      <c r="AL2321">
        <v>0.5</v>
      </c>
      <c r="AM2321" t="s">
        <v>10893</v>
      </c>
      <c r="AN2321" t="s">
        <v>10956</v>
      </c>
      <c r="AO2321" t="s">
        <v>11010</v>
      </c>
      <c r="AP2321" t="s">
        <v>11085</v>
      </c>
      <c r="AR2321" t="s">
        <v>11394</v>
      </c>
      <c r="AS2321" t="s">
        <v>9926</v>
      </c>
      <c r="AT2321" t="s">
        <v>11641</v>
      </c>
      <c r="AX2321" t="s">
        <v>10838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</row>
    <row r="2322" spans="1:59">
      <c r="A2322" s="1">
        <f>HYPERLINK("https://lsnyc.legalserver.org/matter/dynamic-profile/view/1906275","19-1906275")</f>
        <v>0</v>
      </c>
      <c r="B2322" t="s">
        <v>1972</v>
      </c>
      <c r="C2322" t="s">
        <v>6765</v>
      </c>
      <c r="D2322" t="s">
        <v>9928</v>
      </c>
      <c r="E2322" t="s">
        <v>10075</v>
      </c>
      <c r="F2322">
        <v>11249</v>
      </c>
      <c r="G2322" t="s">
        <v>10093</v>
      </c>
      <c r="H2322" t="s">
        <v>10110</v>
      </c>
      <c r="I2322" t="s">
        <v>10196</v>
      </c>
      <c r="J2322" t="s">
        <v>10213</v>
      </c>
      <c r="K2322" t="s">
        <v>10217</v>
      </c>
      <c r="M2322" t="s">
        <v>10507</v>
      </c>
      <c r="N2322" t="s">
        <v>10664</v>
      </c>
      <c r="P2322" t="s">
        <v>10749</v>
      </c>
      <c r="Q2322" t="s">
        <v>10765</v>
      </c>
      <c r="R2322" t="s">
        <v>10822</v>
      </c>
      <c r="T2322">
        <v>19994</v>
      </c>
      <c r="U2322">
        <v>1666.17</v>
      </c>
      <c r="V2322">
        <v>37</v>
      </c>
      <c r="W2322">
        <v>1</v>
      </c>
      <c r="X2322">
        <v>3</v>
      </c>
      <c r="Z2322">
        <v>77.65000000000001</v>
      </c>
      <c r="AA2322">
        <v>40.71923</v>
      </c>
      <c r="AB2322">
        <v>-73.963292</v>
      </c>
      <c r="AD2322" t="s">
        <v>10822</v>
      </c>
      <c r="AG2322" t="s">
        <v>10858</v>
      </c>
      <c r="AH2322" t="s">
        <v>10862</v>
      </c>
      <c r="AI2322">
        <v>239</v>
      </c>
      <c r="AJ2322" t="s">
        <v>10213</v>
      </c>
      <c r="AL2322">
        <v>1.5</v>
      </c>
      <c r="AM2322" t="s">
        <v>10891</v>
      </c>
      <c r="AN2322" t="s">
        <v>10939</v>
      </c>
      <c r="AO2322" t="s">
        <v>11004</v>
      </c>
      <c r="AP2322" t="s">
        <v>11054</v>
      </c>
      <c r="AR2322" t="s">
        <v>11335</v>
      </c>
      <c r="AS2322" t="s">
        <v>11595</v>
      </c>
      <c r="BA2322" t="s">
        <v>11738</v>
      </c>
      <c r="BB2322">
        <v>0</v>
      </c>
      <c r="BC2322">
        <v>0</v>
      </c>
      <c r="BD2322">
        <v>0</v>
      </c>
      <c r="BE2322">
        <v>0</v>
      </c>
      <c r="BF2322">
        <v>5</v>
      </c>
      <c r="BG2322">
        <v>0</v>
      </c>
    </row>
    <row r="2323" spans="1:59">
      <c r="A2323" s="1">
        <f>HYPERLINK("https://lsnyc.legalserver.org/matter/dynamic-profile/view/1906276","19-1906276")</f>
        <v>0</v>
      </c>
      <c r="B2323" t="s">
        <v>1973</v>
      </c>
      <c r="C2323" t="s">
        <v>6766</v>
      </c>
      <c r="D2323" t="s">
        <v>9928</v>
      </c>
      <c r="E2323" t="s">
        <v>10075</v>
      </c>
      <c r="F2323">
        <v>11212</v>
      </c>
      <c r="G2323" t="s">
        <v>10093</v>
      </c>
      <c r="H2323" t="s">
        <v>10110</v>
      </c>
      <c r="I2323" t="s">
        <v>10168</v>
      </c>
      <c r="J2323" t="s">
        <v>10213</v>
      </c>
      <c r="K2323" t="s">
        <v>10218</v>
      </c>
      <c r="L2323" t="s">
        <v>10147</v>
      </c>
      <c r="M2323" t="s">
        <v>10436</v>
      </c>
      <c r="N2323" t="s">
        <v>10710</v>
      </c>
      <c r="P2323" t="s">
        <v>10750</v>
      </c>
      <c r="Q2323" t="s">
        <v>10760</v>
      </c>
      <c r="R2323" t="s">
        <v>10824</v>
      </c>
      <c r="T2323">
        <v>34800</v>
      </c>
      <c r="U2323">
        <v>2900</v>
      </c>
      <c r="V2323">
        <v>70</v>
      </c>
      <c r="W2323">
        <v>1</v>
      </c>
      <c r="X2323">
        <v>0</v>
      </c>
      <c r="Y2323" t="s">
        <v>10829</v>
      </c>
      <c r="Z2323">
        <v>278.62</v>
      </c>
      <c r="AA2323">
        <v>40.660257</v>
      </c>
      <c r="AB2323">
        <v>-73.901318</v>
      </c>
      <c r="AD2323" t="s">
        <v>10839</v>
      </c>
      <c r="AG2323" t="s">
        <v>10858</v>
      </c>
      <c r="AH2323" t="s">
        <v>10861</v>
      </c>
      <c r="AI2323">
        <v>234</v>
      </c>
      <c r="AJ2323" t="s">
        <v>10214</v>
      </c>
      <c r="AK2323" t="s">
        <v>10838</v>
      </c>
      <c r="AL2323">
        <v>1</v>
      </c>
      <c r="AM2323" t="s">
        <v>10889</v>
      </c>
      <c r="AN2323" t="s">
        <v>10946</v>
      </c>
      <c r="AO2323" t="s">
        <v>11012</v>
      </c>
      <c r="AP2323" t="s">
        <v>11060</v>
      </c>
      <c r="AR2323" t="s">
        <v>11345</v>
      </c>
      <c r="AS2323" t="s">
        <v>11595</v>
      </c>
      <c r="AT2323" t="s">
        <v>11641</v>
      </c>
      <c r="AX2323" t="s">
        <v>10838</v>
      </c>
      <c r="AY2323" t="s">
        <v>10829</v>
      </c>
      <c r="AZ2323" t="s">
        <v>11679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</row>
    <row r="2324" spans="1:59">
      <c r="A2324" s="1">
        <f>HYPERLINK("https://lsnyc.legalserver.org/matter/dynamic-profile/view/1906277","19-1906277")</f>
        <v>0</v>
      </c>
      <c r="B2324" t="s">
        <v>1974</v>
      </c>
      <c r="C2324" t="s">
        <v>6767</v>
      </c>
      <c r="D2324" t="s">
        <v>10009</v>
      </c>
      <c r="E2324" t="s">
        <v>10075</v>
      </c>
      <c r="F2324">
        <v>11419</v>
      </c>
      <c r="G2324" t="s">
        <v>10092</v>
      </c>
      <c r="H2324" t="s">
        <v>10110</v>
      </c>
      <c r="I2324" t="s">
        <v>10168</v>
      </c>
      <c r="J2324" t="s">
        <v>10212</v>
      </c>
      <c r="K2324" t="s">
        <v>10217</v>
      </c>
      <c r="M2324" t="s">
        <v>10311</v>
      </c>
      <c r="N2324" t="s">
        <v>10684</v>
      </c>
      <c r="P2324" t="s">
        <v>10751</v>
      </c>
      <c r="Q2324" t="s">
        <v>10786</v>
      </c>
      <c r="R2324" t="s">
        <v>10827</v>
      </c>
      <c r="T2324">
        <v>26560</v>
      </c>
      <c r="U2324">
        <v>2213.33</v>
      </c>
      <c r="V2324">
        <v>47</v>
      </c>
      <c r="W2324">
        <v>2</v>
      </c>
      <c r="X2324">
        <v>0</v>
      </c>
      <c r="Z2324">
        <v>157.07</v>
      </c>
      <c r="AA2324">
        <v>40.684118</v>
      </c>
      <c r="AB2324">
        <v>-73.821787</v>
      </c>
      <c r="AD2324" t="s">
        <v>10839</v>
      </c>
      <c r="AF2324" t="s">
        <v>10843</v>
      </c>
      <c r="AG2324" t="s">
        <v>10859</v>
      </c>
      <c r="AH2324" t="s">
        <v>10873</v>
      </c>
      <c r="AI2324">
        <v>237</v>
      </c>
      <c r="AJ2324" t="s">
        <v>10212</v>
      </c>
      <c r="AL2324">
        <v>4.25</v>
      </c>
      <c r="AM2324" t="s">
        <v>10892</v>
      </c>
      <c r="AN2324" t="s">
        <v>10930</v>
      </c>
      <c r="AO2324" t="s">
        <v>11017</v>
      </c>
      <c r="AP2324" t="s">
        <v>11070</v>
      </c>
      <c r="AR2324" t="s">
        <v>11257</v>
      </c>
      <c r="AS2324" t="s">
        <v>11594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</row>
    <row r="2325" spans="1:59">
      <c r="A2325" s="1">
        <f>HYPERLINK("https://lsnyc.legalserver.org/matter/dynamic-profile/view/1906278","19-1906278")</f>
        <v>0</v>
      </c>
      <c r="B2325" t="s">
        <v>1975</v>
      </c>
      <c r="C2325" t="s">
        <v>6768</v>
      </c>
      <c r="D2325" t="s">
        <v>9936</v>
      </c>
      <c r="E2325" t="s">
        <v>10075</v>
      </c>
      <c r="F2325">
        <v>11102</v>
      </c>
      <c r="G2325" t="s">
        <v>10092</v>
      </c>
      <c r="H2325" t="s">
        <v>10110</v>
      </c>
      <c r="J2325" t="s">
        <v>10212</v>
      </c>
      <c r="K2325" t="s">
        <v>10218</v>
      </c>
      <c r="L2325" t="s">
        <v>10098</v>
      </c>
      <c r="M2325" t="s">
        <v>10350</v>
      </c>
      <c r="N2325" t="s">
        <v>10692</v>
      </c>
      <c r="P2325" t="s">
        <v>10754</v>
      </c>
      <c r="Q2325" t="s">
        <v>10775</v>
      </c>
      <c r="R2325" t="s">
        <v>10821</v>
      </c>
      <c r="T2325">
        <v>15600</v>
      </c>
      <c r="U2325">
        <v>1300</v>
      </c>
      <c r="V2325">
        <v>52</v>
      </c>
      <c r="W2325">
        <v>1</v>
      </c>
      <c r="X2325">
        <v>0</v>
      </c>
      <c r="Y2325" t="s">
        <v>10829</v>
      </c>
      <c r="Z2325">
        <v>124.9</v>
      </c>
      <c r="AA2325">
        <v>40.769781</v>
      </c>
      <c r="AB2325">
        <v>-73.92517700000001</v>
      </c>
      <c r="AD2325" t="s">
        <v>10839</v>
      </c>
      <c r="AF2325" t="s">
        <v>10842</v>
      </c>
      <c r="AG2325" t="s">
        <v>10859</v>
      </c>
      <c r="AH2325" t="s">
        <v>10865</v>
      </c>
      <c r="AI2325">
        <v>237</v>
      </c>
      <c r="AJ2325" t="s">
        <v>10212</v>
      </c>
      <c r="AK2325" t="s">
        <v>10837</v>
      </c>
      <c r="AL2325">
        <v>4.5</v>
      </c>
      <c r="AM2325" t="s">
        <v>10891</v>
      </c>
      <c r="AN2325" t="s">
        <v>10954</v>
      </c>
      <c r="AO2325" t="s">
        <v>11003</v>
      </c>
      <c r="AP2325" t="s">
        <v>11084</v>
      </c>
      <c r="AR2325" t="s">
        <v>11257</v>
      </c>
      <c r="AS2325" t="s">
        <v>11594</v>
      </c>
      <c r="AY2325" t="s">
        <v>10829</v>
      </c>
      <c r="AZ2325" t="s">
        <v>11683</v>
      </c>
      <c r="BA2325" t="s">
        <v>11741</v>
      </c>
      <c r="BB2325">
        <v>0</v>
      </c>
      <c r="BC2325">
        <v>0</v>
      </c>
      <c r="BD2325">
        <v>0</v>
      </c>
      <c r="BE2325">
        <v>0</v>
      </c>
      <c r="BF2325">
        <v>1</v>
      </c>
      <c r="BG2325">
        <v>0</v>
      </c>
    </row>
    <row r="2326" spans="1:59">
      <c r="A2326" s="1">
        <f>HYPERLINK("https://lsnyc.legalserver.org/matter/dynamic-profile/view/1906279","19-1906279")</f>
        <v>0</v>
      </c>
      <c r="B2326" t="s">
        <v>1976</v>
      </c>
      <c r="C2326" t="s">
        <v>6769</v>
      </c>
      <c r="D2326" t="s">
        <v>9925</v>
      </c>
      <c r="E2326" t="s">
        <v>10075</v>
      </c>
      <c r="F2326">
        <v>10026</v>
      </c>
      <c r="G2326" t="s">
        <v>10089</v>
      </c>
      <c r="H2326" t="s">
        <v>10110</v>
      </c>
      <c r="I2326" t="s">
        <v>10168</v>
      </c>
      <c r="J2326" t="s">
        <v>10209</v>
      </c>
      <c r="K2326" t="s">
        <v>10218</v>
      </c>
      <c r="L2326" t="s">
        <v>10120</v>
      </c>
      <c r="M2326" t="s">
        <v>10431</v>
      </c>
      <c r="N2326" t="s">
        <v>10702</v>
      </c>
      <c r="P2326" t="s">
        <v>10749</v>
      </c>
      <c r="Q2326" t="s">
        <v>10765</v>
      </c>
      <c r="R2326" t="s">
        <v>10823</v>
      </c>
      <c r="T2326">
        <v>8320</v>
      </c>
      <c r="U2326">
        <v>693.33</v>
      </c>
      <c r="V2326">
        <v>45</v>
      </c>
      <c r="W2326">
        <v>2</v>
      </c>
      <c r="X2326">
        <v>1</v>
      </c>
      <c r="Y2326" t="s">
        <v>10829</v>
      </c>
      <c r="Z2326">
        <v>39.01</v>
      </c>
      <c r="AA2326">
        <v>40.798123</v>
      </c>
      <c r="AB2326">
        <v>-73.95144500000001</v>
      </c>
      <c r="AC2326" t="s">
        <v>10837</v>
      </c>
      <c r="AD2326" t="s">
        <v>10840</v>
      </c>
      <c r="AG2326" t="s">
        <v>10858</v>
      </c>
      <c r="AH2326" t="s">
        <v>10862</v>
      </c>
      <c r="AI2326">
        <v>236</v>
      </c>
      <c r="AJ2326" t="s">
        <v>10209</v>
      </c>
      <c r="AK2326" t="s">
        <v>10838</v>
      </c>
      <c r="AL2326">
        <v>3.75</v>
      </c>
      <c r="AM2326" t="s">
        <v>10887</v>
      </c>
      <c r="AN2326" t="s">
        <v>10926</v>
      </c>
      <c r="AO2326" t="s">
        <v>11016</v>
      </c>
      <c r="AP2326" t="s">
        <v>11076</v>
      </c>
      <c r="AR2326" t="s">
        <v>11400</v>
      </c>
      <c r="AS2326" t="s">
        <v>9925</v>
      </c>
      <c r="AY2326" t="s">
        <v>10829</v>
      </c>
      <c r="AZ2326" t="s">
        <v>11681</v>
      </c>
      <c r="BA2326" t="s">
        <v>11741</v>
      </c>
      <c r="BB2326">
        <v>0</v>
      </c>
      <c r="BC2326">
        <v>0</v>
      </c>
      <c r="BD2326">
        <v>0</v>
      </c>
      <c r="BE2326">
        <v>0</v>
      </c>
      <c r="BF2326">
        <v>1</v>
      </c>
      <c r="BG2326">
        <v>0</v>
      </c>
    </row>
    <row r="2327" spans="1:59">
      <c r="A2327" s="1">
        <f>HYPERLINK("https://lsnyc.legalserver.org/matter/dynamic-profile/view/1906280","19-1906280")</f>
        <v>0</v>
      </c>
      <c r="B2327" t="s">
        <v>1977</v>
      </c>
      <c r="C2327" t="s">
        <v>6770</v>
      </c>
      <c r="D2327" t="s">
        <v>9926</v>
      </c>
      <c r="E2327" t="s">
        <v>10075</v>
      </c>
      <c r="F2327">
        <v>10457</v>
      </c>
      <c r="G2327" t="s">
        <v>10090</v>
      </c>
      <c r="H2327" t="s">
        <v>10110</v>
      </c>
      <c r="I2327" t="s">
        <v>10168</v>
      </c>
      <c r="J2327" t="s">
        <v>10210</v>
      </c>
      <c r="K2327" t="s">
        <v>10218</v>
      </c>
      <c r="L2327" t="s">
        <v>10138</v>
      </c>
      <c r="M2327" t="s">
        <v>10234</v>
      </c>
      <c r="N2327" t="s">
        <v>10671</v>
      </c>
      <c r="P2327" t="s">
        <v>10749</v>
      </c>
      <c r="Q2327" t="s">
        <v>10791</v>
      </c>
      <c r="R2327" t="s">
        <v>10821</v>
      </c>
      <c r="T2327">
        <v>9252</v>
      </c>
      <c r="U2327">
        <v>771</v>
      </c>
      <c r="V2327">
        <v>63</v>
      </c>
      <c r="W2327">
        <v>1</v>
      </c>
      <c r="X2327">
        <v>0</v>
      </c>
      <c r="Y2327" t="s">
        <v>10829</v>
      </c>
      <c r="Z2327">
        <v>74.08</v>
      </c>
      <c r="AA2327">
        <v>40.846431</v>
      </c>
      <c r="AB2327">
        <v>-73.90607300000001</v>
      </c>
      <c r="AD2327" t="s">
        <v>10839</v>
      </c>
      <c r="AG2327" t="s">
        <v>10858</v>
      </c>
      <c r="AH2327" t="s">
        <v>10871</v>
      </c>
      <c r="AI2327">
        <v>234</v>
      </c>
      <c r="AJ2327" t="s">
        <v>10214</v>
      </c>
      <c r="AK2327" t="s">
        <v>10838</v>
      </c>
      <c r="AL2327">
        <v>2.2</v>
      </c>
      <c r="AM2327" t="s">
        <v>10884</v>
      </c>
      <c r="AN2327" t="s">
        <v>10931</v>
      </c>
      <c r="AO2327" t="s">
        <v>11000</v>
      </c>
      <c r="AP2327" t="s">
        <v>11056</v>
      </c>
      <c r="AR2327" t="s">
        <v>11319</v>
      </c>
      <c r="AS2327" t="s">
        <v>9926</v>
      </c>
      <c r="AT2327" t="s">
        <v>11641</v>
      </c>
      <c r="AX2327" t="s">
        <v>10838</v>
      </c>
      <c r="AY2327" t="s">
        <v>10829</v>
      </c>
      <c r="AZ2327" t="s">
        <v>11681</v>
      </c>
      <c r="BA2327" t="s">
        <v>11741</v>
      </c>
      <c r="BB2327">
        <v>0</v>
      </c>
      <c r="BC2327">
        <v>0</v>
      </c>
      <c r="BD2327">
        <v>0</v>
      </c>
      <c r="BE2327">
        <v>0</v>
      </c>
      <c r="BF2327">
        <v>1</v>
      </c>
      <c r="BG2327">
        <v>0</v>
      </c>
    </row>
    <row r="2328" spans="1:59">
      <c r="A2328" s="1">
        <f>HYPERLINK("https://lsnyc.legalserver.org/matter/dynamic-profile/view/1906281","19-1906281")</f>
        <v>0</v>
      </c>
      <c r="B2328" t="s">
        <v>1978</v>
      </c>
      <c r="C2328" t="s">
        <v>6771</v>
      </c>
      <c r="D2328" t="s">
        <v>9929</v>
      </c>
      <c r="E2328" t="s">
        <v>10075</v>
      </c>
      <c r="F2328">
        <v>10309</v>
      </c>
      <c r="G2328" t="s">
        <v>10088</v>
      </c>
      <c r="H2328" t="s">
        <v>10146</v>
      </c>
      <c r="I2328" t="s">
        <v>10168</v>
      </c>
      <c r="J2328" t="s">
        <v>10208</v>
      </c>
      <c r="K2328" t="s">
        <v>10217</v>
      </c>
      <c r="M2328" t="s">
        <v>10237</v>
      </c>
      <c r="N2328" t="s">
        <v>10700</v>
      </c>
      <c r="P2328" t="s">
        <v>10754</v>
      </c>
      <c r="Q2328" t="s">
        <v>10770</v>
      </c>
      <c r="R2328" t="s">
        <v>10820</v>
      </c>
      <c r="T2328">
        <v>9600</v>
      </c>
      <c r="U2328">
        <v>800</v>
      </c>
      <c r="V2328">
        <v>39</v>
      </c>
      <c r="W2328">
        <v>1</v>
      </c>
      <c r="X2328">
        <v>2</v>
      </c>
      <c r="Z2328">
        <v>45.01</v>
      </c>
      <c r="AA2328">
        <v>40.515812</v>
      </c>
      <c r="AB2328">
        <v>-74.211673</v>
      </c>
      <c r="AD2328" t="s">
        <v>10839</v>
      </c>
      <c r="AG2328" t="s">
        <v>10858</v>
      </c>
      <c r="AH2328" t="s">
        <v>10861</v>
      </c>
      <c r="AI2328">
        <v>285</v>
      </c>
      <c r="AJ2328" t="s">
        <v>10208</v>
      </c>
      <c r="AL2328">
        <v>0.6</v>
      </c>
      <c r="AM2328" t="s">
        <v>10883</v>
      </c>
      <c r="AN2328" t="s">
        <v>10906</v>
      </c>
      <c r="AO2328" t="s">
        <v>10999</v>
      </c>
      <c r="AP2328" t="s">
        <v>11044</v>
      </c>
      <c r="AR2328" t="s">
        <v>11263</v>
      </c>
      <c r="AS2328" t="s">
        <v>11593</v>
      </c>
      <c r="AT2328" t="s">
        <v>11641</v>
      </c>
      <c r="AX2328" t="s">
        <v>10838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</row>
    <row r="2329" spans="1:59">
      <c r="A2329" s="1">
        <f>HYPERLINK("https://lsnyc.legalserver.org/matter/dynamic-profile/view/1906283","19-1906283")</f>
        <v>0</v>
      </c>
      <c r="B2329" t="s">
        <v>1979</v>
      </c>
      <c r="C2329" t="s">
        <v>6772</v>
      </c>
      <c r="D2329" t="s">
        <v>9931</v>
      </c>
      <c r="E2329" t="s">
        <v>10075</v>
      </c>
      <c r="F2329">
        <v>11354</v>
      </c>
      <c r="G2329" t="s">
        <v>10092</v>
      </c>
      <c r="H2329" t="s">
        <v>10110</v>
      </c>
      <c r="I2329" t="s">
        <v>10168</v>
      </c>
      <c r="J2329" t="s">
        <v>10212</v>
      </c>
      <c r="K2329" t="s">
        <v>10217</v>
      </c>
      <c r="M2329" t="s">
        <v>10258</v>
      </c>
      <c r="N2329" t="s">
        <v>10671</v>
      </c>
      <c r="P2329" t="s">
        <v>10749</v>
      </c>
      <c r="Q2329" t="s">
        <v>10765</v>
      </c>
      <c r="R2329" t="s">
        <v>10820</v>
      </c>
      <c r="T2329">
        <v>9696</v>
      </c>
      <c r="U2329">
        <v>808</v>
      </c>
      <c r="V2329">
        <v>66</v>
      </c>
      <c r="W2329">
        <v>1</v>
      </c>
      <c r="X2329">
        <v>0</v>
      </c>
      <c r="Z2329">
        <v>77.63</v>
      </c>
      <c r="AA2329">
        <v>40.765648</v>
      </c>
      <c r="AB2329">
        <v>-73.817913</v>
      </c>
      <c r="AD2329" t="s">
        <v>10840</v>
      </c>
      <c r="AG2329" t="s">
        <v>10858</v>
      </c>
      <c r="AH2329" t="s">
        <v>10861</v>
      </c>
      <c r="AI2329">
        <v>234</v>
      </c>
      <c r="AJ2329" t="s">
        <v>10214</v>
      </c>
      <c r="AL2329">
        <v>1.16</v>
      </c>
      <c r="AM2329" t="s">
        <v>10890</v>
      </c>
      <c r="AN2329" t="s">
        <v>10927</v>
      </c>
      <c r="AO2329" t="s">
        <v>11009</v>
      </c>
      <c r="AP2329" t="s">
        <v>11067</v>
      </c>
      <c r="AR2329" t="s">
        <v>11298</v>
      </c>
      <c r="AS2329" t="s">
        <v>11594</v>
      </c>
      <c r="AT2329" t="s">
        <v>11642</v>
      </c>
      <c r="AX2329" t="s">
        <v>10838</v>
      </c>
      <c r="BA2329" t="s">
        <v>11741</v>
      </c>
      <c r="BB2329">
        <v>0</v>
      </c>
      <c r="BC2329">
        <v>0</v>
      </c>
      <c r="BD2329">
        <v>0</v>
      </c>
      <c r="BE2329">
        <v>0</v>
      </c>
      <c r="BF2329">
        <v>1</v>
      </c>
      <c r="BG2329">
        <v>0</v>
      </c>
    </row>
    <row r="2330" spans="1:59">
      <c r="A2330" s="1">
        <f>HYPERLINK("https://lsnyc.legalserver.org/matter/dynamic-profile/view/1906284","19-1906284")</f>
        <v>0</v>
      </c>
      <c r="B2330" t="s">
        <v>1980</v>
      </c>
      <c r="C2330" t="s">
        <v>6773</v>
      </c>
      <c r="D2330" t="s">
        <v>9926</v>
      </c>
      <c r="E2330" t="s">
        <v>10075</v>
      </c>
      <c r="F2330">
        <v>10453</v>
      </c>
      <c r="G2330" t="s">
        <v>10090</v>
      </c>
      <c r="H2330" t="s">
        <v>10110</v>
      </c>
      <c r="I2330" t="s">
        <v>10168</v>
      </c>
      <c r="J2330" t="s">
        <v>10210</v>
      </c>
      <c r="K2330" t="s">
        <v>10217</v>
      </c>
      <c r="M2330" t="s">
        <v>10458</v>
      </c>
      <c r="N2330" t="s">
        <v>10666</v>
      </c>
      <c r="P2330" t="s">
        <v>10749</v>
      </c>
      <c r="Q2330" t="s">
        <v>10765</v>
      </c>
      <c r="R2330" t="s">
        <v>10824</v>
      </c>
      <c r="T2330">
        <v>8688</v>
      </c>
      <c r="U2330">
        <v>724</v>
      </c>
      <c r="V2330">
        <v>31</v>
      </c>
      <c r="W2330">
        <v>1</v>
      </c>
      <c r="X2330">
        <v>0</v>
      </c>
      <c r="Z2330">
        <v>69.56</v>
      </c>
      <c r="AA2330">
        <v>40.854004</v>
      </c>
      <c r="AB2330">
        <v>-73.91064900000001</v>
      </c>
      <c r="AD2330" t="s">
        <v>10840</v>
      </c>
      <c r="AG2330" t="s">
        <v>10858</v>
      </c>
      <c r="AH2330" t="s">
        <v>10861</v>
      </c>
      <c r="AI2330">
        <v>230</v>
      </c>
      <c r="AJ2330" t="s">
        <v>10210</v>
      </c>
      <c r="AL2330">
        <v>3.8</v>
      </c>
      <c r="AM2330" t="s">
        <v>10884</v>
      </c>
      <c r="AN2330" t="s">
        <v>10931</v>
      </c>
      <c r="AO2330" t="s">
        <v>11013</v>
      </c>
      <c r="AP2330" t="s">
        <v>11045</v>
      </c>
      <c r="AR2330" t="s">
        <v>11263</v>
      </c>
      <c r="AS2330" t="s">
        <v>9926</v>
      </c>
      <c r="AT2330" t="s">
        <v>11642</v>
      </c>
      <c r="AX2330" t="s">
        <v>10838</v>
      </c>
      <c r="BA2330" t="s">
        <v>11738</v>
      </c>
      <c r="BB2330">
        <v>0</v>
      </c>
      <c r="BC2330">
        <v>0</v>
      </c>
      <c r="BD2330">
        <v>0</v>
      </c>
      <c r="BE2330">
        <v>0</v>
      </c>
      <c r="BF2330">
        <v>5</v>
      </c>
      <c r="BG2330">
        <v>0</v>
      </c>
    </row>
    <row r="2331" spans="1:59">
      <c r="A2331" s="1">
        <f>HYPERLINK("https://lsnyc.legalserver.org/matter/dynamic-profile/view/1906285","19-1906285")</f>
        <v>0</v>
      </c>
      <c r="B2331" t="s">
        <v>1981</v>
      </c>
      <c r="C2331" t="s">
        <v>6774</v>
      </c>
      <c r="D2331" t="s">
        <v>9925</v>
      </c>
      <c r="E2331" t="s">
        <v>10075</v>
      </c>
      <c r="F2331">
        <v>10011</v>
      </c>
      <c r="G2331" t="s">
        <v>10089</v>
      </c>
      <c r="H2331" t="s">
        <v>10110</v>
      </c>
      <c r="I2331" t="s">
        <v>10168</v>
      </c>
      <c r="J2331" t="s">
        <v>10209</v>
      </c>
      <c r="K2331" t="s">
        <v>10218</v>
      </c>
      <c r="L2331" t="s">
        <v>10153</v>
      </c>
      <c r="M2331" t="s">
        <v>10472</v>
      </c>
      <c r="N2331" t="s">
        <v>10671</v>
      </c>
      <c r="P2331" t="s">
        <v>10751</v>
      </c>
      <c r="Q2331" t="s">
        <v>10761</v>
      </c>
      <c r="R2331" t="s">
        <v>10821</v>
      </c>
      <c r="T2331">
        <v>6060</v>
      </c>
      <c r="U2331">
        <v>505</v>
      </c>
      <c r="V2331">
        <v>38</v>
      </c>
      <c r="W2331">
        <v>1</v>
      </c>
      <c r="X2331">
        <v>1</v>
      </c>
      <c r="Y2331" t="s">
        <v>10829</v>
      </c>
      <c r="Z2331">
        <v>35.84</v>
      </c>
      <c r="AA2331">
        <v>40.74269</v>
      </c>
      <c r="AB2331">
        <v>-73.995806</v>
      </c>
      <c r="AD2331" t="s">
        <v>10839</v>
      </c>
      <c r="AG2331" t="s">
        <v>10858</v>
      </c>
      <c r="AH2331" t="s">
        <v>10861</v>
      </c>
      <c r="AI2331">
        <v>234</v>
      </c>
      <c r="AJ2331" t="s">
        <v>10214</v>
      </c>
      <c r="AK2331" t="s">
        <v>10838</v>
      </c>
      <c r="AL2331">
        <v>5.85</v>
      </c>
      <c r="AM2331" t="s">
        <v>10891</v>
      </c>
      <c r="AN2331" t="s">
        <v>10966</v>
      </c>
      <c r="AO2331" t="s">
        <v>11021</v>
      </c>
      <c r="AP2331" t="s">
        <v>11090</v>
      </c>
      <c r="AR2331" t="s">
        <v>11341</v>
      </c>
      <c r="AS2331" t="s">
        <v>9925</v>
      </c>
      <c r="AT2331" t="s">
        <v>11641</v>
      </c>
      <c r="AX2331" t="s">
        <v>10838</v>
      </c>
      <c r="AY2331" t="s">
        <v>10829</v>
      </c>
      <c r="AZ2331" t="s">
        <v>11682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</row>
    <row r="2332" spans="1:59">
      <c r="A2332" s="1">
        <f>HYPERLINK("https://lsnyc.legalserver.org/matter/dynamic-profile/view/1906286","19-1906286")</f>
        <v>0</v>
      </c>
      <c r="B2332" t="s">
        <v>782</v>
      </c>
      <c r="C2332" t="s">
        <v>5684</v>
      </c>
      <c r="D2332" t="s">
        <v>9928</v>
      </c>
      <c r="E2332" t="s">
        <v>10075</v>
      </c>
      <c r="F2332">
        <v>11226</v>
      </c>
      <c r="G2332" t="s">
        <v>10093</v>
      </c>
      <c r="H2332" t="s">
        <v>10110</v>
      </c>
      <c r="I2332" t="s">
        <v>10168</v>
      </c>
      <c r="J2332" t="s">
        <v>10213</v>
      </c>
      <c r="K2332" t="s">
        <v>10217</v>
      </c>
      <c r="M2332" t="s">
        <v>10384</v>
      </c>
      <c r="N2332" t="s">
        <v>10650</v>
      </c>
      <c r="P2332" t="s">
        <v>10749</v>
      </c>
      <c r="Q2332" t="s">
        <v>10765</v>
      </c>
      <c r="R2332" t="s">
        <v>10824</v>
      </c>
      <c r="T2332">
        <v>25000</v>
      </c>
      <c r="U2332">
        <v>2083.33</v>
      </c>
      <c r="V2332">
        <v>50</v>
      </c>
      <c r="W2332">
        <v>4</v>
      </c>
      <c r="X2332">
        <v>0</v>
      </c>
      <c r="Z2332">
        <v>97.09</v>
      </c>
      <c r="AA2332">
        <v>40.651974</v>
      </c>
      <c r="AB2332">
        <v>-73.94907000000001</v>
      </c>
      <c r="AD2332" t="s">
        <v>10839</v>
      </c>
      <c r="AF2332" t="s">
        <v>10843</v>
      </c>
      <c r="AG2332" t="s">
        <v>10859</v>
      </c>
      <c r="AH2332" t="s">
        <v>10862</v>
      </c>
      <c r="AI2332">
        <v>239</v>
      </c>
      <c r="AJ2332" t="s">
        <v>10213</v>
      </c>
      <c r="AL2332">
        <v>0.6</v>
      </c>
      <c r="AM2332" t="s">
        <v>10888</v>
      </c>
      <c r="AN2332" t="s">
        <v>10912</v>
      </c>
      <c r="AO2332" t="s">
        <v>11005</v>
      </c>
      <c r="AP2332" t="s">
        <v>11050</v>
      </c>
      <c r="AR2332" t="s">
        <v>11257</v>
      </c>
      <c r="AS2332" t="s">
        <v>11595</v>
      </c>
      <c r="BA2332" t="s">
        <v>11737</v>
      </c>
      <c r="BB2332">
        <v>0</v>
      </c>
      <c r="BC2332">
        <v>0</v>
      </c>
      <c r="BD2332">
        <v>0</v>
      </c>
      <c r="BE2332">
        <v>0</v>
      </c>
      <c r="BF2332">
        <v>3</v>
      </c>
      <c r="BG2332">
        <v>0</v>
      </c>
    </row>
    <row r="2333" spans="1:59">
      <c r="A2333" s="1">
        <f>HYPERLINK("https://lsnyc.legalserver.org/matter/dynamic-profile/view/1906287","19-1906287")</f>
        <v>0</v>
      </c>
      <c r="B2333" t="s">
        <v>1980</v>
      </c>
      <c r="C2333" t="s">
        <v>6773</v>
      </c>
      <c r="D2333" t="s">
        <v>9926</v>
      </c>
      <c r="E2333" t="s">
        <v>10075</v>
      </c>
      <c r="F2333">
        <v>10453</v>
      </c>
      <c r="G2333" t="s">
        <v>10090</v>
      </c>
      <c r="H2333" t="s">
        <v>10110</v>
      </c>
      <c r="I2333" t="s">
        <v>10168</v>
      </c>
      <c r="J2333" t="s">
        <v>10210</v>
      </c>
      <c r="K2333" t="s">
        <v>10217</v>
      </c>
      <c r="M2333" t="s">
        <v>10458</v>
      </c>
      <c r="N2333" t="s">
        <v>10671</v>
      </c>
      <c r="P2333" t="s">
        <v>10751</v>
      </c>
      <c r="Q2333" t="s">
        <v>10761</v>
      </c>
      <c r="R2333" t="s">
        <v>10824</v>
      </c>
      <c r="T2333">
        <v>8688</v>
      </c>
      <c r="U2333">
        <v>724</v>
      </c>
      <c r="V2333">
        <v>31</v>
      </c>
      <c r="W2333">
        <v>1</v>
      </c>
      <c r="X2333">
        <v>0</v>
      </c>
      <c r="Z2333">
        <v>69.56</v>
      </c>
      <c r="AA2333">
        <v>40.854004</v>
      </c>
      <c r="AB2333">
        <v>-73.91064900000001</v>
      </c>
      <c r="AD2333" t="s">
        <v>10840</v>
      </c>
      <c r="AG2333" t="s">
        <v>10858</v>
      </c>
      <c r="AH2333" t="s">
        <v>10861</v>
      </c>
      <c r="AI2333">
        <v>230</v>
      </c>
      <c r="AJ2333" t="s">
        <v>10210</v>
      </c>
      <c r="AL2333">
        <v>0</v>
      </c>
      <c r="AM2333" t="s">
        <v>10884</v>
      </c>
      <c r="AN2333" t="s">
        <v>10931</v>
      </c>
      <c r="AO2333" t="s">
        <v>11013</v>
      </c>
      <c r="AP2333" t="s">
        <v>11045</v>
      </c>
      <c r="AR2333" t="s">
        <v>11263</v>
      </c>
      <c r="AS2333" t="s">
        <v>9926</v>
      </c>
      <c r="AT2333" t="s">
        <v>11642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</row>
    <row r="2334" spans="1:59">
      <c r="A2334" s="1">
        <f>HYPERLINK("https://lsnyc.legalserver.org/matter/dynamic-profile/view/1906288","19-1906288")</f>
        <v>0</v>
      </c>
      <c r="B2334" t="s">
        <v>1982</v>
      </c>
      <c r="C2334" t="s">
        <v>6775</v>
      </c>
      <c r="D2334" t="s">
        <v>9938</v>
      </c>
      <c r="E2334" t="s">
        <v>10075</v>
      </c>
      <c r="F2334">
        <v>11433</v>
      </c>
      <c r="G2334" t="s">
        <v>10092</v>
      </c>
      <c r="H2334" t="s">
        <v>10110</v>
      </c>
      <c r="I2334" t="s">
        <v>10169</v>
      </c>
      <c r="J2334" t="s">
        <v>10212</v>
      </c>
      <c r="K2334" t="s">
        <v>10217</v>
      </c>
      <c r="M2334" t="s">
        <v>10355</v>
      </c>
      <c r="N2334" t="s">
        <v>10671</v>
      </c>
      <c r="P2334" t="s">
        <v>10753</v>
      </c>
      <c r="Q2334" t="s">
        <v>10763</v>
      </c>
      <c r="R2334" t="s">
        <v>10825</v>
      </c>
      <c r="T2334">
        <v>0</v>
      </c>
      <c r="U2334">
        <v>0</v>
      </c>
      <c r="V2334">
        <v>30</v>
      </c>
      <c r="W2334">
        <v>1</v>
      </c>
      <c r="X2334">
        <v>1</v>
      </c>
      <c r="Z2334">
        <v>0</v>
      </c>
      <c r="AA2334">
        <v>40.702855</v>
      </c>
      <c r="AB2334">
        <v>-73.778316</v>
      </c>
      <c r="AD2334" t="s">
        <v>10840</v>
      </c>
      <c r="AF2334" t="s">
        <v>10842</v>
      </c>
      <c r="AG2334" t="s">
        <v>10859</v>
      </c>
      <c r="AH2334" t="s">
        <v>10861</v>
      </c>
      <c r="AI2334">
        <v>234</v>
      </c>
      <c r="AJ2334" t="s">
        <v>10214</v>
      </c>
      <c r="AL2334">
        <v>4.8</v>
      </c>
      <c r="AM2334" t="s">
        <v>10892</v>
      </c>
      <c r="AN2334" t="s">
        <v>10955</v>
      </c>
      <c r="AO2334" t="s">
        <v>11020</v>
      </c>
      <c r="AP2334" t="s">
        <v>11075</v>
      </c>
      <c r="AR2334" t="s">
        <v>11267</v>
      </c>
      <c r="AS2334" t="s">
        <v>11594</v>
      </c>
      <c r="AT2334" t="s">
        <v>11642</v>
      </c>
      <c r="AX2334" t="s">
        <v>10838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</row>
    <row r="2335" spans="1:59">
      <c r="A2335" s="1">
        <f>HYPERLINK("https://lsnyc.legalserver.org/matter/dynamic-profile/view/1906289","19-1906289")</f>
        <v>0</v>
      </c>
      <c r="B2335" t="s">
        <v>1983</v>
      </c>
      <c r="C2335" t="s">
        <v>6775</v>
      </c>
      <c r="D2335" t="s">
        <v>9938</v>
      </c>
      <c r="E2335" t="s">
        <v>10075</v>
      </c>
      <c r="F2335">
        <v>11433</v>
      </c>
      <c r="G2335" t="s">
        <v>10092</v>
      </c>
      <c r="H2335" t="s">
        <v>10110</v>
      </c>
      <c r="I2335" t="s">
        <v>10169</v>
      </c>
      <c r="J2335" t="s">
        <v>10212</v>
      </c>
      <c r="K2335" t="s">
        <v>10217</v>
      </c>
      <c r="M2335" t="s">
        <v>10355</v>
      </c>
      <c r="N2335" t="s">
        <v>10671</v>
      </c>
      <c r="P2335" t="s">
        <v>10753</v>
      </c>
      <c r="Q2335" t="s">
        <v>10763</v>
      </c>
      <c r="R2335" t="s">
        <v>10825</v>
      </c>
      <c r="T2335">
        <v>0</v>
      </c>
      <c r="U2335">
        <v>0</v>
      </c>
      <c r="V2335">
        <v>10</v>
      </c>
      <c r="W2335">
        <v>1</v>
      </c>
      <c r="X2335">
        <v>1</v>
      </c>
      <c r="Z2335">
        <v>0</v>
      </c>
      <c r="AA2335">
        <v>40.702855</v>
      </c>
      <c r="AB2335">
        <v>-73.778316</v>
      </c>
      <c r="AD2335" t="s">
        <v>10840</v>
      </c>
      <c r="AF2335" t="s">
        <v>10842</v>
      </c>
      <c r="AG2335" t="s">
        <v>10859</v>
      </c>
      <c r="AH2335" t="s">
        <v>10861</v>
      </c>
      <c r="AI2335">
        <v>234</v>
      </c>
      <c r="AJ2335" t="s">
        <v>10214</v>
      </c>
      <c r="AL2335">
        <v>0.5</v>
      </c>
      <c r="AM2335" t="s">
        <v>10892</v>
      </c>
      <c r="AN2335" t="s">
        <v>10955</v>
      </c>
      <c r="AO2335" t="s">
        <v>11020</v>
      </c>
      <c r="AP2335" t="s">
        <v>11075</v>
      </c>
      <c r="AR2335" t="s">
        <v>11267</v>
      </c>
      <c r="AS2335" t="s">
        <v>11594</v>
      </c>
      <c r="AT2335" t="s">
        <v>11642</v>
      </c>
      <c r="AX2335" t="s">
        <v>10838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</row>
    <row r="2336" spans="1:59">
      <c r="A2336" s="1">
        <f>HYPERLINK("https://lsnyc.legalserver.org/matter/dynamic-profile/view/1906290","19-1906290")</f>
        <v>0</v>
      </c>
      <c r="B2336" t="s">
        <v>1984</v>
      </c>
      <c r="C2336" t="s">
        <v>6776</v>
      </c>
      <c r="D2336" t="s">
        <v>9928</v>
      </c>
      <c r="E2336" t="s">
        <v>10075</v>
      </c>
      <c r="F2336">
        <v>11219</v>
      </c>
      <c r="G2336" t="s">
        <v>10093</v>
      </c>
      <c r="H2336" t="s">
        <v>10110</v>
      </c>
      <c r="I2336" t="s">
        <v>10168</v>
      </c>
      <c r="J2336" t="s">
        <v>10213</v>
      </c>
      <c r="K2336" t="s">
        <v>10218</v>
      </c>
      <c r="L2336" t="s">
        <v>10153</v>
      </c>
      <c r="M2336" t="s">
        <v>10317</v>
      </c>
      <c r="N2336" t="s">
        <v>10671</v>
      </c>
      <c r="P2336" t="s">
        <v>10757</v>
      </c>
      <c r="Q2336" t="s">
        <v>10789</v>
      </c>
      <c r="R2336" t="s">
        <v>10827</v>
      </c>
      <c r="T2336">
        <v>23076</v>
      </c>
      <c r="U2336">
        <v>1923</v>
      </c>
      <c r="V2336">
        <v>61</v>
      </c>
      <c r="W2336">
        <v>2</v>
      </c>
      <c r="X2336">
        <v>2</v>
      </c>
      <c r="Y2336" t="s">
        <v>10829</v>
      </c>
      <c r="Z2336">
        <v>89.62</v>
      </c>
      <c r="AA2336">
        <v>40.63645</v>
      </c>
      <c r="AB2336">
        <v>-73.982957</v>
      </c>
      <c r="AD2336" t="s">
        <v>10840</v>
      </c>
      <c r="AG2336" t="s">
        <v>10858</v>
      </c>
      <c r="AH2336" t="s">
        <v>10861</v>
      </c>
      <c r="AI2336">
        <v>234</v>
      </c>
      <c r="AJ2336" t="s">
        <v>10214</v>
      </c>
      <c r="AK2336" t="s">
        <v>10838</v>
      </c>
      <c r="AL2336">
        <v>2.75</v>
      </c>
      <c r="AM2336" t="s">
        <v>10894</v>
      </c>
      <c r="AN2336" t="s">
        <v>10941</v>
      </c>
      <c r="AO2336" t="s">
        <v>11015</v>
      </c>
      <c r="AP2336" t="s">
        <v>11059</v>
      </c>
      <c r="AQ2336" t="s">
        <v>11121</v>
      </c>
      <c r="AR2336" t="s">
        <v>11262</v>
      </c>
      <c r="AS2336" t="s">
        <v>11595</v>
      </c>
      <c r="AT2336" t="s">
        <v>11642</v>
      </c>
      <c r="AX2336" t="s">
        <v>10838</v>
      </c>
      <c r="AY2336" t="s">
        <v>10829</v>
      </c>
      <c r="AZ2336" t="s">
        <v>11703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</row>
    <row r="2337" spans="1:59">
      <c r="A2337" s="1">
        <f>HYPERLINK("https://lsnyc.legalserver.org/matter/dynamic-profile/view/1906292","19-1906292")</f>
        <v>0</v>
      </c>
      <c r="B2337" t="s">
        <v>1985</v>
      </c>
      <c r="C2337" t="s">
        <v>6777</v>
      </c>
      <c r="D2337" t="s">
        <v>9926</v>
      </c>
      <c r="E2337" t="s">
        <v>10075</v>
      </c>
      <c r="F2337">
        <v>10457</v>
      </c>
      <c r="G2337" t="s">
        <v>10090</v>
      </c>
      <c r="H2337" t="s">
        <v>10110</v>
      </c>
      <c r="I2337" t="s">
        <v>10168</v>
      </c>
      <c r="J2337" t="s">
        <v>10210</v>
      </c>
      <c r="K2337" t="s">
        <v>10217</v>
      </c>
      <c r="M2337" t="s">
        <v>10279</v>
      </c>
      <c r="N2337" t="s">
        <v>10688</v>
      </c>
      <c r="P2337" t="s">
        <v>10751</v>
      </c>
      <c r="Q2337" t="s">
        <v>10761</v>
      </c>
      <c r="R2337" t="s">
        <v>10821</v>
      </c>
      <c r="T2337">
        <v>19000</v>
      </c>
      <c r="U2337">
        <v>1583.33</v>
      </c>
      <c r="V2337">
        <v>36</v>
      </c>
      <c r="W2337">
        <v>1</v>
      </c>
      <c r="X2337">
        <v>3</v>
      </c>
      <c r="Z2337">
        <v>73.79000000000001</v>
      </c>
      <c r="AA2337">
        <v>40.845369</v>
      </c>
      <c r="AB2337">
        <v>-73.907737</v>
      </c>
      <c r="AD2337" t="s">
        <v>10839</v>
      </c>
      <c r="AF2337" t="s">
        <v>10843</v>
      </c>
      <c r="AG2337" t="s">
        <v>10859</v>
      </c>
      <c r="AH2337" t="s">
        <v>10861</v>
      </c>
      <c r="AI2337">
        <v>230</v>
      </c>
      <c r="AJ2337" t="s">
        <v>10210</v>
      </c>
      <c r="AL2337">
        <v>2</v>
      </c>
      <c r="AM2337" t="s">
        <v>10884</v>
      </c>
      <c r="AN2337" t="s">
        <v>10931</v>
      </c>
      <c r="AO2337" t="s">
        <v>11000</v>
      </c>
      <c r="AP2337" t="s">
        <v>11056</v>
      </c>
      <c r="AQ2337" t="s">
        <v>11135</v>
      </c>
      <c r="AR2337" t="s">
        <v>11257</v>
      </c>
      <c r="AS2337" t="s">
        <v>9926</v>
      </c>
      <c r="BA2337" t="s">
        <v>11737</v>
      </c>
      <c r="BB2337">
        <v>0</v>
      </c>
      <c r="BC2337">
        <v>0</v>
      </c>
      <c r="BD2337">
        <v>0</v>
      </c>
      <c r="BE2337">
        <v>0</v>
      </c>
      <c r="BF2337">
        <v>3</v>
      </c>
      <c r="BG2337">
        <v>0</v>
      </c>
    </row>
    <row r="2338" spans="1:59">
      <c r="A2338" s="1">
        <f>HYPERLINK("https://lsnyc.legalserver.org/matter/dynamic-profile/view/1906293","19-1906293")</f>
        <v>0</v>
      </c>
      <c r="B2338" t="s">
        <v>1986</v>
      </c>
      <c r="C2338" t="s">
        <v>6778</v>
      </c>
      <c r="D2338" t="s">
        <v>9928</v>
      </c>
      <c r="E2338" t="s">
        <v>10075</v>
      </c>
      <c r="F2338">
        <v>11226</v>
      </c>
      <c r="G2338" t="s">
        <v>10093</v>
      </c>
      <c r="H2338" t="s">
        <v>10110</v>
      </c>
      <c r="I2338" t="s">
        <v>10168</v>
      </c>
      <c r="J2338" t="s">
        <v>10213</v>
      </c>
      <c r="K2338" t="s">
        <v>10217</v>
      </c>
      <c r="M2338" t="s">
        <v>10314</v>
      </c>
      <c r="N2338" t="s">
        <v>10667</v>
      </c>
      <c r="P2338" t="s">
        <v>10749</v>
      </c>
      <c r="Q2338" t="s">
        <v>10765</v>
      </c>
      <c r="R2338" t="s">
        <v>10824</v>
      </c>
      <c r="T2338">
        <v>41800</v>
      </c>
      <c r="U2338">
        <v>3483.33</v>
      </c>
      <c r="V2338">
        <v>37</v>
      </c>
      <c r="W2338">
        <v>1</v>
      </c>
      <c r="X2338">
        <v>2</v>
      </c>
      <c r="Z2338">
        <v>195.97</v>
      </c>
      <c r="AA2338">
        <v>40.640918</v>
      </c>
      <c r="AB2338">
        <v>-73.954041</v>
      </c>
      <c r="AD2338" t="s">
        <v>10839</v>
      </c>
      <c r="AG2338" t="s">
        <v>10858</v>
      </c>
      <c r="AH2338" t="s">
        <v>10862</v>
      </c>
      <c r="AI2338">
        <v>239</v>
      </c>
      <c r="AJ2338" t="s">
        <v>10213</v>
      </c>
      <c r="AL2338">
        <v>9</v>
      </c>
      <c r="AM2338" t="s">
        <v>10888</v>
      </c>
      <c r="AN2338" t="s">
        <v>10932</v>
      </c>
      <c r="AO2338" t="s">
        <v>11008</v>
      </c>
      <c r="AP2338" t="s">
        <v>11065</v>
      </c>
      <c r="AQ2338" t="s">
        <v>11101</v>
      </c>
      <c r="AR2338" t="s">
        <v>11295</v>
      </c>
      <c r="AS2338" t="s">
        <v>11595</v>
      </c>
      <c r="BA2338" t="s">
        <v>11738</v>
      </c>
      <c r="BB2338">
        <v>0</v>
      </c>
      <c r="BC2338">
        <v>0</v>
      </c>
      <c r="BD2338">
        <v>0</v>
      </c>
      <c r="BE2338">
        <v>0</v>
      </c>
      <c r="BF2338">
        <v>5</v>
      </c>
      <c r="BG2338">
        <v>0</v>
      </c>
    </row>
    <row r="2339" spans="1:59">
      <c r="A2339" s="1">
        <f>HYPERLINK("https://lsnyc.legalserver.org/matter/dynamic-profile/view/1906294","19-1906294")</f>
        <v>0</v>
      </c>
      <c r="B2339" t="s">
        <v>1433</v>
      </c>
      <c r="C2339" t="s">
        <v>6779</v>
      </c>
      <c r="D2339" t="s">
        <v>9928</v>
      </c>
      <c r="E2339" t="s">
        <v>10075</v>
      </c>
      <c r="F2339">
        <v>11219</v>
      </c>
      <c r="G2339" t="s">
        <v>10093</v>
      </c>
      <c r="H2339" t="s">
        <v>10110</v>
      </c>
      <c r="I2339" t="s">
        <v>10168</v>
      </c>
      <c r="J2339" t="s">
        <v>10213</v>
      </c>
      <c r="K2339" t="s">
        <v>10217</v>
      </c>
      <c r="M2339" t="s">
        <v>10565</v>
      </c>
      <c r="N2339" t="s">
        <v>10664</v>
      </c>
      <c r="P2339" t="s">
        <v>10749</v>
      </c>
      <c r="Q2339" t="s">
        <v>10765</v>
      </c>
      <c r="R2339" t="s">
        <v>10821</v>
      </c>
      <c r="T2339">
        <v>0</v>
      </c>
      <c r="U2339">
        <v>0</v>
      </c>
      <c r="V2339">
        <v>59</v>
      </c>
      <c r="W2339">
        <v>1</v>
      </c>
      <c r="X2339">
        <v>0</v>
      </c>
      <c r="Z2339">
        <v>0</v>
      </c>
      <c r="AA2339">
        <v>40.62818</v>
      </c>
      <c r="AB2339">
        <v>-74.001603</v>
      </c>
      <c r="AD2339" t="s">
        <v>10839</v>
      </c>
      <c r="AG2339" t="s">
        <v>10858</v>
      </c>
      <c r="AH2339" t="s">
        <v>10861</v>
      </c>
      <c r="AI2339">
        <v>239</v>
      </c>
      <c r="AJ2339" t="s">
        <v>10213</v>
      </c>
      <c r="AL2339">
        <v>0</v>
      </c>
      <c r="AM2339" t="s">
        <v>10894</v>
      </c>
      <c r="AN2339" t="s">
        <v>10974</v>
      </c>
      <c r="AO2339" t="s">
        <v>11015</v>
      </c>
      <c r="AP2339" t="s">
        <v>11069</v>
      </c>
      <c r="AR2339" t="s">
        <v>11279</v>
      </c>
      <c r="AS2339" t="s">
        <v>11595</v>
      </c>
      <c r="BA2339" t="s">
        <v>11741</v>
      </c>
      <c r="BB2339">
        <v>0</v>
      </c>
      <c r="BC2339">
        <v>0</v>
      </c>
      <c r="BD2339">
        <v>0</v>
      </c>
      <c r="BE2339">
        <v>0</v>
      </c>
      <c r="BF2339">
        <v>1</v>
      </c>
      <c r="BG2339">
        <v>0</v>
      </c>
    </row>
    <row r="2340" spans="1:59">
      <c r="A2340" s="1">
        <f>HYPERLINK("https://lsnyc.legalserver.org/matter/dynamic-profile/view/1906295","19-1906295")</f>
        <v>0</v>
      </c>
      <c r="B2340" t="s">
        <v>1987</v>
      </c>
      <c r="C2340" t="s">
        <v>6780</v>
      </c>
      <c r="D2340" t="s">
        <v>9953</v>
      </c>
      <c r="E2340" t="s">
        <v>10075</v>
      </c>
      <c r="F2340">
        <v>11104</v>
      </c>
      <c r="G2340" t="s">
        <v>10091</v>
      </c>
      <c r="H2340" t="s">
        <v>10110</v>
      </c>
      <c r="I2340" t="s">
        <v>10169</v>
      </c>
      <c r="J2340" t="s">
        <v>10211</v>
      </c>
      <c r="K2340" t="s">
        <v>10217</v>
      </c>
      <c r="M2340" t="s">
        <v>10231</v>
      </c>
      <c r="N2340" t="s">
        <v>10647</v>
      </c>
      <c r="P2340" t="s">
        <v>10752</v>
      </c>
      <c r="Q2340" t="s">
        <v>10762</v>
      </c>
      <c r="R2340" t="s">
        <v>10821</v>
      </c>
      <c r="T2340">
        <v>14560</v>
      </c>
      <c r="U2340">
        <v>1213.33</v>
      </c>
      <c r="V2340">
        <v>52</v>
      </c>
      <c r="W2340">
        <v>1</v>
      </c>
      <c r="X2340">
        <v>0</v>
      </c>
      <c r="Z2340">
        <v>116.57</v>
      </c>
      <c r="AA2340">
        <v>40.74424</v>
      </c>
      <c r="AB2340">
        <v>-73.915899</v>
      </c>
      <c r="AD2340" t="s">
        <v>10839</v>
      </c>
      <c r="AF2340" t="s">
        <v>10843</v>
      </c>
      <c r="AG2340" t="s">
        <v>10859</v>
      </c>
      <c r="AH2340" t="s">
        <v>10861</v>
      </c>
      <c r="AI2340">
        <v>234</v>
      </c>
      <c r="AJ2340" t="s">
        <v>10214</v>
      </c>
      <c r="AL2340">
        <v>3.3</v>
      </c>
      <c r="AM2340" t="s">
        <v>10885</v>
      </c>
      <c r="AN2340" t="s">
        <v>10961</v>
      </c>
      <c r="AO2340" t="s">
        <v>11003</v>
      </c>
      <c r="AP2340" t="s">
        <v>11047</v>
      </c>
      <c r="AR2340" t="s">
        <v>11257</v>
      </c>
      <c r="AS2340" t="s">
        <v>11594</v>
      </c>
      <c r="AT2340" t="s">
        <v>11641</v>
      </c>
      <c r="AX2340" t="s">
        <v>10838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</row>
    <row r="2341" spans="1:59">
      <c r="A2341" s="1">
        <f>HYPERLINK("https://lsnyc.legalserver.org/matter/dynamic-profile/view/1906296","19-1906296")</f>
        <v>0</v>
      </c>
      <c r="B2341" t="s">
        <v>1988</v>
      </c>
      <c r="C2341" t="s">
        <v>6781</v>
      </c>
      <c r="D2341" t="s">
        <v>9928</v>
      </c>
      <c r="E2341" t="s">
        <v>10075</v>
      </c>
      <c r="F2341">
        <v>11226</v>
      </c>
      <c r="G2341" t="s">
        <v>10093</v>
      </c>
      <c r="H2341" t="s">
        <v>10110</v>
      </c>
      <c r="I2341" t="s">
        <v>10168</v>
      </c>
      <c r="J2341" t="s">
        <v>10213</v>
      </c>
      <c r="K2341" t="s">
        <v>10217</v>
      </c>
      <c r="M2341" t="s">
        <v>10531</v>
      </c>
      <c r="N2341" t="s">
        <v>10667</v>
      </c>
      <c r="P2341" t="s">
        <v>10749</v>
      </c>
      <c r="Q2341" t="s">
        <v>10765</v>
      </c>
      <c r="R2341" t="s">
        <v>10822</v>
      </c>
      <c r="T2341">
        <v>15028</v>
      </c>
      <c r="U2341">
        <v>1252.33</v>
      </c>
      <c r="V2341">
        <v>44</v>
      </c>
      <c r="W2341">
        <v>1</v>
      </c>
      <c r="X2341">
        <v>0</v>
      </c>
      <c r="Z2341">
        <v>120.32</v>
      </c>
      <c r="AA2341">
        <v>40.6444</v>
      </c>
      <c r="AB2341">
        <v>-73.94667200000001</v>
      </c>
      <c r="AD2341" t="s">
        <v>10822</v>
      </c>
      <c r="AG2341" t="s">
        <v>10858</v>
      </c>
      <c r="AH2341" t="s">
        <v>10862</v>
      </c>
      <c r="AI2341">
        <v>239</v>
      </c>
      <c r="AJ2341" t="s">
        <v>10213</v>
      </c>
      <c r="AL2341">
        <v>41.9</v>
      </c>
      <c r="AM2341" t="s">
        <v>10888</v>
      </c>
      <c r="AN2341" t="s">
        <v>10932</v>
      </c>
      <c r="AO2341" t="s">
        <v>11008</v>
      </c>
      <c r="AP2341" t="s">
        <v>11065</v>
      </c>
      <c r="AR2341" t="s">
        <v>11257</v>
      </c>
      <c r="AS2341" t="s">
        <v>11595</v>
      </c>
      <c r="BA2341" t="s">
        <v>11738</v>
      </c>
      <c r="BB2341">
        <v>0</v>
      </c>
      <c r="BC2341">
        <v>0</v>
      </c>
      <c r="BD2341">
        <v>0</v>
      </c>
      <c r="BE2341">
        <v>0</v>
      </c>
      <c r="BF2341">
        <v>5</v>
      </c>
      <c r="BG2341">
        <v>0</v>
      </c>
    </row>
    <row r="2342" spans="1:59">
      <c r="A2342" s="1">
        <f>HYPERLINK("https://lsnyc.legalserver.org/matter/dynamic-profile/view/1906297","19-1906297")</f>
        <v>0</v>
      </c>
      <c r="B2342" t="s">
        <v>1989</v>
      </c>
      <c r="C2342" t="s">
        <v>6782</v>
      </c>
      <c r="D2342" t="s">
        <v>9928</v>
      </c>
      <c r="E2342" t="s">
        <v>10075</v>
      </c>
      <c r="F2342">
        <v>11201</v>
      </c>
      <c r="G2342" t="s">
        <v>10093</v>
      </c>
      <c r="H2342" t="s">
        <v>10110</v>
      </c>
      <c r="I2342" t="s">
        <v>10168</v>
      </c>
      <c r="J2342" t="s">
        <v>10213</v>
      </c>
      <c r="K2342" t="s">
        <v>10218</v>
      </c>
      <c r="L2342" t="s">
        <v>10113</v>
      </c>
      <c r="M2342" t="s">
        <v>10437</v>
      </c>
      <c r="N2342" t="s">
        <v>10644</v>
      </c>
      <c r="P2342" t="s">
        <v>10756</v>
      </c>
      <c r="Q2342" t="s">
        <v>10792</v>
      </c>
      <c r="R2342" t="s">
        <v>10821</v>
      </c>
      <c r="T2342">
        <v>23592</v>
      </c>
      <c r="U2342">
        <v>1966</v>
      </c>
      <c r="V2342">
        <v>89</v>
      </c>
      <c r="W2342">
        <v>1</v>
      </c>
      <c r="X2342">
        <v>0</v>
      </c>
      <c r="Y2342" t="s">
        <v>10830</v>
      </c>
      <c r="Z2342">
        <v>188.89</v>
      </c>
      <c r="AA2342">
        <v>40.687177</v>
      </c>
      <c r="AB2342">
        <v>-73.99041</v>
      </c>
      <c r="AC2342" t="s">
        <v>10837</v>
      </c>
      <c r="AD2342" t="s">
        <v>10839</v>
      </c>
      <c r="AG2342" t="s">
        <v>10858</v>
      </c>
      <c r="AH2342" t="s">
        <v>10866</v>
      </c>
      <c r="AI2342">
        <v>239</v>
      </c>
      <c r="AJ2342" t="s">
        <v>10213</v>
      </c>
      <c r="AK2342" t="s">
        <v>10838</v>
      </c>
      <c r="AL2342">
        <v>3</v>
      </c>
      <c r="AM2342" t="s">
        <v>10886</v>
      </c>
      <c r="AN2342" t="s">
        <v>10917</v>
      </c>
      <c r="AO2342" t="s">
        <v>11004</v>
      </c>
      <c r="AP2342" t="s">
        <v>11054</v>
      </c>
      <c r="AR2342" t="s">
        <v>11363</v>
      </c>
      <c r="AS2342" t="s">
        <v>11595</v>
      </c>
      <c r="AT2342" t="s">
        <v>11642</v>
      </c>
      <c r="AY2342" t="s">
        <v>10830</v>
      </c>
      <c r="AZ2342" t="s">
        <v>11698</v>
      </c>
      <c r="BA2342" t="s">
        <v>11740</v>
      </c>
      <c r="BB2342">
        <v>0</v>
      </c>
      <c r="BC2342">
        <v>0</v>
      </c>
      <c r="BD2342">
        <v>0</v>
      </c>
      <c r="BE2342">
        <v>0</v>
      </c>
      <c r="BF2342">
        <v>2</v>
      </c>
      <c r="BG2342">
        <v>0</v>
      </c>
    </row>
    <row r="2343" spans="1:59">
      <c r="A2343" s="1">
        <f>HYPERLINK("https://lsnyc.legalserver.org/matter/dynamic-profile/view/1906298","19-1906298")</f>
        <v>0</v>
      </c>
      <c r="B2343" t="s">
        <v>1990</v>
      </c>
      <c r="C2343" t="s">
        <v>6783</v>
      </c>
      <c r="D2343" t="s">
        <v>9926</v>
      </c>
      <c r="E2343" t="s">
        <v>10075</v>
      </c>
      <c r="F2343">
        <v>10463</v>
      </c>
      <c r="G2343" t="s">
        <v>10090</v>
      </c>
      <c r="H2343" t="s">
        <v>10110</v>
      </c>
      <c r="I2343" t="s">
        <v>10168</v>
      </c>
      <c r="J2343" t="s">
        <v>10210</v>
      </c>
      <c r="K2343" t="s">
        <v>10218</v>
      </c>
      <c r="L2343" t="s">
        <v>10143</v>
      </c>
      <c r="M2343" t="s">
        <v>10262</v>
      </c>
      <c r="N2343" t="s">
        <v>10666</v>
      </c>
      <c r="P2343" t="s">
        <v>10749</v>
      </c>
      <c r="Q2343" t="s">
        <v>10765</v>
      </c>
      <c r="R2343" t="s">
        <v>10823</v>
      </c>
      <c r="T2343">
        <v>20768.36</v>
      </c>
      <c r="U2343">
        <v>1730.7</v>
      </c>
      <c r="V2343">
        <v>52</v>
      </c>
      <c r="W2343">
        <v>5</v>
      </c>
      <c r="X2343">
        <v>0</v>
      </c>
      <c r="Y2343" t="s">
        <v>10829</v>
      </c>
      <c r="Z2343">
        <v>68.84</v>
      </c>
      <c r="AA2343">
        <v>40.871763</v>
      </c>
      <c r="AB2343">
        <v>-73.90329300000001</v>
      </c>
      <c r="AD2343" t="s">
        <v>10840</v>
      </c>
      <c r="AF2343" t="s">
        <v>10843</v>
      </c>
      <c r="AG2343" t="s">
        <v>10859</v>
      </c>
      <c r="AH2343" t="s">
        <v>10861</v>
      </c>
      <c r="AI2343">
        <v>230</v>
      </c>
      <c r="AJ2343" t="s">
        <v>10210</v>
      </c>
      <c r="AK2343" t="s">
        <v>10837</v>
      </c>
      <c r="AL2343">
        <v>0.8</v>
      </c>
      <c r="AM2343" t="s">
        <v>10887</v>
      </c>
      <c r="AN2343" t="s">
        <v>10907</v>
      </c>
      <c r="AO2343" t="s">
        <v>11000</v>
      </c>
      <c r="AP2343" t="s">
        <v>11045</v>
      </c>
      <c r="AR2343" t="s">
        <v>11257</v>
      </c>
      <c r="AS2343" t="s">
        <v>9926</v>
      </c>
      <c r="AT2343" t="s">
        <v>11642</v>
      </c>
      <c r="AX2343" t="s">
        <v>10838</v>
      </c>
      <c r="AY2343" t="s">
        <v>10829</v>
      </c>
      <c r="AZ2343" t="s">
        <v>11681</v>
      </c>
      <c r="BA2343" t="s">
        <v>11741</v>
      </c>
      <c r="BB2343">
        <v>0</v>
      </c>
      <c r="BC2343">
        <v>0</v>
      </c>
      <c r="BD2343">
        <v>0</v>
      </c>
      <c r="BE2343">
        <v>0</v>
      </c>
      <c r="BF2343">
        <v>1</v>
      </c>
      <c r="BG2343">
        <v>0</v>
      </c>
    </row>
    <row r="2344" spans="1:59">
      <c r="A2344" s="1">
        <f>HYPERLINK("https://lsnyc.legalserver.org/matter/dynamic-profile/view/1906299","19-1906299")</f>
        <v>0</v>
      </c>
      <c r="B2344" t="s">
        <v>1991</v>
      </c>
      <c r="C2344" t="s">
        <v>6784</v>
      </c>
      <c r="D2344" t="s">
        <v>9925</v>
      </c>
      <c r="E2344" t="s">
        <v>10075</v>
      </c>
      <c r="F2344">
        <v>10031</v>
      </c>
      <c r="G2344" t="s">
        <v>10093</v>
      </c>
      <c r="H2344" t="s">
        <v>10110</v>
      </c>
      <c r="I2344" t="s">
        <v>10169</v>
      </c>
      <c r="J2344" t="s">
        <v>10213</v>
      </c>
      <c r="K2344" t="s">
        <v>10217</v>
      </c>
      <c r="M2344" t="s">
        <v>10253</v>
      </c>
      <c r="N2344" t="s">
        <v>10679</v>
      </c>
      <c r="P2344" t="s">
        <v>10753</v>
      </c>
      <c r="Q2344" t="s">
        <v>10763</v>
      </c>
      <c r="R2344" t="s">
        <v>10823</v>
      </c>
      <c r="T2344">
        <v>0</v>
      </c>
      <c r="U2344">
        <v>0</v>
      </c>
      <c r="V2344">
        <v>20</v>
      </c>
      <c r="W2344">
        <v>1</v>
      </c>
      <c r="X2344">
        <v>0</v>
      </c>
      <c r="Z2344">
        <v>0</v>
      </c>
      <c r="AA2344">
        <v>40.830823</v>
      </c>
      <c r="AB2344">
        <v>-73.94787599999999</v>
      </c>
      <c r="AD2344" t="s">
        <v>10839</v>
      </c>
      <c r="AF2344" t="s">
        <v>10842</v>
      </c>
      <c r="AG2344" t="s">
        <v>10859</v>
      </c>
      <c r="AH2344" t="s">
        <v>10864</v>
      </c>
      <c r="AI2344">
        <v>239</v>
      </c>
      <c r="AJ2344" t="s">
        <v>10213</v>
      </c>
      <c r="AL2344">
        <v>0</v>
      </c>
      <c r="AM2344" t="s">
        <v>10887</v>
      </c>
      <c r="AN2344" t="s">
        <v>10943</v>
      </c>
      <c r="AO2344" t="s">
        <v>11019</v>
      </c>
      <c r="AP2344" t="s">
        <v>11073</v>
      </c>
      <c r="AQ2344" t="s">
        <v>11109</v>
      </c>
      <c r="AR2344" t="s">
        <v>11267</v>
      </c>
      <c r="AS2344" t="s">
        <v>9925</v>
      </c>
      <c r="BA2344" t="s">
        <v>11739</v>
      </c>
      <c r="BB2344">
        <v>0</v>
      </c>
      <c r="BC2344">
        <v>0</v>
      </c>
      <c r="BD2344">
        <v>0</v>
      </c>
      <c r="BE2344">
        <v>0</v>
      </c>
      <c r="BF2344">
        <v>4</v>
      </c>
      <c r="BG2344">
        <v>0</v>
      </c>
    </row>
    <row r="2345" spans="1:59">
      <c r="A2345" s="1">
        <f>HYPERLINK("https://lsnyc.legalserver.org/matter/dynamic-profile/view/1906300","19-1906300")</f>
        <v>0</v>
      </c>
      <c r="B2345" t="s">
        <v>1992</v>
      </c>
      <c r="C2345" t="s">
        <v>6785</v>
      </c>
      <c r="D2345" t="s">
        <v>9925</v>
      </c>
      <c r="E2345" t="s">
        <v>10075</v>
      </c>
      <c r="F2345">
        <v>10026</v>
      </c>
      <c r="G2345" t="s">
        <v>10089</v>
      </c>
      <c r="H2345" t="s">
        <v>10110</v>
      </c>
      <c r="I2345" t="s">
        <v>10168</v>
      </c>
      <c r="J2345" t="s">
        <v>10209</v>
      </c>
      <c r="K2345" t="s">
        <v>10218</v>
      </c>
      <c r="L2345" t="s">
        <v>10155</v>
      </c>
      <c r="M2345" t="s">
        <v>10472</v>
      </c>
      <c r="N2345" t="s">
        <v>10691</v>
      </c>
      <c r="P2345" t="s">
        <v>10751</v>
      </c>
      <c r="Q2345" t="s">
        <v>10761</v>
      </c>
      <c r="R2345" t="s">
        <v>10824</v>
      </c>
      <c r="T2345">
        <v>6906</v>
      </c>
      <c r="U2345">
        <v>575.5</v>
      </c>
      <c r="V2345">
        <v>40</v>
      </c>
      <c r="W2345">
        <v>1</v>
      </c>
      <c r="X2345">
        <v>3</v>
      </c>
      <c r="Y2345" t="s">
        <v>10833</v>
      </c>
      <c r="Z2345">
        <v>26.82</v>
      </c>
      <c r="AA2345">
        <v>40.802989</v>
      </c>
      <c r="AB2345">
        <v>-73.95368499999999</v>
      </c>
      <c r="AD2345" t="s">
        <v>10839</v>
      </c>
      <c r="AF2345" t="s">
        <v>10842</v>
      </c>
      <c r="AG2345" t="s">
        <v>10859</v>
      </c>
      <c r="AH2345" t="s">
        <v>10861</v>
      </c>
      <c r="AI2345">
        <v>234</v>
      </c>
      <c r="AJ2345" t="s">
        <v>10214</v>
      </c>
      <c r="AK2345" t="s">
        <v>10837</v>
      </c>
      <c r="AL2345">
        <v>26.45</v>
      </c>
      <c r="AM2345" t="s">
        <v>10887</v>
      </c>
      <c r="AN2345" t="s">
        <v>10936</v>
      </c>
      <c r="AO2345" t="s">
        <v>11016</v>
      </c>
      <c r="AP2345" t="s">
        <v>11076</v>
      </c>
      <c r="AR2345" t="s">
        <v>11381</v>
      </c>
      <c r="AS2345" t="s">
        <v>9925</v>
      </c>
      <c r="AT2345" t="s">
        <v>11641</v>
      </c>
      <c r="AX2345" t="s">
        <v>10838</v>
      </c>
      <c r="AY2345" t="s">
        <v>10833</v>
      </c>
      <c r="AZ2345" t="s">
        <v>11710</v>
      </c>
      <c r="BB2345">
        <v>0</v>
      </c>
      <c r="BC2345">
        <v>0</v>
      </c>
      <c r="BD2345">
        <v>188.5</v>
      </c>
      <c r="BE2345">
        <v>0</v>
      </c>
      <c r="BF2345">
        <v>0</v>
      </c>
      <c r="BG2345">
        <v>0</v>
      </c>
    </row>
    <row r="2346" spans="1:59">
      <c r="A2346" s="1">
        <f>HYPERLINK("https://lsnyc.legalserver.org/matter/dynamic-profile/view/1906301","19-1906301")</f>
        <v>0</v>
      </c>
      <c r="B2346" t="s">
        <v>1993</v>
      </c>
      <c r="C2346" t="s">
        <v>5540</v>
      </c>
      <c r="D2346" t="s">
        <v>9928</v>
      </c>
      <c r="E2346" t="s">
        <v>10075</v>
      </c>
      <c r="F2346">
        <v>11226</v>
      </c>
      <c r="G2346" t="s">
        <v>10093</v>
      </c>
      <c r="H2346" t="s">
        <v>10110</v>
      </c>
      <c r="I2346" t="s">
        <v>10168</v>
      </c>
      <c r="J2346" t="s">
        <v>10213</v>
      </c>
      <c r="K2346" t="s">
        <v>10217</v>
      </c>
      <c r="M2346" t="s">
        <v>10314</v>
      </c>
      <c r="N2346" t="s">
        <v>10667</v>
      </c>
      <c r="P2346" t="s">
        <v>10749</v>
      </c>
      <c r="Q2346" t="s">
        <v>10765</v>
      </c>
      <c r="R2346" t="s">
        <v>10824</v>
      </c>
      <c r="T2346">
        <v>31200</v>
      </c>
      <c r="U2346">
        <v>2600</v>
      </c>
      <c r="V2346">
        <v>37</v>
      </c>
      <c r="W2346">
        <v>1</v>
      </c>
      <c r="X2346">
        <v>2</v>
      </c>
      <c r="Z2346">
        <v>146.27</v>
      </c>
      <c r="AA2346">
        <v>40.653401</v>
      </c>
      <c r="AB2346">
        <v>-73.94815699999999</v>
      </c>
      <c r="AD2346" t="s">
        <v>10839</v>
      </c>
      <c r="AG2346" t="s">
        <v>10858</v>
      </c>
      <c r="AH2346" t="s">
        <v>10862</v>
      </c>
      <c r="AI2346">
        <v>239</v>
      </c>
      <c r="AJ2346" t="s">
        <v>10213</v>
      </c>
      <c r="AL2346">
        <v>1.5</v>
      </c>
      <c r="AM2346" t="s">
        <v>10888</v>
      </c>
      <c r="AN2346" t="s">
        <v>10912</v>
      </c>
      <c r="AO2346" t="s">
        <v>11005</v>
      </c>
      <c r="AP2346" t="s">
        <v>11050</v>
      </c>
      <c r="AQ2346" t="s">
        <v>11101</v>
      </c>
      <c r="AR2346" t="s">
        <v>11359</v>
      </c>
      <c r="AS2346" t="s">
        <v>11595</v>
      </c>
      <c r="BA2346" t="s">
        <v>11738</v>
      </c>
      <c r="BB2346">
        <v>0</v>
      </c>
      <c r="BC2346">
        <v>0</v>
      </c>
      <c r="BD2346">
        <v>0</v>
      </c>
      <c r="BE2346">
        <v>0</v>
      </c>
      <c r="BF2346">
        <v>5</v>
      </c>
      <c r="BG2346">
        <v>0</v>
      </c>
    </row>
    <row r="2347" spans="1:59">
      <c r="A2347" s="1">
        <f>HYPERLINK("https://lsnyc.legalserver.org/matter/dynamic-profile/view/1906303","19-1906303")</f>
        <v>0</v>
      </c>
      <c r="B2347" t="s">
        <v>1994</v>
      </c>
      <c r="C2347" t="s">
        <v>6786</v>
      </c>
      <c r="D2347" t="s">
        <v>9926</v>
      </c>
      <c r="E2347" t="s">
        <v>10075</v>
      </c>
      <c r="F2347">
        <v>10463</v>
      </c>
      <c r="G2347" t="s">
        <v>10090</v>
      </c>
      <c r="H2347" t="s">
        <v>10110</v>
      </c>
      <c r="I2347" t="s">
        <v>10168</v>
      </c>
      <c r="J2347" t="s">
        <v>10210</v>
      </c>
      <c r="K2347" t="s">
        <v>10217</v>
      </c>
      <c r="M2347" t="s">
        <v>10510</v>
      </c>
      <c r="N2347" t="s">
        <v>10677</v>
      </c>
      <c r="P2347" t="s">
        <v>10757</v>
      </c>
      <c r="Q2347" t="s">
        <v>10815</v>
      </c>
      <c r="R2347" t="s">
        <v>10820</v>
      </c>
      <c r="T2347">
        <v>14142</v>
      </c>
      <c r="U2347">
        <v>1178.5</v>
      </c>
      <c r="V2347">
        <v>65</v>
      </c>
      <c r="W2347">
        <v>1</v>
      </c>
      <c r="X2347">
        <v>0</v>
      </c>
      <c r="Z2347">
        <v>113.23</v>
      </c>
      <c r="AA2347">
        <v>40.88676</v>
      </c>
      <c r="AB2347">
        <v>-73.90525599999999</v>
      </c>
      <c r="AD2347" t="s">
        <v>10839</v>
      </c>
      <c r="AG2347" t="s">
        <v>10858</v>
      </c>
      <c r="AH2347" t="s">
        <v>10874</v>
      </c>
      <c r="AI2347">
        <v>230</v>
      </c>
      <c r="AJ2347" t="s">
        <v>10210</v>
      </c>
      <c r="AL2347">
        <v>1.5</v>
      </c>
      <c r="AM2347" t="s">
        <v>10893</v>
      </c>
      <c r="AN2347" t="s">
        <v>10919</v>
      </c>
      <c r="AO2347" t="s">
        <v>11002</v>
      </c>
      <c r="AP2347" t="s">
        <v>11057</v>
      </c>
      <c r="AQ2347" t="s">
        <v>11212</v>
      </c>
      <c r="AR2347" t="s">
        <v>11298</v>
      </c>
      <c r="AS2347" t="s">
        <v>9926</v>
      </c>
      <c r="AT2347" t="s">
        <v>11641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</row>
    <row r="2348" spans="1:59">
      <c r="A2348" s="1">
        <f>HYPERLINK("https://lsnyc.legalserver.org/matter/dynamic-profile/view/1906305","19-1906305")</f>
        <v>0</v>
      </c>
      <c r="B2348" t="s">
        <v>1995</v>
      </c>
      <c r="C2348" t="s">
        <v>6787</v>
      </c>
      <c r="D2348" t="s">
        <v>9928</v>
      </c>
      <c r="E2348" t="s">
        <v>10075</v>
      </c>
      <c r="F2348">
        <v>11207</v>
      </c>
      <c r="G2348" t="s">
        <v>10092</v>
      </c>
      <c r="H2348" t="s">
        <v>10103</v>
      </c>
      <c r="I2348" t="s">
        <v>10169</v>
      </c>
      <c r="J2348" t="s">
        <v>10212</v>
      </c>
      <c r="K2348" t="s">
        <v>10217</v>
      </c>
      <c r="M2348" t="s">
        <v>10486</v>
      </c>
      <c r="N2348" t="s">
        <v>10673</v>
      </c>
      <c r="P2348" t="s">
        <v>10753</v>
      </c>
      <c r="Q2348" t="s">
        <v>10763</v>
      </c>
      <c r="R2348" t="s">
        <v>10823</v>
      </c>
      <c r="T2348">
        <v>22000</v>
      </c>
      <c r="U2348">
        <v>1833.33</v>
      </c>
      <c r="V2348">
        <v>43</v>
      </c>
      <c r="W2348">
        <v>2</v>
      </c>
      <c r="X2348">
        <v>1</v>
      </c>
      <c r="Z2348">
        <v>103.14</v>
      </c>
      <c r="AA2348">
        <v>40.665409</v>
      </c>
      <c r="AB2348">
        <v>-73.888114</v>
      </c>
      <c r="AD2348" t="s">
        <v>10839</v>
      </c>
      <c r="AF2348" t="s">
        <v>10843</v>
      </c>
      <c r="AG2348" t="s">
        <v>10859</v>
      </c>
      <c r="AH2348" t="s">
        <v>10864</v>
      </c>
      <c r="AI2348">
        <v>237</v>
      </c>
      <c r="AJ2348" t="s">
        <v>10212</v>
      </c>
      <c r="AL2348">
        <v>4.7</v>
      </c>
      <c r="AM2348" t="s">
        <v>10889</v>
      </c>
      <c r="AN2348" t="s">
        <v>10946</v>
      </c>
      <c r="AO2348" t="s">
        <v>11012</v>
      </c>
      <c r="AP2348" t="s">
        <v>11060</v>
      </c>
      <c r="AQ2348" t="s">
        <v>11097</v>
      </c>
      <c r="AR2348" t="s">
        <v>11257</v>
      </c>
      <c r="AS2348" t="s">
        <v>11595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</row>
    <row r="2349" spans="1:59">
      <c r="A2349" s="1">
        <f>HYPERLINK("https://lsnyc.legalserver.org/matter/dynamic-profile/view/1906306","19-1906306")</f>
        <v>0</v>
      </c>
      <c r="B2349" t="s">
        <v>1996</v>
      </c>
      <c r="C2349" t="s">
        <v>6788</v>
      </c>
      <c r="D2349" t="s">
        <v>9926</v>
      </c>
      <c r="E2349" t="s">
        <v>10075</v>
      </c>
      <c r="F2349">
        <v>10467</v>
      </c>
      <c r="G2349" t="s">
        <v>10091</v>
      </c>
      <c r="H2349" t="s">
        <v>10110</v>
      </c>
      <c r="I2349" t="s">
        <v>10168</v>
      </c>
      <c r="J2349" t="s">
        <v>10211</v>
      </c>
      <c r="K2349" t="s">
        <v>10217</v>
      </c>
      <c r="M2349" t="s">
        <v>10307</v>
      </c>
      <c r="N2349" t="s">
        <v>10671</v>
      </c>
      <c r="P2349" t="s">
        <v>10752</v>
      </c>
      <c r="Q2349" t="s">
        <v>10762</v>
      </c>
      <c r="R2349" t="s">
        <v>10824</v>
      </c>
      <c r="T2349">
        <v>20800</v>
      </c>
      <c r="U2349">
        <v>1733.33</v>
      </c>
      <c r="V2349">
        <v>46</v>
      </c>
      <c r="W2349">
        <v>1</v>
      </c>
      <c r="X2349">
        <v>0</v>
      </c>
      <c r="Z2349">
        <v>166.53</v>
      </c>
      <c r="AA2349">
        <v>40.868406</v>
      </c>
      <c r="AB2349">
        <v>-73.865595</v>
      </c>
      <c r="AD2349" t="s">
        <v>10840</v>
      </c>
      <c r="AG2349" t="s">
        <v>10858</v>
      </c>
      <c r="AH2349" t="s">
        <v>10861</v>
      </c>
      <c r="AI2349">
        <v>234</v>
      </c>
      <c r="AJ2349" t="s">
        <v>10214</v>
      </c>
      <c r="AL2349">
        <v>0.6</v>
      </c>
      <c r="AM2349" t="s">
        <v>10885</v>
      </c>
      <c r="AN2349" t="s">
        <v>10938</v>
      </c>
      <c r="AO2349" t="s">
        <v>11010</v>
      </c>
      <c r="AP2349" t="s">
        <v>11056</v>
      </c>
      <c r="AR2349" t="s">
        <v>11297</v>
      </c>
      <c r="AS2349" t="s">
        <v>9926</v>
      </c>
      <c r="AT2349" t="s">
        <v>11642</v>
      </c>
      <c r="AX2349" t="s">
        <v>10838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</row>
    <row r="2350" spans="1:59">
      <c r="A2350" s="1">
        <f>HYPERLINK("https://lsnyc.legalserver.org/matter/dynamic-profile/view/1906307","19-1906307")</f>
        <v>0</v>
      </c>
      <c r="B2350" t="s">
        <v>1997</v>
      </c>
      <c r="C2350" t="s">
        <v>6789</v>
      </c>
      <c r="D2350" t="s">
        <v>9928</v>
      </c>
      <c r="E2350" t="s">
        <v>10075</v>
      </c>
      <c r="F2350">
        <v>11212</v>
      </c>
      <c r="G2350" t="s">
        <v>10091</v>
      </c>
      <c r="H2350" t="s">
        <v>10110</v>
      </c>
      <c r="I2350" t="s">
        <v>10168</v>
      </c>
      <c r="J2350" t="s">
        <v>10214</v>
      </c>
      <c r="K2350" t="s">
        <v>10217</v>
      </c>
      <c r="M2350" t="s">
        <v>10286</v>
      </c>
      <c r="N2350" t="s">
        <v>10671</v>
      </c>
      <c r="P2350" t="s">
        <v>10751</v>
      </c>
      <c r="Q2350" t="s">
        <v>10780</v>
      </c>
      <c r="R2350" t="s">
        <v>10824</v>
      </c>
      <c r="T2350">
        <v>1680</v>
      </c>
      <c r="U2350">
        <v>140</v>
      </c>
      <c r="V2350">
        <v>59</v>
      </c>
      <c r="W2350">
        <v>1</v>
      </c>
      <c r="X2350">
        <v>0</v>
      </c>
      <c r="Z2350">
        <v>13.45</v>
      </c>
      <c r="AA2350">
        <v>40.658036</v>
      </c>
      <c r="AB2350">
        <v>-73.90494099999999</v>
      </c>
      <c r="AD2350" t="s">
        <v>10839</v>
      </c>
      <c r="AG2350" t="s">
        <v>10858</v>
      </c>
      <c r="AH2350" t="s">
        <v>10861</v>
      </c>
      <c r="AI2350">
        <v>234</v>
      </c>
      <c r="AJ2350" t="s">
        <v>10214</v>
      </c>
      <c r="AL2350">
        <v>0</v>
      </c>
      <c r="AM2350" t="s">
        <v>10889</v>
      </c>
      <c r="AN2350" t="s">
        <v>10946</v>
      </c>
      <c r="AO2350" t="s">
        <v>11012</v>
      </c>
      <c r="AP2350" t="s">
        <v>11060</v>
      </c>
      <c r="AR2350" t="s">
        <v>11255</v>
      </c>
      <c r="AS2350" t="s">
        <v>11595</v>
      </c>
      <c r="AT2350" t="s">
        <v>11641</v>
      </c>
      <c r="AX2350" t="s">
        <v>10838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</row>
    <row r="2351" spans="1:59">
      <c r="A2351" s="1">
        <f>HYPERLINK("https://lsnyc.legalserver.org/matter/dynamic-profile/view/1906308","19-1906308")</f>
        <v>0</v>
      </c>
      <c r="B2351" t="s">
        <v>1998</v>
      </c>
      <c r="C2351" t="s">
        <v>6790</v>
      </c>
      <c r="D2351" t="s">
        <v>9928</v>
      </c>
      <c r="E2351" t="s">
        <v>10075</v>
      </c>
      <c r="F2351">
        <v>11206</v>
      </c>
      <c r="G2351" t="s">
        <v>10093</v>
      </c>
      <c r="H2351" t="s">
        <v>10110</v>
      </c>
      <c r="I2351" t="s">
        <v>10168</v>
      </c>
      <c r="J2351" t="s">
        <v>10213</v>
      </c>
      <c r="K2351" t="s">
        <v>10217</v>
      </c>
      <c r="M2351" t="s">
        <v>10290</v>
      </c>
      <c r="N2351" t="s">
        <v>10665</v>
      </c>
      <c r="P2351" t="s">
        <v>10751</v>
      </c>
      <c r="Q2351" t="s">
        <v>10773</v>
      </c>
      <c r="R2351" t="s">
        <v>10827</v>
      </c>
      <c r="T2351">
        <v>49400</v>
      </c>
      <c r="U2351">
        <v>4116.67</v>
      </c>
      <c r="V2351">
        <v>56</v>
      </c>
      <c r="W2351">
        <v>1</v>
      </c>
      <c r="X2351">
        <v>0</v>
      </c>
      <c r="Z2351">
        <v>395.52</v>
      </c>
      <c r="AA2351">
        <v>40.709691</v>
      </c>
      <c r="AB2351">
        <v>-73.943248</v>
      </c>
      <c r="AD2351" t="s">
        <v>10839</v>
      </c>
      <c r="AG2351" t="s">
        <v>10858</v>
      </c>
      <c r="AH2351" t="s">
        <v>10861</v>
      </c>
      <c r="AI2351">
        <v>234</v>
      </c>
      <c r="AJ2351" t="s">
        <v>10214</v>
      </c>
      <c r="AL2351">
        <v>2.8</v>
      </c>
      <c r="AM2351" t="s">
        <v>10886</v>
      </c>
      <c r="AN2351" t="s">
        <v>10942</v>
      </c>
      <c r="AO2351" t="s">
        <v>11011</v>
      </c>
      <c r="AP2351" t="s">
        <v>11071</v>
      </c>
      <c r="AR2351" t="s">
        <v>11257</v>
      </c>
      <c r="AS2351" t="s">
        <v>11595</v>
      </c>
      <c r="AT2351" t="s">
        <v>11641</v>
      </c>
      <c r="AX2351" t="s">
        <v>10838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</row>
    <row r="2352" spans="1:59">
      <c r="A2352" s="1">
        <f>HYPERLINK("https://lsnyc.legalserver.org/matter/dynamic-profile/view/1906309","19-1906309")</f>
        <v>0</v>
      </c>
      <c r="B2352" t="s">
        <v>229</v>
      </c>
      <c r="C2352" t="s">
        <v>6791</v>
      </c>
      <c r="D2352" t="s">
        <v>9982</v>
      </c>
      <c r="E2352" t="s">
        <v>10075</v>
      </c>
      <c r="F2352">
        <v>11375</v>
      </c>
      <c r="G2352" t="s">
        <v>10092</v>
      </c>
      <c r="H2352" t="s">
        <v>10110</v>
      </c>
      <c r="I2352" t="s">
        <v>10168</v>
      </c>
      <c r="J2352" t="s">
        <v>10212</v>
      </c>
      <c r="K2352" t="s">
        <v>10218</v>
      </c>
      <c r="L2352" t="s">
        <v>10223</v>
      </c>
      <c r="M2352" t="s">
        <v>10326</v>
      </c>
      <c r="N2352" t="s">
        <v>10692</v>
      </c>
      <c r="P2352" t="s">
        <v>10754</v>
      </c>
      <c r="Q2352" t="s">
        <v>10775</v>
      </c>
      <c r="R2352" t="s">
        <v>10825</v>
      </c>
      <c r="T2352">
        <v>10296</v>
      </c>
      <c r="U2352">
        <v>858</v>
      </c>
      <c r="V2352">
        <v>67</v>
      </c>
      <c r="W2352">
        <v>2</v>
      </c>
      <c r="X2352">
        <v>0</v>
      </c>
      <c r="Y2352" t="s">
        <v>10829</v>
      </c>
      <c r="Z2352">
        <v>60.89</v>
      </c>
      <c r="AA2352">
        <v>40.716218</v>
      </c>
      <c r="AB2352">
        <v>-73.856421</v>
      </c>
      <c r="AD2352" t="s">
        <v>10839</v>
      </c>
      <c r="AG2352" t="s">
        <v>10858</v>
      </c>
      <c r="AH2352" t="s">
        <v>10865</v>
      </c>
      <c r="AI2352">
        <v>237</v>
      </c>
      <c r="AJ2352" t="s">
        <v>10212</v>
      </c>
      <c r="AK2352" t="s">
        <v>10837</v>
      </c>
      <c r="AL2352">
        <v>4.6</v>
      </c>
      <c r="AM2352" t="s">
        <v>10890</v>
      </c>
      <c r="AN2352" t="s">
        <v>10952</v>
      </c>
      <c r="AO2352" t="s">
        <v>11024</v>
      </c>
      <c r="AP2352" t="s">
        <v>11083</v>
      </c>
      <c r="AQ2352" t="s">
        <v>11103</v>
      </c>
      <c r="AR2352" t="s">
        <v>11374</v>
      </c>
      <c r="AS2352" t="s">
        <v>11594</v>
      </c>
      <c r="AY2352" t="s">
        <v>10829</v>
      </c>
      <c r="AZ2352" t="s">
        <v>11683</v>
      </c>
      <c r="BA2352" t="s">
        <v>11741</v>
      </c>
      <c r="BB2352">
        <v>0</v>
      </c>
      <c r="BC2352">
        <v>0</v>
      </c>
      <c r="BD2352">
        <v>0</v>
      </c>
      <c r="BE2352">
        <v>0</v>
      </c>
      <c r="BF2352">
        <v>1</v>
      </c>
      <c r="BG2352">
        <v>0</v>
      </c>
    </row>
    <row r="2353" spans="1:59">
      <c r="A2353" s="1">
        <f>HYPERLINK("https://lsnyc.legalserver.org/matter/dynamic-profile/view/1906310","19-1906310")</f>
        <v>0</v>
      </c>
      <c r="B2353" t="s">
        <v>1999</v>
      </c>
      <c r="C2353" t="s">
        <v>6792</v>
      </c>
      <c r="D2353" t="s">
        <v>9932</v>
      </c>
      <c r="E2353" t="s">
        <v>10075</v>
      </c>
      <c r="F2353">
        <v>11368</v>
      </c>
      <c r="G2353" t="s">
        <v>10092</v>
      </c>
      <c r="H2353" t="s">
        <v>10110</v>
      </c>
      <c r="I2353" t="s">
        <v>10169</v>
      </c>
      <c r="J2353" t="s">
        <v>10212</v>
      </c>
      <c r="K2353" t="s">
        <v>10217</v>
      </c>
      <c r="M2353" t="s">
        <v>10355</v>
      </c>
      <c r="N2353" t="s">
        <v>10671</v>
      </c>
      <c r="P2353" t="s">
        <v>10753</v>
      </c>
      <c r="Q2353" t="s">
        <v>10763</v>
      </c>
      <c r="R2353" t="s">
        <v>10821</v>
      </c>
      <c r="T2353">
        <v>2400</v>
      </c>
      <c r="U2353">
        <v>200</v>
      </c>
      <c r="V2353">
        <v>20</v>
      </c>
      <c r="W2353">
        <v>1</v>
      </c>
      <c r="X2353">
        <v>1</v>
      </c>
      <c r="Z2353">
        <v>14.19</v>
      </c>
      <c r="AA2353">
        <v>40.744244</v>
      </c>
      <c r="AB2353">
        <v>-73.85718300000001</v>
      </c>
      <c r="AD2353" t="s">
        <v>10839</v>
      </c>
      <c r="AF2353" t="s">
        <v>10842</v>
      </c>
      <c r="AG2353" t="s">
        <v>10859</v>
      </c>
      <c r="AH2353" t="s">
        <v>10861</v>
      </c>
      <c r="AI2353">
        <v>234</v>
      </c>
      <c r="AJ2353" t="s">
        <v>10214</v>
      </c>
      <c r="AL2353">
        <v>0.5</v>
      </c>
      <c r="AM2353" t="s">
        <v>10885</v>
      </c>
      <c r="AN2353" t="s">
        <v>10949</v>
      </c>
      <c r="AO2353" t="s">
        <v>11014</v>
      </c>
      <c r="AP2353" t="s">
        <v>11068</v>
      </c>
      <c r="AR2353" t="s">
        <v>11257</v>
      </c>
      <c r="AS2353" t="s">
        <v>11594</v>
      </c>
      <c r="AT2353" t="s">
        <v>11641</v>
      </c>
      <c r="AX2353" t="s">
        <v>10838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</row>
    <row r="2354" spans="1:59">
      <c r="A2354" s="1">
        <f>HYPERLINK("https://lsnyc.legalserver.org/matter/dynamic-profile/view/1906311","19-1906311")</f>
        <v>0</v>
      </c>
      <c r="B2354" t="s">
        <v>2000</v>
      </c>
      <c r="C2354" t="s">
        <v>6792</v>
      </c>
      <c r="D2354" t="s">
        <v>9932</v>
      </c>
      <c r="E2354" t="s">
        <v>10075</v>
      </c>
      <c r="F2354">
        <v>11368</v>
      </c>
      <c r="G2354" t="s">
        <v>10092</v>
      </c>
      <c r="H2354" t="s">
        <v>10110</v>
      </c>
      <c r="I2354" t="s">
        <v>10169</v>
      </c>
      <c r="J2354" t="s">
        <v>10212</v>
      </c>
      <c r="K2354" t="s">
        <v>10217</v>
      </c>
      <c r="M2354" t="s">
        <v>10355</v>
      </c>
      <c r="N2354" t="s">
        <v>10671</v>
      </c>
      <c r="P2354" t="s">
        <v>10753</v>
      </c>
      <c r="Q2354" t="s">
        <v>10763</v>
      </c>
      <c r="R2354" t="s">
        <v>10821</v>
      </c>
      <c r="T2354">
        <v>2400</v>
      </c>
      <c r="U2354">
        <v>200</v>
      </c>
      <c r="V2354">
        <v>2</v>
      </c>
      <c r="W2354">
        <v>1</v>
      </c>
      <c r="X2354">
        <v>1</v>
      </c>
      <c r="Z2354">
        <v>14.19</v>
      </c>
      <c r="AA2354">
        <v>40.744244</v>
      </c>
      <c r="AB2354">
        <v>-73.85718300000001</v>
      </c>
      <c r="AD2354" t="s">
        <v>10839</v>
      </c>
      <c r="AF2354" t="s">
        <v>10842</v>
      </c>
      <c r="AG2354" t="s">
        <v>10859</v>
      </c>
      <c r="AH2354" t="s">
        <v>10861</v>
      </c>
      <c r="AI2354">
        <v>234</v>
      </c>
      <c r="AJ2354" t="s">
        <v>10214</v>
      </c>
      <c r="AL2354">
        <v>3.5</v>
      </c>
      <c r="AM2354" t="s">
        <v>10885</v>
      </c>
      <c r="AN2354" t="s">
        <v>10949</v>
      </c>
      <c r="AO2354" t="s">
        <v>11014</v>
      </c>
      <c r="AP2354" t="s">
        <v>11068</v>
      </c>
      <c r="AR2354" t="s">
        <v>11257</v>
      </c>
      <c r="AS2354" t="s">
        <v>11594</v>
      </c>
      <c r="AT2354" t="s">
        <v>11641</v>
      </c>
      <c r="AX2354" t="s">
        <v>10838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</row>
    <row r="2355" spans="1:59">
      <c r="A2355" s="1">
        <f>HYPERLINK("https://lsnyc.legalserver.org/matter/dynamic-profile/view/1906312","19-1906312")</f>
        <v>0</v>
      </c>
      <c r="B2355" t="s">
        <v>2001</v>
      </c>
      <c r="C2355" t="s">
        <v>6793</v>
      </c>
      <c r="D2355" t="s">
        <v>9929</v>
      </c>
      <c r="E2355" t="s">
        <v>10075</v>
      </c>
      <c r="F2355">
        <v>10305</v>
      </c>
      <c r="G2355" t="s">
        <v>10088</v>
      </c>
      <c r="H2355" t="s">
        <v>10110</v>
      </c>
      <c r="I2355" t="s">
        <v>10168</v>
      </c>
      <c r="J2355" t="s">
        <v>10208</v>
      </c>
      <c r="K2355" t="s">
        <v>10218</v>
      </c>
      <c r="L2355" t="s">
        <v>10220</v>
      </c>
      <c r="M2355" t="s">
        <v>10255</v>
      </c>
      <c r="N2355" t="s">
        <v>10663</v>
      </c>
      <c r="P2355" t="s">
        <v>10755</v>
      </c>
      <c r="Q2355" t="s">
        <v>10772</v>
      </c>
      <c r="R2355" t="s">
        <v>10827</v>
      </c>
      <c r="T2355">
        <v>39604</v>
      </c>
      <c r="U2355">
        <v>3300.33</v>
      </c>
      <c r="V2355">
        <v>8</v>
      </c>
      <c r="W2355">
        <v>4</v>
      </c>
      <c r="X2355">
        <v>2</v>
      </c>
      <c r="Y2355" t="s">
        <v>10832</v>
      </c>
      <c r="Z2355">
        <v>114.5</v>
      </c>
      <c r="AA2355">
        <v>40.591552</v>
      </c>
      <c r="AB2355">
        <v>-74.074647</v>
      </c>
      <c r="AC2355" t="s">
        <v>10837</v>
      </c>
      <c r="AD2355" t="s">
        <v>10840</v>
      </c>
      <c r="AG2355" t="s">
        <v>10858</v>
      </c>
      <c r="AH2355" t="s">
        <v>10861</v>
      </c>
      <c r="AI2355">
        <v>285</v>
      </c>
      <c r="AJ2355" t="s">
        <v>10208</v>
      </c>
      <c r="AK2355" t="s">
        <v>10838</v>
      </c>
      <c r="AL2355">
        <v>13.2</v>
      </c>
      <c r="AM2355" t="s">
        <v>10883</v>
      </c>
      <c r="AN2355" t="s">
        <v>10915</v>
      </c>
      <c r="AO2355" t="s">
        <v>11006</v>
      </c>
      <c r="AP2355" t="s">
        <v>11063</v>
      </c>
      <c r="AR2355" t="s">
        <v>11358</v>
      </c>
      <c r="AS2355" t="s">
        <v>11593</v>
      </c>
      <c r="AT2355" t="s">
        <v>11642</v>
      </c>
      <c r="AY2355" t="s">
        <v>10832</v>
      </c>
      <c r="AZ2355" t="s">
        <v>11723</v>
      </c>
      <c r="BA2355" t="s">
        <v>11739</v>
      </c>
      <c r="BB2355">
        <v>0</v>
      </c>
      <c r="BC2355">
        <v>0</v>
      </c>
      <c r="BD2355">
        <v>0</v>
      </c>
      <c r="BE2355">
        <v>0</v>
      </c>
      <c r="BF2355">
        <v>4</v>
      </c>
      <c r="BG2355">
        <v>0</v>
      </c>
    </row>
    <row r="2356" spans="1:59">
      <c r="A2356" s="1">
        <f>HYPERLINK("https://lsnyc.legalserver.org/matter/dynamic-profile/view/1906313","19-1906313")</f>
        <v>0</v>
      </c>
      <c r="B2356" t="s">
        <v>930</v>
      </c>
      <c r="C2356" t="s">
        <v>6794</v>
      </c>
      <c r="D2356" t="s">
        <v>9926</v>
      </c>
      <c r="E2356" t="s">
        <v>10075</v>
      </c>
      <c r="F2356">
        <v>10473</v>
      </c>
      <c r="G2356" t="s">
        <v>10090</v>
      </c>
      <c r="H2356" t="s">
        <v>10110</v>
      </c>
      <c r="I2356" t="s">
        <v>10168</v>
      </c>
      <c r="J2356" t="s">
        <v>10210</v>
      </c>
      <c r="K2356" t="s">
        <v>10218</v>
      </c>
      <c r="L2356" t="s">
        <v>10115</v>
      </c>
      <c r="M2356" t="s">
        <v>10510</v>
      </c>
      <c r="N2356" t="s">
        <v>10677</v>
      </c>
      <c r="P2356" t="s">
        <v>10751</v>
      </c>
      <c r="Q2356" t="s">
        <v>10761</v>
      </c>
      <c r="R2356" t="s">
        <v>10824</v>
      </c>
      <c r="T2356">
        <v>10296</v>
      </c>
      <c r="U2356">
        <v>858</v>
      </c>
      <c r="V2356">
        <v>60</v>
      </c>
      <c r="W2356">
        <v>1</v>
      </c>
      <c r="X2356">
        <v>0</v>
      </c>
      <c r="Y2356" t="s">
        <v>10831</v>
      </c>
      <c r="Z2356">
        <v>82.43000000000001</v>
      </c>
      <c r="AA2356">
        <v>40.820461</v>
      </c>
      <c r="AB2356">
        <v>-73.849599</v>
      </c>
      <c r="AC2356" t="s">
        <v>10837</v>
      </c>
      <c r="AD2356" t="s">
        <v>10840</v>
      </c>
      <c r="AG2356" t="s">
        <v>10858</v>
      </c>
      <c r="AH2356" t="s">
        <v>10874</v>
      </c>
      <c r="AI2356">
        <v>230</v>
      </c>
      <c r="AJ2356" t="s">
        <v>10210</v>
      </c>
      <c r="AK2356" t="s">
        <v>10838</v>
      </c>
      <c r="AL2356">
        <v>10.3</v>
      </c>
      <c r="AM2356" t="s">
        <v>10884</v>
      </c>
      <c r="AN2356" t="s">
        <v>10908</v>
      </c>
      <c r="AO2356" t="s">
        <v>11001</v>
      </c>
      <c r="AP2356" t="s">
        <v>11046</v>
      </c>
      <c r="AQ2356" t="s">
        <v>11135</v>
      </c>
      <c r="AR2356" t="s">
        <v>11274</v>
      </c>
      <c r="AS2356" t="s">
        <v>9926</v>
      </c>
      <c r="AY2356" t="s">
        <v>10831</v>
      </c>
      <c r="AZ2356" t="s">
        <v>11688</v>
      </c>
      <c r="BA2356" t="s">
        <v>11740</v>
      </c>
      <c r="BB2356">
        <v>40.93</v>
      </c>
      <c r="BC2356">
        <v>0</v>
      </c>
      <c r="BD2356">
        <v>0</v>
      </c>
      <c r="BE2356">
        <v>0</v>
      </c>
      <c r="BF2356">
        <v>2</v>
      </c>
      <c r="BG2356">
        <v>0</v>
      </c>
    </row>
    <row r="2357" spans="1:59">
      <c r="A2357" s="1">
        <f>HYPERLINK("https://lsnyc.legalserver.org/matter/dynamic-profile/view/1906314","19-1906314")</f>
        <v>0</v>
      </c>
      <c r="B2357" t="s">
        <v>2002</v>
      </c>
      <c r="C2357" t="s">
        <v>6795</v>
      </c>
      <c r="D2357" t="s">
        <v>9925</v>
      </c>
      <c r="E2357" t="s">
        <v>10075</v>
      </c>
      <c r="F2357">
        <v>10025</v>
      </c>
      <c r="G2357" t="s">
        <v>10089</v>
      </c>
      <c r="H2357" t="s">
        <v>10110</v>
      </c>
      <c r="I2357" t="s">
        <v>10168</v>
      </c>
      <c r="J2357" t="s">
        <v>10209</v>
      </c>
      <c r="K2357" t="s">
        <v>10217</v>
      </c>
      <c r="M2357" t="s">
        <v>10288</v>
      </c>
      <c r="N2357" t="s">
        <v>10665</v>
      </c>
      <c r="P2357" t="s">
        <v>10750</v>
      </c>
      <c r="Q2357" t="s">
        <v>10781</v>
      </c>
      <c r="R2357" t="s">
        <v>10823</v>
      </c>
      <c r="T2357">
        <v>7200</v>
      </c>
      <c r="U2357">
        <v>600</v>
      </c>
      <c r="V2357">
        <v>31</v>
      </c>
      <c r="W2357">
        <v>1</v>
      </c>
      <c r="X2357">
        <v>0</v>
      </c>
      <c r="Z2357">
        <v>57.65</v>
      </c>
      <c r="AA2357">
        <v>40.804942</v>
      </c>
      <c r="AB2357">
        <v>-73.964963</v>
      </c>
      <c r="AD2357" t="s">
        <v>10840</v>
      </c>
      <c r="AG2357" t="s">
        <v>10858</v>
      </c>
      <c r="AH2357" t="s">
        <v>10861</v>
      </c>
      <c r="AI2357">
        <v>234</v>
      </c>
      <c r="AJ2357" t="s">
        <v>10214</v>
      </c>
      <c r="AL2357">
        <v>1.9</v>
      </c>
      <c r="AM2357" t="s">
        <v>10894</v>
      </c>
      <c r="AN2357" t="s">
        <v>10953</v>
      </c>
      <c r="AO2357" t="s">
        <v>11016</v>
      </c>
      <c r="AP2357" t="s">
        <v>11073</v>
      </c>
      <c r="AR2357" t="s">
        <v>11257</v>
      </c>
      <c r="AS2357" t="s">
        <v>9925</v>
      </c>
      <c r="AT2357" t="s">
        <v>11642</v>
      </c>
      <c r="AX2357" t="s">
        <v>10838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</row>
    <row r="2358" spans="1:59">
      <c r="A2358" s="1">
        <f>HYPERLINK("https://lsnyc.legalserver.org/matter/dynamic-profile/view/1906315","19-1906315")</f>
        <v>0</v>
      </c>
      <c r="B2358" t="s">
        <v>2003</v>
      </c>
      <c r="C2358" t="s">
        <v>6796</v>
      </c>
      <c r="D2358" t="s">
        <v>9928</v>
      </c>
      <c r="E2358" t="s">
        <v>10075</v>
      </c>
      <c r="F2358">
        <v>11233</v>
      </c>
      <c r="G2358" t="s">
        <v>10093</v>
      </c>
      <c r="H2358" t="s">
        <v>10110</v>
      </c>
      <c r="I2358" t="s">
        <v>10168</v>
      </c>
      <c r="J2358" t="s">
        <v>10213</v>
      </c>
      <c r="K2358" t="s">
        <v>10217</v>
      </c>
      <c r="M2358" t="s">
        <v>10345</v>
      </c>
      <c r="N2358" t="s">
        <v>10650</v>
      </c>
      <c r="P2358" t="s">
        <v>10749</v>
      </c>
      <c r="Q2358" t="s">
        <v>10765</v>
      </c>
      <c r="R2358" t="s">
        <v>10824</v>
      </c>
      <c r="T2358">
        <v>6000</v>
      </c>
      <c r="U2358">
        <v>500</v>
      </c>
      <c r="V2358">
        <v>57</v>
      </c>
      <c r="W2358">
        <v>2</v>
      </c>
      <c r="X2358">
        <v>0</v>
      </c>
      <c r="Z2358">
        <v>35.48</v>
      </c>
      <c r="AA2358">
        <v>40.681605</v>
      </c>
      <c r="AB2358">
        <v>-73.92062</v>
      </c>
      <c r="AD2358" t="s">
        <v>10839</v>
      </c>
      <c r="AG2358" t="s">
        <v>10858</v>
      </c>
      <c r="AH2358" t="s">
        <v>10862</v>
      </c>
      <c r="AI2358">
        <v>239</v>
      </c>
      <c r="AJ2358" t="s">
        <v>10213</v>
      </c>
      <c r="AL2358">
        <v>2.75</v>
      </c>
      <c r="AM2358" t="s">
        <v>10889</v>
      </c>
      <c r="AN2358" t="s">
        <v>10922</v>
      </c>
      <c r="AO2358" t="s">
        <v>11007</v>
      </c>
      <c r="AP2358" t="s">
        <v>11064</v>
      </c>
      <c r="AQ2358" t="s">
        <v>11101</v>
      </c>
      <c r="AR2358" t="s">
        <v>11257</v>
      </c>
      <c r="AS2358" t="s">
        <v>11595</v>
      </c>
      <c r="AT2358" t="s">
        <v>11641</v>
      </c>
      <c r="AX2358" t="s">
        <v>10838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</row>
    <row r="2359" spans="1:59">
      <c r="A2359" s="1">
        <f>HYPERLINK("https://lsnyc.legalserver.org/matter/dynamic-profile/view/1906316","19-1906316")</f>
        <v>0</v>
      </c>
      <c r="B2359" t="s">
        <v>2004</v>
      </c>
      <c r="C2359" t="s">
        <v>6797</v>
      </c>
      <c r="D2359" t="s">
        <v>9938</v>
      </c>
      <c r="E2359" t="s">
        <v>10075</v>
      </c>
      <c r="F2359">
        <v>11434</v>
      </c>
      <c r="G2359" t="s">
        <v>10092</v>
      </c>
      <c r="H2359" t="s">
        <v>10110</v>
      </c>
      <c r="I2359" t="s">
        <v>10168</v>
      </c>
      <c r="J2359" t="s">
        <v>10212</v>
      </c>
      <c r="K2359" t="s">
        <v>10217</v>
      </c>
      <c r="M2359" t="s">
        <v>10311</v>
      </c>
      <c r="N2359" t="s">
        <v>10684</v>
      </c>
      <c r="P2359" t="s">
        <v>10751</v>
      </c>
      <c r="Q2359" t="s">
        <v>10786</v>
      </c>
      <c r="R2359" t="s">
        <v>10824</v>
      </c>
      <c r="T2359">
        <v>26388</v>
      </c>
      <c r="U2359">
        <v>2199</v>
      </c>
      <c r="V2359">
        <v>65</v>
      </c>
      <c r="W2359">
        <v>2</v>
      </c>
      <c r="X2359">
        <v>0</v>
      </c>
      <c r="Z2359">
        <v>156.05</v>
      </c>
      <c r="AA2359">
        <v>40.678028</v>
      </c>
      <c r="AB2359">
        <v>-73.78954299999999</v>
      </c>
      <c r="AD2359" t="s">
        <v>10839</v>
      </c>
      <c r="AG2359" t="s">
        <v>10858</v>
      </c>
      <c r="AH2359" t="s">
        <v>10873</v>
      </c>
      <c r="AI2359">
        <v>237</v>
      </c>
      <c r="AJ2359" t="s">
        <v>10212</v>
      </c>
      <c r="AL2359">
        <v>1</v>
      </c>
      <c r="AM2359" t="s">
        <v>10892</v>
      </c>
      <c r="AN2359" t="s">
        <v>10951</v>
      </c>
      <c r="AO2359" t="s">
        <v>11017</v>
      </c>
      <c r="AP2359" t="s">
        <v>11070</v>
      </c>
      <c r="AR2359" t="s">
        <v>11287</v>
      </c>
      <c r="AS2359" t="s">
        <v>11594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</row>
    <row r="2360" spans="1:59">
      <c r="A2360" s="1">
        <f>HYPERLINK("https://lsnyc.legalserver.org/matter/dynamic-profile/view/1906317","19-1906317")</f>
        <v>0</v>
      </c>
      <c r="B2360" t="s">
        <v>2005</v>
      </c>
      <c r="C2360" t="s">
        <v>6513</v>
      </c>
      <c r="D2360" t="s">
        <v>9926</v>
      </c>
      <c r="E2360" t="s">
        <v>10075</v>
      </c>
      <c r="F2360">
        <v>10457</v>
      </c>
      <c r="G2360" t="s">
        <v>10090</v>
      </c>
      <c r="H2360" t="s">
        <v>10110</v>
      </c>
      <c r="I2360" t="s">
        <v>10168</v>
      </c>
      <c r="J2360" t="s">
        <v>10210</v>
      </c>
      <c r="K2360" t="s">
        <v>10217</v>
      </c>
      <c r="M2360" t="s">
        <v>10349</v>
      </c>
      <c r="N2360" t="s">
        <v>10666</v>
      </c>
      <c r="P2360" t="s">
        <v>10749</v>
      </c>
      <c r="Q2360" t="s">
        <v>10765</v>
      </c>
      <c r="R2360" t="s">
        <v>10821</v>
      </c>
      <c r="T2360">
        <v>12870</v>
      </c>
      <c r="U2360">
        <v>1072.5</v>
      </c>
      <c r="V2360">
        <v>31</v>
      </c>
      <c r="W2360">
        <v>1</v>
      </c>
      <c r="X2360">
        <v>4</v>
      </c>
      <c r="Z2360">
        <v>42.66</v>
      </c>
      <c r="AA2360">
        <v>40.850292</v>
      </c>
      <c r="AB2360">
        <v>-73.885271</v>
      </c>
      <c r="AD2360" t="s">
        <v>10839</v>
      </c>
      <c r="AG2360" t="s">
        <v>10858</v>
      </c>
      <c r="AH2360" t="s">
        <v>10861</v>
      </c>
      <c r="AI2360">
        <v>230</v>
      </c>
      <c r="AJ2360" t="s">
        <v>10210</v>
      </c>
      <c r="AL2360">
        <v>7</v>
      </c>
      <c r="AM2360" t="s">
        <v>10884</v>
      </c>
      <c r="AN2360" t="s">
        <v>10907</v>
      </c>
      <c r="AO2360" t="s">
        <v>11000</v>
      </c>
      <c r="AP2360" t="s">
        <v>11056</v>
      </c>
      <c r="AR2360" t="s">
        <v>11459</v>
      </c>
      <c r="AS2360" t="s">
        <v>9926</v>
      </c>
      <c r="AT2360" t="s">
        <v>11641</v>
      </c>
      <c r="AX2360" t="s">
        <v>10837</v>
      </c>
      <c r="BA2360" t="s">
        <v>11738</v>
      </c>
      <c r="BB2360">
        <v>0</v>
      </c>
      <c r="BC2360">
        <v>0</v>
      </c>
      <c r="BD2360">
        <v>0</v>
      </c>
      <c r="BE2360">
        <v>0</v>
      </c>
      <c r="BF2360">
        <v>5</v>
      </c>
      <c r="BG2360">
        <v>0</v>
      </c>
    </row>
    <row r="2361" spans="1:59">
      <c r="A2361" s="1">
        <f>HYPERLINK("https://lsnyc.legalserver.org/matter/dynamic-profile/view/1906318","19-1906318")</f>
        <v>0</v>
      </c>
      <c r="B2361" t="s">
        <v>1955</v>
      </c>
      <c r="C2361" t="s">
        <v>6798</v>
      </c>
      <c r="D2361" t="s">
        <v>9936</v>
      </c>
      <c r="E2361" t="s">
        <v>10075</v>
      </c>
      <c r="F2361">
        <v>11106</v>
      </c>
      <c r="G2361" t="s">
        <v>10091</v>
      </c>
      <c r="H2361" t="s">
        <v>10110</v>
      </c>
      <c r="I2361" t="s">
        <v>10169</v>
      </c>
      <c r="J2361" t="s">
        <v>10211</v>
      </c>
      <c r="K2361" t="s">
        <v>10217</v>
      </c>
      <c r="M2361" t="s">
        <v>10231</v>
      </c>
      <c r="N2361" t="s">
        <v>10647</v>
      </c>
      <c r="P2361" t="s">
        <v>10752</v>
      </c>
      <c r="Q2361" t="s">
        <v>10762</v>
      </c>
      <c r="R2361" t="s">
        <v>10821</v>
      </c>
      <c r="T2361">
        <v>15600</v>
      </c>
      <c r="U2361">
        <v>1300</v>
      </c>
      <c r="V2361">
        <v>50</v>
      </c>
      <c r="W2361">
        <v>3</v>
      </c>
      <c r="X2361">
        <v>0</v>
      </c>
      <c r="Z2361">
        <v>73.14</v>
      </c>
      <c r="AA2361">
        <v>40.763673</v>
      </c>
      <c r="AB2361">
        <v>-73.93615699999999</v>
      </c>
      <c r="AD2361" t="s">
        <v>10839</v>
      </c>
      <c r="AF2361" t="s">
        <v>10843</v>
      </c>
      <c r="AG2361" t="s">
        <v>10859</v>
      </c>
      <c r="AH2361" t="s">
        <v>10861</v>
      </c>
      <c r="AI2361">
        <v>234</v>
      </c>
      <c r="AJ2361" t="s">
        <v>10214</v>
      </c>
      <c r="AL2361">
        <v>2.95</v>
      </c>
      <c r="AM2361" t="s">
        <v>10891</v>
      </c>
      <c r="AN2361" t="s">
        <v>10961</v>
      </c>
      <c r="AO2361" t="s">
        <v>11003</v>
      </c>
      <c r="AP2361" t="s">
        <v>11047</v>
      </c>
      <c r="AR2361" t="s">
        <v>11262</v>
      </c>
      <c r="AS2361" t="s">
        <v>11594</v>
      </c>
      <c r="AT2361" t="s">
        <v>11641</v>
      </c>
      <c r="AX2361" t="s">
        <v>10838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</row>
    <row r="2362" spans="1:59">
      <c r="A2362" s="1">
        <f>HYPERLINK("https://lsnyc.legalserver.org/matter/dynamic-profile/view/1906320","19-1906320")</f>
        <v>0</v>
      </c>
      <c r="B2362" t="s">
        <v>2006</v>
      </c>
      <c r="C2362" t="s">
        <v>6799</v>
      </c>
      <c r="D2362" t="s">
        <v>9926</v>
      </c>
      <c r="E2362" t="s">
        <v>10075</v>
      </c>
      <c r="F2362">
        <v>10459</v>
      </c>
      <c r="G2362" t="s">
        <v>10090</v>
      </c>
      <c r="H2362" t="s">
        <v>10110</v>
      </c>
      <c r="I2362" t="s">
        <v>10168</v>
      </c>
      <c r="J2362" t="s">
        <v>10210</v>
      </c>
      <c r="K2362" t="s">
        <v>10218</v>
      </c>
      <c r="L2362" t="s">
        <v>10146</v>
      </c>
      <c r="M2362" t="s">
        <v>10336</v>
      </c>
      <c r="N2362" t="s">
        <v>10677</v>
      </c>
      <c r="P2362" t="s">
        <v>10754</v>
      </c>
      <c r="Q2362" t="s">
        <v>10770</v>
      </c>
      <c r="R2362" t="s">
        <v>10826</v>
      </c>
      <c r="T2362">
        <v>0</v>
      </c>
      <c r="U2362">
        <v>0</v>
      </c>
      <c r="V2362">
        <v>61</v>
      </c>
      <c r="W2362">
        <v>1</v>
      </c>
      <c r="X2362">
        <v>0</v>
      </c>
      <c r="Y2362" t="s">
        <v>10829</v>
      </c>
      <c r="Z2362">
        <v>0</v>
      </c>
      <c r="AA2362">
        <v>40.827173</v>
      </c>
      <c r="AB2362">
        <v>-73.888651</v>
      </c>
      <c r="AC2362" t="s">
        <v>10837</v>
      </c>
      <c r="AD2362" t="s">
        <v>10840</v>
      </c>
      <c r="AG2362" t="s">
        <v>10858</v>
      </c>
      <c r="AH2362" t="s">
        <v>10861</v>
      </c>
      <c r="AI2362">
        <v>234</v>
      </c>
      <c r="AJ2362" t="s">
        <v>10214</v>
      </c>
      <c r="AK2362" t="s">
        <v>10882</v>
      </c>
      <c r="AL2362">
        <v>1.8</v>
      </c>
      <c r="AM2362" t="s">
        <v>10884</v>
      </c>
      <c r="AN2362" t="s">
        <v>10968</v>
      </c>
      <c r="AO2362" t="s">
        <v>11001</v>
      </c>
      <c r="AP2362" t="s">
        <v>11062</v>
      </c>
      <c r="AQ2362" t="s">
        <v>11111</v>
      </c>
      <c r="AR2362" t="s">
        <v>11279</v>
      </c>
      <c r="AS2362" t="s">
        <v>9926</v>
      </c>
      <c r="AT2362" t="s">
        <v>11642</v>
      </c>
      <c r="AX2362" t="s">
        <v>10838</v>
      </c>
      <c r="AY2362" t="s">
        <v>10829</v>
      </c>
      <c r="AZ2362" t="s">
        <v>11683</v>
      </c>
      <c r="BA2362" t="s">
        <v>11742</v>
      </c>
      <c r="BB2362">
        <v>0</v>
      </c>
      <c r="BC2362">
        <v>0</v>
      </c>
      <c r="BD2362">
        <v>0</v>
      </c>
      <c r="BE2362">
        <v>0</v>
      </c>
      <c r="BF2362">
        <v>7</v>
      </c>
      <c r="BG2362">
        <v>0</v>
      </c>
    </row>
    <row r="2363" spans="1:59">
      <c r="A2363" s="1">
        <f>HYPERLINK("https://lsnyc.legalserver.org/matter/dynamic-profile/view/1906321","19-1906321")</f>
        <v>0</v>
      </c>
      <c r="B2363" t="s">
        <v>2007</v>
      </c>
      <c r="C2363" t="s">
        <v>6390</v>
      </c>
      <c r="D2363" t="s">
        <v>9926</v>
      </c>
      <c r="E2363" t="s">
        <v>10075</v>
      </c>
      <c r="F2363">
        <v>10455</v>
      </c>
      <c r="G2363" t="s">
        <v>10090</v>
      </c>
      <c r="H2363" t="s">
        <v>10110</v>
      </c>
      <c r="I2363" t="s">
        <v>10168</v>
      </c>
      <c r="J2363" t="s">
        <v>10210</v>
      </c>
      <c r="K2363" t="s">
        <v>10217</v>
      </c>
      <c r="M2363" t="s">
        <v>10334</v>
      </c>
      <c r="N2363" t="s">
        <v>10687</v>
      </c>
      <c r="P2363" t="s">
        <v>10749</v>
      </c>
      <c r="Q2363" t="s">
        <v>10765</v>
      </c>
      <c r="R2363" t="s">
        <v>10821</v>
      </c>
      <c r="T2363">
        <v>3420</v>
      </c>
      <c r="U2363">
        <v>285</v>
      </c>
      <c r="V2363">
        <v>62</v>
      </c>
      <c r="W2363">
        <v>1</v>
      </c>
      <c r="X2363">
        <v>0</v>
      </c>
      <c r="Z2363">
        <v>27.38</v>
      </c>
      <c r="AA2363">
        <v>40.816781</v>
      </c>
      <c r="AB2363">
        <v>-73.904521</v>
      </c>
      <c r="AC2363" t="s">
        <v>10837</v>
      </c>
      <c r="AD2363" t="s">
        <v>10840</v>
      </c>
      <c r="AG2363" t="s">
        <v>10858</v>
      </c>
      <c r="AH2363" t="s">
        <v>10861</v>
      </c>
      <c r="AI2363">
        <v>230</v>
      </c>
      <c r="AJ2363" t="s">
        <v>10210</v>
      </c>
      <c r="AL2363">
        <v>2.75</v>
      </c>
      <c r="AM2363" t="s">
        <v>10884</v>
      </c>
      <c r="AN2363" t="s">
        <v>10924</v>
      </c>
      <c r="AO2363" t="s">
        <v>11013</v>
      </c>
      <c r="AP2363" t="s">
        <v>11062</v>
      </c>
      <c r="AR2363" t="s">
        <v>11255</v>
      </c>
      <c r="AS2363" t="s">
        <v>9926</v>
      </c>
      <c r="AT2363" t="s">
        <v>11642</v>
      </c>
      <c r="AX2363" t="s">
        <v>10838</v>
      </c>
      <c r="BA2363" t="s">
        <v>11744</v>
      </c>
      <c r="BB2363">
        <v>0</v>
      </c>
      <c r="BC2363">
        <v>0</v>
      </c>
      <c r="BD2363">
        <v>0</v>
      </c>
      <c r="BE2363">
        <v>0</v>
      </c>
      <c r="BF2363">
        <v>6</v>
      </c>
      <c r="BG2363">
        <v>0</v>
      </c>
    </row>
    <row r="2364" spans="1:59">
      <c r="A2364" s="1">
        <f>HYPERLINK("https://lsnyc.legalserver.org/matter/dynamic-profile/view/1906323","19-1906323")</f>
        <v>0</v>
      </c>
      <c r="B2364" t="s">
        <v>2005</v>
      </c>
      <c r="C2364" t="s">
        <v>6513</v>
      </c>
      <c r="D2364" t="s">
        <v>9926</v>
      </c>
      <c r="E2364" t="s">
        <v>10075</v>
      </c>
      <c r="F2364">
        <v>10457</v>
      </c>
      <c r="G2364" t="s">
        <v>10090</v>
      </c>
      <c r="H2364" t="s">
        <v>10110</v>
      </c>
      <c r="I2364" t="s">
        <v>10168</v>
      </c>
      <c r="J2364" t="s">
        <v>10210</v>
      </c>
      <c r="K2364" t="s">
        <v>10217</v>
      </c>
      <c r="M2364" t="s">
        <v>10353</v>
      </c>
      <c r="N2364" t="s">
        <v>10671</v>
      </c>
      <c r="P2364" t="s">
        <v>10751</v>
      </c>
      <c r="Q2364" t="s">
        <v>10761</v>
      </c>
      <c r="R2364" t="s">
        <v>10821</v>
      </c>
      <c r="T2364">
        <v>11792</v>
      </c>
      <c r="U2364">
        <v>982.67</v>
      </c>
      <c r="V2364">
        <v>31</v>
      </c>
      <c r="W2364">
        <v>1</v>
      </c>
      <c r="X2364">
        <v>4</v>
      </c>
      <c r="Z2364">
        <v>39.09</v>
      </c>
      <c r="AA2364">
        <v>40.850292</v>
      </c>
      <c r="AB2364">
        <v>-73.885271</v>
      </c>
      <c r="AD2364" t="s">
        <v>10839</v>
      </c>
      <c r="AG2364" t="s">
        <v>10858</v>
      </c>
      <c r="AH2364" t="s">
        <v>10861</v>
      </c>
      <c r="AI2364">
        <v>230</v>
      </c>
      <c r="AJ2364" t="s">
        <v>10210</v>
      </c>
      <c r="AL2364">
        <v>0</v>
      </c>
      <c r="AM2364" t="s">
        <v>10884</v>
      </c>
      <c r="AN2364" t="s">
        <v>10907</v>
      </c>
      <c r="AO2364" t="s">
        <v>11000</v>
      </c>
      <c r="AP2364" t="s">
        <v>11056</v>
      </c>
      <c r="AR2364" t="s">
        <v>11459</v>
      </c>
      <c r="AS2364" t="s">
        <v>9926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</row>
    <row r="2365" spans="1:59">
      <c r="A2365" s="1">
        <f>HYPERLINK("https://lsnyc.legalserver.org/matter/dynamic-profile/view/1906324","19-1906324")</f>
        <v>0</v>
      </c>
      <c r="B2365" t="s">
        <v>2008</v>
      </c>
      <c r="C2365" t="s">
        <v>6800</v>
      </c>
      <c r="D2365" t="s">
        <v>9925</v>
      </c>
      <c r="E2365" t="s">
        <v>10075</v>
      </c>
      <c r="F2365">
        <v>10027</v>
      </c>
      <c r="G2365" t="s">
        <v>10089</v>
      </c>
      <c r="H2365" t="s">
        <v>10110</v>
      </c>
      <c r="I2365" t="s">
        <v>10168</v>
      </c>
      <c r="J2365" t="s">
        <v>10209</v>
      </c>
      <c r="K2365" t="s">
        <v>10217</v>
      </c>
      <c r="M2365" t="s">
        <v>10431</v>
      </c>
      <c r="N2365" t="s">
        <v>10703</v>
      </c>
      <c r="P2365" t="s">
        <v>10749</v>
      </c>
      <c r="Q2365" t="s">
        <v>10767</v>
      </c>
      <c r="R2365" t="s">
        <v>10824</v>
      </c>
      <c r="T2365">
        <v>18000</v>
      </c>
      <c r="U2365">
        <v>1500</v>
      </c>
      <c r="V2365">
        <v>48</v>
      </c>
      <c r="W2365">
        <v>1</v>
      </c>
      <c r="X2365">
        <v>2</v>
      </c>
      <c r="Z2365">
        <v>84.39</v>
      </c>
      <c r="AA2365">
        <v>40.815288</v>
      </c>
      <c r="AB2365">
        <v>-73.948542</v>
      </c>
      <c r="AD2365" t="s">
        <v>10839</v>
      </c>
      <c r="AG2365" t="s">
        <v>10858</v>
      </c>
      <c r="AH2365" t="s">
        <v>10862</v>
      </c>
      <c r="AI2365">
        <v>236</v>
      </c>
      <c r="AJ2365" t="s">
        <v>10209</v>
      </c>
      <c r="AL2365">
        <v>4.75</v>
      </c>
      <c r="AM2365" t="s">
        <v>10887</v>
      </c>
      <c r="AN2365" t="s">
        <v>10936</v>
      </c>
      <c r="AO2365" t="s">
        <v>11016</v>
      </c>
      <c r="AP2365" t="s">
        <v>11076</v>
      </c>
      <c r="AQ2365" t="s">
        <v>11144</v>
      </c>
      <c r="AR2365" t="s">
        <v>11263</v>
      </c>
      <c r="AS2365" t="s">
        <v>9925</v>
      </c>
      <c r="AT2365" t="s">
        <v>11641</v>
      </c>
      <c r="BA2365" t="s">
        <v>11738</v>
      </c>
      <c r="BB2365">
        <v>0</v>
      </c>
      <c r="BC2365">
        <v>0</v>
      </c>
      <c r="BD2365">
        <v>0</v>
      </c>
      <c r="BE2365">
        <v>0</v>
      </c>
      <c r="BF2365">
        <v>5</v>
      </c>
      <c r="BG2365">
        <v>0</v>
      </c>
    </row>
    <row r="2366" spans="1:59">
      <c r="A2366" s="1">
        <f>HYPERLINK("https://lsnyc.legalserver.org/matter/dynamic-profile/view/1906325","19-1906325")</f>
        <v>0</v>
      </c>
      <c r="B2366" t="s">
        <v>2009</v>
      </c>
      <c r="C2366" t="s">
        <v>6801</v>
      </c>
      <c r="D2366" t="s">
        <v>9928</v>
      </c>
      <c r="E2366" t="s">
        <v>10075</v>
      </c>
      <c r="F2366">
        <v>11234</v>
      </c>
      <c r="G2366" t="s">
        <v>10093</v>
      </c>
      <c r="H2366" t="s">
        <v>10110</v>
      </c>
      <c r="I2366" t="s">
        <v>10168</v>
      </c>
      <c r="J2366" t="s">
        <v>10213</v>
      </c>
      <c r="K2366" t="s">
        <v>10217</v>
      </c>
      <c r="M2366" t="s">
        <v>10565</v>
      </c>
      <c r="N2366" t="s">
        <v>10664</v>
      </c>
      <c r="P2366" t="s">
        <v>10749</v>
      </c>
      <c r="Q2366" t="s">
        <v>10765</v>
      </c>
      <c r="R2366" t="s">
        <v>10824</v>
      </c>
      <c r="T2366">
        <v>0</v>
      </c>
      <c r="U2366">
        <v>0</v>
      </c>
      <c r="V2366">
        <v>39</v>
      </c>
      <c r="W2366">
        <v>2</v>
      </c>
      <c r="X2366">
        <v>3</v>
      </c>
      <c r="Z2366">
        <v>0</v>
      </c>
      <c r="AA2366">
        <v>40.635088</v>
      </c>
      <c r="AB2366">
        <v>-73.926177</v>
      </c>
      <c r="AD2366" t="s">
        <v>10839</v>
      </c>
      <c r="AF2366" t="s">
        <v>10843</v>
      </c>
      <c r="AG2366" t="s">
        <v>10859</v>
      </c>
      <c r="AH2366" t="s">
        <v>10861</v>
      </c>
      <c r="AI2366">
        <v>239</v>
      </c>
      <c r="AJ2366" t="s">
        <v>10213</v>
      </c>
      <c r="AL2366">
        <v>0</v>
      </c>
      <c r="AM2366" t="s">
        <v>10889</v>
      </c>
      <c r="AN2366" t="s">
        <v>10957</v>
      </c>
      <c r="AO2366" t="s">
        <v>11008</v>
      </c>
      <c r="AP2366" t="s">
        <v>11072</v>
      </c>
      <c r="AR2366" t="s">
        <v>11279</v>
      </c>
      <c r="AS2366" t="s">
        <v>11595</v>
      </c>
      <c r="BA2366" t="s">
        <v>11742</v>
      </c>
      <c r="BB2366">
        <v>0</v>
      </c>
      <c r="BC2366">
        <v>0</v>
      </c>
      <c r="BD2366">
        <v>0</v>
      </c>
      <c r="BE2366">
        <v>0</v>
      </c>
      <c r="BF2366">
        <v>7</v>
      </c>
      <c r="BG2366">
        <v>0</v>
      </c>
    </row>
    <row r="2367" spans="1:59">
      <c r="A2367" s="1">
        <f>HYPERLINK("https://lsnyc.legalserver.org/matter/dynamic-profile/view/1906326","19-1906326")</f>
        <v>0</v>
      </c>
      <c r="B2367" t="s">
        <v>2010</v>
      </c>
      <c r="C2367" t="s">
        <v>6802</v>
      </c>
      <c r="D2367" t="s">
        <v>9926</v>
      </c>
      <c r="E2367" t="s">
        <v>10075</v>
      </c>
      <c r="F2367">
        <v>10474</v>
      </c>
      <c r="G2367" t="s">
        <v>10090</v>
      </c>
      <c r="H2367" t="s">
        <v>10110</v>
      </c>
      <c r="I2367" t="s">
        <v>10168</v>
      </c>
      <c r="J2367" t="s">
        <v>10210</v>
      </c>
      <c r="K2367" t="s">
        <v>10217</v>
      </c>
      <c r="M2367" t="s">
        <v>10569</v>
      </c>
      <c r="N2367" t="s">
        <v>10724</v>
      </c>
      <c r="P2367" t="s">
        <v>10751</v>
      </c>
      <c r="Q2367" t="s">
        <v>10780</v>
      </c>
      <c r="R2367" t="s">
        <v>10825</v>
      </c>
      <c r="T2367">
        <v>3120</v>
      </c>
      <c r="U2367">
        <v>260</v>
      </c>
      <c r="V2367">
        <v>42</v>
      </c>
      <c r="W2367">
        <v>3</v>
      </c>
      <c r="X2367">
        <v>1</v>
      </c>
      <c r="Z2367">
        <v>12.12</v>
      </c>
      <c r="AA2367">
        <v>40.811579</v>
      </c>
      <c r="AB2367">
        <v>-73.88695800000001</v>
      </c>
      <c r="AD2367" t="s">
        <v>10839</v>
      </c>
      <c r="AG2367" t="s">
        <v>10858</v>
      </c>
      <c r="AH2367" t="s">
        <v>10866</v>
      </c>
      <c r="AI2367">
        <v>230</v>
      </c>
      <c r="AJ2367" t="s">
        <v>10210</v>
      </c>
      <c r="AL2367">
        <v>5.9</v>
      </c>
      <c r="AM2367" t="s">
        <v>10884</v>
      </c>
      <c r="AN2367" t="s">
        <v>10924</v>
      </c>
      <c r="AO2367" t="s">
        <v>11002</v>
      </c>
      <c r="AP2367" t="s">
        <v>11062</v>
      </c>
      <c r="AR2367" t="s">
        <v>11255</v>
      </c>
      <c r="AS2367" t="s">
        <v>9926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</row>
    <row r="2368" spans="1:59">
      <c r="A2368" s="1">
        <f>HYPERLINK("https://lsnyc.legalserver.org/matter/dynamic-profile/view/1906327","19-1906327")</f>
        <v>0</v>
      </c>
      <c r="B2368" t="s">
        <v>1241</v>
      </c>
      <c r="C2368" t="s">
        <v>5601</v>
      </c>
      <c r="D2368" t="s">
        <v>9926</v>
      </c>
      <c r="E2368" t="s">
        <v>10075</v>
      </c>
      <c r="F2368">
        <v>10453</v>
      </c>
      <c r="G2368" t="s">
        <v>10090</v>
      </c>
      <c r="H2368" t="s">
        <v>10110</v>
      </c>
      <c r="I2368" t="s">
        <v>10169</v>
      </c>
      <c r="J2368" t="s">
        <v>10210</v>
      </c>
      <c r="K2368" t="s">
        <v>10217</v>
      </c>
      <c r="M2368" t="s">
        <v>10540</v>
      </c>
      <c r="N2368" t="s">
        <v>10727</v>
      </c>
      <c r="P2368" t="s">
        <v>10753</v>
      </c>
      <c r="Q2368" t="s">
        <v>10809</v>
      </c>
      <c r="R2368" t="s">
        <v>10821</v>
      </c>
      <c r="T2368">
        <v>0</v>
      </c>
      <c r="U2368">
        <v>0</v>
      </c>
      <c r="V2368">
        <v>60</v>
      </c>
      <c r="W2368">
        <v>2</v>
      </c>
      <c r="X2368">
        <v>1</v>
      </c>
      <c r="Z2368">
        <v>0</v>
      </c>
      <c r="AA2368">
        <v>40.846849</v>
      </c>
      <c r="AB2368">
        <v>-73.90953500000001</v>
      </c>
      <c r="AD2368" t="s">
        <v>10839</v>
      </c>
      <c r="AF2368" t="s">
        <v>10843</v>
      </c>
      <c r="AG2368" t="s">
        <v>10859</v>
      </c>
      <c r="AH2368" t="s">
        <v>10862</v>
      </c>
      <c r="AI2368">
        <v>230</v>
      </c>
      <c r="AJ2368" t="s">
        <v>10210</v>
      </c>
      <c r="AL2368">
        <v>1.5</v>
      </c>
      <c r="AM2368" t="s">
        <v>10884</v>
      </c>
      <c r="AN2368" t="s">
        <v>10931</v>
      </c>
      <c r="AO2368" t="s">
        <v>11000</v>
      </c>
      <c r="AP2368" t="s">
        <v>11045</v>
      </c>
      <c r="AQ2368" t="s">
        <v>11180</v>
      </c>
      <c r="AR2368" t="s">
        <v>11267</v>
      </c>
      <c r="AS2368" t="s">
        <v>9926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</row>
    <row r="2369" spans="1:59">
      <c r="A2369" s="1">
        <f>HYPERLINK("https://lsnyc.legalserver.org/matter/dynamic-profile/view/1906328","19-1906328")</f>
        <v>0</v>
      </c>
      <c r="B2369" t="s">
        <v>2011</v>
      </c>
      <c r="C2369" t="s">
        <v>6803</v>
      </c>
      <c r="D2369" t="s">
        <v>9928</v>
      </c>
      <c r="E2369" t="s">
        <v>10075</v>
      </c>
      <c r="F2369">
        <v>11212</v>
      </c>
      <c r="G2369" t="s">
        <v>10093</v>
      </c>
      <c r="H2369" t="s">
        <v>10110</v>
      </c>
      <c r="I2369" t="s">
        <v>10168</v>
      </c>
      <c r="J2369" t="s">
        <v>10213</v>
      </c>
      <c r="K2369" t="s">
        <v>10217</v>
      </c>
      <c r="M2369" t="s">
        <v>10481</v>
      </c>
      <c r="N2369" t="s">
        <v>10650</v>
      </c>
      <c r="P2369" t="s">
        <v>10749</v>
      </c>
      <c r="Q2369" t="s">
        <v>10765</v>
      </c>
      <c r="R2369" t="s">
        <v>10824</v>
      </c>
      <c r="T2369">
        <v>15600</v>
      </c>
      <c r="U2369">
        <v>1300</v>
      </c>
      <c r="V2369">
        <v>30</v>
      </c>
      <c r="W2369">
        <v>2</v>
      </c>
      <c r="X2369">
        <v>2</v>
      </c>
      <c r="Z2369">
        <v>60.58</v>
      </c>
      <c r="AA2369">
        <v>40.669255</v>
      </c>
      <c r="AB2369">
        <v>-73.907438</v>
      </c>
      <c r="AD2369" t="s">
        <v>10839</v>
      </c>
      <c r="AG2369" t="s">
        <v>10858</v>
      </c>
      <c r="AH2369" t="s">
        <v>10861</v>
      </c>
      <c r="AI2369">
        <v>234</v>
      </c>
      <c r="AJ2369" t="s">
        <v>10214</v>
      </c>
      <c r="AK2369" t="s">
        <v>10838</v>
      </c>
      <c r="AL2369">
        <v>1</v>
      </c>
      <c r="AM2369" t="s">
        <v>10889</v>
      </c>
      <c r="AN2369" t="s">
        <v>10922</v>
      </c>
      <c r="AO2369" t="s">
        <v>11005</v>
      </c>
      <c r="AP2369" t="s">
        <v>11064</v>
      </c>
      <c r="AQ2369" t="s">
        <v>11101</v>
      </c>
      <c r="AR2369" t="s">
        <v>11262</v>
      </c>
      <c r="AS2369" t="s">
        <v>11595</v>
      </c>
      <c r="AT2369" t="s">
        <v>11641</v>
      </c>
      <c r="AX2369" t="s">
        <v>10838</v>
      </c>
      <c r="AZ2369" t="s">
        <v>11681</v>
      </c>
      <c r="BA2369" t="s">
        <v>11741</v>
      </c>
      <c r="BB2369">
        <v>0</v>
      </c>
      <c r="BC2369">
        <v>0</v>
      </c>
      <c r="BD2369">
        <v>0</v>
      </c>
      <c r="BE2369">
        <v>0</v>
      </c>
      <c r="BF2369">
        <v>1</v>
      </c>
      <c r="BG2369">
        <v>0</v>
      </c>
    </row>
    <row r="2370" spans="1:59">
      <c r="A2370" s="1">
        <f>HYPERLINK("https://lsnyc.legalserver.org/matter/dynamic-profile/view/1906329","19-1906329")</f>
        <v>0</v>
      </c>
      <c r="B2370" t="s">
        <v>2012</v>
      </c>
      <c r="C2370" t="s">
        <v>6804</v>
      </c>
      <c r="D2370" t="s">
        <v>9928</v>
      </c>
      <c r="E2370" t="s">
        <v>10075</v>
      </c>
      <c r="F2370">
        <v>11208</v>
      </c>
      <c r="G2370" t="s">
        <v>10093</v>
      </c>
      <c r="H2370" t="s">
        <v>10110</v>
      </c>
      <c r="I2370" t="s">
        <v>10169</v>
      </c>
      <c r="J2370" t="s">
        <v>10213</v>
      </c>
      <c r="K2370" t="s">
        <v>10217</v>
      </c>
      <c r="M2370" t="s">
        <v>10358</v>
      </c>
      <c r="N2370" t="s">
        <v>10646</v>
      </c>
      <c r="P2370" t="s">
        <v>10752</v>
      </c>
      <c r="Q2370" t="s">
        <v>10783</v>
      </c>
      <c r="R2370" t="s">
        <v>10826</v>
      </c>
      <c r="T2370">
        <v>43680</v>
      </c>
      <c r="U2370">
        <v>3640</v>
      </c>
      <c r="V2370">
        <v>59</v>
      </c>
      <c r="W2370">
        <v>1</v>
      </c>
      <c r="X2370">
        <v>0</v>
      </c>
      <c r="Z2370">
        <v>349.72</v>
      </c>
      <c r="AA2370">
        <v>40.683868</v>
      </c>
      <c r="AB2370">
        <v>-73.87306700000001</v>
      </c>
      <c r="AD2370" t="s">
        <v>10839</v>
      </c>
      <c r="AG2370" t="s">
        <v>10858</v>
      </c>
      <c r="AH2370" t="s">
        <v>10861</v>
      </c>
      <c r="AI2370">
        <v>234</v>
      </c>
      <c r="AJ2370" t="s">
        <v>10214</v>
      </c>
      <c r="AL2370">
        <v>0.7</v>
      </c>
      <c r="AM2370" t="s">
        <v>10886</v>
      </c>
      <c r="AN2370" t="s">
        <v>10920</v>
      </c>
      <c r="AO2370" t="s">
        <v>11011</v>
      </c>
      <c r="AP2370" t="s">
        <v>11058</v>
      </c>
      <c r="AR2370" t="s">
        <v>11257</v>
      </c>
      <c r="AS2370" t="s">
        <v>11595</v>
      </c>
      <c r="AT2370" t="s">
        <v>11641</v>
      </c>
      <c r="AX2370" t="s">
        <v>10838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</row>
    <row r="2371" spans="1:59">
      <c r="A2371" s="1">
        <f>HYPERLINK("https://lsnyc.legalserver.org/matter/dynamic-profile/view/1906330","19-1906330")</f>
        <v>0</v>
      </c>
      <c r="B2371" t="s">
        <v>2013</v>
      </c>
      <c r="C2371" t="s">
        <v>6805</v>
      </c>
      <c r="D2371" t="s">
        <v>9925</v>
      </c>
      <c r="E2371" t="s">
        <v>10075</v>
      </c>
      <c r="F2371">
        <v>10026</v>
      </c>
      <c r="G2371" t="s">
        <v>10089</v>
      </c>
      <c r="H2371" t="s">
        <v>10110</v>
      </c>
      <c r="I2371" t="s">
        <v>10168</v>
      </c>
      <c r="J2371" t="s">
        <v>10209</v>
      </c>
      <c r="K2371" t="s">
        <v>10217</v>
      </c>
      <c r="M2371" t="s">
        <v>10388</v>
      </c>
      <c r="N2371" t="s">
        <v>10703</v>
      </c>
      <c r="P2371" t="s">
        <v>10749</v>
      </c>
      <c r="Q2371" t="s">
        <v>10765</v>
      </c>
      <c r="R2371" t="s">
        <v>10824</v>
      </c>
      <c r="T2371">
        <v>10000</v>
      </c>
      <c r="U2371">
        <v>833.33</v>
      </c>
      <c r="V2371">
        <v>36</v>
      </c>
      <c r="W2371">
        <v>1</v>
      </c>
      <c r="X2371">
        <v>0</v>
      </c>
      <c r="Z2371">
        <v>80.06</v>
      </c>
      <c r="AA2371">
        <v>40.80482</v>
      </c>
      <c r="AB2371">
        <v>-73.954764</v>
      </c>
      <c r="AD2371" t="s">
        <v>10839</v>
      </c>
      <c r="AG2371" t="s">
        <v>10858</v>
      </c>
      <c r="AH2371" t="s">
        <v>10862</v>
      </c>
      <c r="AI2371">
        <v>236</v>
      </c>
      <c r="AJ2371" t="s">
        <v>10209</v>
      </c>
      <c r="AL2371">
        <v>6.3</v>
      </c>
      <c r="AM2371" t="s">
        <v>10887</v>
      </c>
      <c r="AN2371" t="s">
        <v>10936</v>
      </c>
      <c r="AO2371" t="s">
        <v>11016</v>
      </c>
      <c r="AP2371" t="s">
        <v>11076</v>
      </c>
      <c r="AR2371" t="s">
        <v>11276</v>
      </c>
      <c r="AS2371" t="s">
        <v>9925</v>
      </c>
      <c r="BA2371" t="s">
        <v>11742</v>
      </c>
      <c r="BB2371">
        <v>0</v>
      </c>
      <c r="BC2371">
        <v>0</v>
      </c>
      <c r="BD2371">
        <v>0</v>
      </c>
      <c r="BE2371">
        <v>0</v>
      </c>
      <c r="BF2371">
        <v>7</v>
      </c>
      <c r="BG2371">
        <v>0</v>
      </c>
    </row>
    <row r="2372" spans="1:59">
      <c r="A2372" s="1">
        <f>HYPERLINK("https://lsnyc.legalserver.org/matter/dynamic-profile/view/1906331","19-1906331")</f>
        <v>0</v>
      </c>
      <c r="B2372" t="s">
        <v>2014</v>
      </c>
      <c r="C2372" t="s">
        <v>6806</v>
      </c>
      <c r="D2372" t="s">
        <v>9926</v>
      </c>
      <c r="E2372" t="s">
        <v>10075</v>
      </c>
      <c r="F2372">
        <v>10462</v>
      </c>
      <c r="G2372" t="s">
        <v>10090</v>
      </c>
      <c r="H2372" t="s">
        <v>10110</v>
      </c>
      <c r="I2372" t="s">
        <v>10168</v>
      </c>
      <c r="J2372" t="s">
        <v>10210</v>
      </c>
      <c r="K2372" t="s">
        <v>10217</v>
      </c>
      <c r="M2372" t="s">
        <v>10417</v>
      </c>
      <c r="N2372" t="s">
        <v>10646</v>
      </c>
      <c r="P2372" t="s">
        <v>10749</v>
      </c>
      <c r="Q2372" t="s">
        <v>10765</v>
      </c>
      <c r="R2372" t="s">
        <v>10824</v>
      </c>
      <c r="T2372">
        <v>25188</v>
      </c>
      <c r="U2372">
        <v>2099</v>
      </c>
      <c r="V2372">
        <v>79</v>
      </c>
      <c r="W2372">
        <v>1</v>
      </c>
      <c r="X2372">
        <v>0</v>
      </c>
      <c r="Z2372">
        <v>201.67</v>
      </c>
      <c r="AA2372">
        <v>40.840255</v>
      </c>
      <c r="AB2372">
        <v>-73.85978799999999</v>
      </c>
      <c r="AC2372" t="s">
        <v>10837</v>
      </c>
      <c r="AD2372" t="s">
        <v>10840</v>
      </c>
      <c r="AG2372" t="s">
        <v>10858</v>
      </c>
      <c r="AH2372" t="s">
        <v>10862</v>
      </c>
      <c r="AI2372">
        <v>230</v>
      </c>
      <c r="AJ2372" t="s">
        <v>10210</v>
      </c>
      <c r="AL2372">
        <v>25.1</v>
      </c>
      <c r="AM2372" t="s">
        <v>10885</v>
      </c>
      <c r="AN2372" t="s">
        <v>10908</v>
      </c>
      <c r="AO2372" t="s">
        <v>11001</v>
      </c>
      <c r="AP2372" t="s">
        <v>11046</v>
      </c>
      <c r="AR2372" t="s">
        <v>11253</v>
      </c>
      <c r="AS2372" t="s">
        <v>9926</v>
      </c>
      <c r="AT2372" t="s">
        <v>11642</v>
      </c>
      <c r="AX2372" t="s">
        <v>10837</v>
      </c>
      <c r="BA2372" t="s">
        <v>11738</v>
      </c>
      <c r="BB2372">
        <v>0</v>
      </c>
      <c r="BC2372">
        <v>0</v>
      </c>
      <c r="BD2372">
        <v>0</v>
      </c>
      <c r="BE2372">
        <v>0</v>
      </c>
      <c r="BF2372">
        <v>5</v>
      </c>
      <c r="BG2372">
        <v>0</v>
      </c>
    </row>
    <row r="2373" spans="1:59">
      <c r="A2373" s="1">
        <f>HYPERLINK("https://lsnyc.legalserver.org/matter/dynamic-profile/view/1906333","19-1906333")</f>
        <v>0</v>
      </c>
      <c r="B2373" t="s">
        <v>2015</v>
      </c>
      <c r="C2373" t="s">
        <v>6807</v>
      </c>
      <c r="D2373" t="s">
        <v>9925</v>
      </c>
      <c r="E2373" t="s">
        <v>10075</v>
      </c>
      <c r="F2373">
        <v>10039</v>
      </c>
      <c r="G2373" t="s">
        <v>10089</v>
      </c>
      <c r="H2373" t="s">
        <v>10110</v>
      </c>
      <c r="I2373" t="s">
        <v>10168</v>
      </c>
      <c r="J2373" t="s">
        <v>10209</v>
      </c>
      <c r="K2373" t="s">
        <v>10218</v>
      </c>
      <c r="L2373" t="s">
        <v>10111</v>
      </c>
      <c r="M2373" t="s">
        <v>10270</v>
      </c>
      <c r="N2373" t="s">
        <v>10671</v>
      </c>
      <c r="P2373" t="s">
        <v>10754</v>
      </c>
      <c r="Q2373" t="s">
        <v>10770</v>
      </c>
      <c r="R2373" t="s">
        <v>10824</v>
      </c>
      <c r="T2373">
        <v>2964</v>
      </c>
      <c r="U2373">
        <v>247</v>
      </c>
      <c r="V2373">
        <v>45</v>
      </c>
      <c r="W2373">
        <v>1</v>
      </c>
      <c r="X2373">
        <v>0</v>
      </c>
      <c r="Y2373" t="s">
        <v>10829</v>
      </c>
      <c r="Z2373">
        <v>23.73</v>
      </c>
      <c r="AA2373">
        <v>40.827683</v>
      </c>
      <c r="AB2373">
        <v>-73.93650700000001</v>
      </c>
      <c r="AD2373" t="s">
        <v>10840</v>
      </c>
      <c r="AG2373" t="s">
        <v>10858</v>
      </c>
      <c r="AH2373" t="s">
        <v>10861</v>
      </c>
      <c r="AI2373">
        <v>234</v>
      </c>
      <c r="AJ2373" t="s">
        <v>10214</v>
      </c>
      <c r="AK2373" t="s">
        <v>10837</v>
      </c>
      <c r="AL2373">
        <v>1.4</v>
      </c>
      <c r="AR2373" t="s">
        <v>11311</v>
      </c>
      <c r="AS2373" t="s">
        <v>9925</v>
      </c>
      <c r="AT2373" t="s">
        <v>11642</v>
      </c>
      <c r="AX2373" t="s">
        <v>10838</v>
      </c>
      <c r="AY2373" t="s">
        <v>10829</v>
      </c>
      <c r="AZ2373" t="s">
        <v>11683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</row>
    <row r="2374" spans="1:59">
      <c r="A2374" s="1">
        <f>HYPERLINK("https://lsnyc.legalserver.org/matter/dynamic-profile/view/1906334","19-1906334")</f>
        <v>0</v>
      </c>
      <c r="B2374" t="s">
        <v>2016</v>
      </c>
      <c r="C2374" t="s">
        <v>6808</v>
      </c>
      <c r="D2374" t="s">
        <v>9928</v>
      </c>
      <c r="E2374" t="s">
        <v>10075</v>
      </c>
      <c r="F2374">
        <v>11225</v>
      </c>
      <c r="G2374" t="s">
        <v>10093</v>
      </c>
      <c r="H2374" t="s">
        <v>10110</v>
      </c>
      <c r="I2374" t="s">
        <v>10168</v>
      </c>
      <c r="J2374" t="s">
        <v>10213</v>
      </c>
      <c r="K2374" t="s">
        <v>10217</v>
      </c>
      <c r="M2374" t="s">
        <v>10570</v>
      </c>
      <c r="N2374" t="s">
        <v>10667</v>
      </c>
      <c r="P2374" t="s">
        <v>10749</v>
      </c>
      <c r="Q2374" t="s">
        <v>10765</v>
      </c>
      <c r="R2374" t="s">
        <v>10824</v>
      </c>
      <c r="T2374">
        <v>26000</v>
      </c>
      <c r="U2374">
        <v>2166.67</v>
      </c>
      <c r="V2374">
        <v>54</v>
      </c>
      <c r="W2374">
        <v>1</v>
      </c>
      <c r="X2374">
        <v>0</v>
      </c>
      <c r="Z2374">
        <v>208.17</v>
      </c>
      <c r="AA2374">
        <v>40.669265</v>
      </c>
      <c r="AB2374">
        <v>-73.957309</v>
      </c>
      <c r="AD2374" t="s">
        <v>10839</v>
      </c>
      <c r="AG2374" t="s">
        <v>10858</v>
      </c>
      <c r="AH2374" t="s">
        <v>10862</v>
      </c>
      <c r="AI2374">
        <v>239</v>
      </c>
      <c r="AJ2374" t="s">
        <v>10213</v>
      </c>
      <c r="AL2374">
        <v>7.5</v>
      </c>
      <c r="AM2374" t="s">
        <v>10888</v>
      </c>
      <c r="AN2374" t="s">
        <v>10923</v>
      </c>
      <c r="AO2374" t="s">
        <v>11005</v>
      </c>
      <c r="AP2374" t="s">
        <v>11061</v>
      </c>
      <c r="AR2374" t="s">
        <v>11257</v>
      </c>
      <c r="AS2374" t="s">
        <v>11595</v>
      </c>
      <c r="BA2374" t="s">
        <v>11738</v>
      </c>
      <c r="BB2374">
        <v>0</v>
      </c>
      <c r="BC2374">
        <v>0</v>
      </c>
      <c r="BD2374">
        <v>0</v>
      </c>
      <c r="BE2374">
        <v>0</v>
      </c>
      <c r="BF2374">
        <v>5</v>
      </c>
      <c r="BG2374">
        <v>0</v>
      </c>
    </row>
    <row r="2375" spans="1:59">
      <c r="A2375" s="1">
        <f>HYPERLINK("https://lsnyc.legalserver.org/matter/dynamic-profile/view/1906339","19-1906339")</f>
        <v>0</v>
      </c>
      <c r="B2375" t="s">
        <v>2017</v>
      </c>
      <c r="C2375" t="s">
        <v>6809</v>
      </c>
      <c r="D2375" t="s">
        <v>9928</v>
      </c>
      <c r="E2375" t="s">
        <v>10075</v>
      </c>
      <c r="F2375">
        <v>11225</v>
      </c>
      <c r="G2375" t="s">
        <v>10093</v>
      </c>
      <c r="H2375" t="s">
        <v>10110</v>
      </c>
      <c r="I2375" t="s">
        <v>10168</v>
      </c>
      <c r="J2375" t="s">
        <v>10213</v>
      </c>
      <c r="K2375" t="s">
        <v>10217</v>
      </c>
      <c r="M2375" t="s">
        <v>10245</v>
      </c>
      <c r="N2375" t="s">
        <v>10667</v>
      </c>
      <c r="P2375" t="s">
        <v>10749</v>
      </c>
      <c r="Q2375" t="s">
        <v>10765</v>
      </c>
      <c r="R2375" t="s">
        <v>10824</v>
      </c>
      <c r="T2375">
        <v>23400</v>
      </c>
      <c r="U2375">
        <v>1950</v>
      </c>
      <c r="V2375">
        <v>38</v>
      </c>
      <c r="W2375">
        <v>1</v>
      </c>
      <c r="X2375">
        <v>0</v>
      </c>
      <c r="Z2375">
        <v>187.35</v>
      </c>
      <c r="AA2375">
        <v>40.66304</v>
      </c>
      <c r="AB2375">
        <v>-73.944524</v>
      </c>
      <c r="AD2375" t="s">
        <v>10839</v>
      </c>
      <c r="AG2375" t="s">
        <v>10858</v>
      </c>
      <c r="AH2375" t="s">
        <v>10862</v>
      </c>
      <c r="AI2375">
        <v>239</v>
      </c>
      <c r="AJ2375" t="s">
        <v>10213</v>
      </c>
      <c r="AL2375">
        <v>0.5</v>
      </c>
      <c r="AM2375" t="s">
        <v>10888</v>
      </c>
      <c r="AN2375" t="s">
        <v>10912</v>
      </c>
      <c r="AO2375" t="s">
        <v>11005</v>
      </c>
      <c r="AP2375" t="s">
        <v>11050</v>
      </c>
      <c r="AR2375" t="s">
        <v>11293</v>
      </c>
      <c r="AS2375" t="s">
        <v>11595</v>
      </c>
      <c r="BA2375" t="s">
        <v>11741</v>
      </c>
      <c r="BB2375">
        <v>0</v>
      </c>
      <c r="BC2375">
        <v>0</v>
      </c>
      <c r="BD2375">
        <v>0</v>
      </c>
      <c r="BE2375">
        <v>0</v>
      </c>
      <c r="BF2375">
        <v>1</v>
      </c>
      <c r="BG2375">
        <v>0</v>
      </c>
    </row>
    <row r="2376" spans="1:59">
      <c r="A2376" s="1">
        <f>HYPERLINK("https://lsnyc.legalserver.org/matter/dynamic-profile/view/1906340","19-1906340")</f>
        <v>0</v>
      </c>
      <c r="B2376" t="s">
        <v>1308</v>
      </c>
      <c r="C2376" t="s">
        <v>6810</v>
      </c>
      <c r="D2376" t="s">
        <v>9926</v>
      </c>
      <c r="E2376" t="s">
        <v>10075</v>
      </c>
      <c r="F2376">
        <v>10475</v>
      </c>
      <c r="G2376" t="s">
        <v>10091</v>
      </c>
      <c r="H2376" t="s">
        <v>10110</v>
      </c>
      <c r="I2376" t="s">
        <v>10168</v>
      </c>
      <c r="J2376" t="s">
        <v>10211</v>
      </c>
      <c r="K2376" t="s">
        <v>10217</v>
      </c>
      <c r="M2376" t="s">
        <v>10231</v>
      </c>
      <c r="N2376" t="s">
        <v>10647</v>
      </c>
      <c r="P2376" t="s">
        <v>10752</v>
      </c>
      <c r="Q2376" t="s">
        <v>10762</v>
      </c>
      <c r="R2376" t="s">
        <v>10824</v>
      </c>
      <c r="T2376">
        <v>49400</v>
      </c>
      <c r="U2376">
        <v>4116.67</v>
      </c>
      <c r="V2376">
        <v>47</v>
      </c>
      <c r="W2376">
        <v>1</v>
      </c>
      <c r="X2376">
        <v>3</v>
      </c>
      <c r="Z2376">
        <v>191.84</v>
      </c>
      <c r="AA2376">
        <v>40.863353</v>
      </c>
      <c r="AB2376">
        <v>-73.821313</v>
      </c>
      <c r="AD2376" t="s">
        <v>10839</v>
      </c>
      <c r="AG2376" t="s">
        <v>10858</v>
      </c>
      <c r="AH2376" t="s">
        <v>10861</v>
      </c>
      <c r="AI2376">
        <v>234</v>
      </c>
      <c r="AJ2376" t="s">
        <v>10214</v>
      </c>
      <c r="AL2376">
        <v>1.3</v>
      </c>
      <c r="AM2376" t="s">
        <v>10893</v>
      </c>
      <c r="AN2376" t="s">
        <v>10911</v>
      </c>
      <c r="AO2376" t="s">
        <v>11010</v>
      </c>
      <c r="AP2376" t="s">
        <v>11085</v>
      </c>
      <c r="AR2376" t="s">
        <v>11257</v>
      </c>
      <c r="AS2376" t="s">
        <v>9926</v>
      </c>
      <c r="AT2376" t="s">
        <v>11641</v>
      </c>
      <c r="AX2376" t="s">
        <v>10838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</row>
    <row r="2377" spans="1:59">
      <c r="A2377" s="1">
        <f>HYPERLINK("https://lsnyc.legalserver.org/matter/dynamic-profile/view/1906341","19-1906341")</f>
        <v>0</v>
      </c>
      <c r="B2377" t="s">
        <v>2018</v>
      </c>
      <c r="C2377" t="s">
        <v>6811</v>
      </c>
      <c r="D2377" t="s">
        <v>9932</v>
      </c>
      <c r="E2377" t="s">
        <v>10075</v>
      </c>
      <c r="F2377">
        <v>11368</v>
      </c>
      <c r="G2377" t="s">
        <v>10092</v>
      </c>
      <c r="H2377" t="s">
        <v>10110</v>
      </c>
      <c r="I2377" t="s">
        <v>10169</v>
      </c>
      <c r="J2377" t="s">
        <v>10212</v>
      </c>
      <c r="K2377" t="s">
        <v>10217</v>
      </c>
      <c r="M2377" t="s">
        <v>10486</v>
      </c>
      <c r="N2377" t="s">
        <v>10648</v>
      </c>
      <c r="P2377" t="s">
        <v>10753</v>
      </c>
      <c r="Q2377" t="s">
        <v>10763</v>
      </c>
      <c r="R2377" t="s">
        <v>10823</v>
      </c>
      <c r="T2377">
        <v>6000</v>
      </c>
      <c r="U2377">
        <v>500</v>
      </c>
      <c r="V2377">
        <v>41</v>
      </c>
      <c r="W2377">
        <v>1</v>
      </c>
      <c r="X2377">
        <v>1</v>
      </c>
      <c r="Z2377">
        <v>35.48</v>
      </c>
      <c r="AA2377">
        <v>40.743487</v>
      </c>
      <c r="AB2377">
        <v>-73.859103</v>
      </c>
      <c r="AD2377" t="s">
        <v>10840</v>
      </c>
      <c r="AF2377" t="s">
        <v>10842</v>
      </c>
      <c r="AG2377" t="s">
        <v>10859</v>
      </c>
      <c r="AH2377" t="s">
        <v>10864</v>
      </c>
      <c r="AI2377">
        <v>237</v>
      </c>
      <c r="AJ2377" t="s">
        <v>10212</v>
      </c>
      <c r="AL2377">
        <v>4.2</v>
      </c>
      <c r="AM2377" t="s">
        <v>10885</v>
      </c>
      <c r="AN2377" t="s">
        <v>10949</v>
      </c>
      <c r="AO2377" t="s">
        <v>11014</v>
      </c>
      <c r="AP2377" t="s">
        <v>11068</v>
      </c>
      <c r="AQ2377" t="s">
        <v>11096</v>
      </c>
      <c r="AR2377" t="s">
        <v>11257</v>
      </c>
      <c r="AS2377" t="s">
        <v>11594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</row>
    <row r="2378" spans="1:59">
      <c r="A2378" s="1">
        <f>HYPERLINK("https://lsnyc.legalserver.org/matter/dynamic-profile/view/1906342","19-1906342")</f>
        <v>0</v>
      </c>
      <c r="B2378" t="s">
        <v>2019</v>
      </c>
      <c r="C2378" t="s">
        <v>6812</v>
      </c>
      <c r="D2378" t="s">
        <v>9929</v>
      </c>
      <c r="E2378" t="s">
        <v>10075</v>
      </c>
      <c r="F2378">
        <v>10302</v>
      </c>
      <c r="G2378" t="s">
        <v>10088</v>
      </c>
      <c r="H2378" t="s">
        <v>10110</v>
      </c>
      <c r="I2378" t="s">
        <v>10168</v>
      </c>
      <c r="J2378" t="s">
        <v>10208</v>
      </c>
      <c r="K2378" t="s">
        <v>10217</v>
      </c>
      <c r="M2378" t="s">
        <v>10478</v>
      </c>
      <c r="N2378" t="s">
        <v>10663</v>
      </c>
      <c r="P2378" t="s">
        <v>10755</v>
      </c>
      <c r="Q2378" t="s">
        <v>10772</v>
      </c>
      <c r="R2378" t="s">
        <v>10820</v>
      </c>
      <c r="T2378">
        <v>22500</v>
      </c>
      <c r="U2378">
        <v>1875</v>
      </c>
      <c r="V2378">
        <v>6</v>
      </c>
      <c r="W2378">
        <v>2</v>
      </c>
      <c r="X2378">
        <v>1</v>
      </c>
      <c r="Z2378">
        <v>105.49</v>
      </c>
      <c r="AA2378">
        <v>40.628857</v>
      </c>
      <c r="AB2378">
        <v>-74.14007599999999</v>
      </c>
      <c r="AD2378" t="s">
        <v>10839</v>
      </c>
      <c r="AG2378" t="s">
        <v>10858</v>
      </c>
      <c r="AH2378" t="s">
        <v>10861</v>
      </c>
      <c r="AI2378">
        <v>285</v>
      </c>
      <c r="AJ2378" t="s">
        <v>10208</v>
      </c>
      <c r="AL2378">
        <v>7.4</v>
      </c>
      <c r="AM2378" t="s">
        <v>10883</v>
      </c>
      <c r="AN2378" t="s">
        <v>10913</v>
      </c>
      <c r="AO2378" t="s">
        <v>11006</v>
      </c>
      <c r="AP2378" t="s">
        <v>11051</v>
      </c>
      <c r="AR2378" t="s">
        <v>11262</v>
      </c>
      <c r="AS2378" t="s">
        <v>11593</v>
      </c>
      <c r="AT2378" t="s">
        <v>11641</v>
      </c>
      <c r="AX2378" t="s">
        <v>10838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</row>
    <row r="2379" spans="1:59">
      <c r="A2379" s="1">
        <f>HYPERLINK("https://lsnyc.legalserver.org/matter/dynamic-profile/view/1906343","19-1906343")</f>
        <v>0</v>
      </c>
      <c r="B2379" t="s">
        <v>2020</v>
      </c>
      <c r="C2379" t="s">
        <v>6813</v>
      </c>
      <c r="D2379" t="s">
        <v>9926</v>
      </c>
      <c r="E2379" t="s">
        <v>10075</v>
      </c>
      <c r="F2379">
        <v>10457</v>
      </c>
      <c r="G2379" t="s">
        <v>10090</v>
      </c>
      <c r="H2379" t="s">
        <v>10110</v>
      </c>
      <c r="J2379" t="s">
        <v>10210</v>
      </c>
      <c r="K2379" t="s">
        <v>10217</v>
      </c>
      <c r="M2379" t="s">
        <v>10353</v>
      </c>
      <c r="N2379" t="s">
        <v>10677</v>
      </c>
      <c r="P2379" t="s">
        <v>10751</v>
      </c>
      <c r="Q2379" t="s">
        <v>10761</v>
      </c>
      <c r="R2379" t="s">
        <v>10821</v>
      </c>
      <c r="T2379">
        <v>23460</v>
      </c>
      <c r="U2379">
        <v>1955</v>
      </c>
      <c r="V2379">
        <v>77</v>
      </c>
      <c r="W2379">
        <v>2</v>
      </c>
      <c r="X2379">
        <v>0</v>
      </c>
      <c r="Z2379">
        <v>138.73</v>
      </c>
      <c r="AA2379">
        <v>40.854642</v>
      </c>
      <c r="AB2379">
        <v>-73.89983599999999</v>
      </c>
      <c r="AD2379" t="s">
        <v>10839</v>
      </c>
      <c r="AG2379" t="s">
        <v>10858</v>
      </c>
      <c r="AH2379" t="s">
        <v>10861</v>
      </c>
      <c r="AI2379">
        <v>230</v>
      </c>
      <c r="AJ2379" t="s">
        <v>10210</v>
      </c>
      <c r="AL2379">
        <v>0.1</v>
      </c>
      <c r="AM2379" t="s">
        <v>10884</v>
      </c>
      <c r="AN2379" t="s">
        <v>10931</v>
      </c>
      <c r="AO2379" t="s">
        <v>11000</v>
      </c>
      <c r="AP2379" t="s">
        <v>11056</v>
      </c>
      <c r="AR2379" t="s">
        <v>11268</v>
      </c>
      <c r="AS2379" t="s">
        <v>9926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</row>
    <row r="2380" spans="1:59">
      <c r="A2380" s="1">
        <f>HYPERLINK("https://lsnyc.legalserver.org/matter/dynamic-profile/view/1906344","19-1906344")</f>
        <v>0</v>
      </c>
      <c r="B2380" t="s">
        <v>2021</v>
      </c>
      <c r="C2380" t="s">
        <v>6814</v>
      </c>
      <c r="D2380" t="s">
        <v>9928</v>
      </c>
      <c r="E2380" t="s">
        <v>10075</v>
      </c>
      <c r="F2380">
        <v>11215</v>
      </c>
      <c r="G2380" t="s">
        <v>10093</v>
      </c>
      <c r="H2380" t="s">
        <v>10110</v>
      </c>
      <c r="I2380" t="s">
        <v>10168</v>
      </c>
      <c r="J2380" t="s">
        <v>10213</v>
      </c>
      <c r="K2380" t="s">
        <v>10217</v>
      </c>
      <c r="M2380" t="s">
        <v>10293</v>
      </c>
      <c r="N2380" t="s">
        <v>10646</v>
      </c>
      <c r="P2380" t="s">
        <v>10757</v>
      </c>
      <c r="Q2380" t="s">
        <v>10808</v>
      </c>
      <c r="R2380" t="s">
        <v>10820</v>
      </c>
      <c r="T2380">
        <v>26052</v>
      </c>
      <c r="U2380">
        <v>2171</v>
      </c>
      <c r="V2380">
        <v>86</v>
      </c>
      <c r="W2380">
        <v>1</v>
      </c>
      <c r="X2380">
        <v>0</v>
      </c>
      <c r="Z2380">
        <v>208.58</v>
      </c>
      <c r="AA2380">
        <v>40.659975</v>
      </c>
      <c r="AB2380">
        <v>-73.979066</v>
      </c>
      <c r="AD2380" t="s">
        <v>10839</v>
      </c>
      <c r="AG2380" t="s">
        <v>10858</v>
      </c>
      <c r="AH2380" t="s">
        <v>10861</v>
      </c>
      <c r="AI2380">
        <v>234</v>
      </c>
      <c r="AJ2380" t="s">
        <v>10214</v>
      </c>
      <c r="AL2380">
        <v>0.5</v>
      </c>
      <c r="AM2380" t="s">
        <v>10888</v>
      </c>
      <c r="AN2380" t="s">
        <v>10941</v>
      </c>
      <c r="AO2380" t="s">
        <v>11008</v>
      </c>
      <c r="AP2380" t="s">
        <v>11059</v>
      </c>
      <c r="AR2380" t="s">
        <v>11339</v>
      </c>
      <c r="AS2380" t="s">
        <v>11595</v>
      </c>
      <c r="AT2380" t="s">
        <v>11641</v>
      </c>
      <c r="AX2380" t="s">
        <v>10838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</row>
    <row r="2381" spans="1:59">
      <c r="A2381" s="1">
        <f>HYPERLINK("https://lsnyc.legalserver.org/matter/dynamic-profile/view/1906345","19-1906345")</f>
        <v>0</v>
      </c>
      <c r="B2381" t="s">
        <v>2022</v>
      </c>
      <c r="C2381" t="s">
        <v>6815</v>
      </c>
      <c r="D2381" t="s">
        <v>9926</v>
      </c>
      <c r="E2381" t="s">
        <v>10075</v>
      </c>
      <c r="F2381">
        <v>10469</v>
      </c>
      <c r="G2381" t="s">
        <v>10090</v>
      </c>
      <c r="H2381" t="s">
        <v>10110</v>
      </c>
      <c r="I2381" t="s">
        <v>10168</v>
      </c>
      <c r="J2381" t="s">
        <v>10210</v>
      </c>
      <c r="K2381" t="s">
        <v>10218</v>
      </c>
      <c r="L2381" t="s">
        <v>10151</v>
      </c>
      <c r="M2381" t="s">
        <v>10262</v>
      </c>
      <c r="N2381" t="s">
        <v>10666</v>
      </c>
      <c r="P2381" t="s">
        <v>10749</v>
      </c>
      <c r="Q2381" t="s">
        <v>10765</v>
      </c>
      <c r="R2381" t="s">
        <v>10824</v>
      </c>
      <c r="T2381">
        <v>41700</v>
      </c>
      <c r="U2381">
        <v>3475</v>
      </c>
      <c r="V2381">
        <v>45</v>
      </c>
      <c r="W2381">
        <v>2</v>
      </c>
      <c r="X2381">
        <v>2</v>
      </c>
      <c r="Y2381" t="s">
        <v>10829</v>
      </c>
      <c r="Z2381">
        <v>161.94</v>
      </c>
      <c r="AA2381">
        <v>40.86985</v>
      </c>
      <c r="AB2381">
        <v>-73.84961699999999</v>
      </c>
      <c r="AD2381" t="s">
        <v>10840</v>
      </c>
      <c r="AG2381" t="s">
        <v>10858</v>
      </c>
      <c r="AH2381" t="s">
        <v>10861</v>
      </c>
      <c r="AI2381">
        <v>230</v>
      </c>
      <c r="AJ2381" t="s">
        <v>10210</v>
      </c>
      <c r="AK2381" t="s">
        <v>10838</v>
      </c>
      <c r="AL2381">
        <v>1.1</v>
      </c>
      <c r="AM2381" t="s">
        <v>10893</v>
      </c>
      <c r="AN2381" t="s">
        <v>10956</v>
      </c>
      <c r="AO2381" t="s">
        <v>11010</v>
      </c>
      <c r="AP2381" t="s">
        <v>11085</v>
      </c>
      <c r="AR2381" t="s">
        <v>11287</v>
      </c>
      <c r="AS2381" t="s">
        <v>9926</v>
      </c>
      <c r="AT2381" t="s">
        <v>11642</v>
      </c>
      <c r="AX2381" t="s">
        <v>10838</v>
      </c>
      <c r="AY2381" t="s">
        <v>10829</v>
      </c>
      <c r="AZ2381" t="s">
        <v>11681</v>
      </c>
      <c r="BA2381" t="s">
        <v>11741</v>
      </c>
      <c r="BB2381">
        <v>0</v>
      </c>
      <c r="BC2381">
        <v>0</v>
      </c>
      <c r="BD2381">
        <v>0</v>
      </c>
      <c r="BE2381">
        <v>0</v>
      </c>
      <c r="BF2381">
        <v>1</v>
      </c>
      <c r="BG2381">
        <v>0</v>
      </c>
    </row>
    <row r="2382" spans="1:59">
      <c r="A2382" s="1">
        <f>HYPERLINK("https://lsnyc.legalserver.org/matter/dynamic-profile/view/1906346","19-1906346")</f>
        <v>0</v>
      </c>
      <c r="B2382" t="s">
        <v>2023</v>
      </c>
      <c r="C2382" t="s">
        <v>6816</v>
      </c>
      <c r="D2382" t="s">
        <v>9928</v>
      </c>
      <c r="E2382" t="s">
        <v>10075</v>
      </c>
      <c r="F2382">
        <v>11221</v>
      </c>
      <c r="G2382" t="s">
        <v>10093</v>
      </c>
      <c r="H2382" t="s">
        <v>10104</v>
      </c>
      <c r="I2382" t="s">
        <v>10168</v>
      </c>
      <c r="J2382" t="s">
        <v>10213</v>
      </c>
      <c r="K2382" t="s">
        <v>10217</v>
      </c>
      <c r="M2382" t="s">
        <v>10264</v>
      </c>
      <c r="N2382" t="s">
        <v>10667</v>
      </c>
      <c r="P2382" t="s">
        <v>10749</v>
      </c>
      <c r="Q2382" t="s">
        <v>10765</v>
      </c>
      <c r="R2382" t="s">
        <v>10824</v>
      </c>
      <c r="T2382">
        <v>0</v>
      </c>
      <c r="U2382">
        <v>0</v>
      </c>
      <c r="V2382">
        <v>39</v>
      </c>
      <c r="W2382">
        <v>1</v>
      </c>
      <c r="X2382">
        <v>0</v>
      </c>
      <c r="Z2382">
        <v>0</v>
      </c>
      <c r="AA2382">
        <v>40.691804</v>
      </c>
      <c r="AB2382">
        <v>-73.93956900000001</v>
      </c>
      <c r="AD2382" t="s">
        <v>10839</v>
      </c>
      <c r="AG2382" t="s">
        <v>10858</v>
      </c>
      <c r="AH2382" t="s">
        <v>10862</v>
      </c>
      <c r="AI2382">
        <v>239</v>
      </c>
      <c r="AJ2382" t="s">
        <v>10213</v>
      </c>
      <c r="AL2382">
        <v>3.3</v>
      </c>
      <c r="AR2382" t="s">
        <v>11279</v>
      </c>
      <c r="AS2382" t="s">
        <v>11595</v>
      </c>
      <c r="BA2382" t="s">
        <v>11738</v>
      </c>
      <c r="BB2382">
        <v>0</v>
      </c>
      <c r="BC2382">
        <v>0</v>
      </c>
      <c r="BD2382">
        <v>0</v>
      </c>
      <c r="BE2382">
        <v>0</v>
      </c>
      <c r="BF2382">
        <v>5</v>
      </c>
      <c r="BG2382">
        <v>0</v>
      </c>
    </row>
    <row r="2383" spans="1:59">
      <c r="A2383" s="1">
        <f>HYPERLINK("https://lsnyc.legalserver.org/matter/dynamic-profile/view/1906347","19-1906347")</f>
        <v>0</v>
      </c>
      <c r="B2383" t="s">
        <v>611</v>
      </c>
      <c r="C2383" t="s">
        <v>5520</v>
      </c>
      <c r="D2383" t="s">
        <v>9928</v>
      </c>
      <c r="E2383" t="s">
        <v>10075</v>
      </c>
      <c r="F2383">
        <v>11233</v>
      </c>
      <c r="G2383" t="s">
        <v>10093</v>
      </c>
      <c r="H2383" t="s">
        <v>10110</v>
      </c>
      <c r="I2383" t="s">
        <v>10168</v>
      </c>
      <c r="J2383" t="s">
        <v>10213</v>
      </c>
      <c r="K2383" t="s">
        <v>10217</v>
      </c>
      <c r="M2383" t="s">
        <v>10390</v>
      </c>
      <c r="N2383" t="s">
        <v>10644</v>
      </c>
      <c r="P2383" t="s">
        <v>10749</v>
      </c>
      <c r="Q2383" t="s">
        <v>10791</v>
      </c>
      <c r="R2383" t="s">
        <v>10824</v>
      </c>
      <c r="T2383">
        <v>18000</v>
      </c>
      <c r="U2383">
        <v>1500</v>
      </c>
      <c r="V2383">
        <v>64</v>
      </c>
      <c r="W2383">
        <v>1</v>
      </c>
      <c r="X2383">
        <v>0</v>
      </c>
      <c r="Z2383">
        <v>144.12</v>
      </c>
      <c r="AA2383">
        <v>40.684925</v>
      </c>
      <c r="AB2383">
        <v>-73.931183</v>
      </c>
      <c r="AD2383" t="s">
        <v>10839</v>
      </c>
      <c r="AG2383" t="s">
        <v>10858</v>
      </c>
      <c r="AH2383" t="s">
        <v>10867</v>
      </c>
      <c r="AI2383">
        <v>239</v>
      </c>
      <c r="AJ2383" t="s">
        <v>10213</v>
      </c>
      <c r="AL2383">
        <v>3.25</v>
      </c>
      <c r="AM2383" t="s">
        <v>10889</v>
      </c>
      <c r="AN2383" t="s">
        <v>10914</v>
      </c>
      <c r="AO2383" t="s">
        <v>11007</v>
      </c>
      <c r="AP2383" t="s">
        <v>11052</v>
      </c>
      <c r="AQ2383" t="s">
        <v>11100</v>
      </c>
      <c r="AR2383" t="s">
        <v>11257</v>
      </c>
      <c r="AS2383" t="s">
        <v>11595</v>
      </c>
      <c r="BA2383" t="s">
        <v>11741</v>
      </c>
      <c r="BB2383">
        <v>0</v>
      </c>
      <c r="BC2383">
        <v>0</v>
      </c>
      <c r="BD2383">
        <v>0</v>
      </c>
      <c r="BE2383">
        <v>0</v>
      </c>
      <c r="BF2383">
        <v>1</v>
      </c>
      <c r="BG2383">
        <v>0</v>
      </c>
    </row>
    <row r="2384" spans="1:59">
      <c r="A2384" s="1">
        <f>HYPERLINK("https://lsnyc.legalserver.org/matter/dynamic-profile/view/1906348","19-1906348")</f>
        <v>0</v>
      </c>
      <c r="B2384" t="s">
        <v>2024</v>
      </c>
      <c r="C2384" t="s">
        <v>6817</v>
      </c>
      <c r="D2384" t="s">
        <v>9926</v>
      </c>
      <c r="E2384" t="s">
        <v>10075</v>
      </c>
      <c r="F2384">
        <v>10468</v>
      </c>
      <c r="G2384" t="s">
        <v>10090</v>
      </c>
      <c r="H2384" t="s">
        <v>10110</v>
      </c>
      <c r="I2384" t="s">
        <v>10168</v>
      </c>
      <c r="J2384" t="s">
        <v>10210</v>
      </c>
      <c r="K2384" t="s">
        <v>10217</v>
      </c>
      <c r="M2384" t="s">
        <v>10417</v>
      </c>
      <c r="N2384" t="s">
        <v>10651</v>
      </c>
      <c r="P2384" t="s">
        <v>10749</v>
      </c>
      <c r="Q2384" t="s">
        <v>10765</v>
      </c>
      <c r="R2384" t="s">
        <v>10824</v>
      </c>
      <c r="T2384">
        <v>2196</v>
      </c>
      <c r="U2384">
        <v>183</v>
      </c>
      <c r="V2384">
        <v>56</v>
      </c>
      <c r="W2384">
        <v>1</v>
      </c>
      <c r="X2384">
        <v>0</v>
      </c>
      <c r="Z2384">
        <v>17.58</v>
      </c>
      <c r="AA2384">
        <v>40.861646</v>
      </c>
      <c r="AB2384">
        <v>-73.90051200000001</v>
      </c>
      <c r="AC2384" t="s">
        <v>10837</v>
      </c>
      <c r="AD2384" t="s">
        <v>10840</v>
      </c>
      <c r="AG2384" t="s">
        <v>10858</v>
      </c>
      <c r="AH2384" t="s">
        <v>10862</v>
      </c>
      <c r="AI2384">
        <v>230</v>
      </c>
      <c r="AJ2384" t="s">
        <v>10210</v>
      </c>
      <c r="AL2384">
        <v>4</v>
      </c>
      <c r="AM2384" t="s">
        <v>10884</v>
      </c>
      <c r="AN2384" t="s">
        <v>10931</v>
      </c>
      <c r="AO2384" t="s">
        <v>11000</v>
      </c>
      <c r="AP2384" t="s">
        <v>11045</v>
      </c>
      <c r="AR2384" t="s">
        <v>11255</v>
      </c>
      <c r="AS2384" t="s">
        <v>9926</v>
      </c>
      <c r="BA2384" t="s">
        <v>11738</v>
      </c>
      <c r="BB2384">
        <v>0</v>
      </c>
      <c r="BC2384">
        <v>0</v>
      </c>
      <c r="BD2384">
        <v>0</v>
      </c>
      <c r="BE2384">
        <v>0</v>
      </c>
      <c r="BF2384">
        <v>5</v>
      </c>
      <c r="BG2384">
        <v>0</v>
      </c>
    </row>
    <row r="2385" spans="1:59">
      <c r="A2385" s="1">
        <f>HYPERLINK("https://lsnyc.legalserver.org/matter/dynamic-profile/view/1906349","19-1906349")</f>
        <v>0</v>
      </c>
      <c r="B2385" t="s">
        <v>2025</v>
      </c>
      <c r="C2385" t="s">
        <v>6818</v>
      </c>
      <c r="D2385" t="s">
        <v>9928</v>
      </c>
      <c r="E2385" t="s">
        <v>10075</v>
      </c>
      <c r="F2385">
        <v>11208</v>
      </c>
      <c r="G2385" t="s">
        <v>10093</v>
      </c>
      <c r="H2385" t="s">
        <v>10110</v>
      </c>
      <c r="I2385" t="s">
        <v>10168</v>
      </c>
      <c r="J2385" t="s">
        <v>10213</v>
      </c>
      <c r="K2385" t="s">
        <v>10218</v>
      </c>
      <c r="L2385" t="s">
        <v>10135</v>
      </c>
      <c r="M2385" t="s">
        <v>10439</v>
      </c>
      <c r="N2385" t="s">
        <v>10650</v>
      </c>
      <c r="P2385" t="s">
        <v>10749</v>
      </c>
      <c r="Q2385" t="s">
        <v>10765</v>
      </c>
      <c r="R2385" t="s">
        <v>10824</v>
      </c>
      <c r="T2385">
        <v>15000</v>
      </c>
      <c r="U2385">
        <v>1250</v>
      </c>
      <c r="V2385">
        <v>30</v>
      </c>
      <c r="W2385">
        <v>1</v>
      </c>
      <c r="X2385">
        <v>2</v>
      </c>
      <c r="Y2385" t="s">
        <v>10830</v>
      </c>
      <c r="Z2385">
        <v>70.31999999999999</v>
      </c>
      <c r="AA2385">
        <v>40.668604</v>
      </c>
      <c r="AB2385">
        <v>-73.876283</v>
      </c>
      <c r="AD2385" t="s">
        <v>10839</v>
      </c>
      <c r="AG2385" t="s">
        <v>10858</v>
      </c>
      <c r="AH2385" t="s">
        <v>10862</v>
      </c>
      <c r="AI2385">
        <v>239</v>
      </c>
      <c r="AJ2385" t="s">
        <v>10213</v>
      </c>
      <c r="AK2385" t="s">
        <v>10838</v>
      </c>
      <c r="AL2385">
        <v>3</v>
      </c>
      <c r="AM2385" t="s">
        <v>10889</v>
      </c>
      <c r="AN2385" t="s">
        <v>10946</v>
      </c>
      <c r="AO2385" t="s">
        <v>11012</v>
      </c>
      <c r="AP2385" t="s">
        <v>11060</v>
      </c>
      <c r="AQ2385" t="s">
        <v>11101</v>
      </c>
      <c r="AR2385" t="s">
        <v>11257</v>
      </c>
      <c r="AS2385" t="s">
        <v>11595</v>
      </c>
      <c r="AT2385" t="s">
        <v>11641</v>
      </c>
      <c r="AX2385" t="s">
        <v>10838</v>
      </c>
      <c r="AY2385" t="s">
        <v>10830</v>
      </c>
      <c r="AZ2385" t="s">
        <v>11681</v>
      </c>
      <c r="BA2385" t="s">
        <v>11740</v>
      </c>
      <c r="BB2385">
        <v>0</v>
      </c>
      <c r="BC2385">
        <v>0</v>
      </c>
      <c r="BD2385">
        <v>0</v>
      </c>
      <c r="BE2385">
        <v>0</v>
      </c>
      <c r="BF2385">
        <v>2</v>
      </c>
      <c r="BG2385">
        <v>0</v>
      </c>
    </row>
    <row r="2386" spans="1:59">
      <c r="A2386" s="1">
        <f>HYPERLINK("https://lsnyc.legalserver.org/matter/dynamic-profile/view/1906350","19-1906350")</f>
        <v>0</v>
      </c>
      <c r="B2386" t="s">
        <v>2026</v>
      </c>
      <c r="C2386" t="s">
        <v>6819</v>
      </c>
      <c r="D2386" t="s">
        <v>9928</v>
      </c>
      <c r="E2386" t="s">
        <v>10075</v>
      </c>
      <c r="F2386">
        <v>11204</v>
      </c>
      <c r="G2386" t="s">
        <v>10093</v>
      </c>
      <c r="H2386" t="s">
        <v>10110</v>
      </c>
      <c r="I2386" t="s">
        <v>10171</v>
      </c>
      <c r="J2386" t="s">
        <v>10213</v>
      </c>
      <c r="K2386" t="s">
        <v>10217</v>
      </c>
      <c r="M2386" t="s">
        <v>10443</v>
      </c>
      <c r="N2386" t="s">
        <v>10680</v>
      </c>
      <c r="P2386" t="s">
        <v>10749</v>
      </c>
      <c r="Q2386" t="s">
        <v>10765</v>
      </c>
      <c r="R2386" t="s">
        <v>10820</v>
      </c>
      <c r="T2386">
        <v>14400</v>
      </c>
      <c r="U2386">
        <v>1200</v>
      </c>
      <c r="V2386">
        <v>65</v>
      </c>
      <c r="W2386">
        <v>1</v>
      </c>
      <c r="X2386">
        <v>0</v>
      </c>
      <c r="Z2386">
        <v>115.29</v>
      </c>
      <c r="AA2386">
        <v>40.610885</v>
      </c>
      <c r="AB2386">
        <v>-73.98488500000001</v>
      </c>
      <c r="AD2386" t="s">
        <v>10839</v>
      </c>
      <c r="AG2386" t="s">
        <v>10858</v>
      </c>
      <c r="AH2386" t="s">
        <v>10869</v>
      </c>
      <c r="AI2386">
        <v>239</v>
      </c>
      <c r="AJ2386" t="s">
        <v>10213</v>
      </c>
      <c r="AL2386">
        <v>10.65</v>
      </c>
      <c r="AM2386" t="s">
        <v>10894</v>
      </c>
      <c r="AN2386" t="s">
        <v>10969</v>
      </c>
      <c r="AO2386" t="s">
        <v>11023</v>
      </c>
      <c r="AP2386" t="s">
        <v>11079</v>
      </c>
      <c r="AQ2386" t="s">
        <v>11101</v>
      </c>
      <c r="AR2386" t="s">
        <v>11257</v>
      </c>
      <c r="AS2386" t="s">
        <v>11595</v>
      </c>
      <c r="BA2386" t="s">
        <v>11740</v>
      </c>
      <c r="BB2386">
        <v>0</v>
      </c>
      <c r="BC2386">
        <v>0</v>
      </c>
      <c r="BD2386">
        <v>0</v>
      </c>
      <c r="BE2386">
        <v>0</v>
      </c>
      <c r="BF2386">
        <v>2</v>
      </c>
      <c r="BG2386">
        <v>0</v>
      </c>
    </row>
    <row r="2387" spans="1:59">
      <c r="A2387" s="1">
        <f>HYPERLINK("https://lsnyc.legalserver.org/matter/dynamic-profile/view/1906351","19-1906351")</f>
        <v>0</v>
      </c>
      <c r="B2387" t="s">
        <v>2027</v>
      </c>
      <c r="C2387" t="s">
        <v>6820</v>
      </c>
      <c r="D2387" t="s">
        <v>9926</v>
      </c>
      <c r="E2387" t="s">
        <v>10075</v>
      </c>
      <c r="F2387">
        <v>10468</v>
      </c>
      <c r="G2387" t="s">
        <v>10090</v>
      </c>
      <c r="H2387" t="s">
        <v>10110</v>
      </c>
      <c r="I2387" t="s">
        <v>10168</v>
      </c>
      <c r="J2387" t="s">
        <v>10210</v>
      </c>
      <c r="K2387" t="s">
        <v>10217</v>
      </c>
      <c r="M2387" t="s">
        <v>10559</v>
      </c>
      <c r="N2387" t="s">
        <v>10651</v>
      </c>
      <c r="P2387" t="s">
        <v>10749</v>
      </c>
      <c r="Q2387" t="s">
        <v>10765</v>
      </c>
      <c r="R2387" t="s">
        <v>10821</v>
      </c>
      <c r="T2387">
        <v>60000</v>
      </c>
      <c r="U2387">
        <v>5000</v>
      </c>
      <c r="V2387">
        <v>37</v>
      </c>
      <c r="W2387">
        <v>1</v>
      </c>
      <c r="X2387">
        <v>0</v>
      </c>
      <c r="Z2387">
        <v>480.38</v>
      </c>
      <c r="AA2387">
        <v>40.871313</v>
      </c>
      <c r="AB2387">
        <v>-73.89845800000001</v>
      </c>
      <c r="AD2387" t="s">
        <v>10839</v>
      </c>
      <c r="AG2387" t="s">
        <v>10858</v>
      </c>
      <c r="AH2387" t="s">
        <v>10861</v>
      </c>
      <c r="AI2387">
        <v>230</v>
      </c>
      <c r="AJ2387" t="s">
        <v>10210</v>
      </c>
      <c r="AL2387">
        <v>0</v>
      </c>
      <c r="AM2387" t="s">
        <v>10887</v>
      </c>
      <c r="AN2387" t="s">
        <v>10919</v>
      </c>
      <c r="AO2387" t="s">
        <v>11000</v>
      </c>
      <c r="AP2387" t="s">
        <v>11045</v>
      </c>
      <c r="AR2387" t="s">
        <v>11257</v>
      </c>
      <c r="AS2387" t="s">
        <v>9926</v>
      </c>
      <c r="AT2387" t="s">
        <v>11641</v>
      </c>
      <c r="AX2387" t="s">
        <v>10838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</row>
    <row r="2388" spans="1:59">
      <c r="A2388" s="1">
        <f>HYPERLINK("https://lsnyc.legalserver.org/matter/dynamic-profile/view/1906352","19-1906352")</f>
        <v>0</v>
      </c>
      <c r="B2388" t="s">
        <v>271</v>
      </c>
      <c r="C2388" t="s">
        <v>5202</v>
      </c>
      <c r="D2388" t="s">
        <v>9925</v>
      </c>
      <c r="E2388" t="s">
        <v>10075</v>
      </c>
      <c r="F2388">
        <v>10026</v>
      </c>
      <c r="G2388" t="s">
        <v>10093</v>
      </c>
      <c r="H2388" t="s">
        <v>10095</v>
      </c>
      <c r="I2388" t="s">
        <v>10168</v>
      </c>
      <c r="J2388" t="s">
        <v>10213</v>
      </c>
      <c r="K2388" t="s">
        <v>10217</v>
      </c>
      <c r="M2388" t="s">
        <v>10315</v>
      </c>
      <c r="N2388" t="s">
        <v>10686</v>
      </c>
      <c r="O2388" t="s">
        <v>10737</v>
      </c>
      <c r="P2388" t="s">
        <v>10750</v>
      </c>
      <c r="Q2388" t="s">
        <v>10778</v>
      </c>
      <c r="R2388" t="s">
        <v>10822</v>
      </c>
      <c r="T2388">
        <v>5640</v>
      </c>
      <c r="U2388">
        <v>470</v>
      </c>
      <c r="V2388">
        <v>38</v>
      </c>
      <c r="W2388">
        <v>1</v>
      </c>
      <c r="X2388">
        <v>0</v>
      </c>
      <c r="Z2388">
        <v>45.16</v>
      </c>
      <c r="AA2388">
        <v>40.803528</v>
      </c>
      <c r="AB2388">
        <v>-73.957611</v>
      </c>
      <c r="AC2388" t="s">
        <v>10837</v>
      </c>
      <c r="AD2388" t="s">
        <v>10840</v>
      </c>
      <c r="AG2388" t="s">
        <v>10858</v>
      </c>
      <c r="AH2388" t="s">
        <v>10870</v>
      </c>
      <c r="AI2388">
        <v>239</v>
      </c>
      <c r="AJ2388" t="s">
        <v>10213</v>
      </c>
      <c r="AL2388">
        <v>3.95</v>
      </c>
      <c r="AM2388" t="s">
        <v>10887</v>
      </c>
      <c r="AN2388" t="s">
        <v>10936</v>
      </c>
      <c r="AO2388" t="s">
        <v>11016</v>
      </c>
      <c r="AP2388" t="s">
        <v>11076</v>
      </c>
      <c r="AR2388" t="s">
        <v>11313</v>
      </c>
      <c r="AS2388" t="s">
        <v>9925</v>
      </c>
      <c r="BA2388" t="s">
        <v>11737</v>
      </c>
      <c r="BB2388">
        <v>0</v>
      </c>
      <c r="BC2388">
        <v>0</v>
      </c>
      <c r="BD2388">
        <v>0</v>
      </c>
      <c r="BE2388">
        <v>0</v>
      </c>
      <c r="BF2388">
        <v>3</v>
      </c>
      <c r="BG2388">
        <v>0</v>
      </c>
    </row>
    <row r="2389" spans="1:59">
      <c r="A2389" s="1">
        <f>HYPERLINK("https://lsnyc.legalserver.org/matter/dynamic-profile/view/1906353","19-1906353")</f>
        <v>0</v>
      </c>
      <c r="B2389" t="s">
        <v>2028</v>
      </c>
      <c r="C2389" t="s">
        <v>6821</v>
      </c>
      <c r="D2389" t="s">
        <v>9939</v>
      </c>
      <c r="E2389" t="s">
        <v>10075</v>
      </c>
      <c r="F2389">
        <v>11419</v>
      </c>
      <c r="G2389" t="s">
        <v>10092</v>
      </c>
      <c r="H2389" t="s">
        <v>10095</v>
      </c>
      <c r="I2389" t="s">
        <v>10168</v>
      </c>
      <c r="J2389" t="s">
        <v>10212</v>
      </c>
      <c r="K2389" t="s">
        <v>10217</v>
      </c>
      <c r="M2389" t="s">
        <v>10318</v>
      </c>
      <c r="N2389" t="s">
        <v>10684</v>
      </c>
      <c r="P2389" t="s">
        <v>10751</v>
      </c>
      <c r="Q2389" t="s">
        <v>10786</v>
      </c>
      <c r="R2389" t="s">
        <v>10827</v>
      </c>
      <c r="T2389">
        <v>0</v>
      </c>
      <c r="U2389">
        <v>0</v>
      </c>
      <c r="V2389">
        <v>31</v>
      </c>
      <c r="W2389">
        <v>1</v>
      </c>
      <c r="X2389">
        <v>0</v>
      </c>
      <c r="Z2389">
        <v>0</v>
      </c>
      <c r="AA2389">
        <v>40.692249</v>
      </c>
      <c r="AB2389">
        <v>-73.83252</v>
      </c>
      <c r="AD2389" t="s">
        <v>10839</v>
      </c>
      <c r="AG2389" t="s">
        <v>10858</v>
      </c>
      <c r="AH2389" t="s">
        <v>10873</v>
      </c>
      <c r="AI2389">
        <v>237</v>
      </c>
      <c r="AJ2389" t="s">
        <v>10212</v>
      </c>
      <c r="AL2389">
        <v>2.5</v>
      </c>
      <c r="AM2389" t="s">
        <v>10892</v>
      </c>
      <c r="AN2389" t="s">
        <v>10944</v>
      </c>
      <c r="AO2389" t="s">
        <v>11017</v>
      </c>
      <c r="AP2389" t="s">
        <v>11070</v>
      </c>
      <c r="AR2389" t="s">
        <v>11267</v>
      </c>
      <c r="AS2389" t="s">
        <v>11594</v>
      </c>
      <c r="AT2389" t="s">
        <v>11641</v>
      </c>
      <c r="AX2389" t="s">
        <v>10838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</row>
    <row r="2390" spans="1:59">
      <c r="A2390" s="1">
        <f>HYPERLINK("https://lsnyc.legalserver.org/matter/dynamic-profile/view/1906354","19-1906354")</f>
        <v>0</v>
      </c>
      <c r="B2390" t="s">
        <v>2029</v>
      </c>
      <c r="C2390" t="s">
        <v>6822</v>
      </c>
      <c r="D2390" t="s">
        <v>9935</v>
      </c>
      <c r="E2390" t="s">
        <v>10075</v>
      </c>
      <c r="F2390">
        <v>11369</v>
      </c>
      <c r="G2390" t="s">
        <v>10092</v>
      </c>
      <c r="H2390" t="s">
        <v>10095</v>
      </c>
      <c r="I2390" t="s">
        <v>10168</v>
      </c>
      <c r="J2390" t="s">
        <v>10212</v>
      </c>
      <c r="K2390" t="s">
        <v>10217</v>
      </c>
      <c r="M2390" t="s">
        <v>10318</v>
      </c>
      <c r="N2390" t="s">
        <v>10684</v>
      </c>
      <c r="P2390" t="s">
        <v>10751</v>
      </c>
      <c r="Q2390" t="s">
        <v>10786</v>
      </c>
      <c r="R2390" t="s">
        <v>10821</v>
      </c>
      <c r="T2390">
        <v>0</v>
      </c>
      <c r="U2390">
        <v>0</v>
      </c>
      <c r="V2390">
        <v>20</v>
      </c>
      <c r="W2390">
        <v>1</v>
      </c>
      <c r="X2390">
        <v>1</v>
      </c>
      <c r="Z2390">
        <v>0</v>
      </c>
      <c r="AA2390">
        <v>40.764996</v>
      </c>
      <c r="AB2390">
        <v>-73.883595</v>
      </c>
      <c r="AD2390" t="s">
        <v>10839</v>
      </c>
      <c r="AG2390" t="s">
        <v>10858</v>
      </c>
      <c r="AH2390" t="s">
        <v>10873</v>
      </c>
      <c r="AI2390">
        <v>237</v>
      </c>
      <c r="AJ2390" t="s">
        <v>10212</v>
      </c>
      <c r="AL2390">
        <v>4</v>
      </c>
      <c r="AM2390" t="s">
        <v>10885</v>
      </c>
      <c r="AN2390" t="s">
        <v>10916</v>
      </c>
      <c r="AO2390" t="s">
        <v>11014</v>
      </c>
      <c r="AP2390" t="s">
        <v>11084</v>
      </c>
      <c r="AR2390" t="s">
        <v>11267</v>
      </c>
      <c r="AS2390" t="s">
        <v>11594</v>
      </c>
      <c r="AT2390" t="s">
        <v>11641</v>
      </c>
      <c r="AX2390" t="s">
        <v>10838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</row>
    <row r="2391" spans="1:59">
      <c r="A2391" s="1">
        <f>HYPERLINK("https://lsnyc.legalserver.org/matter/dynamic-profile/view/1906355","19-1906355")</f>
        <v>0</v>
      </c>
      <c r="B2391" t="s">
        <v>2030</v>
      </c>
      <c r="C2391" t="s">
        <v>6823</v>
      </c>
      <c r="D2391" t="s">
        <v>9929</v>
      </c>
      <c r="E2391" t="s">
        <v>10075</v>
      </c>
      <c r="F2391">
        <v>10301</v>
      </c>
      <c r="G2391" t="s">
        <v>10088</v>
      </c>
      <c r="H2391" t="s">
        <v>10096</v>
      </c>
      <c r="I2391" t="s">
        <v>10168</v>
      </c>
      <c r="J2391" t="s">
        <v>10208</v>
      </c>
      <c r="K2391" t="s">
        <v>10217</v>
      </c>
      <c r="M2391" t="s">
        <v>10254</v>
      </c>
      <c r="N2391" t="s">
        <v>10650</v>
      </c>
      <c r="P2391" t="s">
        <v>10749</v>
      </c>
      <c r="Q2391" t="s">
        <v>10765</v>
      </c>
      <c r="R2391" t="s">
        <v>10824</v>
      </c>
      <c r="T2391">
        <v>19500</v>
      </c>
      <c r="U2391">
        <v>1625</v>
      </c>
      <c r="V2391">
        <v>20</v>
      </c>
      <c r="W2391">
        <v>2</v>
      </c>
      <c r="X2391">
        <v>1</v>
      </c>
      <c r="Z2391">
        <v>91.42</v>
      </c>
      <c r="AA2391">
        <v>40.644228</v>
      </c>
      <c r="AB2391">
        <v>-74.08438599999999</v>
      </c>
      <c r="AD2391" t="s">
        <v>10839</v>
      </c>
      <c r="AG2391" t="s">
        <v>10858</v>
      </c>
      <c r="AH2391" t="s">
        <v>10862</v>
      </c>
      <c r="AI2391">
        <v>285</v>
      </c>
      <c r="AJ2391" t="s">
        <v>10208</v>
      </c>
      <c r="AL2391">
        <v>15</v>
      </c>
      <c r="AM2391" t="s">
        <v>10883</v>
      </c>
      <c r="AN2391" t="s">
        <v>10913</v>
      </c>
      <c r="AO2391" t="s">
        <v>11006</v>
      </c>
      <c r="AP2391" t="s">
        <v>11051</v>
      </c>
      <c r="AR2391" t="s">
        <v>11257</v>
      </c>
      <c r="AS2391" t="s">
        <v>11593</v>
      </c>
      <c r="BA2391" t="s">
        <v>11738</v>
      </c>
      <c r="BB2391">
        <v>0</v>
      </c>
      <c r="BC2391">
        <v>0</v>
      </c>
      <c r="BD2391">
        <v>0</v>
      </c>
      <c r="BE2391">
        <v>0</v>
      </c>
      <c r="BF2391">
        <v>5</v>
      </c>
      <c r="BG2391">
        <v>0</v>
      </c>
    </row>
    <row r="2392" spans="1:59">
      <c r="A2392" s="1">
        <f>HYPERLINK("https://lsnyc.legalserver.org/matter/dynamic-profile/view/1906356","19-1906356")</f>
        <v>0</v>
      </c>
      <c r="B2392" t="s">
        <v>2031</v>
      </c>
      <c r="C2392" t="s">
        <v>6824</v>
      </c>
      <c r="D2392" t="s">
        <v>9925</v>
      </c>
      <c r="E2392" t="s">
        <v>10075</v>
      </c>
      <c r="F2392">
        <v>10002</v>
      </c>
      <c r="G2392" t="s">
        <v>10089</v>
      </c>
      <c r="H2392" t="s">
        <v>10095</v>
      </c>
      <c r="I2392" t="s">
        <v>10169</v>
      </c>
      <c r="J2392" t="s">
        <v>10209</v>
      </c>
      <c r="K2392" t="s">
        <v>10218</v>
      </c>
      <c r="L2392" t="s">
        <v>10220</v>
      </c>
      <c r="M2392" t="s">
        <v>10233</v>
      </c>
      <c r="N2392" t="s">
        <v>10649</v>
      </c>
      <c r="P2392" t="s">
        <v>10753</v>
      </c>
      <c r="Q2392" t="s">
        <v>10763</v>
      </c>
      <c r="R2392" t="s">
        <v>10821</v>
      </c>
      <c r="T2392">
        <v>9912</v>
      </c>
      <c r="U2392">
        <v>826</v>
      </c>
      <c r="V2392">
        <v>83</v>
      </c>
      <c r="W2392">
        <v>1</v>
      </c>
      <c r="X2392">
        <v>0</v>
      </c>
      <c r="Y2392" t="s">
        <v>10833</v>
      </c>
      <c r="Z2392">
        <v>79.36</v>
      </c>
      <c r="AA2392">
        <v>40.721731</v>
      </c>
      <c r="AB2392">
        <v>-73.989743</v>
      </c>
      <c r="AD2392" t="s">
        <v>10839</v>
      </c>
      <c r="AF2392" t="s">
        <v>10843</v>
      </c>
      <c r="AG2392" t="s">
        <v>10859</v>
      </c>
      <c r="AH2392" t="s">
        <v>10864</v>
      </c>
      <c r="AI2392">
        <v>236</v>
      </c>
      <c r="AJ2392" t="s">
        <v>10209</v>
      </c>
      <c r="AK2392" t="s">
        <v>10838</v>
      </c>
      <c r="AL2392">
        <v>1.75</v>
      </c>
      <c r="AM2392" t="s">
        <v>10886</v>
      </c>
      <c r="AN2392" t="s">
        <v>10963</v>
      </c>
      <c r="AO2392" t="s">
        <v>11004</v>
      </c>
      <c r="AP2392" t="s">
        <v>11093</v>
      </c>
      <c r="AQ2392" t="s">
        <v>11104</v>
      </c>
      <c r="AR2392" t="s">
        <v>11258</v>
      </c>
      <c r="AS2392" t="s">
        <v>9925</v>
      </c>
      <c r="AY2392" t="s">
        <v>10833</v>
      </c>
      <c r="AZ2392" t="s">
        <v>11689</v>
      </c>
      <c r="BA2392" t="s">
        <v>11739</v>
      </c>
      <c r="BB2392">
        <v>570</v>
      </c>
      <c r="BC2392">
        <v>0</v>
      </c>
      <c r="BD2392">
        <v>0</v>
      </c>
      <c r="BE2392">
        <v>0</v>
      </c>
      <c r="BF2392">
        <v>4</v>
      </c>
      <c r="BG2392">
        <v>0</v>
      </c>
    </row>
    <row r="2393" spans="1:59">
      <c r="A2393" s="1">
        <f>HYPERLINK("https://lsnyc.legalserver.org/matter/dynamic-profile/view/1906357","19-1906357")</f>
        <v>0</v>
      </c>
      <c r="B2393" t="s">
        <v>2032</v>
      </c>
      <c r="C2393" t="s">
        <v>5402</v>
      </c>
      <c r="D2393" t="s">
        <v>9925</v>
      </c>
      <c r="E2393" t="s">
        <v>10075</v>
      </c>
      <c r="F2393">
        <v>10029</v>
      </c>
      <c r="G2393" t="s">
        <v>10089</v>
      </c>
      <c r="H2393" t="s">
        <v>10095</v>
      </c>
      <c r="I2393" t="s">
        <v>10168</v>
      </c>
      <c r="J2393" t="s">
        <v>10209</v>
      </c>
      <c r="K2393" t="s">
        <v>10217</v>
      </c>
      <c r="M2393" t="s">
        <v>10440</v>
      </c>
      <c r="N2393" t="s">
        <v>10650</v>
      </c>
      <c r="P2393" t="s">
        <v>10749</v>
      </c>
      <c r="Q2393" t="s">
        <v>10765</v>
      </c>
      <c r="R2393" t="s">
        <v>10824</v>
      </c>
      <c r="T2393">
        <v>9252</v>
      </c>
      <c r="U2393">
        <v>771</v>
      </c>
      <c r="V2393">
        <v>77</v>
      </c>
      <c r="W2393">
        <v>2</v>
      </c>
      <c r="X2393">
        <v>1</v>
      </c>
      <c r="Z2393">
        <v>43.38</v>
      </c>
      <c r="AA2393">
        <v>40.793334</v>
      </c>
      <c r="AB2393">
        <v>-73.94613099999999</v>
      </c>
      <c r="AD2393" t="s">
        <v>10839</v>
      </c>
      <c r="AG2393" t="s">
        <v>10858</v>
      </c>
      <c r="AH2393" t="s">
        <v>10862</v>
      </c>
      <c r="AI2393">
        <v>236</v>
      </c>
      <c r="AJ2393" t="s">
        <v>10209</v>
      </c>
      <c r="AL2393">
        <v>0</v>
      </c>
      <c r="AM2393" t="s">
        <v>10887</v>
      </c>
      <c r="AN2393" t="s">
        <v>10926</v>
      </c>
      <c r="AO2393" t="s">
        <v>11013</v>
      </c>
      <c r="AP2393" t="s">
        <v>11066</v>
      </c>
      <c r="AR2393" t="s">
        <v>11263</v>
      </c>
      <c r="AS2393" t="s">
        <v>9925</v>
      </c>
      <c r="AT2393" t="s">
        <v>11641</v>
      </c>
      <c r="AX2393" t="s">
        <v>10838</v>
      </c>
      <c r="BA2393" t="s">
        <v>11738</v>
      </c>
      <c r="BB2393">
        <v>0</v>
      </c>
      <c r="BC2393">
        <v>0</v>
      </c>
      <c r="BD2393">
        <v>0</v>
      </c>
      <c r="BE2393">
        <v>0</v>
      </c>
      <c r="BF2393">
        <v>5</v>
      </c>
      <c r="BG2393">
        <v>0</v>
      </c>
    </row>
    <row r="2394" spans="1:59">
      <c r="A2394" s="1">
        <f>HYPERLINK("https://lsnyc.legalserver.org/matter/dynamic-profile/view/1906358","19-1906358")</f>
        <v>0</v>
      </c>
      <c r="B2394" t="s">
        <v>220</v>
      </c>
      <c r="C2394" t="s">
        <v>6825</v>
      </c>
      <c r="D2394" t="s">
        <v>9977</v>
      </c>
      <c r="E2394" t="s">
        <v>10075</v>
      </c>
      <c r="F2394">
        <v>11361</v>
      </c>
      <c r="G2394" t="s">
        <v>10092</v>
      </c>
      <c r="H2394" t="s">
        <v>10095</v>
      </c>
      <c r="I2394" t="s">
        <v>10168</v>
      </c>
      <c r="J2394" t="s">
        <v>10212</v>
      </c>
      <c r="K2394" t="s">
        <v>10217</v>
      </c>
      <c r="M2394" t="s">
        <v>10360</v>
      </c>
      <c r="N2394" t="s">
        <v>10695</v>
      </c>
      <c r="P2394" t="s">
        <v>10749</v>
      </c>
      <c r="Q2394" t="s">
        <v>10765</v>
      </c>
      <c r="R2394" t="s">
        <v>10824</v>
      </c>
      <c r="T2394">
        <v>21600</v>
      </c>
      <c r="U2394">
        <v>1800</v>
      </c>
      <c r="V2394">
        <v>40</v>
      </c>
      <c r="W2394">
        <v>1</v>
      </c>
      <c r="X2394">
        <v>2</v>
      </c>
      <c r="Z2394">
        <v>101.27</v>
      </c>
      <c r="AA2394">
        <v>40.758382</v>
      </c>
      <c r="AB2394">
        <v>-73.780761</v>
      </c>
      <c r="AD2394" t="s">
        <v>10839</v>
      </c>
      <c r="AG2394" t="s">
        <v>10858</v>
      </c>
      <c r="AH2394" t="s">
        <v>10862</v>
      </c>
      <c r="AI2394">
        <v>237</v>
      </c>
      <c r="AJ2394" t="s">
        <v>10212</v>
      </c>
      <c r="AL2394">
        <v>26.4</v>
      </c>
      <c r="AM2394" t="s">
        <v>10890</v>
      </c>
      <c r="AN2394" t="s">
        <v>10948</v>
      </c>
      <c r="AO2394" t="s">
        <v>11022</v>
      </c>
      <c r="AP2394" t="s">
        <v>11080</v>
      </c>
      <c r="AR2394" t="s">
        <v>11460</v>
      </c>
      <c r="AS2394" t="s">
        <v>11594</v>
      </c>
      <c r="AX2394" t="s">
        <v>10837</v>
      </c>
      <c r="BA2394" t="s">
        <v>11738</v>
      </c>
      <c r="BB2394">
        <v>0</v>
      </c>
      <c r="BC2394">
        <v>0</v>
      </c>
      <c r="BD2394">
        <v>0</v>
      </c>
      <c r="BE2394">
        <v>0</v>
      </c>
      <c r="BF2394">
        <v>5</v>
      </c>
      <c r="BG2394">
        <v>0</v>
      </c>
    </row>
    <row r="2395" spans="1:59">
      <c r="A2395" s="1">
        <f>HYPERLINK("https://lsnyc.legalserver.org/matter/dynamic-profile/view/1906359","19-1906359")</f>
        <v>0</v>
      </c>
      <c r="B2395" t="s">
        <v>1473</v>
      </c>
      <c r="C2395" t="s">
        <v>6668</v>
      </c>
      <c r="D2395" t="s">
        <v>9928</v>
      </c>
      <c r="E2395" t="s">
        <v>10075</v>
      </c>
      <c r="F2395">
        <v>11216</v>
      </c>
      <c r="G2395" t="s">
        <v>10093</v>
      </c>
      <c r="H2395" t="s">
        <v>10095</v>
      </c>
      <c r="I2395" t="s">
        <v>10168</v>
      </c>
      <c r="J2395" t="s">
        <v>10213</v>
      </c>
      <c r="K2395" t="s">
        <v>10217</v>
      </c>
      <c r="M2395" t="s">
        <v>10308</v>
      </c>
      <c r="N2395" t="s">
        <v>10650</v>
      </c>
      <c r="P2395" t="s">
        <v>10749</v>
      </c>
      <c r="Q2395" t="s">
        <v>10765</v>
      </c>
      <c r="R2395" t="s">
        <v>10824</v>
      </c>
      <c r="T2395">
        <v>99000</v>
      </c>
      <c r="U2395">
        <v>8250</v>
      </c>
      <c r="V2395">
        <v>43</v>
      </c>
      <c r="W2395">
        <v>1</v>
      </c>
      <c r="X2395">
        <v>0</v>
      </c>
      <c r="Z2395">
        <v>792.63</v>
      </c>
      <c r="AA2395">
        <v>40.672367</v>
      </c>
      <c r="AB2395">
        <v>-73.952482</v>
      </c>
      <c r="AD2395" t="s">
        <v>10822</v>
      </c>
      <c r="AG2395" t="s">
        <v>10858</v>
      </c>
      <c r="AH2395" t="s">
        <v>10862</v>
      </c>
      <c r="AI2395">
        <v>239</v>
      </c>
      <c r="AJ2395" t="s">
        <v>10213</v>
      </c>
      <c r="AL2395">
        <v>0</v>
      </c>
      <c r="AM2395" t="s">
        <v>10888</v>
      </c>
      <c r="AN2395" t="s">
        <v>10912</v>
      </c>
      <c r="AO2395" t="s">
        <v>11005</v>
      </c>
      <c r="AP2395" t="s">
        <v>11061</v>
      </c>
      <c r="AR2395" t="s">
        <v>11276</v>
      </c>
      <c r="AS2395" t="s">
        <v>11595</v>
      </c>
      <c r="AT2395" t="s">
        <v>11641</v>
      </c>
      <c r="AX2395" t="s">
        <v>11678</v>
      </c>
      <c r="BA2395" t="s">
        <v>11738</v>
      </c>
      <c r="BB2395">
        <v>0</v>
      </c>
      <c r="BC2395">
        <v>0</v>
      </c>
      <c r="BD2395">
        <v>0</v>
      </c>
      <c r="BE2395">
        <v>0</v>
      </c>
      <c r="BF2395">
        <v>5</v>
      </c>
      <c r="BG2395">
        <v>0</v>
      </c>
    </row>
    <row r="2396" spans="1:59">
      <c r="A2396" s="1">
        <f>HYPERLINK("https://lsnyc.legalserver.org/matter/dynamic-profile/view/1906360","19-1906360")</f>
        <v>0</v>
      </c>
      <c r="B2396" t="s">
        <v>925</v>
      </c>
      <c r="C2396" t="s">
        <v>5809</v>
      </c>
      <c r="D2396" t="s">
        <v>9926</v>
      </c>
      <c r="E2396" t="s">
        <v>10075</v>
      </c>
      <c r="F2396">
        <v>10460</v>
      </c>
      <c r="G2396" t="s">
        <v>10090</v>
      </c>
      <c r="H2396" t="s">
        <v>10095</v>
      </c>
      <c r="I2396" t="s">
        <v>10168</v>
      </c>
      <c r="J2396" t="s">
        <v>10210</v>
      </c>
      <c r="K2396" t="s">
        <v>10217</v>
      </c>
      <c r="M2396" t="s">
        <v>10559</v>
      </c>
      <c r="N2396" t="s">
        <v>10671</v>
      </c>
      <c r="P2396" t="s">
        <v>10751</v>
      </c>
      <c r="Q2396" t="s">
        <v>10761</v>
      </c>
      <c r="R2396" t="s">
        <v>10821</v>
      </c>
      <c r="T2396">
        <v>18096</v>
      </c>
      <c r="U2396">
        <v>1508</v>
      </c>
      <c r="V2396">
        <v>39</v>
      </c>
      <c r="W2396">
        <v>1</v>
      </c>
      <c r="X2396">
        <v>2</v>
      </c>
      <c r="Z2396">
        <v>84.84</v>
      </c>
      <c r="AA2396">
        <v>40.845387</v>
      </c>
      <c r="AB2396">
        <v>-73.882757</v>
      </c>
      <c r="AD2396" t="s">
        <v>10839</v>
      </c>
      <c r="AG2396" t="s">
        <v>10858</v>
      </c>
      <c r="AH2396" t="s">
        <v>10862</v>
      </c>
      <c r="AI2396">
        <v>230</v>
      </c>
      <c r="AJ2396" t="s">
        <v>10210</v>
      </c>
      <c r="AL2396">
        <v>0</v>
      </c>
      <c r="AM2396" t="s">
        <v>10884</v>
      </c>
      <c r="AN2396" t="s">
        <v>10908</v>
      </c>
      <c r="AO2396" t="s">
        <v>11001</v>
      </c>
      <c r="AP2396" t="s">
        <v>11062</v>
      </c>
      <c r="AR2396" t="s">
        <v>11257</v>
      </c>
      <c r="AS2396" t="s">
        <v>9926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</row>
    <row r="2397" spans="1:59">
      <c r="A2397" s="1">
        <f>HYPERLINK("https://lsnyc.legalserver.org/matter/dynamic-profile/view/1906361","19-1906361")</f>
        <v>0</v>
      </c>
      <c r="B2397" t="s">
        <v>2033</v>
      </c>
      <c r="C2397" t="s">
        <v>6826</v>
      </c>
      <c r="D2397" t="s">
        <v>9926</v>
      </c>
      <c r="E2397" t="s">
        <v>10075</v>
      </c>
      <c r="F2397">
        <v>10454</v>
      </c>
      <c r="G2397" t="s">
        <v>10091</v>
      </c>
      <c r="H2397" t="s">
        <v>10095</v>
      </c>
      <c r="I2397" t="s">
        <v>10168</v>
      </c>
      <c r="J2397" t="s">
        <v>10214</v>
      </c>
      <c r="K2397" t="s">
        <v>10217</v>
      </c>
      <c r="M2397" t="s">
        <v>10286</v>
      </c>
      <c r="N2397" t="s">
        <v>10646</v>
      </c>
      <c r="P2397" t="s">
        <v>10749</v>
      </c>
      <c r="Q2397" t="s">
        <v>10767</v>
      </c>
      <c r="R2397" t="s">
        <v>10821</v>
      </c>
      <c r="T2397">
        <v>58408</v>
      </c>
      <c r="U2397">
        <v>4867.33</v>
      </c>
      <c r="V2397">
        <v>54</v>
      </c>
      <c r="W2397">
        <v>2</v>
      </c>
      <c r="X2397">
        <v>0</v>
      </c>
      <c r="Z2397">
        <v>345.41</v>
      </c>
      <c r="AA2397">
        <v>40.807654</v>
      </c>
      <c r="AB2397">
        <v>-73.924374</v>
      </c>
      <c r="AD2397" t="s">
        <v>10839</v>
      </c>
      <c r="AG2397" t="s">
        <v>10858</v>
      </c>
      <c r="AH2397" t="s">
        <v>10861</v>
      </c>
      <c r="AI2397">
        <v>234</v>
      </c>
      <c r="AJ2397" t="s">
        <v>10214</v>
      </c>
      <c r="AL2397">
        <v>1</v>
      </c>
      <c r="AM2397" t="s">
        <v>10884</v>
      </c>
      <c r="AN2397" t="s">
        <v>10924</v>
      </c>
      <c r="AO2397" t="s">
        <v>11013</v>
      </c>
      <c r="AP2397" t="s">
        <v>11066</v>
      </c>
      <c r="AR2397" t="s">
        <v>11360</v>
      </c>
      <c r="AS2397" t="s">
        <v>9926</v>
      </c>
      <c r="AT2397" t="s">
        <v>11641</v>
      </c>
      <c r="AX2397" t="s">
        <v>10838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</row>
    <row r="2398" spans="1:59">
      <c r="A2398" s="1">
        <f>HYPERLINK("https://lsnyc.legalserver.org/matter/dynamic-profile/view/1906363","19-1906363")</f>
        <v>0</v>
      </c>
      <c r="B2398" t="s">
        <v>1473</v>
      </c>
      <c r="C2398" t="s">
        <v>6668</v>
      </c>
      <c r="D2398" t="s">
        <v>9928</v>
      </c>
      <c r="E2398" t="s">
        <v>10075</v>
      </c>
      <c r="F2398">
        <v>11216</v>
      </c>
      <c r="G2398" t="s">
        <v>10093</v>
      </c>
      <c r="H2398" t="s">
        <v>10095</v>
      </c>
      <c r="I2398" t="s">
        <v>10168</v>
      </c>
      <c r="J2398" t="s">
        <v>10213</v>
      </c>
      <c r="K2398" t="s">
        <v>10217</v>
      </c>
      <c r="M2398" t="s">
        <v>10371</v>
      </c>
      <c r="N2398" t="s">
        <v>10650</v>
      </c>
      <c r="P2398" t="s">
        <v>10749</v>
      </c>
      <c r="Q2398" t="s">
        <v>10765</v>
      </c>
      <c r="R2398" t="s">
        <v>10824</v>
      </c>
      <c r="T2398">
        <v>99000</v>
      </c>
      <c r="U2398">
        <v>8250</v>
      </c>
      <c r="V2398">
        <v>43</v>
      </c>
      <c r="W2398">
        <v>1</v>
      </c>
      <c r="X2398">
        <v>0</v>
      </c>
      <c r="Z2398">
        <v>792.63</v>
      </c>
      <c r="AA2398">
        <v>40.672367</v>
      </c>
      <c r="AB2398">
        <v>-73.952482</v>
      </c>
      <c r="AC2398" t="s">
        <v>10838</v>
      </c>
      <c r="AD2398" t="s">
        <v>10822</v>
      </c>
      <c r="AG2398" t="s">
        <v>10858</v>
      </c>
      <c r="AH2398" t="s">
        <v>10862</v>
      </c>
      <c r="AI2398">
        <v>239</v>
      </c>
      <c r="AJ2398" t="s">
        <v>10213</v>
      </c>
      <c r="AL2398">
        <v>0</v>
      </c>
      <c r="AR2398" t="s">
        <v>11276</v>
      </c>
      <c r="AS2398" t="s">
        <v>11595</v>
      </c>
      <c r="AT2398" t="s">
        <v>11641</v>
      </c>
      <c r="BA2398" t="s">
        <v>11740</v>
      </c>
      <c r="BB2398">
        <v>0</v>
      </c>
      <c r="BC2398">
        <v>0</v>
      </c>
      <c r="BD2398">
        <v>0</v>
      </c>
      <c r="BE2398">
        <v>0</v>
      </c>
      <c r="BF2398">
        <v>2</v>
      </c>
      <c r="BG2398">
        <v>0</v>
      </c>
    </row>
    <row r="2399" spans="1:59">
      <c r="A2399" s="1">
        <f>HYPERLINK("https://lsnyc.legalserver.org/matter/dynamic-profile/view/1906364","19-1906364")</f>
        <v>0</v>
      </c>
      <c r="B2399" t="s">
        <v>2034</v>
      </c>
      <c r="C2399" t="s">
        <v>6827</v>
      </c>
      <c r="D2399" t="s">
        <v>9931</v>
      </c>
      <c r="E2399" t="s">
        <v>10075</v>
      </c>
      <c r="F2399">
        <v>11355</v>
      </c>
      <c r="G2399" t="s">
        <v>10092</v>
      </c>
      <c r="H2399" t="s">
        <v>10095</v>
      </c>
      <c r="I2399" t="s">
        <v>10168</v>
      </c>
      <c r="J2399" t="s">
        <v>10212</v>
      </c>
      <c r="K2399" t="s">
        <v>10217</v>
      </c>
      <c r="M2399" t="s">
        <v>10452</v>
      </c>
      <c r="N2399" t="s">
        <v>10688</v>
      </c>
      <c r="P2399" t="s">
        <v>10752</v>
      </c>
      <c r="Q2399" t="s">
        <v>10783</v>
      </c>
      <c r="R2399" t="s">
        <v>10824</v>
      </c>
      <c r="T2399">
        <v>861</v>
      </c>
      <c r="U2399">
        <v>71.75</v>
      </c>
      <c r="V2399">
        <v>56</v>
      </c>
      <c r="W2399">
        <v>1</v>
      </c>
      <c r="X2399">
        <v>0</v>
      </c>
      <c r="Z2399">
        <v>6.89</v>
      </c>
      <c r="AA2399">
        <v>40.750938</v>
      </c>
      <c r="AB2399">
        <v>-73.822436</v>
      </c>
      <c r="AD2399" t="s">
        <v>10839</v>
      </c>
      <c r="AG2399" t="s">
        <v>10858</v>
      </c>
      <c r="AH2399" t="s">
        <v>10860</v>
      </c>
      <c r="AI2399">
        <v>237</v>
      </c>
      <c r="AJ2399" t="s">
        <v>10212</v>
      </c>
      <c r="AL2399">
        <v>1.4</v>
      </c>
      <c r="AM2399" t="s">
        <v>10890</v>
      </c>
      <c r="AN2399" t="s">
        <v>10934</v>
      </c>
      <c r="AO2399" t="s">
        <v>11009</v>
      </c>
      <c r="AP2399" t="s">
        <v>11067</v>
      </c>
      <c r="AR2399" t="s">
        <v>11461</v>
      </c>
      <c r="AS2399" t="s">
        <v>11594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</row>
    <row r="2400" spans="1:59">
      <c r="A2400" s="1">
        <f>HYPERLINK("https://lsnyc.legalserver.org/matter/dynamic-profile/view/1906365","19-1906365")</f>
        <v>0</v>
      </c>
      <c r="B2400" t="s">
        <v>2035</v>
      </c>
      <c r="C2400" t="s">
        <v>6828</v>
      </c>
      <c r="D2400" t="s">
        <v>9926</v>
      </c>
      <c r="E2400" t="s">
        <v>10075</v>
      </c>
      <c r="F2400">
        <v>10455</v>
      </c>
      <c r="G2400" t="s">
        <v>10090</v>
      </c>
      <c r="H2400" t="s">
        <v>10095</v>
      </c>
      <c r="I2400" t="s">
        <v>10168</v>
      </c>
      <c r="J2400" t="s">
        <v>10210</v>
      </c>
      <c r="K2400" t="s">
        <v>10217</v>
      </c>
      <c r="M2400" t="s">
        <v>10571</v>
      </c>
      <c r="N2400" t="s">
        <v>10666</v>
      </c>
      <c r="P2400" t="s">
        <v>10749</v>
      </c>
      <c r="Q2400" t="s">
        <v>10765</v>
      </c>
      <c r="R2400" t="s">
        <v>10821</v>
      </c>
      <c r="T2400">
        <v>23926.8</v>
      </c>
      <c r="U2400">
        <v>1993.9</v>
      </c>
      <c r="V2400">
        <v>25</v>
      </c>
      <c r="W2400">
        <v>2</v>
      </c>
      <c r="X2400">
        <v>2</v>
      </c>
      <c r="Z2400">
        <v>92.92</v>
      </c>
      <c r="AA2400">
        <v>40.81589</v>
      </c>
      <c r="AB2400">
        <v>-73.897609</v>
      </c>
      <c r="AD2400" t="s">
        <v>10839</v>
      </c>
      <c r="AG2400" t="s">
        <v>10858</v>
      </c>
      <c r="AH2400" t="s">
        <v>10862</v>
      </c>
      <c r="AI2400">
        <v>230</v>
      </c>
      <c r="AJ2400" t="s">
        <v>10210</v>
      </c>
      <c r="AL2400">
        <v>9.5</v>
      </c>
      <c r="AM2400" t="s">
        <v>10884</v>
      </c>
      <c r="AN2400" t="s">
        <v>10968</v>
      </c>
      <c r="AO2400" t="s">
        <v>11001</v>
      </c>
      <c r="AP2400" t="s">
        <v>11066</v>
      </c>
      <c r="AR2400" t="s">
        <v>11295</v>
      </c>
      <c r="AS2400" t="s">
        <v>9926</v>
      </c>
      <c r="AT2400" t="s">
        <v>11641</v>
      </c>
      <c r="AX2400" t="s">
        <v>10838</v>
      </c>
      <c r="BA2400" t="s">
        <v>11738</v>
      </c>
      <c r="BB2400">
        <v>0</v>
      </c>
      <c r="BC2400">
        <v>0</v>
      </c>
      <c r="BD2400">
        <v>0</v>
      </c>
      <c r="BE2400">
        <v>0</v>
      </c>
      <c r="BF2400">
        <v>5</v>
      </c>
      <c r="BG2400">
        <v>0</v>
      </c>
    </row>
    <row r="2401" spans="1:59">
      <c r="A2401" s="1">
        <f>HYPERLINK("https://lsnyc.legalserver.org/matter/dynamic-profile/view/1906366","19-1906366")</f>
        <v>0</v>
      </c>
      <c r="B2401" t="s">
        <v>305</v>
      </c>
      <c r="C2401" t="s">
        <v>6829</v>
      </c>
      <c r="D2401" t="s">
        <v>9965</v>
      </c>
      <c r="E2401" t="s">
        <v>10075</v>
      </c>
      <c r="F2401">
        <v>11102</v>
      </c>
      <c r="G2401" t="s">
        <v>10092</v>
      </c>
      <c r="H2401" t="s">
        <v>10095</v>
      </c>
      <c r="I2401" t="s">
        <v>10168</v>
      </c>
      <c r="J2401" t="s">
        <v>10212</v>
      </c>
      <c r="K2401" t="s">
        <v>10218</v>
      </c>
      <c r="L2401" t="s">
        <v>10104</v>
      </c>
      <c r="M2401" t="s">
        <v>10398</v>
      </c>
      <c r="N2401" t="s">
        <v>10656</v>
      </c>
      <c r="P2401" t="s">
        <v>10751</v>
      </c>
      <c r="Q2401" t="s">
        <v>10780</v>
      </c>
      <c r="R2401" t="s">
        <v>10826</v>
      </c>
      <c r="T2401">
        <v>0</v>
      </c>
      <c r="U2401">
        <v>0</v>
      </c>
      <c r="V2401">
        <v>40</v>
      </c>
      <c r="W2401">
        <v>1</v>
      </c>
      <c r="X2401">
        <v>0</v>
      </c>
      <c r="Y2401" t="s">
        <v>10829</v>
      </c>
      <c r="Z2401">
        <v>0</v>
      </c>
      <c r="AA2401">
        <v>40.773976</v>
      </c>
      <c r="AB2401">
        <v>-73.931045</v>
      </c>
      <c r="AD2401" t="s">
        <v>10840</v>
      </c>
      <c r="AG2401" t="s">
        <v>10858</v>
      </c>
      <c r="AH2401" t="s">
        <v>10866</v>
      </c>
      <c r="AI2401">
        <v>237</v>
      </c>
      <c r="AJ2401" t="s">
        <v>10212</v>
      </c>
      <c r="AK2401" t="s">
        <v>10838</v>
      </c>
      <c r="AL2401">
        <v>3.25</v>
      </c>
      <c r="AM2401" t="s">
        <v>10891</v>
      </c>
      <c r="AN2401" t="s">
        <v>10961</v>
      </c>
      <c r="AO2401" t="s">
        <v>11003</v>
      </c>
      <c r="AP2401" t="s">
        <v>11084</v>
      </c>
      <c r="AQ2401" t="s">
        <v>11118</v>
      </c>
      <c r="AR2401" t="s">
        <v>11267</v>
      </c>
      <c r="AS2401" t="s">
        <v>11594</v>
      </c>
      <c r="AT2401" t="s">
        <v>11642</v>
      </c>
      <c r="AX2401" t="s">
        <v>10838</v>
      </c>
      <c r="AY2401" t="s">
        <v>10829</v>
      </c>
      <c r="AZ2401" t="s">
        <v>11682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</row>
    <row r="2402" spans="1:59">
      <c r="A2402" s="1">
        <f>HYPERLINK("https://lsnyc.legalserver.org/matter/dynamic-profile/view/1906367","19-1906367")</f>
        <v>0</v>
      </c>
      <c r="B2402" t="s">
        <v>1473</v>
      </c>
      <c r="C2402" t="s">
        <v>6668</v>
      </c>
      <c r="D2402" t="s">
        <v>9928</v>
      </c>
      <c r="E2402" t="s">
        <v>10075</v>
      </c>
      <c r="F2402">
        <v>11216</v>
      </c>
      <c r="G2402" t="s">
        <v>10093</v>
      </c>
      <c r="H2402" t="s">
        <v>10095</v>
      </c>
      <c r="I2402" t="s">
        <v>10168</v>
      </c>
      <c r="J2402" t="s">
        <v>10213</v>
      </c>
      <c r="K2402" t="s">
        <v>10217</v>
      </c>
      <c r="M2402" t="s">
        <v>10371</v>
      </c>
      <c r="N2402" t="s">
        <v>10650</v>
      </c>
      <c r="P2402" t="s">
        <v>10749</v>
      </c>
      <c r="Q2402" t="s">
        <v>10765</v>
      </c>
      <c r="R2402" t="s">
        <v>10824</v>
      </c>
      <c r="T2402">
        <v>99000</v>
      </c>
      <c r="U2402">
        <v>8250</v>
      </c>
      <c r="V2402">
        <v>43</v>
      </c>
      <c r="W2402">
        <v>1</v>
      </c>
      <c r="X2402">
        <v>0</v>
      </c>
      <c r="Z2402">
        <v>792.63</v>
      </c>
      <c r="AA2402">
        <v>40.672367</v>
      </c>
      <c r="AB2402">
        <v>-73.952482</v>
      </c>
      <c r="AD2402" t="s">
        <v>10822</v>
      </c>
      <c r="AG2402" t="s">
        <v>10858</v>
      </c>
      <c r="AH2402" t="s">
        <v>10862</v>
      </c>
      <c r="AI2402">
        <v>239</v>
      </c>
      <c r="AJ2402" t="s">
        <v>10213</v>
      </c>
      <c r="AL2402">
        <v>42.3</v>
      </c>
      <c r="AQ2402" t="s">
        <v>11101</v>
      </c>
      <c r="AR2402" t="s">
        <v>11276</v>
      </c>
      <c r="AS2402" t="s">
        <v>11595</v>
      </c>
      <c r="AT2402" t="s">
        <v>11641</v>
      </c>
      <c r="BA2402" t="s">
        <v>11738</v>
      </c>
      <c r="BB2402">
        <v>0</v>
      </c>
      <c r="BC2402">
        <v>0</v>
      </c>
      <c r="BD2402">
        <v>0</v>
      </c>
      <c r="BE2402">
        <v>0</v>
      </c>
      <c r="BF2402">
        <v>5</v>
      </c>
      <c r="BG2402">
        <v>0</v>
      </c>
    </row>
    <row r="2403" spans="1:59">
      <c r="A2403" s="1">
        <f>HYPERLINK("https://lsnyc.legalserver.org/matter/dynamic-profile/view/1906369","19-1906369")</f>
        <v>0</v>
      </c>
      <c r="B2403" t="s">
        <v>200</v>
      </c>
      <c r="C2403" t="s">
        <v>5136</v>
      </c>
      <c r="D2403" t="s">
        <v>9926</v>
      </c>
      <c r="E2403" t="s">
        <v>10075</v>
      </c>
      <c r="F2403">
        <v>10467</v>
      </c>
      <c r="G2403" t="s">
        <v>10090</v>
      </c>
      <c r="H2403" t="s">
        <v>10095</v>
      </c>
      <c r="I2403" t="s">
        <v>10168</v>
      </c>
      <c r="J2403" t="s">
        <v>10210</v>
      </c>
      <c r="K2403" t="s">
        <v>10217</v>
      </c>
      <c r="M2403" t="s">
        <v>10319</v>
      </c>
      <c r="N2403" t="s">
        <v>10688</v>
      </c>
      <c r="P2403" t="s">
        <v>10749</v>
      </c>
      <c r="Q2403" t="s">
        <v>10791</v>
      </c>
      <c r="R2403" t="s">
        <v>10821</v>
      </c>
      <c r="T2403">
        <v>21252</v>
      </c>
      <c r="U2403">
        <v>1771</v>
      </c>
      <c r="V2403">
        <v>58</v>
      </c>
      <c r="W2403">
        <v>2</v>
      </c>
      <c r="X2403">
        <v>0</v>
      </c>
      <c r="Z2403">
        <v>125.68</v>
      </c>
      <c r="AA2403">
        <v>40.864145</v>
      </c>
      <c r="AB2403">
        <v>-73.870001</v>
      </c>
      <c r="AD2403" t="s">
        <v>10840</v>
      </c>
      <c r="AG2403" t="s">
        <v>10858</v>
      </c>
      <c r="AH2403" t="s">
        <v>10861</v>
      </c>
      <c r="AI2403">
        <v>230</v>
      </c>
      <c r="AJ2403" t="s">
        <v>10210</v>
      </c>
      <c r="AL2403">
        <v>1.6</v>
      </c>
      <c r="AQ2403" t="s">
        <v>11186</v>
      </c>
      <c r="AR2403" t="s">
        <v>11298</v>
      </c>
      <c r="AS2403" t="s">
        <v>9926</v>
      </c>
      <c r="BA2403" t="s">
        <v>11740</v>
      </c>
      <c r="BB2403">
        <v>0</v>
      </c>
      <c r="BC2403">
        <v>0</v>
      </c>
      <c r="BD2403">
        <v>0</v>
      </c>
      <c r="BE2403">
        <v>0</v>
      </c>
      <c r="BF2403">
        <v>2</v>
      </c>
      <c r="BG2403">
        <v>0</v>
      </c>
    </row>
    <row r="2404" spans="1:59">
      <c r="A2404" s="1">
        <f>HYPERLINK("https://lsnyc.legalserver.org/matter/dynamic-profile/view/1906370","19-1906370")</f>
        <v>0</v>
      </c>
      <c r="B2404" t="s">
        <v>2036</v>
      </c>
      <c r="C2404" t="s">
        <v>6830</v>
      </c>
      <c r="D2404" t="s">
        <v>9926</v>
      </c>
      <c r="E2404" t="s">
        <v>10075</v>
      </c>
      <c r="F2404">
        <v>10472</v>
      </c>
      <c r="G2404" t="s">
        <v>10090</v>
      </c>
      <c r="H2404" t="s">
        <v>10095</v>
      </c>
      <c r="I2404" t="s">
        <v>10168</v>
      </c>
      <c r="J2404" t="s">
        <v>10210</v>
      </c>
      <c r="K2404" t="s">
        <v>10217</v>
      </c>
      <c r="M2404" t="s">
        <v>10495</v>
      </c>
      <c r="N2404" t="s">
        <v>10658</v>
      </c>
      <c r="P2404" t="s">
        <v>10749</v>
      </c>
      <c r="Q2404" t="s">
        <v>10806</v>
      </c>
      <c r="R2404" t="s">
        <v>10820</v>
      </c>
      <c r="T2404">
        <v>31200</v>
      </c>
      <c r="U2404">
        <v>2600</v>
      </c>
      <c r="V2404">
        <v>70</v>
      </c>
      <c r="W2404">
        <v>2</v>
      </c>
      <c r="X2404">
        <v>0</v>
      </c>
      <c r="Z2404">
        <v>184.51</v>
      </c>
      <c r="AA2404">
        <v>40.82833</v>
      </c>
      <c r="AB2404">
        <v>-73.862994</v>
      </c>
      <c r="AD2404" t="s">
        <v>10840</v>
      </c>
      <c r="AG2404" t="s">
        <v>10858</v>
      </c>
      <c r="AH2404" t="s">
        <v>10860</v>
      </c>
      <c r="AI2404">
        <v>230</v>
      </c>
      <c r="AJ2404" t="s">
        <v>10210</v>
      </c>
      <c r="AL2404">
        <v>3.5</v>
      </c>
      <c r="AM2404" t="s">
        <v>10884</v>
      </c>
      <c r="AN2404" t="s">
        <v>10908</v>
      </c>
      <c r="AO2404" t="s">
        <v>11001</v>
      </c>
      <c r="AP2404" t="s">
        <v>11046</v>
      </c>
      <c r="AQ2404" t="s">
        <v>11213</v>
      </c>
      <c r="AR2404" t="s">
        <v>11296</v>
      </c>
      <c r="AS2404" t="s">
        <v>9926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</row>
    <row r="2405" spans="1:59">
      <c r="A2405" s="1">
        <f>HYPERLINK("https://lsnyc.legalserver.org/matter/dynamic-profile/view/1906371","19-1906371")</f>
        <v>0</v>
      </c>
      <c r="B2405" t="s">
        <v>2037</v>
      </c>
      <c r="C2405" t="s">
        <v>6831</v>
      </c>
      <c r="D2405" t="s">
        <v>9925</v>
      </c>
      <c r="E2405" t="s">
        <v>10075</v>
      </c>
      <c r="F2405">
        <v>10025</v>
      </c>
      <c r="G2405" t="s">
        <v>10089</v>
      </c>
      <c r="H2405" t="s">
        <v>10095</v>
      </c>
      <c r="I2405" t="s">
        <v>10168</v>
      </c>
      <c r="J2405" t="s">
        <v>10209</v>
      </c>
      <c r="K2405" t="s">
        <v>10218</v>
      </c>
      <c r="L2405" t="s">
        <v>10108</v>
      </c>
      <c r="M2405" t="s">
        <v>10403</v>
      </c>
      <c r="N2405" t="s">
        <v>10707</v>
      </c>
      <c r="P2405" t="s">
        <v>10751</v>
      </c>
      <c r="Q2405" t="s">
        <v>10776</v>
      </c>
      <c r="R2405" t="s">
        <v>10824</v>
      </c>
      <c r="T2405">
        <v>0</v>
      </c>
      <c r="U2405">
        <v>0</v>
      </c>
      <c r="V2405">
        <v>62</v>
      </c>
      <c r="W2405">
        <v>1</v>
      </c>
      <c r="X2405">
        <v>0</v>
      </c>
      <c r="Y2405" t="s">
        <v>10830</v>
      </c>
      <c r="Z2405">
        <v>0</v>
      </c>
      <c r="AA2405">
        <v>40.794964</v>
      </c>
      <c r="AB2405">
        <v>-73.963145</v>
      </c>
      <c r="AD2405" t="s">
        <v>10839</v>
      </c>
      <c r="AG2405" t="s">
        <v>10858</v>
      </c>
      <c r="AH2405" t="s">
        <v>10874</v>
      </c>
      <c r="AI2405">
        <v>234</v>
      </c>
      <c r="AJ2405" t="s">
        <v>10214</v>
      </c>
      <c r="AK2405" t="s">
        <v>10838</v>
      </c>
      <c r="AL2405">
        <v>5.95</v>
      </c>
      <c r="AM2405" t="s">
        <v>10887</v>
      </c>
      <c r="AN2405" t="s">
        <v>10953</v>
      </c>
      <c r="AO2405" t="s">
        <v>11016</v>
      </c>
      <c r="AP2405" t="s">
        <v>11073</v>
      </c>
      <c r="AR2405" t="s">
        <v>11279</v>
      </c>
      <c r="AS2405" t="s">
        <v>9925</v>
      </c>
      <c r="AX2405" t="s">
        <v>10838</v>
      </c>
      <c r="AY2405" t="s">
        <v>10830</v>
      </c>
      <c r="AZ2405" t="s">
        <v>11682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</row>
    <row r="2406" spans="1:59">
      <c r="A2406" s="1">
        <f>HYPERLINK("https://lsnyc.legalserver.org/matter/dynamic-profile/view/1906372","19-1906372")</f>
        <v>0</v>
      </c>
      <c r="B2406" t="s">
        <v>2038</v>
      </c>
      <c r="C2406" t="s">
        <v>6832</v>
      </c>
      <c r="D2406" t="s">
        <v>9925</v>
      </c>
      <c r="E2406" t="s">
        <v>10075</v>
      </c>
      <c r="F2406">
        <v>10065</v>
      </c>
      <c r="G2406" t="s">
        <v>10091</v>
      </c>
      <c r="H2406" t="s">
        <v>10095</v>
      </c>
      <c r="I2406" t="s">
        <v>10169</v>
      </c>
      <c r="J2406" t="s">
        <v>10214</v>
      </c>
      <c r="K2406" t="s">
        <v>10217</v>
      </c>
      <c r="M2406" t="s">
        <v>10286</v>
      </c>
      <c r="N2406" t="s">
        <v>10671</v>
      </c>
      <c r="P2406" t="s">
        <v>10751</v>
      </c>
      <c r="Q2406" t="s">
        <v>10768</v>
      </c>
      <c r="R2406" t="s">
        <v>10821</v>
      </c>
      <c r="T2406">
        <v>5868</v>
      </c>
      <c r="U2406">
        <v>489</v>
      </c>
      <c r="V2406">
        <v>69</v>
      </c>
      <c r="W2406">
        <v>1</v>
      </c>
      <c r="X2406">
        <v>0</v>
      </c>
      <c r="Z2406">
        <v>46.98</v>
      </c>
      <c r="AA2406">
        <v>40.767243</v>
      </c>
      <c r="AB2406">
        <v>-73.96551700000001</v>
      </c>
      <c r="AD2406" t="s">
        <v>10839</v>
      </c>
      <c r="AG2406" t="s">
        <v>10858</v>
      </c>
      <c r="AH2406" t="s">
        <v>10871</v>
      </c>
      <c r="AI2406">
        <v>234</v>
      </c>
      <c r="AJ2406" t="s">
        <v>10214</v>
      </c>
      <c r="AL2406">
        <v>1</v>
      </c>
      <c r="AM2406" t="s">
        <v>10891</v>
      </c>
      <c r="AN2406" t="s">
        <v>10970</v>
      </c>
      <c r="AO2406" t="s">
        <v>11026</v>
      </c>
      <c r="AP2406" t="s">
        <v>11091</v>
      </c>
      <c r="AR2406" t="s">
        <v>11263</v>
      </c>
      <c r="AS2406" t="s">
        <v>9925</v>
      </c>
      <c r="AT2406" t="s">
        <v>11641</v>
      </c>
      <c r="AX2406" t="s">
        <v>10838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</row>
    <row r="2407" spans="1:59">
      <c r="A2407" s="1">
        <f>HYPERLINK("https://lsnyc.legalserver.org/matter/dynamic-profile/view/1906373","19-1906373")</f>
        <v>0</v>
      </c>
      <c r="B2407" t="s">
        <v>2039</v>
      </c>
      <c r="C2407" t="s">
        <v>6833</v>
      </c>
      <c r="D2407" t="s">
        <v>9928</v>
      </c>
      <c r="E2407" t="s">
        <v>10075</v>
      </c>
      <c r="F2407">
        <v>11208</v>
      </c>
      <c r="G2407" t="s">
        <v>10091</v>
      </c>
      <c r="H2407" t="s">
        <v>10095</v>
      </c>
      <c r="I2407" t="s">
        <v>10168</v>
      </c>
      <c r="J2407" t="s">
        <v>10211</v>
      </c>
      <c r="K2407" t="s">
        <v>10217</v>
      </c>
      <c r="M2407" t="s">
        <v>10307</v>
      </c>
      <c r="N2407" t="s">
        <v>10646</v>
      </c>
      <c r="P2407" t="s">
        <v>10752</v>
      </c>
      <c r="Q2407" t="s">
        <v>10762</v>
      </c>
      <c r="R2407" t="s">
        <v>10824</v>
      </c>
      <c r="T2407">
        <v>52004</v>
      </c>
      <c r="U2407">
        <v>4333.67</v>
      </c>
      <c r="V2407">
        <v>50</v>
      </c>
      <c r="W2407">
        <v>3</v>
      </c>
      <c r="X2407">
        <v>1</v>
      </c>
      <c r="Z2407">
        <v>201.96</v>
      </c>
      <c r="AA2407">
        <v>40.678913</v>
      </c>
      <c r="AB2407">
        <v>-73.876513</v>
      </c>
      <c r="AD2407" t="s">
        <v>10840</v>
      </c>
      <c r="AG2407" t="s">
        <v>10858</v>
      </c>
      <c r="AH2407" t="s">
        <v>10861</v>
      </c>
      <c r="AI2407">
        <v>234</v>
      </c>
      <c r="AJ2407" t="s">
        <v>10214</v>
      </c>
      <c r="AL2407">
        <v>1</v>
      </c>
      <c r="AM2407" t="s">
        <v>10889</v>
      </c>
      <c r="AN2407" t="s">
        <v>10920</v>
      </c>
      <c r="AO2407" t="s">
        <v>11011</v>
      </c>
      <c r="AP2407" t="s">
        <v>11058</v>
      </c>
      <c r="AR2407" t="s">
        <v>11402</v>
      </c>
      <c r="AS2407" t="s">
        <v>11595</v>
      </c>
      <c r="AT2407" t="s">
        <v>11642</v>
      </c>
      <c r="AX2407" t="s">
        <v>10838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</row>
    <row r="2408" spans="1:59">
      <c r="A2408" s="1">
        <f>HYPERLINK("https://lsnyc.legalserver.org/matter/dynamic-profile/view/1906374","19-1906374")</f>
        <v>0</v>
      </c>
      <c r="B2408" t="s">
        <v>2040</v>
      </c>
      <c r="C2408" t="s">
        <v>6834</v>
      </c>
      <c r="D2408" t="s">
        <v>9928</v>
      </c>
      <c r="E2408" t="s">
        <v>10075</v>
      </c>
      <c r="F2408">
        <v>11212</v>
      </c>
      <c r="G2408" t="s">
        <v>10093</v>
      </c>
      <c r="H2408" t="s">
        <v>10095</v>
      </c>
      <c r="I2408" t="s">
        <v>10168</v>
      </c>
      <c r="J2408" t="s">
        <v>10213</v>
      </c>
      <c r="K2408" t="s">
        <v>10218</v>
      </c>
      <c r="L2408" t="s">
        <v>10095</v>
      </c>
      <c r="M2408" t="s">
        <v>10564</v>
      </c>
      <c r="N2408" t="s">
        <v>10646</v>
      </c>
      <c r="P2408" t="s">
        <v>10749</v>
      </c>
      <c r="Q2408" t="s">
        <v>10765</v>
      </c>
      <c r="R2408" t="s">
        <v>10825</v>
      </c>
      <c r="T2408">
        <v>39000</v>
      </c>
      <c r="U2408">
        <v>3250</v>
      </c>
      <c r="V2408">
        <v>27</v>
      </c>
      <c r="W2408">
        <v>1</v>
      </c>
      <c r="X2408">
        <v>0</v>
      </c>
      <c r="Y2408" t="s">
        <v>10829</v>
      </c>
      <c r="Z2408">
        <v>312.25</v>
      </c>
      <c r="AA2408">
        <v>40.657012</v>
      </c>
      <c r="AB2408">
        <v>-73.905269</v>
      </c>
      <c r="AD2408" t="s">
        <v>10839</v>
      </c>
      <c r="AF2408" t="s">
        <v>10843</v>
      </c>
      <c r="AG2408" t="s">
        <v>10859</v>
      </c>
      <c r="AH2408" t="s">
        <v>10861</v>
      </c>
      <c r="AI2408">
        <v>234</v>
      </c>
      <c r="AJ2408" t="s">
        <v>10214</v>
      </c>
      <c r="AK2408" t="s">
        <v>10838</v>
      </c>
      <c r="AL2408">
        <v>0.5</v>
      </c>
      <c r="AM2408" t="s">
        <v>10889</v>
      </c>
      <c r="AN2408" t="s">
        <v>10946</v>
      </c>
      <c r="AO2408" t="s">
        <v>11012</v>
      </c>
      <c r="AP2408" t="s">
        <v>11060</v>
      </c>
      <c r="AR2408" t="s">
        <v>11257</v>
      </c>
      <c r="AS2408" t="s">
        <v>11595</v>
      </c>
      <c r="AT2408" t="s">
        <v>11641</v>
      </c>
      <c r="AX2408" t="s">
        <v>10838</v>
      </c>
      <c r="AY2408" t="s">
        <v>10829</v>
      </c>
      <c r="AZ2408" t="s">
        <v>11681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</row>
    <row r="2409" spans="1:59">
      <c r="A2409" s="1">
        <f>HYPERLINK("https://lsnyc.legalserver.org/matter/dynamic-profile/view/1906375","19-1906375")</f>
        <v>0</v>
      </c>
      <c r="B2409" t="s">
        <v>2041</v>
      </c>
      <c r="C2409" t="s">
        <v>6835</v>
      </c>
      <c r="D2409" t="s">
        <v>9928</v>
      </c>
      <c r="E2409" t="s">
        <v>10075</v>
      </c>
      <c r="F2409">
        <v>11206</v>
      </c>
      <c r="G2409" t="s">
        <v>10091</v>
      </c>
      <c r="H2409" t="s">
        <v>10095</v>
      </c>
      <c r="I2409" t="s">
        <v>10168</v>
      </c>
      <c r="J2409" t="s">
        <v>10214</v>
      </c>
      <c r="K2409" t="s">
        <v>10217</v>
      </c>
      <c r="M2409" t="s">
        <v>10286</v>
      </c>
      <c r="N2409" t="s">
        <v>10671</v>
      </c>
      <c r="P2409" t="s">
        <v>10749</v>
      </c>
      <c r="Q2409" t="s">
        <v>10765</v>
      </c>
      <c r="R2409" t="s">
        <v>10820</v>
      </c>
      <c r="T2409">
        <v>21840</v>
      </c>
      <c r="U2409">
        <v>1820</v>
      </c>
      <c r="V2409">
        <v>29</v>
      </c>
      <c r="W2409">
        <v>1</v>
      </c>
      <c r="X2409">
        <v>0</v>
      </c>
      <c r="Z2409">
        <v>174.86</v>
      </c>
      <c r="AA2409">
        <v>40.698008</v>
      </c>
      <c r="AB2409">
        <v>-73.933195</v>
      </c>
      <c r="AD2409" t="s">
        <v>10839</v>
      </c>
      <c r="AG2409" t="s">
        <v>10858</v>
      </c>
      <c r="AH2409" t="s">
        <v>10871</v>
      </c>
      <c r="AI2409">
        <v>234</v>
      </c>
      <c r="AJ2409" t="s">
        <v>10214</v>
      </c>
      <c r="AL2409">
        <v>1</v>
      </c>
      <c r="AM2409" t="s">
        <v>10886</v>
      </c>
      <c r="AN2409" t="s">
        <v>10942</v>
      </c>
      <c r="AO2409" t="s">
        <v>11011</v>
      </c>
      <c r="AP2409" t="s">
        <v>11071</v>
      </c>
      <c r="AR2409" t="s">
        <v>11276</v>
      </c>
      <c r="AS2409" t="s">
        <v>11595</v>
      </c>
      <c r="AT2409" t="s">
        <v>11641</v>
      </c>
      <c r="AX2409" t="s">
        <v>10838</v>
      </c>
      <c r="BA2409" t="s">
        <v>11741</v>
      </c>
      <c r="BB2409">
        <v>0</v>
      </c>
      <c r="BC2409">
        <v>0</v>
      </c>
      <c r="BD2409">
        <v>0</v>
      </c>
      <c r="BE2409">
        <v>0</v>
      </c>
      <c r="BF2409">
        <v>1</v>
      </c>
      <c r="BG2409">
        <v>0</v>
      </c>
    </row>
    <row r="2410" spans="1:59">
      <c r="A2410" s="1">
        <f>HYPERLINK("https://lsnyc.legalserver.org/matter/dynamic-profile/view/1906376","19-1906376")</f>
        <v>0</v>
      </c>
      <c r="B2410" t="s">
        <v>2042</v>
      </c>
      <c r="C2410" t="s">
        <v>6836</v>
      </c>
      <c r="D2410" t="s">
        <v>9928</v>
      </c>
      <c r="E2410" t="s">
        <v>10075</v>
      </c>
      <c r="F2410">
        <v>11207</v>
      </c>
      <c r="G2410" t="s">
        <v>10093</v>
      </c>
      <c r="H2410" t="s">
        <v>10095</v>
      </c>
      <c r="I2410" t="s">
        <v>10169</v>
      </c>
      <c r="J2410" t="s">
        <v>10213</v>
      </c>
      <c r="K2410" t="s">
        <v>10218</v>
      </c>
      <c r="L2410" t="s">
        <v>10127</v>
      </c>
      <c r="M2410" t="s">
        <v>10481</v>
      </c>
      <c r="N2410" t="s">
        <v>10650</v>
      </c>
      <c r="P2410" t="s">
        <v>10749</v>
      </c>
      <c r="Q2410" t="s">
        <v>10765</v>
      </c>
      <c r="R2410" t="s">
        <v>10821</v>
      </c>
      <c r="T2410">
        <v>9360</v>
      </c>
      <c r="U2410">
        <v>780</v>
      </c>
      <c r="V2410">
        <v>60</v>
      </c>
      <c r="W2410">
        <v>1</v>
      </c>
      <c r="X2410">
        <v>0</v>
      </c>
      <c r="Y2410" t="s">
        <v>10829</v>
      </c>
      <c r="Z2410">
        <v>74.94</v>
      </c>
      <c r="AA2410">
        <v>40.685943</v>
      </c>
      <c r="AB2410">
        <v>-73.91463</v>
      </c>
      <c r="AD2410" t="s">
        <v>10839</v>
      </c>
      <c r="AF2410" t="s">
        <v>10843</v>
      </c>
      <c r="AG2410" t="s">
        <v>10859</v>
      </c>
      <c r="AH2410" t="s">
        <v>10861</v>
      </c>
      <c r="AI2410">
        <v>234</v>
      </c>
      <c r="AJ2410" t="s">
        <v>10214</v>
      </c>
      <c r="AK2410" t="s">
        <v>10838</v>
      </c>
      <c r="AL2410">
        <v>1</v>
      </c>
      <c r="AM2410" t="s">
        <v>10889</v>
      </c>
      <c r="AN2410" t="s">
        <v>10922</v>
      </c>
      <c r="AO2410" t="s">
        <v>11011</v>
      </c>
      <c r="AP2410" t="s">
        <v>11058</v>
      </c>
      <c r="AR2410" t="s">
        <v>11274</v>
      </c>
      <c r="AS2410" t="s">
        <v>11595</v>
      </c>
      <c r="AT2410" t="s">
        <v>11642</v>
      </c>
      <c r="AX2410" t="s">
        <v>10838</v>
      </c>
      <c r="AY2410" t="s">
        <v>10829</v>
      </c>
      <c r="AZ2410" t="s">
        <v>11681</v>
      </c>
      <c r="BA2410" t="s">
        <v>11741</v>
      </c>
      <c r="BB2410">
        <v>0</v>
      </c>
      <c r="BC2410">
        <v>0</v>
      </c>
      <c r="BD2410">
        <v>0</v>
      </c>
      <c r="BE2410">
        <v>0</v>
      </c>
      <c r="BF2410">
        <v>1</v>
      </c>
      <c r="BG2410">
        <v>0</v>
      </c>
    </row>
    <row r="2411" spans="1:59">
      <c r="A2411" s="1">
        <f>HYPERLINK("https://lsnyc.legalserver.org/matter/dynamic-profile/view/1906377","19-1906377")</f>
        <v>0</v>
      </c>
      <c r="B2411" t="s">
        <v>2043</v>
      </c>
      <c r="C2411" t="s">
        <v>5106</v>
      </c>
      <c r="D2411" t="s">
        <v>9926</v>
      </c>
      <c r="E2411" t="s">
        <v>10075</v>
      </c>
      <c r="F2411">
        <v>10453</v>
      </c>
      <c r="G2411" t="s">
        <v>10090</v>
      </c>
      <c r="H2411" t="s">
        <v>10095</v>
      </c>
      <c r="I2411" t="s">
        <v>10168</v>
      </c>
      <c r="J2411" t="s">
        <v>10210</v>
      </c>
      <c r="K2411" t="s">
        <v>10218</v>
      </c>
      <c r="L2411" t="s">
        <v>10158</v>
      </c>
      <c r="M2411" t="s">
        <v>10514</v>
      </c>
      <c r="N2411" t="s">
        <v>10666</v>
      </c>
      <c r="P2411" t="s">
        <v>10749</v>
      </c>
      <c r="Q2411" t="s">
        <v>10765</v>
      </c>
      <c r="R2411" t="s">
        <v>10824</v>
      </c>
      <c r="T2411">
        <v>12480</v>
      </c>
      <c r="U2411">
        <v>1040</v>
      </c>
      <c r="V2411">
        <v>35</v>
      </c>
      <c r="W2411">
        <v>1</v>
      </c>
      <c r="X2411">
        <v>2</v>
      </c>
      <c r="Y2411" t="s">
        <v>10829</v>
      </c>
      <c r="Z2411">
        <v>58.51</v>
      </c>
      <c r="AA2411">
        <v>40.853437</v>
      </c>
      <c r="AB2411">
        <v>-73.91014800000001</v>
      </c>
      <c r="AD2411" t="s">
        <v>10839</v>
      </c>
      <c r="AG2411" t="s">
        <v>10858</v>
      </c>
      <c r="AH2411" t="s">
        <v>10862</v>
      </c>
      <c r="AI2411">
        <v>230</v>
      </c>
      <c r="AJ2411" t="s">
        <v>10210</v>
      </c>
      <c r="AK2411" t="s">
        <v>10882</v>
      </c>
      <c r="AL2411">
        <v>3.9</v>
      </c>
      <c r="AM2411" t="s">
        <v>10884</v>
      </c>
      <c r="AN2411" t="s">
        <v>10931</v>
      </c>
      <c r="AO2411" t="s">
        <v>11013</v>
      </c>
      <c r="AP2411" t="s">
        <v>11045</v>
      </c>
      <c r="AR2411" t="s">
        <v>11452</v>
      </c>
      <c r="AS2411" t="s">
        <v>9926</v>
      </c>
      <c r="AT2411" t="s">
        <v>11641</v>
      </c>
      <c r="AX2411" t="s">
        <v>10838</v>
      </c>
      <c r="AY2411" t="s">
        <v>10829</v>
      </c>
      <c r="AZ2411" t="s">
        <v>11681</v>
      </c>
      <c r="BA2411" t="s">
        <v>11741</v>
      </c>
      <c r="BB2411">
        <v>0</v>
      </c>
      <c r="BC2411">
        <v>0</v>
      </c>
      <c r="BD2411">
        <v>0</v>
      </c>
      <c r="BE2411">
        <v>0</v>
      </c>
      <c r="BF2411">
        <v>1</v>
      </c>
      <c r="BG2411">
        <v>0</v>
      </c>
    </row>
    <row r="2412" spans="1:59">
      <c r="A2412" s="1">
        <f>HYPERLINK("https://lsnyc.legalserver.org/matter/dynamic-profile/view/1906378","19-1906378")</f>
        <v>0</v>
      </c>
      <c r="B2412" t="s">
        <v>1960</v>
      </c>
      <c r="C2412" t="s">
        <v>6754</v>
      </c>
      <c r="D2412" t="s">
        <v>9926</v>
      </c>
      <c r="E2412" t="s">
        <v>10075</v>
      </c>
      <c r="F2412">
        <v>10462</v>
      </c>
      <c r="G2412" t="s">
        <v>10090</v>
      </c>
      <c r="H2412" t="s">
        <v>10104</v>
      </c>
      <c r="I2412" t="s">
        <v>10168</v>
      </c>
      <c r="J2412" t="s">
        <v>10210</v>
      </c>
      <c r="K2412" t="s">
        <v>10217</v>
      </c>
      <c r="M2412" t="s">
        <v>10230</v>
      </c>
      <c r="N2412" t="s">
        <v>10677</v>
      </c>
      <c r="P2412" t="s">
        <v>10751</v>
      </c>
      <c r="Q2412" t="s">
        <v>10761</v>
      </c>
      <c r="R2412" t="s">
        <v>10821</v>
      </c>
      <c r="T2412">
        <v>39642</v>
      </c>
      <c r="U2412">
        <v>3303.5</v>
      </c>
      <c r="V2412">
        <v>72</v>
      </c>
      <c r="W2412">
        <v>2</v>
      </c>
      <c r="X2412">
        <v>1</v>
      </c>
      <c r="Z2412">
        <v>185.85</v>
      </c>
      <c r="AA2412">
        <v>40.833364</v>
      </c>
      <c r="AB2412">
        <v>-73.854348</v>
      </c>
      <c r="AD2412" t="s">
        <v>10840</v>
      </c>
      <c r="AG2412" t="s">
        <v>10858</v>
      </c>
      <c r="AH2412" t="s">
        <v>10862</v>
      </c>
      <c r="AI2412">
        <v>230</v>
      </c>
      <c r="AJ2412" t="s">
        <v>10210</v>
      </c>
      <c r="AL2412">
        <v>1.5</v>
      </c>
      <c r="AR2412" t="s">
        <v>11458</v>
      </c>
      <c r="AS2412" t="s">
        <v>9926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</row>
    <row r="2413" spans="1:59">
      <c r="A2413" s="1">
        <f>HYPERLINK("https://lsnyc.legalserver.org/matter/dynamic-profile/view/1906379","19-1906379")</f>
        <v>0</v>
      </c>
      <c r="B2413" t="s">
        <v>2044</v>
      </c>
      <c r="C2413" t="s">
        <v>6837</v>
      </c>
      <c r="D2413" t="s">
        <v>9928</v>
      </c>
      <c r="E2413" t="s">
        <v>10075</v>
      </c>
      <c r="F2413">
        <v>11230</v>
      </c>
      <c r="G2413" t="s">
        <v>10093</v>
      </c>
      <c r="H2413" t="s">
        <v>10095</v>
      </c>
      <c r="I2413" t="s">
        <v>10168</v>
      </c>
      <c r="J2413" t="s">
        <v>10213</v>
      </c>
      <c r="K2413" t="s">
        <v>10217</v>
      </c>
      <c r="M2413" t="s">
        <v>10317</v>
      </c>
      <c r="N2413" t="s">
        <v>10671</v>
      </c>
      <c r="P2413" t="s">
        <v>10757</v>
      </c>
      <c r="Q2413" t="s">
        <v>10815</v>
      </c>
      <c r="R2413" t="s">
        <v>10827</v>
      </c>
      <c r="T2413">
        <v>2782</v>
      </c>
      <c r="U2413">
        <v>231.83</v>
      </c>
      <c r="V2413">
        <v>67</v>
      </c>
      <c r="W2413">
        <v>1</v>
      </c>
      <c r="X2413">
        <v>0</v>
      </c>
      <c r="Z2413">
        <v>22.27</v>
      </c>
      <c r="AA2413">
        <v>40.633894</v>
      </c>
      <c r="AB2413">
        <v>-73.967472</v>
      </c>
      <c r="AD2413" t="s">
        <v>10839</v>
      </c>
      <c r="AF2413" t="s">
        <v>10843</v>
      </c>
      <c r="AG2413" t="s">
        <v>10859</v>
      </c>
      <c r="AH2413" t="s">
        <v>10861</v>
      </c>
      <c r="AI2413">
        <v>234</v>
      </c>
      <c r="AJ2413" t="s">
        <v>10214</v>
      </c>
      <c r="AL2413">
        <v>4.45</v>
      </c>
      <c r="AM2413" t="s">
        <v>10888</v>
      </c>
      <c r="AN2413" t="s">
        <v>10941</v>
      </c>
      <c r="AO2413" t="s">
        <v>11015</v>
      </c>
      <c r="AP2413" t="s">
        <v>11050</v>
      </c>
      <c r="AR2413" t="s">
        <v>11255</v>
      </c>
      <c r="AS2413" t="s">
        <v>11595</v>
      </c>
      <c r="AT2413" t="s">
        <v>11641</v>
      </c>
      <c r="AX2413" t="s">
        <v>10838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</row>
    <row r="2414" spans="1:59">
      <c r="A2414" s="1">
        <f>HYPERLINK("https://lsnyc.legalserver.org/matter/dynamic-profile/view/1906380","19-1906380")</f>
        <v>0</v>
      </c>
      <c r="B2414" t="s">
        <v>2035</v>
      </c>
      <c r="C2414" t="s">
        <v>6828</v>
      </c>
      <c r="D2414" t="s">
        <v>9926</v>
      </c>
      <c r="E2414" t="s">
        <v>10075</v>
      </c>
      <c r="F2414">
        <v>10455</v>
      </c>
      <c r="G2414" t="s">
        <v>10090</v>
      </c>
      <c r="H2414" t="s">
        <v>10095</v>
      </c>
      <c r="I2414" t="s">
        <v>10168</v>
      </c>
      <c r="J2414" t="s">
        <v>10210</v>
      </c>
      <c r="K2414" t="s">
        <v>10217</v>
      </c>
      <c r="M2414" t="s">
        <v>10353</v>
      </c>
      <c r="N2414" t="s">
        <v>10671</v>
      </c>
      <c r="P2414" t="s">
        <v>10751</v>
      </c>
      <c r="Q2414" t="s">
        <v>10761</v>
      </c>
      <c r="R2414" t="s">
        <v>10821</v>
      </c>
      <c r="T2414">
        <v>23926.8</v>
      </c>
      <c r="U2414">
        <v>1993.9</v>
      </c>
      <c r="V2414">
        <v>25</v>
      </c>
      <c r="W2414">
        <v>2</v>
      </c>
      <c r="X2414">
        <v>2</v>
      </c>
      <c r="Z2414">
        <v>92.92</v>
      </c>
      <c r="AA2414">
        <v>40.81589</v>
      </c>
      <c r="AB2414">
        <v>-73.897609</v>
      </c>
      <c r="AD2414" t="s">
        <v>10839</v>
      </c>
      <c r="AG2414" t="s">
        <v>10858</v>
      </c>
      <c r="AH2414" t="s">
        <v>10862</v>
      </c>
      <c r="AI2414">
        <v>230</v>
      </c>
      <c r="AJ2414" t="s">
        <v>10210</v>
      </c>
      <c r="AL2414">
        <v>0.1</v>
      </c>
      <c r="AM2414" t="s">
        <v>10884</v>
      </c>
      <c r="AN2414" t="s">
        <v>10968</v>
      </c>
      <c r="AO2414" t="s">
        <v>11001</v>
      </c>
      <c r="AP2414" t="s">
        <v>11066</v>
      </c>
      <c r="AR2414" t="s">
        <v>11295</v>
      </c>
      <c r="AS2414" t="s">
        <v>9926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</row>
    <row r="2415" spans="1:59">
      <c r="A2415" s="1">
        <f>HYPERLINK("https://lsnyc.legalserver.org/matter/dynamic-profile/view/1906381","19-1906381")</f>
        <v>0</v>
      </c>
      <c r="B2415" t="s">
        <v>2045</v>
      </c>
      <c r="C2415" t="s">
        <v>6838</v>
      </c>
      <c r="D2415" t="s">
        <v>9928</v>
      </c>
      <c r="E2415" t="s">
        <v>10075</v>
      </c>
      <c r="F2415">
        <v>11206</v>
      </c>
      <c r="G2415" t="s">
        <v>10093</v>
      </c>
      <c r="H2415" t="s">
        <v>10095</v>
      </c>
      <c r="I2415" t="s">
        <v>10169</v>
      </c>
      <c r="J2415" t="s">
        <v>10213</v>
      </c>
      <c r="K2415" t="s">
        <v>10217</v>
      </c>
      <c r="M2415" t="s">
        <v>10304</v>
      </c>
      <c r="N2415" t="s">
        <v>10671</v>
      </c>
      <c r="P2415" t="s">
        <v>10749</v>
      </c>
      <c r="Q2415" t="s">
        <v>10765</v>
      </c>
      <c r="R2415" t="s">
        <v>10821</v>
      </c>
      <c r="T2415">
        <v>7780</v>
      </c>
      <c r="U2415">
        <v>648.33</v>
      </c>
      <c r="V2415">
        <v>42</v>
      </c>
      <c r="W2415">
        <v>2</v>
      </c>
      <c r="X2415">
        <v>2</v>
      </c>
      <c r="Z2415">
        <v>30.21</v>
      </c>
      <c r="AA2415">
        <v>40.702385</v>
      </c>
      <c r="AB2415">
        <v>-73.943741</v>
      </c>
      <c r="AD2415" t="s">
        <v>10839</v>
      </c>
      <c r="AF2415" t="s">
        <v>10843</v>
      </c>
      <c r="AG2415" t="s">
        <v>10859</v>
      </c>
      <c r="AH2415" t="s">
        <v>10861</v>
      </c>
      <c r="AI2415">
        <v>234</v>
      </c>
      <c r="AJ2415" t="s">
        <v>10214</v>
      </c>
      <c r="AL2415">
        <v>1.1</v>
      </c>
      <c r="AM2415" t="s">
        <v>10886</v>
      </c>
      <c r="AN2415" t="s">
        <v>10942</v>
      </c>
      <c r="AO2415" t="s">
        <v>11011</v>
      </c>
      <c r="AP2415" t="s">
        <v>11071</v>
      </c>
      <c r="AR2415" t="s">
        <v>11295</v>
      </c>
      <c r="AS2415" t="s">
        <v>11595</v>
      </c>
      <c r="AT2415" t="s">
        <v>11641</v>
      </c>
      <c r="AX2415" t="s">
        <v>10838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</row>
    <row r="2416" spans="1:59">
      <c r="A2416" s="1">
        <f>HYPERLINK("https://lsnyc.legalserver.org/matter/dynamic-profile/view/1906382","19-1906382")</f>
        <v>0</v>
      </c>
      <c r="B2416" t="s">
        <v>2046</v>
      </c>
      <c r="C2416" t="s">
        <v>6839</v>
      </c>
      <c r="D2416" t="s">
        <v>9936</v>
      </c>
      <c r="E2416" t="s">
        <v>10075</v>
      </c>
      <c r="F2416">
        <v>11105</v>
      </c>
      <c r="G2416" t="s">
        <v>10092</v>
      </c>
      <c r="H2416" t="s">
        <v>10095</v>
      </c>
      <c r="I2416" t="s">
        <v>10168</v>
      </c>
      <c r="J2416" t="s">
        <v>10212</v>
      </c>
      <c r="K2416" t="s">
        <v>10217</v>
      </c>
      <c r="M2416" t="s">
        <v>10258</v>
      </c>
      <c r="N2416" t="s">
        <v>10671</v>
      </c>
      <c r="P2416" t="s">
        <v>10749</v>
      </c>
      <c r="Q2416" t="s">
        <v>10765</v>
      </c>
      <c r="R2416" t="s">
        <v>10821</v>
      </c>
      <c r="T2416">
        <v>10400</v>
      </c>
      <c r="U2416">
        <v>866.67</v>
      </c>
      <c r="V2416">
        <v>35</v>
      </c>
      <c r="W2416">
        <v>1</v>
      </c>
      <c r="X2416">
        <v>0</v>
      </c>
      <c r="Z2416">
        <v>83.27</v>
      </c>
      <c r="AA2416">
        <v>40.781806</v>
      </c>
      <c r="AB2416">
        <v>-73.91758900000001</v>
      </c>
      <c r="AD2416" t="s">
        <v>10839</v>
      </c>
      <c r="AG2416" t="s">
        <v>10858</v>
      </c>
      <c r="AH2416" t="s">
        <v>10871</v>
      </c>
      <c r="AI2416">
        <v>234</v>
      </c>
      <c r="AJ2416" t="s">
        <v>10214</v>
      </c>
      <c r="AL2416">
        <v>1.2</v>
      </c>
      <c r="AM2416" t="s">
        <v>10885</v>
      </c>
      <c r="AN2416" t="s">
        <v>10954</v>
      </c>
      <c r="AO2416" t="s">
        <v>11003</v>
      </c>
      <c r="AP2416" t="s">
        <v>11084</v>
      </c>
      <c r="AR2416" t="s">
        <v>11276</v>
      </c>
      <c r="AS2416" t="s">
        <v>11594</v>
      </c>
      <c r="AT2416" t="s">
        <v>11641</v>
      </c>
      <c r="AX2416" t="s">
        <v>10838</v>
      </c>
      <c r="BA2416" t="s">
        <v>11741</v>
      </c>
      <c r="BB2416">
        <v>0</v>
      </c>
      <c r="BC2416">
        <v>0</v>
      </c>
      <c r="BD2416">
        <v>0</v>
      </c>
      <c r="BE2416">
        <v>0</v>
      </c>
      <c r="BF2416">
        <v>1</v>
      </c>
      <c r="BG2416">
        <v>0</v>
      </c>
    </row>
    <row r="2417" spans="1:59">
      <c r="A2417" s="1">
        <f>HYPERLINK("https://lsnyc.legalserver.org/matter/dynamic-profile/view/1906383","19-1906383")</f>
        <v>0</v>
      </c>
      <c r="B2417" t="s">
        <v>1607</v>
      </c>
      <c r="C2417" t="s">
        <v>6840</v>
      </c>
      <c r="D2417" t="s">
        <v>9926</v>
      </c>
      <c r="E2417" t="s">
        <v>10075</v>
      </c>
      <c r="F2417">
        <v>10456</v>
      </c>
      <c r="G2417" t="s">
        <v>10090</v>
      </c>
      <c r="H2417" t="s">
        <v>10095</v>
      </c>
      <c r="I2417" t="s">
        <v>10168</v>
      </c>
      <c r="J2417" t="s">
        <v>10210</v>
      </c>
      <c r="K2417" t="s">
        <v>10217</v>
      </c>
      <c r="M2417" t="s">
        <v>10495</v>
      </c>
      <c r="N2417" t="s">
        <v>10658</v>
      </c>
      <c r="P2417" t="s">
        <v>10749</v>
      </c>
      <c r="Q2417" t="s">
        <v>10769</v>
      </c>
      <c r="R2417" t="s">
        <v>10824</v>
      </c>
      <c r="T2417">
        <v>16800</v>
      </c>
      <c r="U2417">
        <v>1400</v>
      </c>
      <c r="V2417">
        <v>67</v>
      </c>
      <c r="W2417">
        <v>1</v>
      </c>
      <c r="X2417">
        <v>0</v>
      </c>
      <c r="Z2417">
        <v>134.51</v>
      </c>
      <c r="AA2417">
        <v>40.836147</v>
      </c>
      <c r="AB2417">
        <v>-73.909057</v>
      </c>
      <c r="AC2417" t="s">
        <v>10837</v>
      </c>
      <c r="AD2417" t="s">
        <v>10840</v>
      </c>
      <c r="AG2417" t="s">
        <v>10858</v>
      </c>
      <c r="AH2417" t="s">
        <v>10860</v>
      </c>
      <c r="AI2417">
        <v>230</v>
      </c>
      <c r="AJ2417" t="s">
        <v>10210</v>
      </c>
      <c r="AL2417">
        <v>11</v>
      </c>
      <c r="AM2417" t="s">
        <v>10884</v>
      </c>
      <c r="AN2417" t="s">
        <v>10929</v>
      </c>
      <c r="AO2417" t="s">
        <v>11000</v>
      </c>
      <c r="AP2417" t="s">
        <v>11055</v>
      </c>
      <c r="AQ2417" t="s">
        <v>11199</v>
      </c>
      <c r="AR2417" t="s">
        <v>11300</v>
      </c>
      <c r="AS2417" t="s">
        <v>9926</v>
      </c>
      <c r="AT2417" t="s">
        <v>11642</v>
      </c>
      <c r="AX2417" t="s">
        <v>10838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</row>
    <row r="2418" spans="1:59">
      <c r="A2418" s="1">
        <f>HYPERLINK("https://lsnyc.legalserver.org/matter/dynamic-profile/view/1906384","19-1906384")</f>
        <v>0</v>
      </c>
      <c r="B2418" t="s">
        <v>2047</v>
      </c>
      <c r="C2418" t="s">
        <v>6841</v>
      </c>
      <c r="D2418" t="s">
        <v>9928</v>
      </c>
      <c r="E2418" t="s">
        <v>10075</v>
      </c>
      <c r="F2418">
        <v>11230</v>
      </c>
      <c r="G2418" t="s">
        <v>10093</v>
      </c>
      <c r="H2418" t="s">
        <v>10095</v>
      </c>
      <c r="I2418" t="s">
        <v>10192</v>
      </c>
      <c r="J2418" t="s">
        <v>10213</v>
      </c>
      <c r="K2418" t="s">
        <v>10218</v>
      </c>
      <c r="L2418" t="s">
        <v>10154</v>
      </c>
      <c r="M2418" t="s">
        <v>10289</v>
      </c>
      <c r="N2418" t="s">
        <v>10671</v>
      </c>
      <c r="P2418" t="s">
        <v>10751</v>
      </c>
      <c r="Q2418" t="s">
        <v>10786</v>
      </c>
      <c r="R2418" t="s">
        <v>10827</v>
      </c>
      <c r="T2418">
        <v>18240</v>
      </c>
      <c r="U2418">
        <v>1520</v>
      </c>
      <c r="V2418">
        <v>56</v>
      </c>
      <c r="W2418">
        <v>2</v>
      </c>
      <c r="X2418">
        <v>0</v>
      </c>
      <c r="Y2418" t="s">
        <v>10833</v>
      </c>
      <c r="Z2418">
        <v>107.87</v>
      </c>
      <c r="AA2418">
        <v>40.619709</v>
      </c>
      <c r="AB2418">
        <v>-73.96011799999999</v>
      </c>
      <c r="AD2418" t="s">
        <v>10839</v>
      </c>
      <c r="AG2418" t="s">
        <v>10858</v>
      </c>
      <c r="AH2418" t="s">
        <v>10861</v>
      </c>
      <c r="AI2418">
        <v>234</v>
      </c>
      <c r="AJ2418" t="s">
        <v>10214</v>
      </c>
      <c r="AK2418" t="s">
        <v>10838</v>
      </c>
      <c r="AL2418">
        <v>1.25</v>
      </c>
      <c r="AM2418" t="s">
        <v>10888</v>
      </c>
      <c r="AN2418" t="s">
        <v>10947</v>
      </c>
      <c r="AO2418" t="s">
        <v>11015</v>
      </c>
      <c r="AP2418" t="s">
        <v>11079</v>
      </c>
      <c r="AR2418" t="s">
        <v>11265</v>
      </c>
      <c r="AS2418" t="s">
        <v>11595</v>
      </c>
      <c r="AT2418" t="s">
        <v>11641</v>
      </c>
      <c r="AX2418" t="s">
        <v>10838</v>
      </c>
      <c r="AY2418" t="s">
        <v>10833</v>
      </c>
      <c r="AZ2418" t="s">
        <v>11688</v>
      </c>
      <c r="BB2418">
        <v>0</v>
      </c>
      <c r="BC2418">
        <v>0</v>
      </c>
      <c r="BD2418">
        <v>384</v>
      </c>
      <c r="BE2418">
        <v>0</v>
      </c>
      <c r="BF2418">
        <v>0</v>
      </c>
      <c r="BG2418">
        <v>0</v>
      </c>
    </row>
    <row r="2419" spans="1:59">
      <c r="A2419" s="1">
        <f>HYPERLINK("https://lsnyc.legalserver.org/matter/dynamic-profile/view/1906385","19-1906385")</f>
        <v>0</v>
      </c>
      <c r="B2419" t="s">
        <v>2048</v>
      </c>
      <c r="C2419" t="s">
        <v>6842</v>
      </c>
      <c r="D2419" t="s">
        <v>9927</v>
      </c>
      <c r="E2419" t="s">
        <v>10075</v>
      </c>
      <c r="F2419">
        <v>11377</v>
      </c>
      <c r="G2419" t="s">
        <v>10092</v>
      </c>
      <c r="H2419" t="s">
        <v>10095</v>
      </c>
      <c r="I2419" t="s">
        <v>10169</v>
      </c>
      <c r="J2419" t="s">
        <v>10212</v>
      </c>
      <c r="K2419" t="s">
        <v>10217</v>
      </c>
      <c r="M2419" t="s">
        <v>10387</v>
      </c>
      <c r="N2419" t="s">
        <v>10650</v>
      </c>
      <c r="P2419" t="s">
        <v>10749</v>
      </c>
      <c r="Q2419" t="s">
        <v>10765</v>
      </c>
      <c r="R2419" t="s">
        <v>10821</v>
      </c>
      <c r="T2419">
        <v>36600</v>
      </c>
      <c r="U2419">
        <v>3050</v>
      </c>
      <c r="V2419">
        <v>61</v>
      </c>
      <c r="W2419">
        <v>5</v>
      </c>
      <c r="X2419">
        <v>1</v>
      </c>
      <c r="Z2419">
        <v>105.81</v>
      </c>
      <c r="AA2419">
        <v>40.742271</v>
      </c>
      <c r="AB2419">
        <v>-73.916259</v>
      </c>
      <c r="AD2419" t="s">
        <v>10839</v>
      </c>
      <c r="AG2419" t="s">
        <v>10858</v>
      </c>
      <c r="AH2419" t="s">
        <v>10862</v>
      </c>
      <c r="AI2419">
        <v>237</v>
      </c>
      <c r="AJ2419" t="s">
        <v>10212</v>
      </c>
      <c r="AL2419">
        <v>7.6</v>
      </c>
      <c r="AM2419" t="s">
        <v>10885</v>
      </c>
      <c r="AN2419" t="s">
        <v>10961</v>
      </c>
      <c r="AO2419" t="s">
        <v>11003</v>
      </c>
      <c r="AP2419" t="s">
        <v>11047</v>
      </c>
      <c r="AR2419" t="s">
        <v>11288</v>
      </c>
      <c r="AS2419" t="s">
        <v>11594</v>
      </c>
      <c r="BA2419" t="s">
        <v>11738</v>
      </c>
      <c r="BB2419">
        <v>0</v>
      </c>
      <c r="BC2419">
        <v>0</v>
      </c>
      <c r="BD2419">
        <v>0</v>
      </c>
      <c r="BE2419">
        <v>0</v>
      </c>
      <c r="BF2419">
        <v>5</v>
      </c>
      <c r="BG2419">
        <v>0</v>
      </c>
    </row>
    <row r="2420" spans="1:59">
      <c r="A2420" s="1">
        <f>HYPERLINK("https://lsnyc.legalserver.org/matter/dynamic-profile/view/1906386","19-1906386")</f>
        <v>0</v>
      </c>
      <c r="B2420" t="s">
        <v>2049</v>
      </c>
      <c r="C2420" t="s">
        <v>6843</v>
      </c>
      <c r="D2420" t="s">
        <v>9928</v>
      </c>
      <c r="E2420" t="s">
        <v>10075</v>
      </c>
      <c r="F2420">
        <v>11207</v>
      </c>
      <c r="G2420" t="s">
        <v>10091</v>
      </c>
      <c r="H2420" t="s">
        <v>10095</v>
      </c>
      <c r="I2420" t="s">
        <v>10168</v>
      </c>
      <c r="J2420" t="s">
        <v>10214</v>
      </c>
      <c r="K2420" t="s">
        <v>10217</v>
      </c>
      <c r="M2420" t="s">
        <v>10286</v>
      </c>
      <c r="N2420" t="s">
        <v>10646</v>
      </c>
      <c r="P2420" t="s">
        <v>10751</v>
      </c>
      <c r="Q2420" t="s">
        <v>10768</v>
      </c>
      <c r="R2420" t="s">
        <v>10824</v>
      </c>
      <c r="T2420">
        <v>43200</v>
      </c>
      <c r="U2420">
        <v>3600</v>
      </c>
      <c r="V2420">
        <v>39</v>
      </c>
      <c r="W2420">
        <v>1</v>
      </c>
      <c r="X2420">
        <v>0</v>
      </c>
      <c r="Z2420">
        <v>345.88</v>
      </c>
      <c r="AA2420">
        <v>40.681936</v>
      </c>
      <c r="AB2420">
        <v>-73.891957</v>
      </c>
      <c r="AC2420" t="s">
        <v>10837</v>
      </c>
      <c r="AD2420" t="s">
        <v>10840</v>
      </c>
      <c r="AG2420" t="s">
        <v>10858</v>
      </c>
      <c r="AH2420" t="s">
        <v>10861</v>
      </c>
      <c r="AI2420">
        <v>234</v>
      </c>
      <c r="AJ2420" t="s">
        <v>10214</v>
      </c>
      <c r="AL2420">
        <v>0.5</v>
      </c>
      <c r="AM2420" t="s">
        <v>10886</v>
      </c>
      <c r="AN2420" t="s">
        <v>10920</v>
      </c>
      <c r="AO2420" t="s">
        <v>11011</v>
      </c>
      <c r="AP2420" t="s">
        <v>11058</v>
      </c>
      <c r="AR2420" t="s">
        <v>11303</v>
      </c>
      <c r="AS2420" t="s">
        <v>11594</v>
      </c>
      <c r="AT2420" t="s">
        <v>11642</v>
      </c>
      <c r="AX2420" t="s">
        <v>10838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</row>
    <row r="2421" spans="1:59">
      <c r="A2421" s="1">
        <f>HYPERLINK("https://lsnyc.legalserver.org/matter/dynamic-profile/view/1906387","19-1906387")</f>
        <v>0</v>
      </c>
      <c r="B2421" t="s">
        <v>2050</v>
      </c>
      <c r="C2421" t="s">
        <v>6844</v>
      </c>
      <c r="D2421" t="s">
        <v>9925</v>
      </c>
      <c r="E2421" t="s">
        <v>10075</v>
      </c>
      <c r="F2421">
        <v>10032</v>
      </c>
      <c r="G2421" t="s">
        <v>10089</v>
      </c>
      <c r="H2421" t="s">
        <v>10095</v>
      </c>
      <c r="I2421" t="s">
        <v>10168</v>
      </c>
      <c r="J2421" t="s">
        <v>10209</v>
      </c>
      <c r="K2421" t="s">
        <v>10217</v>
      </c>
      <c r="M2421" t="s">
        <v>10451</v>
      </c>
      <c r="N2421" t="s">
        <v>10650</v>
      </c>
      <c r="P2421" t="s">
        <v>10749</v>
      </c>
      <c r="Q2421" t="s">
        <v>10765</v>
      </c>
      <c r="R2421" t="s">
        <v>10821</v>
      </c>
      <c r="T2421">
        <v>80000</v>
      </c>
      <c r="U2421">
        <v>6666.67</v>
      </c>
      <c r="V2421">
        <v>40</v>
      </c>
      <c r="W2421">
        <v>2</v>
      </c>
      <c r="X2421">
        <v>3</v>
      </c>
      <c r="Z2421">
        <v>265.16</v>
      </c>
      <c r="AA2421">
        <v>40.843778</v>
      </c>
      <c r="AB2421">
        <v>-73.94183700000001</v>
      </c>
      <c r="AD2421" t="s">
        <v>10839</v>
      </c>
      <c r="AG2421" t="s">
        <v>10858</v>
      </c>
      <c r="AH2421" t="s">
        <v>10862</v>
      </c>
      <c r="AI2421">
        <v>236</v>
      </c>
      <c r="AJ2421" t="s">
        <v>10209</v>
      </c>
      <c r="AL2421">
        <v>0</v>
      </c>
      <c r="AM2421" t="s">
        <v>10887</v>
      </c>
      <c r="AN2421" t="s">
        <v>10943</v>
      </c>
      <c r="AO2421" t="s">
        <v>11019</v>
      </c>
      <c r="AP2421" t="s">
        <v>11074</v>
      </c>
      <c r="AR2421" t="s">
        <v>11257</v>
      </c>
      <c r="AS2421" t="s">
        <v>9925</v>
      </c>
      <c r="AT2421" t="s">
        <v>11641</v>
      </c>
      <c r="AX2421" t="s">
        <v>10838</v>
      </c>
      <c r="BA2421" t="s">
        <v>11737</v>
      </c>
      <c r="BB2421">
        <v>0</v>
      </c>
      <c r="BC2421">
        <v>0</v>
      </c>
      <c r="BD2421">
        <v>0</v>
      </c>
      <c r="BE2421">
        <v>0</v>
      </c>
      <c r="BF2421">
        <v>3</v>
      </c>
      <c r="BG2421">
        <v>0</v>
      </c>
    </row>
    <row r="2422" spans="1:59">
      <c r="A2422" s="1">
        <f>HYPERLINK("https://lsnyc.legalserver.org/matter/dynamic-profile/view/1906388","19-1906388")</f>
        <v>0</v>
      </c>
      <c r="B2422" t="s">
        <v>933</v>
      </c>
      <c r="C2422" t="s">
        <v>6845</v>
      </c>
      <c r="D2422" t="s">
        <v>9928</v>
      </c>
      <c r="E2422" t="s">
        <v>10075</v>
      </c>
      <c r="F2422">
        <v>11206</v>
      </c>
      <c r="G2422" t="s">
        <v>10093</v>
      </c>
      <c r="H2422" t="s">
        <v>10095</v>
      </c>
      <c r="I2422" t="s">
        <v>10168</v>
      </c>
      <c r="J2422" t="s">
        <v>10213</v>
      </c>
      <c r="K2422" t="s">
        <v>10217</v>
      </c>
      <c r="M2422" t="s">
        <v>10265</v>
      </c>
      <c r="N2422" t="s">
        <v>10671</v>
      </c>
      <c r="P2422" t="s">
        <v>10751</v>
      </c>
      <c r="Q2422" t="s">
        <v>10761</v>
      </c>
      <c r="R2422" t="s">
        <v>10826</v>
      </c>
      <c r="T2422">
        <v>0</v>
      </c>
      <c r="U2422">
        <v>0</v>
      </c>
      <c r="V2422">
        <v>40</v>
      </c>
      <c r="W2422">
        <v>1</v>
      </c>
      <c r="X2422">
        <v>2</v>
      </c>
      <c r="Z2422">
        <v>0</v>
      </c>
      <c r="AA2422">
        <v>40.693693</v>
      </c>
      <c r="AB2422">
        <v>-73.94336800000001</v>
      </c>
      <c r="AD2422" t="s">
        <v>10839</v>
      </c>
      <c r="AG2422" t="s">
        <v>10858</v>
      </c>
      <c r="AH2422" t="s">
        <v>10862</v>
      </c>
      <c r="AI2422">
        <v>239</v>
      </c>
      <c r="AJ2422" t="s">
        <v>10213</v>
      </c>
      <c r="AL2422">
        <v>5.4</v>
      </c>
      <c r="AM2422" t="s">
        <v>10889</v>
      </c>
      <c r="AN2422" t="s">
        <v>10914</v>
      </c>
      <c r="AO2422" t="s">
        <v>11007</v>
      </c>
      <c r="AP2422" t="s">
        <v>11052</v>
      </c>
      <c r="AR2422" t="s">
        <v>11279</v>
      </c>
      <c r="AS2422" t="s">
        <v>11595</v>
      </c>
      <c r="BA2422" t="s">
        <v>11737</v>
      </c>
      <c r="BB2422">
        <v>0</v>
      </c>
      <c r="BC2422">
        <v>0</v>
      </c>
      <c r="BD2422">
        <v>0</v>
      </c>
      <c r="BE2422">
        <v>0</v>
      </c>
      <c r="BF2422">
        <v>3</v>
      </c>
      <c r="BG2422">
        <v>0</v>
      </c>
    </row>
    <row r="2423" spans="1:59">
      <c r="A2423" s="1">
        <f>HYPERLINK("https://lsnyc.legalserver.org/matter/dynamic-profile/view/1906389","19-1906389")</f>
        <v>0</v>
      </c>
      <c r="B2423" t="s">
        <v>2051</v>
      </c>
      <c r="C2423" t="s">
        <v>6846</v>
      </c>
      <c r="D2423" t="s">
        <v>9926</v>
      </c>
      <c r="E2423" t="s">
        <v>10075</v>
      </c>
      <c r="F2423">
        <v>10451</v>
      </c>
      <c r="G2423" t="s">
        <v>10090</v>
      </c>
      <c r="H2423" t="s">
        <v>10095</v>
      </c>
      <c r="J2423" t="s">
        <v>10210</v>
      </c>
      <c r="K2423" t="s">
        <v>10218</v>
      </c>
      <c r="L2423" t="s">
        <v>10127</v>
      </c>
      <c r="M2423" t="s">
        <v>10262</v>
      </c>
      <c r="N2423" t="s">
        <v>10666</v>
      </c>
      <c r="P2423" t="s">
        <v>10749</v>
      </c>
      <c r="Q2423" t="s">
        <v>10767</v>
      </c>
      <c r="R2423" t="s">
        <v>10826</v>
      </c>
      <c r="T2423">
        <v>9528</v>
      </c>
      <c r="U2423">
        <v>794</v>
      </c>
      <c r="V2423">
        <v>30</v>
      </c>
      <c r="W2423">
        <v>1</v>
      </c>
      <c r="X2423">
        <v>0</v>
      </c>
      <c r="Y2423" t="s">
        <v>10829</v>
      </c>
      <c r="Z2423">
        <v>76.29000000000001</v>
      </c>
      <c r="AA2423">
        <v>40.813467</v>
      </c>
      <c r="AB2423">
        <v>-73.923261</v>
      </c>
      <c r="AD2423" t="s">
        <v>10839</v>
      </c>
      <c r="AG2423" t="s">
        <v>10858</v>
      </c>
      <c r="AH2423" t="s">
        <v>10861</v>
      </c>
      <c r="AI2423">
        <v>230</v>
      </c>
      <c r="AJ2423" t="s">
        <v>10210</v>
      </c>
      <c r="AK2423" t="s">
        <v>10882</v>
      </c>
      <c r="AL2423">
        <v>0.5</v>
      </c>
      <c r="AM2423" t="s">
        <v>10884</v>
      </c>
      <c r="AN2423" t="s">
        <v>10924</v>
      </c>
      <c r="AO2423" t="s">
        <v>11013</v>
      </c>
      <c r="AP2423" t="s">
        <v>11066</v>
      </c>
      <c r="AR2423" t="s">
        <v>11263</v>
      </c>
      <c r="AS2423" t="s">
        <v>9926</v>
      </c>
      <c r="AT2423" t="s">
        <v>11641</v>
      </c>
      <c r="AX2423" t="s">
        <v>10838</v>
      </c>
      <c r="AY2423" t="s">
        <v>10829</v>
      </c>
      <c r="AZ2423" t="s">
        <v>11681</v>
      </c>
      <c r="BA2423" t="s">
        <v>11741</v>
      </c>
      <c r="BB2423">
        <v>0</v>
      </c>
      <c r="BC2423">
        <v>0</v>
      </c>
      <c r="BD2423">
        <v>0</v>
      </c>
      <c r="BE2423">
        <v>0</v>
      </c>
      <c r="BF2423">
        <v>1</v>
      </c>
      <c r="BG2423">
        <v>0</v>
      </c>
    </row>
    <row r="2424" spans="1:59">
      <c r="A2424" s="1">
        <f>HYPERLINK("https://lsnyc.legalserver.org/matter/dynamic-profile/view/1906390","19-1906390")</f>
        <v>0</v>
      </c>
      <c r="B2424" t="s">
        <v>2052</v>
      </c>
      <c r="C2424" t="s">
        <v>6847</v>
      </c>
      <c r="D2424" t="s">
        <v>9925</v>
      </c>
      <c r="E2424" t="s">
        <v>10075</v>
      </c>
      <c r="F2424">
        <v>10009</v>
      </c>
      <c r="G2424" t="s">
        <v>10089</v>
      </c>
      <c r="H2424" t="s">
        <v>10095</v>
      </c>
      <c r="I2424" t="s">
        <v>10169</v>
      </c>
      <c r="J2424" t="s">
        <v>10209</v>
      </c>
      <c r="K2424" t="s">
        <v>10218</v>
      </c>
      <c r="L2424" t="s">
        <v>10158</v>
      </c>
      <c r="M2424" t="s">
        <v>10379</v>
      </c>
      <c r="N2424" t="s">
        <v>10650</v>
      </c>
      <c r="P2424" t="s">
        <v>10749</v>
      </c>
      <c r="Q2424" t="s">
        <v>10774</v>
      </c>
      <c r="R2424" t="s">
        <v>10821</v>
      </c>
      <c r="T2424">
        <v>9516</v>
      </c>
      <c r="U2424">
        <v>793</v>
      </c>
      <c r="V2424">
        <v>64</v>
      </c>
      <c r="W2424">
        <v>1</v>
      </c>
      <c r="X2424">
        <v>1</v>
      </c>
      <c r="Y2424" t="s">
        <v>10829</v>
      </c>
      <c r="Z2424">
        <v>56.27</v>
      </c>
      <c r="AA2424">
        <v>40.727591</v>
      </c>
      <c r="AB2424">
        <v>-73.976659</v>
      </c>
      <c r="AD2424" t="s">
        <v>10839</v>
      </c>
      <c r="AG2424" t="s">
        <v>10858</v>
      </c>
      <c r="AH2424" t="s">
        <v>10864</v>
      </c>
      <c r="AI2424">
        <v>236</v>
      </c>
      <c r="AJ2424" t="s">
        <v>10209</v>
      </c>
      <c r="AK2424" t="s">
        <v>10838</v>
      </c>
      <c r="AL2424">
        <v>1</v>
      </c>
      <c r="AM2424" t="s">
        <v>10891</v>
      </c>
      <c r="AN2424" t="s">
        <v>10910</v>
      </c>
      <c r="AO2424" t="s">
        <v>11021</v>
      </c>
      <c r="AP2424" t="s">
        <v>11048</v>
      </c>
      <c r="AQ2424" t="s">
        <v>11136</v>
      </c>
      <c r="AR2424" t="s">
        <v>11253</v>
      </c>
      <c r="AS2424" t="s">
        <v>9925</v>
      </c>
      <c r="AY2424" t="s">
        <v>10829</v>
      </c>
      <c r="AZ2424" t="s">
        <v>11681</v>
      </c>
      <c r="BA2424" t="s">
        <v>11741</v>
      </c>
      <c r="BB2424">
        <v>0</v>
      </c>
      <c r="BC2424">
        <v>0</v>
      </c>
      <c r="BD2424">
        <v>0</v>
      </c>
      <c r="BE2424">
        <v>0</v>
      </c>
      <c r="BF2424">
        <v>1</v>
      </c>
      <c r="BG2424">
        <v>0</v>
      </c>
    </row>
    <row r="2425" spans="1:59">
      <c r="A2425" s="1">
        <f>HYPERLINK("https://lsnyc.legalserver.org/matter/dynamic-profile/view/1906391","19-1906391")</f>
        <v>0</v>
      </c>
      <c r="D2425" t="s">
        <v>9926</v>
      </c>
      <c r="E2425" t="s">
        <v>10075</v>
      </c>
      <c r="F2425">
        <v>10466</v>
      </c>
      <c r="G2425" t="s">
        <v>10090</v>
      </c>
      <c r="H2425" t="s">
        <v>10095</v>
      </c>
      <c r="I2425" t="s">
        <v>10168</v>
      </c>
      <c r="J2425" t="s">
        <v>10210</v>
      </c>
      <c r="K2425" t="s">
        <v>10217</v>
      </c>
      <c r="M2425" t="s">
        <v>10375</v>
      </c>
      <c r="N2425" t="s">
        <v>10671</v>
      </c>
      <c r="P2425" t="s">
        <v>10751</v>
      </c>
      <c r="Q2425" t="s">
        <v>10761</v>
      </c>
      <c r="R2425" t="s">
        <v>10824</v>
      </c>
      <c r="T2425">
        <v>10260</v>
      </c>
      <c r="U2425">
        <v>855</v>
      </c>
      <c r="V2425">
        <v>0</v>
      </c>
      <c r="W2425">
        <v>3</v>
      </c>
      <c r="X2425">
        <v>0</v>
      </c>
      <c r="Z2425">
        <v>48.1</v>
      </c>
      <c r="AA2425">
        <v>0</v>
      </c>
      <c r="AB2425">
        <v>0</v>
      </c>
      <c r="AD2425" t="s">
        <v>10839</v>
      </c>
      <c r="AG2425" t="s">
        <v>10858</v>
      </c>
      <c r="AH2425" t="s">
        <v>10861</v>
      </c>
      <c r="AI2425">
        <v>230</v>
      </c>
      <c r="AJ2425" t="s">
        <v>10210</v>
      </c>
      <c r="AL2425">
        <v>0</v>
      </c>
      <c r="AR2425" t="s">
        <v>11263</v>
      </c>
      <c r="AS2425" t="s">
        <v>9926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</row>
    <row r="2426" spans="1:59">
      <c r="A2426" s="1">
        <f>HYPERLINK("https://lsnyc.legalserver.org/matter/dynamic-profile/view/1906392","19-1906392")</f>
        <v>0</v>
      </c>
      <c r="B2426" t="s">
        <v>2053</v>
      </c>
      <c r="C2426" t="s">
        <v>6848</v>
      </c>
      <c r="D2426" t="s">
        <v>9925</v>
      </c>
      <c r="E2426" t="s">
        <v>10075</v>
      </c>
      <c r="F2426">
        <v>10029</v>
      </c>
      <c r="G2426" t="s">
        <v>10093</v>
      </c>
      <c r="H2426" t="s">
        <v>10104</v>
      </c>
      <c r="J2426" t="s">
        <v>10213</v>
      </c>
      <c r="K2426" t="s">
        <v>10218</v>
      </c>
      <c r="L2426" t="s">
        <v>10104</v>
      </c>
      <c r="M2426" t="s">
        <v>10572</v>
      </c>
      <c r="N2426" t="s">
        <v>10653</v>
      </c>
      <c r="P2426" t="s">
        <v>10749</v>
      </c>
      <c r="Q2426" t="s">
        <v>10806</v>
      </c>
      <c r="R2426" t="s">
        <v>10824</v>
      </c>
      <c r="T2426">
        <v>0</v>
      </c>
      <c r="U2426">
        <v>0</v>
      </c>
      <c r="V2426">
        <v>63</v>
      </c>
      <c r="W2426">
        <v>2</v>
      </c>
      <c r="X2426">
        <v>2</v>
      </c>
      <c r="Y2426" t="s">
        <v>10829</v>
      </c>
      <c r="Z2426">
        <v>0</v>
      </c>
      <c r="AA2426">
        <v>40.796529</v>
      </c>
      <c r="AB2426">
        <v>-73.939854</v>
      </c>
      <c r="AD2426" t="s">
        <v>10839</v>
      </c>
      <c r="AG2426" t="s">
        <v>10858</v>
      </c>
      <c r="AH2426" t="s">
        <v>10860</v>
      </c>
      <c r="AI2426">
        <v>239</v>
      </c>
      <c r="AJ2426" t="s">
        <v>10213</v>
      </c>
      <c r="AK2426" t="s">
        <v>10838</v>
      </c>
      <c r="AL2426">
        <v>1.3</v>
      </c>
      <c r="AM2426" t="s">
        <v>10887</v>
      </c>
      <c r="AN2426" t="s">
        <v>10926</v>
      </c>
      <c r="AO2426" t="s">
        <v>11016</v>
      </c>
      <c r="AP2426" t="s">
        <v>11066</v>
      </c>
      <c r="AR2426" t="s">
        <v>11267</v>
      </c>
      <c r="AS2426" t="s">
        <v>9925</v>
      </c>
      <c r="AY2426" t="s">
        <v>10829</v>
      </c>
      <c r="AZ2426" t="s">
        <v>11681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</row>
    <row r="2427" spans="1:59">
      <c r="A2427" s="1">
        <f>HYPERLINK("https://lsnyc.legalserver.org/matter/dynamic-profile/view/1906393","19-1906393")</f>
        <v>0</v>
      </c>
      <c r="B2427" t="s">
        <v>2054</v>
      </c>
      <c r="C2427" t="s">
        <v>6844</v>
      </c>
      <c r="D2427" t="s">
        <v>9925</v>
      </c>
      <c r="E2427" t="s">
        <v>10075</v>
      </c>
      <c r="F2427">
        <v>10032</v>
      </c>
      <c r="G2427" t="s">
        <v>10089</v>
      </c>
      <c r="H2427" t="s">
        <v>10095</v>
      </c>
      <c r="I2427" t="s">
        <v>10168</v>
      </c>
      <c r="J2427" t="s">
        <v>10209</v>
      </c>
      <c r="K2427" t="s">
        <v>10217</v>
      </c>
      <c r="M2427" t="s">
        <v>10451</v>
      </c>
      <c r="N2427" t="s">
        <v>10650</v>
      </c>
      <c r="P2427" t="s">
        <v>10749</v>
      </c>
      <c r="Q2427" t="s">
        <v>10765</v>
      </c>
      <c r="R2427" t="s">
        <v>10820</v>
      </c>
      <c r="T2427">
        <v>51500</v>
      </c>
      <c r="U2427">
        <v>4291.67</v>
      </c>
      <c r="V2427">
        <v>28</v>
      </c>
      <c r="W2427">
        <v>1</v>
      </c>
      <c r="X2427">
        <v>0</v>
      </c>
      <c r="Z2427">
        <v>412.33</v>
      </c>
      <c r="AA2427">
        <v>40.843778</v>
      </c>
      <c r="AB2427">
        <v>-73.94183700000001</v>
      </c>
      <c r="AD2427" t="s">
        <v>10839</v>
      </c>
      <c r="AG2427" t="s">
        <v>10858</v>
      </c>
      <c r="AH2427" t="s">
        <v>10862</v>
      </c>
      <c r="AI2427">
        <v>236</v>
      </c>
      <c r="AJ2427" t="s">
        <v>10209</v>
      </c>
      <c r="AL2427">
        <v>0</v>
      </c>
      <c r="AM2427" t="s">
        <v>10887</v>
      </c>
      <c r="AN2427" t="s">
        <v>10943</v>
      </c>
      <c r="AO2427" t="s">
        <v>11019</v>
      </c>
      <c r="AP2427" t="s">
        <v>11074</v>
      </c>
      <c r="AR2427" t="s">
        <v>11257</v>
      </c>
      <c r="AS2427" t="s">
        <v>9925</v>
      </c>
      <c r="AT2427" t="s">
        <v>11641</v>
      </c>
      <c r="AX2427" t="s">
        <v>10838</v>
      </c>
      <c r="BA2427" t="s">
        <v>11737</v>
      </c>
      <c r="BB2427">
        <v>0</v>
      </c>
      <c r="BC2427">
        <v>0</v>
      </c>
      <c r="BD2427">
        <v>0</v>
      </c>
      <c r="BE2427">
        <v>0</v>
      </c>
      <c r="BF2427">
        <v>3</v>
      </c>
      <c r="BG2427">
        <v>0</v>
      </c>
    </row>
    <row r="2428" spans="1:59">
      <c r="A2428" s="1">
        <f>HYPERLINK("https://lsnyc.legalserver.org/matter/dynamic-profile/view/1906395","19-1906395")</f>
        <v>0</v>
      </c>
      <c r="B2428" t="s">
        <v>2055</v>
      </c>
      <c r="C2428" t="s">
        <v>6849</v>
      </c>
      <c r="D2428" t="s">
        <v>9926</v>
      </c>
      <c r="E2428" t="s">
        <v>10075</v>
      </c>
      <c r="F2428">
        <v>10473</v>
      </c>
      <c r="G2428" t="s">
        <v>10090</v>
      </c>
      <c r="H2428" t="s">
        <v>10095</v>
      </c>
      <c r="I2428" t="s">
        <v>10168</v>
      </c>
      <c r="J2428" t="s">
        <v>10210</v>
      </c>
      <c r="K2428" t="s">
        <v>10218</v>
      </c>
      <c r="L2428" t="s">
        <v>10135</v>
      </c>
      <c r="M2428" t="s">
        <v>10495</v>
      </c>
      <c r="N2428" t="s">
        <v>10658</v>
      </c>
      <c r="P2428" t="s">
        <v>10749</v>
      </c>
      <c r="Q2428" t="s">
        <v>10769</v>
      </c>
      <c r="R2428" t="s">
        <v>10827</v>
      </c>
      <c r="T2428">
        <v>51380</v>
      </c>
      <c r="U2428">
        <v>4281.67</v>
      </c>
      <c r="V2428">
        <v>44</v>
      </c>
      <c r="W2428">
        <v>4</v>
      </c>
      <c r="X2428">
        <v>0</v>
      </c>
      <c r="Y2428" t="s">
        <v>10829</v>
      </c>
      <c r="Z2428">
        <v>199.53</v>
      </c>
      <c r="AA2428">
        <v>40.819322</v>
      </c>
      <c r="AB2428">
        <v>-73.866635</v>
      </c>
      <c r="AD2428" t="s">
        <v>10839</v>
      </c>
      <c r="AG2428" t="s">
        <v>10858</v>
      </c>
      <c r="AH2428" t="s">
        <v>10860</v>
      </c>
      <c r="AI2428">
        <v>230</v>
      </c>
      <c r="AJ2428" t="s">
        <v>10210</v>
      </c>
      <c r="AK2428" t="s">
        <v>10838</v>
      </c>
      <c r="AL2428">
        <v>2.5</v>
      </c>
      <c r="AM2428" t="s">
        <v>10884</v>
      </c>
      <c r="AN2428" t="s">
        <v>10968</v>
      </c>
      <c r="AO2428" t="s">
        <v>11002</v>
      </c>
      <c r="AP2428" t="s">
        <v>11046</v>
      </c>
      <c r="AQ2428" t="s">
        <v>11199</v>
      </c>
      <c r="AR2428" t="s">
        <v>11356</v>
      </c>
      <c r="AS2428" t="s">
        <v>9926</v>
      </c>
      <c r="AT2428" t="s">
        <v>11641</v>
      </c>
      <c r="AY2428" t="s">
        <v>10829</v>
      </c>
      <c r="AZ2428" t="s">
        <v>11681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</row>
    <row r="2429" spans="1:59">
      <c r="A2429" s="1">
        <f>HYPERLINK("https://lsnyc.legalserver.org/matter/dynamic-profile/view/1906396","19-1906396")</f>
        <v>0</v>
      </c>
      <c r="B2429" t="s">
        <v>2056</v>
      </c>
      <c r="C2429" t="s">
        <v>6850</v>
      </c>
      <c r="D2429" t="s">
        <v>9926</v>
      </c>
      <c r="E2429" t="s">
        <v>10075</v>
      </c>
      <c r="F2429">
        <v>10469</v>
      </c>
      <c r="G2429" t="s">
        <v>10090</v>
      </c>
      <c r="H2429" t="s">
        <v>10095</v>
      </c>
      <c r="I2429" t="s">
        <v>10168</v>
      </c>
      <c r="J2429" t="s">
        <v>10210</v>
      </c>
      <c r="K2429" t="s">
        <v>10218</v>
      </c>
      <c r="L2429" t="s">
        <v>10099</v>
      </c>
      <c r="M2429" t="s">
        <v>10537</v>
      </c>
      <c r="N2429" t="s">
        <v>10673</v>
      </c>
      <c r="P2429" t="s">
        <v>10753</v>
      </c>
      <c r="Q2429" t="s">
        <v>10763</v>
      </c>
      <c r="R2429" t="s">
        <v>10824</v>
      </c>
      <c r="T2429">
        <v>25000</v>
      </c>
      <c r="U2429">
        <v>2083.33</v>
      </c>
      <c r="V2429">
        <v>23</v>
      </c>
      <c r="W2429">
        <v>2</v>
      </c>
      <c r="X2429">
        <v>0</v>
      </c>
      <c r="Y2429" t="s">
        <v>10829</v>
      </c>
      <c r="Z2429">
        <v>147.84</v>
      </c>
      <c r="AA2429">
        <v>40.878226</v>
      </c>
      <c r="AB2429">
        <v>-73.847213</v>
      </c>
      <c r="AD2429" t="s">
        <v>10840</v>
      </c>
      <c r="AF2429" t="s">
        <v>10842</v>
      </c>
      <c r="AG2429" t="s">
        <v>10859</v>
      </c>
      <c r="AH2429" t="s">
        <v>10871</v>
      </c>
      <c r="AI2429">
        <v>234</v>
      </c>
      <c r="AJ2429" t="s">
        <v>10214</v>
      </c>
      <c r="AK2429" t="s">
        <v>10838</v>
      </c>
      <c r="AL2429">
        <v>1.65</v>
      </c>
      <c r="AM2429" t="s">
        <v>10893</v>
      </c>
      <c r="AN2429" t="s">
        <v>10956</v>
      </c>
      <c r="AO2429" t="s">
        <v>11010</v>
      </c>
      <c r="AP2429" t="s">
        <v>11085</v>
      </c>
      <c r="AQ2429" t="s">
        <v>11204</v>
      </c>
      <c r="AR2429" t="s">
        <v>11257</v>
      </c>
      <c r="AS2429" t="s">
        <v>9926</v>
      </c>
      <c r="AT2429" t="s">
        <v>11642</v>
      </c>
      <c r="AX2429" t="s">
        <v>10837</v>
      </c>
      <c r="AY2429" t="s">
        <v>10829</v>
      </c>
      <c r="AZ2429" t="s">
        <v>11709</v>
      </c>
      <c r="BA2429" t="s">
        <v>11741</v>
      </c>
      <c r="BB2429">
        <v>0</v>
      </c>
      <c r="BC2429">
        <v>0</v>
      </c>
      <c r="BD2429">
        <v>0</v>
      </c>
      <c r="BE2429">
        <v>0</v>
      </c>
      <c r="BF2429">
        <v>1</v>
      </c>
      <c r="BG2429">
        <v>0</v>
      </c>
    </row>
    <row r="2430" spans="1:59">
      <c r="A2430" s="1">
        <f>HYPERLINK("https://lsnyc.legalserver.org/matter/dynamic-profile/view/1906397","19-1906397")</f>
        <v>0</v>
      </c>
      <c r="B2430" t="s">
        <v>2057</v>
      </c>
      <c r="C2430" t="s">
        <v>6851</v>
      </c>
      <c r="D2430" t="s">
        <v>9925</v>
      </c>
      <c r="E2430" t="s">
        <v>10075</v>
      </c>
      <c r="F2430">
        <v>10024</v>
      </c>
      <c r="G2430" t="s">
        <v>10093</v>
      </c>
      <c r="H2430" t="s">
        <v>10095</v>
      </c>
      <c r="I2430" t="s">
        <v>10168</v>
      </c>
      <c r="J2430" t="s">
        <v>10213</v>
      </c>
      <c r="K2430" t="s">
        <v>10218</v>
      </c>
      <c r="L2430" t="s">
        <v>10141</v>
      </c>
      <c r="M2430" t="s">
        <v>10436</v>
      </c>
      <c r="N2430" t="s">
        <v>10710</v>
      </c>
      <c r="P2430" t="s">
        <v>10750</v>
      </c>
      <c r="Q2430" t="s">
        <v>10760</v>
      </c>
      <c r="R2430" t="s">
        <v>10824</v>
      </c>
      <c r="T2430">
        <v>33240</v>
      </c>
      <c r="U2430">
        <v>2770</v>
      </c>
      <c r="V2430">
        <v>91</v>
      </c>
      <c r="W2430">
        <v>1</v>
      </c>
      <c r="X2430">
        <v>0</v>
      </c>
      <c r="Y2430" t="s">
        <v>10829</v>
      </c>
      <c r="Z2430">
        <v>266.13</v>
      </c>
      <c r="AA2430">
        <v>40.78908</v>
      </c>
      <c r="AB2430">
        <v>-73.96969799999999</v>
      </c>
      <c r="AD2430" t="s">
        <v>10839</v>
      </c>
      <c r="AG2430" t="s">
        <v>10858</v>
      </c>
      <c r="AH2430" t="s">
        <v>10861</v>
      </c>
      <c r="AI2430">
        <v>234</v>
      </c>
      <c r="AJ2430" t="s">
        <v>10214</v>
      </c>
      <c r="AK2430" t="s">
        <v>10838</v>
      </c>
      <c r="AL2430">
        <v>2.25</v>
      </c>
      <c r="AM2430" t="s">
        <v>10894</v>
      </c>
      <c r="AN2430" t="s">
        <v>10953</v>
      </c>
      <c r="AO2430" t="s">
        <v>11016</v>
      </c>
      <c r="AP2430" t="s">
        <v>11089</v>
      </c>
      <c r="AR2430" t="s">
        <v>11345</v>
      </c>
      <c r="AS2430" t="s">
        <v>9925</v>
      </c>
      <c r="AT2430" t="s">
        <v>11641</v>
      </c>
      <c r="AX2430" t="s">
        <v>10838</v>
      </c>
      <c r="AY2430" t="s">
        <v>10829</v>
      </c>
      <c r="AZ2430" t="s">
        <v>11679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</row>
    <row r="2431" spans="1:59">
      <c r="A2431" s="1">
        <f>HYPERLINK("https://lsnyc.legalserver.org/matter/dynamic-profile/view/1906398","19-1906398")</f>
        <v>0</v>
      </c>
      <c r="B2431" t="s">
        <v>2058</v>
      </c>
      <c r="C2431" t="s">
        <v>6852</v>
      </c>
      <c r="D2431" t="s">
        <v>9926</v>
      </c>
      <c r="E2431" t="s">
        <v>10075</v>
      </c>
      <c r="F2431">
        <v>10458</v>
      </c>
      <c r="G2431" t="s">
        <v>10090</v>
      </c>
      <c r="H2431" t="s">
        <v>10095</v>
      </c>
      <c r="I2431" t="s">
        <v>10168</v>
      </c>
      <c r="J2431" t="s">
        <v>10210</v>
      </c>
      <c r="K2431" t="s">
        <v>10217</v>
      </c>
      <c r="M2431" t="s">
        <v>10401</v>
      </c>
      <c r="N2431" t="s">
        <v>10671</v>
      </c>
      <c r="P2431" t="s">
        <v>10751</v>
      </c>
      <c r="Q2431" t="s">
        <v>10761</v>
      </c>
      <c r="R2431" t="s">
        <v>10821</v>
      </c>
      <c r="T2431">
        <v>15598.8</v>
      </c>
      <c r="U2431">
        <v>1299.9</v>
      </c>
      <c r="V2431">
        <v>39</v>
      </c>
      <c r="W2431">
        <v>4</v>
      </c>
      <c r="X2431">
        <v>3</v>
      </c>
      <c r="Z2431">
        <v>39.99</v>
      </c>
      <c r="AA2431">
        <v>40.865588</v>
      </c>
      <c r="AB2431">
        <v>-73.89290099999999</v>
      </c>
      <c r="AD2431" t="s">
        <v>10839</v>
      </c>
      <c r="AG2431" t="s">
        <v>10858</v>
      </c>
      <c r="AH2431" t="s">
        <v>10874</v>
      </c>
      <c r="AI2431">
        <v>230</v>
      </c>
      <c r="AJ2431" t="s">
        <v>10210</v>
      </c>
      <c r="AL2431">
        <v>8</v>
      </c>
      <c r="AM2431" t="s">
        <v>10887</v>
      </c>
      <c r="AN2431" t="s">
        <v>10907</v>
      </c>
      <c r="AO2431" t="s">
        <v>11000</v>
      </c>
      <c r="AP2431" t="s">
        <v>11056</v>
      </c>
      <c r="AR2431" t="s">
        <v>11257</v>
      </c>
      <c r="AS2431" t="s">
        <v>9926</v>
      </c>
      <c r="AT2431" t="s">
        <v>11641</v>
      </c>
      <c r="AV2431" t="s">
        <v>11656</v>
      </c>
      <c r="AW2431" t="s">
        <v>11645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</row>
    <row r="2432" spans="1:59">
      <c r="A2432" s="1">
        <f>HYPERLINK("https://lsnyc.legalserver.org/matter/dynamic-profile/view/1906399","19-1906399")</f>
        <v>0</v>
      </c>
      <c r="B2432" t="s">
        <v>2059</v>
      </c>
      <c r="C2432" t="s">
        <v>6844</v>
      </c>
      <c r="D2432" t="s">
        <v>9925</v>
      </c>
      <c r="E2432" t="s">
        <v>10075</v>
      </c>
      <c r="F2432">
        <v>10032</v>
      </c>
      <c r="G2432" t="s">
        <v>10089</v>
      </c>
      <c r="H2432" t="s">
        <v>10095</v>
      </c>
      <c r="I2432" t="s">
        <v>10168</v>
      </c>
      <c r="J2432" t="s">
        <v>10209</v>
      </c>
      <c r="K2432" t="s">
        <v>10217</v>
      </c>
      <c r="M2432" t="s">
        <v>10451</v>
      </c>
      <c r="N2432" t="s">
        <v>10650</v>
      </c>
      <c r="P2432" t="s">
        <v>10749</v>
      </c>
      <c r="Q2432" t="s">
        <v>10765</v>
      </c>
      <c r="R2432" t="s">
        <v>10820</v>
      </c>
      <c r="T2432">
        <v>60000</v>
      </c>
      <c r="U2432">
        <v>5000</v>
      </c>
      <c r="V2432">
        <v>25</v>
      </c>
      <c r="W2432">
        <v>2</v>
      </c>
      <c r="X2432">
        <v>0</v>
      </c>
      <c r="Z2432">
        <v>354.82</v>
      </c>
      <c r="AA2432">
        <v>40.843778</v>
      </c>
      <c r="AB2432">
        <v>-73.94183700000001</v>
      </c>
      <c r="AD2432" t="s">
        <v>10840</v>
      </c>
      <c r="AG2432" t="s">
        <v>10858</v>
      </c>
      <c r="AH2432" t="s">
        <v>10862</v>
      </c>
      <c r="AI2432">
        <v>236</v>
      </c>
      <c r="AJ2432" t="s">
        <v>10209</v>
      </c>
      <c r="AL2432">
        <v>0</v>
      </c>
      <c r="AM2432" t="s">
        <v>10887</v>
      </c>
      <c r="AN2432" t="s">
        <v>10943</v>
      </c>
      <c r="AO2432" t="s">
        <v>11019</v>
      </c>
      <c r="AP2432" t="s">
        <v>11074</v>
      </c>
      <c r="AR2432" t="s">
        <v>11257</v>
      </c>
      <c r="AS2432" t="s">
        <v>9925</v>
      </c>
      <c r="AT2432" t="s">
        <v>11642</v>
      </c>
      <c r="AX2432" t="s">
        <v>10838</v>
      </c>
      <c r="BA2432" t="s">
        <v>11737</v>
      </c>
      <c r="BB2432">
        <v>0</v>
      </c>
      <c r="BC2432">
        <v>0</v>
      </c>
      <c r="BD2432">
        <v>0</v>
      </c>
      <c r="BE2432">
        <v>0</v>
      </c>
      <c r="BF2432">
        <v>3</v>
      </c>
      <c r="BG2432">
        <v>0</v>
      </c>
    </row>
    <row r="2433" spans="1:59">
      <c r="A2433" s="1">
        <f>HYPERLINK("https://lsnyc.legalserver.org/matter/dynamic-profile/view/1906400","19-1906400")</f>
        <v>0</v>
      </c>
      <c r="B2433" t="s">
        <v>2060</v>
      </c>
      <c r="C2433" t="s">
        <v>6853</v>
      </c>
      <c r="D2433" t="s">
        <v>9928</v>
      </c>
      <c r="E2433" t="s">
        <v>10075</v>
      </c>
      <c r="F2433">
        <v>11217</v>
      </c>
      <c r="G2433" t="s">
        <v>10092</v>
      </c>
      <c r="H2433" t="s">
        <v>10095</v>
      </c>
      <c r="I2433" t="s">
        <v>10168</v>
      </c>
      <c r="J2433" t="s">
        <v>10212</v>
      </c>
      <c r="K2433" t="s">
        <v>10217</v>
      </c>
      <c r="M2433" t="s">
        <v>10398</v>
      </c>
      <c r="N2433" t="s">
        <v>10657</v>
      </c>
      <c r="P2433" t="s">
        <v>10757</v>
      </c>
      <c r="Q2433" t="s">
        <v>10789</v>
      </c>
      <c r="R2433" t="s">
        <v>10824</v>
      </c>
      <c r="T2433">
        <v>0</v>
      </c>
      <c r="U2433">
        <v>0</v>
      </c>
      <c r="V2433">
        <v>67</v>
      </c>
      <c r="W2433">
        <v>1</v>
      </c>
      <c r="X2433">
        <v>0</v>
      </c>
      <c r="Z2433">
        <v>0</v>
      </c>
      <c r="AA2433">
        <v>40.682613</v>
      </c>
      <c r="AB2433">
        <v>-73.984503</v>
      </c>
      <c r="AD2433" t="s">
        <v>10840</v>
      </c>
      <c r="AG2433" t="s">
        <v>10858</v>
      </c>
      <c r="AH2433" t="s">
        <v>10866</v>
      </c>
      <c r="AI2433">
        <v>237</v>
      </c>
      <c r="AJ2433" t="s">
        <v>10212</v>
      </c>
      <c r="AL2433">
        <v>3.5</v>
      </c>
      <c r="AM2433" t="s">
        <v>10886</v>
      </c>
      <c r="AN2433" t="s">
        <v>10917</v>
      </c>
      <c r="AO2433" t="s">
        <v>11007</v>
      </c>
      <c r="AP2433" t="s">
        <v>11054</v>
      </c>
      <c r="AQ2433" t="s">
        <v>11121</v>
      </c>
      <c r="AR2433" t="s">
        <v>11267</v>
      </c>
      <c r="AS2433" t="s">
        <v>11595</v>
      </c>
      <c r="AT2433" t="s">
        <v>11642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</row>
    <row r="2434" spans="1:59">
      <c r="A2434" s="1">
        <f>HYPERLINK("https://lsnyc.legalserver.org/matter/dynamic-profile/view/1906401","19-1906401")</f>
        <v>0</v>
      </c>
      <c r="B2434" t="s">
        <v>2061</v>
      </c>
      <c r="C2434" t="s">
        <v>6854</v>
      </c>
      <c r="D2434" t="s">
        <v>9926</v>
      </c>
      <c r="E2434" t="s">
        <v>10075</v>
      </c>
      <c r="F2434">
        <v>10459</v>
      </c>
      <c r="G2434" t="s">
        <v>10090</v>
      </c>
      <c r="H2434" t="s">
        <v>10095</v>
      </c>
      <c r="I2434" t="s">
        <v>10168</v>
      </c>
      <c r="J2434" t="s">
        <v>10210</v>
      </c>
      <c r="K2434" t="s">
        <v>10217</v>
      </c>
      <c r="M2434" t="s">
        <v>10511</v>
      </c>
      <c r="N2434" t="s">
        <v>10666</v>
      </c>
      <c r="P2434" t="s">
        <v>10749</v>
      </c>
      <c r="Q2434" t="s">
        <v>10765</v>
      </c>
      <c r="R2434" t="s">
        <v>10824</v>
      </c>
      <c r="T2434">
        <v>0</v>
      </c>
      <c r="U2434">
        <v>0</v>
      </c>
      <c r="V2434">
        <v>29</v>
      </c>
      <c r="W2434">
        <v>1</v>
      </c>
      <c r="X2434">
        <v>0</v>
      </c>
      <c r="Z2434">
        <v>0</v>
      </c>
      <c r="AA2434">
        <v>40.83155</v>
      </c>
      <c r="AB2434">
        <v>-73.89205200000001</v>
      </c>
      <c r="AD2434" t="s">
        <v>10840</v>
      </c>
      <c r="AG2434" t="s">
        <v>10858</v>
      </c>
      <c r="AH2434" t="s">
        <v>10861</v>
      </c>
      <c r="AI2434">
        <v>230</v>
      </c>
      <c r="AJ2434" t="s">
        <v>10210</v>
      </c>
      <c r="AL2434">
        <v>4.1</v>
      </c>
      <c r="AM2434" t="s">
        <v>10884</v>
      </c>
      <c r="AN2434" t="s">
        <v>10918</v>
      </c>
      <c r="AO2434" t="s">
        <v>11001</v>
      </c>
      <c r="AP2434" t="s">
        <v>11062</v>
      </c>
      <c r="AR2434" t="s">
        <v>11267</v>
      </c>
      <c r="AS2434" t="s">
        <v>9926</v>
      </c>
      <c r="AT2434" t="s">
        <v>11642</v>
      </c>
      <c r="AX2434" t="s">
        <v>10838</v>
      </c>
      <c r="BA2434" t="s">
        <v>11738</v>
      </c>
      <c r="BB2434">
        <v>0</v>
      </c>
      <c r="BC2434">
        <v>0</v>
      </c>
      <c r="BD2434">
        <v>0</v>
      </c>
      <c r="BE2434">
        <v>0</v>
      </c>
      <c r="BF2434">
        <v>5</v>
      </c>
      <c r="BG2434">
        <v>0</v>
      </c>
    </row>
    <row r="2435" spans="1:59">
      <c r="A2435" s="1">
        <f>HYPERLINK("https://lsnyc.legalserver.org/matter/dynamic-profile/view/1906402","19-1906402")</f>
        <v>0</v>
      </c>
      <c r="B2435" t="s">
        <v>2062</v>
      </c>
      <c r="C2435" t="s">
        <v>6855</v>
      </c>
      <c r="D2435" t="s">
        <v>9946</v>
      </c>
      <c r="E2435" t="s">
        <v>10075</v>
      </c>
      <c r="F2435">
        <v>11385</v>
      </c>
      <c r="G2435" t="s">
        <v>10092</v>
      </c>
      <c r="H2435" t="s">
        <v>10095</v>
      </c>
      <c r="I2435" t="s">
        <v>10168</v>
      </c>
      <c r="J2435" t="s">
        <v>10212</v>
      </c>
      <c r="K2435" t="s">
        <v>10218</v>
      </c>
      <c r="L2435" t="s">
        <v>10127</v>
      </c>
      <c r="M2435" t="s">
        <v>10484</v>
      </c>
      <c r="N2435" t="s">
        <v>10693</v>
      </c>
      <c r="P2435" t="s">
        <v>10749</v>
      </c>
      <c r="Q2435" t="s">
        <v>10765</v>
      </c>
      <c r="R2435" t="s">
        <v>10821</v>
      </c>
      <c r="T2435">
        <v>1032</v>
      </c>
      <c r="U2435">
        <v>86</v>
      </c>
      <c r="V2435">
        <v>53</v>
      </c>
      <c r="W2435">
        <v>1</v>
      </c>
      <c r="X2435">
        <v>0</v>
      </c>
      <c r="Y2435" t="s">
        <v>10835</v>
      </c>
      <c r="Z2435">
        <v>8.26</v>
      </c>
      <c r="AA2435">
        <v>40.705179</v>
      </c>
      <c r="AB2435">
        <v>-73.910281</v>
      </c>
      <c r="AD2435" t="s">
        <v>10839</v>
      </c>
      <c r="AG2435" t="s">
        <v>10858</v>
      </c>
      <c r="AH2435" t="s">
        <v>10862</v>
      </c>
      <c r="AI2435">
        <v>237</v>
      </c>
      <c r="AJ2435" t="s">
        <v>10212</v>
      </c>
      <c r="AK2435" t="s">
        <v>10882</v>
      </c>
      <c r="AL2435">
        <v>2.8</v>
      </c>
      <c r="AM2435" t="s">
        <v>10886</v>
      </c>
      <c r="AN2435" t="s">
        <v>10945</v>
      </c>
      <c r="AO2435" t="s">
        <v>11003</v>
      </c>
      <c r="AP2435" t="s">
        <v>11071</v>
      </c>
      <c r="AR2435" t="s">
        <v>11306</v>
      </c>
      <c r="AS2435" t="s">
        <v>11594</v>
      </c>
      <c r="AX2435" t="s">
        <v>10838</v>
      </c>
      <c r="AY2435" t="s">
        <v>10835</v>
      </c>
      <c r="AZ2435" t="s">
        <v>11687</v>
      </c>
      <c r="BA2435" t="s">
        <v>11738</v>
      </c>
      <c r="BB2435">
        <v>0</v>
      </c>
      <c r="BC2435">
        <v>0</v>
      </c>
      <c r="BD2435">
        <v>0</v>
      </c>
      <c r="BE2435">
        <v>0</v>
      </c>
      <c r="BF2435">
        <v>5</v>
      </c>
      <c r="BG2435">
        <v>0</v>
      </c>
    </row>
    <row r="2436" spans="1:59">
      <c r="A2436" s="1">
        <f>HYPERLINK("https://lsnyc.legalserver.org/matter/dynamic-profile/view/1906403","19-1906403")</f>
        <v>0</v>
      </c>
      <c r="B2436" t="s">
        <v>2063</v>
      </c>
      <c r="C2436" t="s">
        <v>6856</v>
      </c>
      <c r="D2436" t="s">
        <v>9925</v>
      </c>
      <c r="E2436" t="s">
        <v>10075</v>
      </c>
      <c r="F2436">
        <v>10002</v>
      </c>
      <c r="G2436" t="s">
        <v>10092</v>
      </c>
      <c r="H2436" t="s">
        <v>10095</v>
      </c>
      <c r="I2436" t="s">
        <v>10188</v>
      </c>
      <c r="J2436" t="s">
        <v>10212</v>
      </c>
      <c r="K2436" t="s">
        <v>10217</v>
      </c>
      <c r="M2436" t="s">
        <v>10527</v>
      </c>
      <c r="N2436" t="s">
        <v>10688</v>
      </c>
      <c r="P2436" t="s">
        <v>10755</v>
      </c>
      <c r="Q2436" t="s">
        <v>10772</v>
      </c>
      <c r="R2436" t="s">
        <v>10827</v>
      </c>
      <c r="T2436">
        <v>25000</v>
      </c>
      <c r="U2436">
        <v>2083.33</v>
      </c>
      <c r="V2436">
        <v>5</v>
      </c>
      <c r="W2436">
        <v>2</v>
      </c>
      <c r="X2436">
        <v>2</v>
      </c>
      <c r="Z2436">
        <v>97.09</v>
      </c>
      <c r="AA2436">
        <v>40.715814</v>
      </c>
      <c r="AB2436">
        <v>-73.992548</v>
      </c>
      <c r="AD2436" t="s">
        <v>10839</v>
      </c>
      <c r="AG2436" t="s">
        <v>10858</v>
      </c>
      <c r="AH2436" t="s">
        <v>10877</v>
      </c>
      <c r="AI2436">
        <v>237</v>
      </c>
      <c r="AJ2436" t="s">
        <v>10212</v>
      </c>
      <c r="AL2436">
        <v>1.65</v>
      </c>
      <c r="AM2436" t="s">
        <v>10886</v>
      </c>
      <c r="AN2436" t="s">
        <v>10963</v>
      </c>
      <c r="AO2436" t="s">
        <v>11004</v>
      </c>
      <c r="AP2436" t="s">
        <v>11093</v>
      </c>
      <c r="AR2436" t="s">
        <v>11272</v>
      </c>
      <c r="AS2436" t="s">
        <v>9925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</row>
    <row r="2437" spans="1:59">
      <c r="A2437" s="1">
        <f>HYPERLINK("https://lsnyc.legalserver.org/matter/dynamic-profile/view/1906404","19-1906404")</f>
        <v>0</v>
      </c>
      <c r="B2437" t="s">
        <v>2064</v>
      </c>
      <c r="C2437" t="s">
        <v>6844</v>
      </c>
      <c r="D2437" t="s">
        <v>9925</v>
      </c>
      <c r="E2437" t="s">
        <v>10075</v>
      </c>
      <c r="F2437">
        <v>10032</v>
      </c>
      <c r="G2437" t="s">
        <v>10089</v>
      </c>
      <c r="H2437" t="s">
        <v>10095</v>
      </c>
      <c r="I2437" t="s">
        <v>10168</v>
      </c>
      <c r="J2437" t="s">
        <v>10209</v>
      </c>
      <c r="K2437" t="s">
        <v>10217</v>
      </c>
      <c r="M2437" t="s">
        <v>10451</v>
      </c>
      <c r="N2437" t="s">
        <v>10650</v>
      </c>
      <c r="P2437" t="s">
        <v>10749</v>
      </c>
      <c r="Q2437" t="s">
        <v>10765</v>
      </c>
      <c r="R2437" t="s">
        <v>10824</v>
      </c>
      <c r="T2437">
        <v>61250</v>
      </c>
      <c r="U2437">
        <v>5104.17</v>
      </c>
      <c r="V2437">
        <v>49</v>
      </c>
      <c r="W2437">
        <v>1</v>
      </c>
      <c r="X2437">
        <v>0</v>
      </c>
      <c r="Z2437">
        <v>490.39</v>
      </c>
      <c r="AA2437">
        <v>40.843778</v>
      </c>
      <c r="AB2437">
        <v>-73.94183700000001</v>
      </c>
      <c r="AD2437" t="s">
        <v>10840</v>
      </c>
      <c r="AG2437" t="s">
        <v>10858</v>
      </c>
      <c r="AH2437" t="s">
        <v>10862</v>
      </c>
      <c r="AI2437">
        <v>236</v>
      </c>
      <c r="AJ2437" t="s">
        <v>10209</v>
      </c>
      <c r="AL2437">
        <v>5.7</v>
      </c>
      <c r="AM2437" t="s">
        <v>10887</v>
      </c>
      <c r="AN2437" t="s">
        <v>10943</v>
      </c>
      <c r="AO2437" t="s">
        <v>11019</v>
      </c>
      <c r="AP2437" t="s">
        <v>11074</v>
      </c>
      <c r="AR2437" t="s">
        <v>11257</v>
      </c>
      <c r="AS2437" t="s">
        <v>9925</v>
      </c>
      <c r="AT2437" t="s">
        <v>11642</v>
      </c>
      <c r="AX2437" t="s">
        <v>10838</v>
      </c>
      <c r="BA2437" t="s">
        <v>11737</v>
      </c>
      <c r="BB2437">
        <v>0</v>
      </c>
      <c r="BC2437">
        <v>0</v>
      </c>
      <c r="BD2437">
        <v>0</v>
      </c>
      <c r="BE2437">
        <v>0</v>
      </c>
      <c r="BF2437">
        <v>3</v>
      </c>
      <c r="BG2437">
        <v>0</v>
      </c>
    </row>
    <row r="2438" spans="1:59">
      <c r="A2438" s="1">
        <f>HYPERLINK("https://lsnyc.legalserver.org/matter/dynamic-profile/view/1906405","19-1906405")</f>
        <v>0</v>
      </c>
      <c r="B2438" t="s">
        <v>2065</v>
      </c>
      <c r="C2438" t="s">
        <v>6857</v>
      </c>
      <c r="D2438" t="s">
        <v>9926</v>
      </c>
      <c r="E2438" t="s">
        <v>10075</v>
      </c>
      <c r="F2438">
        <v>10455</v>
      </c>
      <c r="G2438" t="s">
        <v>10090</v>
      </c>
      <c r="H2438" t="s">
        <v>10095</v>
      </c>
      <c r="I2438" t="s">
        <v>10168</v>
      </c>
      <c r="J2438" t="s">
        <v>10210</v>
      </c>
      <c r="K2438" t="s">
        <v>10218</v>
      </c>
      <c r="L2438" t="s">
        <v>10127</v>
      </c>
      <c r="M2438" t="s">
        <v>10262</v>
      </c>
      <c r="N2438" t="s">
        <v>10666</v>
      </c>
      <c r="P2438" t="s">
        <v>10749</v>
      </c>
      <c r="Q2438" t="s">
        <v>10765</v>
      </c>
      <c r="R2438" t="s">
        <v>10821</v>
      </c>
      <c r="T2438">
        <v>10272</v>
      </c>
      <c r="U2438">
        <v>856</v>
      </c>
      <c r="V2438">
        <v>61</v>
      </c>
      <c r="W2438">
        <v>2</v>
      </c>
      <c r="X2438">
        <v>0</v>
      </c>
      <c r="Y2438" t="s">
        <v>10829</v>
      </c>
      <c r="Z2438">
        <v>60.75</v>
      </c>
      <c r="AA2438">
        <v>40.811711</v>
      </c>
      <c r="AB2438">
        <v>-73.901949</v>
      </c>
      <c r="AD2438" t="s">
        <v>10840</v>
      </c>
      <c r="AG2438" t="s">
        <v>10858</v>
      </c>
      <c r="AH2438" t="s">
        <v>10861</v>
      </c>
      <c r="AI2438">
        <v>230</v>
      </c>
      <c r="AJ2438" t="s">
        <v>10210</v>
      </c>
      <c r="AK2438" t="s">
        <v>10882</v>
      </c>
      <c r="AL2438">
        <v>0.5</v>
      </c>
      <c r="AM2438" t="s">
        <v>10884</v>
      </c>
      <c r="AN2438" t="s">
        <v>10924</v>
      </c>
      <c r="AO2438" t="s">
        <v>11001</v>
      </c>
      <c r="AP2438" t="s">
        <v>11066</v>
      </c>
      <c r="AR2438" t="s">
        <v>11257</v>
      </c>
      <c r="AS2438" t="s">
        <v>9926</v>
      </c>
      <c r="AT2438" t="s">
        <v>11642</v>
      </c>
      <c r="AX2438" t="s">
        <v>10838</v>
      </c>
      <c r="AY2438" t="s">
        <v>10829</v>
      </c>
      <c r="AZ2438" t="s">
        <v>11681</v>
      </c>
      <c r="BA2438" t="s">
        <v>11741</v>
      </c>
      <c r="BB2438">
        <v>0</v>
      </c>
      <c r="BC2438">
        <v>0</v>
      </c>
      <c r="BD2438">
        <v>0</v>
      </c>
      <c r="BE2438">
        <v>0</v>
      </c>
      <c r="BF2438">
        <v>1</v>
      </c>
      <c r="BG2438">
        <v>0</v>
      </c>
    </row>
    <row r="2439" spans="1:59">
      <c r="A2439" s="1">
        <f>HYPERLINK("https://lsnyc.legalserver.org/matter/dynamic-profile/view/1906406","19-1906406")</f>
        <v>0</v>
      </c>
      <c r="B2439" t="s">
        <v>2066</v>
      </c>
      <c r="C2439" t="s">
        <v>6858</v>
      </c>
      <c r="D2439" t="s">
        <v>9956</v>
      </c>
      <c r="E2439" t="s">
        <v>10075</v>
      </c>
      <c r="F2439">
        <v>11365</v>
      </c>
      <c r="G2439" t="s">
        <v>10092</v>
      </c>
      <c r="H2439" t="s">
        <v>10095</v>
      </c>
      <c r="I2439" t="s">
        <v>10168</v>
      </c>
      <c r="J2439" t="s">
        <v>10212</v>
      </c>
      <c r="K2439" t="s">
        <v>10217</v>
      </c>
      <c r="M2439" t="s">
        <v>10428</v>
      </c>
      <c r="N2439" t="s">
        <v>10695</v>
      </c>
      <c r="P2439" t="s">
        <v>10749</v>
      </c>
      <c r="Q2439" t="s">
        <v>10765</v>
      </c>
      <c r="R2439" t="s">
        <v>10820</v>
      </c>
      <c r="T2439">
        <v>10236</v>
      </c>
      <c r="U2439">
        <v>853</v>
      </c>
      <c r="V2439">
        <v>50</v>
      </c>
      <c r="W2439">
        <v>3</v>
      </c>
      <c r="X2439">
        <v>1</v>
      </c>
      <c r="Z2439">
        <v>39.75</v>
      </c>
      <c r="AA2439">
        <v>40.731987</v>
      </c>
      <c r="AB2439">
        <v>-73.802875</v>
      </c>
      <c r="AD2439" t="s">
        <v>10839</v>
      </c>
      <c r="AG2439" t="s">
        <v>10858</v>
      </c>
      <c r="AH2439" t="s">
        <v>10862</v>
      </c>
      <c r="AI2439">
        <v>237</v>
      </c>
      <c r="AJ2439" t="s">
        <v>10212</v>
      </c>
      <c r="AL2439">
        <v>2.55</v>
      </c>
      <c r="AM2439" t="s">
        <v>10890</v>
      </c>
      <c r="AN2439" t="s">
        <v>10934</v>
      </c>
      <c r="AO2439" t="s">
        <v>11009</v>
      </c>
      <c r="AP2439" t="s">
        <v>11081</v>
      </c>
      <c r="AR2439" t="s">
        <v>11263</v>
      </c>
      <c r="AS2439" t="s">
        <v>11594</v>
      </c>
      <c r="BA2439" t="s">
        <v>11741</v>
      </c>
      <c r="BB2439">
        <v>0</v>
      </c>
      <c r="BC2439">
        <v>0</v>
      </c>
      <c r="BD2439">
        <v>0</v>
      </c>
      <c r="BE2439">
        <v>0</v>
      </c>
      <c r="BF2439">
        <v>1</v>
      </c>
      <c r="BG2439">
        <v>0</v>
      </c>
    </row>
    <row r="2440" spans="1:59">
      <c r="A2440" s="1">
        <f>HYPERLINK("https://lsnyc.legalserver.org/matter/dynamic-profile/view/1906407","19-1906407")</f>
        <v>0</v>
      </c>
      <c r="B2440" t="s">
        <v>2067</v>
      </c>
      <c r="C2440" t="s">
        <v>6859</v>
      </c>
      <c r="D2440" t="s">
        <v>9926</v>
      </c>
      <c r="E2440" t="s">
        <v>10075</v>
      </c>
      <c r="F2440">
        <v>10466</v>
      </c>
      <c r="G2440" t="s">
        <v>10090</v>
      </c>
      <c r="H2440" t="s">
        <v>10095</v>
      </c>
      <c r="I2440" t="s">
        <v>10168</v>
      </c>
      <c r="J2440" t="s">
        <v>10210</v>
      </c>
      <c r="K2440" t="s">
        <v>10217</v>
      </c>
      <c r="M2440" t="s">
        <v>10372</v>
      </c>
      <c r="N2440" t="s">
        <v>10704</v>
      </c>
      <c r="P2440" t="s">
        <v>10750</v>
      </c>
      <c r="Q2440" t="s">
        <v>10778</v>
      </c>
      <c r="R2440" t="s">
        <v>10821</v>
      </c>
      <c r="T2440">
        <v>0</v>
      </c>
      <c r="U2440">
        <v>0</v>
      </c>
      <c r="V2440">
        <v>55</v>
      </c>
      <c r="W2440">
        <v>1</v>
      </c>
      <c r="X2440">
        <v>0</v>
      </c>
      <c r="Z2440">
        <v>0</v>
      </c>
      <c r="AA2440">
        <v>40.892271</v>
      </c>
      <c r="AB2440">
        <v>-73.83342500000001</v>
      </c>
      <c r="AD2440" t="s">
        <v>10840</v>
      </c>
      <c r="AG2440" t="s">
        <v>10858</v>
      </c>
      <c r="AH2440" t="s">
        <v>10861</v>
      </c>
      <c r="AI2440">
        <v>234</v>
      </c>
      <c r="AJ2440" t="s">
        <v>10214</v>
      </c>
      <c r="AL2440">
        <v>1.5</v>
      </c>
      <c r="AM2440" t="s">
        <v>10893</v>
      </c>
      <c r="AN2440" t="s">
        <v>10956</v>
      </c>
      <c r="AO2440" t="s">
        <v>11010</v>
      </c>
      <c r="AP2440" t="s">
        <v>11085</v>
      </c>
      <c r="AR2440" t="s">
        <v>11279</v>
      </c>
      <c r="AS2440" t="s">
        <v>9926</v>
      </c>
      <c r="AT2440" t="s">
        <v>11642</v>
      </c>
      <c r="AX2440" t="s">
        <v>10838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</row>
    <row r="2441" spans="1:59">
      <c r="A2441" s="1">
        <f>HYPERLINK("https://lsnyc.legalserver.org/matter/dynamic-profile/view/1906408","19-1906408")</f>
        <v>0</v>
      </c>
      <c r="B2441" t="s">
        <v>1850</v>
      </c>
      <c r="C2441" t="s">
        <v>6642</v>
      </c>
      <c r="D2441" t="s">
        <v>9926</v>
      </c>
      <c r="E2441" t="s">
        <v>10075</v>
      </c>
      <c r="F2441">
        <v>10472</v>
      </c>
      <c r="G2441" t="s">
        <v>10090</v>
      </c>
      <c r="H2441" t="s">
        <v>10095</v>
      </c>
      <c r="I2441" t="s">
        <v>10168</v>
      </c>
      <c r="J2441" t="s">
        <v>10210</v>
      </c>
      <c r="K2441" t="s">
        <v>10217</v>
      </c>
      <c r="M2441" t="s">
        <v>10346</v>
      </c>
      <c r="N2441" t="s">
        <v>10671</v>
      </c>
      <c r="P2441" t="s">
        <v>10751</v>
      </c>
      <c r="Q2441" t="s">
        <v>10761</v>
      </c>
      <c r="R2441" t="s">
        <v>10826</v>
      </c>
      <c r="T2441">
        <v>8280</v>
      </c>
      <c r="U2441">
        <v>690</v>
      </c>
      <c r="V2441">
        <v>32</v>
      </c>
      <c r="W2441">
        <v>1</v>
      </c>
      <c r="X2441">
        <v>0</v>
      </c>
      <c r="Z2441">
        <v>66.29000000000001</v>
      </c>
      <c r="AA2441">
        <v>40.828203</v>
      </c>
      <c r="AB2441">
        <v>-73.874966</v>
      </c>
      <c r="AC2441" t="s">
        <v>10837</v>
      </c>
      <c r="AD2441" t="s">
        <v>10840</v>
      </c>
      <c r="AG2441" t="s">
        <v>10858</v>
      </c>
      <c r="AH2441" t="s">
        <v>10862</v>
      </c>
      <c r="AI2441">
        <v>230</v>
      </c>
      <c r="AJ2441" t="s">
        <v>10210</v>
      </c>
      <c r="AL2441">
        <v>0.75</v>
      </c>
      <c r="AM2441" t="s">
        <v>10884</v>
      </c>
      <c r="AN2441" t="s">
        <v>10968</v>
      </c>
      <c r="AO2441" t="s">
        <v>11001</v>
      </c>
      <c r="AP2441" t="s">
        <v>11046</v>
      </c>
      <c r="AR2441" t="s">
        <v>11303</v>
      </c>
      <c r="AS2441" t="s">
        <v>9926</v>
      </c>
      <c r="AT2441" t="s">
        <v>11641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</row>
    <row r="2442" spans="1:59">
      <c r="A2442" s="1">
        <f>HYPERLINK("https://lsnyc.legalserver.org/matter/dynamic-profile/view/1906410","19-1906410")</f>
        <v>0</v>
      </c>
      <c r="B2442" t="s">
        <v>822</v>
      </c>
      <c r="C2442" t="s">
        <v>6860</v>
      </c>
      <c r="D2442" t="s">
        <v>9926</v>
      </c>
      <c r="E2442" t="s">
        <v>10075</v>
      </c>
      <c r="F2442">
        <v>10472</v>
      </c>
      <c r="G2442" t="s">
        <v>10090</v>
      </c>
      <c r="H2442" t="s">
        <v>10095</v>
      </c>
      <c r="I2442" t="s">
        <v>10169</v>
      </c>
      <c r="J2442" t="s">
        <v>10210</v>
      </c>
      <c r="K2442" t="s">
        <v>10217</v>
      </c>
      <c r="M2442" t="s">
        <v>10353</v>
      </c>
      <c r="N2442" t="s">
        <v>10646</v>
      </c>
      <c r="P2442" t="s">
        <v>10751</v>
      </c>
      <c r="Q2442" t="s">
        <v>10761</v>
      </c>
      <c r="R2442" t="s">
        <v>10823</v>
      </c>
      <c r="T2442">
        <v>48360</v>
      </c>
      <c r="U2442">
        <v>4030</v>
      </c>
      <c r="V2442">
        <v>41</v>
      </c>
      <c r="W2442">
        <v>3</v>
      </c>
      <c r="X2442">
        <v>0</v>
      </c>
      <c r="Z2442">
        <v>226.72</v>
      </c>
      <c r="AA2442">
        <v>40.827235</v>
      </c>
      <c r="AB2442">
        <v>-73.879051</v>
      </c>
      <c r="AD2442" t="s">
        <v>10839</v>
      </c>
      <c r="AG2442" t="s">
        <v>10858</v>
      </c>
      <c r="AH2442" t="s">
        <v>10861</v>
      </c>
      <c r="AI2442">
        <v>230</v>
      </c>
      <c r="AJ2442" t="s">
        <v>10210</v>
      </c>
      <c r="AL2442">
        <v>0</v>
      </c>
      <c r="AR2442" t="s">
        <v>11257</v>
      </c>
      <c r="AS2442" t="s">
        <v>9926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</row>
    <row r="2443" spans="1:59">
      <c r="A2443" s="1">
        <f>HYPERLINK("https://lsnyc.legalserver.org/matter/dynamic-profile/view/1906411","19-1906411")</f>
        <v>0</v>
      </c>
      <c r="B2443" t="s">
        <v>2068</v>
      </c>
      <c r="C2443" t="s">
        <v>6861</v>
      </c>
      <c r="D2443" t="s">
        <v>9937</v>
      </c>
      <c r="E2443" t="s">
        <v>10075</v>
      </c>
      <c r="F2443">
        <v>11412</v>
      </c>
      <c r="G2443" t="s">
        <v>10092</v>
      </c>
      <c r="H2443" t="s">
        <v>10095</v>
      </c>
      <c r="I2443" t="s">
        <v>10168</v>
      </c>
      <c r="J2443" t="s">
        <v>10212</v>
      </c>
      <c r="K2443" t="s">
        <v>10218</v>
      </c>
      <c r="L2443" t="s">
        <v>10116</v>
      </c>
      <c r="M2443" t="s">
        <v>10491</v>
      </c>
      <c r="N2443" t="s">
        <v>10695</v>
      </c>
      <c r="P2443" t="s">
        <v>10749</v>
      </c>
      <c r="Q2443" t="s">
        <v>10765</v>
      </c>
      <c r="R2443" t="s">
        <v>10824</v>
      </c>
      <c r="T2443">
        <v>20800</v>
      </c>
      <c r="U2443">
        <v>1733.33</v>
      </c>
      <c r="V2443">
        <v>38</v>
      </c>
      <c r="W2443">
        <v>2</v>
      </c>
      <c r="X2443">
        <v>1</v>
      </c>
      <c r="Y2443" t="s">
        <v>10829</v>
      </c>
      <c r="Z2443">
        <v>97.52</v>
      </c>
      <c r="AA2443">
        <v>40.690168</v>
      </c>
      <c r="AB2443">
        <v>-73.761858</v>
      </c>
      <c r="AD2443" t="s">
        <v>10839</v>
      </c>
      <c r="AF2443" t="s">
        <v>10843</v>
      </c>
      <c r="AG2443" t="s">
        <v>10859</v>
      </c>
      <c r="AH2443" t="s">
        <v>10862</v>
      </c>
      <c r="AI2443">
        <v>237</v>
      </c>
      <c r="AJ2443" t="s">
        <v>10212</v>
      </c>
      <c r="AK2443" t="s">
        <v>10882</v>
      </c>
      <c r="AL2443">
        <v>2.6</v>
      </c>
      <c r="AM2443" t="s">
        <v>10892</v>
      </c>
      <c r="AN2443" t="s">
        <v>10955</v>
      </c>
      <c r="AO2443" t="s">
        <v>11020</v>
      </c>
      <c r="AP2443" t="s">
        <v>11075</v>
      </c>
      <c r="AR2443" t="s">
        <v>11257</v>
      </c>
      <c r="AS2443" t="s">
        <v>11594</v>
      </c>
      <c r="AY2443" t="s">
        <v>10829</v>
      </c>
      <c r="AZ2443" t="s">
        <v>11681</v>
      </c>
      <c r="BA2443" t="s">
        <v>11741</v>
      </c>
      <c r="BB2443">
        <v>0</v>
      </c>
      <c r="BC2443">
        <v>0</v>
      </c>
      <c r="BD2443">
        <v>0</v>
      </c>
      <c r="BE2443">
        <v>0</v>
      </c>
      <c r="BF2443">
        <v>1</v>
      </c>
      <c r="BG2443">
        <v>0</v>
      </c>
    </row>
    <row r="2444" spans="1:59">
      <c r="A2444" s="1">
        <f>HYPERLINK("https://lsnyc.legalserver.org/matter/dynamic-profile/view/1906412","19-1906412")</f>
        <v>0</v>
      </c>
      <c r="B2444" t="s">
        <v>2069</v>
      </c>
      <c r="C2444" t="s">
        <v>6862</v>
      </c>
      <c r="D2444" t="s">
        <v>9925</v>
      </c>
      <c r="E2444" t="s">
        <v>10075</v>
      </c>
      <c r="F2444">
        <v>10038</v>
      </c>
      <c r="G2444" t="s">
        <v>10089</v>
      </c>
      <c r="H2444" t="s">
        <v>10095</v>
      </c>
      <c r="I2444" t="s">
        <v>10168</v>
      </c>
      <c r="J2444" t="s">
        <v>10209</v>
      </c>
      <c r="K2444" t="s">
        <v>10218</v>
      </c>
      <c r="L2444" t="s">
        <v>10136</v>
      </c>
      <c r="M2444" t="s">
        <v>10573</v>
      </c>
      <c r="N2444" t="s">
        <v>10650</v>
      </c>
      <c r="P2444" t="s">
        <v>10749</v>
      </c>
      <c r="Q2444" t="s">
        <v>10765</v>
      </c>
      <c r="R2444" t="s">
        <v>10820</v>
      </c>
      <c r="T2444">
        <v>0</v>
      </c>
      <c r="U2444">
        <v>0</v>
      </c>
      <c r="V2444">
        <v>29</v>
      </c>
      <c r="W2444">
        <v>1</v>
      </c>
      <c r="X2444">
        <v>0</v>
      </c>
      <c r="Y2444" t="s">
        <v>10829</v>
      </c>
      <c r="Z2444">
        <v>0</v>
      </c>
      <c r="AA2444">
        <v>40.710982</v>
      </c>
      <c r="AB2444">
        <v>-74.00718000000001</v>
      </c>
      <c r="AD2444" t="s">
        <v>10839</v>
      </c>
      <c r="AF2444" t="s">
        <v>10842</v>
      </c>
      <c r="AG2444" t="s">
        <v>10859</v>
      </c>
      <c r="AH2444" t="s">
        <v>10862</v>
      </c>
      <c r="AI2444">
        <v>236</v>
      </c>
      <c r="AJ2444" t="s">
        <v>10209</v>
      </c>
      <c r="AK2444" t="s">
        <v>10837</v>
      </c>
      <c r="AL2444">
        <v>4.8</v>
      </c>
      <c r="AM2444" t="s">
        <v>10894</v>
      </c>
      <c r="AN2444" t="s">
        <v>10963</v>
      </c>
      <c r="AO2444" t="s">
        <v>11004</v>
      </c>
      <c r="AP2444" t="s">
        <v>11093</v>
      </c>
      <c r="AR2444" t="s">
        <v>11267</v>
      </c>
      <c r="AS2444" t="s">
        <v>9925</v>
      </c>
      <c r="AT2444" t="s">
        <v>11641</v>
      </c>
      <c r="AX2444" t="s">
        <v>10838</v>
      </c>
      <c r="AY2444" t="s">
        <v>10829</v>
      </c>
      <c r="AZ2444" t="s">
        <v>11681</v>
      </c>
      <c r="BA2444" t="s">
        <v>11741</v>
      </c>
      <c r="BB2444">
        <v>0</v>
      </c>
      <c r="BC2444">
        <v>0</v>
      </c>
      <c r="BD2444">
        <v>0</v>
      </c>
      <c r="BE2444">
        <v>0</v>
      </c>
      <c r="BF2444">
        <v>1</v>
      </c>
      <c r="BG2444">
        <v>0</v>
      </c>
    </row>
    <row r="2445" spans="1:59">
      <c r="A2445" s="1">
        <f>HYPERLINK("https://lsnyc.legalserver.org/matter/dynamic-profile/view/1906413","19-1906413")</f>
        <v>0</v>
      </c>
      <c r="B2445" t="s">
        <v>2070</v>
      </c>
      <c r="C2445" t="s">
        <v>6863</v>
      </c>
      <c r="D2445" t="s">
        <v>9926</v>
      </c>
      <c r="E2445" t="s">
        <v>10075</v>
      </c>
      <c r="F2445">
        <v>10466</v>
      </c>
      <c r="G2445" t="s">
        <v>10090</v>
      </c>
      <c r="H2445" t="s">
        <v>10095</v>
      </c>
      <c r="J2445" t="s">
        <v>10210</v>
      </c>
      <c r="K2445" t="s">
        <v>10217</v>
      </c>
      <c r="M2445" t="s">
        <v>10495</v>
      </c>
      <c r="N2445" t="s">
        <v>10658</v>
      </c>
      <c r="P2445" t="s">
        <v>10749</v>
      </c>
      <c r="Q2445" t="s">
        <v>10769</v>
      </c>
      <c r="R2445" t="s">
        <v>10824</v>
      </c>
      <c r="T2445">
        <v>34400</v>
      </c>
      <c r="U2445">
        <v>2866.67</v>
      </c>
      <c r="V2445">
        <v>76</v>
      </c>
      <c r="W2445">
        <v>2</v>
      </c>
      <c r="X2445">
        <v>0</v>
      </c>
      <c r="Z2445">
        <v>203.43</v>
      </c>
      <c r="AA2445">
        <v>40.887511</v>
      </c>
      <c r="AB2445">
        <v>-73.85256099999999</v>
      </c>
      <c r="AD2445" t="s">
        <v>10840</v>
      </c>
      <c r="AG2445" t="s">
        <v>10858</v>
      </c>
      <c r="AH2445" t="s">
        <v>10860</v>
      </c>
      <c r="AI2445">
        <v>230</v>
      </c>
      <c r="AJ2445" t="s">
        <v>10210</v>
      </c>
      <c r="AL2445">
        <v>18</v>
      </c>
      <c r="AM2445" t="s">
        <v>10893</v>
      </c>
      <c r="AN2445" t="s">
        <v>10956</v>
      </c>
      <c r="AO2445" t="s">
        <v>11010</v>
      </c>
      <c r="AP2445" t="s">
        <v>11085</v>
      </c>
      <c r="AR2445" t="s">
        <v>11462</v>
      </c>
      <c r="AS2445" t="s">
        <v>9926</v>
      </c>
      <c r="AX2445" t="s">
        <v>10838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</row>
    <row r="2446" spans="1:59">
      <c r="A2446" s="1">
        <f>HYPERLINK("https://lsnyc.legalserver.org/matter/dynamic-profile/view/1906415","19-1906415")</f>
        <v>0</v>
      </c>
      <c r="B2446" t="s">
        <v>2071</v>
      </c>
      <c r="C2446" t="s">
        <v>6864</v>
      </c>
      <c r="D2446" t="s">
        <v>9929</v>
      </c>
      <c r="E2446" t="s">
        <v>10075</v>
      </c>
      <c r="F2446">
        <v>10312</v>
      </c>
      <c r="G2446" t="s">
        <v>10091</v>
      </c>
      <c r="H2446" t="s">
        <v>10095</v>
      </c>
      <c r="I2446" t="s">
        <v>10168</v>
      </c>
      <c r="J2446" t="s">
        <v>10211</v>
      </c>
      <c r="K2446" t="s">
        <v>10217</v>
      </c>
      <c r="M2446" t="s">
        <v>10307</v>
      </c>
      <c r="N2446" t="s">
        <v>10671</v>
      </c>
      <c r="P2446" t="s">
        <v>10752</v>
      </c>
      <c r="Q2446" t="s">
        <v>10762</v>
      </c>
      <c r="R2446" t="s">
        <v>10820</v>
      </c>
      <c r="T2446">
        <v>40000</v>
      </c>
      <c r="U2446">
        <v>3333.33</v>
      </c>
      <c r="V2446">
        <v>41</v>
      </c>
      <c r="W2446">
        <v>1</v>
      </c>
      <c r="X2446">
        <v>4</v>
      </c>
      <c r="Z2446">
        <v>132.58</v>
      </c>
      <c r="AA2446">
        <v>40.551991</v>
      </c>
      <c r="AB2446">
        <v>-74.199601</v>
      </c>
      <c r="AD2446" t="s">
        <v>10839</v>
      </c>
      <c r="AG2446" t="s">
        <v>10858</v>
      </c>
      <c r="AH2446" t="s">
        <v>10861</v>
      </c>
      <c r="AI2446">
        <v>234</v>
      </c>
      <c r="AJ2446" t="s">
        <v>10214</v>
      </c>
      <c r="AL2446">
        <v>1</v>
      </c>
      <c r="AM2446" t="s">
        <v>10883</v>
      </c>
      <c r="AN2446" t="s">
        <v>10928</v>
      </c>
      <c r="AO2446" t="s">
        <v>10999</v>
      </c>
      <c r="AP2446" t="s">
        <v>11044</v>
      </c>
      <c r="AR2446" t="s">
        <v>11257</v>
      </c>
      <c r="AS2446" t="s">
        <v>11593</v>
      </c>
      <c r="AT2446" t="s">
        <v>11641</v>
      </c>
      <c r="AX2446" t="s">
        <v>10838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</row>
    <row r="2447" spans="1:59">
      <c r="A2447" s="1">
        <f>HYPERLINK("https://lsnyc.legalserver.org/matter/dynamic-profile/view/1906416","19-1906416")</f>
        <v>0</v>
      </c>
      <c r="B2447" t="s">
        <v>2072</v>
      </c>
      <c r="C2447" t="s">
        <v>6865</v>
      </c>
      <c r="D2447" t="s">
        <v>9928</v>
      </c>
      <c r="E2447" t="s">
        <v>10075</v>
      </c>
      <c r="F2447">
        <v>11212</v>
      </c>
      <c r="G2447" t="s">
        <v>10093</v>
      </c>
      <c r="H2447" t="s">
        <v>10095</v>
      </c>
      <c r="I2447" t="s">
        <v>10168</v>
      </c>
      <c r="J2447" t="s">
        <v>10213</v>
      </c>
      <c r="K2447" t="s">
        <v>10217</v>
      </c>
      <c r="M2447" t="s">
        <v>10327</v>
      </c>
      <c r="N2447" t="s">
        <v>10671</v>
      </c>
      <c r="P2447" t="s">
        <v>10749</v>
      </c>
      <c r="Q2447" t="s">
        <v>10767</v>
      </c>
      <c r="R2447" t="s">
        <v>10824</v>
      </c>
      <c r="T2447">
        <v>13584</v>
      </c>
      <c r="U2447">
        <v>1132</v>
      </c>
      <c r="V2447">
        <v>70</v>
      </c>
      <c r="W2447">
        <v>1</v>
      </c>
      <c r="X2447">
        <v>0</v>
      </c>
      <c r="Z2447">
        <v>108.76</v>
      </c>
      <c r="AA2447">
        <v>40.670532</v>
      </c>
      <c r="AB2447">
        <v>-73.914475</v>
      </c>
      <c r="AC2447" t="s">
        <v>10837</v>
      </c>
      <c r="AD2447" t="s">
        <v>10840</v>
      </c>
      <c r="AG2447" t="s">
        <v>10858</v>
      </c>
      <c r="AH2447" t="s">
        <v>10861</v>
      </c>
      <c r="AI2447">
        <v>234</v>
      </c>
      <c r="AJ2447" t="s">
        <v>10214</v>
      </c>
      <c r="AL2447">
        <v>4.5</v>
      </c>
      <c r="AM2447" t="s">
        <v>10888</v>
      </c>
      <c r="AN2447" t="s">
        <v>10922</v>
      </c>
      <c r="AO2447" t="s">
        <v>11005</v>
      </c>
      <c r="AP2447" t="s">
        <v>11064</v>
      </c>
      <c r="AR2447" t="s">
        <v>11463</v>
      </c>
      <c r="AS2447" t="s">
        <v>11595</v>
      </c>
      <c r="AT2447" t="s">
        <v>11642</v>
      </c>
      <c r="AX2447" t="s">
        <v>10838</v>
      </c>
      <c r="BA2447" t="s">
        <v>11741</v>
      </c>
      <c r="BB2447">
        <v>0</v>
      </c>
      <c r="BC2447">
        <v>0</v>
      </c>
      <c r="BD2447">
        <v>0</v>
      </c>
      <c r="BE2447">
        <v>0</v>
      </c>
      <c r="BF2447">
        <v>1</v>
      </c>
      <c r="BG2447">
        <v>0</v>
      </c>
    </row>
    <row r="2448" spans="1:59">
      <c r="A2448" s="1">
        <f>HYPERLINK("https://lsnyc.legalserver.org/matter/dynamic-profile/view/1906418","19-1906418")</f>
        <v>0</v>
      </c>
      <c r="B2448" t="s">
        <v>2073</v>
      </c>
      <c r="C2448" t="s">
        <v>6866</v>
      </c>
      <c r="D2448" t="s">
        <v>9928</v>
      </c>
      <c r="E2448" t="s">
        <v>10075</v>
      </c>
      <c r="F2448">
        <v>11213</v>
      </c>
      <c r="G2448" t="s">
        <v>10093</v>
      </c>
      <c r="H2448" t="s">
        <v>10095</v>
      </c>
      <c r="I2448" t="s">
        <v>10168</v>
      </c>
      <c r="J2448" t="s">
        <v>10213</v>
      </c>
      <c r="K2448" t="s">
        <v>10218</v>
      </c>
      <c r="L2448" t="s">
        <v>10115</v>
      </c>
      <c r="M2448" t="s">
        <v>10309</v>
      </c>
      <c r="N2448" t="s">
        <v>10665</v>
      </c>
      <c r="P2448" t="s">
        <v>10750</v>
      </c>
      <c r="Q2448" t="s">
        <v>10779</v>
      </c>
      <c r="R2448" t="s">
        <v>10821</v>
      </c>
      <c r="T2448">
        <v>0</v>
      </c>
      <c r="U2448">
        <v>0</v>
      </c>
      <c r="V2448">
        <v>25</v>
      </c>
      <c r="W2448">
        <v>1</v>
      </c>
      <c r="X2448">
        <v>0</v>
      </c>
      <c r="Y2448" t="s">
        <v>10829</v>
      </c>
      <c r="Z2448">
        <v>0</v>
      </c>
      <c r="AA2448">
        <v>40.673283</v>
      </c>
      <c r="AB2448">
        <v>-73.933184</v>
      </c>
      <c r="AD2448" t="s">
        <v>10840</v>
      </c>
      <c r="AG2448" t="s">
        <v>10858</v>
      </c>
      <c r="AH2448" t="s">
        <v>10861</v>
      </c>
      <c r="AI2448">
        <v>234</v>
      </c>
      <c r="AJ2448" t="s">
        <v>10214</v>
      </c>
      <c r="AK2448" t="s">
        <v>10838</v>
      </c>
      <c r="AL2448">
        <v>5.75</v>
      </c>
      <c r="AM2448" t="s">
        <v>10888</v>
      </c>
      <c r="AN2448" t="s">
        <v>10914</v>
      </c>
      <c r="AO2448" t="s">
        <v>11007</v>
      </c>
      <c r="AP2448" t="s">
        <v>11052</v>
      </c>
      <c r="AR2448" t="s">
        <v>11267</v>
      </c>
      <c r="AS2448" t="s">
        <v>11595</v>
      </c>
      <c r="AT2448" t="s">
        <v>11642</v>
      </c>
      <c r="AX2448" t="s">
        <v>10837</v>
      </c>
      <c r="AY2448" t="s">
        <v>10829</v>
      </c>
      <c r="AZ2448" t="s">
        <v>11679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</row>
    <row r="2449" spans="1:59">
      <c r="A2449" s="1">
        <f>HYPERLINK("https://lsnyc.legalserver.org/matter/dynamic-profile/view/1906419","19-1906419")</f>
        <v>0</v>
      </c>
      <c r="B2449" t="s">
        <v>2074</v>
      </c>
      <c r="C2449" t="s">
        <v>5277</v>
      </c>
      <c r="D2449" t="s">
        <v>9925</v>
      </c>
      <c r="E2449" t="s">
        <v>10075</v>
      </c>
      <c r="F2449">
        <v>10035</v>
      </c>
      <c r="G2449" t="s">
        <v>10091</v>
      </c>
      <c r="H2449" t="s">
        <v>10095</v>
      </c>
      <c r="I2449" t="s">
        <v>10168</v>
      </c>
      <c r="J2449" t="s">
        <v>10211</v>
      </c>
      <c r="K2449" t="s">
        <v>10217</v>
      </c>
      <c r="M2449" t="s">
        <v>10307</v>
      </c>
      <c r="N2449" t="s">
        <v>10671</v>
      </c>
      <c r="P2449" t="s">
        <v>10752</v>
      </c>
      <c r="Q2449" t="s">
        <v>10762</v>
      </c>
      <c r="R2449" t="s">
        <v>10825</v>
      </c>
      <c r="T2449">
        <v>0</v>
      </c>
      <c r="U2449">
        <v>0</v>
      </c>
      <c r="V2449">
        <v>37</v>
      </c>
      <c r="W2449">
        <v>1</v>
      </c>
      <c r="X2449">
        <v>0</v>
      </c>
      <c r="Z2449">
        <v>0</v>
      </c>
      <c r="AA2449">
        <v>40.784318</v>
      </c>
      <c r="AB2449">
        <v>-73.931887</v>
      </c>
      <c r="AD2449" t="s">
        <v>10840</v>
      </c>
      <c r="AG2449" t="s">
        <v>10858</v>
      </c>
      <c r="AH2449" t="s">
        <v>10861</v>
      </c>
      <c r="AI2449">
        <v>234</v>
      </c>
      <c r="AJ2449" t="s">
        <v>10214</v>
      </c>
      <c r="AL2449">
        <v>1</v>
      </c>
      <c r="AM2449" t="s">
        <v>10891</v>
      </c>
      <c r="AN2449" t="s">
        <v>10926</v>
      </c>
      <c r="AO2449" t="s">
        <v>11013</v>
      </c>
      <c r="AP2449" t="s">
        <v>11066</v>
      </c>
      <c r="AR2449" t="s">
        <v>11279</v>
      </c>
      <c r="AS2449" t="s">
        <v>9925</v>
      </c>
      <c r="AT2449" t="s">
        <v>11642</v>
      </c>
      <c r="AX2449" t="s">
        <v>10838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</row>
    <row r="2450" spans="1:59">
      <c r="A2450" s="1">
        <f>HYPERLINK("https://lsnyc.legalserver.org/matter/dynamic-profile/view/1906420","19-1906420")</f>
        <v>0</v>
      </c>
      <c r="B2450" t="s">
        <v>2075</v>
      </c>
      <c r="C2450" t="s">
        <v>6867</v>
      </c>
      <c r="D2450" t="s">
        <v>9928</v>
      </c>
      <c r="E2450" t="s">
        <v>10075</v>
      </c>
      <c r="F2450">
        <v>11217</v>
      </c>
      <c r="G2450" t="s">
        <v>10093</v>
      </c>
      <c r="H2450" t="s">
        <v>10095</v>
      </c>
      <c r="J2450" t="s">
        <v>10213</v>
      </c>
      <c r="K2450" t="s">
        <v>10217</v>
      </c>
      <c r="M2450" t="s">
        <v>10414</v>
      </c>
      <c r="N2450" t="s">
        <v>10690</v>
      </c>
      <c r="P2450" t="s">
        <v>10749</v>
      </c>
      <c r="Q2450" t="s">
        <v>10765</v>
      </c>
      <c r="R2450" t="s">
        <v>10824</v>
      </c>
      <c r="T2450">
        <v>41500.8</v>
      </c>
      <c r="U2450">
        <v>3458.4</v>
      </c>
      <c r="V2450">
        <v>46</v>
      </c>
      <c r="W2450">
        <v>1</v>
      </c>
      <c r="X2450">
        <v>2</v>
      </c>
      <c r="Z2450">
        <v>194.57</v>
      </c>
      <c r="AA2450">
        <v>40.681828</v>
      </c>
      <c r="AB2450">
        <v>-73.974434</v>
      </c>
      <c r="AC2450" t="s">
        <v>10837</v>
      </c>
      <c r="AD2450" t="s">
        <v>10839</v>
      </c>
      <c r="AG2450" t="s">
        <v>10858</v>
      </c>
      <c r="AH2450" t="s">
        <v>10862</v>
      </c>
      <c r="AI2450">
        <v>239</v>
      </c>
      <c r="AJ2450" t="s">
        <v>10213</v>
      </c>
      <c r="AL2450">
        <v>25.5</v>
      </c>
      <c r="AM2450" t="s">
        <v>10888</v>
      </c>
      <c r="AN2450" t="s">
        <v>10923</v>
      </c>
      <c r="AO2450" t="s">
        <v>11007</v>
      </c>
      <c r="AP2450" t="s">
        <v>11061</v>
      </c>
      <c r="AQ2450" t="s">
        <v>11101</v>
      </c>
      <c r="AR2450" t="s">
        <v>11257</v>
      </c>
      <c r="AS2450" t="s">
        <v>11595</v>
      </c>
      <c r="BA2450" t="s">
        <v>11741</v>
      </c>
      <c r="BB2450">
        <v>0</v>
      </c>
      <c r="BC2450">
        <v>0</v>
      </c>
      <c r="BD2450">
        <v>0</v>
      </c>
      <c r="BE2450">
        <v>0</v>
      </c>
      <c r="BF2450">
        <v>1</v>
      </c>
      <c r="BG2450">
        <v>0</v>
      </c>
    </row>
    <row r="2451" spans="1:59">
      <c r="A2451" s="1">
        <f>HYPERLINK("https://lsnyc.legalserver.org/matter/dynamic-profile/view/1906421","19-1906421")</f>
        <v>0</v>
      </c>
      <c r="B2451" t="s">
        <v>2076</v>
      </c>
      <c r="C2451" t="s">
        <v>6868</v>
      </c>
      <c r="D2451" t="s">
        <v>9928</v>
      </c>
      <c r="E2451" t="s">
        <v>10075</v>
      </c>
      <c r="F2451">
        <v>11208</v>
      </c>
      <c r="G2451" t="s">
        <v>10092</v>
      </c>
      <c r="H2451" t="s">
        <v>10095</v>
      </c>
      <c r="I2451" t="s">
        <v>10168</v>
      </c>
      <c r="J2451" t="s">
        <v>10212</v>
      </c>
      <c r="K2451" t="s">
        <v>10218</v>
      </c>
      <c r="L2451" t="s">
        <v>10151</v>
      </c>
      <c r="M2451" t="s">
        <v>10318</v>
      </c>
      <c r="N2451" t="s">
        <v>10684</v>
      </c>
      <c r="P2451" t="s">
        <v>10751</v>
      </c>
      <c r="Q2451" t="s">
        <v>10786</v>
      </c>
      <c r="R2451" t="s">
        <v>10827</v>
      </c>
      <c r="T2451">
        <v>12276</v>
      </c>
      <c r="U2451">
        <v>1023</v>
      </c>
      <c r="V2451">
        <v>60</v>
      </c>
      <c r="W2451">
        <v>1</v>
      </c>
      <c r="X2451">
        <v>0</v>
      </c>
      <c r="Y2451" t="s">
        <v>10833</v>
      </c>
      <c r="Z2451">
        <v>98.29000000000001</v>
      </c>
      <c r="AA2451">
        <v>40.680213</v>
      </c>
      <c r="AB2451">
        <v>-73.86681900000001</v>
      </c>
      <c r="AD2451" t="s">
        <v>10839</v>
      </c>
      <c r="AG2451" t="s">
        <v>10858</v>
      </c>
      <c r="AH2451" t="s">
        <v>10873</v>
      </c>
      <c r="AI2451">
        <v>237</v>
      </c>
      <c r="AJ2451" t="s">
        <v>10212</v>
      </c>
      <c r="AK2451" t="s">
        <v>10838</v>
      </c>
      <c r="AL2451">
        <v>3</v>
      </c>
      <c r="AM2451" t="s">
        <v>10889</v>
      </c>
      <c r="AN2451" t="s">
        <v>10920</v>
      </c>
      <c r="AO2451" t="s">
        <v>11011</v>
      </c>
      <c r="AP2451" t="s">
        <v>11058</v>
      </c>
      <c r="AR2451" t="s">
        <v>11268</v>
      </c>
      <c r="AS2451" t="s">
        <v>11595</v>
      </c>
      <c r="AT2451" t="s">
        <v>11641</v>
      </c>
      <c r="AX2451" t="s">
        <v>10838</v>
      </c>
      <c r="AY2451" t="s">
        <v>10833</v>
      </c>
      <c r="AZ2451" t="s">
        <v>11693</v>
      </c>
      <c r="BB2451">
        <v>0</v>
      </c>
      <c r="BC2451">
        <v>0</v>
      </c>
      <c r="BD2451">
        <v>0</v>
      </c>
      <c r="BE2451">
        <v>192</v>
      </c>
      <c r="BF2451">
        <v>0</v>
      </c>
      <c r="BG2451">
        <v>0</v>
      </c>
    </row>
    <row r="2452" spans="1:59">
      <c r="A2452" s="1">
        <f>HYPERLINK("https://lsnyc.legalserver.org/matter/dynamic-profile/view/1906422","19-1906422")</f>
        <v>0</v>
      </c>
      <c r="B2452" t="s">
        <v>2077</v>
      </c>
      <c r="C2452" t="s">
        <v>6869</v>
      </c>
      <c r="D2452" t="s">
        <v>9926</v>
      </c>
      <c r="E2452" t="s">
        <v>10075</v>
      </c>
      <c r="F2452">
        <v>10456</v>
      </c>
      <c r="G2452" t="s">
        <v>10090</v>
      </c>
      <c r="H2452" t="s">
        <v>10095</v>
      </c>
      <c r="I2452" t="s">
        <v>10168</v>
      </c>
      <c r="J2452" t="s">
        <v>10210</v>
      </c>
      <c r="K2452" t="s">
        <v>10217</v>
      </c>
      <c r="M2452" t="s">
        <v>10303</v>
      </c>
      <c r="N2452" t="s">
        <v>10682</v>
      </c>
      <c r="P2452" t="s">
        <v>10753</v>
      </c>
      <c r="Q2452" t="s">
        <v>10809</v>
      </c>
      <c r="R2452" t="s">
        <v>10821</v>
      </c>
      <c r="T2452">
        <v>8820</v>
      </c>
      <c r="U2452">
        <v>735</v>
      </c>
      <c r="V2452">
        <v>57</v>
      </c>
      <c r="W2452">
        <v>1</v>
      </c>
      <c r="X2452">
        <v>0</v>
      </c>
      <c r="Z2452">
        <v>70.62</v>
      </c>
      <c r="AA2452">
        <v>40.829891</v>
      </c>
      <c r="AB2452">
        <v>-73.90240900000001</v>
      </c>
      <c r="AD2452" t="s">
        <v>10839</v>
      </c>
      <c r="AG2452" t="s">
        <v>10858</v>
      </c>
      <c r="AH2452" t="s">
        <v>10861</v>
      </c>
      <c r="AI2452">
        <v>230</v>
      </c>
      <c r="AJ2452" t="s">
        <v>10210</v>
      </c>
      <c r="AL2452">
        <v>5.2</v>
      </c>
      <c r="AM2452" t="s">
        <v>10884</v>
      </c>
      <c r="AN2452" t="s">
        <v>10918</v>
      </c>
      <c r="AO2452" t="s">
        <v>11001</v>
      </c>
      <c r="AP2452" t="s">
        <v>11055</v>
      </c>
      <c r="AR2452" t="s">
        <v>11263</v>
      </c>
      <c r="AS2452" t="s">
        <v>9926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</row>
    <row r="2453" spans="1:59">
      <c r="A2453" s="1">
        <f>HYPERLINK("https://lsnyc.legalserver.org/matter/dynamic-profile/view/1906423","19-1906423")</f>
        <v>0</v>
      </c>
      <c r="B2453" t="s">
        <v>2078</v>
      </c>
      <c r="C2453" t="s">
        <v>6870</v>
      </c>
      <c r="D2453" t="s">
        <v>9926</v>
      </c>
      <c r="E2453" t="s">
        <v>10075</v>
      </c>
      <c r="F2453">
        <v>10463</v>
      </c>
      <c r="G2453" t="s">
        <v>10091</v>
      </c>
      <c r="H2453" t="s">
        <v>10095</v>
      </c>
      <c r="I2453" t="s">
        <v>10168</v>
      </c>
      <c r="J2453" t="s">
        <v>10214</v>
      </c>
      <c r="K2453" t="s">
        <v>10217</v>
      </c>
      <c r="M2453" t="s">
        <v>10286</v>
      </c>
      <c r="N2453" t="s">
        <v>10671</v>
      </c>
      <c r="P2453" t="s">
        <v>10749</v>
      </c>
      <c r="Q2453" t="s">
        <v>10765</v>
      </c>
      <c r="R2453" t="s">
        <v>10821</v>
      </c>
      <c r="T2453">
        <v>23400</v>
      </c>
      <c r="U2453">
        <v>1950</v>
      </c>
      <c r="V2453">
        <v>53</v>
      </c>
      <c r="W2453">
        <v>1</v>
      </c>
      <c r="X2453">
        <v>0</v>
      </c>
      <c r="Z2453">
        <v>187.35</v>
      </c>
      <c r="AA2453">
        <v>40.881944</v>
      </c>
      <c r="AB2453">
        <v>-73.89695399999999</v>
      </c>
      <c r="AD2453" t="s">
        <v>10839</v>
      </c>
      <c r="AG2453" t="s">
        <v>10858</v>
      </c>
      <c r="AH2453" t="s">
        <v>10871</v>
      </c>
      <c r="AI2453">
        <v>234</v>
      </c>
      <c r="AJ2453" t="s">
        <v>10214</v>
      </c>
      <c r="AL2453">
        <v>1</v>
      </c>
      <c r="AM2453" t="s">
        <v>10887</v>
      </c>
      <c r="AN2453" t="s">
        <v>10919</v>
      </c>
      <c r="AO2453" t="s">
        <v>11002</v>
      </c>
      <c r="AP2453" t="s">
        <v>11057</v>
      </c>
      <c r="AR2453" t="s">
        <v>11257</v>
      </c>
      <c r="AS2453" t="s">
        <v>9926</v>
      </c>
      <c r="AT2453" t="s">
        <v>11641</v>
      </c>
      <c r="AX2453" t="s">
        <v>10838</v>
      </c>
      <c r="BA2453" t="s">
        <v>11741</v>
      </c>
      <c r="BB2453">
        <v>0</v>
      </c>
      <c r="BC2453">
        <v>0</v>
      </c>
      <c r="BD2453">
        <v>0</v>
      </c>
      <c r="BE2453">
        <v>0</v>
      </c>
      <c r="BF2453">
        <v>1</v>
      </c>
      <c r="BG2453">
        <v>0</v>
      </c>
    </row>
    <row r="2454" spans="1:59">
      <c r="A2454" s="1">
        <f>HYPERLINK("https://lsnyc.legalserver.org/matter/dynamic-profile/view/1906424","19-1906424")</f>
        <v>0</v>
      </c>
      <c r="B2454" t="s">
        <v>2079</v>
      </c>
      <c r="C2454" t="s">
        <v>6871</v>
      </c>
      <c r="D2454" t="s">
        <v>9927</v>
      </c>
      <c r="E2454" t="s">
        <v>10075</v>
      </c>
      <c r="F2454">
        <v>11377</v>
      </c>
      <c r="G2454" t="s">
        <v>10092</v>
      </c>
      <c r="H2454" t="s">
        <v>10095</v>
      </c>
      <c r="I2454" t="s">
        <v>10168</v>
      </c>
      <c r="J2454" t="s">
        <v>10212</v>
      </c>
      <c r="K2454" t="s">
        <v>10217</v>
      </c>
      <c r="M2454" t="s">
        <v>10311</v>
      </c>
      <c r="N2454" t="s">
        <v>10684</v>
      </c>
      <c r="P2454" t="s">
        <v>10751</v>
      </c>
      <c r="Q2454" t="s">
        <v>10786</v>
      </c>
      <c r="R2454" t="s">
        <v>10820</v>
      </c>
      <c r="T2454">
        <v>0</v>
      </c>
      <c r="U2454">
        <v>0</v>
      </c>
      <c r="V2454">
        <v>45</v>
      </c>
      <c r="W2454">
        <v>1</v>
      </c>
      <c r="X2454">
        <v>0</v>
      </c>
      <c r="Z2454">
        <v>0</v>
      </c>
      <c r="AA2454">
        <v>40.748426</v>
      </c>
      <c r="AB2454">
        <v>-73.910675</v>
      </c>
      <c r="AD2454" t="s">
        <v>10840</v>
      </c>
      <c r="AG2454" t="s">
        <v>10858</v>
      </c>
      <c r="AH2454" t="s">
        <v>10873</v>
      </c>
      <c r="AI2454">
        <v>237</v>
      </c>
      <c r="AJ2454" t="s">
        <v>10212</v>
      </c>
      <c r="AL2454">
        <v>3.25</v>
      </c>
      <c r="AR2454" t="s">
        <v>11267</v>
      </c>
      <c r="AS2454" t="s">
        <v>11594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</row>
    <row r="2455" spans="1:59">
      <c r="A2455" s="1">
        <f>HYPERLINK("https://lsnyc.legalserver.org/matter/dynamic-profile/view/1906425","19-1906425")</f>
        <v>0</v>
      </c>
      <c r="B2455" t="s">
        <v>2080</v>
      </c>
      <c r="C2455" t="s">
        <v>6872</v>
      </c>
      <c r="D2455" t="s">
        <v>9925</v>
      </c>
      <c r="E2455" t="s">
        <v>10075</v>
      </c>
      <c r="F2455">
        <v>10003</v>
      </c>
      <c r="G2455" t="s">
        <v>10089</v>
      </c>
      <c r="H2455" t="s">
        <v>10095</v>
      </c>
      <c r="I2455" t="s">
        <v>10168</v>
      </c>
      <c r="J2455" t="s">
        <v>10209</v>
      </c>
      <c r="K2455" t="s">
        <v>10217</v>
      </c>
      <c r="M2455" t="s">
        <v>10288</v>
      </c>
      <c r="N2455" t="s">
        <v>10665</v>
      </c>
      <c r="P2455" t="s">
        <v>10750</v>
      </c>
      <c r="Q2455" t="s">
        <v>10799</v>
      </c>
      <c r="R2455" t="s">
        <v>10824</v>
      </c>
      <c r="T2455">
        <v>0</v>
      </c>
      <c r="U2455">
        <v>0</v>
      </c>
      <c r="V2455">
        <v>41</v>
      </c>
      <c r="W2455">
        <v>1</v>
      </c>
      <c r="X2455">
        <v>1</v>
      </c>
      <c r="Z2455">
        <v>0</v>
      </c>
      <c r="AA2455">
        <v>40.734995</v>
      </c>
      <c r="AB2455">
        <v>-73.98866700000001</v>
      </c>
      <c r="AD2455" t="s">
        <v>10839</v>
      </c>
      <c r="AG2455" t="s">
        <v>10858</v>
      </c>
      <c r="AH2455" t="s">
        <v>10871</v>
      </c>
      <c r="AI2455">
        <v>234</v>
      </c>
      <c r="AJ2455" t="s">
        <v>10214</v>
      </c>
      <c r="AL2455">
        <v>3.65</v>
      </c>
      <c r="AM2455" t="s">
        <v>10891</v>
      </c>
      <c r="AN2455" t="s">
        <v>10910</v>
      </c>
      <c r="AO2455" t="s">
        <v>11026</v>
      </c>
      <c r="AP2455" t="s">
        <v>11048</v>
      </c>
      <c r="AR2455" t="s">
        <v>11267</v>
      </c>
      <c r="AS2455" t="s">
        <v>9925</v>
      </c>
      <c r="AT2455" t="s">
        <v>11641</v>
      </c>
      <c r="AX2455" t="s">
        <v>10838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</row>
    <row r="2456" spans="1:59">
      <c r="A2456" s="1">
        <f>HYPERLINK("https://lsnyc.legalserver.org/matter/dynamic-profile/view/1906426","19-1906426")</f>
        <v>0</v>
      </c>
      <c r="B2456" t="s">
        <v>2081</v>
      </c>
      <c r="C2456" t="s">
        <v>6873</v>
      </c>
      <c r="D2456" t="s">
        <v>9928</v>
      </c>
      <c r="E2456" t="s">
        <v>10075</v>
      </c>
      <c r="F2456">
        <v>11236</v>
      </c>
      <c r="G2456" t="s">
        <v>10093</v>
      </c>
      <c r="H2456" t="s">
        <v>10095</v>
      </c>
      <c r="I2456" t="s">
        <v>10168</v>
      </c>
      <c r="J2456" t="s">
        <v>10213</v>
      </c>
      <c r="K2456" t="s">
        <v>10217</v>
      </c>
      <c r="M2456" t="s">
        <v>10507</v>
      </c>
      <c r="N2456" t="s">
        <v>10664</v>
      </c>
      <c r="P2456" t="s">
        <v>10749</v>
      </c>
      <c r="Q2456" t="s">
        <v>10765</v>
      </c>
      <c r="R2456" t="s">
        <v>10824</v>
      </c>
      <c r="T2456">
        <v>8160</v>
      </c>
      <c r="U2456">
        <v>680</v>
      </c>
      <c r="V2456">
        <v>33</v>
      </c>
      <c r="W2456">
        <v>1</v>
      </c>
      <c r="X2456">
        <v>1</v>
      </c>
      <c r="Z2456">
        <v>48.26</v>
      </c>
      <c r="AA2456">
        <v>40.639638</v>
      </c>
      <c r="AB2456">
        <v>-73.88546599999999</v>
      </c>
      <c r="AD2456" t="s">
        <v>10839</v>
      </c>
      <c r="AG2456" t="s">
        <v>10858</v>
      </c>
      <c r="AH2456" t="s">
        <v>10862</v>
      </c>
      <c r="AI2456">
        <v>239</v>
      </c>
      <c r="AJ2456" t="s">
        <v>10213</v>
      </c>
      <c r="AL2456">
        <v>54.8</v>
      </c>
      <c r="AM2456" t="s">
        <v>10889</v>
      </c>
      <c r="AN2456" t="s">
        <v>10925</v>
      </c>
      <c r="AO2456" t="s">
        <v>11012</v>
      </c>
      <c r="AP2456" t="s">
        <v>11072</v>
      </c>
      <c r="AQ2456" t="s">
        <v>11214</v>
      </c>
      <c r="AR2456" t="s">
        <v>11310</v>
      </c>
      <c r="AS2456" t="s">
        <v>11595</v>
      </c>
      <c r="AT2456" t="s">
        <v>11641</v>
      </c>
      <c r="BA2456" t="s">
        <v>11738</v>
      </c>
      <c r="BB2456">
        <v>0</v>
      </c>
      <c r="BC2456">
        <v>0</v>
      </c>
      <c r="BD2456">
        <v>0</v>
      </c>
      <c r="BE2456">
        <v>0</v>
      </c>
      <c r="BF2456">
        <v>5</v>
      </c>
      <c r="BG2456">
        <v>0</v>
      </c>
    </row>
    <row r="2457" spans="1:59">
      <c r="A2457" s="1">
        <f>HYPERLINK("https://lsnyc.legalserver.org/matter/dynamic-profile/view/1906427","19-1906427")</f>
        <v>0</v>
      </c>
      <c r="B2457" t="s">
        <v>2082</v>
      </c>
      <c r="C2457" t="s">
        <v>6874</v>
      </c>
      <c r="D2457" t="s">
        <v>9926</v>
      </c>
      <c r="E2457" t="s">
        <v>10075</v>
      </c>
      <c r="F2457">
        <v>10458</v>
      </c>
      <c r="G2457" t="s">
        <v>10090</v>
      </c>
      <c r="H2457" t="s">
        <v>10095</v>
      </c>
      <c r="I2457" t="s">
        <v>10168</v>
      </c>
      <c r="J2457" t="s">
        <v>10210</v>
      </c>
      <c r="K2457" t="s">
        <v>10217</v>
      </c>
      <c r="M2457" t="s">
        <v>10336</v>
      </c>
      <c r="N2457" t="s">
        <v>10671</v>
      </c>
      <c r="P2457" t="s">
        <v>10758</v>
      </c>
      <c r="Q2457" t="s">
        <v>10793</v>
      </c>
      <c r="R2457" t="s">
        <v>10821</v>
      </c>
      <c r="T2457">
        <v>28384</v>
      </c>
      <c r="U2457">
        <v>2365.33</v>
      </c>
      <c r="V2457">
        <v>31</v>
      </c>
      <c r="W2457">
        <v>1</v>
      </c>
      <c r="X2457">
        <v>1</v>
      </c>
      <c r="Z2457">
        <v>167.85</v>
      </c>
      <c r="AA2457">
        <v>40.854187</v>
      </c>
      <c r="AB2457">
        <v>-73.88444800000001</v>
      </c>
      <c r="AD2457" t="s">
        <v>10839</v>
      </c>
      <c r="AG2457" t="s">
        <v>10858</v>
      </c>
      <c r="AH2457" t="s">
        <v>10861</v>
      </c>
      <c r="AI2457">
        <v>234</v>
      </c>
      <c r="AJ2457" t="s">
        <v>10214</v>
      </c>
      <c r="AL2457">
        <v>19.35</v>
      </c>
      <c r="AM2457" t="s">
        <v>10884</v>
      </c>
      <c r="AN2457" t="s">
        <v>10907</v>
      </c>
      <c r="AO2457" t="s">
        <v>11000</v>
      </c>
      <c r="AP2457" t="s">
        <v>11056</v>
      </c>
      <c r="AR2457" t="s">
        <v>11262</v>
      </c>
      <c r="AS2457" t="s">
        <v>9926</v>
      </c>
      <c r="AT2457" t="s">
        <v>11641</v>
      </c>
      <c r="AX2457" t="s">
        <v>10838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</row>
    <row r="2458" spans="1:59">
      <c r="A2458" s="1">
        <f>HYPERLINK("https://lsnyc.legalserver.org/matter/dynamic-profile/view/1906428","19-1906428")</f>
        <v>0</v>
      </c>
      <c r="B2458" t="s">
        <v>2083</v>
      </c>
      <c r="C2458" t="s">
        <v>6875</v>
      </c>
      <c r="D2458" t="s">
        <v>9928</v>
      </c>
      <c r="E2458" t="s">
        <v>10075</v>
      </c>
      <c r="F2458">
        <v>11226</v>
      </c>
      <c r="G2458" t="s">
        <v>10093</v>
      </c>
      <c r="H2458" t="s">
        <v>10095</v>
      </c>
      <c r="I2458" t="s">
        <v>10168</v>
      </c>
      <c r="J2458" t="s">
        <v>10213</v>
      </c>
      <c r="K2458" t="s">
        <v>10217</v>
      </c>
      <c r="M2458" t="s">
        <v>10429</v>
      </c>
      <c r="N2458" t="s">
        <v>10667</v>
      </c>
      <c r="P2458" t="s">
        <v>10749</v>
      </c>
      <c r="Q2458" t="s">
        <v>10765</v>
      </c>
      <c r="R2458" t="s">
        <v>10824</v>
      </c>
      <c r="T2458">
        <v>11616</v>
      </c>
      <c r="U2458">
        <v>968</v>
      </c>
      <c r="V2458">
        <v>67</v>
      </c>
      <c r="W2458">
        <v>1</v>
      </c>
      <c r="X2458">
        <v>0</v>
      </c>
      <c r="Z2458">
        <v>93</v>
      </c>
      <c r="AA2458">
        <v>40.641346</v>
      </c>
      <c r="AB2458">
        <v>-73.958071</v>
      </c>
      <c r="AD2458" t="s">
        <v>10839</v>
      </c>
      <c r="AF2458" t="s">
        <v>10843</v>
      </c>
      <c r="AG2458" t="s">
        <v>10859</v>
      </c>
      <c r="AH2458" t="s">
        <v>10862</v>
      </c>
      <c r="AI2458">
        <v>239</v>
      </c>
      <c r="AJ2458" t="s">
        <v>10213</v>
      </c>
      <c r="AL2458">
        <v>7.3</v>
      </c>
      <c r="AM2458" t="s">
        <v>10888</v>
      </c>
      <c r="AN2458" t="s">
        <v>10932</v>
      </c>
      <c r="AO2458" t="s">
        <v>11008</v>
      </c>
      <c r="AP2458" t="s">
        <v>11050</v>
      </c>
      <c r="AQ2458" t="s">
        <v>11101</v>
      </c>
      <c r="AR2458" t="s">
        <v>11253</v>
      </c>
      <c r="AS2458" t="s">
        <v>11595</v>
      </c>
      <c r="BA2458" t="s">
        <v>11738</v>
      </c>
      <c r="BB2458">
        <v>0</v>
      </c>
      <c r="BC2458">
        <v>0</v>
      </c>
      <c r="BD2458">
        <v>0</v>
      </c>
      <c r="BE2458">
        <v>0</v>
      </c>
      <c r="BF2458">
        <v>5</v>
      </c>
      <c r="BG2458">
        <v>0</v>
      </c>
    </row>
    <row r="2459" spans="1:59">
      <c r="A2459" s="1">
        <f>HYPERLINK("https://lsnyc.legalserver.org/matter/dynamic-profile/view/1906429","19-1906429")</f>
        <v>0</v>
      </c>
      <c r="B2459" t="s">
        <v>2084</v>
      </c>
      <c r="C2459" t="s">
        <v>6876</v>
      </c>
      <c r="D2459" t="s">
        <v>9928</v>
      </c>
      <c r="E2459" t="s">
        <v>10075</v>
      </c>
      <c r="F2459">
        <v>11217</v>
      </c>
      <c r="G2459" t="s">
        <v>10093</v>
      </c>
      <c r="H2459" t="s">
        <v>10095</v>
      </c>
      <c r="I2459" t="s">
        <v>10168</v>
      </c>
      <c r="J2459" t="s">
        <v>10213</v>
      </c>
      <c r="K2459" t="s">
        <v>10218</v>
      </c>
      <c r="L2459" t="s">
        <v>10153</v>
      </c>
      <c r="M2459" t="s">
        <v>10289</v>
      </c>
      <c r="N2459" t="s">
        <v>10671</v>
      </c>
      <c r="P2459" t="s">
        <v>10757</v>
      </c>
      <c r="Q2459" t="s">
        <v>10789</v>
      </c>
      <c r="R2459" t="s">
        <v>10822</v>
      </c>
      <c r="T2459">
        <v>32613.42</v>
      </c>
      <c r="U2459">
        <v>2717.79</v>
      </c>
      <c r="V2459">
        <v>49</v>
      </c>
      <c r="W2459">
        <v>2</v>
      </c>
      <c r="X2459">
        <v>0</v>
      </c>
      <c r="Y2459" t="s">
        <v>10829</v>
      </c>
      <c r="Z2459">
        <v>192.86</v>
      </c>
      <c r="AA2459">
        <v>40.677822</v>
      </c>
      <c r="AB2459">
        <v>-73.97787700000001</v>
      </c>
      <c r="AD2459" t="s">
        <v>10840</v>
      </c>
      <c r="AG2459" t="s">
        <v>10858</v>
      </c>
      <c r="AH2459" t="s">
        <v>10861</v>
      </c>
      <c r="AI2459">
        <v>234</v>
      </c>
      <c r="AJ2459" t="s">
        <v>10214</v>
      </c>
      <c r="AK2459" t="s">
        <v>10838</v>
      </c>
      <c r="AL2459">
        <v>1.5</v>
      </c>
      <c r="AM2459" t="s">
        <v>10888</v>
      </c>
      <c r="AN2459" t="s">
        <v>10917</v>
      </c>
      <c r="AO2459" t="s">
        <v>11007</v>
      </c>
      <c r="AP2459" t="s">
        <v>11059</v>
      </c>
      <c r="AR2459" t="s">
        <v>11317</v>
      </c>
      <c r="AS2459" t="s">
        <v>11595</v>
      </c>
      <c r="AT2459" t="s">
        <v>11642</v>
      </c>
      <c r="AX2459" t="s">
        <v>10838</v>
      </c>
      <c r="AY2459" t="s">
        <v>10829</v>
      </c>
      <c r="AZ2459" t="s">
        <v>11703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</row>
    <row r="2460" spans="1:59">
      <c r="A2460" s="1">
        <f>HYPERLINK("https://lsnyc.legalserver.org/matter/dynamic-profile/view/1906430","19-1906430")</f>
        <v>0</v>
      </c>
      <c r="B2460" t="s">
        <v>403</v>
      </c>
      <c r="C2460" t="s">
        <v>6877</v>
      </c>
      <c r="D2460" t="s">
        <v>9933</v>
      </c>
      <c r="E2460" t="s">
        <v>10075</v>
      </c>
      <c r="F2460">
        <v>11420</v>
      </c>
      <c r="G2460" t="s">
        <v>10092</v>
      </c>
      <c r="H2460" t="s">
        <v>10095</v>
      </c>
      <c r="I2460" t="s">
        <v>10168</v>
      </c>
      <c r="J2460" t="s">
        <v>10212</v>
      </c>
      <c r="K2460" t="s">
        <v>10218</v>
      </c>
      <c r="L2460" t="s">
        <v>10151</v>
      </c>
      <c r="M2460" t="s">
        <v>10318</v>
      </c>
      <c r="N2460" t="s">
        <v>10684</v>
      </c>
      <c r="P2460" t="s">
        <v>10751</v>
      </c>
      <c r="Q2460" t="s">
        <v>10786</v>
      </c>
      <c r="R2460" t="s">
        <v>10827</v>
      </c>
      <c r="T2460">
        <v>10296</v>
      </c>
      <c r="U2460">
        <v>858</v>
      </c>
      <c r="V2460">
        <v>74</v>
      </c>
      <c r="W2460">
        <v>1</v>
      </c>
      <c r="X2460">
        <v>0</v>
      </c>
      <c r="Y2460" t="s">
        <v>10833</v>
      </c>
      <c r="Z2460">
        <v>82.43000000000001</v>
      </c>
      <c r="AA2460">
        <v>40.681431</v>
      </c>
      <c r="AB2460">
        <v>-73.81245199999999</v>
      </c>
      <c r="AD2460" t="s">
        <v>10840</v>
      </c>
      <c r="AG2460" t="s">
        <v>10858</v>
      </c>
      <c r="AH2460" t="s">
        <v>10873</v>
      </c>
      <c r="AI2460">
        <v>237</v>
      </c>
      <c r="AJ2460" t="s">
        <v>10212</v>
      </c>
      <c r="AK2460" t="s">
        <v>10838</v>
      </c>
      <c r="AL2460">
        <v>3.5</v>
      </c>
      <c r="AM2460" t="s">
        <v>10892</v>
      </c>
      <c r="AN2460" t="s">
        <v>10930</v>
      </c>
      <c r="AO2460" t="s">
        <v>11017</v>
      </c>
      <c r="AP2460" t="s">
        <v>11070</v>
      </c>
      <c r="AR2460" t="s">
        <v>11392</v>
      </c>
      <c r="AS2460" t="s">
        <v>11594</v>
      </c>
      <c r="AT2460" t="s">
        <v>11642</v>
      </c>
      <c r="AX2460" t="s">
        <v>10838</v>
      </c>
      <c r="AY2460" t="s">
        <v>10833</v>
      </c>
      <c r="AZ2460" t="s">
        <v>11682</v>
      </c>
      <c r="BB2460">
        <v>0</v>
      </c>
      <c r="BC2460">
        <v>0</v>
      </c>
      <c r="BD2460">
        <v>0</v>
      </c>
      <c r="BE2460">
        <v>192</v>
      </c>
      <c r="BF2460">
        <v>0</v>
      </c>
      <c r="BG2460">
        <v>0</v>
      </c>
    </row>
    <row r="2461" spans="1:59">
      <c r="A2461" s="1">
        <f>HYPERLINK("https://lsnyc.legalserver.org/matter/dynamic-profile/view/1906431","19-1906431")</f>
        <v>0</v>
      </c>
      <c r="B2461" t="s">
        <v>2085</v>
      </c>
      <c r="C2461" t="s">
        <v>6878</v>
      </c>
      <c r="D2461" t="s">
        <v>9949</v>
      </c>
      <c r="E2461" t="s">
        <v>10075</v>
      </c>
      <c r="F2461">
        <v>11413</v>
      </c>
      <c r="G2461" t="s">
        <v>10092</v>
      </c>
      <c r="H2461" t="s">
        <v>10095</v>
      </c>
      <c r="I2461" t="s">
        <v>10177</v>
      </c>
      <c r="J2461" t="s">
        <v>10212</v>
      </c>
      <c r="K2461" t="s">
        <v>10217</v>
      </c>
      <c r="M2461" t="s">
        <v>10318</v>
      </c>
      <c r="N2461" t="s">
        <v>10684</v>
      </c>
      <c r="P2461" t="s">
        <v>10751</v>
      </c>
      <c r="Q2461" t="s">
        <v>10786</v>
      </c>
      <c r="R2461" t="s">
        <v>10824</v>
      </c>
      <c r="T2461">
        <v>21450</v>
      </c>
      <c r="U2461">
        <v>1787.5</v>
      </c>
      <c r="V2461">
        <v>61</v>
      </c>
      <c r="W2461">
        <v>2</v>
      </c>
      <c r="X2461">
        <v>0</v>
      </c>
      <c r="Z2461">
        <v>126.85</v>
      </c>
      <c r="AA2461">
        <v>40.657367</v>
      </c>
      <c r="AB2461">
        <v>-73.757318</v>
      </c>
      <c r="AD2461" t="s">
        <v>10840</v>
      </c>
      <c r="AF2461" t="s">
        <v>10843</v>
      </c>
      <c r="AG2461" t="s">
        <v>10859</v>
      </c>
      <c r="AH2461" t="s">
        <v>10873</v>
      </c>
      <c r="AI2461">
        <v>237</v>
      </c>
      <c r="AJ2461" t="s">
        <v>10212</v>
      </c>
      <c r="AL2461">
        <v>1.75</v>
      </c>
      <c r="AM2461" t="s">
        <v>10892</v>
      </c>
      <c r="AN2461" t="s">
        <v>10930</v>
      </c>
      <c r="AO2461" t="s">
        <v>11017</v>
      </c>
      <c r="AP2461" t="s">
        <v>11082</v>
      </c>
      <c r="AR2461" t="s">
        <v>11257</v>
      </c>
      <c r="AS2461" t="s">
        <v>11594</v>
      </c>
      <c r="AT2461" t="s">
        <v>11642</v>
      </c>
      <c r="AX2461" t="s">
        <v>10838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</row>
    <row r="2462" spans="1:59">
      <c r="A2462" s="1">
        <f>HYPERLINK("https://lsnyc.legalserver.org/matter/dynamic-profile/view/1906432","19-1906432")</f>
        <v>0</v>
      </c>
      <c r="B2462" t="s">
        <v>2086</v>
      </c>
      <c r="C2462" t="s">
        <v>6879</v>
      </c>
      <c r="D2462" t="s">
        <v>9926</v>
      </c>
      <c r="E2462" t="s">
        <v>10075</v>
      </c>
      <c r="F2462">
        <v>10459</v>
      </c>
      <c r="G2462" t="s">
        <v>10090</v>
      </c>
      <c r="H2462" t="s">
        <v>10095</v>
      </c>
      <c r="I2462" t="s">
        <v>10168</v>
      </c>
      <c r="J2462" t="s">
        <v>10210</v>
      </c>
      <c r="K2462" t="s">
        <v>10217</v>
      </c>
      <c r="M2462" t="s">
        <v>10401</v>
      </c>
      <c r="N2462" t="s">
        <v>10677</v>
      </c>
      <c r="P2462" t="s">
        <v>10751</v>
      </c>
      <c r="Q2462" t="s">
        <v>10786</v>
      </c>
      <c r="R2462" t="s">
        <v>10824</v>
      </c>
      <c r="T2462">
        <v>4404</v>
      </c>
      <c r="U2462">
        <v>367</v>
      </c>
      <c r="V2462">
        <v>67</v>
      </c>
      <c r="W2462">
        <v>1</v>
      </c>
      <c r="X2462">
        <v>0</v>
      </c>
      <c r="Z2462">
        <v>35.26</v>
      </c>
      <c r="AA2462">
        <v>40.821378</v>
      </c>
      <c r="AB2462">
        <v>-73.899469</v>
      </c>
      <c r="AD2462" t="s">
        <v>10840</v>
      </c>
      <c r="AG2462" t="s">
        <v>10858</v>
      </c>
      <c r="AH2462" t="s">
        <v>10861</v>
      </c>
      <c r="AI2462">
        <v>234</v>
      </c>
      <c r="AJ2462" t="s">
        <v>10214</v>
      </c>
      <c r="AL2462">
        <v>18.35</v>
      </c>
      <c r="AM2462" t="s">
        <v>10884</v>
      </c>
      <c r="AN2462" t="s">
        <v>10918</v>
      </c>
      <c r="AO2462" t="s">
        <v>11001</v>
      </c>
      <c r="AP2462" t="s">
        <v>11062</v>
      </c>
      <c r="AR2462" t="s">
        <v>11263</v>
      </c>
      <c r="AS2462" t="s">
        <v>9926</v>
      </c>
      <c r="AT2462" t="s">
        <v>11642</v>
      </c>
      <c r="AX2462" t="s">
        <v>10838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</row>
    <row r="2463" spans="1:59">
      <c r="A2463" s="1">
        <f>HYPERLINK("https://lsnyc.legalserver.org/matter/dynamic-profile/view/1906433","19-1906433")</f>
        <v>0</v>
      </c>
      <c r="B2463" t="s">
        <v>2087</v>
      </c>
      <c r="C2463" t="s">
        <v>6880</v>
      </c>
      <c r="D2463" t="s">
        <v>9926</v>
      </c>
      <c r="E2463" t="s">
        <v>10075</v>
      </c>
      <c r="F2463">
        <v>10453</v>
      </c>
      <c r="G2463" t="s">
        <v>10090</v>
      </c>
      <c r="H2463" t="s">
        <v>10104</v>
      </c>
      <c r="I2463" t="s">
        <v>10168</v>
      </c>
      <c r="J2463" t="s">
        <v>10210</v>
      </c>
      <c r="K2463" t="s">
        <v>10218</v>
      </c>
      <c r="L2463" t="s">
        <v>10108</v>
      </c>
      <c r="M2463" t="s">
        <v>10262</v>
      </c>
      <c r="N2463" t="s">
        <v>10671</v>
      </c>
      <c r="P2463" t="s">
        <v>10749</v>
      </c>
      <c r="Q2463" t="s">
        <v>10767</v>
      </c>
      <c r="R2463" t="s">
        <v>10824</v>
      </c>
      <c r="T2463">
        <v>25480</v>
      </c>
      <c r="U2463">
        <v>2123.33</v>
      </c>
      <c r="V2463">
        <v>52</v>
      </c>
      <c r="W2463">
        <v>2</v>
      </c>
      <c r="X2463">
        <v>0</v>
      </c>
      <c r="Y2463" t="s">
        <v>10829</v>
      </c>
      <c r="Z2463">
        <v>150.68</v>
      </c>
      <c r="AA2463">
        <v>40.845926</v>
      </c>
      <c r="AB2463">
        <v>-73.922674</v>
      </c>
      <c r="AD2463" t="s">
        <v>10840</v>
      </c>
      <c r="AG2463" t="s">
        <v>10858</v>
      </c>
      <c r="AH2463" t="s">
        <v>10861</v>
      </c>
      <c r="AI2463">
        <v>230</v>
      </c>
      <c r="AJ2463" t="s">
        <v>10210</v>
      </c>
      <c r="AK2463" t="s">
        <v>10838</v>
      </c>
      <c r="AL2463">
        <v>1</v>
      </c>
      <c r="AM2463" t="s">
        <v>10887</v>
      </c>
      <c r="AN2463" t="s">
        <v>10929</v>
      </c>
      <c r="AO2463" t="s">
        <v>11013</v>
      </c>
      <c r="AP2463" t="s">
        <v>11055</v>
      </c>
      <c r="AR2463" t="s">
        <v>11257</v>
      </c>
      <c r="AS2463" t="s">
        <v>9926</v>
      </c>
      <c r="AT2463" t="s">
        <v>11642</v>
      </c>
      <c r="AX2463" t="s">
        <v>10838</v>
      </c>
      <c r="AY2463" t="s">
        <v>10829</v>
      </c>
      <c r="AZ2463" t="s">
        <v>11681</v>
      </c>
      <c r="BA2463" t="s">
        <v>11741</v>
      </c>
      <c r="BB2463">
        <v>0</v>
      </c>
      <c r="BC2463">
        <v>0</v>
      </c>
      <c r="BD2463">
        <v>0</v>
      </c>
      <c r="BE2463">
        <v>0</v>
      </c>
      <c r="BF2463">
        <v>1</v>
      </c>
      <c r="BG2463">
        <v>0</v>
      </c>
    </row>
    <row r="2464" spans="1:59">
      <c r="A2464" s="1">
        <f>HYPERLINK("https://lsnyc.legalserver.org/matter/dynamic-profile/view/1906434","19-1906434")</f>
        <v>0</v>
      </c>
      <c r="B2464" t="s">
        <v>2088</v>
      </c>
      <c r="C2464" t="s">
        <v>6881</v>
      </c>
      <c r="D2464" t="s">
        <v>9956</v>
      </c>
      <c r="E2464" t="s">
        <v>10075</v>
      </c>
      <c r="F2464">
        <v>11365</v>
      </c>
      <c r="G2464" t="s">
        <v>10092</v>
      </c>
      <c r="H2464" t="s">
        <v>10095</v>
      </c>
      <c r="I2464" t="s">
        <v>10168</v>
      </c>
      <c r="J2464" t="s">
        <v>10212</v>
      </c>
      <c r="K2464" t="s">
        <v>10217</v>
      </c>
      <c r="M2464" t="s">
        <v>10318</v>
      </c>
      <c r="N2464" t="s">
        <v>10684</v>
      </c>
      <c r="P2464" t="s">
        <v>10751</v>
      </c>
      <c r="Q2464" t="s">
        <v>10786</v>
      </c>
      <c r="R2464" t="s">
        <v>10820</v>
      </c>
      <c r="T2464">
        <v>12926.28</v>
      </c>
      <c r="U2464">
        <v>1077.19</v>
      </c>
      <c r="V2464">
        <v>69</v>
      </c>
      <c r="W2464">
        <v>1</v>
      </c>
      <c r="X2464">
        <v>0</v>
      </c>
      <c r="Z2464">
        <v>103.49</v>
      </c>
      <c r="AA2464">
        <v>40.728689</v>
      </c>
      <c r="AB2464">
        <v>-73.80699300000001</v>
      </c>
      <c r="AD2464" t="s">
        <v>10839</v>
      </c>
      <c r="AG2464" t="s">
        <v>10858</v>
      </c>
      <c r="AH2464" t="s">
        <v>10861</v>
      </c>
      <c r="AI2464">
        <v>234</v>
      </c>
      <c r="AJ2464" t="s">
        <v>10214</v>
      </c>
      <c r="AL2464">
        <v>2.25</v>
      </c>
      <c r="AM2464" t="s">
        <v>10890</v>
      </c>
      <c r="AN2464" t="s">
        <v>10962</v>
      </c>
      <c r="AO2464" t="s">
        <v>11009</v>
      </c>
      <c r="AP2464" t="s">
        <v>11081</v>
      </c>
      <c r="AR2464" t="s">
        <v>11345</v>
      </c>
      <c r="AS2464" t="s">
        <v>11594</v>
      </c>
      <c r="AT2464" t="s">
        <v>11641</v>
      </c>
      <c r="AX2464" t="s">
        <v>10838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</row>
    <row r="2465" spans="1:59">
      <c r="A2465" s="1">
        <f>HYPERLINK("https://lsnyc.legalserver.org/matter/dynamic-profile/view/1906435","19-1906435")</f>
        <v>0</v>
      </c>
      <c r="B2465" t="s">
        <v>2089</v>
      </c>
      <c r="C2465" t="s">
        <v>6882</v>
      </c>
      <c r="D2465" t="s">
        <v>9925</v>
      </c>
      <c r="E2465" t="s">
        <v>10075</v>
      </c>
      <c r="F2465">
        <v>10039</v>
      </c>
      <c r="G2465" t="s">
        <v>10089</v>
      </c>
      <c r="H2465" t="s">
        <v>10095</v>
      </c>
      <c r="I2465" t="s">
        <v>10169</v>
      </c>
      <c r="J2465" t="s">
        <v>10209</v>
      </c>
      <c r="K2465" t="s">
        <v>10218</v>
      </c>
      <c r="L2465" t="s">
        <v>10166</v>
      </c>
      <c r="M2465" t="s">
        <v>10324</v>
      </c>
      <c r="N2465" t="s">
        <v>10649</v>
      </c>
      <c r="P2465" t="s">
        <v>10753</v>
      </c>
      <c r="Q2465" t="s">
        <v>10763</v>
      </c>
      <c r="R2465" t="s">
        <v>10823</v>
      </c>
      <c r="T2465">
        <v>3600</v>
      </c>
      <c r="U2465">
        <v>300</v>
      </c>
      <c r="V2465">
        <v>27</v>
      </c>
      <c r="W2465">
        <v>4</v>
      </c>
      <c r="X2465">
        <v>1</v>
      </c>
      <c r="Y2465" t="s">
        <v>10833</v>
      </c>
      <c r="Z2465">
        <v>11.93</v>
      </c>
      <c r="AA2465">
        <v>40.823389</v>
      </c>
      <c r="AB2465">
        <v>-73.940735</v>
      </c>
      <c r="AD2465" t="s">
        <v>10839</v>
      </c>
      <c r="AF2465" t="s">
        <v>10844</v>
      </c>
      <c r="AG2465" t="s">
        <v>10859</v>
      </c>
      <c r="AH2465" t="s">
        <v>10864</v>
      </c>
      <c r="AI2465">
        <v>236</v>
      </c>
      <c r="AJ2465" t="s">
        <v>10209</v>
      </c>
      <c r="AK2465" t="s">
        <v>10838</v>
      </c>
      <c r="AL2465">
        <v>5</v>
      </c>
      <c r="AM2465" t="s">
        <v>10887</v>
      </c>
      <c r="AN2465" t="s">
        <v>10943</v>
      </c>
      <c r="AO2465" t="s">
        <v>11016</v>
      </c>
      <c r="AP2465" t="s">
        <v>11076</v>
      </c>
      <c r="AQ2465" t="s">
        <v>11215</v>
      </c>
      <c r="AR2465" t="s">
        <v>11257</v>
      </c>
      <c r="AS2465" t="s">
        <v>9925</v>
      </c>
      <c r="AY2465" t="s">
        <v>10833</v>
      </c>
      <c r="AZ2465" t="s">
        <v>11724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</row>
    <row r="2466" spans="1:59">
      <c r="A2466" s="1">
        <f>HYPERLINK("https://lsnyc.legalserver.org/matter/dynamic-profile/view/1906436","19-1906436")</f>
        <v>0</v>
      </c>
      <c r="B2466" t="s">
        <v>1173</v>
      </c>
      <c r="C2466" t="s">
        <v>6883</v>
      </c>
      <c r="D2466" t="s">
        <v>9933</v>
      </c>
      <c r="E2466" t="s">
        <v>10075</v>
      </c>
      <c r="F2466">
        <v>11420</v>
      </c>
      <c r="G2466" t="s">
        <v>10092</v>
      </c>
      <c r="H2466" t="s">
        <v>10103</v>
      </c>
      <c r="I2466" t="s">
        <v>10169</v>
      </c>
      <c r="J2466" t="s">
        <v>10212</v>
      </c>
      <c r="K2466" t="s">
        <v>10217</v>
      </c>
      <c r="M2466" t="s">
        <v>10329</v>
      </c>
      <c r="N2466" t="s">
        <v>10711</v>
      </c>
      <c r="P2466" t="s">
        <v>10749</v>
      </c>
      <c r="Q2466" t="s">
        <v>10765</v>
      </c>
      <c r="R2466" t="s">
        <v>10821</v>
      </c>
      <c r="T2466">
        <v>0</v>
      </c>
      <c r="U2466">
        <v>0</v>
      </c>
      <c r="V2466">
        <v>34</v>
      </c>
      <c r="W2466">
        <v>1</v>
      </c>
      <c r="X2466">
        <v>2</v>
      </c>
      <c r="Z2466">
        <v>0</v>
      </c>
      <c r="AA2466">
        <v>40.666986</v>
      </c>
      <c r="AB2466">
        <v>-73.816346</v>
      </c>
      <c r="AD2466" t="s">
        <v>10839</v>
      </c>
      <c r="AF2466" t="s">
        <v>10843</v>
      </c>
      <c r="AG2466" t="s">
        <v>10859</v>
      </c>
      <c r="AH2466" t="s">
        <v>10862</v>
      </c>
      <c r="AI2466">
        <v>237</v>
      </c>
      <c r="AJ2466" t="s">
        <v>10212</v>
      </c>
      <c r="AL2466">
        <v>3.61</v>
      </c>
      <c r="AM2466" t="s">
        <v>10892</v>
      </c>
      <c r="AN2466" t="s">
        <v>10930</v>
      </c>
      <c r="AO2466" t="s">
        <v>11017</v>
      </c>
      <c r="AP2466" t="s">
        <v>11070</v>
      </c>
      <c r="AR2466" t="s">
        <v>11267</v>
      </c>
      <c r="AS2466" t="s">
        <v>11594</v>
      </c>
      <c r="BA2466" t="s">
        <v>11742</v>
      </c>
      <c r="BB2466">
        <v>0</v>
      </c>
      <c r="BC2466">
        <v>0</v>
      </c>
      <c r="BD2466">
        <v>0</v>
      </c>
      <c r="BE2466">
        <v>0</v>
      </c>
      <c r="BF2466">
        <v>7</v>
      </c>
      <c r="BG2466">
        <v>0</v>
      </c>
    </row>
    <row r="2467" spans="1:59">
      <c r="A2467" s="1">
        <f>HYPERLINK("https://lsnyc.legalserver.org/matter/dynamic-profile/view/1906437","19-1906437")</f>
        <v>0</v>
      </c>
      <c r="B2467" t="s">
        <v>829</v>
      </c>
      <c r="C2467" t="s">
        <v>5732</v>
      </c>
      <c r="D2467" t="s">
        <v>9941</v>
      </c>
      <c r="E2467" t="s">
        <v>10075</v>
      </c>
      <c r="F2467">
        <v>11427</v>
      </c>
      <c r="G2467" t="s">
        <v>10092</v>
      </c>
      <c r="H2467" t="s">
        <v>10095</v>
      </c>
      <c r="I2467" t="s">
        <v>10185</v>
      </c>
      <c r="J2467" t="s">
        <v>10212</v>
      </c>
      <c r="K2467" t="s">
        <v>10217</v>
      </c>
      <c r="M2467" t="s">
        <v>10325</v>
      </c>
      <c r="N2467" t="s">
        <v>10676</v>
      </c>
      <c r="P2467" t="s">
        <v>10751</v>
      </c>
      <c r="Q2467" t="s">
        <v>10796</v>
      </c>
      <c r="R2467" t="s">
        <v>10824</v>
      </c>
      <c r="T2467">
        <v>22452</v>
      </c>
      <c r="U2467">
        <v>1871</v>
      </c>
      <c r="V2467">
        <v>75</v>
      </c>
      <c r="W2467">
        <v>1</v>
      </c>
      <c r="X2467">
        <v>0</v>
      </c>
      <c r="Z2467">
        <v>179.76</v>
      </c>
      <c r="AA2467">
        <v>40.723561</v>
      </c>
      <c r="AB2467">
        <v>-73.761454</v>
      </c>
      <c r="AD2467" t="s">
        <v>10840</v>
      </c>
      <c r="AG2467" t="s">
        <v>10858</v>
      </c>
      <c r="AH2467" t="s">
        <v>10871</v>
      </c>
      <c r="AI2467">
        <v>234</v>
      </c>
      <c r="AJ2467" t="s">
        <v>10214</v>
      </c>
      <c r="AL2467">
        <v>2.5</v>
      </c>
      <c r="AR2467" t="s">
        <v>11268</v>
      </c>
      <c r="AS2467" t="s">
        <v>11594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</row>
    <row r="2468" spans="1:59">
      <c r="A2468" s="1">
        <f>HYPERLINK("https://lsnyc.legalserver.org/matter/dynamic-profile/view/1906438","19-1906438")</f>
        <v>0</v>
      </c>
      <c r="B2468" t="s">
        <v>944</v>
      </c>
      <c r="C2468" t="s">
        <v>6884</v>
      </c>
      <c r="D2468" t="s">
        <v>9928</v>
      </c>
      <c r="E2468" t="s">
        <v>10075</v>
      </c>
      <c r="F2468">
        <v>11212</v>
      </c>
      <c r="G2468" t="s">
        <v>10093</v>
      </c>
      <c r="H2468" t="s">
        <v>10095</v>
      </c>
      <c r="I2468" t="s">
        <v>10168</v>
      </c>
      <c r="J2468" t="s">
        <v>10213</v>
      </c>
      <c r="K2468" t="s">
        <v>10217</v>
      </c>
      <c r="M2468" t="s">
        <v>10345</v>
      </c>
      <c r="N2468" t="s">
        <v>10664</v>
      </c>
      <c r="P2468" t="s">
        <v>10749</v>
      </c>
      <c r="Q2468" t="s">
        <v>10765</v>
      </c>
      <c r="R2468" t="s">
        <v>10824</v>
      </c>
      <c r="T2468">
        <v>7764</v>
      </c>
      <c r="U2468">
        <v>647</v>
      </c>
      <c r="V2468">
        <v>34</v>
      </c>
      <c r="W2468">
        <v>1</v>
      </c>
      <c r="X2468">
        <v>4</v>
      </c>
      <c r="Z2468">
        <v>25.73</v>
      </c>
      <c r="AA2468">
        <v>40.665626</v>
      </c>
      <c r="AB2468">
        <v>-73.921699</v>
      </c>
      <c r="AD2468" t="s">
        <v>10839</v>
      </c>
      <c r="AG2468" t="s">
        <v>10858</v>
      </c>
      <c r="AH2468" t="s">
        <v>10862</v>
      </c>
      <c r="AI2468">
        <v>239</v>
      </c>
      <c r="AJ2468" t="s">
        <v>10213</v>
      </c>
      <c r="AL2468">
        <v>5.5</v>
      </c>
      <c r="AM2468" t="s">
        <v>10888</v>
      </c>
      <c r="AN2468" t="s">
        <v>10922</v>
      </c>
      <c r="AO2468" t="s">
        <v>11005</v>
      </c>
      <c r="AP2468" t="s">
        <v>11064</v>
      </c>
      <c r="AQ2468" t="s">
        <v>11214</v>
      </c>
      <c r="AR2468" t="s">
        <v>11274</v>
      </c>
      <c r="AS2468" t="s">
        <v>11595</v>
      </c>
      <c r="AT2468" t="s">
        <v>11641</v>
      </c>
      <c r="BA2468" t="s">
        <v>11738</v>
      </c>
      <c r="BB2468">
        <v>0</v>
      </c>
      <c r="BC2468">
        <v>0</v>
      </c>
      <c r="BD2468">
        <v>0</v>
      </c>
      <c r="BE2468">
        <v>0</v>
      </c>
      <c r="BF2468">
        <v>5</v>
      </c>
      <c r="BG2468">
        <v>0</v>
      </c>
    </row>
    <row r="2469" spans="1:59">
      <c r="A2469" s="1">
        <f>HYPERLINK("https://lsnyc.legalserver.org/matter/dynamic-profile/view/1906439","19-1906439")</f>
        <v>0</v>
      </c>
      <c r="B2469" t="s">
        <v>223</v>
      </c>
      <c r="D2469" t="s">
        <v>9959</v>
      </c>
      <c r="E2469" t="s">
        <v>10075</v>
      </c>
      <c r="F2469">
        <v>11356</v>
      </c>
      <c r="G2469" t="s">
        <v>10092</v>
      </c>
      <c r="H2469" t="s">
        <v>10095</v>
      </c>
      <c r="I2469" t="s">
        <v>10168</v>
      </c>
      <c r="J2469" t="s">
        <v>10212</v>
      </c>
      <c r="K2469" t="s">
        <v>10217</v>
      </c>
      <c r="M2469" t="s">
        <v>10343</v>
      </c>
      <c r="N2469" t="s">
        <v>10695</v>
      </c>
      <c r="P2469" t="s">
        <v>10749</v>
      </c>
      <c r="Q2469" t="s">
        <v>10765</v>
      </c>
      <c r="R2469" t="s">
        <v>10821</v>
      </c>
      <c r="T2469">
        <v>32184</v>
      </c>
      <c r="U2469">
        <v>2682</v>
      </c>
      <c r="V2469">
        <v>62</v>
      </c>
      <c r="W2469">
        <v>3</v>
      </c>
      <c r="X2469">
        <v>0</v>
      </c>
      <c r="Z2469">
        <v>150.89</v>
      </c>
      <c r="AA2469">
        <v>0</v>
      </c>
      <c r="AB2469">
        <v>0</v>
      </c>
      <c r="AD2469" t="s">
        <v>10840</v>
      </c>
      <c r="AG2469" t="s">
        <v>10858</v>
      </c>
      <c r="AH2469" t="s">
        <v>10862</v>
      </c>
      <c r="AI2469">
        <v>237</v>
      </c>
      <c r="AJ2469" t="s">
        <v>10212</v>
      </c>
      <c r="AL2469">
        <v>1</v>
      </c>
      <c r="AR2469" t="s">
        <v>11464</v>
      </c>
      <c r="AS2469" t="s">
        <v>11594</v>
      </c>
      <c r="AT2469" t="s">
        <v>11642</v>
      </c>
      <c r="AX2469" t="s">
        <v>10838</v>
      </c>
      <c r="BA2469" t="s">
        <v>11740</v>
      </c>
      <c r="BB2469">
        <v>0</v>
      </c>
      <c r="BC2469">
        <v>0</v>
      </c>
      <c r="BD2469">
        <v>0</v>
      </c>
      <c r="BE2469">
        <v>0</v>
      </c>
      <c r="BF2469">
        <v>2</v>
      </c>
      <c r="BG2469">
        <v>0</v>
      </c>
    </row>
    <row r="2470" spans="1:59">
      <c r="A2470" s="1">
        <f>HYPERLINK("https://lsnyc.legalserver.org/matter/dynamic-profile/view/1906440","19-1906440")</f>
        <v>0</v>
      </c>
      <c r="B2470" t="s">
        <v>2090</v>
      </c>
      <c r="C2470" t="s">
        <v>6885</v>
      </c>
      <c r="D2470" t="s">
        <v>9955</v>
      </c>
      <c r="E2470" t="s">
        <v>10075</v>
      </c>
      <c r="F2470">
        <v>11692</v>
      </c>
      <c r="G2470" t="s">
        <v>10092</v>
      </c>
      <c r="H2470" t="s">
        <v>10095</v>
      </c>
      <c r="J2470" t="s">
        <v>10212</v>
      </c>
      <c r="K2470" t="s">
        <v>10217</v>
      </c>
      <c r="M2470" t="s">
        <v>10325</v>
      </c>
      <c r="N2470" t="s">
        <v>10676</v>
      </c>
      <c r="P2470" t="s">
        <v>10757</v>
      </c>
      <c r="Q2470" t="s">
        <v>10789</v>
      </c>
      <c r="R2470" t="s">
        <v>10824</v>
      </c>
      <c r="T2470">
        <v>13611.6</v>
      </c>
      <c r="U2470">
        <v>1134.3</v>
      </c>
      <c r="V2470">
        <v>35</v>
      </c>
      <c r="W2470">
        <v>1</v>
      </c>
      <c r="X2470">
        <v>0</v>
      </c>
      <c r="Z2470">
        <v>108.98</v>
      </c>
      <c r="AA2470">
        <v>40.597107</v>
      </c>
      <c r="AB2470">
        <v>-73.787963</v>
      </c>
      <c r="AD2470" t="s">
        <v>10840</v>
      </c>
      <c r="AG2470" t="s">
        <v>10858</v>
      </c>
      <c r="AH2470" t="s">
        <v>10874</v>
      </c>
      <c r="AI2470">
        <v>237</v>
      </c>
      <c r="AJ2470" t="s">
        <v>10212</v>
      </c>
      <c r="AL2470">
        <v>1.5</v>
      </c>
      <c r="AM2470" t="s">
        <v>10892</v>
      </c>
      <c r="AN2470" t="s">
        <v>10930</v>
      </c>
      <c r="AO2470" t="s">
        <v>11017</v>
      </c>
      <c r="AP2470" t="s">
        <v>11082</v>
      </c>
      <c r="AQ2470" t="s">
        <v>11145</v>
      </c>
      <c r="AR2470" t="s">
        <v>11296</v>
      </c>
      <c r="AS2470" t="s">
        <v>11594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</row>
    <row r="2471" spans="1:59">
      <c r="A2471" s="1">
        <f>HYPERLINK("https://lsnyc.legalserver.org/matter/dynamic-profile/view/1906441","19-1906441")</f>
        <v>0</v>
      </c>
      <c r="B2471" t="s">
        <v>2091</v>
      </c>
      <c r="C2471" t="s">
        <v>6886</v>
      </c>
      <c r="D2471" t="s">
        <v>9951</v>
      </c>
      <c r="E2471" t="s">
        <v>10075</v>
      </c>
      <c r="F2471">
        <v>11417</v>
      </c>
      <c r="G2471" t="s">
        <v>10092</v>
      </c>
      <c r="H2471" t="s">
        <v>10095</v>
      </c>
      <c r="I2471" t="s">
        <v>10168</v>
      </c>
      <c r="J2471" t="s">
        <v>10212</v>
      </c>
      <c r="K2471" t="s">
        <v>10217</v>
      </c>
      <c r="M2471" t="s">
        <v>10318</v>
      </c>
      <c r="N2471" t="s">
        <v>10671</v>
      </c>
      <c r="P2471" t="s">
        <v>10749</v>
      </c>
      <c r="Q2471" t="s">
        <v>10791</v>
      </c>
      <c r="R2471" t="s">
        <v>10827</v>
      </c>
      <c r="T2471">
        <v>7404</v>
      </c>
      <c r="U2471">
        <v>617</v>
      </c>
      <c r="V2471">
        <v>68</v>
      </c>
      <c r="W2471">
        <v>1</v>
      </c>
      <c r="X2471">
        <v>0</v>
      </c>
      <c r="Z2471">
        <v>59.28</v>
      </c>
      <c r="AA2471">
        <v>40.681574</v>
      </c>
      <c r="AB2471">
        <v>-73.842471</v>
      </c>
      <c r="AD2471" t="s">
        <v>10839</v>
      </c>
      <c r="AG2471" t="s">
        <v>10858</v>
      </c>
      <c r="AH2471" t="s">
        <v>10862</v>
      </c>
      <c r="AI2471">
        <v>237</v>
      </c>
      <c r="AJ2471" t="s">
        <v>10212</v>
      </c>
      <c r="AL2471">
        <v>1.75</v>
      </c>
      <c r="AM2471" t="s">
        <v>10889</v>
      </c>
      <c r="AN2471" t="s">
        <v>10945</v>
      </c>
      <c r="AO2471" t="s">
        <v>11024</v>
      </c>
      <c r="AP2471" t="s">
        <v>11088</v>
      </c>
      <c r="AQ2471" t="s">
        <v>11100</v>
      </c>
      <c r="AR2471" t="s">
        <v>11268</v>
      </c>
      <c r="AS2471" t="s">
        <v>11594</v>
      </c>
      <c r="AT2471" t="s">
        <v>11641</v>
      </c>
      <c r="AX2471" t="s">
        <v>10838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</row>
    <row r="2472" spans="1:59">
      <c r="A2472" s="1">
        <f>HYPERLINK("https://lsnyc.legalserver.org/matter/dynamic-profile/view/1906442","19-1906442")</f>
        <v>0</v>
      </c>
      <c r="B2472" t="s">
        <v>2092</v>
      </c>
      <c r="C2472" t="s">
        <v>6887</v>
      </c>
      <c r="D2472" t="s">
        <v>9925</v>
      </c>
      <c r="E2472" t="s">
        <v>10075</v>
      </c>
      <c r="F2472">
        <v>10001</v>
      </c>
      <c r="G2472" t="s">
        <v>10089</v>
      </c>
      <c r="H2472" t="s">
        <v>10095</v>
      </c>
      <c r="I2472" t="s">
        <v>10168</v>
      </c>
      <c r="J2472" t="s">
        <v>10209</v>
      </c>
      <c r="K2472" t="s">
        <v>10217</v>
      </c>
      <c r="M2472" t="s">
        <v>10472</v>
      </c>
      <c r="N2472" t="s">
        <v>10671</v>
      </c>
      <c r="P2472" t="s">
        <v>10751</v>
      </c>
      <c r="Q2472" t="s">
        <v>10761</v>
      </c>
      <c r="R2472" t="s">
        <v>10827</v>
      </c>
      <c r="T2472">
        <v>2304</v>
      </c>
      <c r="U2472">
        <v>192</v>
      </c>
      <c r="V2472">
        <v>57</v>
      </c>
      <c r="W2472">
        <v>1</v>
      </c>
      <c r="X2472">
        <v>0</v>
      </c>
      <c r="Z2472">
        <v>18.45</v>
      </c>
      <c r="AA2472">
        <v>40.75235</v>
      </c>
      <c r="AB2472">
        <v>-73.99677699999999</v>
      </c>
      <c r="AD2472" t="s">
        <v>10840</v>
      </c>
      <c r="AG2472" t="s">
        <v>10858</v>
      </c>
      <c r="AH2472" t="s">
        <v>10861</v>
      </c>
      <c r="AI2472">
        <v>234</v>
      </c>
      <c r="AJ2472" t="s">
        <v>10214</v>
      </c>
      <c r="AL2472">
        <v>1.75</v>
      </c>
      <c r="AM2472" t="s">
        <v>10894</v>
      </c>
      <c r="AN2472" t="s">
        <v>10966</v>
      </c>
      <c r="AO2472" t="s">
        <v>11019</v>
      </c>
      <c r="AP2472" t="s">
        <v>11090</v>
      </c>
      <c r="AR2472" t="s">
        <v>11279</v>
      </c>
      <c r="AS2472" t="s">
        <v>9925</v>
      </c>
      <c r="AT2472" t="s">
        <v>11642</v>
      </c>
      <c r="AX2472" t="s">
        <v>10838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</row>
    <row r="2473" spans="1:59">
      <c r="A2473" s="1">
        <f>HYPERLINK("https://lsnyc.legalserver.org/matter/dynamic-profile/view/1906443","19-1906443")</f>
        <v>0</v>
      </c>
      <c r="B2473" t="s">
        <v>2093</v>
      </c>
      <c r="C2473" t="s">
        <v>6888</v>
      </c>
      <c r="D2473" t="s">
        <v>9925</v>
      </c>
      <c r="E2473" t="s">
        <v>10075</v>
      </c>
      <c r="F2473">
        <v>10019</v>
      </c>
      <c r="G2473" t="s">
        <v>10089</v>
      </c>
      <c r="H2473" t="s">
        <v>10095</v>
      </c>
      <c r="I2473" t="s">
        <v>10168</v>
      </c>
      <c r="J2473" t="s">
        <v>10209</v>
      </c>
      <c r="K2473" t="s">
        <v>10218</v>
      </c>
      <c r="L2473" t="s">
        <v>10135</v>
      </c>
      <c r="M2473" t="s">
        <v>10402</v>
      </c>
      <c r="N2473" t="s">
        <v>10707</v>
      </c>
      <c r="P2473" t="s">
        <v>10749</v>
      </c>
      <c r="Q2473" t="s">
        <v>10765</v>
      </c>
      <c r="R2473" t="s">
        <v>10820</v>
      </c>
      <c r="T2473">
        <v>0</v>
      </c>
      <c r="U2473">
        <v>0</v>
      </c>
      <c r="V2473">
        <v>55</v>
      </c>
      <c r="W2473">
        <v>1</v>
      </c>
      <c r="X2473">
        <v>0</v>
      </c>
      <c r="Y2473" t="s">
        <v>10834</v>
      </c>
      <c r="Z2473">
        <v>0</v>
      </c>
      <c r="AA2473">
        <v>40.766653</v>
      </c>
      <c r="AB2473">
        <v>-73.99209399999999</v>
      </c>
      <c r="AD2473" t="s">
        <v>10840</v>
      </c>
      <c r="AG2473" t="s">
        <v>10858</v>
      </c>
      <c r="AH2473" t="s">
        <v>10868</v>
      </c>
      <c r="AI2473">
        <v>236</v>
      </c>
      <c r="AJ2473" t="s">
        <v>10209</v>
      </c>
      <c r="AK2473" t="s">
        <v>10838</v>
      </c>
      <c r="AL2473">
        <v>5.25</v>
      </c>
      <c r="AM2473" t="s">
        <v>10894</v>
      </c>
      <c r="AN2473" t="s">
        <v>10964</v>
      </c>
      <c r="AO2473" t="s">
        <v>11021</v>
      </c>
      <c r="AP2473" t="s">
        <v>11090</v>
      </c>
      <c r="AQ2473" t="s">
        <v>11101</v>
      </c>
      <c r="AR2473" t="s">
        <v>11267</v>
      </c>
      <c r="AS2473" t="s">
        <v>9925</v>
      </c>
      <c r="AT2473" t="s">
        <v>11642</v>
      </c>
      <c r="AX2473" t="s">
        <v>10838</v>
      </c>
      <c r="AY2473" t="s">
        <v>10834</v>
      </c>
      <c r="AZ2473" t="s">
        <v>11706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</row>
    <row r="2474" spans="1:59">
      <c r="A2474" s="1">
        <f>HYPERLINK("https://lsnyc.legalserver.org/matter/dynamic-profile/view/1906444","19-1906444")</f>
        <v>0</v>
      </c>
      <c r="B2474" t="s">
        <v>2094</v>
      </c>
      <c r="C2474" t="s">
        <v>6889</v>
      </c>
      <c r="D2474" t="s">
        <v>9928</v>
      </c>
      <c r="E2474" t="s">
        <v>10075</v>
      </c>
      <c r="F2474">
        <v>11216</v>
      </c>
      <c r="G2474" t="s">
        <v>10093</v>
      </c>
      <c r="H2474" t="s">
        <v>10147</v>
      </c>
      <c r="I2474" t="s">
        <v>10168</v>
      </c>
      <c r="J2474" t="s">
        <v>10213</v>
      </c>
      <c r="K2474" t="s">
        <v>10217</v>
      </c>
      <c r="M2474" t="s">
        <v>10249</v>
      </c>
      <c r="N2474" t="s">
        <v>10653</v>
      </c>
      <c r="P2474" t="s">
        <v>10749</v>
      </c>
      <c r="Q2474" t="s">
        <v>10759</v>
      </c>
      <c r="R2474" t="s">
        <v>10824</v>
      </c>
      <c r="T2474">
        <v>48000</v>
      </c>
      <c r="U2474">
        <v>4000</v>
      </c>
      <c r="V2474">
        <v>65</v>
      </c>
      <c r="W2474">
        <v>4</v>
      </c>
      <c r="X2474">
        <v>0</v>
      </c>
      <c r="Z2474">
        <v>186.41</v>
      </c>
      <c r="AA2474">
        <v>40.673072</v>
      </c>
      <c r="AB2474">
        <v>-73.948745</v>
      </c>
      <c r="AC2474" t="s">
        <v>10837</v>
      </c>
      <c r="AD2474" t="s">
        <v>10839</v>
      </c>
      <c r="AG2474" t="s">
        <v>10858</v>
      </c>
      <c r="AH2474" t="s">
        <v>10860</v>
      </c>
      <c r="AI2474">
        <v>239</v>
      </c>
      <c r="AJ2474" t="s">
        <v>10213</v>
      </c>
      <c r="AL2474">
        <v>7.8</v>
      </c>
      <c r="AM2474" t="s">
        <v>10888</v>
      </c>
      <c r="AN2474" t="s">
        <v>10912</v>
      </c>
      <c r="AO2474" t="s">
        <v>11007</v>
      </c>
      <c r="AP2474" t="s">
        <v>11052</v>
      </c>
      <c r="AQ2474" t="s">
        <v>11098</v>
      </c>
      <c r="AR2474" t="s">
        <v>11377</v>
      </c>
      <c r="AS2474" t="s">
        <v>11595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</row>
    <row r="2475" spans="1:59">
      <c r="A2475" s="1">
        <f>HYPERLINK("https://lsnyc.legalserver.org/matter/dynamic-profile/view/1906445","19-1906445")</f>
        <v>0</v>
      </c>
      <c r="B2475" t="s">
        <v>2095</v>
      </c>
      <c r="C2475" t="s">
        <v>6890</v>
      </c>
      <c r="D2475" t="s">
        <v>9965</v>
      </c>
      <c r="E2475" t="s">
        <v>10075</v>
      </c>
      <c r="F2475">
        <v>11109</v>
      </c>
      <c r="G2475" t="s">
        <v>10092</v>
      </c>
      <c r="H2475" t="s">
        <v>10095</v>
      </c>
      <c r="I2475" t="s">
        <v>10168</v>
      </c>
      <c r="J2475" t="s">
        <v>10212</v>
      </c>
      <c r="K2475" t="s">
        <v>10218</v>
      </c>
      <c r="L2475" t="s">
        <v>10156</v>
      </c>
      <c r="M2475" t="s">
        <v>10260</v>
      </c>
      <c r="N2475" t="s">
        <v>10665</v>
      </c>
      <c r="P2475" t="s">
        <v>10751</v>
      </c>
      <c r="Q2475" t="s">
        <v>10773</v>
      </c>
      <c r="R2475" t="s">
        <v>10821</v>
      </c>
      <c r="T2475">
        <v>14560</v>
      </c>
      <c r="U2475">
        <v>1213.33</v>
      </c>
      <c r="V2475">
        <v>39</v>
      </c>
      <c r="W2475">
        <v>1</v>
      </c>
      <c r="X2475">
        <v>0</v>
      </c>
      <c r="Y2475" t="s">
        <v>10829</v>
      </c>
      <c r="Z2475">
        <v>116.57</v>
      </c>
      <c r="AA2475">
        <v>40.744476</v>
      </c>
      <c r="AB2475">
        <v>-73.95701800000001</v>
      </c>
      <c r="AD2475" t="s">
        <v>10840</v>
      </c>
      <c r="AG2475" t="s">
        <v>10858</v>
      </c>
      <c r="AH2475" t="s">
        <v>10861</v>
      </c>
      <c r="AI2475">
        <v>234</v>
      </c>
      <c r="AJ2475" t="s">
        <v>10214</v>
      </c>
      <c r="AK2475" t="s">
        <v>10838</v>
      </c>
      <c r="AL2475">
        <v>1.25</v>
      </c>
      <c r="AM2475" t="s">
        <v>10891</v>
      </c>
      <c r="AN2475" t="s">
        <v>10961</v>
      </c>
      <c r="AO2475" t="s">
        <v>11003</v>
      </c>
      <c r="AP2475" t="s">
        <v>11047</v>
      </c>
      <c r="AR2475" t="s">
        <v>11293</v>
      </c>
      <c r="AS2475" t="s">
        <v>11594</v>
      </c>
      <c r="AT2475" t="s">
        <v>11642</v>
      </c>
      <c r="AX2475" t="s">
        <v>10838</v>
      </c>
      <c r="AY2475" t="s">
        <v>10829</v>
      </c>
      <c r="AZ2475" t="s">
        <v>11682</v>
      </c>
      <c r="BA2475" t="s">
        <v>11741</v>
      </c>
      <c r="BB2475">
        <v>0</v>
      </c>
      <c r="BC2475">
        <v>0</v>
      </c>
      <c r="BD2475">
        <v>0</v>
      </c>
      <c r="BE2475">
        <v>0</v>
      </c>
      <c r="BF2475">
        <v>1</v>
      </c>
      <c r="BG2475">
        <v>0</v>
      </c>
    </row>
    <row r="2476" spans="1:59">
      <c r="A2476" s="1">
        <f>HYPERLINK("https://lsnyc.legalserver.org/matter/dynamic-profile/view/1906446","19-1906446")</f>
        <v>0</v>
      </c>
      <c r="B2476" t="s">
        <v>2096</v>
      </c>
      <c r="C2476" t="s">
        <v>6891</v>
      </c>
      <c r="D2476" t="s">
        <v>9925</v>
      </c>
      <c r="E2476" t="s">
        <v>10075</v>
      </c>
      <c r="F2476">
        <v>10038</v>
      </c>
      <c r="G2476" t="s">
        <v>10089</v>
      </c>
      <c r="H2476" t="s">
        <v>10095</v>
      </c>
      <c r="J2476" t="s">
        <v>10209</v>
      </c>
      <c r="K2476" t="s">
        <v>10218</v>
      </c>
      <c r="L2476" t="s">
        <v>10096</v>
      </c>
      <c r="M2476" t="s">
        <v>10394</v>
      </c>
      <c r="N2476" t="s">
        <v>10691</v>
      </c>
      <c r="P2476" t="s">
        <v>10757</v>
      </c>
      <c r="Q2476" t="s">
        <v>10789</v>
      </c>
      <c r="R2476" t="s">
        <v>10827</v>
      </c>
      <c r="T2476">
        <v>15600</v>
      </c>
      <c r="U2476">
        <v>1300</v>
      </c>
      <c r="V2476">
        <v>59</v>
      </c>
      <c r="W2476">
        <v>1</v>
      </c>
      <c r="X2476">
        <v>0</v>
      </c>
      <c r="Y2476" t="s">
        <v>10829</v>
      </c>
      <c r="Z2476">
        <v>124.9</v>
      </c>
      <c r="AA2476">
        <v>40.708202</v>
      </c>
      <c r="AB2476">
        <v>-74.003801</v>
      </c>
      <c r="AD2476" t="s">
        <v>10840</v>
      </c>
      <c r="AG2476" t="s">
        <v>10858</v>
      </c>
      <c r="AH2476" t="s">
        <v>10874</v>
      </c>
      <c r="AI2476">
        <v>236</v>
      </c>
      <c r="AJ2476" t="s">
        <v>10209</v>
      </c>
      <c r="AK2476" t="s">
        <v>10838</v>
      </c>
      <c r="AL2476">
        <v>0.5</v>
      </c>
      <c r="AM2476" t="s">
        <v>10894</v>
      </c>
      <c r="AN2476" t="s">
        <v>10963</v>
      </c>
      <c r="AO2476" t="s">
        <v>11004</v>
      </c>
      <c r="AP2476" t="s">
        <v>11093</v>
      </c>
      <c r="AR2476" t="s">
        <v>11268</v>
      </c>
      <c r="AS2476" t="s">
        <v>9925</v>
      </c>
      <c r="AY2476" t="s">
        <v>10829</v>
      </c>
      <c r="AZ2476" t="s">
        <v>11703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</row>
    <row r="2477" spans="1:59">
      <c r="A2477" s="1">
        <f>HYPERLINK("https://lsnyc.legalserver.org/matter/dynamic-profile/view/1906448","19-1906448")</f>
        <v>0</v>
      </c>
      <c r="B2477" t="s">
        <v>2097</v>
      </c>
      <c r="C2477" t="s">
        <v>6892</v>
      </c>
      <c r="D2477" t="s">
        <v>9953</v>
      </c>
      <c r="E2477" t="s">
        <v>10075</v>
      </c>
      <c r="F2477">
        <v>11104</v>
      </c>
      <c r="G2477" t="s">
        <v>10091</v>
      </c>
      <c r="H2477" t="s">
        <v>10095</v>
      </c>
      <c r="I2477" t="s">
        <v>10169</v>
      </c>
      <c r="J2477" t="s">
        <v>10211</v>
      </c>
      <c r="K2477" t="s">
        <v>10217</v>
      </c>
      <c r="M2477" t="s">
        <v>10231</v>
      </c>
      <c r="N2477" t="s">
        <v>10647</v>
      </c>
      <c r="P2477" t="s">
        <v>10752</v>
      </c>
      <c r="Q2477" t="s">
        <v>10762</v>
      </c>
      <c r="R2477" t="s">
        <v>10823</v>
      </c>
      <c r="T2477">
        <v>0</v>
      </c>
      <c r="U2477">
        <v>0</v>
      </c>
      <c r="V2477">
        <v>48</v>
      </c>
      <c r="W2477">
        <v>1</v>
      </c>
      <c r="X2477">
        <v>0</v>
      </c>
      <c r="Z2477">
        <v>0</v>
      </c>
      <c r="AA2477">
        <v>40.743727</v>
      </c>
      <c r="AB2477">
        <v>-73.91780300000001</v>
      </c>
      <c r="AD2477" t="s">
        <v>10840</v>
      </c>
      <c r="AG2477" t="s">
        <v>10858</v>
      </c>
      <c r="AH2477" t="s">
        <v>10861</v>
      </c>
      <c r="AI2477">
        <v>234</v>
      </c>
      <c r="AJ2477" t="s">
        <v>10214</v>
      </c>
      <c r="AL2477">
        <v>0.8</v>
      </c>
      <c r="AM2477" t="s">
        <v>10885</v>
      </c>
      <c r="AN2477" t="s">
        <v>10961</v>
      </c>
      <c r="AO2477" t="s">
        <v>11003</v>
      </c>
      <c r="AP2477" t="s">
        <v>11047</v>
      </c>
      <c r="AR2477" t="s">
        <v>11267</v>
      </c>
      <c r="AS2477" t="s">
        <v>11594</v>
      </c>
      <c r="AT2477" t="s">
        <v>11641</v>
      </c>
      <c r="AX2477" t="s">
        <v>10838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</row>
    <row r="2478" spans="1:59">
      <c r="A2478" s="1">
        <f>HYPERLINK("https://lsnyc.legalserver.org/matter/dynamic-profile/view/1906449","19-1906449")</f>
        <v>0</v>
      </c>
      <c r="B2478" t="s">
        <v>2098</v>
      </c>
      <c r="C2478" t="s">
        <v>6893</v>
      </c>
      <c r="D2478" t="s">
        <v>9928</v>
      </c>
      <c r="E2478" t="s">
        <v>10075</v>
      </c>
      <c r="F2478">
        <v>11239</v>
      </c>
      <c r="G2478" t="s">
        <v>10093</v>
      </c>
      <c r="H2478" t="s">
        <v>10095</v>
      </c>
      <c r="I2478" t="s">
        <v>10168</v>
      </c>
      <c r="J2478" t="s">
        <v>10213</v>
      </c>
      <c r="K2478" t="s">
        <v>10217</v>
      </c>
      <c r="M2478" t="s">
        <v>10505</v>
      </c>
      <c r="N2478" t="s">
        <v>10650</v>
      </c>
      <c r="P2478" t="s">
        <v>10749</v>
      </c>
      <c r="Q2478" t="s">
        <v>10765</v>
      </c>
      <c r="R2478" t="s">
        <v>10824</v>
      </c>
      <c r="T2478">
        <v>23400</v>
      </c>
      <c r="U2478">
        <v>1950</v>
      </c>
      <c r="V2478">
        <v>48</v>
      </c>
      <c r="W2478">
        <v>1</v>
      </c>
      <c r="X2478">
        <v>0</v>
      </c>
      <c r="Z2478">
        <v>187.35</v>
      </c>
      <c r="AA2478">
        <v>40.649682</v>
      </c>
      <c r="AB2478">
        <v>-73.880911</v>
      </c>
      <c r="AC2478" t="s">
        <v>10838</v>
      </c>
      <c r="AD2478" t="s">
        <v>10839</v>
      </c>
      <c r="AG2478" t="s">
        <v>10858</v>
      </c>
      <c r="AH2478" t="s">
        <v>10871</v>
      </c>
      <c r="AI2478">
        <v>234</v>
      </c>
      <c r="AJ2478" t="s">
        <v>10214</v>
      </c>
      <c r="AL2478">
        <v>4.3</v>
      </c>
      <c r="AM2478" t="s">
        <v>10889</v>
      </c>
      <c r="AN2478" t="s">
        <v>10946</v>
      </c>
      <c r="AO2478" t="s">
        <v>11012</v>
      </c>
      <c r="AP2478" t="s">
        <v>11060</v>
      </c>
      <c r="AR2478" t="s">
        <v>11293</v>
      </c>
      <c r="AS2478" t="s">
        <v>11595</v>
      </c>
      <c r="AT2478" t="s">
        <v>11641</v>
      </c>
      <c r="AX2478" t="s">
        <v>10838</v>
      </c>
      <c r="BA2478" t="s">
        <v>11738</v>
      </c>
      <c r="BB2478">
        <v>0</v>
      </c>
      <c r="BC2478">
        <v>0</v>
      </c>
      <c r="BD2478">
        <v>0</v>
      </c>
      <c r="BE2478">
        <v>0</v>
      </c>
      <c r="BF2478">
        <v>5</v>
      </c>
      <c r="BG2478">
        <v>0</v>
      </c>
    </row>
    <row r="2479" spans="1:59">
      <c r="A2479" s="1">
        <f>HYPERLINK("https://lsnyc.legalserver.org/matter/dynamic-profile/view/1906450","19-1906450")</f>
        <v>0</v>
      </c>
      <c r="B2479" t="s">
        <v>2099</v>
      </c>
      <c r="C2479" t="s">
        <v>6894</v>
      </c>
      <c r="D2479" t="s">
        <v>10010</v>
      </c>
      <c r="E2479" t="s">
        <v>10078</v>
      </c>
      <c r="F2479">
        <v>33023</v>
      </c>
      <c r="G2479" t="s">
        <v>10092</v>
      </c>
      <c r="H2479" t="s">
        <v>10095</v>
      </c>
      <c r="I2479" t="s">
        <v>10168</v>
      </c>
      <c r="J2479" t="s">
        <v>10212</v>
      </c>
      <c r="K2479" t="s">
        <v>10217</v>
      </c>
      <c r="M2479" t="s">
        <v>10331</v>
      </c>
      <c r="N2479" t="s">
        <v>10671</v>
      </c>
      <c r="P2479" t="s">
        <v>10749</v>
      </c>
      <c r="Q2479" t="s">
        <v>10769</v>
      </c>
      <c r="R2479" t="s">
        <v>10824</v>
      </c>
      <c r="T2479">
        <v>24856.32</v>
      </c>
      <c r="U2479">
        <v>2071.36</v>
      </c>
      <c r="V2479">
        <v>53</v>
      </c>
      <c r="W2479">
        <v>1</v>
      </c>
      <c r="X2479">
        <v>0</v>
      </c>
      <c r="Z2479">
        <v>199.01</v>
      </c>
      <c r="AA2479">
        <v>25.998844</v>
      </c>
      <c r="AB2479">
        <v>-80.21293799999999</v>
      </c>
      <c r="AC2479" t="s">
        <v>10837</v>
      </c>
      <c r="AD2479" t="s">
        <v>10840</v>
      </c>
      <c r="AG2479" t="s">
        <v>10858</v>
      </c>
      <c r="AH2479" t="s">
        <v>10861</v>
      </c>
      <c r="AI2479">
        <v>234</v>
      </c>
      <c r="AJ2479" t="s">
        <v>10214</v>
      </c>
      <c r="AL2479">
        <v>0.95</v>
      </c>
      <c r="AQ2479" t="s">
        <v>11199</v>
      </c>
      <c r="AR2479" t="s">
        <v>11465</v>
      </c>
      <c r="AS2479" t="s">
        <v>11594</v>
      </c>
      <c r="AT2479" t="s">
        <v>11641</v>
      </c>
      <c r="AX2479" t="s">
        <v>10837</v>
      </c>
      <c r="BA2479" t="s">
        <v>11742</v>
      </c>
      <c r="BB2479">
        <v>0</v>
      </c>
      <c r="BC2479">
        <v>0</v>
      </c>
      <c r="BD2479">
        <v>0</v>
      </c>
      <c r="BE2479">
        <v>0</v>
      </c>
      <c r="BF2479">
        <v>7</v>
      </c>
      <c r="BG2479">
        <v>0</v>
      </c>
    </row>
    <row r="2480" spans="1:59">
      <c r="A2480" s="1">
        <f>HYPERLINK("https://lsnyc.legalserver.org/matter/dynamic-profile/view/1906451","19-1906451")</f>
        <v>0</v>
      </c>
      <c r="B2480" t="s">
        <v>2100</v>
      </c>
      <c r="C2480" t="s">
        <v>6895</v>
      </c>
      <c r="D2480" t="s">
        <v>9926</v>
      </c>
      <c r="E2480" t="s">
        <v>10075</v>
      </c>
      <c r="F2480">
        <v>10472</v>
      </c>
      <c r="G2480" t="s">
        <v>10090</v>
      </c>
      <c r="H2480" t="s">
        <v>10095</v>
      </c>
      <c r="I2480" t="s">
        <v>10168</v>
      </c>
      <c r="J2480" t="s">
        <v>10210</v>
      </c>
      <c r="K2480" t="s">
        <v>10218</v>
      </c>
      <c r="L2480" t="s">
        <v>10145</v>
      </c>
      <c r="M2480" t="s">
        <v>10498</v>
      </c>
      <c r="N2480" t="s">
        <v>10650</v>
      </c>
      <c r="P2480" t="s">
        <v>10749</v>
      </c>
      <c r="Q2480" t="s">
        <v>10791</v>
      </c>
      <c r="R2480" t="s">
        <v>10821</v>
      </c>
      <c r="T2480">
        <v>10296</v>
      </c>
      <c r="U2480">
        <v>858</v>
      </c>
      <c r="V2480">
        <v>57</v>
      </c>
      <c r="W2480">
        <v>1</v>
      </c>
      <c r="X2480">
        <v>0</v>
      </c>
      <c r="Y2480" t="s">
        <v>10830</v>
      </c>
      <c r="Z2480">
        <v>82.43000000000001</v>
      </c>
      <c r="AA2480">
        <v>40.829254</v>
      </c>
      <c r="AB2480">
        <v>-73.879074</v>
      </c>
      <c r="AD2480" t="s">
        <v>10840</v>
      </c>
      <c r="AG2480" t="s">
        <v>10858</v>
      </c>
      <c r="AH2480" t="s">
        <v>10862</v>
      </c>
      <c r="AI2480">
        <v>230</v>
      </c>
      <c r="AJ2480" t="s">
        <v>10210</v>
      </c>
      <c r="AK2480" t="s">
        <v>10838</v>
      </c>
      <c r="AL2480">
        <v>2.5</v>
      </c>
      <c r="AM2480" t="s">
        <v>10884</v>
      </c>
      <c r="AN2480" t="s">
        <v>10968</v>
      </c>
      <c r="AO2480" t="s">
        <v>11001</v>
      </c>
      <c r="AP2480" t="s">
        <v>11046</v>
      </c>
      <c r="AQ2480" t="s">
        <v>11123</v>
      </c>
      <c r="AR2480" t="s">
        <v>11268</v>
      </c>
      <c r="AS2480" t="s">
        <v>9926</v>
      </c>
      <c r="AY2480" t="s">
        <v>10830</v>
      </c>
      <c r="AZ2480" t="s">
        <v>11681</v>
      </c>
      <c r="BA2480" t="s">
        <v>11740</v>
      </c>
      <c r="BB2480">
        <v>0</v>
      </c>
      <c r="BC2480">
        <v>0</v>
      </c>
      <c r="BD2480">
        <v>0</v>
      </c>
      <c r="BE2480">
        <v>0</v>
      </c>
      <c r="BF2480">
        <v>2</v>
      </c>
      <c r="BG2480">
        <v>0</v>
      </c>
    </row>
    <row r="2481" spans="1:59">
      <c r="A2481" s="1">
        <f>HYPERLINK("https://lsnyc.legalserver.org/matter/dynamic-profile/view/1906452","19-1906452")</f>
        <v>0</v>
      </c>
      <c r="B2481" t="s">
        <v>2101</v>
      </c>
      <c r="C2481" t="s">
        <v>6587</v>
      </c>
      <c r="D2481" t="s">
        <v>9926</v>
      </c>
      <c r="E2481" t="s">
        <v>10075</v>
      </c>
      <c r="F2481">
        <v>10451</v>
      </c>
      <c r="G2481" t="s">
        <v>10090</v>
      </c>
      <c r="H2481" t="s">
        <v>10143</v>
      </c>
      <c r="I2481" t="s">
        <v>10168</v>
      </c>
      <c r="J2481" t="s">
        <v>10210</v>
      </c>
      <c r="K2481" t="s">
        <v>10218</v>
      </c>
      <c r="L2481" t="s">
        <v>10143</v>
      </c>
      <c r="M2481" t="s">
        <v>10234</v>
      </c>
      <c r="N2481" t="s">
        <v>10650</v>
      </c>
      <c r="P2481" t="s">
        <v>10749</v>
      </c>
      <c r="Q2481" t="s">
        <v>10765</v>
      </c>
      <c r="R2481" t="s">
        <v>10824</v>
      </c>
      <c r="T2481">
        <v>8400</v>
      </c>
      <c r="U2481">
        <v>700</v>
      </c>
      <c r="V2481">
        <v>67</v>
      </c>
      <c r="W2481">
        <v>1</v>
      </c>
      <c r="X2481">
        <v>0</v>
      </c>
      <c r="Y2481" t="s">
        <v>10829</v>
      </c>
      <c r="Z2481">
        <v>67.25</v>
      </c>
      <c r="AA2481">
        <v>40.823195</v>
      </c>
      <c r="AB2481">
        <v>-73.924087</v>
      </c>
      <c r="AD2481" t="s">
        <v>10839</v>
      </c>
      <c r="AG2481" t="s">
        <v>10858</v>
      </c>
      <c r="AH2481" t="s">
        <v>10862</v>
      </c>
      <c r="AI2481">
        <v>230</v>
      </c>
      <c r="AJ2481" t="s">
        <v>10210</v>
      </c>
      <c r="AK2481" t="s">
        <v>10838</v>
      </c>
      <c r="AL2481">
        <v>3.75</v>
      </c>
      <c r="AM2481" t="s">
        <v>10884</v>
      </c>
      <c r="AN2481" t="s">
        <v>10924</v>
      </c>
      <c r="AO2481" t="s">
        <v>11013</v>
      </c>
      <c r="AP2481" t="s">
        <v>11062</v>
      </c>
      <c r="AQ2481" t="s">
        <v>11120</v>
      </c>
      <c r="AR2481" t="s">
        <v>11300</v>
      </c>
      <c r="AS2481" t="s">
        <v>9926</v>
      </c>
      <c r="AY2481" t="s">
        <v>10829</v>
      </c>
      <c r="AZ2481" t="s">
        <v>11681</v>
      </c>
      <c r="BA2481" t="s">
        <v>11740</v>
      </c>
      <c r="BB2481">
        <v>0</v>
      </c>
      <c r="BC2481">
        <v>0</v>
      </c>
      <c r="BD2481">
        <v>0</v>
      </c>
      <c r="BE2481">
        <v>0</v>
      </c>
      <c r="BF2481">
        <v>2</v>
      </c>
      <c r="BG2481">
        <v>0</v>
      </c>
    </row>
    <row r="2482" spans="1:59">
      <c r="A2482" s="1">
        <f>HYPERLINK("https://lsnyc.legalserver.org/matter/dynamic-profile/view/1906454","19-1906454")</f>
        <v>0</v>
      </c>
      <c r="B2482" t="s">
        <v>2102</v>
      </c>
      <c r="C2482" t="s">
        <v>6896</v>
      </c>
      <c r="D2482" t="s">
        <v>9926</v>
      </c>
      <c r="E2482" t="s">
        <v>10075</v>
      </c>
      <c r="F2482">
        <v>10452</v>
      </c>
      <c r="G2482" t="s">
        <v>10090</v>
      </c>
      <c r="H2482" t="s">
        <v>10145</v>
      </c>
      <c r="I2482" t="s">
        <v>10168</v>
      </c>
      <c r="J2482" t="s">
        <v>10210</v>
      </c>
      <c r="K2482" t="s">
        <v>10218</v>
      </c>
      <c r="L2482" t="s">
        <v>10143</v>
      </c>
      <c r="M2482" t="s">
        <v>10498</v>
      </c>
      <c r="N2482" t="s">
        <v>10650</v>
      </c>
      <c r="P2482" t="s">
        <v>10749</v>
      </c>
      <c r="Q2482" t="s">
        <v>10765</v>
      </c>
      <c r="R2482" t="s">
        <v>10821</v>
      </c>
      <c r="T2482">
        <v>41592</v>
      </c>
      <c r="U2482">
        <v>3466</v>
      </c>
      <c r="V2482">
        <v>27</v>
      </c>
      <c r="W2482">
        <v>1</v>
      </c>
      <c r="X2482">
        <v>0</v>
      </c>
      <c r="Y2482" t="s">
        <v>10829</v>
      </c>
      <c r="Z2482">
        <v>333</v>
      </c>
      <c r="AA2482">
        <v>40.834966</v>
      </c>
      <c r="AB2482">
        <v>-73.917872</v>
      </c>
      <c r="AD2482" t="s">
        <v>10840</v>
      </c>
      <c r="AG2482" t="s">
        <v>10858</v>
      </c>
      <c r="AH2482" t="s">
        <v>10862</v>
      </c>
      <c r="AI2482">
        <v>230</v>
      </c>
      <c r="AJ2482" t="s">
        <v>10210</v>
      </c>
      <c r="AK2482" t="s">
        <v>10838</v>
      </c>
      <c r="AL2482">
        <v>1.5</v>
      </c>
      <c r="AM2482" t="s">
        <v>10884</v>
      </c>
      <c r="AN2482" t="s">
        <v>10924</v>
      </c>
      <c r="AO2482" t="s">
        <v>11013</v>
      </c>
      <c r="AP2482" t="s">
        <v>11055</v>
      </c>
      <c r="AR2482" t="s">
        <v>11257</v>
      </c>
      <c r="AS2482" t="s">
        <v>9926</v>
      </c>
      <c r="AY2482" t="s">
        <v>10829</v>
      </c>
      <c r="AZ2482" t="s">
        <v>11681</v>
      </c>
      <c r="BA2482" t="s">
        <v>11740</v>
      </c>
      <c r="BB2482">
        <v>0</v>
      </c>
      <c r="BC2482">
        <v>0</v>
      </c>
      <c r="BD2482">
        <v>0</v>
      </c>
      <c r="BE2482">
        <v>0</v>
      </c>
      <c r="BF2482">
        <v>2</v>
      </c>
      <c r="BG2482">
        <v>0</v>
      </c>
    </row>
    <row r="2483" spans="1:59">
      <c r="A2483" s="1">
        <f>HYPERLINK("https://lsnyc.legalserver.org/matter/dynamic-profile/view/1906455","19-1906455")</f>
        <v>0</v>
      </c>
      <c r="B2483" t="s">
        <v>2103</v>
      </c>
      <c r="C2483" t="s">
        <v>6897</v>
      </c>
      <c r="D2483" t="s">
        <v>9928</v>
      </c>
      <c r="E2483" t="s">
        <v>10075</v>
      </c>
      <c r="F2483">
        <v>11220</v>
      </c>
      <c r="G2483" t="s">
        <v>10093</v>
      </c>
      <c r="H2483" t="s">
        <v>10095</v>
      </c>
      <c r="I2483" t="s">
        <v>10169</v>
      </c>
      <c r="J2483" t="s">
        <v>10213</v>
      </c>
      <c r="K2483" t="s">
        <v>10217</v>
      </c>
      <c r="M2483" t="s">
        <v>10253</v>
      </c>
      <c r="N2483" t="s">
        <v>10649</v>
      </c>
      <c r="P2483" t="s">
        <v>10753</v>
      </c>
      <c r="Q2483" t="s">
        <v>10763</v>
      </c>
      <c r="R2483" t="s">
        <v>10821</v>
      </c>
      <c r="T2483">
        <v>18156</v>
      </c>
      <c r="U2483">
        <v>1513</v>
      </c>
      <c r="V2483">
        <v>14</v>
      </c>
      <c r="W2483">
        <v>1</v>
      </c>
      <c r="X2483">
        <v>1</v>
      </c>
      <c r="Z2483">
        <v>107.37</v>
      </c>
      <c r="AA2483">
        <v>40.648274</v>
      </c>
      <c r="AB2483">
        <v>-74.00664999999999</v>
      </c>
      <c r="AD2483" t="s">
        <v>10840</v>
      </c>
      <c r="AF2483" t="s">
        <v>10851</v>
      </c>
      <c r="AG2483" t="s">
        <v>10859</v>
      </c>
      <c r="AH2483" t="s">
        <v>10864</v>
      </c>
      <c r="AI2483">
        <v>239</v>
      </c>
      <c r="AJ2483" t="s">
        <v>10213</v>
      </c>
      <c r="AL2483">
        <v>7.25</v>
      </c>
      <c r="AM2483" t="s">
        <v>10886</v>
      </c>
      <c r="AN2483" t="s">
        <v>10921</v>
      </c>
      <c r="AO2483" t="s">
        <v>11005</v>
      </c>
      <c r="AP2483" t="s">
        <v>11069</v>
      </c>
      <c r="AQ2483" t="s">
        <v>11109</v>
      </c>
      <c r="AR2483" t="s">
        <v>11281</v>
      </c>
      <c r="AS2483" t="s">
        <v>11595</v>
      </c>
      <c r="BA2483" t="s">
        <v>11739</v>
      </c>
      <c r="BB2483">
        <v>0</v>
      </c>
      <c r="BC2483">
        <v>0</v>
      </c>
      <c r="BD2483">
        <v>0</v>
      </c>
      <c r="BE2483">
        <v>0</v>
      </c>
      <c r="BF2483">
        <v>4</v>
      </c>
      <c r="BG2483">
        <v>0</v>
      </c>
    </row>
    <row r="2484" spans="1:59">
      <c r="A2484" s="1">
        <f>HYPERLINK("https://lsnyc.legalserver.org/matter/dynamic-profile/view/1906456","19-1906456")</f>
        <v>0</v>
      </c>
      <c r="B2484" t="s">
        <v>2104</v>
      </c>
      <c r="C2484" t="s">
        <v>6898</v>
      </c>
      <c r="D2484" t="s">
        <v>9928</v>
      </c>
      <c r="E2484" t="s">
        <v>10075</v>
      </c>
      <c r="F2484">
        <v>11211</v>
      </c>
      <c r="G2484" t="s">
        <v>10093</v>
      </c>
      <c r="H2484" t="s">
        <v>10095</v>
      </c>
      <c r="J2484" t="s">
        <v>10213</v>
      </c>
      <c r="K2484" t="s">
        <v>10217</v>
      </c>
      <c r="M2484" t="s">
        <v>10317</v>
      </c>
      <c r="N2484" t="s">
        <v>10698</v>
      </c>
      <c r="P2484" t="s">
        <v>10751</v>
      </c>
      <c r="Q2484" t="s">
        <v>10761</v>
      </c>
      <c r="R2484" t="s">
        <v>10825</v>
      </c>
      <c r="T2484">
        <v>4888</v>
      </c>
      <c r="U2484">
        <v>407.33</v>
      </c>
      <c r="V2484">
        <v>44</v>
      </c>
      <c r="W2484">
        <v>1</v>
      </c>
      <c r="X2484">
        <v>0</v>
      </c>
      <c r="Z2484">
        <v>39.14</v>
      </c>
      <c r="AA2484">
        <v>40.712672</v>
      </c>
      <c r="AB2484">
        <v>-73.955387</v>
      </c>
      <c r="AD2484" t="s">
        <v>10840</v>
      </c>
      <c r="AG2484" t="s">
        <v>10858</v>
      </c>
      <c r="AH2484" t="s">
        <v>10868</v>
      </c>
      <c r="AI2484">
        <v>239</v>
      </c>
      <c r="AJ2484" t="s">
        <v>10213</v>
      </c>
      <c r="AL2484">
        <v>7.5</v>
      </c>
      <c r="AM2484" t="s">
        <v>10886</v>
      </c>
      <c r="AN2484" t="s">
        <v>10942</v>
      </c>
      <c r="AO2484" t="s">
        <v>11011</v>
      </c>
      <c r="AP2484" t="s">
        <v>11071</v>
      </c>
      <c r="AR2484" t="s">
        <v>11255</v>
      </c>
      <c r="AS2484" t="s">
        <v>11595</v>
      </c>
      <c r="AT2484" t="s">
        <v>11642</v>
      </c>
      <c r="AX2484" t="s">
        <v>10837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</row>
    <row r="2485" spans="1:59">
      <c r="A2485" s="1">
        <f>HYPERLINK("https://lsnyc.legalserver.org/matter/dynamic-profile/view/1906457","19-1906457")</f>
        <v>0</v>
      </c>
      <c r="B2485" t="s">
        <v>2105</v>
      </c>
      <c r="C2485" t="s">
        <v>5020</v>
      </c>
      <c r="D2485" t="s">
        <v>9926</v>
      </c>
      <c r="E2485" t="s">
        <v>10075</v>
      </c>
      <c r="F2485">
        <v>10456</v>
      </c>
      <c r="G2485" t="s">
        <v>10090</v>
      </c>
      <c r="H2485" t="s">
        <v>10143</v>
      </c>
      <c r="I2485" t="s">
        <v>10168</v>
      </c>
      <c r="J2485" t="s">
        <v>10210</v>
      </c>
      <c r="K2485" t="s">
        <v>10218</v>
      </c>
      <c r="L2485" t="s">
        <v>10143</v>
      </c>
      <c r="M2485" t="s">
        <v>10498</v>
      </c>
      <c r="N2485" t="s">
        <v>10650</v>
      </c>
      <c r="P2485" t="s">
        <v>10749</v>
      </c>
      <c r="Q2485" t="s">
        <v>10765</v>
      </c>
      <c r="R2485" t="s">
        <v>10821</v>
      </c>
      <c r="T2485">
        <v>10000</v>
      </c>
      <c r="U2485">
        <v>833.33</v>
      </c>
      <c r="V2485">
        <v>36</v>
      </c>
      <c r="W2485">
        <v>1</v>
      </c>
      <c r="X2485">
        <v>2</v>
      </c>
      <c r="Y2485" t="s">
        <v>10830</v>
      </c>
      <c r="Z2485">
        <v>46.88</v>
      </c>
      <c r="AA2485">
        <v>40.829372</v>
      </c>
      <c r="AB2485">
        <v>-73.91876000000001</v>
      </c>
      <c r="AD2485" t="s">
        <v>10839</v>
      </c>
      <c r="AG2485" t="s">
        <v>10858</v>
      </c>
      <c r="AH2485" t="s">
        <v>10862</v>
      </c>
      <c r="AI2485">
        <v>230</v>
      </c>
      <c r="AJ2485" t="s">
        <v>10210</v>
      </c>
      <c r="AK2485" t="s">
        <v>10838</v>
      </c>
      <c r="AL2485">
        <v>1.65</v>
      </c>
      <c r="AM2485" t="s">
        <v>10884</v>
      </c>
      <c r="AN2485" t="s">
        <v>10918</v>
      </c>
      <c r="AO2485" t="s">
        <v>11001</v>
      </c>
      <c r="AP2485" t="s">
        <v>11055</v>
      </c>
      <c r="AR2485" t="s">
        <v>11257</v>
      </c>
      <c r="AS2485" t="s">
        <v>9926</v>
      </c>
      <c r="AY2485" t="s">
        <v>10830</v>
      </c>
      <c r="AZ2485" t="s">
        <v>11681</v>
      </c>
      <c r="BA2485" t="s">
        <v>11740</v>
      </c>
      <c r="BB2485">
        <v>0</v>
      </c>
      <c r="BC2485">
        <v>0</v>
      </c>
      <c r="BD2485">
        <v>0</v>
      </c>
      <c r="BE2485">
        <v>0</v>
      </c>
      <c r="BF2485">
        <v>2</v>
      </c>
      <c r="BG2485">
        <v>0</v>
      </c>
    </row>
    <row r="2486" spans="1:59">
      <c r="A2486" s="1">
        <f>HYPERLINK("https://lsnyc.legalserver.org/matter/dynamic-profile/view/1906458","19-1906458")</f>
        <v>0</v>
      </c>
      <c r="B2486" t="s">
        <v>2106</v>
      </c>
      <c r="C2486" t="s">
        <v>6899</v>
      </c>
      <c r="D2486" t="s">
        <v>9932</v>
      </c>
      <c r="E2486" t="s">
        <v>10075</v>
      </c>
      <c r="F2486">
        <v>11368</v>
      </c>
      <c r="G2486" t="s">
        <v>10092</v>
      </c>
      <c r="H2486" t="s">
        <v>10095</v>
      </c>
      <c r="I2486" t="s">
        <v>10169</v>
      </c>
      <c r="J2486" t="s">
        <v>10212</v>
      </c>
      <c r="K2486" t="s">
        <v>10217</v>
      </c>
      <c r="M2486" t="s">
        <v>10423</v>
      </c>
      <c r="N2486" t="s">
        <v>10709</v>
      </c>
      <c r="P2486" t="s">
        <v>10753</v>
      </c>
      <c r="Q2486" t="s">
        <v>10763</v>
      </c>
      <c r="R2486" t="s">
        <v>10821</v>
      </c>
      <c r="T2486">
        <v>0</v>
      </c>
      <c r="U2486">
        <v>0</v>
      </c>
      <c r="V2486">
        <v>23</v>
      </c>
      <c r="W2486">
        <v>1</v>
      </c>
      <c r="X2486">
        <v>0</v>
      </c>
      <c r="Z2486">
        <v>0</v>
      </c>
      <c r="AA2486">
        <v>40.751321</v>
      </c>
      <c r="AB2486">
        <v>-73.859319</v>
      </c>
      <c r="AD2486" t="s">
        <v>10840</v>
      </c>
      <c r="AF2486" t="s">
        <v>10842</v>
      </c>
      <c r="AG2486" t="s">
        <v>10859</v>
      </c>
      <c r="AH2486" t="s">
        <v>10864</v>
      </c>
      <c r="AI2486">
        <v>237</v>
      </c>
      <c r="AJ2486" t="s">
        <v>10212</v>
      </c>
      <c r="AL2486">
        <v>3.25</v>
      </c>
      <c r="AM2486" t="s">
        <v>10885</v>
      </c>
      <c r="AN2486" t="s">
        <v>10949</v>
      </c>
      <c r="AO2486" t="s">
        <v>11014</v>
      </c>
      <c r="AP2486" t="s">
        <v>11068</v>
      </c>
      <c r="AR2486" t="s">
        <v>11267</v>
      </c>
      <c r="AS2486" t="s">
        <v>11594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</row>
    <row r="2487" spans="1:59">
      <c r="A2487" s="1">
        <f>HYPERLINK("https://lsnyc.legalserver.org/matter/dynamic-profile/view/1906460","19-1906460")</f>
        <v>0</v>
      </c>
      <c r="B2487" t="s">
        <v>2107</v>
      </c>
      <c r="C2487" t="s">
        <v>6900</v>
      </c>
      <c r="D2487" t="s">
        <v>9926</v>
      </c>
      <c r="E2487" t="s">
        <v>10075</v>
      </c>
      <c r="F2487">
        <v>10452</v>
      </c>
      <c r="G2487" t="s">
        <v>10090</v>
      </c>
      <c r="H2487" t="s">
        <v>10143</v>
      </c>
      <c r="I2487" t="s">
        <v>10169</v>
      </c>
      <c r="J2487" t="s">
        <v>10210</v>
      </c>
      <c r="K2487" t="s">
        <v>10218</v>
      </c>
      <c r="L2487" t="s">
        <v>10143</v>
      </c>
      <c r="M2487" t="s">
        <v>10498</v>
      </c>
      <c r="N2487" t="s">
        <v>10650</v>
      </c>
      <c r="P2487" t="s">
        <v>10749</v>
      </c>
      <c r="Q2487" t="s">
        <v>10765</v>
      </c>
      <c r="R2487" t="s">
        <v>10821</v>
      </c>
      <c r="T2487">
        <v>38400</v>
      </c>
      <c r="U2487">
        <v>3200</v>
      </c>
      <c r="V2487">
        <v>47</v>
      </c>
      <c r="W2487">
        <v>3</v>
      </c>
      <c r="X2487">
        <v>1</v>
      </c>
      <c r="Y2487" t="s">
        <v>10829</v>
      </c>
      <c r="Z2487">
        <v>149.13</v>
      </c>
      <c r="AA2487">
        <v>40.840231</v>
      </c>
      <c r="AB2487">
        <v>-73.925904</v>
      </c>
      <c r="AC2487" t="s">
        <v>10838</v>
      </c>
      <c r="AD2487" t="s">
        <v>10839</v>
      </c>
      <c r="AG2487" t="s">
        <v>10858</v>
      </c>
      <c r="AH2487" t="s">
        <v>10862</v>
      </c>
      <c r="AI2487">
        <v>230</v>
      </c>
      <c r="AJ2487" t="s">
        <v>10210</v>
      </c>
      <c r="AK2487" t="s">
        <v>10838</v>
      </c>
      <c r="AL2487">
        <v>1.75</v>
      </c>
      <c r="AM2487" t="s">
        <v>10884</v>
      </c>
      <c r="AN2487" t="s">
        <v>10929</v>
      </c>
      <c r="AO2487" t="s">
        <v>11013</v>
      </c>
      <c r="AP2487" t="s">
        <v>11055</v>
      </c>
      <c r="AR2487" t="s">
        <v>11257</v>
      </c>
      <c r="AS2487" t="s">
        <v>9926</v>
      </c>
      <c r="AY2487" t="s">
        <v>10829</v>
      </c>
      <c r="AZ2487" t="s">
        <v>11681</v>
      </c>
      <c r="BA2487" t="s">
        <v>11741</v>
      </c>
      <c r="BB2487">
        <v>0</v>
      </c>
      <c r="BC2487">
        <v>0</v>
      </c>
      <c r="BD2487">
        <v>0</v>
      </c>
      <c r="BE2487">
        <v>0</v>
      </c>
      <c r="BF2487">
        <v>1</v>
      </c>
      <c r="BG2487">
        <v>0</v>
      </c>
    </row>
    <row r="2488" spans="1:59">
      <c r="A2488" s="1">
        <f>HYPERLINK("https://lsnyc.legalserver.org/matter/dynamic-profile/view/1906461","19-1906461")</f>
        <v>0</v>
      </c>
      <c r="B2488" t="s">
        <v>2108</v>
      </c>
      <c r="C2488" t="s">
        <v>6901</v>
      </c>
      <c r="D2488" t="s">
        <v>9928</v>
      </c>
      <c r="E2488" t="s">
        <v>10075</v>
      </c>
      <c r="F2488">
        <v>11213</v>
      </c>
      <c r="G2488" t="s">
        <v>10093</v>
      </c>
      <c r="H2488" t="s">
        <v>10145</v>
      </c>
      <c r="I2488" t="s">
        <v>10169</v>
      </c>
      <c r="J2488" t="s">
        <v>10213</v>
      </c>
      <c r="K2488" t="s">
        <v>10217</v>
      </c>
      <c r="M2488" t="s">
        <v>10420</v>
      </c>
      <c r="N2488" t="s">
        <v>10649</v>
      </c>
      <c r="P2488" t="s">
        <v>10753</v>
      </c>
      <c r="Q2488" t="s">
        <v>10763</v>
      </c>
      <c r="R2488" t="s">
        <v>10823</v>
      </c>
      <c r="T2488">
        <v>2316</v>
      </c>
      <c r="U2488">
        <v>193</v>
      </c>
      <c r="V2488">
        <v>31</v>
      </c>
      <c r="W2488">
        <v>1</v>
      </c>
      <c r="X2488">
        <v>2</v>
      </c>
      <c r="Z2488">
        <v>10.86</v>
      </c>
      <c r="AA2488">
        <v>0</v>
      </c>
      <c r="AB2488">
        <v>0</v>
      </c>
      <c r="AD2488" t="s">
        <v>10839</v>
      </c>
      <c r="AF2488" t="s">
        <v>10842</v>
      </c>
      <c r="AG2488" t="s">
        <v>10859</v>
      </c>
      <c r="AH2488" t="s">
        <v>10864</v>
      </c>
      <c r="AI2488">
        <v>239</v>
      </c>
      <c r="AJ2488" t="s">
        <v>10213</v>
      </c>
      <c r="AL2488">
        <v>1.6</v>
      </c>
      <c r="AR2488" t="s">
        <v>11273</v>
      </c>
      <c r="AS2488" t="s">
        <v>11595</v>
      </c>
      <c r="AT2488" t="s">
        <v>11641</v>
      </c>
      <c r="AX2488" t="s">
        <v>10838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</row>
    <row r="2489" spans="1:59">
      <c r="A2489" s="1">
        <f>HYPERLINK("https://lsnyc.legalserver.org/matter/dynamic-profile/view/1906462","19-1906462")</f>
        <v>0</v>
      </c>
      <c r="B2489" t="s">
        <v>2109</v>
      </c>
      <c r="C2489" t="s">
        <v>6902</v>
      </c>
      <c r="D2489" t="s">
        <v>9928</v>
      </c>
      <c r="E2489" t="s">
        <v>10075</v>
      </c>
      <c r="F2489">
        <v>11219</v>
      </c>
      <c r="G2489" t="s">
        <v>10093</v>
      </c>
      <c r="H2489" t="s">
        <v>10104</v>
      </c>
      <c r="I2489" t="s">
        <v>10169</v>
      </c>
      <c r="J2489" t="s">
        <v>10213</v>
      </c>
      <c r="K2489" t="s">
        <v>10217</v>
      </c>
      <c r="M2489" t="s">
        <v>10293</v>
      </c>
      <c r="N2489" t="s">
        <v>10644</v>
      </c>
      <c r="P2489" t="s">
        <v>10751</v>
      </c>
      <c r="Q2489" t="s">
        <v>10780</v>
      </c>
      <c r="R2489" t="s">
        <v>10821</v>
      </c>
      <c r="T2489">
        <v>1992</v>
      </c>
      <c r="U2489">
        <v>166</v>
      </c>
      <c r="V2489">
        <v>64</v>
      </c>
      <c r="W2489">
        <v>1</v>
      </c>
      <c r="X2489">
        <v>1</v>
      </c>
      <c r="Z2489">
        <v>11.78</v>
      </c>
      <c r="AA2489">
        <v>40.6412</v>
      </c>
      <c r="AB2489">
        <v>-73.99682300000001</v>
      </c>
      <c r="AD2489" t="s">
        <v>10839</v>
      </c>
      <c r="AG2489" t="s">
        <v>10858</v>
      </c>
      <c r="AH2489" t="s">
        <v>10869</v>
      </c>
      <c r="AI2489">
        <v>239</v>
      </c>
      <c r="AJ2489" t="s">
        <v>10213</v>
      </c>
      <c r="AL2489">
        <v>1</v>
      </c>
      <c r="AM2489" t="s">
        <v>10894</v>
      </c>
      <c r="AN2489" t="s">
        <v>10921</v>
      </c>
      <c r="AO2489" t="s">
        <v>11015</v>
      </c>
      <c r="AP2489" t="s">
        <v>11069</v>
      </c>
      <c r="AR2489" t="s">
        <v>11305</v>
      </c>
      <c r="AS2489" t="s">
        <v>11595</v>
      </c>
      <c r="AT2489" t="s">
        <v>11641</v>
      </c>
      <c r="AX2489" t="s">
        <v>10838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</row>
    <row r="2490" spans="1:59">
      <c r="A2490" s="1">
        <f>HYPERLINK("https://lsnyc.legalserver.org/matter/dynamic-profile/view/1906463","19-1906463")</f>
        <v>0</v>
      </c>
      <c r="C2490" t="s">
        <v>6340</v>
      </c>
      <c r="D2490" t="s">
        <v>9928</v>
      </c>
      <c r="E2490" t="s">
        <v>10075</v>
      </c>
      <c r="F2490">
        <v>11217</v>
      </c>
      <c r="G2490" t="s">
        <v>10093</v>
      </c>
      <c r="H2490" t="s">
        <v>10095</v>
      </c>
      <c r="I2490" t="s">
        <v>10168</v>
      </c>
      <c r="J2490" t="s">
        <v>10213</v>
      </c>
      <c r="K2490" t="s">
        <v>10218</v>
      </c>
      <c r="L2490" t="s">
        <v>10095</v>
      </c>
      <c r="M2490" t="s">
        <v>10263</v>
      </c>
      <c r="N2490" t="s">
        <v>10657</v>
      </c>
      <c r="P2490" t="s">
        <v>10749</v>
      </c>
      <c r="Q2490" t="s">
        <v>10791</v>
      </c>
      <c r="R2490" t="s">
        <v>10824</v>
      </c>
      <c r="T2490">
        <v>15288</v>
      </c>
      <c r="U2490">
        <v>1274</v>
      </c>
      <c r="V2490">
        <v>0</v>
      </c>
      <c r="W2490">
        <v>1</v>
      </c>
      <c r="X2490">
        <v>0</v>
      </c>
      <c r="Y2490" t="s">
        <v>10829</v>
      </c>
      <c r="Z2490">
        <v>122.4</v>
      </c>
      <c r="AA2490">
        <v>40.685827</v>
      </c>
      <c r="AB2490">
        <v>-73.980555</v>
      </c>
      <c r="AD2490" t="s">
        <v>10839</v>
      </c>
      <c r="AG2490" t="s">
        <v>10858</v>
      </c>
      <c r="AH2490" t="s">
        <v>10862</v>
      </c>
      <c r="AI2490">
        <v>239</v>
      </c>
      <c r="AJ2490" t="s">
        <v>10213</v>
      </c>
      <c r="AK2490" t="s">
        <v>10838</v>
      </c>
      <c r="AL2490">
        <v>1</v>
      </c>
      <c r="AM2490" t="s">
        <v>10889</v>
      </c>
      <c r="AN2490" t="s">
        <v>10917</v>
      </c>
      <c r="AO2490" t="s">
        <v>11007</v>
      </c>
      <c r="AP2490" t="s">
        <v>11054</v>
      </c>
      <c r="AR2490" t="s">
        <v>11293</v>
      </c>
      <c r="AS2490" t="s">
        <v>11595</v>
      </c>
      <c r="AY2490" t="s">
        <v>10829</v>
      </c>
      <c r="AZ2490" t="s">
        <v>11681</v>
      </c>
      <c r="BA2490" t="s">
        <v>11741</v>
      </c>
      <c r="BB2490">
        <v>0</v>
      </c>
      <c r="BC2490">
        <v>0</v>
      </c>
      <c r="BD2490">
        <v>0</v>
      </c>
      <c r="BE2490">
        <v>0</v>
      </c>
      <c r="BF2490">
        <v>1</v>
      </c>
      <c r="BG2490">
        <v>0</v>
      </c>
    </row>
    <row r="2491" spans="1:59">
      <c r="A2491" s="1">
        <f>HYPERLINK("https://lsnyc.legalserver.org/matter/dynamic-profile/view/1906464","19-1906464")</f>
        <v>0</v>
      </c>
      <c r="B2491" t="s">
        <v>2104</v>
      </c>
      <c r="C2491" t="s">
        <v>6898</v>
      </c>
      <c r="D2491" t="s">
        <v>9928</v>
      </c>
      <c r="E2491" t="s">
        <v>10075</v>
      </c>
      <c r="F2491">
        <v>11211</v>
      </c>
      <c r="G2491" t="s">
        <v>10093</v>
      </c>
      <c r="H2491" t="s">
        <v>10104</v>
      </c>
      <c r="J2491" t="s">
        <v>10213</v>
      </c>
      <c r="K2491" t="s">
        <v>10217</v>
      </c>
      <c r="M2491" t="s">
        <v>10317</v>
      </c>
      <c r="N2491" t="s">
        <v>10698</v>
      </c>
      <c r="P2491" t="s">
        <v>10749</v>
      </c>
      <c r="Q2491" t="s">
        <v>10765</v>
      </c>
      <c r="R2491" t="s">
        <v>10825</v>
      </c>
      <c r="T2491">
        <v>4888</v>
      </c>
      <c r="U2491">
        <v>407.33</v>
      </c>
      <c r="V2491">
        <v>44</v>
      </c>
      <c r="W2491">
        <v>1</v>
      </c>
      <c r="X2491">
        <v>0</v>
      </c>
      <c r="Z2491">
        <v>39.14</v>
      </c>
      <c r="AA2491">
        <v>40.712672</v>
      </c>
      <c r="AB2491">
        <v>-73.955387</v>
      </c>
      <c r="AD2491" t="s">
        <v>10840</v>
      </c>
      <c r="AG2491" t="s">
        <v>10858</v>
      </c>
      <c r="AH2491" t="s">
        <v>10868</v>
      </c>
      <c r="AI2491">
        <v>239</v>
      </c>
      <c r="AJ2491" t="s">
        <v>10213</v>
      </c>
      <c r="AL2491">
        <v>1.85</v>
      </c>
      <c r="AM2491" t="s">
        <v>10886</v>
      </c>
      <c r="AN2491" t="s">
        <v>10942</v>
      </c>
      <c r="AO2491" t="s">
        <v>11011</v>
      </c>
      <c r="AP2491" t="s">
        <v>11071</v>
      </c>
      <c r="AR2491" t="s">
        <v>11255</v>
      </c>
      <c r="AS2491" t="s">
        <v>11595</v>
      </c>
      <c r="AT2491" t="s">
        <v>11642</v>
      </c>
      <c r="AX2491" t="s">
        <v>10837</v>
      </c>
      <c r="BA2491" t="s">
        <v>11742</v>
      </c>
      <c r="BB2491">
        <v>0</v>
      </c>
      <c r="BC2491">
        <v>0</v>
      </c>
      <c r="BD2491">
        <v>0</v>
      </c>
      <c r="BE2491">
        <v>0</v>
      </c>
      <c r="BF2491">
        <v>7</v>
      </c>
      <c r="BG2491">
        <v>0</v>
      </c>
    </row>
    <row r="2492" spans="1:59">
      <c r="A2492" s="1">
        <f>HYPERLINK("https://lsnyc.legalserver.org/matter/dynamic-profile/view/1906465","19-1906465")</f>
        <v>0</v>
      </c>
      <c r="B2492" t="s">
        <v>2110</v>
      </c>
      <c r="C2492" t="s">
        <v>6903</v>
      </c>
      <c r="D2492" t="s">
        <v>9925</v>
      </c>
      <c r="E2492" t="s">
        <v>10075</v>
      </c>
      <c r="F2492">
        <v>10027</v>
      </c>
      <c r="G2492" t="s">
        <v>10089</v>
      </c>
      <c r="H2492" t="s">
        <v>10104</v>
      </c>
      <c r="I2492" t="s">
        <v>10168</v>
      </c>
      <c r="J2492" t="s">
        <v>10209</v>
      </c>
      <c r="K2492" t="s">
        <v>10217</v>
      </c>
      <c r="M2492" t="s">
        <v>10509</v>
      </c>
      <c r="N2492" t="s">
        <v>10715</v>
      </c>
      <c r="P2492" t="s">
        <v>10751</v>
      </c>
      <c r="Q2492" t="s">
        <v>10776</v>
      </c>
      <c r="R2492" t="s">
        <v>10824</v>
      </c>
      <c r="T2492">
        <v>9852</v>
      </c>
      <c r="U2492">
        <v>821</v>
      </c>
      <c r="V2492">
        <v>57</v>
      </c>
      <c r="W2492">
        <v>2</v>
      </c>
      <c r="X2492">
        <v>0</v>
      </c>
      <c r="Z2492">
        <v>58.26</v>
      </c>
      <c r="AA2492">
        <v>40.806899</v>
      </c>
      <c r="AB2492">
        <v>-73.95017799999999</v>
      </c>
      <c r="AD2492" t="s">
        <v>10839</v>
      </c>
      <c r="AG2492" t="s">
        <v>10858</v>
      </c>
      <c r="AH2492" t="s">
        <v>10862</v>
      </c>
      <c r="AI2492">
        <v>236</v>
      </c>
      <c r="AJ2492" t="s">
        <v>10209</v>
      </c>
      <c r="AL2492">
        <v>0</v>
      </c>
      <c r="AM2492" t="s">
        <v>10887</v>
      </c>
      <c r="AN2492" t="s">
        <v>10936</v>
      </c>
      <c r="AO2492" t="s">
        <v>11016</v>
      </c>
      <c r="AP2492" t="s">
        <v>11076</v>
      </c>
      <c r="AR2492" t="s">
        <v>11274</v>
      </c>
      <c r="AS2492" t="s">
        <v>9925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</row>
    <row r="2493" spans="1:59">
      <c r="A2493" s="1">
        <f>HYPERLINK("https://lsnyc.legalserver.org/matter/dynamic-profile/view/1906466","19-1906466")</f>
        <v>0</v>
      </c>
      <c r="B2493" t="s">
        <v>2111</v>
      </c>
      <c r="C2493" t="s">
        <v>5376</v>
      </c>
      <c r="D2493" t="s">
        <v>9925</v>
      </c>
      <c r="E2493" t="s">
        <v>10075</v>
      </c>
      <c r="F2493">
        <v>10026</v>
      </c>
      <c r="G2493" t="s">
        <v>10089</v>
      </c>
      <c r="H2493" t="s">
        <v>10104</v>
      </c>
      <c r="I2493" t="s">
        <v>10168</v>
      </c>
      <c r="J2493" t="s">
        <v>10209</v>
      </c>
      <c r="K2493" t="s">
        <v>10217</v>
      </c>
      <c r="M2493" t="s">
        <v>10389</v>
      </c>
      <c r="N2493" t="s">
        <v>10715</v>
      </c>
      <c r="P2493" t="s">
        <v>10751</v>
      </c>
      <c r="Q2493" t="s">
        <v>10776</v>
      </c>
      <c r="R2493" t="s">
        <v>10824</v>
      </c>
      <c r="T2493">
        <v>7212</v>
      </c>
      <c r="U2493">
        <v>601</v>
      </c>
      <c r="V2493">
        <v>36</v>
      </c>
      <c r="W2493">
        <v>1</v>
      </c>
      <c r="X2493">
        <v>1</v>
      </c>
      <c r="Z2493">
        <v>42.65</v>
      </c>
      <c r="AA2493">
        <v>40.801663</v>
      </c>
      <c r="AB2493">
        <v>-73.94708</v>
      </c>
      <c r="AD2493" t="s">
        <v>10839</v>
      </c>
      <c r="AG2493" t="s">
        <v>10858</v>
      </c>
      <c r="AH2493" t="s">
        <v>10861</v>
      </c>
      <c r="AI2493">
        <v>236</v>
      </c>
      <c r="AJ2493" t="s">
        <v>10209</v>
      </c>
      <c r="AL2493">
        <v>0</v>
      </c>
      <c r="AM2493" t="s">
        <v>10887</v>
      </c>
      <c r="AN2493" t="s">
        <v>10936</v>
      </c>
      <c r="AO2493" t="s">
        <v>11016</v>
      </c>
      <c r="AP2493" t="s">
        <v>11076</v>
      </c>
      <c r="AR2493" t="s">
        <v>11292</v>
      </c>
      <c r="AS2493" t="s">
        <v>9925</v>
      </c>
      <c r="AT2493" t="s">
        <v>11641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</row>
    <row r="2494" spans="1:59">
      <c r="A2494" s="1">
        <f>HYPERLINK("https://lsnyc.legalserver.org/matter/dynamic-profile/view/1906467","19-1906467")</f>
        <v>0</v>
      </c>
      <c r="B2494" t="s">
        <v>2112</v>
      </c>
      <c r="C2494" t="s">
        <v>6904</v>
      </c>
      <c r="D2494" t="s">
        <v>9925</v>
      </c>
      <c r="E2494" t="s">
        <v>10075</v>
      </c>
      <c r="F2494">
        <v>10026</v>
      </c>
      <c r="G2494" t="s">
        <v>10089</v>
      </c>
      <c r="H2494" t="s">
        <v>10104</v>
      </c>
      <c r="I2494" t="s">
        <v>10168</v>
      </c>
      <c r="J2494" t="s">
        <v>10209</v>
      </c>
      <c r="K2494" t="s">
        <v>10217</v>
      </c>
      <c r="M2494" t="s">
        <v>10501</v>
      </c>
      <c r="N2494" t="s">
        <v>10715</v>
      </c>
      <c r="P2494" t="s">
        <v>10751</v>
      </c>
      <c r="Q2494" t="s">
        <v>10776</v>
      </c>
      <c r="R2494" t="s">
        <v>10824</v>
      </c>
      <c r="T2494">
        <v>30000</v>
      </c>
      <c r="U2494">
        <v>2500</v>
      </c>
      <c r="V2494">
        <v>54</v>
      </c>
      <c r="W2494">
        <v>2</v>
      </c>
      <c r="X2494">
        <v>2</v>
      </c>
      <c r="Z2494">
        <v>116.5</v>
      </c>
      <c r="AA2494">
        <v>40.803054</v>
      </c>
      <c r="AB2494">
        <v>-73.951435</v>
      </c>
      <c r="AC2494" t="s">
        <v>10837</v>
      </c>
      <c r="AD2494" t="s">
        <v>10839</v>
      </c>
      <c r="AG2494" t="s">
        <v>10858</v>
      </c>
      <c r="AH2494" t="s">
        <v>10862</v>
      </c>
      <c r="AI2494">
        <v>236</v>
      </c>
      <c r="AJ2494" t="s">
        <v>10209</v>
      </c>
      <c r="AL2494">
        <v>0</v>
      </c>
      <c r="AM2494" t="s">
        <v>10887</v>
      </c>
      <c r="AN2494" t="s">
        <v>10936</v>
      </c>
      <c r="AO2494" t="s">
        <v>11016</v>
      </c>
      <c r="AP2494" t="s">
        <v>11076</v>
      </c>
      <c r="AR2494" t="s">
        <v>11270</v>
      </c>
      <c r="AS2494" t="s">
        <v>9925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</row>
    <row r="2495" spans="1:59">
      <c r="A2495" s="1">
        <f>HYPERLINK("https://lsnyc.legalserver.org/matter/dynamic-profile/view/1906468","19-1906468")</f>
        <v>0</v>
      </c>
      <c r="B2495" t="s">
        <v>2113</v>
      </c>
      <c r="C2495" t="s">
        <v>6120</v>
      </c>
      <c r="D2495" t="s">
        <v>9929</v>
      </c>
      <c r="E2495" t="s">
        <v>10075</v>
      </c>
      <c r="F2495">
        <v>10304</v>
      </c>
      <c r="G2495" t="s">
        <v>10088</v>
      </c>
      <c r="H2495" t="s">
        <v>10095</v>
      </c>
      <c r="I2495" t="s">
        <v>10168</v>
      </c>
      <c r="J2495" t="s">
        <v>10208</v>
      </c>
      <c r="K2495" t="s">
        <v>10217</v>
      </c>
      <c r="M2495" t="s">
        <v>10574</v>
      </c>
      <c r="N2495" t="s">
        <v>10652</v>
      </c>
      <c r="P2495" t="s">
        <v>10754</v>
      </c>
      <c r="Q2495" t="s">
        <v>10771</v>
      </c>
      <c r="R2495" t="s">
        <v>10825</v>
      </c>
      <c r="T2495">
        <v>27300</v>
      </c>
      <c r="U2495">
        <v>2275</v>
      </c>
      <c r="V2495">
        <v>31</v>
      </c>
      <c r="W2495">
        <v>1</v>
      </c>
      <c r="X2495">
        <v>3</v>
      </c>
      <c r="Z2495">
        <v>106.02</v>
      </c>
      <c r="AA2495">
        <v>40.622382</v>
      </c>
      <c r="AB2495">
        <v>-74.081835</v>
      </c>
      <c r="AD2495" t="s">
        <v>10839</v>
      </c>
      <c r="AG2495" t="s">
        <v>10858</v>
      </c>
      <c r="AH2495" t="s">
        <v>10861</v>
      </c>
      <c r="AI2495">
        <v>285</v>
      </c>
      <c r="AJ2495" t="s">
        <v>10208</v>
      </c>
      <c r="AL2495">
        <v>3.8</v>
      </c>
      <c r="AM2495" t="s">
        <v>10883</v>
      </c>
      <c r="AN2495" t="s">
        <v>10913</v>
      </c>
      <c r="AO2495" t="s">
        <v>11006</v>
      </c>
      <c r="AP2495" t="s">
        <v>11051</v>
      </c>
      <c r="AR2495" t="s">
        <v>11257</v>
      </c>
      <c r="AS2495" t="s">
        <v>11593</v>
      </c>
      <c r="AT2495" t="s">
        <v>11641</v>
      </c>
      <c r="AX2495" t="s">
        <v>10838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</row>
    <row r="2496" spans="1:59">
      <c r="A2496" s="1">
        <f>HYPERLINK("https://lsnyc.legalserver.org/matter/dynamic-profile/view/1906469","19-1906469")</f>
        <v>0</v>
      </c>
      <c r="B2496" t="s">
        <v>2114</v>
      </c>
      <c r="C2496" t="s">
        <v>6905</v>
      </c>
      <c r="D2496" t="s">
        <v>9925</v>
      </c>
      <c r="E2496" t="s">
        <v>10075</v>
      </c>
      <c r="F2496">
        <v>10027</v>
      </c>
      <c r="G2496" t="s">
        <v>10089</v>
      </c>
      <c r="H2496" t="s">
        <v>10104</v>
      </c>
      <c r="I2496" t="s">
        <v>10168</v>
      </c>
      <c r="J2496" t="s">
        <v>10209</v>
      </c>
      <c r="K2496" t="s">
        <v>10217</v>
      </c>
      <c r="M2496" t="s">
        <v>10499</v>
      </c>
      <c r="N2496" t="s">
        <v>10715</v>
      </c>
      <c r="P2496" t="s">
        <v>10751</v>
      </c>
      <c r="Q2496" t="s">
        <v>10776</v>
      </c>
      <c r="R2496" t="s">
        <v>10824</v>
      </c>
      <c r="T2496">
        <v>7848</v>
      </c>
      <c r="U2496">
        <v>654</v>
      </c>
      <c r="V2496">
        <v>68</v>
      </c>
      <c r="W2496">
        <v>2</v>
      </c>
      <c r="X2496">
        <v>2</v>
      </c>
      <c r="Z2496">
        <v>30.48</v>
      </c>
      <c r="AA2496">
        <v>40.810468</v>
      </c>
      <c r="AB2496">
        <v>-73.95314999999999</v>
      </c>
      <c r="AD2496" t="s">
        <v>10839</v>
      </c>
      <c r="AG2496" t="s">
        <v>10858</v>
      </c>
      <c r="AH2496" t="s">
        <v>10861</v>
      </c>
      <c r="AI2496">
        <v>236</v>
      </c>
      <c r="AJ2496" t="s">
        <v>10209</v>
      </c>
      <c r="AL2496">
        <v>0</v>
      </c>
      <c r="AM2496" t="s">
        <v>10887</v>
      </c>
      <c r="AN2496" t="s">
        <v>10936</v>
      </c>
      <c r="AO2496" t="s">
        <v>11016</v>
      </c>
      <c r="AP2496" t="s">
        <v>11076</v>
      </c>
      <c r="AR2496" t="s">
        <v>11274</v>
      </c>
      <c r="AS2496" t="s">
        <v>9925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</row>
    <row r="2497" spans="1:59">
      <c r="A2497" s="1">
        <f>HYPERLINK("https://lsnyc.legalserver.org/matter/dynamic-profile/view/1906470","19-1906470")</f>
        <v>0</v>
      </c>
      <c r="B2497" t="s">
        <v>2115</v>
      </c>
      <c r="C2497" t="s">
        <v>5894</v>
      </c>
      <c r="D2497" t="s">
        <v>9925</v>
      </c>
      <c r="E2497" t="s">
        <v>10075</v>
      </c>
      <c r="F2497">
        <v>10039</v>
      </c>
      <c r="G2497" t="s">
        <v>10089</v>
      </c>
      <c r="H2497" t="s">
        <v>10104</v>
      </c>
      <c r="I2497" t="s">
        <v>10168</v>
      </c>
      <c r="J2497" t="s">
        <v>10209</v>
      </c>
      <c r="K2497" t="s">
        <v>10217</v>
      </c>
      <c r="M2497" t="s">
        <v>10575</v>
      </c>
      <c r="N2497" t="s">
        <v>10715</v>
      </c>
      <c r="P2497" t="s">
        <v>10751</v>
      </c>
      <c r="Q2497" t="s">
        <v>10776</v>
      </c>
      <c r="R2497" t="s">
        <v>10821</v>
      </c>
      <c r="T2497">
        <v>8904</v>
      </c>
      <c r="U2497">
        <v>742</v>
      </c>
      <c r="V2497">
        <v>56</v>
      </c>
      <c r="W2497">
        <v>1</v>
      </c>
      <c r="X2497">
        <v>0</v>
      </c>
      <c r="Z2497">
        <v>71.29000000000001</v>
      </c>
      <c r="AA2497">
        <v>40.83207</v>
      </c>
      <c r="AB2497">
        <v>-73.937802</v>
      </c>
      <c r="AD2497" t="s">
        <v>10839</v>
      </c>
      <c r="AG2497" t="s">
        <v>10858</v>
      </c>
      <c r="AH2497" t="s">
        <v>10862</v>
      </c>
      <c r="AI2497">
        <v>236</v>
      </c>
      <c r="AJ2497" t="s">
        <v>10209</v>
      </c>
      <c r="AL2497">
        <v>0</v>
      </c>
      <c r="AM2497" t="s">
        <v>10887</v>
      </c>
      <c r="AN2497" t="s">
        <v>10943</v>
      </c>
      <c r="AO2497" t="s">
        <v>11016</v>
      </c>
      <c r="AP2497" t="s">
        <v>11076</v>
      </c>
      <c r="AR2497" t="s">
        <v>11274</v>
      </c>
      <c r="AS2497" t="s">
        <v>9925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</row>
    <row r="2498" spans="1:59">
      <c r="A2498" s="1">
        <f>HYPERLINK("https://lsnyc.legalserver.org/matter/dynamic-profile/view/1906471","19-1906471")</f>
        <v>0</v>
      </c>
      <c r="B2498" t="s">
        <v>2116</v>
      </c>
      <c r="C2498" t="s">
        <v>6906</v>
      </c>
      <c r="D2498" t="s">
        <v>9926</v>
      </c>
      <c r="E2498" t="s">
        <v>10075</v>
      </c>
      <c r="F2498">
        <v>10468</v>
      </c>
      <c r="G2498" t="s">
        <v>10090</v>
      </c>
      <c r="H2498" t="s">
        <v>10096</v>
      </c>
      <c r="I2498" t="s">
        <v>10168</v>
      </c>
      <c r="J2498" t="s">
        <v>10210</v>
      </c>
      <c r="K2498" t="s">
        <v>10217</v>
      </c>
      <c r="M2498" t="s">
        <v>10230</v>
      </c>
      <c r="N2498" t="s">
        <v>10671</v>
      </c>
      <c r="P2498" t="s">
        <v>10751</v>
      </c>
      <c r="Q2498" t="s">
        <v>10761</v>
      </c>
      <c r="R2498" t="s">
        <v>10821</v>
      </c>
      <c r="T2498">
        <v>18564</v>
      </c>
      <c r="U2498">
        <v>1547</v>
      </c>
      <c r="V2498">
        <v>51</v>
      </c>
      <c r="W2498">
        <v>1</v>
      </c>
      <c r="X2498">
        <v>0</v>
      </c>
      <c r="Z2498">
        <v>148.63</v>
      </c>
      <c r="AA2498">
        <v>40.874155</v>
      </c>
      <c r="AB2498">
        <v>-73.888169</v>
      </c>
      <c r="AD2498" t="s">
        <v>10839</v>
      </c>
      <c r="AG2498" t="s">
        <v>10858</v>
      </c>
      <c r="AH2498" t="s">
        <v>10862</v>
      </c>
      <c r="AI2498">
        <v>230</v>
      </c>
      <c r="AJ2498" t="s">
        <v>10210</v>
      </c>
      <c r="AL2498">
        <v>10.6</v>
      </c>
      <c r="AM2498" t="s">
        <v>10887</v>
      </c>
      <c r="AN2498" t="s">
        <v>10907</v>
      </c>
      <c r="AO2498" t="s">
        <v>11002</v>
      </c>
      <c r="AP2498" t="s">
        <v>11057</v>
      </c>
      <c r="AR2498" t="s">
        <v>11257</v>
      </c>
      <c r="AS2498" t="s">
        <v>9926</v>
      </c>
      <c r="BA2498" t="s">
        <v>11737</v>
      </c>
      <c r="BB2498">
        <v>0</v>
      </c>
      <c r="BC2498">
        <v>0</v>
      </c>
      <c r="BD2498">
        <v>0</v>
      </c>
      <c r="BE2498">
        <v>0</v>
      </c>
      <c r="BF2498">
        <v>3</v>
      </c>
      <c r="BG2498">
        <v>0</v>
      </c>
    </row>
    <row r="2499" spans="1:59">
      <c r="A2499" s="1">
        <f>HYPERLINK("https://lsnyc.legalserver.org/matter/dynamic-profile/view/1906472","19-1906472")</f>
        <v>0</v>
      </c>
      <c r="B2499" t="s">
        <v>2117</v>
      </c>
      <c r="C2499" t="s">
        <v>6907</v>
      </c>
      <c r="D2499" t="s">
        <v>9925</v>
      </c>
      <c r="E2499" t="s">
        <v>10075</v>
      </c>
      <c r="F2499">
        <v>10027</v>
      </c>
      <c r="G2499" t="s">
        <v>10089</v>
      </c>
      <c r="H2499" t="s">
        <v>10104</v>
      </c>
      <c r="I2499" t="s">
        <v>10168</v>
      </c>
      <c r="J2499" t="s">
        <v>10209</v>
      </c>
      <c r="K2499" t="s">
        <v>10217</v>
      </c>
      <c r="M2499" t="s">
        <v>10391</v>
      </c>
      <c r="N2499" t="s">
        <v>10715</v>
      </c>
      <c r="P2499" t="s">
        <v>10751</v>
      </c>
      <c r="Q2499" t="s">
        <v>10776</v>
      </c>
      <c r="R2499" t="s">
        <v>10824</v>
      </c>
      <c r="T2499">
        <v>9252</v>
      </c>
      <c r="U2499">
        <v>771</v>
      </c>
      <c r="V2499">
        <v>39</v>
      </c>
      <c r="W2499">
        <v>1</v>
      </c>
      <c r="X2499">
        <v>1</v>
      </c>
      <c r="Z2499">
        <v>54.71</v>
      </c>
      <c r="AA2499">
        <v>40.811258</v>
      </c>
      <c r="AB2499">
        <v>-73.94897</v>
      </c>
      <c r="AD2499" t="s">
        <v>10839</v>
      </c>
      <c r="AG2499" t="s">
        <v>10858</v>
      </c>
      <c r="AH2499" t="s">
        <v>10862</v>
      </c>
      <c r="AI2499">
        <v>236</v>
      </c>
      <c r="AJ2499" t="s">
        <v>10209</v>
      </c>
      <c r="AL2499">
        <v>0</v>
      </c>
      <c r="AM2499" t="s">
        <v>10887</v>
      </c>
      <c r="AN2499" t="s">
        <v>10936</v>
      </c>
      <c r="AO2499" t="s">
        <v>11016</v>
      </c>
      <c r="AP2499" t="s">
        <v>11076</v>
      </c>
      <c r="AR2499" t="s">
        <v>11263</v>
      </c>
      <c r="AS2499" t="s">
        <v>9925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</row>
    <row r="2500" spans="1:59">
      <c r="A2500" s="1">
        <f>HYPERLINK("https://lsnyc.legalserver.org/matter/dynamic-profile/view/1906473","19-1906473")</f>
        <v>0</v>
      </c>
      <c r="B2500" t="s">
        <v>295</v>
      </c>
      <c r="C2500" t="s">
        <v>6908</v>
      </c>
      <c r="D2500" t="s">
        <v>9928</v>
      </c>
      <c r="E2500" t="s">
        <v>10075</v>
      </c>
      <c r="F2500">
        <v>11208</v>
      </c>
      <c r="G2500" t="s">
        <v>10093</v>
      </c>
      <c r="H2500" t="s">
        <v>10104</v>
      </c>
      <c r="I2500" t="s">
        <v>10168</v>
      </c>
      <c r="J2500" t="s">
        <v>10213</v>
      </c>
      <c r="K2500" t="s">
        <v>10217</v>
      </c>
      <c r="M2500" t="s">
        <v>10439</v>
      </c>
      <c r="N2500" t="s">
        <v>10650</v>
      </c>
      <c r="P2500" t="s">
        <v>10749</v>
      </c>
      <c r="Q2500" t="s">
        <v>10765</v>
      </c>
      <c r="R2500" t="s">
        <v>10824</v>
      </c>
      <c r="T2500">
        <v>37000</v>
      </c>
      <c r="U2500">
        <v>3083.33</v>
      </c>
      <c r="V2500">
        <v>48</v>
      </c>
      <c r="W2500">
        <v>2</v>
      </c>
      <c r="X2500">
        <v>0</v>
      </c>
      <c r="Z2500">
        <v>218.81</v>
      </c>
      <c r="AA2500">
        <v>40.674799</v>
      </c>
      <c r="AB2500">
        <v>-73.864419</v>
      </c>
      <c r="AD2500" t="s">
        <v>10840</v>
      </c>
      <c r="AF2500" t="s">
        <v>10845</v>
      </c>
      <c r="AG2500" t="s">
        <v>10858</v>
      </c>
      <c r="AH2500" t="s">
        <v>10862</v>
      </c>
      <c r="AI2500">
        <v>239</v>
      </c>
      <c r="AJ2500" t="s">
        <v>10213</v>
      </c>
      <c r="AL2500">
        <v>5.6</v>
      </c>
      <c r="AM2500" t="s">
        <v>10889</v>
      </c>
      <c r="AN2500" t="s">
        <v>10946</v>
      </c>
      <c r="AO2500" t="s">
        <v>11012</v>
      </c>
      <c r="AP2500" t="s">
        <v>11060</v>
      </c>
      <c r="AQ2500" t="s">
        <v>11101</v>
      </c>
      <c r="AR2500" t="s">
        <v>11257</v>
      </c>
      <c r="AS2500" t="s">
        <v>11595</v>
      </c>
      <c r="AT2500" t="s">
        <v>11642</v>
      </c>
      <c r="BA2500" t="s">
        <v>11738</v>
      </c>
      <c r="BB2500">
        <v>0</v>
      </c>
      <c r="BC2500">
        <v>0</v>
      </c>
      <c r="BD2500">
        <v>0</v>
      </c>
      <c r="BE2500">
        <v>0</v>
      </c>
      <c r="BF2500">
        <v>5</v>
      </c>
      <c r="BG2500">
        <v>0</v>
      </c>
    </row>
    <row r="2501" spans="1:59">
      <c r="A2501" s="1">
        <f>HYPERLINK("https://lsnyc.legalserver.org/matter/dynamic-profile/view/1906474","19-1906474")</f>
        <v>0</v>
      </c>
      <c r="B2501" t="s">
        <v>1699</v>
      </c>
      <c r="C2501" t="s">
        <v>6909</v>
      </c>
      <c r="D2501" t="s">
        <v>9928</v>
      </c>
      <c r="E2501" t="s">
        <v>10075</v>
      </c>
      <c r="F2501">
        <v>11203</v>
      </c>
      <c r="G2501" t="s">
        <v>10093</v>
      </c>
      <c r="H2501" t="s">
        <v>10096</v>
      </c>
      <c r="I2501" t="s">
        <v>10168</v>
      </c>
      <c r="J2501" t="s">
        <v>10213</v>
      </c>
      <c r="K2501" t="s">
        <v>10218</v>
      </c>
      <c r="L2501" t="s">
        <v>10142</v>
      </c>
      <c r="M2501" t="s">
        <v>10249</v>
      </c>
      <c r="N2501" t="s">
        <v>10653</v>
      </c>
      <c r="P2501" t="s">
        <v>10749</v>
      </c>
      <c r="Q2501" t="s">
        <v>10759</v>
      </c>
      <c r="R2501" t="s">
        <v>10825</v>
      </c>
      <c r="T2501">
        <v>30000</v>
      </c>
      <c r="U2501">
        <v>2500</v>
      </c>
      <c r="V2501">
        <v>39</v>
      </c>
      <c r="W2501">
        <v>1</v>
      </c>
      <c r="X2501">
        <v>0</v>
      </c>
      <c r="Y2501" t="s">
        <v>10830</v>
      </c>
      <c r="Z2501">
        <v>240.19</v>
      </c>
      <c r="AA2501">
        <v>40.658776</v>
      </c>
      <c r="AB2501">
        <v>-73.939071</v>
      </c>
      <c r="AC2501" t="s">
        <v>10838</v>
      </c>
      <c r="AD2501" t="s">
        <v>10839</v>
      </c>
      <c r="AG2501" t="s">
        <v>10858</v>
      </c>
      <c r="AH2501" t="s">
        <v>10860</v>
      </c>
      <c r="AI2501">
        <v>239</v>
      </c>
      <c r="AJ2501" t="s">
        <v>10213</v>
      </c>
      <c r="AK2501" t="s">
        <v>10838</v>
      </c>
      <c r="AL2501">
        <v>10.15</v>
      </c>
      <c r="AM2501" t="s">
        <v>10888</v>
      </c>
      <c r="AN2501" t="s">
        <v>10912</v>
      </c>
      <c r="AO2501" t="s">
        <v>11005</v>
      </c>
      <c r="AP2501" t="s">
        <v>11064</v>
      </c>
      <c r="AQ2501" t="s">
        <v>11098</v>
      </c>
      <c r="AR2501" t="s">
        <v>11466</v>
      </c>
      <c r="AS2501" t="s">
        <v>11595</v>
      </c>
      <c r="AY2501" t="s">
        <v>10830</v>
      </c>
      <c r="AZ2501" t="s">
        <v>11684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</row>
    <row r="2502" spans="1:59">
      <c r="A2502" s="1">
        <f>HYPERLINK("https://lsnyc.legalserver.org/matter/dynamic-profile/view/1906475","19-1906475")</f>
        <v>0</v>
      </c>
      <c r="B2502" t="s">
        <v>2023</v>
      </c>
      <c r="C2502" t="s">
        <v>6816</v>
      </c>
      <c r="D2502" t="s">
        <v>9928</v>
      </c>
      <c r="E2502" t="s">
        <v>10075</v>
      </c>
      <c r="F2502">
        <v>11221</v>
      </c>
      <c r="G2502" t="s">
        <v>10093</v>
      </c>
      <c r="H2502" t="s">
        <v>10104</v>
      </c>
      <c r="I2502" t="s">
        <v>10168</v>
      </c>
      <c r="J2502" t="s">
        <v>10213</v>
      </c>
      <c r="K2502" t="s">
        <v>10217</v>
      </c>
      <c r="M2502" t="s">
        <v>10264</v>
      </c>
      <c r="N2502" t="s">
        <v>10668</v>
      </c>
      <c r="P2502" t="s">
        <v>10751</v>
      </c>
      <c r="Q2502" t="s">
        <v>10761</v>
      </c>
      <c r="R2502" t="s">
        <v>10824</v>
      </c>
      <c r="T2502">
        <v>0</v>
      </c>
      <c r="U2502">
        <v>0</v>
      </c>
      <c r="V2502">
        <v>39</v>
      </c>
      <c r="W2502">
        <v>1</v>
      </c>
      <c r="X2502">
        <v>0</v>
      </c>
      <c r="Z2502">
        <v>0</v>
      </c>
      <c r="AA2502">
        <v>40.691804</v>
      </c>
      <c r="AB2502">
        <v>-73.93956900000001</v>
      </c>
      <c r="AD2502" t="s">
        <v>10839</v>
      </c>
      <c r="AG2502" t="s">
        <v>10858</v>
      </c>
      <c r="AH2502" t="s">
        <v>10862</v>
      </c>
      <c r="AI2502">
        <v>239</v>
      </c>
      <c r="AJ2502" t="s">
        <v>10213</v>
      </c>
      <c r="AL2502">
        <v>0</v>
      </c>
      <c r="AR2502" t="s">
        <v>11279</v>
      </c>
      <c r="AS2502" t="s">
        <v>11595</v>
      </c>
      <c r="BA2502" t="s">
        <v>11742</v>
      </c>
      <c r="BB2502">
        <v>0</v>
      </c>
      <c r="BC2502">
        <v>0</v>
      </c>
      <c r="BD2502">
        <v>0</v>
      </c>
      <c r="BE2502">
        <v>0</v>
      </c>
      <c r="BF2502">
        <v>7</v>
      </c>
      <c r="BG2502">
        <v>0</v>
      </c>
    </row>
    <row r="2503" spans="1:59">
      <c r="A2503" s="1">
        <f>HYPERLINK("https://lsnyc.legalserver.org/matter/dynamic-profile/view/1906476","19-1906476")</f>
        <v>0</v>
      </c>
      <c r="B2503" t="s">
        <v>2118</v>
      </c>
      <c r="C2503" t="s">
        <v>6910</v>
      </c>
      <c r="D2503" t="s">
        <v>9926</v>
      </c>
      <c r="E2503" t="s">
        <v>10075</v>
      </c>
      <c r="F2503">
        <v>10460</v>
      </c>
      <c r="G2503" t="s">
        <v>10090</v>
      </c>
      <c r="H2503" t="s">
        <v>10104</v>
      </c>
      <c r="I2503" t="s">
        <v>10168</v>
      </c>
      <c r="J2503" t="s">
        <v>10210</v>
      </c>
      <c r="K2503" t="s">
        <v>10217</v>
      </c>
      <c r="M2503" t="s">
        <v>10571</v>
      </c>
      <c r="N2503" t="s">
        <v>10666</v>
      </c>
      <c r="P2503" t="s">
        <v>10749</v>
      </c>
      <c r="Q2503" t="s">
        <v>10765</v>
      </c>
      <c r="R2503" t="s">
        <v>10824</v>
      </c>
      <c r="T2503">
        <v>6768</v>
      </c>
      <c r="U2503">
        <v>564</v>
      </c>
      <c r="V2503">
        <v>60</v>
      </c>
      <c r="W2503">
        <v>1</v>
      </c>
      <c r="X2503">
        <v>0</v>
      </c>
      <c r="Z2503">
        <v>54.19</v>
      </c>
      <c r="AA2503">
        <v>40.836178</v>
      </c>
      <c r="AB2503">
        <v>-73.887618</v>
      </c>
      <c r="AD2503" t="s">
        <v>10840</v>
      </c>
      <c r="AG2503" t="s">
        <v>10858</v>
      </c>
      <c r="AH2503" t="s">
        <v>10862</v>
      </c>
      <c r="AI2503">
        <v>230</v>
      </c>
      <c r="AJ2503" t="s">
        <v>10210</v>
      </c>
      <c r="AL2503">
        <v>3</v>
      </c>
      <c r="AM2503" t="s">
        <v>10884</v>
      </c>
      <c r="AN2503" t="s">
        <v>10918</v>
      </c>
      <c r="AO2503" t="s">
        <v>11001</v>
      </c>
      <c r="AP2503" t="s">
        <v>11062</v>
      </c>
      <c r="AR2503" t="s">
        <v>11263</v>
      </c>
      <c r="AS2503" t="s">
        <v>9926</v>
      </c>
      <c r="BA2503" t="s">
        <v>11738</v>
      </c>
      <c r="BB2503">
        <v>0</v>
      </c>
      <c r="BC2503">
        <v>0</v>
      </c>
      <c r="BD2503">
        <v>0</v>
      </c>
      <c r="BE2503">
        <v>0</v>
      </c>
      <c r="BF2503">
        <v>5</v>
      </c>
      <c r="BG2503">
        <v>0</v>
      </c>
    </row>
    <row r="2504" spans="1:59">
      <c r="A2504" s="1">
        <f>HYPERLINK("https://lsnyc.legalserver.org/matter/dynamic-profile/view/1906477","19-1906477")</f>
        <v>0</v>
      </c>
      <c r="B2504" t="s">
        <v>2119</v>
      </c>
      <c r="C2504" t="s">
        <v>6911</v>
      </c>
      <c r="D2504" t="s">
        <v>9929</v>
      </c>
      <c r="E2504" t="s">
        <v>10075</v>
      </c>
      <c r="F2504">
        <v>10302</v>
      </c>
      <c r="G2504" t="s">
        <v>10088</v>
      </c>
      <c r="H2504" t="s">
        <v>10104</v>
      </c>
      <c r="I2504" t="s">
        <v>10169</v>
      </c>
      <c r="J2504" t="s">
        <v>10208</v>
      </c>
      <c r="K2504" t="s">
        <v>10217</v>
      </c>
      <c r="M2504" t="s">
        <v>10376</v>
      </c>
      <c r="N2504" t="s">
        <v>10649</v>
      </c>
      <c r="P2504" t="s">
        <v>10753</v>
      </c>
      <c r="Q2504" t="s">
        <v>10763</v>
      </c>
      <c r="R2504" t="s">
        <v>10821</v>
      </c>
      <c r="T2504">
        <v>0</v>
      </c>
      <c r="U2504">
        <v>0</v>
      </c>
      <c r="V2504">
        <v>8</v>
      </c>
      <c r="W2504">
        <v>2</v>
      </c>
      <c r="X2504">
        <v>1</v>
      </c>
      <c r="Z2504">
        <v>0</v>
      </c>
      <c r="AA2504">
        <v>40.638479</v>
      </c>
      <c r="AB2504">
        <v>-74.142186</v>
      </c>
      <c r="AD2504" t="s">
        <v>10839</v>
      </c>
      <c r="AF2504" t="s">
        <v>10846</v>
      </c>
      <c r="AG2504" t="s">
        <v>10859</v>
      </c>
      <c r="AH2504" t="s">
        <v>10864</v>
      </c>
      <c r="AI2504">
        <v>285</v>
      </c>
      <c r="AJ2504" t="s">
        <v>10208</v>
      </c>
      <c r="AL2504">
        <v>1.5</v>
      </c>
      <c r="AM2504" t="s">
        <v>10883</v>
      </c>
      <c r="AN2504" t="s">
        <v>10913</v>
      </c>
      <c r="AO2504" t="s">
        <v>11006</v>
      </c>
      <c r="AP2504" t="s">
        <v>11051</v>
      </c>
      <c r="AR2504" t="s">
        <v>11267</v>
      </c>
      <c r="AS2504" t="s">
        <v>11593</v>
      </c>
      <c r="AT2504" t="s">
        <v>11641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</row>
    <row r="2505" spans="1:59">
      <c r="A2505" s="1">
        <f>HYPERLINK("https://lsnyc.legalserver.org/matter/dynamic-profile/view/1906478","19-1906478")</f>
        <v>0</v>
      </c>
      <c r="B2505" t="s">
        <v>1908</v>
      </c>
      <c r="C2505" t="s">
        <v>6703</v>
      </c>
      <c r="D2505" t="s">
        <v>9929</v>
      </c>
      <c r="E2505" t="s">
        <v>10075</v>
      </c>
      <c r="F2505">
        <v>10308</v>
      </c>
      <c r="G2505" t="s">
        <v>10088</v>
      </c>
      <c r="H2505" t="s">
        <v>10103</v>
      </c>
      <c r="J2505" t="s">
        <v>10208</v>
      </c>
      <c r="K2505" t="s">
        <v>10217</v>
      </c>
      <c r="M2505" t="s">
        <v>10237</v>
      </c>
      <c r="N2505" t="s">
        <v>10652</v>
      </c>
      <c r="P2505" t="s">
        <v>10754</v>
      </c>
      <c r="Q2505" t="s">
        <v>10777</v>
      </c>
      <c r="R2505" t="s">
        <v>10825</v>
      </c>
      <c r="T2505">
        <v>0</v>
      </c>
      <c r="U2505">
        <v>0</v>
      </c>
      <c r="V2505">
        <v>27</v>
      </c>
      <c r="W2505">
        <v>1</v>
      </c>
      <c r="X2505">
        <v>1</v>
      </c>
      <c r="Z2505">
        <v>0</v>
      </c>
      <c r="AA2505">
        <v>40.545172</v>
      </c>
      <c r="AB2505">
        <v>-74.15663600000001</v>
      </c>
      <c r="AD2505" t="s">
        <v>10839</v>
      </c>
      <c r="AG2505" t="s">
        <v>10858</v>
      </c>
      <c r="AH2505" t="s">
        <v>10865</v>
      </c>
      <c r="AI2505">
        <v>285</v>
      </c>
      <c r="AJ2505" t="s">
        <v>10208</v>
      </c>
      <c r="AL2505">
        <v>0.5</v>
      </c>
      <c r="AM2505" t="s">
        <v>10883</v>
      </c>
      <c r="AN2505" t="s">
        <v>10915</v>
      </c>
      <c r="AO2505" t="s">
        <v>10999</v>
      </c>
      <c r="AP2505" t="s">
        <v>11044</v>
      </c>
      <c r="AQ2505" t="s">
        <v>11216</v>
      </c>
      <c r="AR2505" t="s">
        <v>11267</v>
      </c>
      <c r="AS2505" t="s">
        <v>11593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</row>
    <row r="2506" spans="1:59">
      <c r="A2506" s="1">
        <f>HYPERLINK("https://lsnyc.legalserver.org/matter/dynamic-profile/view/1906479","19-1906479")</f>
        <v>0</v>
      </c>
      <c r="B2506" t="s">
        <v>2120</v>
      </c>
      <c r="C2506" t="s">
        <v>6912</v>
      </c>
      <c r="D2506" t="s">
        <v>9926</v>
      </c>
      <c r="E2506" t="s">
        <v>10075</v>
      </c>
      <c r="F2506">
        <v>10457</v>
      </c>
      <c r="G2506" t="s">
        <v>10090</v>
      </c>
      <c r="H2506" t="s">
        <v>10104</v>
      </c>
      <c r="J2506" t="s">
        <v>10210</v>
      </c>
      <c r="K2506" t="s">
        <v>10218</v>
      </c>
      <c r="L2506" t="s">
        <v>10140</v>
      </c>
      <c r="M2506" t="s">
        <v>10571</v>
      </c>
      <c r="N2506" t="s">
        <v>10651</v>
      </c>
      <c r="P2506" t="s">
        <v>10749</v>
      </c>
      <c r="Q2506" t="s">
        <v>10765</v>
      </c>
      <c r="R2506" t="s">
        <v>10824</v>
      </c>
      <c r="T2506">
        <v>14028</v>
      </c>
      <c r="U2506">
        <v>1169</v>
      </c>
      <c r="V2506">
        <v>55</v>
      </c>
      <c r="W2506">
        <v>1</v>
      </c>
      <c r="X2506">
        <v>1</v>
      </c>
      <c r="Y2506" t="s">
        <v>10831</v>
      </c>
      <c r="Z2506">
        <v>82.95999999999999</v>
      </c>
      <c r="AA2506">
        <v>40.846966</v>
      </c>
      <c r="AB2506">
        <v>-73.90711899999999</v>
      </c>
      <c r="AD2506" t="s">
        <v>10839</v>
      </c>
      <c r="AG2506" t="s">
        <v>10858</v>
      </c>
      <c r="AH2506" t="s">
        <v>10862</v>
      </c>
      <c r="AI2506">
        <v>230</v>
      </c>
      <c r="AJ2506" t="s">
        <v>10210</v>
      </c>
      <c r="AK2506" t="s">
        <v>10882</v>
      </c>
      <c r="AL2506">
        <v>0.1</v>
      </c>
      <c r="AM2506" t="s">
        <v>10884</v>
      </c>
      <c r="AN2506" t="s">
        <v>10931</v>
      </c>
      <c r="AO2506" t="s">
        <v>11000</v>
      </c>
      <c r="AP2506" t="s">
        <v>11056</v>
      </c>
      <c r="AR2506" t="s">
        <v>11294</v>
      </c>
      <c r="AS2506" t="s">
        <v>9926</v>
      </c>
      <c r="AY2506" t="s">
        <v>10831</v>
      </c>
      <c r="AZ2506" t="s">
        <v>11687</v>
      </c>
      <c r="BA2506" t="s">
        <v>11738</v>
      </c>
      <c r="BB2506">
        <v>0</v>
      </c>
      <c r="BC2506">
        <v>0</v>
      </c>
      <c r="BD2506">
        <v>0</v>
      </c>
      <c r="BE2506">
        <v>0</v>
      </c>
      <c r="BF2506">
        <v>5</v>
      </c>
      <c r="BG2506">
        <v>0</v>
      </c>
    </row>
    <row r="2507" spans="1:59">
      <c r="A2507" s="1">
        <f>HYPERLINK("https://lsnyc.legalserver.org/matter/dynamic-profile/view/1906480","19-1906480")</f>
        <v>0</v>
      </c>
      <c r="B2507" t="s">
        <v>2121</v>
      </c>
      <c r="C2507" t="s">
        <v>6913</v>
      </c>
      <c r="D2507" t="s">
        <v>9954</v>
      </c>
      <c r="E2507" t="s">
        <v>10075</v>
      </c>
      <c r="F2507">
        <v>11372</v>
      </c>
      <c r="G2507" t="s">
        <v>10092</v>
      </c>
      <c r="H2507" t="s">
        <v>10104</v>
      </c>
      <c r="J2507" t="s">
        <v>10212</v>
      </c>
      <c r="K2507" t="s">
        <v>10218</v>
      </c>
      <c r="L2507" t="s">
        <v>10101</v>
      </c>
      <c r="M2507" t="s">
        <v>10485</v>
      </c>
      <c r="N2507" t="s">
        <v>10678</v>
      </c>
      <c r="P2507" t="s">
        <v>10749</v>
      </c>
      <c r="Q2507" t="s">
        <v>10769</v>
      </c>
      <c r="R2507" t="s">
        <v>10821</v>
      </c>
      <c r="T2507">
        <v>30000</v>
      </c>
      <c r="U2507">
        <v>2500</v>
      </c>
      <c r="V2507">
        <v>38</v>
      </c>
      <c r="W2507">
        <v>4</v>
      </c>
      <c r="X2507">
        <v>0</v>
      </c>
      <c r="Y2507" t="s">
        <v>10830</v>
      </c>
      <c r="Z2507">
        <v>116.5</v>
      </c>
      <c r="AA2507">
        <v>40.751921</v>
      </c>
      <c r="AB2507">
        <v>-73.88615</v>
      </c>
      <c r="AD2507" t="s">
        <v>10839</v>
      </c>
      <c r="AG2507" t="s">
        <v>10858</v>
      </c>
      <c r="AH2507" t="s">
        <v>10860</v>
      </c>
      <c r="AI2507">
        <v>237</v>
      </c>
      <c r="AJ2507" t="s">
        <v>10212</v>
      </c>
      <c r="AK2507" t="s">
        <v>10838</v>
      </c>
      <c r="AL2507">
        <v>3</v>
      </c>
      <c r="AM2507" t="s">
        <v>10885</v>
      </c>
      <c r="AN2507" t="s">
        <v>10909</v>
      </c>
      <c r="AO2507" t="s">
        <v>11014</v>
      </c>
      <c r="AP2507" t="s">
        <v>11053</v>
      </c>
      <c r="AR2507" t="s">
        <v>11257</v>
      </c>
      <c r="AS2507" t="s">
        <v>11594</v>
      </c>
      <c r="AY2507" t="s">
        <v>10830</v>
      </c>
      <c r="AZ2507" t="s">
        <v>11681</v>
      </c>
      <c r="BA2507" t="s">
        <v>11740</v>
      </c>
      <c r="BB2507">
        <v>0</v>
      </c>
      <c r="BC2507">
        <v>0</v>
      </c>
      <c r="BD2507">
        <v>0</v>
      </c>
      <c r="BE2507">
        <v>0</v>
      </c>
      <c r="BF2507">
        <v>2</v>
      </c>
      <c r="BG2507">
        <v>0</v>
      </c>
    </row>
    <row r="2508" spans="1:59">
      <c r="A2508" s="1">
        <f>HYPERLINK("https://lsnyc.legalserver.org/matter/dynamic-profile/view/1906483","19-1906483")</f>
        <v>0</v>
      </c>
      <c r="B2508" t="s">
        <v>2073</v>
      </c>
      <c r="C2508" t="s">
        <v>6866</v>
      </c>
      <c r="D2508" t="s">
        <v>9928</v>
      </c>
      <c r="E2508" t="s">
        <v>10075</v>
      </c>
      <c r="F2508">
        <v>11213</v>
      </c>
      <c r="G2508" t="s">
        <v>10093</v>
      </c>
      <c r="H2508" t="s">
        <v>10104</v>
      </c>
      <c r="I2508" t="s">
        <v>10168</v>
      </c>
      <c r="J2508" t="s">
        <v>10213</v>
      </c>
      <c r="K2508" t="s">
        <v>10217</v>
      </c>
      <c r="M2508" t="s">
        <v>10290</v>
      </c>
      <c r="N2508" t="s">
        <v>10694</v>
      </c>
      <c r="P2508" t="s">
        <v>10751</v>
      </c>
      <c r="Q2508" t="s">
        <v>10773</v>
      </c>
      <c r="R2508" t="s">
        <v>10821</v>
      </c>
      <c r="T2508">
        <v>10140</v>
      </c>
      <c r="U2508">
        <v>845</v>
      </c>
      <c r="V2508">
        <v>25</v>
      </c>
      <c r="W2508">
        <v>1</v>
      </c>
      <c r="X2508">
        <v>0</v>
      </c>
      <c r="Z2508">
        <v>81.18000000000001</v>
      </c>
      <c r="AA2508">
        <v>40.673283</v>
      </c>
      <c r="AB2508">
        <v>-73.933184</v>
      </c>
      <c r="AD2508" t="s">
        <v>10840</v>
      </c>
      <c r="AG2508" t="s">
        <v>10858</v>
      </c>
      <c r="AH2508" t="s">
        <v>10861</v>
      </c>
      <c r="AI2508">
        <v>234</v>
      </c>
      <c r="AJ2508" t="s">
        <v>10214</v>
      </c>
      <c r="AL2508">
        <v>3.45</v>
      </c>
      <c r="AR2508" t="s">
        <v>11257</v>
      </c>
      <c r="AS2508" t="s">
        <v>11595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</row>
    <row r="2509" spans="1:59">
      <c r="A2509" s="1">
        <f>HYPERLINK("https://lsnyc.legalserver.org/matter/dynamic-profile/view/1906484","19-1906484")</f>
        <v>0</v>
      </c>
      <c r="B2509" t="s">
        <v>2122</v>
      </c>
      <c r="C2509" t="s">
        <v>6914</v>
      </c>
      <c r="D2509" t="s">
        <v>9928</v>
      </c>
      <c r="E2509" t="s">
        <v>10075</v>
      </c>
      <c r="F2509">
        <v>11208</v>
      </c>
      <c r="G2509" t="s">
        <v>10093</v>
      </c>
      <c r="H2509" t="s">
        <v>10104</v>
      </c>
      <c r="I2509" t="s">
        <v>10168</v>
      </c>
      <c r="J2509" t="s">
        <v>10213</v>
      </c>
      <c r="K2509" t="s">
        <v>10217</v>
      </c>
      <c r="M2509" t="s">
        <v>10565</v>
      </c>
      <c r="N2509" t="s">
        <v>10664</v>
      </c>
      <c r="P2509" t="s">
        <v>10749</v>
      </c>
      <c r="Q2509" t="s">
        <v>10765</v>
      </c>
      <c r="R2509" t="s">
        <v>10821</v>
      </c>
      <c r="T2509">
        <v>3120</v>
      </c>
      <c r="U2509">
        <v>260</v>
      </c>
      <c r="V2509">
        <v>42</v>
      </c>
      <c r="W2509">
        <v>1</v>
      </c>
      <c r="X2509">
        <v>1</v>
      </c>
      <c r="Z2509">
        <v>18.45</v>
      </c>
      <c r="AA2509">
        <v>40.678323</v>
      </c>
      <c r="AB2509">
        <v>-73.868668</v>
      </c>
      <c r="AD2509" t="s">
        <v>10839</v>
      </c>
      <c r="AG2509" t="s">
        <v>10858</v>
      </c>
      <c r="AH2509" t="s">
        <v>10861</v>
      </c>
      <c r="AI2509">
        <v>239</v>
      </c>
      <c r="AJ2509" t="s">
        <v>10213</v>
      </c>
      <c r="AL2509">
        <v>0</v>
      </c>
      <c r="AM2509" t="s">
        <v>10889</v>
      </c>
      <c r="AN2509" t="s">
        <v>10920</v>
      </c>
      <c r="AO2509" t="s">
        <v>11012</v>
      </c>
      <c r="AP2509" t="s">
        <v>11058</v>
      </c>
      <c r="AR2509" t="s">
        <v>11254</v>
      </c>
      <c r="AS2509" t="s">
        <v>11595</v>
      </c>
      <c r="BA2509" t="s">
        <v>11742</v>
      </c>
      <c r="BB2509">
        <v>0</v>
      </c>
      <c r="BC2509">
        <v>0</v>
      </c>
      <c r="BD2509">
        <v>0</v>
      </c>
      <c r="BE2509">
        <v>0</v>
      </c>
      <c r="BF2509">
        <v>7</v>
      </c>
      <c r="BG2509">
        <v>0</v>
      </c>
    </row>
    <row r="2510" spans="1:59">
      <c r="A2510" s="1">
        <f>HYPERLINK("https://lsnyc.legalserver.org/matter/dynamic-profile/view/1906485","19-1906485")</f>
        <v>0</v>
      </c>
      <c r="B2510" t="s">
        <v>2123</v>
      </c>
      <c r="C2510" t="s">
        <v>6915</v>
      </c>
      <c r="D2510" t="s">
        <v>9926</v>
      </c>
      <c r="E2510" t="s">
        <v>10075</v>
      </c>
      <c r="F2510">
        <v>10472</v>
      </c>
      <c r="G2510" t="s">
        <v>10090</v>
      </c>
      <c r="H2510" t="s">
        <v>10104</v>
      </c>
      <c r="I2510" t="s">
        <v>10168</v>
      </c>
      <c r="J2510" t="s">
        <v>10210</v>
      </c>
      <c r="K2510" t="s">
        <v>10218</v>
      </c>
      <c r="L2510" t="s">
        <v>10143</v>
      </c>
      <c r="M2510" t="s">
        <v>10262</v>
      </c>
      <c r="N2510" t="s">
        <v>10666</v>
      </c>
      <c r="P2510" t="s">
        <v>10749</v>
      </c>
      <c r="Q2510" t="s">
        <v>10765</v>
      </c>
      <c r="R2510" t="s">
        <v>10824</v>
      </c>
      <c r="T2510">
        <v>0</v>
      </c>
      <c r="U2510">
        <v>0</v>
      </c>
      <c r="V2510">
        <v>28</v>
      </c>
      <c r="W2510">
        <v>1</v>
      </c>
      <c r="X2510">
        <v>0</v>
      </c>
      <c r="Y2510" t="s">
        <v>10829</v>
      </c>
      <c r="Z2510">
        <v>0</v>
      </c>
      <c r="AA2510">
        <v>40.827124</v>
      </c>
      <c r="AB2510">
        <v>-73.877593</v>
      </c>
      <c r="AD2510" t="s">
        <v>10840</v>
      </c>
      <c r="AG2510" t="s">
        <v>10858</v>
      </c>
      <c r="AH2510" t="s">
        <v>10861</v>
      </c>
      <c r="AI2510">
        <v>230</v>
      </c>
      <c r="AJ2510" t="s">
        <v>10210</v>
      </c>
      <c r="AK2510" t="s">
        <v>10838</v>
      </c>
      <c r="AL2510">
        <v>1.5</v>
      </c>
      <c r="AM2510" t="s">
        <v>10884</v>
      </c>
      <c r="AN2510" t="s">
        <v>10968</v>
      </c>
      <c r="AO2510" t="s">
        <v>11001</v>
      </c>
      <c r="AP2510" t="s">
        <v>11046</v>
      </c>
      <c r="AR2510" t="s">
        <v>11267</v>
      </c>
      <c r="AS2510" t="s">
        <v>9926</v>
      </c>
      <c r="AT2510" t="s">
        <v>11642</v>
      </c>
      <c r="AX2510" t="s">
        <v>10838</v>
      </c>
      <c r="AY2510" t="s">
        <v>10829</v>
      </c>
      <c r="AZ2510" t="s">
        <v>11681</v>
      </c>
      <c r="BA2510" t="s">
        <v>11741</v>
      </c>
      <c r="BB2510">
        <v>0</v>
      </c>
      <c r="BC2510">
        <v>0</v>
      </c>
      <c r="BD2510">
        <v>0</v>
      </c>
      <c r="BE2510">
        <v>0</v>
      </c>
      <c r="BF2510">
        <v>1</v>
      </c>
      <c r="BG2510">
        <v>0</v>
      </c>
    </row>
    <row r="2511" spans="1:59">
      <c r="A2511" s="1">
        <f>HYPERLINK("https://lsnyc.legalserver.org/matter/dynamic-profile/view/1906486","19-1906486")</f>
        <v>0</v>
      </c>
      <c r="B2511" t="s">
        <v>2124</v>
      </c>
      <c r="C2511" t="s">
        <v>6916</v>
      </c>
      <c r="D2511" t="s">
        <v>9926</v>
      </c>
      <c r="E2511" t="s">
        <v>10075</v>
      </c>
      <c r="F2511">
        <v>10467</v>
      </c>
      <c r="G2511" t="s">
        <v>10093</v>
      </c>
      <c r="H2511" t="s">
        <v>10104</v>
      </c>
      <c r="I2511" t="s">
        <v>10168</v>
      </c>
      <c r="J2511" t="s">
        <v>10213</v>
      </c>
      <c r="K2511" t="s">
        <v>10218</v>
      </c>
      <c r="L2511" t="s">
        <v>10129</v>
      </c>
      <c r="M2511" t="s">
        <v>10436</v>
      </c>
      <c r="N2511" t="s">
        <v>10710</v>
      </c>
      <c r="P2511" t="s">
        <v>10750</v>
      </c>
      <c r="Q2511" t="s">
        <v>10760</v>
      </c>
      <c r="R2511" t="s">
        <v>10825</v>
      </c>
      <c r="T2511">
        <v>14292</v>
      </c>
      <c r="U2511">
        <v>1191</v>
      </c>
      <c r="V2511">
        <v>62</v>
      </c>
      <c r="W2511">
        <v>1</v>
      </c>
      <c r="X2511">
        <v>0</v>
      </c>
      <c r="Y2511" t="s">
        <v>10829</v>
      </c>
      <c r="Z2511">
        <v>114.43</v>
      </c>
      <c r="AA2511">
        <v>40.884662</v>
      </c>
      <c r="AB2511">
        <v>-73.860365</v>
      </c>
      <c r="AD2511" t="s">
        <v>10839</v>
      </c>
      <c r="AG2511" t="s">
        <v>10858</v>
      </c>
      <c r="AH2511" t="s">
        <v>10861</v>
      </c>
      <c r="AI2511">
        <v>234</v>
      </c>
      <c r="AJ2511" t="s">
        <v>10214</v>
      </c>
      <c r="AK2511" t="s">
        <v>10838</v>
      </c>
      <c r="AL2511">
        <v>0.95</v>
      </c>
      <c r="AM2511" t="s">
        <v>10893</v>
      </c>
      <c r="AN2511" t="s">
        <v>10956</v>
      </c>
      <c r="AO2511" t="s">
        <v>11010</v>
      </c>
      <c r="AP2511" t="s">
        <v>11085</v>
      </c>
      <c r="AR2511" t="s">
        <v>11296</v>
      </c>
      <c r="AS2511" t="s">
        <v>9926</v>
      </c>
      <c r="AT2511" t="s">
        <v>11641</v>
      </c>
      <c r="AX2511" t="s">
        <v>10838</v>
      </c>
      <c r="AY2511" t="s">
        <v>10829</v>
      </c>
      <c r="AZ2511" t="s">
        <v>11679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</row>
    <row r="2512" spans="1:59">
      <c r="A2512" s="1">
        <f>HYPERLINK("https://lsnyc.legalserver.org/matter/dynamic-profile/view/1906487","19-1906487")</f>
        <v>0</v>
      </c>
      <c r="B2512" t="s">
        <v>1998</v>
      </c>
      <c r="C2512" t="s">
        <v>6790</v>
      </c>
      <c r="D2512" t="s">
        <v>9928</v>
      </c>
      <c r="E2512" t="s">
        <v>10075</v>
      </c>
      <c r="F2512">
        <v>11206</v>
      </c>
      <c r="G2512" t="s">
        <v>10093</v>
      </c>
      <c r="H2512" t="s">
        <v>10104</v>
      </c>
      <c r="I2512" t="s">
        <v>10168</v>
      </c>
      <c r="J2512" t="s">
        <v>10213</v>
      </c>
      <c r="K2512" t="s">
        <v>10217</v>
      </c>
      <c r="M2512" t="s">
        <v>10435</v>
      </c>
      <c r="N2512" t="s">
        <v>10646</v>
      </c>
      <c r="P2512" t="s">
        <v>10750</v>
      </c>
      <c r="Q2512" t="s">
        <v>10779</v>
      </c>
      <c r="R2512" t="s">
        <v>10827</v>
      </c>
      <c r="T2512">
        <v>45600</v>
      </c>
      <c r="U2512">
        <v>3800</v>
      </c>
      <c r="V2512">
        <v>56</v>
      </c>
      <c r="W2512">
        <v>1</v>
      </c>
      <c r="X2512">
        <v>0</v>
      </c>
      <c r="Z2512">
        <v>365.09</v>
      </c>
      <c r="AA2512">
        <v>40.709691</v>
      </c>
      <c r="AB2512">
        <v>-73.943248</v>
      </c>
      <c r="AD2512" t="s">
        <v>10839</v>
      </c>
      <c r="AG2512" t="s">
        <v>10858</v>
      </c>
      <c r="AH2512" t="s">
        <v>10861</v>
      </c>
      <c r="AI2512">
        <v>234</v>
      </c>
      <c r="AJ2512" t="s">
        <v>10214</v>
      </c>
      <c r="AL2512">
        <v>18.5</v>
      </c>
      <c r="AM2512" t="s">
        <v>10886</v>
      </c>
      <c r="AN2512" t="s">
        <v>10942</v>
      </c>
      <c r="AO2512" t="s">
        <v>11011</v>
      </c>
      <c r="AP2512" t="s">
        <v>11071</v>
      </c>
      <c r="AR2512" t="s">
        <v>11257</v>
      </c>
      <c r="AS2512" t="s">
        <v>11595</v>
      </c>
      <c r="AT2512" t="s">
        <v>11641</v>
      </c>
      <c r="AX2512" t="s">
        <v>10838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</row>
    <row r="2513" spans="1:59">
      <c r="A2513" s="1">
        <f>HYPERLINK("https://lsnyc.legalserver.org/matter/dynamic-profile/view/1906488","19-1906488")</f>
        <v>0</v>
      </c>
      <c r="B2513" t="s">
        <v>2125</v>
      </c>
      <c r="C2513" t="s">
        <v>6917</v>
      </c>
      <c r="D2513" t="s">
        <v>9931</v>
      </c>
      <c r="E2513" t="s">
        <v>10075</v>
      </c>
      <c r="F2513">
        <v>11355</v>
      </c>
      <c r="G2513" t="s">
        <v>10092</v>
      </c>
      <c r="H2513" t="s">
        <v>10104</v>
      </c>
      <c r="I2513" t="s">
        <v>10188</v>
      </c>
      <c r="J2513" t="s">
        <v>10212</v>
      </c>
      <c r="K2513" t="s">
        <v>10218</v>
      </c>
      <c r="L2513" t="s">
        <v>10157</v>
      </c>
      <c r="M2513" t="s">
        <v>10342</v>
      </c>
      <c r="N2513" t="s">
        <v>10650</v>
      </c>
      <c r="P2513" t="s">
        <v>10749</v>
      </c>
      <c r="Q2513" t="s">
        <v>10765</v>
      </c>
      <c r="R2513" t="s">
        <v>10827</v>
      </c>
      <c r="T2513">
        <v>20000</v>
      </c>
      <c r="U2513">
        <v>1666.67</v>
      </c>
      <c r="V2513">
        <v>47</v>
      </c>
      <c r="W2513">
        <v>2</v>
      </c>
      <c r="X2513">
        <v>1</v>
      </c>
      <c r="Y2513" t="s">
        <v>10830</v>
      </c>
      <c r="Z2513">
        <v>93.76000000000001</v>
      </c>
      <c r="AA2513">
        <v>40.75573</v>
      </c>
      <c r="AB2513">
        <v>-73.82973200000001</v>
      </c>
      <c r="AD2513" t="s">
        <v>10840</v>
      </c>
      <c r="AF2513" t="s">
        <v>10843</v>
      </c>
      <c r="AG2513" t="s">
        <v>10859</v>
      </c>
      <c r="AH2513" t="s">
        <v>10862</v>
      </c>
      <c r="AI2513">
        <v>237</v>
      </c>
      <c r="AJ2513" t="s">
        <v>10212</v>
      </c>
      <c r="AK2513" t="s">
        <v>10838</v>
      </c>
      <c r="AL2513">
        <v>3.85</v>
      </c>
      <c r="AM2513" t="s">
        <v>10890</v>
      </c>
      <c r="AN2513" t="s">
        <v>10927</v>
      </c>
      <c r="AO2513" t="s">
        <v>11009</v>
      </c>
      <c r="AP2513" t="s">
        <v>11067</v>
      </c>
      <c r="AR2513" t="s">
        <v>11257</v>
      </c>
      <c r="AS2513" t="s">
        <v>11594</v>
      </c>
      <c r="AY2513" t="s">
        <v>10830</v>
      </c>
      <c r="AZ2513" t="s">
        <v>11690</v>
      </c>
      <c r="BA2513" t="s">
        <v>11740</v>
      </c>
      <c r="BB2513">
        <v>0</v>
      </c>
      <c r="BC2513">
        <v>0</v>
      </c>
      <c r="BD2513">
        <v>0</v>
      </c>
      <c r="BE2513">
        <v>0</v>
      </c>
      <c r="BF2513">
        <v>2</v>
      </c>
      <c r="BG2513">
        <v>0</v>
      </c>
    </row>
    <row r="2514" spans="1:59">
      <c r="A2514" s="1">
        <f>HYPERLINK("https://lsnyc.legalserver.org/matter/dynamic-profile/view/1906489","19-1906489")</f>
        <v>0</v>
      </c>
      <c r="B2514" t="s">
        <v>2126</v>
      </c>
      <c r="C2514" t="s">
        <v>6918</v>
      </c>
      <c r="D2514" t="s">
        <v>9928</v>
      </c>
      <c r="E2514" t="s">
        <v>10075</v>
      </c>
      <c r="F2514">
        <v>11208</v>
      </c>
      <c r="G2514" t="s">
        <v>10093</v>
      </c>
      <c r="H2514" t="s">
        <v>10104</v>
      </c>
      <c r="I2514" t="s">
        <v>10169</v>
      </c>
      <c r="J2514" t="s">
        <v>10213</v>
      </c>
      <c r="K2514" t="s">
        <v>10218</v>
      </c>
      <c r="L2514" t="s">
        <v>10141</v>
      </c>
      <c r="M2514" t="s">
        <v>10252</v>
      </c>
      <c r="N2514" t="s">
        <v>10671</v>
      </c>
      <c r="P2514" t="s">
        <v>10751</v>
      </c>
      <c r="Q2514" t="s">
        <v>10780</v>
      </c>
      <c r="R2514" t="s">
        <v>10823</v>
      </c>
      <c r="T2514">
        <v>4888</v>
      </c>
      <c r="U2514">
        <v>407.33</v>
      </c>
      <c r="V2514">
        <v>29</v>
      </c>
      <c r="W2514">
        <v>1</v>
      </c>
      <c r="X2514">
        <v>0</v>
      </c>
      <c r="Y2514" t="s">
        <v>10829</v>
      </c>
      <c r="Z2514">
        <v>39.14</v>
      </c>
      <c r="AA2514">
        <v>40.668279</v>
      </c>
      <c r="AB2514">
        <v>-73.875973</v>
      </c>
      <c r="AD2514" t="s">
        <v>10840</v>
      </c>
      <c r="AG2514" t="s">
        <v>10858</v>
      </c>
      <c r="AH2514" t="s">
        <v>10861</v>
      </c>
      <c r="AI2514">
        <v>234</v>
      </c>
      <c r="AJ2514" t="s">
        <v>10214</v>
      </c>
      <c r="AK2514" t="s">
        <v>10838</v>
      </c>
      <c r="AL2514">
        <v>1.95</v>
      </c>
      <c r="AM2514" t="s">
        <v>10889</v>
      </c>
      <c r="AN2514" t="s">
        <v>10946</v>
      </c>
      <c r="AO2514" t="s">
        <v>11012</v>
      </c>
      <c r="AP2514" t="s">
        <v>11060</v>
      </c>
      <c r="AR2514" t="s">
        <v>11344</v>
      </c>
      <c r="AS2514" t="s">
        <v>11595</v>
      </c>
      <c r="AT2514" t="s">
        <v>11642</v>
      </c>
      <c r="AX2514" t="s">
        <v>10837</v>
      </c>
      <c r="AY2514" t="s">
        <v>10829</v>
      </c>
      <c r="AZ2514" t="s">
        <v>11682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</row>
    <row r="2515" spans="1:59">
      <c r="A2515" s="1">
        <f>HYPERLINK("https://lsnyc.legalserver.org/matter/dynamic-profile/view/1906492","19-1906492")</f>
        <v>0</v>
      </c>
      <c r="B2515" t="s">
        <v>2127</v>
      </c>
      <c r="C2515" t="s">
        <v>6919</v>
      </c>
      <c r="D2515" t="s">
        <v>9928</v>
      </c>
      <c r="E2515" t="s">
        <v>10075</v>
      </c>
      <c r="F2515">
        <v>11236</v>
      </c>
      <c r="G2515" t="s">
        <v>10093</v>
      </c>
      <c r="H2515" t="s">
        <v>10104</v>
      </c>
      <c r="I2515" t="s">
        <v>10168</v>
      </c>
      <c r="J2515" t="s">
        <v>10213</v>
      </c>
      <c r="K2515" t="s">
        <v>10218</v>
      </c>
      <c r="L2515" t="s">
        <v>10147</v>
      </c>
      <c r="M2515" t="s">
        <v>10436</v>
      </c>
      <c r="N2515" t="s">
        <v>10671</v>
      </c>
      <c r="P2515" t="s">
        <v>10750</v>
      </c>
      <c r="Q2515" t="s">
        <v>10760</v>
      </c>
      <c r="R2515" t="s">
        <v>10821</v>
      </c>
      <c r="T2515">
        <v>14268</v>
      </c>
      <c r="U2515">
        <v>1189</v>
      </c>
      <c r="V2515">
        <v>55</v>
      </c>
      <c r="W2515">
        <v>1</v>
      </c>
      <c r="X2515">
        <v>0</v>
      </c>
      <c r="Y2515" t="s">
        <v>10829</v>
      </c>
      <c r="Z2515">
        <v>114.24</v>
      </c>
      <c r="AA2515">
        <v>40.635134</v>
      </c>
      <c r="AB2515">
        <v>-73.885688</v>
      </c>
      <c r="AD2515" t="s">
        <v>10839</v>
      </c>
      <c r="AG2515" t="s">
        <v>10858</v>
      </c>
      <c r="AH2515" t="s">
        <v>10861</v>
      </c>
      <c r="AI2515">
        <v>234</v>
      </c>
      <c r="AJ2515" t="s">
        <v>10214</v>
      </c>
      <c r="AK2515" t="s">
        <v>10838</v>
      </c>
      <c r="AL2515">
        <v>1.5</v>
      </c>
      <c r="AM2515" t="s">
        <v>10889</v>
      </c>
      <c r="AN2515" t="s">
        <v>10959</v>
      </c>
      <c r="AO2515" t="s">
        <v>11012</v>
      </c>
      <c r="AP2515" t="s">
        <v>11072</v>
      </c>
      <c r="AR2515" t="s">
        <v>11296</v>
      </c>
      <c r="AS2515" t="s">
        <v>11595</v>
      </c>
      <c r="AT2515" t="s">
        <v>11641</v>
      </c>
      <c r="AX2515" t="s">
        <v>10838</v>
      </c>
      <c r="AY2515" t="s">
        <v>10829</v>
      </c>
      <c r="AZ2515" t="s">
        <v>11679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</row>
    <row r="2516" spans="1:59">
      <c r="A2516" s="1">
        <f>HYPERLINK("https://lsnyc.legalserver.org/matter/dynamic-profile/view/1906493","19-1906493")</f>
        <v>0</v>
      </c>
      <c r="B2516" t="s">
        <v>2128</v>
      </c>
      <c r="C2516" t="s">
        <v>6920</v>
      </c>
      <c r="D2516" t="s">
        <v>9938</v>
      </c>
      <c r="E2516" t="s">
        <v>10075</v>
      </c>
      <c r="F2516">
        <v>11434</v>
      </c>
      <c r="G2516" t="s">
        <v>10092</v>
      </c>
      <c r="H2516" t="s">
        <v>10104</v>
      </c>
      <c r="I2516" t="s">
        <v>10168</v>
      </c>
      <c r="J2516" t="s">
        <v>10212</v>
      </c>
      <c r="K2516" t="s">
        <v>10217</v>
      </c>
      <c r="M2516" t="s">
        <v>10555</v>
      </c>
      <c r="N2516" t="s">
        <v>10693</v>
      </c>
      <c r="P2516" t="s">
        <v>10749</v>
      </c>
      <c r="Q2516" t="s">
        <v>10765</v>
      </c>
      <c r="R2516" t="s">
        <v>10821</v>
      </c>
      <c r="T2516">
        <v>19200</v>
      </c>
      <c r="U2516">
        <v>1600</v>
      </c>
      <c r="V2516">
        <v>42</v>
      </c>
      <c r="W2516">
        <v>1</v>
      </c>
      <c r="X2516">
        <v>3</v>
      </c>
      <c r="Z2516">
        <v>74.56</v>
      </c>
      <c r="AA2516">
        <v>40.687531</v>
      </c>
      <c r="AB2516">
        <v>-73.77848899999999</v>
      </c>
      <c r="AD2516" t="s">
        <v>10839</v>
      </c>
      <c r="AG2516" t="s">
        <v>10858</v>
      </c>
      <c r="AH2516" t="s">
        <v>10862</v>
      </c>
      <c r="AI2516">
        <v>237</v>
      </c>
      <c r="AJ2516" t="s">
        <v>10212</v>
      </c>
      <c r="AL2516">
        <v>0.3</v>
      </c>
      <c r="AM2516" t="s">
        <v>10892</v>
      </c>
      <c r="AN2516" t="s">
        <v>10951</v>
      </c>
      <c r="AO2516" t="s">
        <v>11020</v>
      </c>
      <c r="AP2516" t="s">
        <v>11075</v>
      </c>
      <c r="AR2516" t="s">
        <v>11268</v>
      </c>
      <c r="AS2516" t="s">
        <v>11594</v>
      </c>
      <c r="AX2516" t="s">
        <v>10838</v>
      </c>
      <c r="BA2516" t="s">
        <v>11741</v>
      </c>
      <c r="BB2516">
        <v>0</v>
      </c>
      <c r="BC2516">
        <v>0</v>
      </c>
      <c r="BD2516">
        <v>0</v>
      </c>
      <c r="BE2516">
        <v>0</v>
      </c>
      <c r="BF2516">
        <v>1</v>
      </c>
      <c r="BG2516">
        <v>0</v>
      </c>
    </row>
    <row r="2517" spans="1:59">
      <c r="A2517" s="1">
        <f>HYPERLINK("https://lsnyc.legalserver.org/matter/dynamic-profile/view/1906494","19-1906494")</f>
        <v>0</v>
      </c>
      <c r="B2517" t="s">
        <v>2129</v>
      </c>
      <c r="C2517" t="s">
        <v>6921</v>
      </c>
      <c r="D2517" t="s">
        <v>9950</v>
      </c>
      <c r="E2517" t="s">
        <v>10075</v>
      </c>
      <c r="F2517">
        <v>11418</v>
      </c>
      <c r="G2517" t="s">
        <v>10091</v>
      </c>
      <c r="H2517" t="s">
        <v>10104</v>
      </c>
      <c r="I2517" t="s">
        <v>10168</v>
      </c>
      <c r="J2517" t="s">
        <v>10214</v>
      </c>
      <c r="K2517" t="s">
        <v>10217</v>
      </c>
      <c r="M2517" t="s">
        <v>10522</v>
      </c>
      <c r="N2517" t="s">
        <v>10673</v>
      </c>
      <c r="P2517" t="s">
        <v>10753</v>
      </c>
      <c r="Q2517" t="s">
        <v>10763</v>
      </c>
      <c r="R2517" t="s">
        <v>10824</v>
      </c>
      <c r="T2517">
        <v>0</v>
      </c>
      <c r="U2517">
        <v>0</v>
      </c>
      <c r="V2517">
        <v>39</v>
      </c>
      <c r="W2517">
        <v>1</v>
      </c>
      <c r="X2517">
        <v>0</v>
      </c>
      <c r="Z2517">
        <v>0</v>
      </c>
      <c r="AA2517">
        <v>40.703361</v>
      </c>
      <c r="AB2517">
        <v>-73.820671</v>
      </c>
      <c r="AD2517" t="s">
        <v>10840</v>
      </c>
      <c r="AF2517" t="s">
        <v>10842</v>
      </c>
      <c r="AG2517" t="s">
        <v>10859</v>
      </c>
      <c r="AH2517" t="s">
        <v>10861</v>
      </c>
      <c r="AI2517">
        <v>234</v>
      </c>
      <c r="AJ2517" t="s">
        <v>10214</v>
      </c>
      <c r="AL2517">
        <v>4.65</v>
      </c>
      <c r="AM2517" t="s">
        <v>10890</v>
      </c>
      <c r="AN2517" t="s">
        <v>10962</v>
      </c>
      <c r="AO2517" t="s">
        <v>11020</v>
      </c>
      <c r="AP2517" t="s">
        <v>11083</v>
      </c>
      <c r="AQ2517" t="s">
        <v>11204</v>
      </c>
      <c r="AR2517" t="s">
        <v>11267</v>
      </c>
      <c r="AS2517" t="s">
        <v>11594</v>
      </c>
      <c r="AT2517" t="s">
        <v>11642</v>
      </c>
      <c r="AX2517" t="s">
        <v>10837</v>
      </c>
      <c r="BA2517" t="s">
        <v>11739</v>
      </c>
      <c r="BB2517">
        <v>0</v>
      </c>
      <c r="BC2517">
        <v>0</v>
      </c>
      <c r="BD2517">
        <v>0</v>
      </c>
      <c r="BE2517">
        <v>0</v>
      </c>
      <c r="BF2517">
        <v>4</v>
      </c>
      <c r="BG2517">
        <v>0</v>
      </c>
    </row>
    <row r="2518" spans="1:59">
      <c r="A2518" s="1">
        <f>HYPERLINK("https://lsnyc.legalserver.org/matter/dynamic-profile/view/1906495","19-1906495")</f>
        <v>0</v>
      </c>
      <c r="B2518" t="s">
        <v>2130</v>
      </c>
      <c r="C2518" t="s">
        <v>6922</v>
      </c>
      <c r="D2518" t="s">
        <v>9925</v>
      </c>
      <c r="E2518" t="s">
        <v>10075</v>
      </c>
      <c r="F2518">
        <v>10033</v>
      </c>
      <c r="G2518" t="s">
        <v>10093</v>
      </c>
      <c r="H2518" t="s">
        <v>10104</v>
      </c>
      <c r="J2518" t="s">
        <v>10213</v>
      </c>
      <c r="K2518" t="s">
        <v>10218</v>
      </c>
      <c r="L2518" t="s">
        <v>10153</v>
      </c>
      <c r="M2518" t="s">
        <v>10317</v>
      </c>
      <c r="N2518" t="s">
        <v>10657</v>
      </c>
      <c r="P2518" t="s">
        <v>10752</v>
      </c>
      <c r="Q2518" t="s">
        <v>10805</v>
      </c>
      <c r="R2518" t="s">
        <v>10820</v>
      </c>
      <c r="T2518">
        <v>9600</v>
      </c>
      <c r="U2518">
        <v>800</v>
      </c>
      <c r="V2518">
        <v>23</v>
      </c>
      <c r="W2518">
        <v>1</v>
      </c>
      <c r="X2518">
        <v>0</v>
      </c>
      <c r="Y2518" t="s">
        <v>10829</v>
      </c>
      <c r="Z2518">
        <v>76.86</v>
      </c>
      <c r="AA2518">
        <v>40.851394</v>
      </c>
      <c r="AB2518">
        <v>-73.935936</v>
      </c>
      <c r="AD2518" t="s">
        <v>10839</v>
      </c>
      <c r="AG2518" t="s">
        <v>10858</v>
      </c>
      <c r="AH2518" t="s">
        <v>10874</v>
      </c>
      <c r="AI2518">
        <v>239</v>
      </c>
      <c r="AJ2518" t="s">
        <v>10213</v>
      </c>
      <c r="AK2518" t="s">
        <v>10838</v>
      </c>
      <c r="AL2518">
        <v>1.2</v>
      </c>
      <c r="AM2518" t="s">
        <v>10887</v>
      </c>
      <c r="AN2518" t="s">
        <v>10937</v>
      </c>
      <c r="AO2518" t="s">
        <v>11019</v>
      </c>
      <c r="AP2518" t="s">
        <v>11074</v>
      </c>
      <c r="AR2518" t="s">
        <v>11257</v>
      </c>
      <c r="AS2518" t="s">
        <v>9925</v>
      </c>
      <c r="AY2518" t="s">
        <v>10829</v>
      </c>
      <c r="AZ2518" t="s">
        <v>11680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</row>
    <row r="2519" spans="1:59">
      <c r="A2519" s="1">
        <f>HYPERLINK("https://lsnyc.legalserver.org/matter/dynamic-profile/view/1906496","19-1906496")</f>
        <v>0</v>
      </c>
      <c r="B2519" t="s">
        <v>2131</v>
      </c>
      <c r="C2519" t="s">
        <v>6923</v>
      </c>
      <c r="D2519" t="s">
        <v>9925</v>
      </c>
      <c r="E2519" t="s">
        <v>10075</v>
      </c>
      <c r="F2519">
        <v>10026</v>
      </c>
      <c r="G2519" t="s">
        <v>10089</v>
      </c>
      <c r="H2519" t="s">
        <v>10104</v>
      </c>
      <c r="I2519" t="s">
        <v>10168</v>
      </c>
      <c r="J2519" t="s">
        <v>10209</v>
      </c>
      <c r="K2519" t="s">
        <v>10217</v>
      </c>
      <c r="M2519" t="s">
        <v>10501</v>
      </c>
      <c r="N2519" t="s">
        <v>10715</v>
      </c>
      <c r="P2519" t="s">
        <v>10751</v>
      </c>
      <c r="Q2519" t="s">
        <v>10776</v>
      </c>
      <c r="R2519" t="s">
        <v>10824</v>
      </c>
      <c r="T2519">
        <v>28600</v>
      </c>
      <c r="U2519">
        <v>2383.33</v>
      </c>
      <c r="V2519">
        <v>38</v>
      </c>
      <c r="W2519">
        <v>2</v>
      </c>
      <c r="X2519">
        <v>4</v>
      </c>
      <c r="Z2519">
        <v>82.68000000000001</v>
      </c>
      <c r="AA2519">
        <v>40.805852</v>
      </c>
      <c r="AB2519">
        <v>-73.951183</v>
      </c>
      <c r="AD2519" t="s">
        <v>10839</v>
      </c>
      <c r="AG2519" t="s">
        <v>10858</v>
      </c>
      <c r="AH2519" t="s">
        <v>10861</v>
      </c>
      <c r="AI2519">
        <v>236</v>
      </c>
      <c r="AJ2519" t="s">
        <v>10209</v>
      </c>
      <c r="AL2519">
        <v>0</v>
      </c>
      <c r="AM2519" t="s">
        <v>10887</v>
      </c>
      <c r="AN2519" t="s">
        <v>10936</v>
      </c>
      <c r="AO2519" t="s">
        <v>11016</v>
      </c>
      <c r="AP2519" t="s">
        <v>11076</v>
      </c>
      <c r="AR2519" t="s">
        <v>11262</v>
      </c>
      <c r="AS2519" t="s">
        <v>9925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</row>
    <row r="2520" spans="1:59">
      <c r="A2520" s="1">
        <f>HYPERLINK("https://lsnyc.legalserver.org/matter/dynamic-profile/view/1906497","19-1906497")</f>
        <v>0</v>
      </c>
      <c r="B2520" t="s">
        <v>2132</v>
      </c>
      <c r="C2520" t="s">
        <v>6440</v>
      </c>
      <c r="D2520" t="s">
        <v>9948</v>
      </c>
      <c r="E2520" t="s">
        <v>10075</v>
      </c>
      <c r="F2520">
        <v>11691</v>
      </c>
      <c r="G2520" t="s">
        <v>10092</v>
      </c>
      <c r="H2520" t="s">
        <v>10104</v>
      </c>
      <c r="I2520" t="s">
        <v>10168</v>
      </c>
      <c r="J2520" t="s">
        <v>10212</v>
      </c>
      <c r="K2520" t="s">
        <v>10217</v>
      </c>
      <c r="M2520" t="s">
        <v>10576</v>
      </c>
      <c r="N2520" t="s">
        <v>10650</v>
      </c>
      <c r="P2520" t="s">
        <v>10749</v>
      </c>
      <c r="Q2520" t="s">
        <v>10765</v>
      </c>
      <c r="R2520" t="s">
        <v>10824</v>
      </c>
      <c r="T2520">
        <v>28000</v>
      </c>
      <c r="U2520">
        <v>2333.33</v>
      </c>
      <c r="V2520">
        <v>42</v>
      </c>
      <c r="W2520">
        <v>2</v>
      </c>
      <c r="X2520">
        <v>0</v>
      </c>
      <c r="Z2520">
        <v>165.58</v>
      </c>
      <c r="AA2520">
        <v>40.596876</v>
      </c>
      <c r="AB2520">
        <v>-73.76424</v>
      </c>
      <c r="AD2520" t="s">
        <v>10840</v>
      </c>
      <c r="AG2520" t="s">
        <v>10858</v>
      </c>
      <c r="AH2520" t="s">
        <v>10862</v>
      </c>
      <c r="AI2520">
        <v>237</v>
      </c>
      <c r="AJ2520" t="s">
        <v>10212</v>
      </c>
      <c r="AL2520">
        <v>1.25</v>
      </c>
      <c r="AM2520" t="s">
        <v>10892</v>
      </c>
      <c r="AN2520" t="s">
        <v>10958</v>
      </c>
      <c r="AO2520" t="s">
        <v>11017</v>
      </c>
      <c r="AP2520" t="s">
        <v>11082</v>
      </c>
      <c r="AR2520" t="s">
        <v>11257</v>
      </c>
      <c r="AS2520" t="s">
        <v>11594</v>
      </c>
      <c r="BA2520" t="s">
        <v>11741</v>
      </c>
      <c r="BB2520">
        <v>0</v>
      </c>
      <c r="BC2520">
        <v>0</v>
      </c>
      <c r="BD2520">
        <v>0</v>
      </c>
      <c r="BE2520">
        <v>0</v>
      </c>
      <c r="BF2520">
        <v>1</v>
      </c>
      <c r="BG2520">
        <v>0</v>
      </c>
    </row>
    <row r="2521" spans="1:59">
      <c r="A2521" s="1">
        <f>HYPERLINK("https://lsnyc.legalserver.org/matter/dynamic-profile/view/1906498","19-1906498")</f>
        <v>0</v>
      </c>
      <c r="B2521" t="s">
        <v>2133</v>
      </c>
      <c r="C2521" t="s">
        <v>6924</v>
      </c>
      <c r="D2521" t="s">
        <v>9932</v>
      </c>
      <c r="E2521" t="s">
        <v>10075</v>
      </c>
      <c r="F2521">
        <v>11368</v>
      </c>
      <c r="G2521" t="s">
        <v>10092</v>
      </c>
      <c r="H2521" t="s">
        <v>10104</v>
      </c>
      <c r="I2521" t="s">
        <v>10169</v>
      </c>
      <c r="J2521" t="s">
        <v>10212</v>
      </c>
      <c r="K2521" t="s">
        <v>10218</v>
      </c>
      <c r="L2521" t="s">
        <v>10129</v>
      </c>
      <c r="M2521" t="s">
        <v>10422</v>
      </c>
      <c r="N2521" t="s">
        <v>10648</v>
      </c>
      <c r="P2521" t="s">
        <v>10753</v>
      </c>
      <c r="Q2521" t="s">
        <v>10763</v>
      </c>
      <c r="R2521" t="s">
        <v>10823</v>
      </c>
      <c r="T2521">
        <v>20800</v>
      </c>
      <c r="U2521">
        <v>1733.33</v>
      </c>
      <c r="V2521">
        <v>32</v>
      </c>
      <c r="W2521">
        <v>1</v>
      </c>
      <c r="X2521">
        <v>1</v>
      </c>
      <c r="Y2521" t="s">
        <v>10829</v>
      </c>
      <c r="Z2521">
        <v>123</v>
      </c>
      <c r="AA2521">
        <v>40.754392</v>
      </c>
      <c r="AB2521">
        <v>-73.86192200000001</v>
      </c>
      <c r="AD2521" t="s">
        <v>10839</v>
      </c>
      <c r="AF2521" t="s">
        <v>10842</v>
      </c>
      <c r="AG2521" t="s">
        <v>10859</v>
      </c>
      <c r="AH2521" t="s">
        <v>10864</v>
      </c>
      <c r="AI2521">
        <v>237</v>
      </c>
      <c r="AJ2521" t="s">
        <v>10212</v>
      </c>
      <c r="AK2521" t="s">
        <v>10837</v>
      </c>
      <c r="AL2521">
        <v>2</v>
      </c>
      <c r="AM2521" t="s">
        <v>10885</v>
      </c>
      <c r="AN2521" t="s">
        <v>10916</v>
      </c>
      <c r="AO2521" t="s">
        <v>11014</v>
      </c>
      <c r="AP2521" t="s">
        <v>11068</v>
      </c>
      <c r="AQ2521" t="s">
        <v>11096</v>
      </c>
      <c r="AR2521" t="s">
        <v>11257</v>
      </c>
      <c r="AS2521" t="s">
        <v>11594</v>
      </c>
      <c r="AY2521" t="s">
        <v>10829</v>
      </c>
      <c r="AZ2521" t="s">
        <v>11709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</row>
    <row r="2522" spans="1:59">
      <c r="A2522" s="1">
        <f>HYPERLINK("https://lsnyc.legalserver.org/matter/dynamic-profile/view/1906499","19-1906499")</f>
        <v>0</v>
      </c>
      <c r="B2522" t="s">
        <v>2134</v>
      </c>
      <c r="C2522" t="s">
        <v>6925</v>
      </c>
      <c r="D2522" t="s">
        <v>9939</v>
      </c>
      <c r="E2522" t="s">
        <v>10075</v>
      </c>
      <c r="F2522">
        <v>11419</v>
      </c>
      <c r="G2522" t="s">
        <v>10092</v>
      </c>
      <c r="H2522" t="s">
        <v>10104</v>
      </c>
      <c r="I2522" t="s">
        <v>10168</v>
      </c>
      <c r="J2522" t="s">
        <v>10212</v>
      </c>
      <c r="K2522" t="s">
        <v>10217</v>
      </c>
      <c r="M2522" t="s">
        <v>10318</v>
      </c>
      <c r="N2522" t="s">
        <v>10684</v>
      </c>
      <c r="P2522" t="s">
        <v>10751</v>
      </c>
      <c r="Q2522" t="s">
        <v>10786</v>
      </c>
      <c r="R2522" t="s">
        <v>10827</v>
      </c>
      <c r="T2522">
        <v>9000</v>
      </c>
      <c r="U2522">
        <v>750</v>
      </c>
      <c r="V2522">
        <v>90</v>
      </c>
      <c r="W2522">
        <v>3</v>
      </c>
      <c r="X2522">
        <v>0</v>
      </c>
      <c r="Z2522">
        <v>42.19</v>
      </c>
      <c r="AA2522">
        <v>40.68815</v>
      </c>
      <c r="AB2522">
        <v>-73.825799</v>
      </c>
      <c r="AD2522" t="s">
        <v>10839</v>
      </c>
      <c r="AG2522" t="s">
        <v>10858</v>
      </c>
      <c r="AH2522" t="s">
        <v>10873</v>
      </c>
      <c r="AI2522">
        <v>237</v>
      </c>
      <c r="AJ2522" t="s">
        <v>10212</v>
      </c>
      <c r="AL2522">
        <v>2.75</v>
      </c>
      <c r="AM2522" t="s">
        <v>10892</v>
      </c>
      <c r="AN2522" t="s">
        <v>10944</v>
      </c>
      <c r="AO2522" t="s">
        <v>11017</v>
      </c>
      <c r="AP2522" t="s">
        <v>11070</v>
      </c>
      <c r="AR2522" t="s">
        <v>11268</v>
      </c>
      <c r="AS2522" t="s">
        <v>11594</v>
      </c>
      <c r="AT2522" t="s">
        <v>11641</v>
      </c>
      <c r="AX2522" t="s">
        <v>10838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</row>
    <row r="2523" spans="1:59">
      <c r="A2523" s="1">
        <f>HYPERLINK("https://lsnyc.legalserver.org/matter/dynamic-profile/view/1906500","19-1906500")</f>
        <v>0</v>
      </c>
      <c r="B2523" t="s">
        <v>707</v>
      </c>
      <c r="C2523" t="s">
        <v>6926</v>
      </c>
      <c r="D2523" t="s">
        <v>9926</v>
      </c>
      <c r="E2523" t="s">
        <v>10075</v>
      </c>
      <c r="F2523">
        <v>10469</v>
      </c>
      <c r="G2523" t="s">
        <v>10090</v>
      </c>
      <c r="H2523" t="s">
        <v>10104</v>
      </c>
      <c r="I2523" t="s">
        <v>10168</v>
      </c>
      <c r="J2523" t="s">
        <v>10210</v>
      </c>
      <c r="K2523" t="s">
        <v>10217</v>
      </c>
      <c r="M2523" t="s">
        <v>10380</v>
      </c>
      <c r="N2523" t="s">
        <v>10649</v>
      </c>
      <c r="P2523" t="s">
        <v>10753</v>
      </c>
      <c r="Q2523" t="s">
        <v>10763</v>
      </c>
      <c r="R2523" t="s">
        <v>10824</v>
      </c>
      <c r="T2523">
        <v>0</v>
      </c>
      <c r="U2523">
        <v>0</v>
      </c>
      <c r="V2523">
        <v>22</v>
      </c>
      <c r="W2523">
        <v>1</v>
      </c>
      <c r="X2523">
        <v>1</v>
      </c>
      <c r="Z2523">
        <v>0</v>
      </c>
      <c r="AA2523">
        <v>40.883256</v>
      </c>
      <c r="AB2523">
        <v>-73.855875</v>
      </c>
      <c r="AD2523" t="s">
        <v>10839</v>
      </c>
      <c r="AF2523" t="s">
        <v>10843</v>
      </c>
      <c r="AG2523" t="s">
        <v>10859</v>
      </c>
      <c r="AH2523" t="s">
        <v>10861</v>
      </c>
      <c r="AI2523">
        <v>234</v>
      </c>
      <c r="AJ2523" t="s">
        <v>10214</v>
      </c>
      <c r="AL2523">
        <v>4.5</v>
      </c>
      <c r="AM2523" t="s">
        <v>10893</v>
      </c>
      <c r="AN2523" t="s">
        <v>10956</v>
      </c>
      <c r="AO2523" t="s">
        <v>11010</v>
      </c>
      <c r="AP2523" t="s">
        <v>11085</v>
      </c>
      <c r="AQ2523" t="s">
        <v>11097</v>
      </c>
      <c r="AR2523" t="s">
        <v>11267</v>
      </c>
      <c r="AS2523" t="s">
        <v>9926</v>
      </c>
      <c r="AT2523" t="s">
        <v>11641</v>
      </c>
      <c r="AX2523" t="s">
        <v>10838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</row>
    <row r="2524" spans="1:59">
      <c r="A2524" s="1">
        <f>HYPERLINK("https://lsnyc.legalserver.org/matter/dynamic-profile/view/1906501","19-1906501")</f>
        <v>0</v>
      </c>
      <c r="B2524" t="s">
        <v>2135</v>
      </c>
      <c r="C2524" t="s">
        <v>6927</v>
      </c>
      <c r="D2524" t="s">
        <v>9925</v>
      </c>
      <c r="E2524" t="s">
        <v>10075</v>
      </c>
      <c r="F2524">
        <v>10027</v>
      </c>
      <c r="G2524" t="s">
        <v>10089</v>
      </c>
      <c r="H2524" t="s">
        <v>10104</v>
      </c>
      <c r="I2524" t="s">
        <v>10169</v>
      </c>
      <c r="J2524" t="s">
        <v>10209</v>
      </c>
      <c r="K2524" t="s">
        <v>10217</v>
      </c>
      <c r="M2524" t="s">
        <v>10575</v>
      </c>
      <c r="N2524" t="s">
        <v>10715</v>
      </c>
      <c r="P2524" t="s">
        <v>10751</v>
      </c>
      <c r="Q2524" t="s">
        <v>10776</v>
      </c>
      <c r="R2524" t="s">
        <v>10821</v>
      </c>
      <c r="T2524">
        <v>19200</v>
      </c>
      <c r="U2524">
        <v>1600</v>
      </c>
      <c r="V2524">
        <v>53</v>
      </c>
      <c r="W2524">
        <v>2</v>
      </c>
      <c r="X2524">
        <v>0</v>
      </c>
      <c r="Z2524">
        <v>113.54</v>
      </c>
      <c r="AA2524">
        <v>40.811107</v>
      </c>
      <c r="AB2524">
        <v>-73.95193999999999</v>
      </c>
      <c r="AD2524" t="s">
        <v>10839</v>
      </c>
      <c r="AG2524" t="s">
        <v>10858</v>
      </c>
      <c r="AH2524" t="s">
        <v>10862</v>
      </c>
      <c r="AI2524">
        <v>236</v>
      </c>
      <c r="AJ2524" t="s">
        <v>10209</v>
      </c>
      <c r="AL2524">
        <v>0</v>
      </c>
      <c r="AM2524" t="s">
        <v>10887</v>
      </c>
      <c r="AN2524" t="s">
        <v>10936</v>
      </c>
      <c r="AO2524" t="s">
        <v>11016</v>
      </c>
      <c r="AP2524" t="s">
        <v>11076</v>
      </c>
      <c r="AR2524" t="s">
        <v>11274</v>
      </c>
      <c r="AS2524" t="s">
        <v>9925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</row>
    <row r="2525" spans="1:59">
      <c r="A2525" s="1">
        <f>HYPERLINK("https://lsnyc.legalserver.org/matter/dynamic-profile/view/1906502","19-1906502")</f>
        <v>0</v>
      </c>
      <c r="B2525" t="s">
        <v>2136</v>
      </c>
      <c r="C2525" t="s">
        <v>6928</v>
      </c>
      <c r="D2525" t="s">
        <v>9928</v>
      </c>
      <c r="E2525" t="s">
        <v>10075</v>
      </c>
      <c r="F2525">
        <v>11235</v>
      </c>
      <c r="G2525" t="s">
        <v>10093</v>
      </c>
      <c r="H2525" t="s">
        <v>10134</v>
      </c>
      <c r="I2525" t="s">
        <v>10169</v>
      </c>
      <c r="J2525" t="s">
        <v>10213</v>
      </c>
      <c r="K2525" t="s">
        <v>10218</v>
      </c>
      <c r="L2525" t="s">
        <v>10156</v>
      </c>
      <c r="M2525" t="s">
        <v>10293</v>
      </c>
      <c r="N2525" t="s">
        <v>10657</v>
      </c>
      <c r="P2525" t="s">
        <v>10749</v>
      </c>
      <c r="Q2525" t="s">
        <v>10765</v>
      </c>
      <c r="R2525" t="s">
        <v>10821</v>
      </c>
      <c r="T2525">
        <v>90000</v>
      </c>
      <c r="U2525">
        <v>7500</v>
      </c>
      <c r="V2525">
        <v>24</v>
      </c>
      <c r="W2525">
        <v>6</v>
      </c>
      <c r="X2525">
        <v>0</v>
      </c>
      <c r="Y2525" t="s">
        <v>10829</v>
      </c>
      <c r="Z2525">
        <v>260.19</v>
      </c>
      <c r="AA2525">
        <v>40.586844</v>
      </c>
      <c r="AB2525">
        <v>-73.95226</v>
      </c>
      <c r="AD2525" t="s">
        <v>10839</v>
      </c>
      <c r="AG2525" t="s">
        <v>10858</v>
      </c>
      <c r="AH2525" t="s">
        <v>10867</v>
      </c>
      <c r="AI2525">
        <v>239</v>
      </c>
      <c r="AJ2525" t="s">
        <v>10213</v>
      </c>
      <c r="AK2525" t="s">
        <v>10838</v>
      </c>
      <c r="AL2525">
        <v>1.25</v>
      </c>
      <c r="AM2525" t="s">
        <v>10888</v>
      </c>
      <c r="AN2525" t="s">
        <v>10965</v>
      </c>
      <c r="AO2525" t="s">
        <v>11006</v>
      </c>
      <c r="AP2525" t="s">
        <v>11092</v>
      </c>
      <c r="AR2525" t="s">
        <v>11257</v>
      </c>
      <c r="AS2525" t="s">
        <v>11595</v>
      </c>
      <c r="AY2525" t="s">
        <v>10829</v>
      </c>
      <c r="AZ2525" t="s">
        <v>11681</v>
      </c>
      <c r="BA2525" t="s">
        <v>11741</v>
      </c>
      <c r="BB2525">
        <v>0</v>
      </c>
      <c r="BC2525">
        <v>0</v>
      </c>
      <c r="BD2525">
        <v>0</v>
      </c>
      <c r="BE2525">
        <v>0</v>
      </c>
      <c r="BF2525">
        <v>1</v>
      </c>
      <c r="BG2525">
        <v>0</v>
      </c>
    </row>
    <row r="2526" spans="1:59">
      <c r="A2526" s="1">
        <f>HYPERLINK("https://lsnyc.legalserver.org/matter/dynamic-profile/view/1906503","19-1906503")</f>
        <v>0</v>
      </c>
      <c r="B2526" t="s">
        <v>2137</v>
      </c>
      <c r="C2526" t="s">
        <v>6929</v>
      </c>
      <c r="D2526" t="s">
        <v>9928</v>
      </c>
      <c r="E2526" t="s">
        <v>10075</v>
      </c>
      <c r="F2526">
        <v>11220</v>
      </c>
      <c r="G2526" t="s">
        <v>10093</v>
      </c>
      <c r="H2526" t="s">
        <v>10095</v>
      </c>
      <c r="J2526" t="s">
        <v>10213</v>
      </c>
      <c r="K2526" t="s">
        <v>10218</v>
      </c>
      <c r="L2526" t="s">
        <v>10104</v>
      </c>
      <c r="M2526" t="s">
        <v>10317</v>
      </c>
      <c r="N2526" t="s">
        <v>10657</v>
      </c>
      <c r="P2526" t="s">
        <v>10749</v>
      </c>
      <c r="Q2526" t="s">
        <v>10765</v>
      </c>
      <c r="R2526" t="s">
        <v>10820</v>
      </c>
      <c r="T2526">
        <v>19200</v>
      </c>
      <c r="U2526">
        <v>1600</v>
      </c>
      <c r="V2526">
        <v>52</v>
      </c>
      <c r="W2526">
        <v>1</v>
      </c>
      <c r="X2526">
        <v>0</v>
      </c>
      <c r="Y2526" t="s">
        <v>10829</v>
      </c>
      <c r="Z2526">
        <v>153.72</v>
      </c>
      <c r="AA2526">
        <v>40.642802</v>
      </c>
      <c r="AB2526">
        <v>-74.01600000000001</v>
      </c>
      <c r="AD2526" t="s">
        <v>10840</v>
      </c>
      <c r="AG2526" t="s">
        <v>10858</v>
      </c>
      <c r="AH2526" t="s">
        <v>10874</v>
      </c>
      <c r="AI2526">
        <v>239</v>
      </c>
      <c r="AJ2526" t="s">
        <v>10213</v>
      </c>
      <c r="AK2526" t="s">
        <v>10838</v>
      </c>
      <c r="AL2526">
        <v>1.1</v>
      </c>
      <c r="AM2526" t="s">
        <v>10886</v>
      </c>
      <c r="AN2526" t="s">
        <v>10921</v>
      </c>
      <c r="AO2526" t="s">
        <v>11005</v>
      </c>
      <c r="AP2526" t="s">
        <v>11069</v>
      </c>
      <c r="AQ2526" t="s">
        <v>11101</v>
      </c>
      <c r="AR2526" t="s">
        <v>11296</v>
      </c>
      <c r="AS2526" t="s">
        <v>11595</v>
      </c>
      <c r="AY2526" t="s">
        <v>10829</v>
      </c>
      <c r="AZ2526" t="s">
        <v>11681</v>
      </c>
      <c r="BA2526" t="s">
        <v>11741</v>
      </c>
      <c r="BB2526">
        <v>0</v>
      </c>
      <c r="BC2526">
        <v>0</v>
      </c>
      <c r="BD2526">
        <v>0</v>
      </c>
      <c r="BE2526">
        <v>0</v>
      </c>
      <c r="BF2526">
        <v>1</v>
      </c>
      <c r="BG2526">
        <v>0</v>
      </c>
    </row>
    <row r="2527" spans="1:59">
      <c r="A2527" s="1">
        <f>HYPERLINK("https://lsnyc.legalserver.org/matter/dynamic-profile/view/1906504","19-1906504")</f>
        <v>0</v>
      </c>
      <c r="B2527" t="s">
        <v>2138</v>
      </c>
      <c r="C2527" t="s">
        <v>6930</v>
      </c>
      <c r="D2527" t="s">
        <v>9925</v>
      </c>
      <c r="E2527" t="s">
        <v>10075</v>
      </c>
      <c r="F2527">
        <v>10027</v>
      </c>
      <c r="G2527" t="s">
        <v>10089</v>
      </c>
      <c r="H2527" t="s">
        <v>10104</v>
      </c>
      <c r="I2527" t="s">
        <v>10168</v>
      </c>
      <c r="J2527" t="s">
        <v>10209</v>
      </c>
      <c r="K2527" t="s">
        <v>10217</v>
      </c>
      <c r="M2527" t="s">
        <v>10575</v>
      </c>
      <c r="N2527" t="s">
        <v>10715</v>
      </c>
      <c r="P2527" t="s">
        <v>10751</v>
      </c>
      <c r="Q2527" t="s">
        <v>10776</v>
      </c>
      <c r="R2527" t="s">
        <v>10824</v>
      </c>
      <c r="T2527">
        <v>5420.04</v>
      </c>
      <c r="U2527">
        <v>451.67</v>
      </c>
      <c r="V2527">
        <v>54</v>
      </c>
      <c r="W2527">
        <v>1</v>
      </c>
      <c r="X2527">
        <v>1</v>
      </c>
      <c r="Z2527">
        <v>32.05</v>
      </c>
      <c r="AA2527">
        <v>40.807643</v>
      </c>
      <c r="AB2527">
        <v>-73.948763</v>
      </c>
      <c r="AD2527" t="s">
        <v>10840</v>
      </c>
      <c r="AG2527" t="s">
        <v>10858</v>
      </c>
      <c r="AH2527" t="s">
        <v>10862</v>
      </c>
      <c r="AI2527">
        <v>236</v>
      </c>
      <c r="AJ2527" t="s">
        <v>10209</v>
      </c>
      <c r="AL2527">
        <v>4</v>
      </c>
      <c r="AM2527" t="s">
        <v>10887</v>
      </c>
      <c r="AN2527" t="s">
        <v>10936</v>
      </c>
      <c r="AO2527" t="s">
        <v>11016</v>
      </c>
      <c r="AP2527" t="s">
        <v>11076</v>
      </c>
      <c r="AR2527" t="s">
        <v>11260</v>
      </c>
      <c r="AS2527" t="s">
        <v>9925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</row>
    <row r="2528" spans="1:59">
      <c r="A2528" s="1">
        <f>HYPERLINK("https://lsnyc.legalserver.org/matter/dynamic-profile/view/1906505","19-1906505")</f>
        <v>0</v>
      </c>
      <c r="B2528" t="s">
        <v>2139</v>
      </c>
      <c r="C2528" t="s">
        <v>6931</v>
      </c>
      <c r="D2528" t="s">
        <v>9931</v>
      </c>
      <c r="E2528" t="s">
        <v>10075</v>
      </c>
      <c r="F2528">
        <v>11367</v>
      </c>
      <c r="G2528" t="s">
        <v>10092</v>
      </c>
      <c r="H2528" t="s">
        <v>10104</v>
      </c>
      <c r="I2528" t="s">
        <v>10168</v>
      </c>
      <c r="J2528" t="s">
        <v>10212</v>
      </c>
      <c r="K2528" t="s">
        <v>10217</v>
      </c>
      <c r="M2528" t="s">
        <v>10547</v>
      </c>
      <c r="N2528" t="s">
        <v>10671</v>
      </c>
      <c r="P2528" t="s">
        <v>10753</v>
      </c>
      <c r="Q2528" t="s">
        <v>10763</v>
      </c>
      <c r="R2528" t="s">
        <v>10820</v>
      </c>
      <c r="T2528">
        <v>8160</v>
      </c>
      <c r="U2528">
        <v>680</v>
      </c>
      <c r="V2528">
        <v>68</v>
      </c>
      <c r="W2528">
        <v>1</v>
      </c>
      <c r="X2528">
        <v>0</v>
      </c>
      <c r="Z2528">
        <v>65.33</v>
      </c>
      <c r="AA2528">
        <v>40.729775</v>
      </c>
      <c r="AB2528">
        <v>-73.822367</v>
      </c>
      <c r="AD2528" t="s">
        <v>10840</v>
      </c>
      <c r="AF2528" t="s">
        <v>10843</v>
      </c>
      <c r="AG2528" t="s">
        <v>10859</v>
      </c>
      <c r="AH2528" t="s">
        <v>10861</v>
      </c>
      <c r="AI2528">
        <v>234</v>
      </c>
      <c r="AJ2528" t="s">
        <v>10214</v>
      </c>
      <c r="AL2528">
        <v>1</v>
      </c>
      <c r="AM2528" t="s">
        <v>10890</v>
      </c>
      <c r="AN2528" t="s">
        <v>10962</v>
      </c>
      <c r="AO2528" t="s">
        <v>11024</v>
      </c>
      <c r="AP2528" t="s">
        <v>11081</v>
      </c>
      <c r="AQ2528" t="s">
        <v>11097</v>
      </c>
      <c r="AR2528" t="s">
        <v>11274</v>
      </c>
      <c r="AS2528" t="s">
        <v>11594</v>
      </c>
      <c r="AT2528" t="s">
        <v>11642</v>
      </c>
      <c r="AX2528" t="s">
        <v>10838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</row>
    <row r="2529" spans="1:59">
      <c r="A2529" s="1">
        <f>HYPERLINK("https://lsnyc.legalserver.org/matter/dynamic-profile/view/1906506","19-1906506")</f>
        <v>0</v>
      </c>
      <c r="B2529" t="s">
        <v>2140</v>
      </c>
      <c r="C2529" t="s">
        <v>6932</v>
      </c>
      <c r="D2529" t="s">
        <v>9928</v>
      </c>
      <c r="E2529" t="s">
        <v>10075</v>
      </c>
      <c r="F2529">
        <v>11238</v>
      </c>
      <c r="G2529" t="s">
        <v>10093</v>
      </c>
      <c r="H2529" t="s">
        <v>10104</v>
      </c>
      <c r="I2529" t="s">
        <v>10168</v>
      </c>
      <c r="J2529" t="s">
        <v>10213</v>
      </c>
      <c r="K2529" t="s">
        <v>10217</v>
      </c>
      <c r="M2529" t="s">
        <v>10309</v>
      </c>
      <c r="N2529" t="s">
        <v>10662</v>
      </c>
      <c r="P2529" t="s">
        <v>10752</v>
      </c>
      <c r="Q2529" t="s">
        <v>10816</v>
      </c>
      <c r="R2529" t="s">
        <v>10823</v>
      </c>
      <c r="T2529">
        <v>28080</v>
      </c>
      <c r="U2529">
        <v>2340</v>
      </c>
      <c r="V2529">
        <v>55</v>
      </c>
      <c r="W2529">
        <v>1</v>
      </c>
      <c r="X2529">
        <v>0</v>
      </c>
      <c r="Z2529">
        <v>224.82</v>
      </c>
      <c r="AA2529">
        <v>40.684131</v>
      </c>
      <c r="AB2529">
        <v>-73.964665</v>
      </c>
      <c r="AD2529" t="s">
        <v>10840</v>
      </c>
      <c r="AG2529" t="s">
        <v>10858</v>
      </c>
      <c r="AH2529" t="s">
        <v>10861</v>
      </c>
      <c r="AI2529">
        <v>239</v>
      </c>
      <c r="AJ2529" t="s">
        <v>10213</v>
      </c>
      <c r="AL2529">
        <v>25.25</v>
      </c>
      <c r="AM2529" t="s">
        <v>10889</v>
      </c>
      <c r="AN2529" t="s">
        <v>10923</v>
      </c>
      <c r="AO2529" t="s">
        <v>11007</v>
      </c>
      <c r="AP2529" t="s">
        <v>11061</v>
      </c>
      <c r="AQ2529" t="s">
        <v>11217</v>
      </c>
      <c r="AR2529" t="s">
        <v>11257</v>
      </c>
      <c r="AS2529" t="s">
        <v>11595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</row>
    <row r="2530" spans="1:59">
      <c r="A2530" s="1">
        <f>HYPERLINK("https://lsnyc.legalserver.org/matter/dynamic-profile/view/1906507","19-1906507")</f>
        <v>0</v>
      </c>
      <c r="B2530" t="s">
        <v>2141</v>
      </c>
      <c r="C2530" t="s">
        <v>6933</v>
      </c>
      <c r="D2530" t="s">
        <v>9925</v>
      </c>
      <c r="E2530" t="s">
        <v>10075</v>
      </c>
      <c r="F2530">
        <v>10026</v>
      </c>
      <c r="G2530" t="s">
        <v>10089</v>
      </c>
      <c r="H2530" t="s">
        <v>10104</v>
      </c>
      <c r="I2530" t="s">
        <v>10168</v>
      </c>
      <c r="J2530" t="s">
        <v>10209</v>
      </c>
      <c r="K2530" t="s">
        <v>10217</v>
      </c>
      <c r="M2530" t="s">
        <v>10509</v>
      </c>
      <c r="N2530" t="s">
        <v>10715</v>
      </c>
      <c r="P2530" t="s">
        <v>10751</v>
      </c>
      <c r="Q2530" t="s">
        <v>10776</v>
      </c>
      <c r="R2530" t="s">
        <v>10824</v>
      </c>
      <c r="T2530">
        <v>8066.04</v>
      </c>
      <c r="U2530">
        <v>672.17</v>
      </c>
      <c r="V2530">
        <v>28</v>
      </c>
      <c r="W2530">
        <v>1</v>
      </c>
      <c r="X2530">
        <v>1</v>
      </c>
      <c r="Z2530">
        <v>47.7</v>
      </c>
      <c r="AA2530">
        <v>40.801391</v>
      </c>
      <c r="AB2530">
        <v>-73.950902</v>
      </c>
      <c r="AD2530" t="s">
        <v>10839</v>
      </c>
      <c r="AG2530" t="s">
        <v>10858</v>
      </c>
      <c r="AH2530" t="s">
        <v>10862</v>
      </c>
      <c r="AI2530">
        <v>236</v>
      </c>
      <c r="AJ2530" t="s">
        <v>10209</v>
      </c>
      <c r="AL2530">
        <v>0</v>
      </c>
      <c r="AM2530" t="s">
        <v>10887</v>
      </c>
      <c r="AN2530" t="s">
        <v>10936</v>
      </c>
      <c r="AO2530" t="s">
        <v>11016</v>
      </c>
      <c r="AP2530" t="s">
        <v>11076</v>
      </c>
      <c r="AR2530" t="s">
        <v>11260</v>
      </c>
      <c r="AS2530" t="s">
        <v>9925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</row>
    <row r="2531" spans="1:59">
      <c r="A2531" s="1">
        <f>HYPERLINK("https://lsnyc.legalserver.org/matter/dynamic-profile/view/1906508","19-1906508")</f>
        <v>0</v>
      </c>
      <c r="B2531" t="s">
        <v>2142</v>
      </c>
      <c r="C2531" t="s">
        <v>6934</v>
      </c>
      <c r="D2531" t="s">
        <v>9925</v>
      </c>
      <c r="E2531" t="s">
        <v>10075</v>
      </c>
      <c r="F2531">
        <v>10026</v>
      </c>
      <c r="G2531" t="s">
        <v>10089</v>
      </c>
      <c r="H2531" t="s">
        <v>10104</v>
      </c>
      <c r="I2531" t="s">
        <v>10168</v>
      </c>
      <c r="J2531" t="s">
        <v>10209</v>
      </c>
      <c r="K2531" t="s">
        <v>10217</v>
      </c>
      <c r="M2531" t="s">
        <v>10499</v>
      </c>
      <c r="N2531" t="s">
        <v>10715</v>
      </c>
      <c r="P2531" t="s">
        <v>10751</v>
      </c>
      <c r="Q2531" t="s">
        <v>10776</v>
      </c>
      <c r="R2531" t="s">
        <v>10824</v>
      </c>
      <c r="T2531">
        <v>10428</v>
      </c>
      <c r="U2531">
        <v>869</v>
      </c>
      <c r="V2531">
        <v>67</v>
      </c>
      <c r="W2531">
        <v>1</v>
      </c>
      <c r="X2531">
        <v>0</v>
      </c>
      <c r="Z2531">
        <v>83.48999999999999</v>
      </c>
      <c r="AA2531">
        <v>40.802718</v>
      </c>
      <c r="AB2531">
        <v>-73.95191699999999</v>
      </c>
      <c r="AD2531" t="s">
        <v>10840</v>
      </c>
      <c r="AG2531" t="s">
        <v>10858</v>
      </c>
      <c r="AH2531" t="s">
        <v>10862</v>
      </c>
      <c r="AI2531">
        <v>236</v>
      </c>
      <c r="AJ2531" t="s">
        <v>10209</v>
      </c>
      <c r="AL2531">
        <v>0</v>
      </c>
      <c r="AM2531" t="s">
        <v>10887</v>
      </c>
      <c r="AN2531" t="s">
        <v>10936</v>
      </c>
      <c r="AO2531" t="s">
        <v>11016</v>
      </c>
      <c r="AP2531" t="s">
        <v>11076</v>
      </c>
      <c r="AR2531" t="s">
        <v>11263</v>
      </c>
      <c r="AS2531" t="s">
        <v>9925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</row>
    <row r="2532" spans="1:59">
      <c r="A2532" s="1">
        <f>HYPERLINK("https://lsnyc.legalserver.org/matter/dynamic-profile/view/1906509","19-1906509")</f>
        <v>0</v>
      </c>
      <c r="B2532" t="s">
        <v>2143</v>
      </c>
      <c r="C2532" t="s">
        <v>6935</v>
      </c>
      <c r="D2532" t="s">
        <v>10001</v>
      </c>
      <c r="E2532" t="s">
        <v>10075</v>
      </c>
      <c r="F2532">
        <v>11379</v>
      </c>
      <c r="G2532" t="s">
        <v>10092</v>
      </c>
      <c r="H2532" t="s">
        <v>10146</v>
      </c>
      <c r="J2532" t="s">
        <v>10212</v>
      </c>
      <c r="K2532" t="s">
        <v>10217</v>
      </c>
      <c r="M2532" t="s">
        <v>10485</v>
      </c>
      <c r="N2532" t="s">
        <v>10678</v>
      </c>
      <c r="P2532" t="s">
        <v>10749</v>
      </c>
      <c r="Q2532" t="s">
        <v>10769</v>
      </c>
      <c r="R2532" t="s">
        <v>10820</v>
      </c>
      <c r="T2532">
        <v>24000</v>
      </c>
      <c r="U2532">
        <v>2000</v>
      </c>
      <c r="V2532">
        <v>56</v>
      </c>
      <c r="W2532">
        <v>2</v>
      </c>
      <c r="X2532">
        <v>0</v>
      </c>
      <c r="Z2532">
        <v>141.93</v>
      </c>
      <c r="AA2532">
        <v>40.720826</v>
      </c>
      <c r="AB2532">
        <v>-73.86840100000001</v>
      </c>
      <c r="AD2532" t="s">
        <v>10839</v>
      </c>
      <c r="AG2532" t="s">
        <v>10858</v>
      </c>
      <c r="AH2532" t="s">
        <v>10860</v>
      </c>
      <c r="AI2532">
        <v>237</v>
      </c>
      <c r="AJ2532" t="s">
        <v>10212</v>
      </c>
      <c r="AL2532">
        <v>24.3</v>
      </c>
      <c r="AM2532" t="s">
        <v>10890</v>
      </c>
      <c r="AN2532" t="s">
        <v>10935</v>
      </c>
      <c r="AO2532" t="s">
        <v>11024</v>
      </c>
      <c r="AP2532" t="s">
        <v>11077</v>
      </c>
      <c r="AR2532" t="s">
        <v>11276</v>
      </c>
      <c r="AS2532" t="s">
        <v>11594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</row>
    <row r="2533" spans="1:59">
      <c r="A2533" s="1">
        <f>HYPERLINK("https://lsnyc.legalserver.org/matter/dynamic-profile/view/1906510","19-1906510")</f>
        <v>0</v>
      </c>
      <c r="B2533" t="s">
        <v>2144</v>
      </c>
      <c r="C2533" t="s">
        <v>6936</v>
      </c>
      <c r="D2533" t="s">
        <v>9925</v>
      </c>
      <c r="E2533" t="s">
        <v>10075</v>
      </c>
      <c r="F2533">
        <v>10027</v>
      </c>
      <c r="G2533" t="s">
        <v>10089</v>
      </c>
      <c r="H2533" t="s">
        <v>10104</v>
      </c>
      <c r="I2533" t="s">
        <v>10168</v>
      </c>
      <c r="J2533" t="s">
        <v>10209</v>
      </c>
      <c r="K2533" t="s">
        <v>10217</v>
      </c>
      <c r="M2533" t="s">
        <v>10501</v>
      </c>
      <c r="N2533" t="s">
        <v>10715</v>
      </c>
      <c r="P2533" t="s">
        <v>10751</v>
      </c>
      <c r="Q2533" t="s">
        <v>10776</v>
      </c>
      <c r="R2533" t="s">
        <v>10824</v>
      </c>
      <c r="T2533">
        <v>10524</v>
      </c>
      <c r="U2533">
        <v>877</v>
      </c>
      <c r="V2533">
        <v>70</v>
      </c>
      <c r="W2533">
        <v>1</v>
      </c>
      <c r="X2533">
        <v>0</v>
      </c>
      <c r="Z2533">
        <v>84.26000000000001</v>
      </c>
      <c r="AA2533">
        <v>40.809763</v>
      </c>
      <c r="AB2533">
        <v>-73.952652</v>
      </c>
      <c r="AD2533" t="s">
        <v>10839</v>
      </c>
      <c r="AG2533" t="s">
        <v>10858</v>
      </c>
      <c r="AH2533" t="s">
        <v>10862</v>
      </c>
      <c r="AI2533">
        <v>236</v>
      </c>
      <c r="AJ2533" t="s">
        <v>10209</v>
      </c>
      <c r="AL2533">
        <v>0</v>
      </c>
      <c r="AM2533" t="s">
        <v>10887</v>
      </c>
      <c r="AN2533" t="s">
        <v>10936</v>
      </c>
      <c r="AO2533" t="s">
        <v>11016</v>
      </c>
      <c r="AP2533" t="s">
        <v>11076</v>
      </c>
      <c r="AR2533" t="s">
        <v>11253</v>
      </c>
      <c r="AS2533" t="s">
        <v>9925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</row>
    <row r="2534" spans="1:59">
      <c r="A2534" s="1">
        <f>HYPERLINK("https://lsnyc.legalserver.org/matter/dynamic-profile/view/1906511","19-1906511")</f>
        <v>0</v>
      </c>
      <c r="B2534" t="s">
        <v>2145</v>
      </c>
      <c r="C2534" t="s">
        <v>6937</v>
      </c>
      <c r="D2534" t="s">
        <v>9926</v>
      </c>
      <c r="E2534" t="s">
        <v>10075</v>
      </c>
      <c r="F2534">
        <v>10453</v>
      </c>
      <c r="G2534" t="s">
        <v>10089</v>
      </c>
      <c r="H2534" t="s">
        <v>10104</v>
      </c>
      <c r="I2534" t="s">
        <v>10169</v>
      </c>
      <c r="J2534" t="s">
        <v>10209</v>
      </c>
      <c r="K2534" t="s">
        <v>10218</v>
      </c>
      <c r="L2534" t="s">
        <v>10115</v>
      </c>
      <c r="M2534" t="s">
        <v>10490</v>
      </c>
      <c r="N2534" t="s">
        <v>10718</v>
      </c>
      <c r="P2534" t="s">
        <v>10750</v>
      </c>
      <c r="Q2534" t="s">
        <v>10760</v>
      </c>
      <c r="R2534" t="s">
        <v>10823</v>
      </c>
      <c r="T2534">
        <v>9600</v>
      </c>
      <c r="U2534">
        <v>800</v>
      </c>
      <c r="V2534">
        <v>47</v>
      </c>
      <c r="W2534">
        <v>1</v>
      </c>
      <c r="X2534">
        <v>3</v>
      </c>
      <c r="Y2534" t="s">
        <v>10829</v>
      </c>
      <c r="Z2534">
        <v>37.28</v>
      </c>
      <c r="AA2534">
        <v>40.852195</v>
      </c>
      <c r="AB2534">
        <v>-73.922752</v>
      </c>
      <c r="AD2534" t="s">
        <v>10839</v>
      </c>
      <c r="AG2534" t="s">
        <v>10858</v>
      </c>
      <c r="AH2534" t="s">
        <v>10861</v>
      </c>
      <c r="AI2534">
        <v>234</v>
      </c>
      <c r="AJ2534" t="s">
        <v>10214</v>
      </c>
      <c r="AK2534" t="s">
        <v>10838</v>
      </c>
      <c r="AL2534">
        <v>1.3</v>
      </c>
      <c r="AM2534" t="s">
        <v>10887</v>
      </c>
      <c r="AN2534" t="s">
        <v>10929</v>
      </c>
      <c r="AO2534" t="s">
        <v>11013</v>
      </c>
      <c r="AP2534" t="s">
        <v>11055</v>
      </c>
      <c r="AR2534" t="s">
        <v>11274</v>
      </c>
      <c r="AS2534" t="s">
        <v>9926</v>
      </c>
      <c r="AT2534" t="s">
        <v>11641</v>
      </c>
      <c r="AX2534" t="s">
        <v>10838</v>
      </c>
      <c r="AY2534" t="s">
        <v>10829</v>
      </c>
      <c r="AZ2534" t="s">
        <v>11679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</row>
    <row r="2535" spans="1:59">
      <c r="A2535" s="1">
        <f>HYPERLINK("https://lsnyc.legalserver.org/matter/dynamic-profile/view/1906512","19-1906512")</f>
        <v>0</v>
      </c>
      <c r="B2535" t="s">
        <v>557</v>
      </c>
      <c r="C2535" t="s">
        <v>6938</v>
      </c>
      <c r="D2535" t="s">
        <v>9925</v>
      </c>
      <c r="E2535" t="s">
        <v>10075</v>
      </c>
      <c r="F2535">
        <v>10030</v>
      </c>
      <c r="G2535" t="s">
        <v>10089</v>
      </c>
      <c r="H2535" t="s">
        <v>10104</v>
      </c>
      <c r="I2535" t="s">
        <v>10169</v>
      </c>
      <c r="J2535" t="s">
        <v>10209</v>
      </c>
      <c r="K2535" t="s">
        <v>10217</v>
      </c>
      <c r="M2535" t="s">
        <v>10379</v>
      </c>
      <c r="N2535" t="s">
        <v>10715</v>
      </c>
      <c r="P2535" t="s">
        <v>10751</v>
      </c>
      <c r="Q2535" t="s">
        <v>10776</v>
      </c>
      <c r="R2535" t="s">
        <v>10824</v>
      </c>
      <c r="S2535" t="s">
        <v>10821</v>
      </c>
      <c r="T2535">
        <v>9240</v>
      </c>
      <c r="U2535">
        <v>770</v>
      </c>
      <c r="V2535">
        <v>63</v>
      </c>
      <c r="W2535">
        <v>1</v>
      </c>
      <c r="X2535">
        <v>0</v>
      </c>
      <c r="Z2535">
        <v>73.98</v>
      </c>
      <c r="AA2535">
        <v>40.814273</v>
      </c>
      <c r="AB2535">
        <v>-73.945741</v>
      </c>
      <c r="AD2535" t="s">
        <v>10840</v>
      </c>
      <c r="AG2535" t="s">
        <v>10858</v>
      </c>
      <c r="AH2535" t="s">
        <v>10862</v>
      </c>
      <c r="AI2535">
        <v>236</v>
      </c>
      <c r="AJ2535" t="s">
        <v>10209</v>
      </c>
      <c r="AL2535">
        <v>0</v>
      </c>
      <c r="AM2535" t="s">
        <v>10887</v>
      </c>
      <c r="AN2535" t="s">
        <v>10936</v>
      </c>
      <c r="AO2535" t="s">
        <v>11016</v>
      </c>
      <c r="AP2535" t="s">
        <v>11076</v>
      </c>
      <c r="AR2535" t="s">
        <v>11423</v>
      </c>
      <c r="AS2535" t="s">
        <v>11595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</row>
    <row r="2536" spans="1:59">
      <c r="A2536" s="1">
        <f>HYPERLINK("https://lsnyc.legalserver.org/matter/dynamic-profile/view/1906513","19-1906513")</f>
        <v>0</v>
      </c>
      <c r="B2536" t="s">
        <v>2146</v>
      </c>
      <c r="C2536" t="s">
        <v>6939</v>
      </c>
      <c r="D2536" t="s">
        <v>9928</v>
      </c>
      <c r="E2536" t="s">
        <v>10075</v>
      </c>
      <c r="F2536">
        <v>11233</v>
      </c>
      <c r="G2536" t="s">
        <v>10091</v>
      </c>
      <c r="H2536" t="s">
        <v>10104</v>
      </c>
      <c r="I2536" t="s">
        <v>10169</v>
      </c>
      <c r="J2536" t="s">
        <v>10214</v>
      </c>
      <c r="K2536" t="s">
        <v>10217</v>
      </c>
      <c r="M2536" t="s">
        <v>10522</v>
      </c>
      <c r="N2536" t="s">
        <v>10673</v>
      </c>
      <c r="P2536" t="s">
        <v>10753</v>
      </c>
      <c r="Q2536" t="s">
        <v>10763</v>
      </c>
      <c r="R2536" t="s">
        <v>10821</v>
      </c>
      <c r="T2536">
        <v>5350</v>
      </c>
      <c r="U2536">
        <v>445.83</v>
      </c>
      <c r="V2536">
        <v>50</v>
      </c>
      <c r="W2536">
        <v>1</v>
      </c>
      <c r="X2536">
        <v>0</v>
      </c>
      <c r="Z2536">
        <v>42.83</v>
      </c>
      <c r="AA2536">
        <v>40.675976</v>
      </c>
      <c r="AB2536">
        <v>-73.915002</v>
      </c>
      <c r="AD2536" t="s">
        <v>10840</v>
      </c>
      <c r="AF2536" t="s">
        <v>10842</v>
      </c>
      <c r="AG2536" t="s">
        <v>10859</v>
      </c>
      <c r="AH2536" t="s">
        <v>10861</v>
      </c>
      <c r="AI2536">
        <v>234</v>
      </c>
      <c r="AJ2536" t="s">
        <v>10214</v>
      </c>
      <c r="AL2536">
        <v>2.65</v>
      </c>
      <c r="AM2536" t="s">
        <v>10889</v>
      </c>
      <c r="AN2536" t="s">
        <v>10922</v>
      </c>
      <c r="AO2536" t="s">
        <v>11007</v>
      </c>
      <c r="AP2536" t="s">
        <v>11064</v>
      </c>
      <c r="AQ2536" t="s">
        <v>11204</v>
      </c>
      <c r="AR2536" t="s">
        <v>11257</v>
      </c>
      <c r="AS2536" t="s">
        <v>11595</v>
      </c>
      <c r="AT2536" t="s">
        <v>11642</v>
      </c>
      <c r="AX2536" t="s">
        <v>10837</v>
      </c>
      <c r="BA2536" t="s">
        <v>11739</v>
      </c>
      <c r="BB2536">
        <v>0</v>
      </c>
      <c r="BC2536">
        <v>0</v>
      </c>
      <c r="BD2536">
        <v>0</v>
      </c>
      <c r="BE2536">
        <v>0</v>
      </c>
      <c r="BF2536">
        <v>4</v>
      </c>
      <c r="BG2536">
        <v>0</v>
      </c>
    </row>
    <row r="2537" spans="1:59">
      <c r="A2537" s="1">
        <f>HYPERLINK("https://lsnyc.legalserver.org/matter/dynamic-profile/view/1906514","19-1906514")</f>
        <v>0</v>
      </c>
      <c r="B2537" t="s">
        <v>2147</v>
      </c>
      <c r="C2537" t="s">
        <v>6940</v>
      </c>
      <c r="D2537" t="s">
        <v>9925</v>
      </c>
      <c r="E2537" t="s">
        <v>10075</v>
      </c>
      <c r="F2537">
        <v>10030</v>
      </c>
      <c r="G2537" t="s">
        <v>10089</v>
      </c>
      <c r="H2537" t="s">
        <v>10104</v>
      </c>
      <c r="I2537" t="s">
        <v>10168</v>
      </c>
      <c r="J2537" t="s">
        <v>10209</v>
      </c>
      <c r="K2537" t="s">
        <v>10217</v>
      </c>
      <c r="M2537" t="s">
        <v>10391</v>
      </c>
      <c r="N2537" t="s">
        <v>10715</v>
      </c>
      <c r="P2537" t="s">
        <v>10751</v>
      </c>
      <c r="Q2537" t="s">
        <v>10776</v>
      </c>
      <c r="R2537" t="s">
        <v>10825</v>
      </c>
      <c r="T2537">
        <v>9516</v>
      </c>
      <c r="U2537">
        <v>793</v>
      </c>
      <c r="V2537">
        <v>58</v>
      </c>
      <c r="W2537">
        <v>1</v>
      </c>
      <c r="X2537">
        <v>0</v>
      </c>
      <c r="Z2537">
        <v>76.19</v>
      </c>
      <c r="AA2537">
        <v>40.818982</v>
      </c>
      <c r="AB2537">
        <v>-73.943077</v>
      </c>
      <c r="AD2537" t="s">
        <v>10839</v>
      </c>
      <c r="AG2537" t="s">
        <v>10858</v>
      </c>
      <c r="AH2537" t="s">
        <v>10862</v>
      </c>
      <c r="AI2537">
        <v>236</v>
      </c>
      <c r="AJ2537" t="s">
        <v>10209</v>
      </c>
      <c r="AL2537">
        <v>0</v>
      </c>
      <c r="AM2537" t="s">
        <v>10887</v>
      </c>
      <c r="AN2537" t="s">
        <v>10936</v>
      </c>
      <c r="AO2537" t="s">
        <v>11016</v>
      </c>
      <c r="AP2537" t="s">
        <v>11076</v>
      </c>
      <c r="AR2537" t="s">
        <v>11253</v>
      </c>
      <c r="AS2537" t="s">
        <v>9925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</row>
    <row r="2538" spans="1:59">
      <c r="A2538" s="1">
        <f>HYPERLINK("https://lsnyc.legalserver.org/matter/dynamic-profile/view/1906515","19-1906515")</f>
        <v>0</v>
      </c>
      <c r="B2538" t="s">
        <v>2148</v>
      </c>
      <c r="C2538" t="s">
        <v>6941</v>
      </c>
      <c r="D2538" t="s">
        <v>9925</v>
      </c>
      <c r="E2538" t="s">
        <v>10075</v>
      </c>
      <c r="F2538">
        <v>10030</v>
      </c>
      <c r="G2538" t="s">
        <v>10089</v>
      </c>
      <c r="H2538" t="s">
        <v>10104</v>
      </c>
      <c r="I2538" t="s">
        <v>10169</v>
      </c>
      <c r="J2538" t="s">
        <v>10209</v>
      </c>
      <c r="K2538" t="s">
        <v>10217</v>
      </c>
      <c r="M2538" t="s">
        <v>10509</v>
      </c>
      <c r="N2538" t="s">
        <v>10715</v>
      </c>
      <c r="P2538" t="s">
        <v>10751</v>
      </c>
      <c r="Q2538" t="s">
        <v>10776</v>
      </c>
      <c r="R2538" t="s">
        <v>10823</v>
      </c>
      <c r="T2538">
        <v>15048</v>
      </c>
      <c r="U2538">
        <v>1254</v>
      </c>
      <c r="V2538">
        <v>72</v>
      </c>
      <c r="W2538">
        <v>2</v>
      </c>
      <c r="X2538">
        <v>0</v>
      </c>
      <c r="Z2538">
        <v>88.98999999999999</v>
      </c>
      <c r="AA2538">
        <v>40.823483</v>
      </c>
      <c r="AB2538">
        <v>-73.944844</v>
      </c>
      <c r="AD2538" t="s">
        <v>10840</v>
      </c>
      <c r="AF2538" t="s">
        <v>10847</v>
      </c>
      <c r="AG2538" t="s">
        <v>10859</v>
      </c>
      <c r="AH2538" t="s">
        <v>10862</v>
      </c>
      <c r="AI2538">
        <v>236</v>
      </c>
      <c r="AJ2538" t="s">
        <v>10209</v>
      </c>
      <c r="AL2538">
        <v>0</v>
      </c>
      <c r="AM2538" t="s">
        <v>10887</v>
      </c>
      <c r="AN2538" t="s">
        <v>10936</v>
      </c>
      <c r="AO2538" t="s">
        <v>11016</v>
      </c>
      <c r="AP2538" t="s">
        <v>11076</v>
      </c>
      <c r="AR2538" t="s">
        <v>11257</v>
      </c>
      <c r="AS2538" t="s">
        <v>9925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</row>
    <row r="2539" spans="1:59">
      <c r="A2539" s="1">
        <f>HYPERLINK("https://lsnyc.legalserver.org/matter/dynamic-profile/view/1906516","19-1906516")</f>
        <v>0</v>
      </c>
      <c r="B2539" t="s">
        <v>2149</v>
      </c>
      <c r="C2539" t="s">
        <v>6942</v>
      </c>
      <c r="D2539" t="s">
        <v>9926</v>
      </c>
      <c r="E2539" t="s">
        <v>10075</v>
      </c>
      <c r="F2539">
        <v>10463</v>
      </c>
      <c r="G2539" t="s">
        <v>10090</v>
      </c>
      <c r="H2539" t="s">
        <v>10104</v>
      </c>
      <c r="I2539" t="s">
        <v>10171</v>
      </c>
      <c r="J2539" t="s">
        <v>10210</v>
      </c>
      <c r="K2539" t="s">
        <v>10217</v>
      </c>
      <c r="M2539" t="s">
        <v>10401</v>
      </c>
      <c r="N2539" t="s">
        <v>10677</v>
      </c>
      <c r="P2539" t="s">
        <v>10757</v>
      </c>
      <c r="Q2539" t="s">
        <v>10789</v>
      </c>
      <c r="R2539" t="s">
        <v>10820</v>
      </c>
      <c r="T2539">
        <v>21360</v>
      </c>
      <c r="U2539">
        <v>1780</v>
      </c>
      <c r="V2539">
        <v>81</v>
      </c>
      <c r="W2539">
        <v>1</v>
      </c>
      <c r="X2539">
        <v>0</v>
      </c>
      <c r="Z2539">
        <v>171.02</v>
      </c>
      <c r="AA2539">
        <v>40.884853</v>
      </c>
      <c r="AB2539">
        <v>-73.89131399999999</v>
      </c>
      <c r="AD2539" t="s">
        <v>10839</v>
      </c>
      <c r="AG2539" t="s">
        <v>10858</v>
      </c>
      <c r="AH2539" t="s">
        <v>10861</v>
      </c>
      <c r="AI2539">
        <v>234</v>
      </c>
      <c r="AJ2539" t="s">
        <v>10214</v>
      </c>
      <c r="AL2539">
        <v>8.449999999999999</v>
      </c>
      <c r="AM2539" t="s">
        <v>10887</v>
      </c>
      <c r="AN2539" t="s">
        <v>10919</v>
      </c>
      <c r="AO2539" t="s">
        <v>11002</v>
      </c>
      <c r="AP2539" t="s">
        <v>11057</v>
      </c>
      <c r="AR2539" t="s">
        <v>11345</v>
      </c>
      <c r="AS2539" t="s">
        <v>9926</v>
      </c>
      <c r="AT2539" t="s">
        <v>11641</v>
      </c>
      <c r="AX2539" t="s">
        <v>10838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</row>
    <row r="2540" spans="1:59">
      <c r="A2540" s="1">
        <f>HYPERLINK("https://lsnyc.legalserver.org/matter/dynamic-profile/view/1906517","19-1906517")</f>
        <v>0</v>
      </c>
      <c r="B2540" t="s">
        <v>2150</v>
      </c>
      <c r="C2540" t="s">
        <v>6943</v>
      </c>
      <c r="D2540" t="s">
        <v>9965</v>
      </c>
      <c r="E2540" t="s">
        <v>10075</v>
      </c>
      <c r="F2540">
        <v>11101</v>
      </c>
      <c r="G2540" t="s">
        <v>10092</v>
      </c>
      <c r="H2540" t="s">
        <v>10104</v>
      </c>
      <c r="I2540" t="s">
        <v>10168</v>
      </c>
      <c r="J2540" t="s">
        <v>10212</v>
      </c>
      <c r="K2540" t="s">
        <v>10217</v>
      </c>
      <c r="M2540" t="s">
        <v>10329</v>
      </c>
      <c r="N2540" t="s">
        <v>10650</v>
      </c>
      <c r="P2540" t="s">
        <v>10749</v>
      </c>
      <c r="Q2540" t="s">
        <v>10765</v>
      </c>
      <c r="R2540" t="s">
        <v>10824</v>
      </c>
      <c r="T2540">
        <v>22800</v>
      </c>
      <c r="U2540">
        <v>1900</v>
      </c>
      <c r="V2540">
        <v>32</v>
      </c>
      <c r="W2540">
        <v>1</v>
      </c>
      <c r="X2540">
        <v>0</v>
      </c>
      <c r="Z2540">
        <v>182.55</v>
      </c>
      <c r="AA2540">
        <v>40.747738</v>
      </c>
      <c r="AB2540">
        <v>-73.942677</v>
      </c>
      <c r="AD2540" t="s">
        <v>10840</v>
      </c>
      <c r="AG2540" t="s">
        <v>10858</v>
      </c>
      <c r="AH2540" t="s">
        <v>10862</v>
      </c>
      <c r="AI2540">
        <v>237</v>
      </c>
      <c r="AJ2540" t="s">
        <v>10212</v>
      </c>
      <c r="AL2540">
        <v>7.07</v>
      </c>
      <c r="AM2540" t="s">
        <v>10891</v>
      </c>
      <c r="AN2540" t="s">
        <v>10961</v>
      </c>
      <c r="AO2540" t="s">
        <v>11003</v>
      </c>
      <c r="AP2540" t="s">
        <v>11047</v>
      </c>
      <c r="AR2540" t="s">
        <v>11257</v>
      </c>
      <c r="AS2540" t="s">
        <v>11594</v>
      </c>
      <c r="AT2540" t="s">
        <v>11642</v>
      </c>
      <c r="AX2540" t="s">
        <v>10837</v>
      </c>
      <c r="BA2540" t="s">
        <v>11738</v>
      </c>
      <c r="BB2540">
        <v>0</v>
      </c>
      <c r="BC2540">
        <v>0</v>
      </c>
      <c r="BD2540">
        <v>0</v>
      </c>
      <c r="BE2540">
        <v>0</v>
      </c>
      <c r="BF2540">
        <v>5</v>
      </c>
      <c r="BG2540">
        <v>0</v>
      </c>
    </row>
    <row r="2541" spans="1:59">
      <c r="A2541" s="1">
        <f>HYPERLINK("https://lsnyc.legalserver.org/matter/dynamic-profile/view/1906518","19-1906518")</f>
        <v>0</v>
      </c>
      <c r="B2541" t="s">
        <v>2151</v>
      </c>
      <c r="C2541" t="s">
        <v>6944</v>
      </c>
      <c r="D2541" t="s">
        <v>9935</v>
      </c>
      <c r="E2541" t="s">
        <v>10075</v>
      </c>
      <c r="F2541">
        <v>11369</v>
      </c>
      <c r="G2541" t="s">
        <v>10092</v>
      </c>
      <c r="H2541" t="s">
        <v>10104</v>
      </c>
      <c r="I2541" t="s">
        <v>10168</v>
      </c>
      <c r="J2541" t="s">
        <v>10212</v>
      </c>
      <c r="K2541" t="s">
        <v>10218</v>
      </c>
      <c r="L2541" t="s">
        <v>10135</v>
      </c>
      <c r="M2541" t="s">
        <v>10260</v>
      </c>
      <c r="N2541" t="s">
        <v>10665</v>
      </c>
      <c r="P2541" t="s">
        <v>10751</v>
      </c>
      <c r="Q2541" t="s">
        <v>10773</v>
      </c>
      <c r="R2541" t="s">
        <v>10821</v>
      </c>
      <c r="T2541">
        <v>23400</v>
      </c>
      <c r="U2541">
        <v>1950</v>
      </c>
      <c r="V2541">
        <v>26</v>
      </c>
      <c r="W2541">
        <v>1</v>
      </c>
      <c r="X2541">
        <v>0</v>
      </c>
      <c r="Y2541" t="s">
        <v>10829</v>
      </c>
      <c r="Z2541">
        <v>187.35</v>
      </c>
      <c r="AA2541">
        <v>40.758594</v>
      </c>
      <c r="AB2541">
        <v>-73.872212</v>
      </c>
      <c r="AD2541" t="s">
        <v>10839</v>
      </c>
      <c r="AG2541" t="s">
        <v>10858</v>
      </c>
      <c r="AH2541" t="s">
        <v>10871</v>
      </c>
      <c r="AI2541">
        <v>234</v>
      </c>
      <c r="AJ2541" t="s">
        <v>10214</v>
      </c>
      <c r="AK2541" t="s">
        <v>10837</v>
      </c>
      <c r="AL2541">
        <v>11.5</v>
      </c>
      <c r="AM2541" t="s">
        <v>10885</v>
      </c>
      <c r="AN2541" t="s">
        <v>10916</v>
      </c>
      <c r="AO2541" t="s">
        <v>11014</v>
      </c>
      <c r="AP2541" t="s">
        <v>11068</v>
      </c>
      <c r="AR2541" t="s">
        <v>11293</v>
      </c>
      <c r="AS2541" t="s">
        <v>11594</v>
      </c>
      <c r="AT2541" t="s">
        <v>11641</v>
      </c>
      <c r="AX2541" t="s">
        <v>10838</v>
      </c>
      <c r="AY2541" t="s">
        <v>10829</v>
      </c>
      <c r="AZ2541" t="s">
        <v>11682</v>
      </c>
      <c r="BA2541" t="s">
        <v>11741</v>
      </c>
      <c r="BB2541">
        <v>0</v>
      </c>
      <c r="BC2541">
        <v>0</v>
      </c>
      <c r="BD2541">
        <v>0</v>
      </c>
      <c r="BE2541">
        <v>0</v>
      </c>
      <c r="BF2541">
        <v>1</v>
      </c>
      <c r="BG2541">
        <v>0</v>
      </c>
    </row>
    <row r="2542" spans="1:59">
      <c r="A2542" s="1">
        <f>HYPERLINK("https://lsnyc.legalserver.org/matter/dynamic-profile/view/1906520","19-1906520")</f>
        <v>0</v>
      </c>
      <c r="B2542" t="s">
        <v>2152</v>
      </c>
      <c r="C2542" t="s">
        <v>6945</v>
      </c>
      <c r="D2542" t="s">
        <v>9928</v>
      </c>
      <c r="E2542" t="s">
        <v>10075</v>
      </c>
      <c r="F2542">
        <v>11225</v>
      </c>
      <c r="G2542" t="s">
        <v>10093</v>
      </c>
      <c r="H2542" t="s">
        <v>10097</v>
      </c>
      <c r="I2542" t="s">
        <v>10168</v>
      </c>
      <c r="J2542" t="s">
        <v>10213</v>
      </c>
      <c r="K2542" t="s">
        <v>10218</v>
      </c>
      <c r="L2542" t="s">
        <v>10156</v>
      </c>
      <c r="M2542" t="s">
        <v>10293</v>
      </c>
      <c r="N2542" t="s">
        <v>10644</v>
      </c>
      <c r="P2542" t="s">
        <v>10751</v>
      </c>
      <c r="Q2542" t="s">
        <v>10761</v>
      </c>
      <c r="R2542" t="s">
        <v>10824</v>
      </c>
      <c r="T2542">
        <v>35000</v>
      </c>
      <c r="U2542">
        <v>2916.67</v>
      </c>
      <c r="V2542">
        <v>67</v>
      </c>
      <c r="W2542">
        <v>1</v>
      </c>
      <c r="X2542">
        <v>0</v>
      </c>
      <c r="Y2542" t="s">
        <v>10829</v>
      </c>
      <c r="Z2542">
        <v>280.22</v>
      </c>
      <c r="AA2542">
        <v>40.655566</v>
      </c>
      <c r="AB2542">
        <v>-73.961805</v>
      </c>
      <c r="AD2542" t="s">
        <v>10840</v>
      </c>
      <c r="AG2542" t="s">
        <v>10858</v>
      </c>
      <c r="AH2542" t="s">
        <v>10867</v>
      </c>
      <c r="AI2542">
        <v>239</v>
      </c>
      <c r="AJ2542" t="s">
        <v>10213</v>
      </c>
      <c r="AK2542" t="s">
        <v>10838</v>
      </c>
      <c r="AL2542">
        <v>1.5</v>
      </c>
      <c r="AM2542" t="s">
        <v>10888</v>
      </c>
      <c r="AN2542" t="s">
        <v>10912</v>
      </c>
      <c r="AO2542" t="s">
        <v>11008</v>
      </c>
      <c r="AP2542" t="s">
        <v>11050</v>
      </c>
      <c r="AR2542" t="s">
        <v>11257</v>
      </c>
      <c r="AS2542" t="s">
        <v>11595</v>
      </c>
      <c r="AY2542" t="s">
        <v>10829</v>
      </c>
      <c r="AZ2542" t="s">
        <v>11682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</row>
    <row r="2543" spans="1:59">
      <c r="A2543" s="1">
        <f>HYPERLINK("https://lsnyc.legalserver.org/matter/dynamic-profile/view/1906522","19-1906522")</f>
        <v>0</v>
      </c>
      <c r="B2543" t="s">
        <v>2153</v>
      </c>
      <c r="C2543" t="s">
        <v>5765</v>
      </c>
      <c r="D2543" t="s">
        <v>9928</v>
      </c>
      <c r="E2543" t="s">
        <v>10075</v>
      </c>
      <c r="F2543">
        <v>11221</v>
      </c>
      <c r="G2543" t="s">
        <v>10093</v>
      </c>
      <c r="H2543" t="s">
        <v>10104</v>
      </c>
      <c r="I2543" t="s">
        <v>10168</v>
      </c>
      <c r="J2543" t="s">
        <v>10213</v>
      </c>
      <c r="K2543" t="s">
        <v>10217</v>
      </c>
      <c r="M2543" t="s">
        <v>10361</v>
      </c>
      <c r="N2543" t="s">
        <v>10667</v>
      </c>
      <c r="P2543" t="s">
        <v>10749</v>
      </c>
      <c r="Q2543" t="s">
        <v>10765</v>
      </c>
      <c r="R2543" t="s">
        <v>10824</v>
      </c>
      <c r="T2543">
        <v>10800</v>
      </c>
      <c r="U2543">
        <v>900</v>
      </c>
      <c r="V2543">
        <v>74</v>
      </c>
      <c r="W2543">
        <v>1</v>
      </c>
      <c r="X2543">
        <v>0</v>
      </c>
      <c r="Z2543">
        <v>86.47</v>
      </c>
      <c r="AA2543">
        <v>40.684802</v>
      </c>
      <c r="AB2543">
        <v>-73.93871300000001</v>
      </c>
      <c r="AD2543" t="s">
        <v>10840</v>
      </c>
      <c r="AG2543" t="s">
        <v>10858</v>
      </c>
      <c r="AH2543" t="s">
        <v>10862</v>
      </c>
      <c r="AI2543">
        <v>239</v>
      </c>
      <c r="AJ2543" t="s">
        <v>10213</v>
      </c>
      <c r="AL2543">
        <v>12.6</v>
      </c>
      <c r="AM2543" t="s">
        <v>10889</v>
      </c>
      <c r="AN2543" t="s">
        <v>10914</v>
      </c>
      <c r="AO2543" t="s">
        <v>11007</v>
      </c>
      <c r="AP2543" t="s">
        <v>11052</v>
      </c>
      <c r="AR2543" t="s">
        <v>11253</v>
      </c>
      <c r="AS2543" t="s">
        <v>11595</v>
      </c>
      <c r="BA2543" t="s">
        <v>11738</v>
      </c>
      <c r="BB2543">
        <v>0</v>
      </c>
      <c r="BC2543">
        <v>0</v>
      </c>
      <c r="BD2543">
        <v>0</v>
      </c>
      <c r="BE2543">
        <v>0</v>
      </c>
      <c r="BF2543">
        <v>5</v>
      </c>
      <c r="BG2543">
        <v>0</v>
      </c>
    </row>
    <row r="2544" spans="1:59">
      <c r="A2544" s="1">
        <f>HYPERLINK("https://lsnyc.legalserver.org/matter/dynamic-profile/view/1906523","19-1906523")</f>
        <v>0</v>
      </c>
      <c r="B2544" t="s">
        <v>2154</v>
      </c>
      <c r="C2544" t="s">
        <v>6946</v>
      </c>
      <c r="D2544" t="s">
        <v>9928</v>
      </c>
      <c r="E2544" t="s">
        <v>10075</v>
      </c>
      <c r="F2544">
        <v>11212</v>
      </c>
      <c r="G2544" t="s">
        <v>10093</v>
      </c>
      <c r="H2544" t="s">
        <v>10104</v>
      </c>
      <c r="I2544" t="s">
        <v>10168</v>
      </c>
      <c r="J2544" t="s">
        <v>10213</v>
      </c>
      <c r="K2544" t="s">
        <v>10217</v>
      </c>
      <c r="M2544" t="s">
        <v>10439</v>
      </c>
      <c r="N2544" t="s">
        <v>10650</v>
      </c>
      <c r="P2544" t="s">
        <v>10749</v>
      </c>
      <c r="Q2544" t="s">
        <v>10765</v>
      </c>
      <c r="R2544" t="s">
        <v>10824</v>
      </c>
      <c r="T2544">
        <v>15600</v>
      </c>
      <c r="U2544">
        <v>1300</v>
      </c>
      <c r="V2544">
        <v>45</v>
      </c>
      <c r="W2544">
        <v>2</v>
      </c>
      <c r="X2544">
        <v>1</v>
      </c>
      <c r="Z2544">
        <v>73.14</v>
      </c>
      <c r="AA2544">
        <v>40.660627</v>
      </c>
      <c r="AB2544">
        <v>-73.909941</v>
      </c>
      <c r="AD2544" t="s">
        <v>10839</v>
      </c>
      <c r="AG2544" t="s">
        <v>10858</v>
      </c>
      <c r="AH2544" t="s">
        <v>10862</v>
      </c>
      <c r="AI2544">
        <v>239</v>
      </c>
      <c r="AJ2544" t="s">
        <v>10213</v>
      </c>
      <c r="AL2544">
        <v>2</v>
      </c>
      <c r="AM2544" t="s">
        <v>10888</v>
      </c>
      <c r="AN2544" t="s">
        <v>10946</v>
      </c>
      <c r="AO2544" t="s">
        <v>11012</v>
      </c>
      <c r="AP2544" t="s">
        <v>11060</v>
      </c>
      <c r="AR2544" t="s">
        <v>11257</v>
      </c>
      <c r="AS2544" t="s">
        <v>11595</v>
      </c>
      <c r="AT2544" t="s">
        <v>11641</v>
      </c>
      <c r="AX2544" t="s">
        <v>10838</v>
      </c>
      <c r="BA2544" t="s">
        <v>11738</v>
      </c>
      <c r="BB2544">
        <v>0</v>
      </c>
      <c r="BC2544">
        <v>0</v>
      </c>
      <c r="BD2544">
        <v>0</v>
      </c>
      <c r="BE2544">
        <v>0</v>
      </c>
      <c r="BF2544">
        <v>5</v>
      </c>
      <c r="BG2544">
        <v>0</v>
      </c>
    </row>
    <row r="2545" spans="1:59">
      <c r="A2545" s="1">
        <f>HYPERLINK("https://lsnyc.legalserver.org/matter/dynamic-profile/view/1906524","19-1906524")</f>
        <v>0</v>
      </c>
      <c r="B2545" t="s">
        <v>2155</v>
      </c>
      <c r="C2545" t="s">
        <v>6947</v>
      </c>
      <c r="D2545" t="s">
        <v>9928</v>
      </c>
      <c r="E2545" t="s">
        <v>10075</v>
      </c>
      <c r="F2545">
        <v>11206</v>
      </c>
      <c r="G2545" t="s">
        <v>10093</v>
      </c>
      <c r="H2545" t="s">
        <v>10104</v>
      </c>
      <c r="I2545" t="s">
        <v>10168</v>
      </c>
      <c r="J2545" t="s">
        <v>10213</v>
      </c>
      <c r="K2545" t="s">
        <v>10218</v>
      </c>
      <c r="L2545" t="s">
        <v>10096</v>
      </c>
      <c r="M2545" t="s">
        <v>10507</v>
      </c>
      <c r="N2545" t="s">
        <v>10664</v>
      </c>
      <c r="P2545" t="s">
        <v>10749</v>
      </c>
      <c r="Q2545" t="s">
        <v>10765</v>
      </c>
      <c r="R2545" t="s">
        <v>10821</v>
      </c>
      <c r="T2545">
        <v>8820</v>
      </c>
      <c r="U2545">
        <v>735</v>
      </c>
      <c r="V2545">
        <v>88</v>
      </c>
      <c r="W2545">
        <v>2</v>
      </c>
      <c r="X2545">
        <v>0</v>
      </c>
      <c r="Y2545" t="s">
        <v>10829</v>
      </c>
      <c r="Z2545">
        <v>52.16</v>
      </c>
      <c r="AA2545">
        <v>40.702428</v>
      </c>
      <c r="AB2545">
        <v>-73.93759</v>
      </c>
      <c r="AD2545" t="s">
        <v>10839</v>
      </c>
      <c r="AG2545" t="s">
        <v>10858</v>
      </c>
      <c r="AH2545" t="s">
        <v>10861</v>
      </c>
      <c r="AI2545">
        <v>239</v>
      </c>
      <c r="AJ2545" t="s">
        <v>10213</v>
      </c>
      <c r="AK2545" t="s">
        <v>10838</v>
      </c>
      <c r="AL2545">
        <v>0.7</v>
      </c>
      <c r="AM2545" t="s">
        <v>10886</v>
      </c>
      <c r="AN2545" t="s">
        <v>10942</v>
      </c>
      <c r="AO2545" t="s">
        <v>11011</v>
      </c>
      <c r="AP2545" t="s">
        <v>11071</v>
      </c>
      <c r="AR2545" t="s">
        <v>11268</v>
      </c>
      <c r="AS2545" t="s">
        <v>11595</v>
      </c>
      <c r="AY2545" t="s">
        <v>10829</v>
      </c>
      <c r="AZ2545" t="s">
        <v>11681</v>
      </c>
      <c r="BA2545" t="s">
        <v>11741</v>
      </c>
      <c r="BB2545">
        <v>0</v>
      </c>
      <c r="BC2545">
        <v>0</v>
      </c>
      <c r="BD2545">
        <v>0</v>
      </c>
      <c r="BE2545">
        <v>0</v>
      </c>
      <c r="BF2545">
        <v>1</v>
      </c>
      <c r="BG2545">
        <v>0</v>
      </c>
    </row>
    <row r="2546" spans="1:59">
      <c r="A2546" s="1">
        <f>HYPERLINK("https://lsnyc.legalserver.org/matter/dynamic-profile/view/1906525","19-1906525")</f>
        <v>0</v>
      </c>
      <c r="B2546" t="s">
        <v>2156</v>
      </c>
      <c r="C2546" t="s">
        <v>6948</v>
      </c>
      <c r="D2546" t="s">
        <v>9928</v>
      </c>
      <c r="E2546" t="s">
        <v>10075</v>
      </c>
      <c r="F2546">
        <v>11209</v>
      </c>
      <c r="G2546" t="s">
        <v>10093</v>
      </c>
      <c r="H2546" t="s">
        <v>10095</v>
      </c>
      <c r="J2546" t="s">
        <v>10213</v>
      </c>
      <c r="K2546" t="s">
        <v>10217</v>
      </c>
      <c r="M2546" t="s">
        <v>10470</v>
      </c>
      <c r="N2546" t="s">
        <v>10720</v>
      </c>
      <c r="P2546" t="s">
        <v>10749</v>
      </c>
      <c r="Q2546" t="s">
        <v>10759</v>
      </c>
      <c r="R2546" t="s">
        <v>10820</v>
      </c>
      <c r="T2546">
        <v>141600</v>
      </c>
      <c r="U2546">
        <v>11800</v>
      </c>
      <c r="V2546">
        <v>52</v>
      </c>
      <c r="W2546">
        <v>2</v>
      </c>
      <c r="X2546">
        <v>2</v>
      </c>
      <c r="Z2546">
        <v>549.9</v>
      </c>
      <c r="AA2546">
        <v>40.629322</v>
      </c>
      <c r="AB2546">
        <v>-74.02061399999999</v>
      </c>
      <c r="AD2546" t="s">
        <v>10840</v>
      </c>
      <c r="AG2546" t="s">
        <v>10858</v>
      </c>
      <c r="AH2546" t="s">
        <v>10860</v>
      </c>
      <c r="AI2546">
        <v>239</v>
      </c>
      <c r="AJ2546" t="s">
        <v>10213</v>
      </c>
      <c r="AL2546">
        <v>4.7</v>
      </c>
      <c r="AM2546" t="s">
        <v>10883</v>
      </c>
      <c r="AN2546" t="s">
        <v>10915</v>
      </c>
      <c r="AO2546" t="s">
        <v>11023</v>
      </c>
      <c r="AP2546" t="s">
        <v>11086</v>
      </c>
      <c r="AR2546" t="s">
        <v>11466</v>
      </c>
      <c r="AS2546" t="s">
        <v>11595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</row>
    <row r="2547" spans="1:59">
      <c r="A2547" s="1">
        <f>HYPERLINK("https://lsnyc.legalserver.org/matter/dynamic-profile/view/1906526","19-1906526")</f>
        <v>0</v>
      </c>
      <c r="B2547" t="s">
        <v>2157</v>
      </c>
      <c r="C2547" t="s">
        <v>6949</v>
      </c>
      <c r="D2547" t="s">
        <v>9928</v>
      </c>
      <c r="E2547" t="s">
        <v>10075</v>
      </c>
      <c r="F2547">
        <v>11222</v>
      </c>
      <c r="G2547" t="s">
        <v>10093</v>
      </c>
      <c r="H2547" t="s">
        <v>10104</v>
      </c>
      <c r="I2547" t="s">
        <v>10168</v>
      </c>
      <c r="J2547" t="s">
        <v>10213</v>
      </c>
      <c r="K2547" t="s">
        <v>10217</v>
      </c>
      <c r="M2547" t="s">
        <v>10356</v>
      </c>
      <c r="N2547" t="s">
        <v>10671</v>
      </c>
      <c r="P2547" t="s">
        <v>10753</v>
      </c>
      <c r="Q2547" t="s">
        <v>10763</v>
      </c>
      <c r="R2547" t="s">
        <v>10820</v>
      </c>
      <c r="T2547">
        <v>0</v>
      </c>
      <c r="U2547">
        <v>0</v>
      </c>
      <c r="V2547">
        <v>64</v>
      </c>
      <c r="W2547">
        <v>1</v>
      </c>
      <c r="X2547">
        <v>0</v>
      </c>
      <c r="Z2547">
        <v>0</v>
      </c>
      <c r="AA2547">
        <v>40.736688</v>
      </c>
      <c r="AB2547">
        <v>-73.952011</v>
      </c>
      <c r="AC2547" t="s">
        <v>10837</v>
      </c>
      <c r="AD2547" t="s">
        <v>10840</v>
      </c>
      <c r="AF2547" t="s">
        <v>10842</v>
      </c>
      <c r="AG2547" t="s">
        <v>10859</v>
      </c>
      <c r="AH2547" t="s">
        <v>10861</v>
      </c>
      <c r="AI2547">
        <v>234</v>
      </c>
      <c r="AJ2547" t="s">
        <v>10214</v>
      </c>
      <c r="AL2547">
        <v>1.3</v>
      </c>
      <c r="AM2547" t="s">
        <v>10891</v>
      </c>
      <c r="AN2547" t="s">
        <v>10939</v>
      </c>
      <c r="AO2547" t="s">
        <v>11011</v>
      </c>
      <c r="AP2547" t="s">
        <v>11054</v>
      </c>
      <c r="AR2547" t="s">
        <v>11267</v>
      </c>
      <c r="AS2547" t="s">
        <v>11595</v>
      </c>
      <c r="AT2547" t="s">
        <v>11642</v>
      </c>
      <c r="AX2547" t="s">
        <v>10838</v>
      </c>
      <c r="BA2547" t="s">
        <v>11740</v>
      </c>
      <c r="BB2547">
        <v>0</v>
      </c>
      <c r="BC2547">
        <v>0</v>
      </c>
      <c r="BD2547">
        <v>0</v>
      </c>
      <c r="BE2547">
        <v>0</v>
      </c>
      <c r="BF2547">
        <v>2</v>
      </c>
      <c r="BG2547">
        <v>0</v>
      </c>
    </row>
    <row r="2548" spans="1:59">
      <c r="A2548" s="1">
        <f>HYPERLINK("https://lsnyc.legalserver.org/matter/dynamic-profile/view/1906527","19-1906527")</f>
        <v>0</v>
      </c>
      <c r="B2548" t="s">
        <v>2158</v>
      </c>
      <c r="C2548" t="s">
        <v>5009</v>
      </c>
      <c r="D2548" t="s">
        <v>9928</v>
      </c>
      <c r="E2548" t="s">
        <v>10075</v>
      </c>
      <c r="F2548">
        <v>11225</v>
      </c>
      <c r="G2548" t="s">
        <v>10093</v>
      </c>
      <c r="H2548" t="s">
        <v>10104</v>
      </c>
      <c r="I2548" t="s">
        <v>10168</v>
      </c>
      <c r="J2548" t="s">
        <v>10213</v>
      </c>
      <c r="K2548" t="s">
        <v>10217</v>
      </c>
      <c r="M2548" t="s">
        <v>10236</v>
      </c>
      <c r="N2548" t="s">
        <v>10650</v>
      </c>
      <c r="O2548" t="s">
        <v>10653</v>
      </c>
      <c r="P2548" t="s">
        <v>10749</v>
      </c>
      <c r="Q2548" t="s">
        <v>10765</v>
      </c>
      <c r="R2548" t="s">
        <v>10820</v>
      </c>
      <c r="T2548">
        <v>80000</v>
      </c>
      <c r="U2548">
        <v>6666.67</v>
      </c>
      <c r="V2548">
        <v>32</v>
      </c>
      <c r="W2548">
        <v>2</v>
      </c>
      <c r="X2548">
        <v>0</v>
      </c>
      <c r="Z2548">
        <v>473.09</v>
      </c>
      <c r="AA2548">
        <v>40.65869</v>
      </c>
      <c r="AB2548">
        <v>-73.96026000000001</v>
      </c>
      <c r="AD2548" t="s">
        <v>10839</v>
      </c>
      <c r="AG2548" t="s">
        <v>10858</v>
      </c>
      <c r="AH2548" t="s">
        <v>10862</v>
      </c>
      <c r="AI2548">
        <v>239</v>
      </c>
      <c r="AJ2548" t="s">
        <v>10213</v>
      </c>
      <c r="AL2548">
        <v>0.1</v>
      </c>
      <c r="AM2548" t="s">
        <v>10888</v>
      </c>
      <c r="AN2548" t="s">
        <v>10912</v>
      </c>
      <c r="AO2548" t="s">
        <v>11005</v>
      </c>
      <c r="AP2548" t="s">
        <v>11050</v>
      </c>
      <c r="AR2548" t="s">
        <v>11257</v>
      </c>
      <c r="AS2548" t="s">
        <v>11595</v>
      </c>
      <c r="BA2548" t="s">
        <v>11738</v>
      </c>
      <c r="BB2548">
        <v>0</v>
      </c>
      <c r="BC2548">
        <v>0</v>
      </c>
      <c r="BD2548">
        <v>0</v>
      </c>
      <c r="BE2548">
        <v>0</v>
      </c>
      <c r="BF2548">
        <v>5</v>
      </c>
      <c r="BG2548">
        <v>0</v>
      </c>
    </row>
    <row r="2549" spans="1:59">
      <c r="A2549" s="1">
        <f>HYPERLINK("https://lsnyc.legalserver.org/matter/dynamic-profile/view/1906528","19-1906528")</f>
        <v>0</v>
      </c>
      <c r="B2549" t="s">
        <v>2159</v>
      </c>
      <c r="C2549" t="s">
        <v>6950</v>
      </c>
      <c r="D2549" t="s">
        <v>9956</v>
      </c>
      <c r="E2549" t="s">
        <v>10075</v>
      </c>
      <c r="F2549">
        <v>11365</v>
      </c>
      <c r="G2549" t="s">
        <v>10091</v>
      </c>
      <c r="H2549" t="s">
        <v>10104</v>
      </c>
      <c r="I2549" t="s">
        <v>10168</v>
      </c>
      <c r="J2549" t="s">
        <v>10214</v>
      </c>
      <c r="K2549" t="s">
        <v>10217</v>
      </c>
      <c r="M2549" t="s">
        <v>10286</v>
      </c>
      <c r="N2549" t="s">
        <v>10671</v>
      </c>
      <c r="P2549" t="s">
        <v>10752</v>
      </c>
      <c r="Q2549" t="s">
        <v>10762</v>
      </c>
      <c r="R2549" t="s">
        <v>10824</v>
      </c>
      <c r="T2549">
        <v>5520</v>
      </c>
      <c r="U2549">
        <v>460</v>
      </c>
      <c r="V2549">
        <v>36</v>
      </c>
      <c r="W2549">
        <v>1</v>
      </c>
      <c r="X2549">
        <v>1</v>
      </c>
      <c r="Z2549">
        <v>32.64</v>
      </c>
      <c r="AA2549">
        <v>40.73424</v>
      </c>
      <c r="AB2549">
        <v>-73.807445</v>
      </c>
      <c r="AD2549" t="s">
        <v>10839</v>
      </c>
      <c r="AG2549" t="s">
        <v>10858</v>
      </c>
      <c r="AH2549" t="s">
        <v>10871</v>
      </c>
      <c r="AI2549">
        <v>234</v>
      </c>
      <c r="AJ2549" t="s">
        <v>10214</v>
      </c>
      <c r="AL2549">
        <v>1.1</v>
      </c>
      <c r="AM2549" t="s">
        <v>10890</v>
      </c>
      <c r="AN2549" t="s">
        <v>10962</v>
      </c>
      <c r="AO2549" t="s">
        <v>11009</v>
      </c>
      <c r="AP2549" t="s">
        <v>11081</v>
      </c>
      <c r="AR2549" t="s">
        <v>11311</v>
      </c>
      <c r="AS2549" t="s">
        <v>11594</v>
      </c>
      <c r="AT2549" t="s">
        <v>11641</v>
      </c>
      <c r="AX2549" t="s">
        <v>10838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</row>
    <row r="2550" spans="1:59">
      <c r="A2550" s="1">
        <f>HYPERLINK("https://lsnyc.legalserver.org/matter/dynamic-profile/view/1906529","19-1906529")</f>
        <v>0</v>
      </c>
      <c r="B2550" t="s">
        <v>2160</v>
      </c>
      <c r="C2550" t="s">
        <v>6951</v>
      </c>
      <c r="D2550" t="s">
        <v>9940</v>
      </c>
      <c r="E2550" t="s">
        <v>10075</v>
      </c>
      <c r="F2550">
        <v>11421</v>
      </c>
      <c r="G2550" t="s">
        <v>10092</v>
      </c>
      <c r="H2550" t="s">
        <v>10104</v>
      </c>
      <c r="I2550" t="s">
        <v>10169</v>
      </c>
      <c r="J2550" t="s">
        <v>10212</v>
      </c>
      <c r="K2550" t="s">
        <v>10217</v>
      </c>
      <c r="M2550" t="s">
        <v>10413</v>
      </c>
      <c r="N2550" t="s">
        <v>10709</v>
      </c>
      <c r="P2550" t="s">
        <v>10754</v>
      </c>
      <c r="Q2550" t="s">
        <v>10766</v>
      </c>
      <c r="R2550" t="s">
        <v>10821</v>
      </c>
      <c r="T2550">
        <v>2544</v>
      </c>
      <c r="U2550">
        <v>212</v>
      </c>
      <c r="V2550">
        <v>44</v>
      </c>
      <c r="W2550">
        <v>1</v>
      </c>
      <c r="X2550">
        <v>3</v>
      </c>
      <c r="Z2550">
        <v>9.880000000000001</v>
      </c>
      <c r="AA2550">
        <v>40.690162</v>
      </c>
      <c r="AB2550">
        <v>-73.86648700000001</v>
      </c>
      <c r="AD2550" t="s">
        <v>10839</v>
      </c>
      <c r="AF2550" t="s">
        <v>10842</v>
      </c>
      <c r="AG2550" t="s">
        <v>10859</v>
      </c>
      <c r="AH2550" t="s">
        <v>10864</v>
      </c>
      <c r="AI2550">
        <v>237</v>
      </c>
      <c r="AJ2550" t="s">
        <v>10212</v>
      </c>
      <c r="AL2550">
        <v>22.25</v>
      </c>
      <c r="AM2550" t="s">
        <v>10886</v>
      </c>
      <c r="AN2550" t="s">
        <v>10945</v>
      </c>
      <c r="AO2550" t="s">
        <v>11003</v>
      </c>
      <c r="AP2550" t="s">
        <v>11077</v>
      </c>
      <c r="AR2550" t="s">
        <v>11260</v>
      </c>
      <c r="AS2550" t="s">
        <v>11594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</row>
    <row r="2551" spans="1:59">
      <c r="A2551" s="1">
        <f>HYPERLINK("https://lsnyc.legalserver.org/matter/dynamic-profile/view/1906530","19-1906530")</f>
        <v>0</v>
      </c>
      <c r="B2551" t="s">
        <v>2161</v>
      </c>
      <c r="C2551" t="s">
        <v>6952</v>
      </c>
      <c r="D2551" t="s">
        <v>9926</v>
      </c>
      <c r="E2551" t="s">
        <v>10075</v>
      </c>
      <c r="F2551">
        <v>10467</v>
      </c>
      <c r="G2551" t="s">
        <v>10090</v>
      </c>
      <c r="H2551" t="s">
        <v>10104</v>
      </c>
      <c r="I2551" t="s">
        <v>10168</v>
      </c>
      <c r="J2551" t="s">
        <v>10210</v>
      </c>
      <c r="K2551" t="s">
        <v>10217</v>
      </c>
      <c r="M2551" t="s">
        <v>10557</v>
      </c>
      <c r="N2551" t="s">
        <v>10651</v>
      </c>
      <c r="P2551" t="s">
        <v>10749</v>
      </c>
      <c r="Q2551" t="s">
        <v>10765</v>
      </c>
      <c r="R2551" t="s">
        <v>10822</v>
      </c>
      <c r="T2551">
        <v>24700</v>
      </c>
      <c r="U2551">
        <v>2058.33</v>
      </c>
      <c r="V2551">
        <v>30</v>
      </c>
      <c r="W2551">
        <v>3</v>
      </c>
      <c r="X2551">
        <v>1</v>
      </c>
      <c r="Z2551">
        <v>95.92</v>
      </c>
      <c r="AA2551">
        <v>40.882353</v>
      </c>
      <c r="AB2551">
        <v>-73.866302</v>
      </c>
      <c r="AD2551" t="s">
        <v>10839</v>
      </c>
      <c r="AG2551" t="s">
        <v>10858</v>
      </c>
      <c r="AH2551" t="s">
        <v>10862</v>
      </c>
      <c r="AI2551">
        <v>230</v>
      </c>
      <c r="AJ2551" t="s">
        <v>10210</v>
      </c>
      <c r="AL2551">
        <v>5.6</v>
      </c>
      <c r="AM2551" t="s">
        <v>10893</v>
      </c>
      <c r="AN2551" t="s">
        <v>10956</v>
      </c>
      <c r="AO2551" t="s">
        <v>11010</v>
      </c>
      <c r="AP2551" t="s">
        <v>11085</v>
      </c>
      <c r="AR2551" t="s">
        <v>11257</v>
      </c>
      <c r="AS2551" t="s">
        <v>9926</v>
      </c>
      <c r="AT2551" t="s">
        <v>11641</v>
      </c>
      <c r="BA2551" t="s">
        <v>11738</v>
      </c>
      <c r="BB2551">
        <v>0</v>
      </c>
      <c r="BC2551">
        <v>0</v>
      </c>
      <c r="BD2551">
        <v>0</v>
      </c>
      <c r="BE2551">
        <v>0</v>
      </c>
      <c r="BF2551">
        <v>5</v>
      </c>
      <c r="BG2551">
        <v>0</v>
      </c>
    </row>
    <row r="2552" spans="1:59">
      <c r="A2552" s="1">
        <f>HYPERLINK("https://lsnyc.legalserver.org/matter/dynamic-profile/view/1906531","19-1906531")</f>
        <v>0</v>
      </c>
      <c r="B2552" t="s">
        <v>2162</v>
      </c>
      <c r="C2552" t="s">
        <v>6953</v>
      </c>
      <c r="D2552" t="s">
        <v>9926</v>
      </c>
      <c r="E2552" t="s">
        <v>10075</v>
      </c>
      <c r="F2552">
        <v>10474</v>
      </c>
      <c r="G2552" t="s">
        <v>10090</v>
      </c>
      <c r="H2552" t="s">
        <v>10104</v>
      </c>
      <c r="I2552" t="s">
        <v>10168</v>
      </c>
      <c r="J2552" t="s">
        <v>10210</v>
      </c>
      <c r="K2552" t="s">
        <v>10217</v>
      </c>
      <c r="M2552" t="s">
        <v>10415</v>
      </c>
      <c r="N2552" t="s">
        <v>10666</v>
      </c>
      <c r="P2552" t="s">
        <v>10749</v>
      </c>
      <c r="Q2552" t="s">
        <v>10765</v>
      </c>
      <c r="R2552" t="s">
        <v>10821</v>
      </c>
      <c r="T2552">
        <v>36400</v>
      </c>
      <c r="U2552">
        <v>3033.33</v>
      </c>
      <c r="V2552">
        <v>36</v>
      </c>
      <c r="W2552">
        <v>2</v>
      </c>
      <c r="X2552">
        <v>2</v>
      </c>
      <c r="Z2552">
        <v>141.36</v>
      </c>
      <c r="AA2552">
        <v>40.815676</v>
      </c>
      <c r="AB2552">
        <v>-73.887468</v>
      </c>
      <c r="AD2552" t="s">
        <v>10840</v>
      </c>
      <c r="AF2552" t="s">
        <v>10843</v>
      </c>
      <c r="AG2552" t="s">
        <v>10859</v>
      </c>
      <c r="AH2552" t="s">
        <v>10861</v>
      </c>
      <c r="AI2552">
        <v>230</v>
      </c>
      <c r="AJ2552" t="s">
        <v>10210</v>
      </c>
      <c r="AL2552">
        <v>31.85</v>
      </c>
      <c r="AM2552" t="s">
        <v>10884</v>
      </c>
      <c r="AN2552" t="s">
        <v>10924</v>
      </c>
      <c r="AO2552" t="s">
        <v>11001</v>
      </c>
      <c r="AP2552" t="s">
        <v>11062</v>
      </c>
      <c r="AR2552" t="s">
        <v>11257</v>
      </c>
      <c r="AS2552" t="s">
        <v>9926</v>
      </c>
      <c r="AT2552" t="s">
        <v>11642</v>
      </c>
      <c r="AX2552" t="s">
        <v>10838</v>
      </c>
      <c r="BA2552" t="s">
        <v>11738</v>
      </c>
      <c r="BB2552">
        <v>0</v>
      </c>
      <c r="BC2552">
        <v>0</v>
      </c>
      <c r="BD2552">
        <v>0</v>
      </c>
      <c r="BE2552">
        <v>0</v>
      </c>
      <c r="BF2552">
        <v>5</v>
      </c>
      <c r="BG2552">
        <v>0</v>
      </c>
    </row>
    <row r="2553" spans="1:59">
      <c r="A2553" s="1">
        <f>HYPERLINK("https://lsnyc.legalserver.org/matter/dynamic-profile/view/1906532","19-1906532")</f>
        <v>0</v>
      </c>
      <c r="B2553" t="s">
        <v>2163</v>
      </c>
      <c r="C2553" t="s">
        <v>6389</v>
      </c>
      <c r="D2553" t="s">
        <v>9928</v>
      </c>
      <c r="E2553" t="s">
        <v>10075</v>
      </c>
      <c r="F2553">
        <v>11207</v>
      </c>
      <c r="G2553" t="s">
        <v>10093</v>
      </c>
      <c r="H2553" t="s">
        <v>10104</v>
      </c>
      <c r="I2553" t="s">
        <v>10168</v>
      </c>
      <c r="J2553" t="s">
        <v>10213</v>
      </c>
      <c r="K2553" t="s">
        <v>10218</v>
      </c>
      <c r="L2553" t="s">
        <v>10135</v>
      </c>
      <c r="M2553" t="s">
        <v>10439</v>
      </c>
      <c r="N2553" t="s">
        <v>10650</v>
      </c>
      <c r="P2553" t="s">
        <v>10749</v>
      </c>
      <c r="Q2553" t="s">
        <v>10765</v>
      </c>
      <c r="R2553" t="s">
        <v>10824</v>
      </c>
      <c r="T2553">
        <v>48464</v>
      </c>
      <c r="U2553">
        <v>4038.67</v>
      </c>
      <c r="V2553">
        <v>30</v>
      </c>
      <c r="W2553">
        <v>1</v>
      </c>
      <c r="X2553">
        <v>1</v>
      </c>
      <c r="Y2553" t="s">
        <v>10829</v>
      </c>
      <c r="Z2553">
        <v>286.6</v>
      </c>
      <c r="AA2553">
        <v>40.666233</v>
      </c>
      <c r="AB2553">
        <v>-73.89409000000001</v>
      </c>
      <c r="AD2553" t="s">
        <v>10839</v>
      </c>
      <c r="AG2553" t="s">
        <v>10858</v>
      </c>
      <c r="AH2553" t="s">
        <v>10862</v>
      </c>
      <c r="AI2553">
        <v>239</v>
      </c>
      <c r="AJ2553" t="s">
        <v>10213</v>
      </c>
      <c r="AK2553" t="s">
        <v>10882</v>
      </c>
      <c r="AL2553">
        <v>1.1</v>
      </c>
      <c r="AM2553" t="s">
        <v>10889</v>
      </c>
      <c r="AN2553" t="s">
        <v>10946</v>
      </c>
      <c r="AO2553" t="s">
        <v>11012</v>
      </c>
      <c r="AP2553" t="s">
        <v>11060</v>
      </c>
      <c r="AQ2553" t="s">
        <v>11101</v>
      </c>
      <c r="AR2553" t="s">
        <v>11257</v>
      </c>
      <c r="AS2553" t="s">
        <v>11595</v>
      </c>
      <c r="AT2553" t="s">
        <v>11641</v>
      </c>
      <c r="AY2553" t="s">
        <v>10829</v>
      </c>
      <c r="AZ2553" t="s">
        <v>11681</v>
      </c>
      <c r="BA2553" t="s">
        <v>11741</v>
      </c>
      <c r="BB2553">
        <v>0</v>
      </c>
      <c r="BC2553">
        <v>0</v>
      </c>
      <c r="BD2553">
        <v>0</v>
      </c>
      <c r="BE2553">
        <v>0</v>
      </c>
      <c r="BF2553">
        <v>1</v>
      </c>
      <c r="BG2553">
        <v>0</v>
      </c>
    </row>
    <row r="2554" spans="1:59">
      <c r="A2554" s="1">
        <f>HYPERLINK("https://lsnyc.legalserver.org/matter/dynamic-profile/view/1906535","19-1906535")</f>
        <v>0</v>
      </c>
      <c r="B2554" t="s">
        <v>2164</v>
      </c>
      <c r="C2554" t="s">
        <v>6697</v>
      </c>
      <c r="D2554" t="s">
        <v>9925</v>
      </c>
      <c r="E2554" t="s">
        <v>10075</v>
      </c>
      <c r="F2554">
        <v>10026</v>
      </c>
      <c r="G2554" t="s">
        <v>10089</v>
      </c>
      <c r="H2554" t="s">
        <v>10104</v>
      </c>
      <c r="I2554" t="s">
        <v>10168</v>
      </c>
      <c r="J2554" t="s">
        <v>10209</v>
      </c>
      <c r="K2554" t="s">
        <v>10217</v>
      </c>
      <c r="M2554" t="s">
        <v>10501</v>
      </c>
      <c r="N2554" t="s">
        <v>10715</v>
      </c>
      <c r="P2554" t="s">
        <v>10751</v>
      </c>
      <c r="Q2554" t="s">
        <v>10776</v>
      </c>
      <c r="R2554" t="s">
        <v>10824</v>
      </c>
      <c r="T2554">
        <v>12432</v>
      </c>
      <c r="U2554">
        <v>1036</v>
      </c>
      <c r="V2554">
        <v>67</v>
      </c>
      <c r="W2554">
        <v>1</v>
      </c>
      <c r="X2554">
        <v>0</v>
      </c>
      <c r="Z2554">
        <v>99.54000000000001</v>
      </c>
      <c r="AA2554">
        <v>40.800765</v>
      </c>
      <c r="AB2554">
        <v>-73.952285</v>
      </c>
      <c r="AD2554" t="s">
        <v>10839</v>
      </c>
      <c r="AG2554" t="s">
        <v>10858</v>
      </c>
      <c r="AH2554" t="s">
        <v>10862</v>
      </c>
      <c r="AI2554">
        <v>236</v>
      </c>
      <c r="AJ2554" t="s">
        <v>10209</v>
      </c>
      <c r="AL2554">
        <v>0</v>
      </c>
      <c r="AM2554" t="s">
        <v>10887</v>
      </c>
      <c r="AN2554" t="s">
        <v>10936</v>
      </c>
      <c r="AO2554" t="s">
        <v>11016</v>
      </c>
      <c r="AP2554" t="s">
        <v>11076</v>
      </c>
      <c r="AR2554" t="s">
        <v>11253</v>
      </c>
      <c r="AS2554" t="s">
        <v>9925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</row>
    <row r="2555" spans="1:59">
      <c r="A2555" s="1">
        <f>HYPERLINK("https://lsnyc.legalserver.org/matter/dynamic-profile/view/1906536","19-1906536")</f>
        <v>0</v>
      </c>
      <c r="B2555" t="s">
        <v>2165</v>
      </c>
      <c r="C2555" t="s">
        <v>6954</v>
      </c>
      <c r="D2555" t="s">
        <v>9925</v>
      </c>
      <c r="E2555" t="s">
        <v>10075</v>
      </c>
      <c r="F2555">
        <v>10039</v>
      </c>
      <c r="G2555" t="s">
        <v>10089</v>
      </c>
      <c r="H2555" t="s">
        <v>10104</v>
      </c>
      <c r="I2555" t="s">
        <v>10168</v>
      </c>
      <c r="J2555" t="s">
        <v>10209</v>
      </c>
      <c r="K2555" t="s">
        <v>10217</v>
      </c>
      <c r="M2555" t="s">
        <v>10431</v>
      </c>
      <c r="N2555" t="s">
        <v>10715</v>
      </c>
      <c r="P2555" t="s">
        <v>10751</v>
      </c>
      <c r="Q2555" t="s">
        <v>10776</v>
      </c>
      <c r="R2555" t="s">
        <v>10824</v>
      </c>
      <c r="T2555">
        <v>1200</v>
      </c>
      <c r="U2555">
        <v>100</v>
      </c>
      <c r="V2555">
        <v>77</v>
      </c>
      <c r="W2555">
        <v>2</v>
      </c>
      <c r="X2555">
        <v>0</v>
      </c>
      <c r="Z2555">
        <v>7.1</v>
      </c>
      <c r="AA2555">
        <v>40.82315</v>
      </c>
      <c r="AB2555">
        <v>-73.93895999999999</v>
      </c>
      <c r="AD2555" t="s">
        <v>10840</v>
      </c>
      <c r="AF2555" t="s">
        <v>10843</v>
      </c>
      <c r="AG2555" t="s">
        <v>10859</v>
      </c>
      <c r="AH2555" t="s">
        <v>10862</v>
      </c>
      <c r="AI2555">
        <v>236</v>
      </c>
      <c r="AJ2555" t="s">
        <v>10209</v>
      </c>
      <c r="AL2555">
        <v>0</v>
      </c>
      <c r="AM2555" t="s">
        <v>10887</v>
      </c>
      <c r="AN2555" t="s">
        <v>10943</v>
      </c>
      <c r="AO2555" t="s">
        <v>11016</v>
      </c>
      <c r="AP2555" t="s">
        <v>11076</v>
      </c>
      <c r="AR2555" t="s">
        <v>11255</v>
      </c>
      <c r="AS2555" t="s">
        <v>9925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</row>
    <row r="2556" spans="1:59">
      <c r="A2556" s="1">
        <f>HYPERLINK("https://lsnyc.legalserver.org/matter/dynamic-profile/view/1906537","19-1906537")</f>
        <v>0</v>
      </c>
      <c r="B2556" t="s">
        <v>2166</v>
      </c>
      <c r="C2556" t="s">
        <v>6955</v>
      </c>
      <c r="D2556" t="s">
        <v>9926</v>
      </c>
      <c r="E2556" t="s">
        <v>10075</v>
      </c>
      <c r="F2556">
        <v>10451</v>
      </c>
      <c r="G2556" t="s">
        <v>10090</v>
      </c>
      <c r="H2556" t="s">
        <v>10104</v>
      </c>
      <c r="I2556" t="s">
        <v>10169</v>
      </c>
      <c r="J2556" t="s">
        <v>10210</v>
      </c>
      <c r="K2556" t="s">
        <v>10217</v>
      </c>
      <c r="M2556" t="s">
        <v>10276</v>
      </c>
      <c r="N2556" t="s">
        <v>10666</v>
      </c>
      <c r="P2556" t="s">
        <v>10749</v>
      </c>
      <c r="Q2556" t="s">
        <v>10765</v>
      </c>
      <c r="R2556" t="s">
        <v>10823</v>
      </c>
      <c r="T2556">
        <v>57200</v>
      </c>
      <c r="U2556">
        <v>4766.67</v>
      </c>
      <c r="V2556">
        <v>42</v>
      </c>
      <c r="W2556">
        <v>4</v>
      </c>
      <c r="X2556">
        <v>0</v>
      </c>
      <c r="Z2556">
        <v>222.14</v>
      </c>
      <c r="AA2556">
        <v>40.822255</v>
      </c>
      <c r="AB2556">
        <v>-73.924536</v>
      </c>
      <c r="AD2556" t="s">
        <v>10839</v>
      </c>
      <c r="AF2556" t="s">
        <v>10843</v>
      </c>
      <c r="AG2556" t="s">
        <v>10859</v>
      </c>
      <c r="AH2556" t="s">
        <v>10861</v>
      </c>
      <c r="AI2556">
        <v>230</v>
      </c>
      <c r="AJ2556" t="s">
        <v>10210</v>
      </c>
      <c r="AL2556">
        <v>2.5</v>
      </c>
      <c r="AM2556" t="s">
        <v>10884</v>
      </c>
      <c r="AN2556" t="s">
        <v>10924</v>
      </c>
      <c r="AO2556" t="s">
        <v>11013</v>
      </c>
      <c r="AP2556" t="s">
        <v>11062</v>
      </c>
      <c r="AR2556" t="s">
        <v>11257</v>
      </c>
      <c r="AS2556" t="s">
        <v>9926</v>
      </c>
      <c r="AT2556" t="s">
        <v>11641</v>
      </c>
      <c r="AX2556" t="s">
        <v>10838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</row>
    <row r="2557" spans="1:59">
      <c r="A2557" s="1">
        <f>HYPERLINK("https://lsnyc.legalserver.org/matter/dynamic-profile/view/1906538","19-1906538")</f>
        <v>0</v>
      </c>
      <c r="B2557" t="s">
        <v>2167</v>
      </c>
      <c r="C2557" t="s">
        <v>6956</v>
      </c>
      <c r="D2557" t="s">
        <v>9928</v>
      </c>
      <c r="E2557" t="s">
        <v>10075</v>
      </c>
      <c r="F2557">
        <v>11220</v>
      </c>
      <c r="G2557" t="s">
        <v>10093</v>
      </c>
      <c r="H2557" t="s">
        <v>10113</v>
      </c>
      <c r="I2557" t="s">
        <v>10168</v>
      </c>
      <c r="J2557" t="s">
        <v>10213</v>
      </c>
      <c r="K2557" t="s">
        <v>10217</v>
      </c>
      <c r="M2557" t="s">
        <v>10405</v>
      </c>
      <c r="N2557" t="s">
        <v>10650</v>
      </c>
      <c r="P2557" t="s">
        <v>10749</v>
      </c>
      <c r="Q2557" t="s">
        <v>10765</v>
      </c>
      <c r="R2557" t="s">
        <v>10820</v>
      </c>
      <c r="T2557">
        <v>0</v>
      </c>
      <c r="U2557">
        <v>0</v>
      </c>
      <c r="V2557">
        <v>45</v>
      </c>
      <c r="W2557">
        <v>1</v>
      </c>
      <c r="X2557">
        <v>1</v>
      </c>
      <c r="Z2557">
        <v>0</v>
      </c>
      <c r="AA2557">
        <v>40.638953</v>
      </c>
      <c r="AB2557">
        <v>-74.02695799999999</v>
      </c>
      <c r="AD2557" t="s">
        <v>10839</v>
      </c>
      <c r="AG2557" t="s">
        <v>10858</v>
      </c>
      <c r="AH2557" t="s">
        <v>10862</v>
      </c>
      <c r="AI2557">
        <v>239</v>
      </c>
      <c r="AJ2557" t="s">
        <v>10213</v>
      </c>
      <c r="AL2557">
        <v>14.2</v>
      </c>
      <c r="AM2557" t="s">
        <v>10894</v>
      </c>
      <c r="AN2557" t="s">
        <v>10921</v>
      </c>
      <c r="AO2557" t="s">
        <v>11023</v>
      </c>
      <c r="AP2557" t="s">
        <v>11086</v>
      </c>
      <c r="AQ2557" t="s">
        <v>11101</v>
      </c>
      <c r="AR2557" t="s">
        <v>11267</v>
      </c>
      <c r="AS2557" t="s">
        <v>11595</v>
      </c>
      <c r="AT2557" t="s">
        <v>11641</v>
      </c>
      <c r="BA2557" t="s">
        <v>11738</v>
      </c>
      <c r="BB2557">
        <v>0</v>
      </c>
      <c r="BC2557">
        <v>0</v>
      </c>
      <c r="BD2557">
        <v>0</v>
      </c>
      <c r="BE2557">
        <v>0</v>
      </c>
      <c r="BF2557">
        <v>5</v>
      </c>
      <c r="BG2557">
        <v>0</v>
      </c>
    </row>
    <row r="2558" spans="1:59">
      <c r="A2558" s="1">
        <f>HYPERLINK("https://lsnyc.legalserver.org/matter/dynamic-profile/view/1906539","19-1906539")</f>
        <v>0</v>
      </c>
      <c r="B2558" t="s">
        <v>2168</v>
      </c>
      <c r="C2558" t="s">
        <v>6957</v>
      </c>
      <c r="D2558" t="s">
        <v>9925</v>
      </c>
      <c r="E2558" t="s">
        <v>10075</v>
      </c>
      <c r="F2558">
        <v>10009</v>
      </c>
      <c r="G2558" t="s">
        <v>10089</v>
      </c>
      <c r="H2558" t="s">
        <v>10104</v>
      </c>
      <c r="I2558" t="s">
        <v>10168</v>
      </c>
      <c r="J2558" t="s">
        <v>10209</v>
      </c>
      <c r="K2558" t="s">
        <v>10218</v>
      </c>
      <c r="L2558" t="s">
        <v>10225</v>
      </c>
      <c r="M2558" t="s">
        <v>10270</v>
      </c>
      <c r="N2558" t="s">
        <v>10716</v>
      </c>
      <c r="P2558" t="s">
        <v>10754</v>
      </c>
      <c r="Q2558" t="s">
        <v>10777</v>
      </c>
      <c r="R2558" t="s">
        <v>10820</v>
      </c>
      <c r="T2558">
        <v>15000</v>
      </c>
      <c r="U2558">
        <v>1250</v>
      </c>
      <c r="V2558">
        <v>54</v>
      </c>
      <c r="W2558">
        <v>1</v>
      </c>
      <c r="X2558">
        <v>1</v>
      </c>
      <c r="Y2558" t="s">
        <v>10829</v>
      </c>
      <c r="Z2558">
        <v>88.7</v>
      </c>
      <c r="AA2558">
        <v>40.724818</v>
      </c>
      <c r="AB2558">
        <v>-73.976466</v>
      </c>
      <c r="AD2558" t="s">
        <v>10839</v>
      </c>
      <c r="AG2558" t="s">
        <v>10858</v>
      </c>
      <c r="AH2558" t="s">
        <v>10861</v>
      </c>
      <c r="AI2558">
        <v>234</v>
      </c>
      <c r="AJ2558" t="s">
        <v>10214</v>
      </c>
      <c r="AK2558" t="s">
        <v>10837</v>
      </c>
      <c r="AL2558">
        <v>3.25</v>
      </c>
      <c r="AM2558" t="s">
        <v>10891</v>
      </c>
      <c r="AN2558" t="s">
        <v>10910</v>
      </c>
      <c r="AO2558" t="s">
        <v>11021</v>
      </c>
      <c r="AP2558" t="s">
        <v>11048</v>
      </c>
      <c r="AR2558" t="s">
        <v>11256</v>
      </c>
      <c r="AS2558" t="s">
        <v>9925</v>
      </c>
      <c r="AT2558" t="s">
        <v>11641</v>
      </c>
      <c r="AX2558" t="s">
        <v>10838</v>
      </c>
      <c r="AY2558" t="s">
        <v>10829</v>
      </c>
      <c r="AZ2558" t="s">
        <v>11683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</row>
    <row r="2559" spans="1:59">
      <c r="A2559" s="1">
        <f>HYPERLINK("https://lsnyc.legalserver.org/matter/dynamic-profile/view/1906540","19-1906540")</f>
        <v>0</v>
      </c>
      <c r="B2559" t="s">
        <v>2169</v>
      </c>
      <c r="C2559" t="s">
        <v>6958</v>
      </c>
      <c r="D2559" t="s">
        <v>9925</v>
      </c>
      <c r="E2559" t="s">
        <v>10075</v>
      </c>
      <c r="F2559">
        <v>10026</v>
      </c>
      <c r="G2559" t="s">
        <v>10089</v>
      </c>
      <c r="H2559" t="s">
        <v>10104</v>
      </c>
      <c r="I2559" t="s">
        <v>10168</v>
      </c>
      <c r="J2559" t="s">
        <v>10209</v>
      </c>
      <c r="K2559" t="s">
        <v>10217</v>
      </c>
      <c r="M2559" t="s">
        <v>10379</v>
      </c>
      <c r="N2559" t="s">
        <v>10715</v>
      </c>
      <c r="P2559" t="s">
        <v>10751</v>
      </c>
      <c r="Q2559" t="s">
        <v>10776</v>
      </c>
      <c r="R2559" t="s">
        <v>10824</v>
      </c>
      <c r="T2559">
        <v>1260</v>
      </c>
      <c r="U2559">
        <v>105</v>
      </c>
      <c r="V2559">
        <v>27</v>
      </c>
      <c r="W2559">
        <v>2</v>
      </c>
      <c r="X2559">
        <v>4</v>
      </c>
      <c r="Z2559">
        <v>3.64</v>
      </c>
      <c r="AA2559">
        <v>40.798978</v>
      </c>
      <c r="AB2559">
        <v>-73.949251</v>
      </c>
      <c r="AD2559" t="s">
        <v>10839</v>
      </c>
      <c r="AG2559" t="s">
        <v>10858</v>
      </c>
      <c r="AH2559" t="s">
        <v>10862</v>
      </c>
      <c r="AI2559">
        <v>236</v>
      </c>
      <c r="AJ2559" t="s">
        <v>10209</v>
      </c>
      <c r="AL2559">
        <v>0</v>
      </c>
      <c r="AM2559" t="s">
        <v>10887</v>
      </c>
      <c r="AN2559" t="s">
        <v>10926</v>
      </c>
      <c r="AO2559" t="s">
        <v>11016</v>
      </c>
      <c r="AP2559" t="s">
        <v>11076</v>
      </c>
      <c r="AR2559" t="s">
        <v>11260</v>
      </c>
      <c r="AS2559" t="s">
        <v>9925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</row>
    <row r="2560" spans="1:59">
      <c r="A2560" s="1">
        <f>HYPERLINK("https://lsnyc.legalserver.org/matter/dynamic-profile/view/1906541","19-1906541")</f>
        <v>0</v>
      </c>
      <c r="B2560" t="s">
        <v>241</v>
      </c>
      <c r="C2560" t="s">
        <v>6959</v>
      </c>
      <c r="D2560" t="s">
        <v>9926</v>
      </c>
      <c r="E2560" t="s">
        <v>10075</v>
      </c>
      <c r="F2560">
        <v>10471</v>
      </c>
      <c r="G2560" t="s">
        <v>10091</v>
      </c>
      <c r="H2560" t="s">
        <v>10104</v>
      </c>
      <c r="I2560" t="s">
        <v>10168</v>
      </c>
      <c r="J2560" t="s">
        <v>10211</v>
      </c>
      <c r="K2560" t="s">
        <v>10217</v>
      </c>
      <c r="M2560" t="s">
        <v>10231</v>
      </c>
      <c r="N2560" t="s">
        <v>10647</v>
      </c>
      <c r="P2560" t="s">
        <v>10752</v>
      </c>
      <c r="Q2560" t="s">
        <v>10762</v>
      </c>
      <c r="R2560" t="s">
        <v>10820</v>
      </c>
      <c r="T2560">
        <v>0</v>
      </c>
      <c r="U2560">
        <v>0</v>
      </c>
      <c r="V2560">
        <v>29</v>
      </c>
      <c r="W2560">
        <v>1</v>
      </c>
      <c r="X2560">
        <v>0</v>
      </c>
      <c r="Z2560">
        <v>0</v>
      </c>
      <c r="AA2560">
        <v>40.891465</v>
      </c>
      <c r="AB2560">
        <v>-73.89901500000001</v>
      </c>
      <c r="AD2560" t="s">
        <v>10839</v>
      </c>
      <c r="AG2560" t="s">
        <v>10858</v>
      </c>
      <c r="AH2560" t="s">
        <v>10861</v>
      </c>
      <c r="AI2560">
        <v>234</v>
      </c>
      <c r="AJ2560" t="s">
        <v>10214</v>
      </c>
      <c r="AL2560">
        <v>1.5</v>
      </c>
      <c r="AM2560" t="s">
        <v>10893</v>
      </c>
      <c r="AN2560" t="s">
        <v>10919</v>
      </c>
      <c r="AO2560" t="s">
        <v>11002</v>
      </c>
      <c r="AP2560" t="s">
        <v>11057</v>
      </c>
      <c r="AR2560" t="s">
        <v>11267</v>
      </c>
      <c r="AS2560" t="s">
        <v>9926</v>
      </c>
      <c r="AT2560" t="s">
        <v>11641</v>
      </c>
      <c r="AX2560" t="s">
        <v>10838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</row>
    <row r="2561" spans="1:59">
      <c r="A2561" s="1">
        <f>HYPERLINK("https://lsnyc.legalserver.org/matter/dynamic-profile/view/1906543","19-1906543")</f>
        <v>0</v>
      </c>
      <c r="B2561" t="s">
        <v>2170</v>
      </c>
      <c r="C2561" t="s">
        <v>6960</v>
      </c>
      <c r="D2561" t="s">
        <v>9928</v>
      </c>
      <c r="E2561" t="s">
        <v>10075</v>
      </c>
      <c r="F2561">
        <v>11215</v>
      </c>
      <c r="G2561" t="s">
        <v>10093</v>
      </c>
      <c r="H2561" t="s">
        <v>10104</v>
      </c>
      <c r="I2561" t="s">
        <v>10168</v>
      </c>
      <c r="J2561" t="s">
        <v>10213</v>
      </c>
      <c r="K2561" t="s">
        <v>10217</v>
      </c>
      <c r="M2561" t="s">
        <v>10437</v>
      </c>
      <c r="N2561" t="s">
        <v>10656</v>
      </c>
      <c r="P2561" t="s">
        <v>10751</v>
      </c>
      <c r="Q2561" t="s">
        <v>10768</v>
      </c>
      <c r="R2561" t="s">
        <v>10820</v>
      </c>
      <c r="T2561">
        <v>0</v>
      </c>
      <c r="U2561">
        <v>0</v>
      </c>
      <c r="V2561">
        <v>38</v>
      </c>
      <c r="W2561">
        <v>2</v>
      </c>
      <c r="X2561">
        <v>0</v>
      </c>
      <c r="Z2561">
        <v>0</v>
      </c>
      <c r="AA2561">
        <v>40.668312</v>
      </c>
      <c r="AB2561">
        <v>-73.976309</v>
      </c>
      <c r="AD2561" t="s">
        <v>10839</v>
      </c>
      <c r="AG2561" t="s">
        <v>10858</v>
      </c>
      <c r="AH2561" t="s">
        <v>10862</v>
      </c>
      <c r="AI2561">
        <v>239</v>
      </c>
      <c r="AJ2561" t="s">
        <v>10213</v>
      </c>
      <c r="AL2561">
        <v>15.25</v>
      </c>
      <c r="AM2561" t="s">
        <v>10888</v>
      </c>
      <c r="AN2561" t="s">
        <v>10941</v>
      </c>
      <c r="AO2561" t="s">
        <v>11008</v>
      </c>
      <c r="AP2561" t="s">
        <v>11059</v>
      </c>
      <c r="AR2561" t="s">
        <v>11267</v>
      </c>
      <c r="AS2561" t="s">
        <v>11595</v>
      </c>
      <c r="AT2561" t="s">
        <v>11641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</row>
    <row r="2562" spans="1:59">
      <c r="A2562" s="1">
        <f>HYPERLINK("https://lsnyc.legalserver.org/matter/dynamic-profile/view/1906544","19-1906544")</f>
        <v>0</v>
      </c>
      <c r="B2562" t="s">
        <v>2171</v>
      </c>
      <c r="C2562" t="s">
        <v>6961</v>
      </c>
      <c r="D2562" t="s">
        <v>9925</v>
      </c>
      <c r="E2562" t="s">
        <v>10075</v>
      </c>
      <c r="F2562">
        <v>10026</v>
      </c>
      <c r="G2562" t="s">
        <v>10089</v>
      </c>
      <c r="H2562" t="s">
        <v>10104</v>
      </c>
      <c r="I2562" t="s">
        <v>10168</v>
      </c>
      <c r="J2562" t="s">
        <v>10209</v>
      </c>
      <c r="K2562" t="s">
        <v>10217</v>
      </c>
      <c r="M2562" t="s">
        <v>10388</v>
      </c>
      <c r="N2562" t="s">
        <v>10715</v>
      </c>
      <c r="P2562" t="s">
        <v>10751</v>
      </c>
      <c r="Q2562" t="s">
        <v>10776</v>
      </c>
      <c r="R2562" t="s">
        <v>10824</v>
      </c>
      <c r="T2562">
        <v>10356</v>
      </c>
      <c r="U2562">
        <v>863</v>
      </c>
      <c r="V2562">
        <v>71</v>
      </c>
      <c r="W2562">
        <v>2</v>
      </c>
      <c r="X2562">
        <v>0</v>
      </c>
      <c r="Z2562">
        <v>61.24</v>
      </c>
      <c r="AA2562">
        <v>40.801054</v>
      </c>
      <c r="AB2562">
        <v>-73.952707</v>
      </c>
      <c r="AD2562" t="s">
        <v>10839</v>
      </c>
      <c r="AG2562" t="s">
        <v>10858</v>
      </c>
      <c r="AH2562" t="s">
        <v>10862</v>
      </c>
      <c r="AI2562">
        <v>236</v>
      </c>
      <c r="AJ2562" t="s">
        <v>10209</v>
      </c>
      <c r="AL2562">
        <v>0</v>
      </c>
      <c r="AM2562" t="s">
        <v>10887</v>
      </c>
      <c r="AN2562" t="s">
        <v>10936</v>
      </c>
      <c r="AO2562" t="s">
        <v>11016</v>
      </c>
      <c r="AP2562" t="s">
        <v>11076</v>
      </c>
      <c r="AR2562" t="s">
        <v>11274</v>
      </c>
      <c r="AS2562" t="s">
        <v>9925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</row>
    <row r="2563" spans="1:59">
      <c r="A2563" s="1">
        <f>HYPERLINK("https://lsnyc.legalserver.org/matter/dynamic-profile/view/1906545","19-1906545")</f>
        <v>0</v>
      </c>
      <c r="B2563" t="s">
        <v>2172</v>
      </c>
      <c r="C2563" t="s">
        <v>6962</v>
      </c>
      <c r="D2563" t="s">
        <v>9925</v>
      </c>
      <c r="E2563" t="s">
        <v>10075</v>
      </c>
      <c r="F2563">
        <v>10025</v>
      </c>
      <c r="G2563" t="s">
        <v>10090</v>
      </c>
      <c r="H2563" t="s">
        <v>10104</v>
      </c>
      <c r="I2563" t="s">
        <v>10169</v>
      </c>
      <c r="J2563" t="s">
        <v>10210</v>
      </c>
      <c r="K2563" t="s">
        <v>10217</v>
      </c>
      <c r="M2563" t="s">
        <v>10510</v>
      </c>
      <c r="N2563" t="s">
        <v>10677</v>
      </c>
      <c r="P2563" t="s">
        <v>10757</v>
      </c>
      <c r="Q2563" t="s">
        <v>10797</v>
      </c>
      <c r="R2563" t="s">
        <v>10821</v>
      </c>
      <c r="T2563">
        <v>10800</v>
      </c>
      <c r="U2563">
        <v>900</v>
      </c>
      <c r="V2563">
        <v>83</v>
      </c>
      <c r="W2563">
        <v>3</v>
      </c>
      <c r="X2563">
        <v>0</v>
      </c>
      <c r="Z2563">
        <v>50.63</v>
      </c>
      <c r="AA2563">
        <v>40.800023</v>
      </c>
      <c r="AB2563">
        <v>-73.96645100000001</v>
      </c>
      <c r="AD2563" t="s">
        <v>10839</v>
      </c>
      <c r="AG2563" t="s">
        <v>10858</v>
      </c>
      <c r="AH2563" t="s">
        <v>10874</v>
      </c>
      <c r="AI2563">
        <v>230</v>
      </c>
      <c r="AJ2563" t="s">
        <v>10210</v>
      </c>
      <c r="AL2563">
        <v>1</v>
      </c>
      <c r="AM2563" t="s">
        <v>10894</v>
      </c>
      <c r="AN2563" t="s">
        <v>10953</v>
      </c>
      <c r="AO2563" t="s">
        <v>11016</v>
      </c>
      <c r="AP2563" t="s">
        <v>11073</v>
      </c>
      <c r="AR2563" t="s">
        <v>11391</v>
      </c>
      <c r="AS2563" t="s">
        <v>9925</v>
      </c>
      <c r="AT2563" t="s">
        <v>11641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</row>
    <row r="2564" spans="1:59">
      <c r="A2564" s="1">
        <f>HYPERLINK("https://lsnyc.legalserver.org/matter/dynamic-profile/view/1906546","19-1906546")</f>
        <v>0</v>
      </c>
      <c r="B2564" t="s">
        <v>2173</v>
      </c>
      <c r="C2564" t="s">
        <v>6963</v>
      </c>
      <c r="D2564" t="s">
        <v>9926</v>
      </c>
      <c r="E2564" t="s">
        <v>10075</v>
      </c>
      <c r="F2564">
        <v>10453</v>
      </c>
      <c r="G2564" t="s">
        <v>10090</v>
      </c>
      <c r="H2564" t="s">
        <v>10104</v>
      </c>
      <c r="I2564" t="s">
        <v>10169</v>
      </c>
      <c r="J2564" t="s">
        <v>10210</v>
      </c>
      <c r="K2564" t="s">
        <v>10218</v>
      </c>
      <c r="L2564" t="s">
        <v>10108</v>
      </c>
      <c r="M2564" t="s">
        <v>10283</v>
      </c>
      <c r="N2564" t="s">
        <v>10671</v>
      </c>
      <c r="P2564" t="s">
        <v>10751</v>
      </c>
      <c r="Q2564" t="s">
        <v>10786</v>
      </c>
      <c r="R2564" t="s">
        <v>10821</v>
      </c>
      <c r="T2564">
        <v>31200</v>
      </c>
      <c r="U2564">
        <v>2600</v>
      </c>
      <c r="V2564">
        <v>28</v>
      </c>
      <c r="W2564">
        <v>2</v>
      </c>
      <c r="X2564">
        <v>2</v>
      </c>
      <c r="Y2564" t="s">
        <v>10829</v>
      </c>
      <c r="Z2564">
        <v>121.17</v>
      </c>
      <c r="AA2564">
        <v>40.853207</v>
      </c>
      <c r="AB2564">
        <v>-73.904719</v>
      </c>
      <c r="AD2564" t="s">
        <v>10839</v>
      </c>
      <c r="AF2564" t="s">
        <v>10843</v>
      </c>
      <c r="AG2564" t="s">
        <v>10859</v>
      </c>
      <c r="AH2564" t="s">
        <v>10861</v>
      </c>
      <c r="AI2564">
        <v>234</v>
      </c>
      <c r="AJ2564" t="s">
        <v>10214</v>
      </c>
      <c r="AK2564" t="s">
        <v>10838</v>
      </c>
      <c r="AL2564">
        <v>3.35</v>
      </c>
      <c r="AM2564" t="s">
        <v>10884</v>
      </c>
      <c r="AN2564" t="s">
        <v>10931</v>
      </c>
      <c r="AO2564" t="s">
        <v>11000</v>
      </c>
      <c r="AP2564" t="s">
        <v>11045</v>
      </c>
      <c r="AR2564" t="s">
        <v>11257</v>
      </c>
      <c r="AS2564" t="s">
        <v>9926</v>
      </c>
      <c r="AT2564" t="s">
        <v>11641</v>
      </c>
      <c r="AX2564" t="s">
        <v>10838</v>
      </c>
      <c r="AY2564" t="s">
        <v>10829</v>
      </c>
      <c r="AZ2564" t="s">
        <v>11682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</row>
    <row r="2565" spans="1:59">
      <c r="A2565" s="1">
        <f>HYPERLINK("https://lsnyc.legalserver.org/matter/dynamic-profile/view/1906547","19-1906547")</f>
        <v>0</v>
      </c>
      <c r="B2565" t="s">
        <v>2174</v>
      </c>
      <c r="C2565" t="s">
        <v>6964</v>
      </c>
      <c r="D2565" t="s">
        <v>9928</v>
      </c>
      <c r="E2565" t="s">
        <v>10075</v>
      </c>
      <c r="F2565">
        <v>11232</v>
      </c>
      <c r="G2565" t="s">
        <v>10093</v>
      </c>
      <c r="H2565" t="s">
        <v>10104</v>
      </c>
      <c r="I2565" t="s">
        <v>10168</v>
      </c>
      <c r="J2565" t="s">
        <v>10213</v>
      </c>
      <c r="K2565" t="s">
        <v>10218</v>
      </c>
      <c r="L2565" t="s">
        <v>10151</v>
      </c>
      <c r="M2565" t="s">
        <v>10435</v>
      </c>
      <c r="N2565" t="s">
        <v>10665</v>
      </c>
      <c r="P2565" t="s">
        <v>10750</v>
      </c>
      <c r="Q2565" t="s">
        <v>10779</v>
      </c>
      <c r="R2565" t="s">
        <v>10824</v>
      </c>
      <c r="T2565">
        <v>2844</v>
      </c>
      <c r="U2565">
        <v>237</v>
      </c>
      <c r="V2565">
        <v>50</v>
      </c>
      <c r="W2565">
        <v>1</v>
      </c>
      <c r="X2565">
        <v>0</v>
      </c>
      <c r="Y2565" t="s">
        <v>10829</v>
      </c>
      <c r="Z2565">
        <v>22.77</v>
      </c>
      <c r="AA2565">
        <v>40.660243</v>
      </c>
      <c r="AB2565">
        <v>-73.9987</v>
      </c>
      <c r="AD2565" t="s">
        <v>10840</v>
      </c>
      <c r="AG2565" t="s">
        <v>10858</v>
      </c>
      <c r="AH2565" t="s">
        <v>10861</v>
      </c>
      <c r="AI2565">
        <v>234</v>
      </c>
      <c r="AJ2565" t="s">
        <v>10214</v>
      </c>
      <c r="AK2565" t="s">
        <v>10838</v>
      </c>
      <c r="AL2565">
        <v>5.75</v>
      </c>
      <c r="AM2565" t="s">
        <v>10894</v>
      </c>
      <c r="AN2565" t="s">
        <v>10921</v>
      </c>
      <c r="AO2565" t="s">
        <v>11007</v>
      </c>
      <c r="AP2565" t="s">
        <v>11069</v>
      </c>
      <c r="AQ2565" t="s">
        <v>11218</v>
      </c>
      <c r="AR2565" t="s">
        <v>11255</v>
      </c>
      <c r="AS2565" t="s">
        <v>11595</v>
      </c>
      <c r="AT2565" t="s">
        <v>11642</v>
      </c>
      <c r="AX2565" t="s">
        <v>10838</v>
      </c>
      <c r="AY2565" t="s">
        <v>10829</v>
      </c>
      <c r="AZ2565" t="s">
        <v>11679</v>
      </c>
      <c r="BA2565" t="s">
        <v>11741</v>
      </c>
      <c r="BB2565">
        <v>0</v>
      </c>
      <c r="BC2565">
        <v>0</v>
      </c>
      <c r="BD2565">
        <v>0</v>
      </c>
      <c r="BE2565">
        <v>0</v>
      </c>
      <c r="BF2565">
        <v>1</v>
      </c>
      <c r="BG2565">
        <v>0</v>
      </c>
    </row>
    <row r="2566" spans="1:59">
      <c r="A2566" s="1">
        <f>HYPERLINK("https://lsnyc.legalserver.org/matter/dynamic-profile/view/1906548","19-1906548")</f>
        <v>0</v>
      </c>
      <c r="B2566" t="s">
        <v>2175</v>
      </c>
      <c r="C2566" t="s">
        <v>6965</v>
      </c>
      <c r="D2566" t="s">
        <v>9926</v>
      </c>
      <c r="E2566" t="s">
        <v>10075</v>
      </c>
      <c r="F2566">
        <v>10453</v>
      </c>
      <c r="G2566" t="s">
        <v>10090</v>
      </c>
      <c r="H2566" t="s">
        <v>10104</v>
      </c>
      <c r="I2566" t="s">
        <v>10168</v>
      </c>
      <c r="J2566" t="s">
        <v>10210</v>
      </c>
      <c r="K2566" t="s">
        <v>10218</v>
      </c>
      <c r="L2566" t="s">
        <v>10129</v>
      </c>
      <c r="M2566" t="s">
        <v>10262</v>
      </c>
      <c r="N2566" t="s">
        <v>10666</v>
      </c>
      <c r="P2566" t="s">
        <v>10749</v>
      </c>
      <c r="Q2566" t="s">
        <v>10765</v>
      </c>
      <c r="R2566" t="s">
        <v>10824</v>
      </c>
      <c r="T2566">
        <v>4680</v>
      </c>
      <c r="U2566">
        <v>390</v>
      </c>
      <c r="V2566">
        <v>42</v>
      </c>
      <c r="W2566">
        <v>1</v>
      </c>
      <c r="X2566">
        <v>3</v>
      </c>
      <c r="Y2566" t="s">
        <v>10829</v>
      </c>
      <c r="Z2566">
        <v>18.17</v>
      </c>
      <c r="AA2566">
        <v>40.852236</v>
      </c>
      <c r="AB2566">
        <v>-73.911044</v>
      </c>
      <c r="AD2566" t="s">
        <v>10839</v>
      </c>
      <c r="AG2566" t="s">
        <v>10858</v>
      </c>
      <c r="AH2566" t="s">
        <v>10861</v>
      </c>
      <c r="AI2566">
        <v>230</v>
      </c>
      <c r="AJ2566" t="s">
        <v>10210</v>
      </c>
      <c r="AK2566" t="s">
        <v>10882</v>
      </c>
      <c r="AL2566">
        <v>1.3</v>
      </c>
      <c r="AM2566" t="s">
        <v>10884</v>
      </c>
      <c r="AN2566" t="s">
        <v>10931</v>
      </c>
      <c r="AO2566" t="s">
        <v>11013</v>
      </c>
      <c r="AP2566" t="s">
        <v>11045</v>
      </c>
      <c r="AR2566" t="s">
        <v>11401</v>
      </c>
      <c r="AS2566" t="s">
        <v>9926</v>
      </c>
      <c r="AT2566" t="s">
        <v>11641</v>
      </c>
      <c r="AX2566" t="s">
        <v>10838</v>
      </c>
      <c r="AY2566" t="s">
        <v>10829</v>
      </c>
      <c r="AZ2566" t="s">
        <v>11681</v>
      </c>
      <c r="BA2566" t="s">
        <v>11741</v>
      </c>
      <c r="BB2566">
        <v>0</v>
      </c>
      <c r="BC2566">
        <v>0</v>
      </c>
      <c r="BD2566">
        <v>0</v>
      </c>
      <c r="BE2566">
        <v>0</v>
      </c>
      <c r="BF2566">
        <v>1</v>
      </c>
      <c r="BG2566">
        <v>0</v>
      </c>
    </row>
    <row r="2567" spans="1:59">
      <c r="A2567" s="1">
        <f>HYPERLINK("https://lsnyc.legalserver.org/matter/dynamic-profile/view/1906549","19-1906549")</f>
        <v>0</v>
      </c>
      <c r="B2567" t="s">
        <v>2176</v>
      </c>
      <c r="C2567" t="s">
        <v>6966</v>
      </c>
      <c r="D2567" t="s">
        <v>9925</v>
      </c>
      <c r="E2567" t="s">
        <v>10075</v>
      </c>
      <c r="F2567">
        <v>10026</v>
      </c>
      <c r="G2567" t="s">
        <v>10089</v>
      </c>
      <c r="H2567" t="s">
        <v>10104</v>
      </c>
      <c r="I2567" t="s">
        <v>10169</v>
      </c>
      <c r="J2567" t="s">
        <v>10209</v>
      </c>
      <c r="K2567" t="s">
        <v>10217</v>
      </c>
      <c r="M2567" t="s">
        <v>10379</v>
      </c>
      <c r="N2567" t="s">
        <v>10715</v>
      </c>
      <c r="P2567" t="s">
        <v>10751</v>
      </c>
      <c r="Q2567" t="s">
        <v>10776</v>
      </c>
      <c r="R2567" t="s">
        <v>10821</v>
      </c>
      <c r="T2567">
        <v>16000</v>
      </c>
      <c r="U2567">
        <v>1333.33</v>
      </c>
      <c r="V2567">
        <v>51</v>
      </c>
      <c r="W2567">
        <v>3</v>
      </c>
      <c r="X2567">
        <v>1</v>
      </c>
      <c r="Z2567">
        <v>62.14</v>
      </c>
      <c r="AA2567">
        <v>40.805723</v>
      </c>
      <c r="AB2567">
        <v>-73.95772599999999</v>
      </c>
      <c r="AD2567" t="s">
        <v>10839</v>
      </c>
      <c r="AG2567" t="s">
        <v>10858</v>
      </c>
      <c r="AH2567" t="s">
        <v>10862</v>
      </c>
      <c r="AI2567">
        <v>236</v>
      </c>
      <c r="AJ2567" t="s">
        <v>10209</v>
      </c>
      <c r="AL2567">
        <v>0</v>
      </c>
      <c r="AM2567" t="s">
        <v>10887</v>
      </c>
      <c r="AN2567" t="s">
        <v>10936</v>
      </c>
      <c r="AO2567" t="s">
        <v>11016</v>
      </c>
      <c r="AP2567" t="s">
        <v>11076</v>
      </c>
      <c r="AR2567" t="s">
        <v>11262</v>
      </c>
      <c r="AS2567" t="s">
        <v>9925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</row>
    <row r="2568" spans="1:59">
      <c r="A2568" s="1">
        <f>HYPERLINK("https://lsnyc.legalserver.org/matter/dynamic-profile/view/1906550","19-1906550")</f>
        <v>0</v>
      </c>
      <c r="B2568" t="s">
        <v>2158</v>
      </c>
      <c r="C2568" t="s">
        <v>5009</v>
      </c>
      <c r="D2568" t="s">
        <v>9928</v>
      </c>
      <c r="E2568" t="s">
        <v>10075</v>
      </c>
      <c r="F2568">
        <v>11225</v>
      </c>
      <c r="G2568" t="s">
        <v>10093</v>
      </c>
      <c r="H2568" t="s">
        <v>10096</v>
      </c>
      <c r="I2568" t="s">
        <v>10168</v>
      </c>
      <c r="J2568" t="s">
        <v>10213</v>
      </c>
      <c r="K2568" t="s">
        <v>10217</v>
      </c>
      <c r="M2568" t="s">
        <v>10236</v>
      </c>
      <c r="N2568" t="s">
        <v>10650</v>
      </c>
      <c r="O2568" t="s">
        <v>10653</v>
      </c>
      <c r="P2568" t="s">
        <v>10749</v>
      </c>
      <c r="Q2568" t="s">
        <v>10765</v>
      </c>
      <c r="R2568" t="s">
        <v>10820</v>
      </c>
      <c r="T2568">
        <v>80000</v>
      </c>
      <c r="U2568">
        <v>6666.67</v>
      </c>
      <c r="V2568">
        <v>32</v>
      </c>
      <c r="W2568">
        <v>2</v>
      </c>
      <c r="X2568">
        <v>0</v>
      </c>
      <c r="Z2568">
        <v>473.09</v>
      </c>
      <c r="AA2568">
        <v>40.65869</v>
      </c>
      <c r="AB2568">
        <v>-73.96026000000001</v>
      </c>
      <c r="AD2568" t="s">
        <v>10839</v>
      </c>
      <c r="AG2568" t="s">
        <v>10858</v>
      </c>
      <c r="AH2568" t="s">
        <v>10862</v>
      </c>
      <c r="AI2568">
        <v>239</v>
      </c>
      <c r="AJ2568" t="s">
        <v>10213</v>
      </c>
      <c r="AL2568">
        <v>0.1</v>
      </c>
      <c r="AM2568" t="s">
        <v>10888</v>
      </c>
      <c r="AN2568" t="s">
        <v>10912</v>
      </c>
      <c r="AO2568" t="s">
        <v>11005</v>
      </c>
      <c r="AP2568" t="s">
        <v>11050</v>
      </c>
      <c r="AR2568" t="s">
        <v>11257</v>
      </c>
      <c r="AS2568" t="s">
        <v>11595</v>
      </c>
      <c r="BA2568" t="s">
        <v>11739</v>
      </c>
      <c r="BB2568">
        <v>0</v>
      </c>
      <c r="BC2568">
        <v>0</v>
      </c>
      <c r="BD2568">
        <v>0</v>
      </c>
      <c r="BE2568">
        <v>0</v>
      </c>
      <c r="BF2568">
        <v>4</v>
      </c>
      <c r="BG2568">
        <v>0</v>
      </c>
    </row>
    <row r="2569" spans="1:59">
      <c r="A2569" s="1">
        <f>HYPERLINK("https://lsnyc.legalserver.org/matter/dynamic-profile/view/1906551","19-1906551")</f>
        <v>0</v>
      </c>
      <c r="B2569" t="s">
        <v>2177</v>
      </c>
      <c r="C2569" t="s">
        <v>6967</v>
      </c>
      <c r="D2569" t="s">
        <v>9928</v>
      </c>
      <c r="E2569" t="s">
        <v>10075</v>
      </c>
      <c r="F2569">
        <v>11203</v>
      </c>
      <c r="G2569" t="s">
        <v>10093</v>
      </c>
      <c r="H2569" t="s">
        <v>10104</v>
      </c>
      <c r="I2569" t="s">
        <v>10168</v>
      </c>
      <c r="J2569" t="s">
        <v>10213</v>
      </c>
      <c r="K2569" t="s">
        <v>10218</v>
      </c>
      <c r="L2569" t="s">
        <v>10136</v>
      </c>
      <c r="M2569" t="s">
        <v>10256</v>
      </c>
      <c r="N2569" t="s">
        <v>10644</v>
      </c>
      <c r="P2569" t="s">
        <v>10749</v>
      </c>
      <c r="Q2569" t="s">
        <v>10791</v>
      </c>
      <c r="R2569" t="s">
        <v>10824</v>
      </c>
      <c r="T2569">
        <v>19985.52</v>
      </c>
      <c r="U2569">
        <v>1665.46</v>
      </c>
      <c r="V2569">
        <v>66</v>
      </c>
      <c r="W2569">
        <v>1</v>
      </c>
      <c r="X2569">
        <v>0</v>
      </c>
      <c r="Y2569" t="s">
        <v>10829</v>
      </c>
      <c r="Z2569">
        <v>160.01</v>
      </c>
      <c r="AA2569">
        <v>40.648267</v>
      </c>
      <c r="AB2569">
        <v>-73.944202</v>
      </c>
      <c r="AD2569" t="s">
        <v>10839</v>
      </c>
      <c r="AG2569" t="s">
        <v>10858</v>
      </c>
      <c r="AH2569" t="s">
        <v>10871</v>
      </c>
      <c r="AI2569">
        <v>234</v>
      </c>
      <c r="AJ2569" t="s">
        <v>10214</v>
      </c>
      <c r="AK2569" t="s">
        <v>10882</v>
      </c>
      <c r="AL2569">
        <v>2.25</v>
      </c>
      <c r="AM2569" t="s">
        <v>10888</v>
      </c>
      <c r="AN2569" t="s">
        <v>10932</v>
      </c>
      <c r="AO2569" t="s">
        <v>11008</v>
      </c>
      <c r="AP2569" t="s">
        <v>11065</v>
      </c>
      <c r="AR2569" t="s">
        <v>11364</v>
      </c>
      <c r="AS2569" t="s">
        <v>11595</v>
      </c>
      <c r="AT2569" t="s">
        <v>11641</v>
      </c>
      <c r="AX2569" t="s">
        <v>10838</v>
      </c>
      <c r="AY2569" t="s">
        <v>10829</v>
      </c>
      <c r="AZ2569" t="s">
        <v>11681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</row>
    <row r="2570" spans="1:59">
      <c r="A2570" s="1">
        <f>HYPERLINK("https://lsnyc.legalserver.org/matter/dynamic-profile/view/1906553","19-1906553")</f>
        <v>0</v>
      </c>
      <c r="B2570" t="s">
        <v>2178</v>
      </c>
      <c r="C2570" t="s">
        <v>6968</v>
      </c>
      <c r="D2570" t="s">
        <v>9926</v>
      </c>
      <c r="E2570" t="s">
        <v>10075</v>
      </c>
      <c r="F2570">
        <v>10455</v>
      </c>
      <c r="G2570" t="s">
        <v>10090</v>
      </c>
      <c r="H2570" t="s">
        <v>10104</v>
      </c>
      <c r="I2570" t="s">
        <v>10169</v>
      </c>
      <c r="J2570" t="s">
        <v>10210</v>
      </c>
      <c r="K2570" t="s">
        <v>10217</v>
      </c>
      <c r="M2570" t="s">
        <v>10489</v>
      </c>
      <c r="N2570" t="s">
        <v>10697</v>
      </c>
      <c r="P2570" t="s">
        <v>10753</v>
      </c>
      <c r="Q2570" t="s">
        <v>10763</v>
      </c>
      <c r="R2570" t="s">
        <v>10821</v>
      </c>
      <c r="T2570">
        <v>0</v>
      </c>
      <c r="U2570">
        <v>0</v>
      </c>
      <c r="V2570">
        <v>53</v>
      </c>
      <c r="W2570">
        <v>2</v>
      </c>
      <c r="X2570">
        <v>2</v>
      </c>
      <c r="Z2570">
        <v>0</v>
      </c>
      <c r="AA2570">
        <v>40.814353</v>
      </c>
      <c r="AB2570">
        <v>-73.907032</v>
      </c>
      <c r="AD2570" t="s">
        <v>10839</v>
      </c>
      <c r="AF2570" t="s">
        <v>10845</v>
      </c>
      <c r="AG2570" t="s">
        <v>10859</v>
      </c>
      <c r="AH2570" t="s">
        <v>10864</v>
      </c>
      <c r="AI2570">
        <v>230</v>
      </c>
      <c r="AJ2570" t="s">
        <v>10210</v>
      </c>
      <c r="AL2570">
        <v>1.6</v>
      </c>
      <c r="AM2570" t="s">
        <v>10884</v>
      </c>
      <c r="AN2570" t="s">
        <v>10924</v>
      </c>
      <c r="AO2570" t="s">
        <v>11013</v>
      </c>
      <c r="AP2570" t="s">
        <v>11066</v>
      </c>
      <c r="AQ2570" t="s">
        <v>11109</v>
      </c>
      <c r="AR2570" t="s">
        <v>11267</v>
      </c>
      <c r="AS2570" t="s">
        <v>9926</v>
      </c>
      <c r="AT2570" t="s">
        <v>11641</v>
      </c>
      <c r="AX2570" t="s">
        <v>10838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</row>
    <row r="2571" spans="1:59">
      <c r="A2571" s="1">
        <f>HYPERLINK("https://lsnyc.legalserver.org/matter/dynamic-profile/view/1906554","19-1906554")</f>
        <v>0</v>
      </c>
      <c r="B2571" t="s">
        <v>2179</v>
      </c>
      <c r="C2571" t="s">
        <v>6969</v>
      </c>
      <c r="D2571" t="s">
        <v>9925</v>
      </c>
      <c r="E2571" t="s">
        <v>10075</v>
      </c>
      <c r="F2571">
        <v>10021</v>
      </c>
      <c r="G2571" t="s">
        <v>10089</v>
      </c>
      <c r="H2571" t="s">
        <v>10104</v>
      </c>
      <c r="I2571" t="s">
        <v>10168</v>
      </c>
      <c r="J2571" t="s">
        <v>10209</v>
      </c>
      <c r="K2571" t="s">
        <v>10217</v>
      </c>
      <c r="M2571" t="s">
        <v>10301</v>
      </c>
      <c r="N2571" t="s">
        <v>10665</v>
      </c>
      <c r="P2571" t="s">
        <v>10751</v>
      </c>
      <c r="Q2571" t="s">
        <v>10773</v>
      </c>
      <c r="R2571" t="s">
        <v>10822</v>
      </c>
      <c r="T2571">
        <v>0</v>
      </c>
      <c r="U2571">
        <v>0</v>
      </c>
      <c r="V2571">
        <v>53</v>
      </c>
      <c r="W2571">
        <v>1</v>
      </c>
      <c r="X2571">
        <v>0</v>
      </c>
      <c r="Z2571">
        <v>0</v>
      </c>
      <c r="AA2571">
        <v>40.769214</v>
      </c>
      <c r="AB2571">
        <v>-73.95832900000001</v>
      </c>
      <c r="AD2571" t="s">
        <v>10839</v>
      </c>
      <c r="AG2571" t="s">
        <v>10858</v>
      </c>
      <c r="AH2571" t="s">
        <v>10861</v>
      </c>
      <c r="AI2571">
        <v>234</v>
      </c>
      <c r="AJ2571" t="s">
        <v>10214</v>
      </c>
      <c r="AL2571">
        <v>3</v>
      </c>
      <c r="AM2571" t="s">
        <v>10891</v>
      </c>
      <c r="AN2571" t="s">
        <v>10971</v>
      </c>
      <c r="AO2571" t="s">
        <v>11026</v>
      </c>
      <c r="AP2571" t="s">
        <v>11091</v>
      </c>
      <c r="AR2571" t="s">
        <v>11267</v>
      </c>
      <c r="AS2571" t="s">
        <v>9925</v>
      </c>
      <c r="AT2571" t="s">
        <v>11641</v>
      </c>
      <c r="AX2571" t="s">
        <v>10838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</row>
    <row r="2572" spans="1:59">
      <c r="A2572" s="1">
        <f>HYPERLINK("https://lsnyc.legalserver.org/matter/dynamic-profile/view/1906555","19-1906555")</f>
        <v>0</v>
      </c>
      <c r="B2572" t="s">
        <v>2180</v>
      </c>
      <c r="C2572" t="s">
        <v>6970</v>
      </c>
      <c r="D2572" t="s">
        <v>9928</v>
      </c>
      <c r="E2572" t="s">
        <v>10075</v>
      </c>
      <c r="F2572">
        <v>11236</v>
      </c>
      <c r="G2572" t="s">
        <v>10093</v>
      </c>
      <c r="H2572" t="s">
        <v>10104</v>
      </c>
      <c r="I2572" t="s">
        <v>10168</v>
      </c>
      <c r="J2572" t="s">
        <v>10213</v>
      </c>
      <c r="K2572" t="s">
        <v>10217</v>
      </c>
      <c r="M2572" t="s">
        <v>10531</v>
      </c>
      <c r="N2572" t="s">
        <v>10664</v>
      </c>
      <c r="P2572" t="s">
        <v>10749</v>
      </c>
      <c r="Q2572" t="s">
        <v>10767</v>
      </c>
      <c r="R2572" t="s">
        <v>10824</v>
      </c>
      <c r="T2572">
        <v>35000</v>
      </c>
      <c r="U2572">
        <v>2916.67</v>
      </c>
      <c r="V2572">
        <v>48</v>
      </c>
      <c r="W2572">
        <v>4</v>
      </c>
      <c r="X2572">
        <v>0</v>
      </c>
      <c r="Z2572">
        <v>135.92</v>
      </c>
      <c r="AA2572">
        <v>40.64963</v>
      </c>
      <c r="AB2572">
        <v>-73.89478099999999</v>
      </c>
      <c r="AD2572" t="s">
        <v>10822</v>
      </c>
      <c r="AG2572" t="s">
        <v>10858</v>
      </c>
      <c r="AH2572" t="s">
        <v>10862</v>
      </c>
      <c r="AI2572">
        <v>239</v>
      </c>
      <c r="AJ2572" t="s">
        <v>10213</v>
      </c>
      <c r="AL2572">
        <v>0</v>
      </c>
      <c r="AM2572" t="s">
        <v>10889</v>
      </c>
      <c r="AN2572" t="s">
        <v>10946</v>
      </c>
      <c r="AO2572" t="s">
        <v>11012</v>
      </c>
      <c r="AP2572" t="s">
        <v>11060</v>
      </c>
      <c r="AR2572" t="s">
        <v>11257</v>
      </c>
      <c r="AS2572" t="s">
        <v>11595</v>
      </c>
      <c r="BA2572" t="s">
        <v>11738</v>
      </c>
      <c r="BB2572">
        <v>0</v>
      </c>
      <c r="BC2572">
        <v>0</v>
      </c>
      <c r="BD2572">
        <v>0</v>
      </c>
      <c r="BE2572">
        <v>0</v>
      </c>
      <c r="BF2572">
        <v>5</v>
      </c>
      <c r="BG2572">
        <v>0</v>
      </c>
    </row>
    <row r="2573" spans="1:59">
      <c r="A2573" s="1">
        <f>HYPERLINK("https://lsnyc.legalserver.org/matter/dynamic-profile/view/1906556","19-1906556")</f>
        <v>0</v>
      </c>
      <c r="B2573" t="s">
        <v>2181</v>
      </c>
      <c r="C2573" t="s">
        <v>6971</v>
      </c>
      <c r="D2573" t="s">
        <v>9938</v>
      </c>
      <c r="E2573" t="s">
        <v>10075</v>
      </c>
      <c r="F2573">
        <v>11436</v>
      </c>
      <c r="G2573" t="s">
        <v>10092</v>
      </c>
      <c r="H2573" t="s">
        <v>10104</v>
      </c>
      <c r="I2573" t="s">
        <v>10168</v>
      </c>
      <c r="J2573" t="s">
        <v>10212</v>
      </c>
      <c r="K2573" t="s">
        <v>10217</v>
      </c>
      <c r="M2573" t="s">
        <v>10312</v>
      </c>
      <c r="N2573" t="s">
        <v>10695</v>
      </c>
      <c r="P2573" t="s">
        <v>10749</v>
      </c>
      <c r="Q2573" t="s">
        <v>10765</v>
      </c>
      <c r="R2573" t="s">
        <v>10824</v>
      </c>
      <c r="T2573">
        <v>11400</v>
      </c>
      <c r="U2573">
        <v>950</v>
      </c>
      <c r="V2573">
        <v>76</v>
      </c>
      <c r="W2573">
        <v>1</v>
      </c>
      <c r="X2573">
        <v>0</v>
      </c>
      <c r="Z2573">
        <v>91.27</v>
      </c>
      <c r="AA2573">
        <v>40.673963</v>
      </c>
      <c r="AB2573">
        <v>-73.79056300000001</v>
      </c>
      <c r="AD2573" t="s">
        <v>10839</v>
      </c>
      <c r="AG2573" t="s">
        <v>10858</v>
      </c>
      <c r="AH2573" t="s">
        <v>10862</v>
      </c>
      <c r="AI2573">
        <v>237</v>
      </c>
      <c r="AJ2573" t="s">
        <v>10212</v>
      </c>
      <c r="AL2573">
        <v>5.97</v>
      </c>
      <c r="AM2573" t="s">
        <v>10892</v>
      </c>
      <c r="AN2573" t="s">
        <v>10951</v>
      </c>
      <c r="AO2573" t="s">
        <v>11017</v>
      </c>
      <c r="AP2573" t="s">
        <v>11070</v>
      </c>
      <c r="AR2573" t="s">
        <v>11300</v>
      </c>
      <c r="AS2573" t="s">
        <v>11594</v>
      </c>
      <c r="AX2573" t="s">
        <v>10838</v>
      </c>
      <c r="BA2573" t="s">
        <v>11738</v>
      </c>
      <c r="BB2573">
        <v>0</v>
      </c>
      <c r="BC2573">
        <v>0</v>
      </c>
      <c r="BD2573">
        <v>0</v>
      </c>
      <c r="BE2573">
        <v>0</v>
      </c>
      <c r="BF2573">
        <v>5</v>
      </c>
      <c r="BG2573">
        <v>0</v>
      </c>
    </row>
    <row r="2574" spans="1:59">
      <c r="A2574" s="1">
        <f>HYPERLINK("https://lsnyc.legalserver.org/matter/dynamic-profile/view/1906557","19-1906557")</f>
        <v>0</v>
      </c>
      <c r="B2574" t="s">
        <v>2182</v>
      </c>
      <c r="C2574" t="s">
        <v>6108</v>
      </c>
      <c r="D2574" t="s">
        <v>9926</v>
      </c>
      <c r="E2574" t="s">
        <v>10075</v>
      </c>
      <c r="F2574">
        <v>10452</v>
      </c>
      <c r="G2574" t="s">
        <v>10090</v>
      </c>
      <c r="H2574" t="s">
        <v>10104</v>
      </c>
      <c r="I2574" t="s">
        <v>10168</v>
      </c>
      <c r="J2574" t="s">
        <v>10210</v>
      </c>
      <c r="K2574" t="s">
        <v>10218</v>
      </c>
      <c r="L2574" t="s">
        <v>10147</v>
      </c>
      <c r="M2574" t="s">
        <v>10262</v>
      </c>
      <c r="N2574" t="s">
        <v>10666</v>
      </c>
      <c r="P2574" t="s">
        <v>10749</v>
      </c>
      <c r="Q2574" t="s">
        <v>10765</v>
      </c>
      <c r="R2574" t="s">
        <v>10824</v>
      </c>
      <c r="T2574">
        <v>0</v>
      </c>
      <c r="U2574">
        <v>0</v>
      </c>
      <c r="V2574">
        <v>53</v>
      </c>
      <c r="W2574">
        <v>1</v>
      </c>
      <c r="X2574">
        <v>0</v>
      </c>
      <c r="Y2574" t="s">
        <v>10829</v>
      </c>
      <c r="Z2574">
        <v>0</v>
      </c>
      <c r="AA2574">
        <v>40.831216</v>
      </c>
      <c r="AB2574">
        <v>-73.930609</v>
      </c>
      <c r="AD2574" t="s">
        <v>10840</v>
      </c>
      <c r="AG2574" t="s">
        <v>10858</v>
      </c>
      <c r="AH2574" t="s">
        <v>10861</v>
      </c>
      <c r="AI2574">
        <v>230</v>
      </c>
      <c r="AJ2574" t="s">
        <v>10210</v>
      </c>
      <c r="AK2574" t="s">
        <v>10838</v>
      </c>
      <c r="AL2574">
        <v>0.5</v>
      </c>
      <c r="AM2574" t="s">
        <v>10884</v>
      </c>
      <c r="AN2574" t="s">
        <v>10924</v>
      </c>
      <c r="AO2574" t="s">
        <v>11013</v>
      </c>
      <c r="AP2574" t="s">
        <v>11066</v>
      </c>
      <c r="AR2574" t="s">
        <v>11266</v>
      </c>
      <c r="AS2574" t="s">
        <v>9926</v>
      </c>
      <c r="AT2574" t="s">
        <v>11642</v>
      </c>
      <c r="AX2574" t="s">
        <v>10838</v>
      </c>
      <c r="AY2574" t="s">
        <v>10829</v>
      </c>
      <c r="AZ2574" t="s">
        <v>11681</v>
      </c>
      <c r="BA2574" t="s">
        <v>11741</v>
      </c>
      <c r="BB2574">
        <v>0</v>
      </c>
      <c r="BC2574">
        <v>0</v>
      </c>
      <c r="BD2574">
        <v>0</v>
      </c>
      <c r="BE2574">
        <v>0</v>
      </c>
      <c r="BF2574">
        <v>1</v>
      </c>
      <c r="BG2574">
        <v>0</v>
      </c>
    </row>
    <row r="2575" spans="1:59">
      <c r="A2575" s="1">
        <f>HYPERLINK("https://lsnyc.legalserver.org/matter/dynamic-profile/view/1906558","19-1906558")</f>
        <v>0</v>
      </c>
      <c r="B2575" t="s">
        <v>2183</v>
      </c>
      <c r="C2575" t="s">
        <v>6972</v>
      </c>
      <c r="D2575" t="s">
        <v>9926</v>
      </c>
      <c r="E2575" t="s">
        <v>10075</v>
      </c>
      <c r="F2575">
        <v>10466</v>
      </c>
      <c r="G2575" t="s">
        <v>10090</v>
      </c>
      <c r="H2575" t="s">
        <v>10104</v>
      </c>
      <c r="I2575" t="s">
        <v>10169</v>
      </c>
      <c r="J2575" t="s">
        <v>10210</v>
      </c>
      <c r="K2575" t="s">
        <v>10217</v>
      </c>
      <c r="M2575" t="s">
        <v>10328</v>
      </c>
      <c r="N2575" t="s">
        <v>10733</v>
      </c>
      <c r="P2575" t="s">
        <v>10753</v>
      </c>
      <c r="Q2575" t="s">
        <v>10763</v>
      </c>
      <c r="R2575" t="s">
        <v>10821</v>
      </c>
      <c r="T2575">
        <v>0</v>
      </c>
      <c r="U2575">
        <v>0</v>
      </c>
      <c r="V2575">
        <v>47</v>
      </c>
      <c r="W2575">
        <v>3</v>
      </c>
      <c r="X2575">
        <v>0</v>
      </c>
      <c r="Z2575">
        <v>0</v>
      </c>
      <c r="AA2575">
        <v>40.884805</v>
      </c>
      <c r="AB2575">
        <v>-73.84520999999999</v>
      </c>
      <c r="AD2575" t="s">
        <v>10840</v>
      </c>
      <c r="AF2575" t="s">
        <v>10843</v>
      </c>
      <c r="AG2575" t="s">
        <v>10859</v>
      </c>
      <c r="AH2575" t="s">
        <v>10864</v>
      </c>
      <c r="AI2575">
        <v>230</v>
      </c>
      <c r="AJ2575" t="s">
        <v>10210</v>
      </c>
      <c r="AL2575">
        <v>2.75</v>
      </c>
      <c r="AM2575" t="s">
        <v>10893</v>
      </c>
      <c r="AN2575" t="s">
        <v>10956</v>
      </c>
      <c r="AO2575" t="s">
        <v>11010</v>
      </c>
      <c r="AP2575" t="s">
        <v>11085</v>
      </c>
      <c r="AQ2575" t="s">
        <v>11131</v>
      </c>
      <c r="AR2575" t="s">
        <v>11267</v>
      </c>
      <c r="AS2575" t="s">
        <v>9926</v>
      </c>
      <c r="AT2575" t="s">
        <v>11642</v>
      </c>
      <c r="AV2575" t="s">
        <v>11655</v>
      </c>
      <c r="AW2575" t="s">
        <v>11666</v>
      </c>
      <c r="AX2575" t="s">
        <v>10838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</row>
    <row r="2576" spans="1:59">
      <c r="A2576" s="1">
        <f>HYPERLINK("https://lsnyc.legalserver.org/matter/dynamic-profile/view/1906559","19-1906559")</f>
        <v>0</v>
      </c>
      <c r="B2576" t="s">
        <v>2184</v>
      </c>
      <c r="C2576" t="s">
        <v>6973</v>
      </c>
      <c r="D2576" t="s">
        <v>9926</v>
      </c>
      <c r="E2576" t="s">
        <v>10075</v>
      </c>
      <c r="F2576">
        <v>10453</v>
      </c>
      <c r="G2576" t="s">
        <v>10090</v>
      </c>
      <c r="H2576" t="s">
        <v>10104</v>
      </c>
      <c r="I2576" t="s">
        <v>10169</v>
      </c>
      <c r="J2576" t="s">
        <v>10210</v>
      </c>
      <c r="K2576" t="s">
        <v>10217</v>
      </c>
      <c r="M2576" t="s">
        <v>10328</v>
      </c>
      <c r="N2576" t="s">
        <v>10734</v>
      </c>
      <c r="P2576" t="s">
        <v>10753</v>
      </c>
      <c r="Q2576" t="s">
        <v>10763</v>
      </c>
      <c r="R2576" t="s">
        <v>10821</v>
      </c>
      <c r="T2576">
        <v>10400</v>
      </c>
      <c r="U2576">
        <v>866.67</v>
      </c>
      <c r="V2576">
        <v>56</v>
      </c>
      <c r="W2576">
        <v>3</v>
      </c>
      <c r="X2576">
        <v>0</v>
      </c>
      <c r="Z2576">
        <v>48.76</v>
      </c>
      <c r="AA2576">
        <v>40.851185</v>
      </c>
      <c r="AB2576">
        <v>-73.912246</v>
      </c>
      <c r="AD2576" t="s">
        <v>10839</v>
      </c>
      <c r="AF2576" t="s">
        <v>10842</v>
      </c>
      <c r="AG2576" t="s">
        <v>10859</v>
      </c>
      <c r="AH2576" t="s">
        <v>10864</v>
      </c>
      <c r="AI2576">
        <v>230</v>
      </c>
      <c r="AJ2576" t="s">
        <v>10210</v>
      </c>
      <c r="AL2576">
        <v>1.25</v>
      </c>
      <c r="AM2576" t="s">
        <v>10884</v>
      </c>
      <c r="AN2576" t="s">
        <v>10931</v>
      </c>
      <c r="AO2576" t="s">
        <v>11013</v>
      </c>
      <c r="AP2576" t="s">
        <v>11045</v>
      </c>
      <c r="AQ2576" t="s">
        <v>11140</v>
      </c>
      <c r="AR2576" t="s">
        <v>10180</v>
      </c>
      <c r="AS2576" t="s">
        <v>9926</v>
      </c>
      <c r="AT2576" t="s">
        <v>11641</v>
      </c>
      <c r="AV2576" t="s">
        <v>11656</v>
      </c>
      <c r="AW2576" t="s">
        <v>11645</v>
      </c>
      <c r="AX2576" t="s">
        <v>10838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</row>
    <row r="2577" spans="1:59">
      <c r="A2577" s="1">
        <f>HYPERLINK("https://lsnyc.legalserver.org/matter/dynamic-profile/view/1906560","19-1906560")</f>
        <v>0</v>
      </c>
      <c r="B2577" t="s">
        <v>2185</v>
      </c>
      <c r="C2577" t="s">
        <v>6974</v>
      </c>
      <c r="D2577" t="s">
        <v>9926</v>
      </c>
      <c r="E2577" t="s">
        <v>10075</v>
      </c>
      <c r="F2577">
        <v>10466</v>
      </c>
      <c r="G2577" t="s">
        <v>10090</v>
      </c>
      <c r="H2577" t="s">
        <v>10104</v>
      </c>
      <c r="I2577" t="s">
        <v>10168</v>
      </c>
      <c r="J2577" t="s">
        <v>10210</v>
      </c>
      <c r="K2577" t="s">
        <v>10217</v>
      </c>
      <c r="M2577" t="s">
        <v>10577</v>
      </c>
      <c r="N2577" t="s">
        <v>10666</v>
      </c>
      <c r="P2577" t="s">
        <v>10749</v>
      </c>
      <c r="Q2577" t="s">
        <v>10765</v>
      </c>
      <c r="R2577" t="s">
        <v>10820</v>
      </c>
      <c r="T2577">
        <v>15840</v>
      </c>
      <c r="U2577">
        <v>1320</v>
      </c>
      <c r="V2577">
        <v>72</v>
      </c>
      <c r="W2577">
        <v>1</v>
      </c>
      <c r="X2577">
        <v>0</v>
      </c>
      <c r="Z2577">
        <v>126.82</v>
      </c>
      <c r="AA2577">
        <v>40.892743</v>
      </c>
      <c r="AB2577">
        <v>-73.860989</v>
      </c>
      <c r="AD2577" t="s">
        <v>10839</v>
      </c>
      <c r="AG2577" t="s">
        <v>10858</v>
      </c>
      <c r="AH2577" t="s">
        <v>10862</v>
      </c>
      <c r="AI2577">
        <v>230</v>
      </c>
      <c r="AJ2577" t="s">
        <v>10210</v>
      </c>
      <c r="AL2577">
        <v>16.4</v>
      </c>
      <c r="AM2577" t="s">
        <v>10893</v>
      </c>
      <c r="AN2577" t="s">
        <v>10919</v>
      </c>
      <c r="AO2577" t="s">
        <v>11010</v>
      </c>
      <c r="AP2577" t="s">
        <v>11085</v>
      </c>
      <c r="AR2577" t="s">
        <v>11287</v>
      </c>
      <c r="AS2577" t="s">
        <v>9926</v>
      </c>
      <c r="AT2577" t="s">
        <v>11641</v>
      </c>
      <c r="AV2577" t="s">
        <v>11656</v>
      </c>
      <c r="AW2577" t="s">
        <v>11645</v>
      </c>
      <c r="AX2577" t="s">
        <v>10838</v>
      </c>
      <c r="BA2577" t="s">
        <v>11738</v>
      </c>
      <c r="BB2577">
        <v>0</v>
      </c>
      <c r="BC2577">
        <v>0</v>
      </c>
      <c r="BD2577">
        <v>0</v>
      </c>
      <c r="BE2577">
        <v>0</v>
      </c>
      <c r="BF2577">
        <v>5</v>
      </c>
      <c r="BG2577">
        <v>0</v>
      </c>
    </row>
    <row r="2578" spans="1:59">
      <c r="A2578" s="1">
        <f>HYPERLINK("https://lsnyc.legalserver.org/matter/dynamic-profile/view/1906561","19-1906561")</f>
        <v>0</v>
      </c>
      <c r="B2578" t="s">
        <v>1136</v>
      </c>
      <c r="C2578" t="s">
        <v>6975</v>
      </c>
      <c r="D2578" t="s">
        <v>9926</v>
      </c>
      <c r="E2578" t="s">
        <v>10075</v>
      </c>
      <c r="F2578">
        <v>10473</v>
      </c>
      <c r="G2578" t="s">
        <v>10090</v>
      </c>
      <c r="H2578" t="s">
        <v>10096</v>
      </c>
      <c r="I2578" t="s">
        <v>10169</v>
      </c>
      <c r="J2578" t="s">
        <v>10210</v>
      </c>
      <c r="K2578" t="s">
        <v>10218</v>
      </c>
      <c r="L2578" t="s">
        <v>10160</v>
      </c>
      <c r="M2578" t="s">
        <v>10262</v>
      </c>
      <c r="N2578" t="s">
        <v>10666</v>
      </c>
      <c r="P2578" t="s">
        <v>10749</v>
      </c>
      <c r="Q2578" t="s">
        <v>10765</v>
      </c>
      <c r="R2578" t="s">
        <v>10821</v>
      </c>
      <c r="T2578">
        <v>10140</v>
      </c>
      <c r="U2578">
        <v>845</v>
      </c>
      <c r="V2578">
        <v>62</v>
      </c>
      <c r="W2578">
        <v>1</v>
      </c>
      <c r="X2578">
        <v>0</v>
      </c>
      <c r="Y2578" t="s">
        <v>10829</v>
      </c>
      <c r="Z2578">
        <v>81.18000000000001</v>
      </c>
      <c r="AA2578">
        <v>40.818515</v>
      </c>
      <c r="AB2578">
        <v>-73.861582</v>
      </c>
      <c r="AD2578" t="s">
        <v>10840</v>
      </c>
      <c r="AF2578" t="s">
        <v>10843</v>
      </c>
      <c r="AG2578" t="s">
        <v>10859</v>
      </c>
      <c r="AH2578" t="s">
        <v>10861</v>
      </c>
      <c r="AI2578">
        <v>230</v>
      </c>
      <c r="AJ2578" t="s">
        <v>10210</v>
      </c>
      <c r="AK2578" t="s">
        <v>10838</v>
      </c>
      <c r="AL2578">
        <v>0.8</v>
      </c>
      <c r="AM2578" t="s">
        <v>10884</v>
      </c>
      <c r="AN2578" t="s">
        <v>10968</v>
      </c>
      <c r="AO2578" t="s">
        <v>11002</v>
      </c>
      <c r="AP2578" t="s">
        <v>11046</v>
      </c>
      <c r="AR2578" t="s">
        <v>11270</v>
      </c>
      <c r="AS2578" t="s">
        <v>9926</v>
      </c>
      <c r="AT2578" t="s">
        <v>11642</v>
      </c>
      <c r="AX2578" t="s">
        <v>10838</v>
      </c>
      <c r="AY2578" t="s">
        <v>10829</v>
      </c>
      <c r="AZ2578" t="s">
        <v>11681</v>
      </c>
      <c r="BA2578" t="s">
        <v>11741</v>
      </c>
      <c r="BB2578">
        <v>0</v>
      </c>
      <c r="BC2578">
        <v>0</v>
      </c>
      <c r="BD2578">
        <v>0</v>
      </c>
      <c r="BE2578">
        <v>0</v>
      </c>
      <c r="BF2578">
        <v>1</v>
      </c>
      <c r="BG2578">
        <v>0</v>
      </c>
    </row>
    <row r="2579" spans="1:59">
      <c r="A2579" s="1">
        <f>HYPERLINK("https://lsnyc.legalserver.org/matter/dynamic-profile/view/1906562","19-1906562")</f>
        <v>0</v>
      </c>
      <c r="B2579" t="s">
        <v>2186</v>
      </c>
      <c r="C2579" t="s">
        <v>6976</v>
      </c>
      <c r="D2579" t="s">
        <v>9926</v>
      </c>
      <c r="E2579" t="s">
        <v>10075</v>
      </c>
      <c r="F2579">
        <v>10452</v>
      </c>
      <c r="G2579" t="s">
        <v>10090</v>
      </c>
      <c r="H2579" t="s">
        <v>10104</v>
      </c>
      <c r="I2579" t="s">
        <v>10169</v>
      </c>
      <c r="J2579" t="s">
        <v>10210</v>
      </c>
      <c r="K2579" t="s">
        <v>10217</v>
      </c>
      <c r="M2579" t="s">
        <v>10328</v>
      </c>
      <c r="N2579" t="s">
        <v>10734</v>
      </c>
      <c r="P2579" t="s">
        <v>10753</v>
      </c>
      <c r="Q2579" t="s">
        <v>10763</v>
      </c>
      <c r="R2579" t="s">
        <v>10821</v>
      </c>
      <c r="T2579">
        <v>9600</v>
      </c>
      <c r="U2579">
        <v>800</v>
      </c>
      <c r="V2579">
        <v>55</v>
      </c>
      <c r="W2579">
        <v>2</v>
      </c>
      <c r="X2579">
        <v>0</v>
      </c>
      <c r="Z2579">
        <v>56.77</v>
      </c>
      <c r="AA2579">
        <v>40.830809</v>
      </c>
      <c r="AB2579">
        <v>-73.92167600000001</v>
      </c>
      <c r="AD2579" t="s">
        <v>10839</v>
      </c>
      <c r="AF2579" t="s">
        <v>10843</v>
      </c>
      <c r="AG2579" t="s">
        <v>10859</v>
      </c>
      <c r="AH2579" t="s">
        <v>10864</v>
      </c>
      <c r="AI2579">
        <v>230</v>
      </c>
      <c r="AJ2579" t="s">
        <v>10210</v>
      </c>
      <c r="AL2579">
        <v>1.75</v>
      </c>
      <c r="AM2579" t="s">
        <v>10884</v>
      </c>
      <c r="AN2579" t="s">
        <v>10929</v>
      </c>
      <c r="AO2579" t="s">
        <v>11013</v>
      </c>
      <c r="AP2579" t="s">
        <v>11066</v>
      </c>
      <c r="AQ2579" t="s">
        <v>11097</v>
      </c>
      <c r="AR2579" t="s">
        <v>11253</v>
      </c>
      <c r="AS2579" t="s">
        <v>9926</v>
      </c>
      <c r="AT2579" t="s">
        <v>11641</v>
      </c>
      <c r="AV2579" t="s">
        <v>11656</v>
      </c>
      <c r="AW2579" t="s">
        <v>11645</v>
      </c>
      <c r="AX2579" t="s">
        <v>10838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</row>
    <row r="2580" spans="1:59">
      <c r="A2580" s="1">
        <f>HYPERLINK("https://lsnyc.legalserver.org/matter/dynamic-profile/view/1906563","19-1906563")</f>
        <v>0</v>
      </c>
      <c r="B2580" t="s">
        <v>2187</v>
      </c>
      <c r="C2580" t="s">
        <v>6977</v>
      </c>
      <c r="D2580" t="s">
        <v>9926</v>
      </c>
      <c r="E2580" t="s">
        <v>10075</v>
      </c>
      <c r="F2580">
        <v>10457</v>
      </c>
      <c r="G2580" t="s">
        <v>10090</v>
      </c>
      <c r="H2580" t="s">
        <v>10104</v>
      </c>
      <c r="I2580" t="s">
        <v>10168</v>
      </c>
      <c r="J2580" t="s">
        <v>10215</v>
      </c>
      <c r="K2580" t="s">
        <v>10217</v>
      </c>
      <c r="M2580" t="s">
        <v>10306</v>
      </c>
      <c r="N2580" t="s">
        <v>10651</v>
      </c>
      <c r="P2580" t="s">
        <v>10749</v>
      </c>
      <c r="Q2580" t="s">
        <v>10765</v>
      </c>
      <c r="R2580" t="s">
        <v>10821</v>
      </c>
      <c r="T2580">
        <v>7800</v>
      </c>
      <c r="U2580">
        <v>650</v>
      </c>
      <c r="V2580">
        <v>41</v>
      </c>
      <c r="W2580">
        <v>1</v>
      </c>
      <c r="X2580">
        <v>0</v>
      </c>
      <c r="Z2580">
        <v>62.45</v>
      </c>
      <c r="AA2580">
        <v>40.845585</v>
      </c>
      <c r="AB2580">
        <v>-73.89828900000001</v>
      </c>
      <c r="AD2580" t="s">
        <v>10839</v>
      </c>
      <c r="AG2580" t="s">
        <v>10858</v>
      </c>
      <c r="AH2580" t="s">
        <v>10862</v>
      </c>
      <c r="AI2580">
        <v>231</v>
      </c>
      <c r="AJ2580" t="s">
        <v>10215</v>
      </c>
      <c r="AL2580">
        <v>8.35</v>
      </c>
      <c r="AM2580" t="s">
        <v>10884</v>
      </c>
      <c r="AN2580" t="s">
        <v>10931</v>
      </c>
      <c r="AO2580" t="s">
        <v>11000</v>
      </c>
      <c r="AP2580" t="s">
        <v>11056</v>
      </c>
      <c r="AR2580" t="s">
        <v>11400</v>
      </c>
      <c r="AS2580" t="s">
        <v>9926</v>
      </c>
      <c r="AT2580" t="s">
        <v>11641</v>
      </c>
      <c r="AW2580" t="s">
        <v>11667</v>
      </c>
      <c r="AX2580" t="s">
        <v>10838</v>
      </c>
      <c r="BA2580" t="s">
        <v>11738</v>
      </c>
      <c r="BB2580">
        <v>0</v>
      </c>
      <c r="BC2580">
        <v>0</v>
      </c>
      <c r="BD2580">
        <v>0</v>
      </c>
      <c r="BE2580">
        <v>0</v>
      </c>
      <c r="BF2580">
        <v>5</v>
      </c>
      <c r="BG2580">
        <v>0</v>
      </c>
    </row>
    <row r="2581" spans="1:59">
      <c r="A2581" s="1">
        <f>HYPERLINK("https://lsnyc.legalserver.org/matter/dynamic-profile/view/1906564","19-1906564")</f>
        <v>0</v>
      </c>
      <c r="B2581" t="s">
        <v>2185</v>
      </c>
      <c r="C2581" t="s">
        <v>6974</v>
      </c>
      <c r="D2581" t="s">
        <v>9926</v>
      </c>
      <c r="E2581" t="s">
        <v>10075</v>
      </c>
      <c r="F2581">
        <v>10466</v>
      </c>
      <c r="G2581" t="s">
        <v>10090</v>
      </c>
      <c r="H2581" t="s">
        <v>10104</v>
      </c>
      <c r="I2581" t="s">
        <v>10168</v>
      </c>
      <c r="J2581" t="s">
        <v>10210</v>
      </c>
      <c r="K2581" t="s">
        <v>10217</v>
      </c>
      <c r="M2581" t="s">
        <v>10577</v>
      </c>
      <c r="N2581" t="s">
        <v>10677</v>
      </c>
      <c r="P2581" t="s">
        <v>10751</v>
      </c>
      <c r="Q2581" t="s">
        <v>10761</v>
      </c>
      <c r="R2581" t="s">
        <v>10820</v>
      </c>
      <c r="T2581">
        <v>15840</v>
      </c>
      <c r="U2581">
        <v>1320</v>
      </c>
      <c r="V2581">
        <v>72</v>
      </c>
      <c r="W2581">
        <v>1</v>
      </c>
      <c r="X2581">
        <v>0</v>
      </c>
      <c r="Z2581">
        <v>126.82</v>
      </c>
      <c r="AA2581">
        <v>40.892743</v>
      </c>
      <c r="AB2581">
        <v>-73.860989</v>
      </c>
      <c r="AD2581" t="s">
        <v>10839</v>
      </c>
      <c r="AG2581" t="s">
        <v>10858</v>
      </c>
      <c r="AH2581" t="s">
        <v>10862</v>
      </c>
      <c r="AI2581">
        <v>230</v>
      </c>
      <c r="AJ2581" t="s">
        <v>10210</v>
      </c>
      <c r="AL2581">
        <v>0.6</v>
      </c>
      <c r="AR2581" t="s">
        <v>11287</v>
      </c>
      <c r="AS2581" t="s">
        <v>9926</v>
      </c>
      <c r="BA2581" t="s">
        <v>11737</v>
      </c>
      <c r="BB2581">
        <v>0</v>
      </c>
      <c r="BC2581">
        <v>0</v>
      </c>
      <c r="BD2581">
        <v>0</v>
      </c>
      <c r="BE2581">
        <v>0</v>
      </c>
      <c r="BF2581">
        <v>3</v>
      </c>
      <c r="BG2581">
        <v>0</v>
      </c>
    </row>
    <row r="2582" spans="1:59">
      <c r="A2582" s="1">
        <f>HYPERLINK("https://lsnyc.legalserver.org/matter/dynamic-profile/view/1906565","19-1906565")</f>
        <v>0</v>
      </c>
      <c r="B2582" t="s">
        <v>2188</v>
      </c>
      <c r="C2582" t="s">
        <v>6978</v>
      </c>
      <c r="D2582" t="s">
        <v>9938</v>
      </c>
      <c r="E2582" t="s">
        <v>10075</v>
      </c>
      <c r="F2582">
        <v>11434</v>
      </c>
      <c r="G2582" t="s">
        <v>10092</v>
      </c>
      <c r="H2582" t="s">
        <v>10104</v>
      </c>
      <c r="I2582" t="s">
        <v>10169</v>
      </c>
      <c r="J2582" t="s">
        <v>10212</v>
      </c>
      <c r="K2582" t="s">
        <v>10217</v>
      </c>
      <c r="M2582" t="s">
        <v>10422</v>
      </c>
      <c r="N2582" t="s">
        <v>10673</v>
      </c>
      <c r="P2582" t="s">
        <v>10753</v>
      </c>
      <c r="Q2582" t="s">
        <v>10763</v>
      </c>
      <c r="R2582" t="s">
        <v>10823</v>
      </c>
      <c r="T2582">
        <v>0</v>
      </c>
      <c r="U2582">
        <v>0</v>
      </c>
      <c r="V2582">
        <v>39</v>
      </c>
      <c r="W2582">
        <v>1</v>
      </c>
      <c r="X2582">
        <v>1</v>
      </c>
      <c r="Z2582">
        <v>0</v>
      </c>
      <c r="AA2582">
        <v>40.667936</v>
      </c>
      <c r="AB2582">
        <v>-73.782124</v>
      </c>
      <c r="AD2582" t="s">
        <v>10839</v>
      </c>
      <c r="AF2582" t="s">
        <v>10842</v>
      </c>
      <c r="AG2582" t="s">
        <v>10859</v>
      </c>
      <c r="AH2582" t="s">
        <v>10864</v>
      </c>
      <c r="AI2582">
        <v>237</v>
      </c>
      <c r="AJ2582" t="s">
        <v>10212</v>
      </c>
      <c r="AL2582">
        <v>4.02</v>
      </c>
      <c r="AM2582" t="s">
        <v>10892</v>
      </c>
      <c r="AN2582" t="s">
        <v>10951</v>
      </c>
      <c r="AO2582" t="s">
        <v>11017</v>
      </c>
      <c r="AP2582" t="s">
        <v>11070</v>
      </c>
      <c r="AQ2582" t="s">
        <v>11119</v>
      </c>
      <c r="AR2582" t="s">
        <v>11267</v>
      </c>
      <c r="AS2582" t="s">
        <v>11594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</row>
    <row r="2583" spans="1:59">
      <c r="A2583" s="1">
        <f>HYPERLINK("https://lsnyc.legalserver.org/matter/dynamic-profile/view/1906566","19-1906566")</f>
        <v>0</v>
      </c>
      <c r="B2583" t="s">
        <v>2189</v>
      </c>
      <c r="C2583" t="s">
        <v>6978</v>
      </c>
      <c r="D2583" t="s">
        <v>9938</v>
      </c>
      <c r="E2583" t="s">
        <v>10075</v>
      </c>
      <c r="F2583">
        <v>11434</v>
      </c>
      <c r="G2583" t="s">
        <v>10092</v>
      </c>
      <c r="H2583" t="s">
        <v>10104</v>
      </c>
      <c r="I2583" t="s">
        <v>10169</v>
      </c>
      <c r="J2583" t="s">
        <v>10212</v>
      </c>
      <c r="K2583" t="s">
        <v>10217</v>
      </c>
      <c r="M2583" t="s">
        <v>10422</v>
      </c>
      <c r="N2583" t="s">
        <v>10679</v>
      </c>
      <c r="P2583" t="s">
        <v>10753</v>
      </c>
      <c r="Q2583" t="s">
        <v>10763</v>
      </c>
      <c r="R2583" t="s">
        <v>10823</v>
      </c>
      <c r="T2583">
        <v>0</v>
      </c>
      <c r="U2583">
        <v>0</v>
      </c>
      <c r="V2583">
        <v>15</v>
      </c>
      <c r="W2583">
        <v>1</v>
      </c>
      <c r="X2583">
        <v>1</v>
      </c>
      <c r="Z2583">
        <v>0</v>
      </c>
      <c r="AA2583">
        <v>40.667936</v>
      </c>
      <c r="AB2583">
        <v>-73.782124</v>
      </c>
      <c r="AD2583" t="s">
        <v>10840</v>
      </c>
      <c r="AF2583" t="s">
        <v>10842</v>
      </c>
      <c r="AG2583" t="s">
        <v>10859</v>
      </c>
      <c r="AH2583" t="s">
        <v>10864</v>
      </c>
      <c r="AI2583">
        <v>237</v>
      </c>
      <c r="AJ2583" t="s">
        <v>10212</v>
      </c>
      <c r="AL2583">
        <v>2.35</v>
      </c>
      <c r="AM2583" t="s">
        <v>10892</v>
      </c>
      <c r="AN2583" t="s">
        <v>10951</v>
      </c>
      <c r="AO2583" t="s">
        <v>11017</v>
      </c>
      <c r="AP2583" t="s">
        <v>11070</v>
      </c>
      <c r="AQ2583" t="s">
        <v>11119</v>
      </c>
      <c r="AR2583" t="s">
        <v>11267</v>
      </c>
      <c r="AS2583" t="s">
        <v>11594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</row>
    <row r="2584" spans="1:59">
      <c r="A2584" s="1">
        <f>HYPERLINK("https://lsnyc.legalserver.org/matter/dynamic-profile/view/1906567","19-1906567")</f>
        <v>0</v>
      </c>
      <c r="B2584" t="s">
        <v>2190</v>
      </c>
      <c r="C2584" t="s">
        <v>6979</v>
      </c>
      <c r="D2584" t="s">
        <v>9978</v>
      </c>
      <c r="E2584" t="s">
        <v>10075</v>
      </c>
      <c r="F2584">
        <v>11420</v>
      </c>
      <c r="G2584" t="s">
        <v>10092</v>
      </c>
      <c r="H2584" t="s">
        <v>10148</v>
      </c>
      <c r="J2584" t="s">
        <v>10212</v>
      </c>
      <c r="K2584" t="s">
        <v>10217</v>
      </c>
      <c r="M2584" t="s">
        <v>10520</v>
      </c>
      <c r="N2584" t="s">
        <v>10678</v>
      </c>
      <c r="P2584" t="s">
        <v>10749</v>
      </c>
      <c r="Q2584" t="s">
        <v>10769</v>
      </c>
      <c r="R2584" t="s">
        <v>10824</v>
      </c>
      <c r="T2584">
        <v>38400</v>
      </c>
      <c r="U2584">
        <v>3200</v>
      </c>
      <c r="V2584">
        <v>63</v>
      </c>
      <c r="W2584">
        <v>1</v>
      </c>
      <c r="X2584">
        <v>1</v>
      </c>
      <c r="Z2584">
        <v>227.08</v>
      </c>
      <c r="AA2584">
        <v>40.674559</v>
      </c>
      <c r="AB2584">
        <v>-73.809797</v>
      </c>
      <c r="AD2584" t="s">
        <v>10839</v>
      </c>
      <c r="AG2584" t="s">
        <v>10858</v>
      </c>
      <c r="AH2584" t="s">
        <v>10860</v>
      </c>
      <c r="AI2584">
        <v>237</v>
      </c>
      <c r="AJ2584" t="s">
        <v>10212</v>
      </c>
      <c r="AL2584">
        <v>3.75</v>
      </c>
      <c r="AM2584" t="s">
        <v>10892</v>
      </c>
      <c r="AN2584" t="s">
        <v>10930</v>
      </c>
      <c r="AO2584" t="s">
        <v>11017</v>
      </c>
      <c r="AP2584" t="s">
        <v>11070</v>
      </c>
      <c r="AR2584" t="s">
        <v>11462</v>
      </c>
      <c r="AS2584" t="s">
        <v>11594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</row>
    <row r="2585" spans="1:59">
      <c r="A2585" s="1">
        <f>HYPERLINK("https://lsnyc.legalserver.org/matter/dynamic-profile/view/1906568","19-1906568")</f>
        <v>0</v>
      </c>
      <c r="B2585" t="s">
        <v>2191</v>
      </c>
      <c r="C2585" t="s">
        <v>6980</v>
      </c>
      <c r="D2585" t="s">
        <v>9937</v>
      </c>
      <c r="E2585" t="s">
        <v>10075</v>
      </c>
      <c r="F2585">
        <v>11412</v>
      </c>
      <c r="G2585" t="s">
        <v>10092</v>
      </c>
      <c r="H2585" t="s">
        <v>10104</v>
      </c>
      <c r="J2585" t="s">
        <v>10212</v>
      </c>
      <c r="K2585" t="s">
        <v>10218</v>
      </c>
      <c r="L2585" t="s">
        <v>10100</v>
      </c>
      <c r="M2585" t="s">
        <v>10366</v>
      </c>
      <c r="N2585" t="s">
        <v>10678</v>
      </c>
      <c r="P2585" t="s">
        <v>10749</v>
      </c>
      <c r="Q2585" t="s">
        <v>10769</v>
      </c>
      <c r="R2585" t="s">
        <v>10824</v>
      </c>
      <c r="T2585">
        <v>71100</v>
      </c>
      <c r="U2585">
        <v>5925</v>
      </c>
      <c r="V2585">
        <v>58</v>
      </c>
      <c r="W2585">
        <v>1</v>
      </c>
      <c r="X2585">
        <v>0</v>
      </c>
      <c r="Y2585" t="s">
        <v>10829</v>
      </c>
      <c r="Z2585">
        <v>569.26</v>
      </c>
      <c r="AA2585">
        <v>40.698837</v>
      </c>
      <c r="AB2585">
        <v>-73.76676399999999</v>
      </c>
      <c r="AD2585" t="s">
        <v>10840</v>
      </c>
      <c r="AG2585" t="s">
        <v>10858</v>
      </c>
      <c r="AH2585" t="s">
        <v>10860</v>
      </c>
      <c r="AI2585">
        <v>237</v>
      </c>
      <c r="AJ2585" t="s">
        <v>10212</v>
      </c>
      <c r="AK2585" t="s">
        <v>10838</v>
      </c>
      <c r="AL2585">
        <v>1.7</v>
      </c>
      <c r="AM2585" t="s">
        <v>10892</v>
      </c>
      <c r="AN2585" t="s">
        <v>10955</v>
      </c>
      <c r="AO2585" t="s">
        <v>11020</v>
      </c>
      <c r="AP2585" t="s">
        <v>11075</v>
      </c>
      <c r="AR2585" t="s">
        <v>11356</v>
      </c>
      <c r="AS2585" t="s">
        <v>11594</v>
      </c>
      <c r="AY2585" t="s">
        <v>10829</v>
      </c>
      <c r="AZ2585" t="s">
        <v>11681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</row>
    <row r="2586" spans="1:59">
      <c r="A2586" s="1">
        <f>HYPERLINK("https://lsnyc.legalserver.org/matter/dynamic-profile/view/1906569","19-1906569")</f>
        <v>0</v>
      </c>
      <c r="B2586" t="s">
        <v>2192</v>
      </c>
      <c r="C2586" t="s">
        <v>6981</v>
      </c>
      <c r="D2586" t="s">
        <v>9930</v>
      </c>
      <c r="E2586" t="s">
        <v>10075</v>
      </c>
      <c r="F2586">
        <v>11373</v>
      </c>
      <c r="G2586" t="s">
        <v>10092</v>
      </c>
      <c r="H2586" t="s">
        <v>10148</v>
      </c>
      <c r="I2586" t="s">
        <v>10169</v>
      </c>
      <c r="J2586" t="s">
        <v>10212</v>
      </c>
      <c r="K2586" t="s">
        <v>10217</v>
      </c>
      <c r="M2586" t="s">
        <v>10422</v>
      </c>
      <c r="N2586" t="s">
        <v>10648</v>
      </c>
      <c r="P2586" t="s">
        <v>10753</v>
      </c>
      <c r="Q2586" t="s">
        <v>10763</v>
      </c>
      <c r="R2586" t="s">
        <v>10823</v>
      </c>
      <c r="T2586">
        <v>0</v>
      </c>
      <c r="U2586">
        <v>0</v>
      </c>
      <c r="V2586">
        <v>50</v>
      </c>
      <c r="W2586">
        <v>2</v>
      </c>
      <c r="X2586">
        <v>0</v>
      </c>
      <c r="Z2586">
        <v>0</v>
      </c>
      <c r="AA2586">
        <v>40.746268</v>
      </c>
      <c r="AB2586">
        <v>-73.88254499999999</v>
      </c>
      <c r="AD2586" t="s">
        <v>10839</v>
      </c>
      <c r="AF2586" t="s">
        <v>10842</v>
      </c>
      <c r="AG2586" t="s">
        <v>10859</v>
      </c>
      <c r="AH2586" t="s">
        <v>10864</v>
      </c>
      <c r="AI2586">
        <v>237</v>
      </c>
      <c r="AJ2586" t="s">
        <v>10212</v>
      </c>
      <c r="AL2586">
        <v>1.25</v>
      </c>
      <c r="AM2586" t="s">
        <v>10885</v>
      </c>
      <c r="AN2586" t="s">
        <v>10949</v>
      </c>
      <c r="AO2586" t="s">
        <v>11014</v>
      </c>
      <c r="AP2586" t="s">
        <v>11053</v>
      </c>
      <c r="AQ2586" t="s">
        <v>11140</v>
      </c>
      <c r="AR2586" t="s">
        <v>11267</v>
      </c>
      <c r="AS2586" t="s">
        <v>11594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</row>
    <row r="2587" spans="1:59">
      <c r="A2587" s="1">
        <f>HYPERLINK("https://lsnyc.legalserver.org/matter/dynamic-profile/view/1906570","19-1906570")</f>
        <v>0</v>
      </c>
      <c r="B2587" t="s">
        <v>2193</v>
      </c>
      <c r="C2587" t="s">
        <v>5879</v>
      </c>
      <c r="D2587" t="s">
        <v>9928</v>
      </c>
      <c r="E2587" t="s">
        <v>10075</v>
      </c>
      <c r="F2587">
        <v>11212</v>
      </c>
      <c r="G2587" t="s">
        <v>10093</v>
      </c>
      <c r="H2587" t="s">
        <v>10103</v>
      </c>
      <c r="J2587" t="s">
        <v>10213</v>
      </c>
      <c r="K2587" t="s">
        <v>10217</v>
      </c>
      <c r="M2587" t="s">
        <v>10378</v>
      </c>
      <c r="N2587" t="s">
        <v>10698</v>
      </c>
      <c r="P2587" t="s">
        <v>10751</v>
      </c>
      <c r="Q2587" t="s">
        <v>10761</v>
      </c>
      <c r="R2587" t="s">
        <v>10821</v>
      </c>
      <c r="T2587">
        <v>10296</v>
      </c>
      <c r="U2587">
        <v>858</v>
      </c>
      <c r="V2587">
        <v>58</v>
      </c>
      <c r="W2587">
        <v>1</v>
      </c>
      <c r="X2587">
        <v>0</v>
      </c>
      <c r="Z2587">
        <v>82.43000000000001</v>
      </c>
      <c r="AA2587">
        <v>40.65608</v>
      </c>
      <c r="AB2587">
        <v>-73.910746</v>
      </c>
      <c r="AD2587" t="s">
        <v>10840</v>
      </c>
      <c r="AG2587" t="s">
        <v>10858</v>
      </c>
      <c r="AH2587" t="s">
        <v>10868</v>
      </c>
      <c r="AI2587">
        <v>239</v>
      </c>
      <c r="AJ2587" t="s">
        <v>10213</v>
      </c>
      <c r="AL2587">
        <v>14.5</v>
      </c>
      <c r="AM2587" t="s">
        <v>10888</v>
      </c>
      <c r="AN2587" t="s">
        <v>10925</v>
      </c>
      <c r="AO2587" t="s">
        <v>11012</v>
      </c>
      <c r="AP2587" t="s">
        <v>11060</v>
      </c>
      <c r="AR2587" t="s">
        <v>11274</v>
      </c>
      <c r="AS2587" t="s">
        <v>11595</v>
      </c>
      <c r="AT2587" t="s">
        <v>11642</v>
      </c>
      <c r="AX2587" t="s">
        <v>10838</v>
      </c>
      <c r="BA2587" t="s">
        <v>11742</v>
      </c>
      <c r="BB2587">
        <v>0</v>
      </c>
      <c r="BC2587">
        <v>0</v>
      </c>
      <c r="BD2587">
        <v>0</v>
      </c>
      <c r="BE2587">
        <v>0</v>
      </c>
      <c r="BF2587">
        <v>7</v>
      </c>
      <c r="BG2587">
        <v>0</v>
      </c>
    </row>
    <row r="2588" spans="1:59">
      <c r="A2588" s="1">
        <f>HYPERLINK("https://lsnyc.legalserver.org/matter/dynamic-profile/view/1906571","19-1906571")</f>
        <v>0</v>
      </c>
      <c r="B2588" t="s">
        <v>1484</v>
      </c>
      <c r="C2588" t="s">
        <v>6982</v>
      </c>
      <c r="D2588" t="s">
        <v>9925</v>
      </c>
      <c r="E2588" t="s">
        <v>10075</v>
      </c>
      <c r="F2588">
        <v>10026</v>
      </c>
      <c r="G2588" t="s">
        <v>10089</v>
      </c>
      <c r="H2588" t="s">
        <v>10096</v>
      </c>
      <c r="I2588" t="s">
        <v>10168</v>
      </c>
      <c r="J2588" t="s">
        <v>10209</v>
      </c>
      <c r="K2588" t="s">
        <v>10217</v>
      </c>
      <c r="M2588" t="s">
        <v>10431</v>
      </c>
      <c r="N2588" t="s">
        <v>10715</v>
      </c>
      <c r="P2588" t="s">
        <v>10751</v>
      </c>
      <c r="Q2588" t="s">
        <v>10776</v>
      </c>
      <c r="R2588" t="s">
        <v>10824</v>
      </c>
      <c r="T2588">
        <v>8340</v>
      </c>
      <c r="U2588">
        <v>695</v>
      </c>
      <c r="V2588">
        <v>51</v>
      </c>
      <c r="W2588">
        <v>2</v>
      </c>
      <c r="X2588">
        <v>1</v>
      </c>
      <c r="Z2588">
        <v>39.1</v>
      </c>
      <c r="AA2588">
        <v>40.80158</v>
      </c>
      <c r="AB2588">
        <v>-73.954213</v>
      </c>
      <c r="AD2588" t="s">
        <v>10839</v>
      </c>
      <c r="AG2588" t="s">
        <v>10858</v>
      </c>
      <c r="AH2588" t="s">
        <v>10862</v>
      </c>
      <c r="AI2588">
        <v>236</v>
      </c>
      <c r="AJ2588" t="s">
        <v>10209</v>
      </c>
      <c r="AL2588">
        <v>0</v>
      </c>
      <c r="AM2588" t="s">
        <v>10887</v>
      </c>
      <c r="AN2588" t="s">
        <v>10936</v>
      </c>
      <c r="AO2588" t="s">
        <v>11016</v>
      </c>
      <c r="AP2588" t="s">
        <v>11076</v>
      </c>
      <c r="AR2588" t="s">
        <v>11263</v>
      </c>
      <c r="AS2588" t="s">
        <v>9925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</row>
    <row r="2589" spans="1:59">
      <c r="A2589" s="1">
        <f>HYPERLINK("https://lsnyc.legalserver.org/matter/dynamic-profile/view/1906572","19-1906572")</f>
        <v>0</v>
      </c>
      <c r="B2589" t="s">
        <v>2194</v>
      </c>
      <c r="C2589" t="s">
        <v>6983</v>
      </c>
      <c r="D2589" t="s">
        <v>9928</v>
      </c>
      <c r="E2589" t="s">
        <v>10075</v>
      </c>
      <c r="F2589">
        <v>11208</v>
      </c>
      <c r="G2589" t="s">
        <v>10093</v>
      </c>
      <c r="H2589" t="s">
        <v>10096</v>
      </c>
      <c r="I2589" t="s">
        <v>10168</v>
      </c>
      <c r="J2589" t="s">
        <v>10213</v>
      </c>
      <c r="K2589" t="s">
        <v>10217</v>
      </c>
      <c r="M2589" t="s">
        <v>10565</v>
      </c>
      <c r="N2589" t="s">
        <v>10664</v>
      </c>
      <c r="P2589" t="s">
        <v>10749</v>
      </c>
      <c r="Q2589" t="s">
        <v>10765</v>
      </c>
      <c r="R2589" t="s">
        <v>10824</v>
      </c>
      <c r="T2589">
        <v>40000</v>
      </c>
      <c r="U2589">
        <v>3333.33</v>
      </c>
      <c r="V2589">
        <v>59</v>
      </c>
      <c r="W2589">
        <v>3</v>
      </c>
      <c r="X2589">
        <v>1</v>
      </c>
      <c r="Z2589">
        <v>155.34</v>
      </c>
      <c r="AA2589">
        <v>40.665582</v>
      </c>
      <c r="AB2589">
        <v>-73.869736</v>
      </c>
      <c r="AD2589" t="s">
        <v>10839</v>
      </c>
      <c r="AG2589" t="s">
        <v>10858</v>
      </c>
      <c r="AH2589" t="s">
        <v>10861</v>
      </c>
      <c r="AI2589">
        <v>239</v>
      </c>
      <c r="AJ2589" t="s">
        <v>10213</v>
      </c>
      <c r="AL2589">
        <v>0</v>
      </c>
      <c r="AM2589" t="s">
        <v>10889</v>
      </c>
      <c r="AN2589" t="s">
        <v>10946</v>
      </c>
      <c r="AO2589" t="s">
        <v>11012</v>
      </c>
      <c r="AP2589" t="s">
        <v>11060</v>
      </c>
      <c r="AR2589" t="s">
        <v>11257</v>
      </c>
      <c r="AS2589" t="s">
        <v>11595</v>
      </c>
      <c r="BA2589" t="s">
        <v>11741</v>
      </c>
      <c r="BB2589">
        <v>0</v>
      </c>
      <c r="BC2589">
        <v>0</v>
      </c>
      <c r="BD2589">
        <v>0</v>
      </c>
      <c r="BE2589">
        <v>0</v>
      </c>
      <c r="BF2589">
        <v>1</v>
      </c>
      <c r="BG2589">
        <v>0</v>
      </c>
    </row>
    <row r="2590" spans="1:59">
      <c r="A2590" s="1">
        <f>HYPERLINK("https://lsnyc.legalserver.org/matter/dynamic-profile/view/1906573","19-1906573")</f>
        <v>0</v>
      </c>
      <c r="B2590" t="s">
        <v>2195</v>
      </c>
      <c r="C2590" t="s">
        <v>6984</v>
      </c>
      <c r="D2590" t="s">
        <v>9929</v>
      </c>
      <c r="E2590" t="s">
        <v>10075</v>
      </c>
      <c r="F2590">
        <v>10301</v>
      </c>
      <c r="G2590" t="s">
        <v>10088</v>
      </c>
      <c r="H2590" t="s">
        <v>10102</v>
      </c>
      <c r="I2590" t="s">
        <v>10169</v>
      </c>
      <c r="J2590" t="s">
        <v>10208</v>
      </c>
      <c r="K2590" t="s">
        <v>10217</v>
      </c>
      <c r="M2590" t="s">
        <v>10409</v>
      </c>
      <c r="N2590" t="s">
        <v>10649</v>
      </c>
      <c r="P2590" t="s">
        <v>10753</v>
      </c>
      <c r="Q2590" t="s">
        <v>10763</v>
      </c>
      <c r="R2590" t="s">
        <v>10823</v>
      </c>
      <c r="T2590">
        <v>13560</v>
      </c>
      <c r="U2590">
        <v>1130</v>
      </c>
      <c r="V2590">
        <v>53</v>
      </c>
      <c r="W2590">
        <v>1</v>
      </c>
      <c r="X2590">
        <v>1</v>
      </c>
      <c r="Z2590">
        <v>80.19</v>
      </c>
      <c r="AA2590">
        <v>40.633123</v>
      </c>
      <c r="AB2590">
        <v>-74.075773</v>
      </c>
      <c r="AD2590" t="s">
        <v>10839</v>
      </c>
      <c r="AF2590" t="s">
        <v>10842</v>
      </c>
      <c r="AG2590" t="s">
        <v>10859</v>
      </c>
      <c r="AH2590" t="s">
        <v>10861</v>
      </c>
      <c r="AI2590">
        <v>285</v>
      </c>
      <c r="AJ2590" t="s">
        <v>10208</v>
      </c>
      <c r="AL2590">
        <v>0</v>
      </c>
      <c r="AM2590" t="s">
        <v>10883</v>
      </c>
      <c r="AN2590" t="s">
        <v>10913</v>
      </c>
      <c r="AO2590" t="s">
        <v>11006</v>
      </c>
      <c r="AP2590" t="s">
        <v>11051</v>
      </c>
      <c r="AR2590" t="s">
        <v>11257</v>
      </c>
      <c r="AS2590" t="s">
        <v>11593</v>
      </c>
      <c r="AT2590" t="s">
        <v>11641</v>
      </c>
      <c r="AX2590" t="s">
        <v>10838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</row>
    <row r="2591" spans="1:59">
      <c r="A2591" s="1">
        <f>HYPERLINK("https://lsnyc.legalserver.org/matter/dynamic-profile/view/1906574","19-1906574")</f>
        <v>0</v>
      </c>
      <c r="B2591" t="s">
        <v>2196</v>
      </c>
      <c r="C2591" t="s">
        <v>6985</v>
      </c>
      <c r="D2591" t="s">
        <v>9925</v>
      </c>
      <c r="E2591" t="s">
        <v>10075</v>
      </c>
      <c r="F2591">
        <v>10026</v>
      </c>
      <c r="G2591" t="s">
        <v>10089</v>
      </c>
      <c r="H2591" t="s">
        <v>10096</v>
      </c>
      <c r="I2591" t="s">
        <v>10168</v>
      </c>
      <c r="J2591" t="s">
        <v>10209</v>
      </c>
      <c r="K2591" t="s">
        <v>10217</v>
      </c>
      <c r="M2591" t="s">
        <v>10476</v>
      </c>
      <c r="N2591" t="s">
        <v>10715</v>
      </c>
      <c r="P2591" t="s">
        <v>10751</v>
      </c>
      <c r="Q2591" t="s">
        <v>10776</v>
      </c>
      <c r="R2591" t="s">
        <v>10824</v>
      </c>
      <c r="T2591">
        <v>0</v>
      </c>
      <c r="U2591">
        <v>0</v>
      </c>
      <c r="V2591">
        <v>46</v>
      </c>
      <c r="W2591">
        <v>2</v>
      </c>
      <c r="X2591">
        <v>0</v>
      </c>
      <c r="Z2591">
        <v>0</v>
      </c>
      <c r="AA2591">
        <v>40.801349</v>
      </c>
      <c r="AB2591">
        <v>-73.952939</v>
      </c>
      <c r="AD2591" t="s">
        <v>10839</v>
      </c>
      <c r="AG2591" t="s">
        <v>10858</v>
      </c>
      <c r="AH2591" t="s">
        <v>10862</v>
      </c>
      <c r="AI2591">
        <v>236</v>
      </c>
      <c r="AJ2591" t="s">
        <v>10209</v>
      </c>
      <c r="AL2591">
        <v>0</v>
      </c>
      <c r="AM2591" t="s">
        <v>10887</v>
      </c>
      <c r="AN2591" t="s">
        <v>10936</v>
      </c>
      <c r="AO2591" t="s">
        <v>11016</v>
      </c>
      <c r="AP2591" t="s">
        <v>11076</v>
      </c>
      <c r="AR2591" t="s">
        <v>11267</v>
      </c>
      <c r="AS2591" t="s">
        <v>9925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</row>
    <row r="2592" spans="1:59">
      <c r="A2592" s="1">
        <f>HYPERLINK("https://lsnyc.legalserver.org/matter/dynamic-profile/view/1906575","19-1906575")</f>
        <v>0</v>
      </c>
      <c r="B2592" t="s">
        <v>2197</v>
      </c>
      <c r="C2592" t="s">
        <v>6986</v>
      </c>
      <c r="D2592" t="s">
        <v>9925</v>
      </c>
      <c r="E2592" t="s">
        <v>10075</v>
      </c>
      <c r="F2592">
        <v>10026</v>
      </c>
      <c r="G2592" t="s">
        <v>10089</v>
      </c>
      <c r="H2592" t="s">
        <v>10096</v>
      </c>
      <c r="I2592" t="s">
        <v>10168</v>
      </c>
      <c r="J2592" t="s">
        <v>10209</v>
      </c>
      <c r="K2592" t="s">
        <v>10218</v>
      </c>
      <c r="L2592" t="s">
        <v>10161</v>
      </c>
      <c r="M2592" t="s">
        <v>10578</v>
      </c>
      <c r="N2592" t="s">
        <v>10715</v>
      </c>
      <c r="P2592" t="s">
        <v>10751</v>
      </c>
      <c r="Q2592" t="s">
        <v>10776</v>
      </c>
      <c r="R2592" t="s">
        <v>10824</v>
      </c>
      <c r="T2592">
        <v>17576</v>
      </c>
      <c r="U2592">
        <v>1464.67</v>
      </c>
      <c r="V2592">
        <v>47</v>
      </c>
      <c r="W2592">
        <v>2</v>
      </c>
      <c r="X2592">
        <v>1</v>
      </c>
      <c r="Y2592" t="s">
        <v>10830</v>
      </c>
      <c r="Z2592">
        <v>82.40000000000001</v>
      </c>
      <c r="AA2592">
        <v>40.804053</v>
      </c>
      <c r="AB2592">
        <v>-73.950999</v>
      </c>
      <c r="AD2592" t="s">
        <v>10839</v>
      </c>
      <c r="AG2592" t="s">
        <v>10858</v>
      </c>
      <c r="AH2592" t="s">
        <v>10862</v>
      </c>
      <c r="AI2592">
        <v>236</v>
      </c>
      <c r="AJ2592" t="s">
        <v>10209</v>
      </c>
      <c r="AK2592" t="s">
        <v>10838</v>
      </c>
      <c r="AL2592">
        <v>0.1</v>
      </c>
      <c r="AM2592" t="s">
        <v>10887</v>
      </c>
      <c r="AN2592" t="s">
        <v>10936</v>
      </c>
      <c r="AO2592" t="s">
        <v>11016</v>
      </c>
      <c r="AP2592" t="s">
        <v>11076</v>
      </c>
      <c r="AR2592" t="s">
        <v>11257</v>
      </c>
      <c r="AS2592" t="s">
        <v>9925</v>
      </c>
      <c r="AY2592" t="s">
        <v>10830</v>
      </c>
      <c r="AZ2592" t="s">
        <v>11688</v>
      </c>
      <c r="BA2592" t="s">
        <v>11740</v>
      </c>
      <c r="BB2592">
        <v>0</v>
      </c>
      <c r="BC2592">
        <v>0</v>
      </c>
      <c r="BD2592">
        <v>0</v>
      </c>
      <c r="BE2592">
        <v>0</v>
      </c>
      <c r="BF2592">
        <v>2</v>
      </c>
      <c r="BG2592">
        <v>0</v>
      </c>
    </row>
    <row r="2593" spans="1:59">
      <c r="A2593" s="1">
        <f>HYPERLINK("https://lsnyc.legalserver.org/matter/dynamic-profile/view/1906576","19-1906576")</f>
        <v>0</v>
      </c>
      <c r="B2593" t="s">
        <v>2198</v>
      </c>
      <c r="C2593" t="s">
        <v>6987</v>
      </c>
      <c r="D2593" t="s">
        <v>9928</v>
      </c>
      <c r="E2593" t="s">
        <v>10075</v>
      </c>
      <c r="F2593">
        <v>11211</v>
      </c>
      <c r="G2593" t="s">
        <v>10093</v>
      </c>
      <c r="H2593" t="s">
        <v>10096</v>
      </c>
      <c r="I2593" t="s">
        <v>10168</v>
      </c>
      <c r="J2593" t="s">
        <v>10213</v>
      </c>
      <c r="K2593" t="s">
        <v>10218</v>
      </c>
      <c r="L2593" t="s">
        <v>10116</v>
      </c>
      <c r="M2593" t="s">
        <v>10378</v>
      </c>
      <c r="N2593" t="s">
        <v>10662</v>
      </c>
      <c r="P2593" t="s">
        <v>10753</v>
      </c>
      <c r="Q2593" t="s">
        <v>10785</v>
      </c>
      <c r="R2593" t="s">
        <v>10825</v>
      </c>
      <c r="T2593">
        <v>10302.6</v>
      </c>
      <c r="U2593">
        <v>858.55</v>
      </c>
      <c r="V2593">
        <v>29</v>
      </c>
      <c r="W2593">
        <v>1</v>
      </c>
      <c r="X2593">
        <v>0</v>
      </c>
      <c r="Y2593" t="s">
        <v>10830</v>
      </c>
      <c r="Z2593">
        <v>82.48999999999999</v>
      </c>
      <c r="AA2593">
        <v>40.716763</v>
      </c>
      <c r="AB2593">
        <v>-73.938413</v>
      </c>
      <c r="AD2593" t="s">
        <v>10840</v>
      </c>
      <c r="AG2593" t="s">
        <v>10858</v>
      </c>
      <c r="AH2593" t="s">
        <v>10868</v>
      </c>
      <c r="AI2593">
        <v>239</v>
      </c>
      <c r="AJ2593" t="s">
        <v>10213</v>
      </c>
      <c r="AK2593" t="s">
        <v>10838</v>
      </c>
      <c r="AL2593">
        <v>3.5</v>
      </c>
      <c r="AM2593" t="s">
        <v>10891</v>
      </c>
      <c r="AN2593" t="s">
        <v>10942</v>
      </c>
      <c r="AO2593" t="s">
        <v>11011</v>
      </c>
      <c r="AP2593" t="s">
        <v>11071</v>
      </c>
      <c r="AR2593" t="s">
        <v>11374</v>
      </c>
      <c r="AS2593" t="s">
        <v>11595</v>
      </c>
      <c r="AT2593" t="s">
        <v>11642</v>
      </c>
      <c r="AU2593" t="s">
        <v>11646</v>
      </c>
      <c r="AX2593" t="s">
        <v>10837</v>
      </c>
      <c r="AY2593" t="s">
        <v>10830</v>
      </c>
      <c r="AZ2593" t="s">
        <v>11725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</row>
    <row r="2594" spans="1:59">
      <c r="A2594" s="1">
        <f>HYPERLINK("https://lsnyc.legalserver.org/matter/dynamic-profile/view/1906577","19-1906577")</f>
        <v>0</v>
      </c>
      <c r="B2594" t="s">
        <v>802</v>
      </c>
      <c r="C2594" t="s">
        <v>6988</v>
      </c>
      <c r="D2594" t="s">
        <v>9928</v>
      </c>
      <c r="E2594" t="s">
        <v>10075</v>
      </c>
      <c r="F2594">
        <v>11203</v>
      </c>
      <c r="G2594" t="s">
        <v>10093</v>
      </c>
      <c r="H2594" t="s">
        <v>10096</v>
      </c>
      <c r="I2594" t="s">
        <v>10168</v>
      </c>
      <c r="J2594" t="s">
        <v>10213</v>
      </c>
      <c r="K2594" t="s">
        <v>10218</v>
      </c>
      <c r="L2594" t="s">
        <v>10096</v>
      </c>
      <c r="M2594" t="s">
        <v>10507</v>
      </c>
      <c r="N2594" t="s">
        <v>10664</v>
      </c>
      <c r="P2594" t="s">
        <v>10749</v>
      </c>
      <c r="Q2594" t="s">
        <v>10765</v>
      </c>
      <c r="R2594" t="s">
        <v>10822</v>
      </c>
      <c r="T2594">
        <v>22100</v>
      </c>
      <c r="U2594">
        <v>1841.67</v>
      </c>
      <c r="V2594">
        <v>42</v>
      </c>
      <c r="W2594">
        <v>3</v>
      </c>
      <c r="X2594">
        <v>2</v>
      </c>
      <c r="Y2594" t="s">
        <v>10829</v>
      </c>
      <c r="Z2594">
        <v>73.25</v>
      </c>
      <c r="AA2594">
        <v>40.63812</v>
      </c>
      <c r="AB2594">
        <v>-73.934501</v>
      </c>
      <c r="AD2594" t="s">
        <v>10822</v>
      </c>
      <c r="AF2594" t="s">
        <v>10843</v>
      </c>
      <c r="AG2594" t="s">
        <v>10859</v>
      </c>
      <c r="AH2594" t="s">
        <v>10862</v>
      </c>
      <c r="AI2594">
        <v>239</v>
      </c>
      <c r="AJ2594" t="s">
        <v>10213</v>
      </c>
      <c r="AK2594" t="s">
        <v>10882</v>
      </c>
      <c r="AL2594">
        <v>0.4</v>
      </c>
      <c r="AM2594" t="s">
        <v>10888</v>
      </c>
      <c r="AN2594" t="s">
        <v>10925</v>
      </c>
      <c r="AO2594" t="s">
        <v>11008</v>
      </c>
      <c r="AP2594" t="s">
        <v>11065</v>
      </c>
      <c r="AR2594" t="s">
        <v>11262</v>
      </c>
      <c r="AS2594" t="s">
        <v>11595</v>
      </c>
      <c r="AY2594" t="s">
        <v>10829</v>
      </c>
      <c r="AZ2594" t="s">
        <v>11681</v>
      </c>
      <c r="BA2594" t="s">
        <v>11741</v>
      </c>
      <c r="BB2594">
        <v>0</v>
      </c>
      <c r="BC2594">
        <v>0</v>
      </c>
      <c r="BD2594">
        <v>0</v>
      </c>
      <c r="BE2594">
        <v>0</v>
      </c>
      <c r="BF2594">
        <v>1</v>
      </c>
      <c r="BG2594">
        <v>0</v>
      </c>
    </row>
    <row r="2595" spans="1:59">
      <c r="A2595" s="1">
        <f>HYPERLINK("https://lsnyc.legalserver.org/matter/dynamic-profile/view/1906578","19-1906578")</f>
        <v>0</v>
      </c>
      <c r="B2595" t="s">
        <v>2199</v>
      </c>
      <c r="C2595" t="s">
        <v>6989</v>
      </c>
      <c r="D2595" t="s">
        <v>9925</v>
      </c>
      <c r="E2595" t="s">
        <v>10075</v>
      </c>
      <c r="F2595">
        <v>10027</v>
      </c>
      <c r="G2595" t="s">
        <v>10089</v>
      </c>
      <c r="H2595" t="s">
        <v>10096</v>
      </c>
      <c r="I2595" t="s">
        <v>10168</v>
      </c>
      <c r="J2595" t="s">
        <v>10209</v>
      </c>
      <c r="K2595" t="s">
        <v>10217</v>
      </c>
      <c r="M2595" t="s">
        <v>10453</v>
      </c>
      <c r="N2595" t="s">
        <v>10715</v>
      </c>
      <c r="P2595" t="s">
        <v>10751</v>
      </c>
      <c r="Q2595" t="s">
        <v>10776</v>
      </c>
      <c r="R2595" t="s">
        <v>10821</v>
      </c>
      <c r="T2595">
        <v>2304</v>
      </c>
      <c r="U2595">
        <v>192</v>
      </c>
      <c r="V2595">
        <v>50</v>
      </c>
      <c r="W2595">
        <v>2</v>
      </c>
      <c r="X2595">
        <v>0</v>
      </c>
      <c r="Z2595">
        <v>13.63</v>
      </c>
      <c r="AA2595">
        <v>40.817109</v>
      </c>
      <c r="AB2595">
        <v>-73.95510899999999</v>
      </c>
      <c r="AD2595" t="s">
        <v>10839</v>
      </c>
      <c r="AG2595" t="s">
        <v>10858</v>
      </c>
      <c r="AH2595" t="s">
        <v>10862</v>
      </c>
      <c r="AI2595">
        <v>236</v>
      </c>
      <c r="AJ2595" t="s">
        <v>10209</v>
      </c>
      <c r="AL2595">
        <v>0</v>
      </c>
      <c r="AM2595" t="s">
        <v>10887</v>
      </c>
      <c r="AN2595" t="s">
        <v>10936</v>
      </c>
      <c r="AO2595" t="s">
        <v>11016</v>
      </c>
      <c r="AP2595" t="s">
        <v>11073</v>
      </c>
      <c r="AR2595" t="s">
        <v>11279</v>
      </c>
      <c r="AS2595" t="s">
        <v>9925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</row>
    <row r="2596" spans="1:59">
      <c r="A2596" s="1">
        <f>HYPERLINK("https://lsnyc.legalserver.org/matter/dynamic-profile/view/1906579","19-1906579")</f>
        <v>0</v>
      </c>
      <c r="B2596" t="s">
        <v>2200</v>
      </c>
      <c r="C2596" t="s">
        <v>6985</v>
      </c>
      <c r="D2596" t="s">
        <v>9925</v>
      </c>
      <c r="E2596" t="s">
        <v>10075</v>
      </c>
      <c r="F2596">
        <v>10026</v>
      </c>
      <c r="G2596" t="s">
        <v>10089</v>
      </c>
      <c r="H2596" t="s">
        <v>10096</v>
      </c>
      <c r="I2596" t="s">
        <v>10168</v>
      </c>
      <c r="J2596" t="s">
        <v>10209</v>
      </c>
      <c r="K2596" t="s">
        <v>10217</v>
      </c>
      <c r="M2596" t="s">
        <v>10453</v>
      </c>
      <c r="N2596" t="s">
        <v>10715</v>
      </c>
      <c r="P2596" t="s">
        <v>10751</v>
      </c>
      <c r="Q2596" t="s">
        <v>10776</v>
      </c>
      <c r="R2596" t="s">
        <v>10824</v>
      </c>
      <c r="T2596">
        <v>15039.96</v>
      </c>
      <c r="U2596">
        <v>1253.33</v>
      </c>
      <c r="V2596">
        <v>67</v>
      </c>
      <c r="W2596">
        <v>3</v>
      </c>
      <c r="X2596">
        <v>0</v>
      </c>
      <c r="Z2596">
        <v>70.51000000000001</v>
      </c>
      <c r="AA2596">
        <v>40.801349</v>
      </c>
      <c r="AB2596">
        <v>-73.952939</v>
      </c>
      <c r="AD2596" t="s">
        <v>10839</v>
      </c>
      <c r="AG2596" t="s">
        <v>10858</v>
      </c>
      <c r="AH2596" t="s">
        <v>10862</v>
      </c>
      <c r="AI2596">
        <v>236</v>
      </c>
      <c r="AJ2596" t="s">
        <v>10209</v>
      </c>
      <c r="AL2596">
        <v>0</v>
      </c>
      <c r="AM2596" t="s">
        <v>10887</v>
      </c>
      <c r="AN2596" t="s">
        <v>10936</v>
      </c>
      <c r="AO2596" t="s">
        <v>11016</v>
      </c>
      <c r="AP2596" t="s">
        <v>11076</v>
      </c>
      <c r="AR2596" t="s">
        <v>11467</v>
      </c>
      <c r="AS2596" t="s">
        <v>9925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</row>
    <row r="2597" spans="1:59">
      <c r="A2597" s="1">
        <f>HYPERLINK("https://lsnyc.legalserver.org/matter/dynamic-profile/view/1906580","19-1906580")</f>
        <v>0</v>
      </c>
      <c r="B2597" t="s">
        <v>2201</v>
      </c>
      <c r="C2597" t="s">
        <v>6990</v>
      </c>
      <c r="D2597" t="s">
        <v>9926</v>
      </c>
      <c r="E2597" t="s">
        <v>10075</v>
      </c>
      <c r="F2597">
        <v>10471</v>
      </c>
      <c r="G2597" t="s">
        <v>10090</v>
      </c>
      <c r="H2597" t="s">
        <v>10096</v>
      </c>
      <c r="I2597" t="s">
        <v>10168</v>
      </c>
      <c r="J2597" t="s">
        <v>10210</v>
      </c>
      <c r="K2597" t="s">
        <v>10217</v>
      </c>
      <c r="M2597" t="s">
        <v>10557</v>
      </c>
      <c r="N2597" t="s">
        <v>10666</v>
      </c>
      <c r="P2597" t="s">
        <v>10749</v>
      </c>
      <c r="Q2597" t="s">
        <v>10765</v>
      </c>
      <c r="R2597" t="s">
        <v>10825</v>
      </c>
      <c r="T2597">
        <v>9720</v>
      </c>
      <c r="U2597">
        <v>810</v>
      </c>
      <c r="V2597">
        <v>72</v>
      </c>
      <c r="W2597">
        <v>1</v>
      </c>
      <c r="X2597">
        <v>0</v>
      </c>
      <c r="Z2597">
        <v>77.81999999999999</v>
      </c>
      <c r="AA2597">
        <v>40.903513</v>
      </c>
      <c r="AB2597">
        <v>-73.900204</v>
      </c>
      <c r="AD2597" t="s">
        <v>10840</v>
      </c>
      <c r="AG2597" t="s">
        <v>10858</v>
      </c>
      <c r="AH2597" t="s">
        <v>10862</v>
      </c>
      <c r="AI2597">
        <v>230</v>
      </c>
      <c r="AJ2597" t="s">
        <v>10210</v>
      </c>
      <c r="AL2597">
        <v>2</v>
      </c>
      <c r="AM2597" t="s">
        <v>10893</v>
      </c>
      <c r="AN2597" t="s">
        <v>10919</v>
      </c>
      <c r="AO2597" t="s">
        <v>11002</v>
      </c>
      <c r="AP2597" t="s">
        <v>11057</v>
      </c>
      <c r="AR2597" t="s">
        <v>11268</v>
      </c>
      <c r="AS2597" t="s">
        <v>9926</v>
      </c>
      <c r="AX2597" t="s">
        <v>10838</v>
      </c>
      <c r="BA2597" t="s">
        <v>11741</v>
      </c>
      <c r="BB2597">
        <v>0</v>
      </c>
      <c r="BC2597">
        <v>0</v>
      </c>
      <c r="BD2597">
        <v>0</v>
      </c>
      <c r="BE2597">
        <v>0</v>
      </c>
      <c r="BF2597">
        <v>1</v>
      </c>
      <c r="BG2597">
        <v>0</v>
      </c>
    </row>
    <row r="2598" spans="1:59">
      <c r="A2598" s="1">
        <f>HYPERLINK("https://lsnyc.legalserver.org/matter/dynamic-profile/view/1906581","19-1906581")</f>
        <v>0</v>
      </c>
      <c r="B2598" t="s">
        <v>399</v>
      </c>
      <c r="C2598" t="s">
        <v>6991</v>
      </c>
      <c r="D2598" t="s">
        <v>9943</v>
      </c>
      <c r="E2598" t="s">
        <v>10075</v>
      </c>
      <c r="F2598">
        <v>11372</v>
      </c>
      <c r="G2598" t="s">
        <v>10092</v>
      </c>
      <c r="H2598" t="s">
        <v>10096</v>
      </c>
      <c r="I2598" t="s">
        <v>10169</v>
      </c>
      <c r="J2598" t="s">
        <v>10212</v>
      </c>
      <c r="K2598" t="s">
        <v>10217</v>
      </c>
      <c r="M2598" t="s">
        <v>10475</v>
      </c>
      <c r="N2598" t="s">
        <v>10650</v>
      </c>
      <c r="P2598" t="s">
        <v>10749</v>
      </c>
      <c r="Q2598" t="s">
        <v>10765</v>
      </c>
      <c r="R2598" t="s">
        <v>10821</v>
      </c>
      <c r="T2598">
        <v>27200</v>
      </c>
      <c r="U2598">
        <v>2266.67</v>
      </c>
      <c r="V2598">
        <v>53</v>
      </c>
      <c r="W2598">
        <v>3</v>
      </c>
      <c r="X2598">
        <v>0</v>
      </c>
      <c r="Z2598">
        <v>127.52</v>
      </c>
      <c r="AA2598">
        <v>40.748924</v>
      </c>
      <c r="AB2598">
        <v>-73.88575299999999</v>
      </c>
      <c r="AD2598" t="s">
        <v>10840</v>
      </c>
      <c r="AF2598" t="s">
        <v>10843</v>
      </c>
      <c r="AG2598" t="s">
        <v>10859</v>
      </c>
      <c r="AH2598" t="s">
        <v>10862</v>
      </c>
      <c r="AI2598">
        <v>237</v>
      </c>
      <c r="AJ2598" t="s">
        <v>10212</v>
      </c>
      <c r="AL2598">
        <v>10.15</v>
      </c>
      <c r="AM2598" t="s">
        <v>10885</v>
      </c>
      <c r="AN2598" t="s">
        <v>10949</v>
      </c>
      <c r="AO2598" t="s">
        <v>11014</v>
      </c>
      <c r="AP2598" t="s">
        <v>11053</v>
      </c>
      <c r="AR2598" t="s">
        <v>11265</v>
      </c>
      <c r="AS2598" t="s">
        <v>11594</v>
      </c>
      <c r="BA2598" t="s">
        <v>11738</v>
      </c>
      <c r="BB2598">
        <v>0</v>
      </c>
      <c r="BC2598">
        <v>0</v>
      </c>
      <c r="BD2598">
        <v>0</v>
      </c>
      <c r="BE2598">
        <v>0</v>
      </c>
      <c r="BF2598">
        <v>5</v>
      </c>
      <c r="BG2598">
        <v>0</v>
      </c>
    </row>
    <row r="2599" spans="1:59">
      <c r="A2599" s="1">
        <f>HYPERLINK("https://lsnyc.legalserver.org/matter/dynamic-profile/view/1906582","19-1906582")</f>
        <v>0</v>
      </c>
      <c r="B2599" t="s">
        <v>2202</v>
      </c>
      <c r="C2599" t="s">
        <v>6992</v>
      </c>
      <c r="D2599" t="s">
        <v>9928</v>
      </c>
      <c r="E2599" t="s">
        <v>10075</v>
      </c>
      <c r="F2599">
        <v>11214</v>
      </c>
      <c r="G2599" t="s">
        <v>10093</v>
      </c>
      <c r="H2599" t="s">
        <v>10096</v>
      </c>
      <c r="I2599" t="s">
        <v>10168</v>
      </c>
      <c r="J2599" t="s">
        <v>10213</v>
      </c>
      <c r="K2599" t="s">
        <v>10218</v>
      </c>
      <c r="L2599" t="s">
        <v>10141</v>
      </c>
      <c r="M2599" t="s">
        <v>10317</v>
      </c>
      <c r="N2599" t="s">
        <v>10671</v>
      </c>
      <c r="P2599" t="s">
        <v>10757</v>
      </c>
      <c r="Q2599" t="s">
        <v>10815</v>
      </c>
      <c r="R2599" t="s">
        <v>10820</v>
      </c>
      <c r="T2599">
        <v>23899</v>
      </c>
      <c r="U2599">
        <v>1991.58</v>
      </c>
      <c r="V2599">
        <v>89</v>
      </c>
      <c r="W2599">
        <v>1</v>
      </c>
      <c r="X2599">
        <v>0</v>
      </c>
      <c r="Y2599" t="s">
        <v>10829</v>
      </c>
      <c r="Z2599">
        <v>191.35</v>
      </c>
      <c r="AA2599">
        <v>40.589608</v>
      </c>
      <c r="AB2599">
        <v>-73.988271</v>
      </c>
      <c r="AD2599" t="s">
        <v>10840</v>
      </c>
      <c r="AG2599" t="s">
        <v>10858</v>
      </c>
      <c r="AH2599" t="s">
        <v>10861</v>
      </c>
      <c r="AI2599">
        <v>234</v>
      </c>
      <c r="AJ2599" t="s">
        <v>10214</v>
      </c>
      <c r="AK2599" t="s">
        <v>10838</v>
      </c>
      <c r="AL2599">
        <v>1.6</v>
      </c>
      <c r="AM2599" t="s">
        <v>10883</v>
      </c>
      <c r="AN2599" t="s">
        <v>10969</v>
      </c>
      <c r="AO2599" t="s">
        <v>11023</v>
      </c>
      <c r="AP2599" t="s">
        <v>11086</v>
      </c>
      <c r="AR2599" t="s">
        <v>11345</v>
      </c>
      <c r="AS2599" t="s">
        <v>11595</v>
      </c>
      <c r="AT2599" t="s">
        <v>11642</v>
      </c>
      <c r="AX2599" t="s">
        <v>10838</v>
      </c>
      <c r="AY2599" t="s">
        <v>10829</v>
      </c>
      <c r="AZ2599" t="s">
        <v>11703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</row>
    <row r="2600" spans="1:59">
      <c r="A2600" s="1">
        <f>HYPERLINK("https://lsnyc.legalserver.org/matter/dynamic-profile/view/1906584","19-1906584")</f>
        <v>0</v>
      </c>
      <c r="B2600" t="s">
        <v>2203</v>
      </c>
      <c r="C2600" t="s">
        <v>6993</v>
      </c>
      <c r="D2600" t="s">
        <v>9926</v>
      </c>
      <c r="E2600" t="s">
        <v>10075</v>
      </c>
      <c r="F2600">
        <v>10452</v>
      </c>
      <c r="G2600" t="s">
        <v>10090</v>
      </c>
      <c r="H2600" t="s">
        <v>10096</v>
      </c>
      <c r="I2600" t="s">
        <v>10168</v>
      </c>
      <c r="J2600" t="s">
        <v>10210</v>
      </c>
      <c r="K2600" t="s">
        <v>10217</v>
      </c>
      <c r="M2600" t="s">
        <v>10244</v>
      </c>
      <c r="N2600" t="s">
        <v>10671</v>
      </c>
      <c r="P2600" t="s">
        <v>10749</v>
      </c>
      <c r="Q2600" t="s">
        <v>10765</v>
      </c>
      <c r="R2600" t="s">
        <v>10824</v>
      </c>
      <c r="T2600">
        <v>9288</v>
      </c>
      <c r="U2600">
        <v>774</v>
      </c>
      <c r="V2600">
        <v>73</v>
      </c>
      <c r="W2600">
        <v>1</v>
      </c>
      <c r="X2600">
        <v>0</v>
      </c>
      <c r="Z2600">
        <v>74.36</v>
      </c>
      <c r="AA2600">
        <v>40.843457</v>
      </c>
      <c r="AB2600">
        <v>-73.91878800000001</v>
      </c>
      <c r="AD2600" t="s">
        <v>10839</v>
      </c>
      <c r="AG2600" t="s">
        <v>10858</v>
      </c>
      <c r="AH2600" t="s">
        <v>10861</v>
      </c>
      <c r="AI2600">
        <v>234</v>
      </c>
      <c r="AJ2600" t="s">
        <v>10214</v>
      </c>
      <c r="AL2600">
        <v>2</v>
      </c>
      <c r="AM2600" t="s">
        <v>10884</v>
      </c>
      <c r="AN2600" t="s">
        <v>10929</v>
      </c>
      <c r="AO2600" t="s">
        <v>11013</v>
      </c>
      <c r="AP2600" t="s">
        <v>11055</v>
      </c>
      <c r="AR2600" t="s">
        <v>11298</v>
      </c>
      <c r="AS2600" t="s">
        <v>9926</v>
      </c>
      <c r="AT2600" t="s">
        <v>11641</v>
      </c>
      <c r="AX2600" t="s">
        <v>10838</v>
      </c>
      <c r="BA2600" t="s">
        <v>11741</v>
      </c>
      <c r="BB2600">
        <v>0</v>
      </c>
      <c r="BC2600">
        <v>0</v>
      </c>
      <c r="BD2600">
        <v>0</v>
      </c>
      <c r="BE2600">
        <v>0</v>
      </c>
      <c r="BF2600">
        <v>1</v>
      </c>
      <c r="BG2600">
        <v>0</v>
      </c>
    </row>
    <row r="2601" spans="1:59">
      <c r="A2601" s="1">
        <f>HYPERLINK("https://lsnyc.legalserver.org/matter/dynamic-profile/view/1906586","19-1906586")</f>
        <v>0</v>
      </c>
      <c r="B2601" t="s">
        <v>2204</v>
      </c>
      <c r="C2601" t="s">
        <v>6994</v>
      </c>
      <c r="D2601" t="s">
        <v>9928</v>
      </c>
      <c r="E2601" t="s">
        <v>10075</v>
      </c>
      <c r="F2601">
        <v>11233</v>
      </c>
      <c r="G2601" t="s">
        <v>10093</v>
      </c>
      <c r="H2601" t="s">
        <v>10104</v>
      </c>
      <c r="I2601" t="s">
        <v>10168</v>
      </c>
      <c r="J2601" t="s">
        <v>10213</v>
      </c>
      <c r="K2601" t="s">
        <v>10218</v>
      </c>
      <c r="L2601" t="s">
        <v>10096</v>
      </c>
      <c r="M2601" t="s">
        <v>10390</v>
      </c>
      <c r="N2601" t="s">
        <v>10682</v>
      </c>
      <c r="P2601" t="s">
        <v>10751</v>
      </c>
      <c r="Q2601" t="s">
        <v>10780</v>
      </c>
      <c r="R2601" t="s">
        <v>10820</v>
      </c>
      <c r="T2601">
        <v>10296</v>
      </c>
      <c r="U2601">
        <v>858</v>
      </c>
      <c r="V2601">
        <v>52</v>
      </c>
      <c r="W2601">
        <v>1</v>
      </c>
      <c r="X2601">
        <v>0</v>
      </c>
      <c r="Y2601" t="s">
        <v>10829</v>
      </c>
      <c r="Z2601">
        <v>82.43000000000001</v>
      </c>
      <c r="AA2601">
        <v>40.677116</v>
      </c>
      <c r="AB2601">
        <v>-73.906749</v>
      </c>
      <c r="AD2601" t="s">
        <v>10840</v>
      </c>
      <c r="AG2601" t="s">
        <v>10858</v>
      </c>
      <c r="AH2601" t="s">
        <v>10869</v>
      </c>
      <c r="AI2601">
        <v>239</v>
      </c>
      <c r="AJ2601" t="s">
        <v>10213</v>
      </c>
      <c r="AK2601" t="s">
        <v>10838</v>
      </c>
      <c r="AL2601">
        <v>1.5</v>
      </c>
      <c r="AM2601" t="s">
        <v>10889</v>
      </c>
      <c r="AN2601" t="s">
        <v>10922</v>
      </c>
      <c r="AO2601" t="s">
        <v>11012</v>
      </c>
      <c r="AP2601" t="s">
        <v>11058</v>
      </c>
      <c r="AQ2601" t="s">
        <v>11118</v>
      </c>
      <c r="AR2601" t="s">
        <v>11263</v>
      </c>
      <c r="AS2601" t="s">
        <v>11595</v>
      </c>
      <c r="AY2601" t="s">
        <v>10829</v>
      </c>
      <c r="AZ2601" t="s">
        <v>11682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</row>
    <row r="2602" spans="1:59">
      <c r="A2602" s="1">
        <f>HYPERLINK("https://lsnyc.legalserver.org/matter/dynamic-profile/view/1906587","19-1906587")</f>
        <v>0</v>
      </c>
      <c r="B2602" t="s">
        <v>2205</v>
      </c>
      <c r="C2602" t="s">
        <v>6995</v>
      </c>
      <c r="D2602" t="s">
        <v>9926</v>
      </c>
      <c r="E2602" t="s">
        <v>10075</v>
      </c>
      <c r="F2602">
        <v>10473</v>
      </c>
      <c r="G2602" t="s">
        <v>10093</v>
      </c>
      <c r="H2602" t="s">
        <v>10096</v>
      </c>
      <c r="I2602" t="s">
        <v>10168</v>
      </c>
      <c r="J2602" t="s">
        <v>10213</v>
      </c>
      <c r="K2602" t="s">
        <v>10217</v>
      </c>
      <c r="M2602" t="s">
        <v>10280</v>
      </c>
      <c r="N2602" t="s">
        <v>10656</v>
      </c>
      <c r="P2602" t="s">
        <v>10751</v>
      </c>
      <c r="Q2602" t="s">
        <v>10768</v>
      </c>
      <c r="R2602" t="s">
        <v>10824</v>
      </c>
      <c r="T2602">
        <v>0</v>
      </c>
      <c r="U2602">
        <v>0</v>
      </c>
      <c r="V2602">
        <v>22</v>
      </c>
      <c r="W2602">
        <v>1</v>
      </c>
      <c r="X2602">
        <v>0</v>
      </c>
      <c r="Z2602">
        <v>0</v>
      </c>
      <c r="AA2602">
        <v>40.818992</v>
      </c>
      <c r="AB2602">
        <v>-73.869348</v>
      </c>
      <c r="AD2602" t="s">
        <v>10840</v>
      </c>
      <c r="AG2602" t="s">
        <v>10858</v>
      </c>
      <c r="AH2602" t="s">
        <v>10871</v>
      </c>
      <c r="AI2602">
        <v>234</v>
      </c>
      <c r="AJ2602" t="s">
        <v>10214</v>
      </c>
      <c r="AL2602">
        <v>3</v>
      </c>
      <c r="AM2602" t="s">
        <v>10884</v>
      </c>
      <c r="AN2602" t="s">
        <v>10968</v>
      </c>
      <c r="AO2602" t="s">
        <v>11002</v>
      </c>
      <c r="AP2602" t="s">
        <v>11046</v>
      </c>
      <c r="AR2602" t="s">
        <v>11267</v>
      </c>
      <c r="AS2602" t="s">
        <v>9926</v>
      </c>
      <c r="AT2602" t="s">
        <v>11642</v>
      </c>
      <c r="AX2602" t="s">
        <v>10838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</row>
    <row r="2603" spans="1:59">
      <c r="A2603" s="1">
        <f>HYPERLINK("https://lsnyc.legalserver.org/matter/dynamic-profile/view/1906588","19-1906588")</f>
        <v>0</v>
      </c>
      <c r="B2603" t="s">
        <v>2206</v>
      </c>
      <c r="C2603" t="s">
        <v>6996</v>
      </c>
      <c r="D2603" t="s">
        <v>9935</v>
      </c>
      <c r="E2603" t="s">
        <v>10075</v>
      </c>
      <c r="F2603">
        <v>11369</v>
      </c>
      <c r="G2603" t="s">
        <v>10092</v>
      </c>
      <c r="H2603" t="s">
        <v>10096</v>
      </c>
      <c r="I2603" t="s">
        <v>10169</v>
      </c>
      <c r="J2603" t="s">
        <v>10212</v>
      </c>
      <c r="K2603" t="s">
        <v>10218</v>
      </c>
      <c r="L2603" t="s">
        <v>10145</v>
      </c>
      <c r="M2603" t="s">
        <v>10340</v>
      </c>
      <c r="N2603" t="s">
        <v>10656</v>
      </c>
      <c r="P2603" t="s">
        <v>10751</v>
      </c>
      <c r="Q2603" t="s">
        <v>10780</v>
      </c>
      <c r="R2603" t="s">
        <v>10823</v>
      </c>
      <c r="T2603">
        <v>0</v>
      </c>
      <c r="U2603">
        <v>0</v>
      </c>
      <c r="V2603">
        <v>19</v>
      </c>
      <c r="W2603">
        <v>2</v>
      </c>
      <c r="X2603">
        <v>0</v>
      </c>
      <c r="Y2603" t="s">
        <v>10829</v>
      </c>
      <c r="Z2603">
        <v>0</v>
      </c>
      <c r="AA2603">
        <v>40.768338</v>
      </c>
      <c r="AB2603">
        <v>-73.868245</v>
      </c>
      <c r="AD2603" t="s">
        <v>10840</v>
      </c>
      <c r="AG2603" t="s">
        <v>10858</v>
      </c>
      <c r="AH2603" t="s">
        <v>10866</v>
      </c>
      <c r="AI2603">
        <v>237</v>
      </c>
      <c r="AJ2603" t="s">
        <v>10212</v>
      </c>
      <c r="AK2603" t="s">
        <v>10838</v>
      </c>
      <c r="AL2603">
        <v>2.85</v>
      </c>
      <c r="AM2603" t="s">
        <v>10885</v>
      </c>
      <c r="AN2603" t="s">
        <v>10916</v>
      </c>
      <c r="AO2603" t="s">
        <v>11014</v>
      </c>
      <c r="AP2603" t="s">
        <v>11068</v>
      </c>
      <c r="AQ2603" t="s">
        <v>11132</v>
      </c>
      <c r="AR2603" t="s">
        <v>11263</v>
      </c>
      <c r="AS2603" t="s">
        <v>11594</v>
      </c>
      <c r="AT2603" t="s">
        <v>11642</v>
      </c>
      <c r="AX2603" t="s">
        <v>10838</v>
      </c>
      <c r="AY2603" t="s">
        <v>10829</v>
      </c>
      <c r="AZ2603" t="s">
        <v>11682</v>
      </c>
      <c r="BA2603" t="s">
        <v>11741</v>
      </c>
      <c r="BB2603">
        <v>0</v>
      </c>
      <c r="BC2603">
        <v>0</v>
      </c>
      <c r="BD2603">
        <v>0</v>
      </c>
      <c r="BE2603">
        <v>0</v>
      </c>
      <c r="BF2603">
        <v>1</v>
      </c>
      <c r="BG2603">
        <v>0</v>
      </c>
    </row>
    <row r="2604" spans="1:59">
      <c r="A2604" s="1">
        <f>HYPERLINK("https://lsnyc.legalserver.org/matter/dynamic-profile/view/1906589","19-1906589")</f>
        <v>0</v>
      </c>
      <c r="B2604" t="s">
        <v>2207</v>
      </c>
      <c r="C2604" t="s">
        <v>6997</v>
      </c>
      <c r="D2604" t="s">
        <v>9926</v>
      </c>
      <c r="E2604" t="s">
        <v>10075</v>
      </c>
      <c r="F2604">
        <v>10452</v>
      </c>
      <c r="G2604" t="s">
        <v>10090</v>
      </c>
      <c r="H2604" t="s">
        <v>10096</v>
      </c>
      <c r="I2604" t="s">
        <v>10168</v>
      </c>
      <c r="J2604" t="s">
        <v>10210</v>
      </c>
      <c r="K2604" t="s">
        <v>10218</v>
      </c>
      <c r="L2604" t="s">
        <v>10146</v>
      </c>
      <c r="M2604" t="s">
        <v>10336</v>
      </c>
      <c r="N2604" t="s">
        <v>10671</v>
      </c>
      <c r="P2604" t="s">
        <v>10754</v>
      </c>
      <c r="Q2604" t="s">
        <v>10770</v>
      </c>
      <c r="R2604" t="s">
        <v>10821</v>
      </c>
      <c r="T2604">
        <v>4668</v>
      </c>
      <c r="U2604">
        <v>389</v>
      </c>
      <c r="V2604">
        <v>29</v>
      </c>
      <c r="W2604">
        <v>1</v>
      </c>
      <c r="X2604">
        <v>2</v>
      </c>
      <c r="Y2604" t="s">
        <v>10829</v>
      </c>
      <c r="Z2604">
        <v>21.88</v>
      </c>
      <c r="AA2604">
        <v>40.840998</v>
      </c>
      <c r="AB2604">
        <v>-73.91516300000001</v>
      </c>
      <c r="AD2604" t="s">
        <v>10839</v>
      </c>
      <c r="AG2604" t="s">
        <v>10858</v>
      </c>
      <c r="AH2604" t="s">
        <v>10861</v>
      </c>
      <c r="AI2604">
        <v>234</v>
      </c>
      <c r="AJ2604" t="s">
        <v>10214</v>
      </c>
      <c r="AK2604" t="s">
        <v>10837</v>
      </c>
      <c r="AL2604">
        <v>1.7</v>
      </c>
      <c r="AM2604" t="s">
        <v>10884</v>
      </c>
      <c r="AN2604" t="s">
        <v>10929</v>
      </c>
      <c r="AO2604" t="s">
        <v>11013</v>
      </c>
      <c r="AP2604" t="s">
        <v>11055</v>
      </c>
      <c r="AR2604" t="s">
        <v>11292</v>
      </c>
      <c r="AS2604" t="s">
        <v>9926</v>
      </c>
      <c r="AT2604" t="s">
        <v>11641</v>
      </c>
      <c r="AX2604" t="s">
        <v>10838</v>
      </c>
      <c r="AY2604" t="s">
        <v>10829</v>
      </c>
      <c r="AZ2604" t="s">
        <v>11683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</row>
    <row r="2605" spans="1:59">
      <c r="A2605" s="1">
        <f>HYPERLINK("https://lsnyc.legalserver.org/matter/dynamic-profile/view/1906590","19-1906590")</f>
        <v>0</v>
      </c>
      <c r="B2605" t="s">
        <v>2208</v>
      </c>
      <c r="C2605" t="s">
        <v>6998</v>
      </c>
      <c r="D2605" t="s">
        <v>9926</v>
      </c>
      <c r="E2605" t="s">
        <v>10075</v>
      </c>
      <c r="F2605">
        <v>10451</v>
      </c>
      <c r="G2605" t="s">
        <v>10090</v>
      </c>
      <c r="H2605" t="s">
        <v>10096</v>
      </c>
      <c r="I2605" t="s">
        <v>10168</v>
      </c>
      <c r="J2605" t="s">
        <v>10210</v>
      </c>
      <c r="K2605" t="s">
        <v>10218</v>
      </c>
      <c r="L2605" t="s">
        <v>10135</v>
      </c>
      <c r="M2605" t="s">
        <v>10380</v>
      </c>
      <c r="N2605" t="s">
        <v>10649</v>
      </c>
      <c r="P2605" t="s">
        <v>10753</v>
      </c>
      <c r="Q2605" t="s">
        <v>10763</v>
      </c>
      <c r="R2605" t="s">
        <v>10824</v>
      </c>
      <c r="T2605">
        <v>29800</v>
      </c>
      <c r="U2605">
        <v>2483.33</v>
      </c>
      <c r="V2605">
        <v>45</v>
      </c>
      <c r="W2605">
        <v>2</v>
      </c>
      <c r="X2605">
        <v>2</v>
      </c>
      <c r="Y2605" t="s">
        <v>10834</v>
      </c>
      <c r="Z2605">
        <v>115.73</v>
      </c>
      <c r="AA2605">
        <v>40.825939</v>
      </c>
      <c r="AB2605">
        <v>-73.91682400000001</v>
      </c>
      <c r="AD2605" t="s">
        <v>10839</v>
      </c>
      <c r="AG2605" t="s">
        <v>10858</v>
      </c>
      <c r="AH2605" t="s">
        <v>10871</v>
      </c>
      <c r="AI2605">
        <v>234</v>
      </c>
      <c r="AJ2605" t="s">
        <v>10214</v>
      </c>
      <c r="AK2605" t="s">
        <v>10838</v>
      </c>
      <c r="AL2605">
        <v>2.5</v>
      </c>
      <c r="AM2605" t="s">
        <v>10884</v>
      </c>
      <c r="AN2605" t="s">
        <v>10918</v>
      </c>
      <c r="AO2605" t="s">
        <v>11001</v>
      </c>
      <c r="AP2605" t="s">
        <v>11062</v>
      </c>
      <c r="AR2605" t="s">
        <v>11343</v>
      </c>
      <c r="AS2605" t="s">
        <v>9926</v>
      </c>
      <c r="AT2605" t="s">
        <v>11641</v>
      </c>
      <c r="AX2605" t="s">
        <v>10838</v>
      </c>
      <c r="AY2605" t="s">
        <v>10834</v>
      </c>
      <c r="AZ2605" t="s">
        <v>11709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</row>
    <row r="2606" spans="1:59">
      <c r="A2606" s="1">
        <f>HYPERLINK("https://lsnyc.legalserver.org/matter/dynamic-profile/view/1906591","19-1906591")</f>
        <v>0</v>
      </c>
      <c r="B2606" t="s">
        <v>2209</v>
      </c>
      <c r="C2606" t="s">
        <v>6999</v>
      </c>
      <c r="D2606" t="s">
        <v>9926</v>
      </c>
      <c r="E2606" t="s">
        <v>10075</v>
      </c>
      <c r="F2606">
        <v>10452</v>
      </c>
      <c r="G2606" t="s">
        <v>10090</v>
      </c>
      <c r="H2606" t="s">
        <v>10096</v>
      </c>
      <c r="I2606" t="s">
        <v>10169</v>
      </c>
      <c r="J2606" t="s">
        <v>10210</v>
      </c>
      <c r="K2606" t="s">
        <v>10217</v>
      </c>
      <c r="M2606" t="s">
        <v>10579</v>
      </c>
      <c r="N2606" t="s">
        <v>10650</v>
      </c>
      <c r="P2606" t="s">
        <v>10749</v>
      </c>
      <c r="Q2606" t="s">
        <v>10765</v>
      </c>
      <c r="R2606" t="s">
        <v>10821</v>
      </c>
      <c r="T2606">
        <v>8400</v>
      </c>
      <c r="U2606">
        <v>700</v>
      </c>
      <c r="V2606">
        <v>37</v>
      </c>
      <c r="W2606">
        <v>1</v>
      </c>
      <c r="X2606">
        <v>0</v>
      </c>
      <c r="Z2606">
        <v>67.25</v>
      </c>
      <c r="AA2606">
        <v>40.828115</v>
      </c>
      <c r="AB2606">
        <v>-73.923996</v>
      </c>
      <c r="AD2606" t="s">
        <v>10839</v>
      </c>
      <c r="AG2606" t="s">
        <v>10858</v>
      </c>
      <c r="AH2606" t="s">
        <v>10862</v>
      </c>
      <c r="AI2606">
        <v>230</v>
      </c>
      <c r="AJ2606" t="s">
        <v>10210</v>
      </c>
      <c r="AL2606">
        <v>19.9</v>
      </c>
      <c r="AM2606" t="s">
        <v>10884</v>
      </c>
      <c r="AN2606" t="s">
        <v>10924</v>
      </c>
      <c r="AO2606" t="s">
        <v>11013</v>
      </c>
      <c r="AP2606" t="s">
        <v>11066</v>
      </c>
      <c r="AR2606" t="s">
        <v>11263</v>
      </c>
      <c r="AS2606" t="s">
        <v>9926</v>
      </c>
      <c r="AT2606" t="s">
        <v>11641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</row>
    <row r="2607" spans="1:59">
      <c r="A2607" s="1">
        <f>HYPERLINK("https://lsnyc.legalserver.org/matter/dynamic-profile/view/1906592","19-1906592")</f>
        <v>0</v>
      </c>
      <c r="B2607" t="s">
        <v>2210</v>
      </c>
      <c r="C2607" t="s">
        <v>7000</v>
      </c>
      <c r="D2607" t="s">
        <v>9928</v>
      </c>
      <c r="E2607" t="s">
        <v>10075</v>
      </c>
      <c r="F2607">
        <v>11207</v>
      </c>
      <c r="G2607" t="s">
        <v>10093</v>
      </c>
      <c r="H2607" t="s">
        <v>10096</v>
      </c>
      <c r="I2607" t="s">
        <v>10168</v>
      </c>
      <c r="J2607" t="s">
        <v>10213</v>
      </c>
      <c r="K2607" t="s">
        <v>10217</v>
      </c>
      <c r="M2607" t="s">
        <v>10580</v>
      </c>
      <c r="N2607" t="s">
        <v>10671</v>
      </c>
      <c r="P2607" t="s">
        <v>10750</v>
      </c>
      <c r="Q2607" t="s">
        <v>10778</v>
      </c>
      <c r="R2607" t="s">
        <v>10824</v>
      </c>
      <c r="T2607">
        <v>15600</v>
      </c>
      <c r="U2607">
        <v>1300</v>
      </c>
      <c r="V2607">
        <v>32</v>
      </c>
      <c r="W2607">
        <v>1</v>
      </c>
      <c r="X2607">
        <v>3</v>
      </c>
      <c r="Z2607">
        <v>60.58</v>
      </c>
      <c r="AA2607">
        <v>40.663588</v>
      </c>
      <c r="AB2607">
        <v>-73.892096</v>
      </c>
      <c r="AD2607" t="s">
        <v>10839</v>
      </c>
      <c r="AG2607" t="s">
        <v>10858</v>
      </c>
      <c r="AH2607" t="s">
        <v>10861</v>
      </c>
      <c r="AI2607">
        <v>234</v>
      </c>
      <c r="AJ2607" t="s">
        <v>10214</v>
      </c>
      <c r="AL2607">
        <v>2.75</v>
      </c>
      <c r="AM2607" t="s">
        <v>10889</v>
      </c>
      <c r="AN2607" t="s">
        <v>10946</v>
      </c>
      <c r="AO2607" t="s">
        <v>11012</v>
      </c>
      <c r="AP2607" t="s">
        <v>11060</v>
      </c>
      <c r="AQ2607" t="s">
        <v>11219</v>
      </c>
      <c r="AR2607" t="s">
        <v>11297</v>
      </c>
      <c r="AS2607" t="s">
        <v>11595</v>
      </c>
      <c r="AT2607" t="s">
        <v>11641</v>
      </c>
      <c r="AX2607" t="s">
        <v>10838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</row>
    <row r="2608" spans="1:59">
      <c r="A2608" s="1">
        <f>HYPERLINK("https://lsnyc.legalserver.org/matter/dynamic-profile/view/1906593","19-1906593")</f>
        <v>0</v>
      </c>
      <c r="B2608" t="s">
        <v>69</v>
      </c>
      <c r="C2608" t="s">
        <v>5010</v>
      </c>
      <c r="D2608" t="s">
        <v>9929</v>
      </c>
      <c r="E2608" t="s">
        <v>10075</v>
      </c>
      <c r="F2608">
        <v>10301</v>
      </c>
      <c r="G2608" t="s">
        <v>10088</v>
      </c>
      <c r="H2608" t="s">
        <v>10095</v>
      </c>
      <c r="I2608" t="s">
        <v>10168</v>
      </c>
      <c r="J2608" t="s">
        <v>10208</v>
      </c>
      <c r="K2608" t="s">
        <v>10217</v>
      </c>
      <c r="M2608" t="s">
        <v>10237</v>
      </c>
      <c r="N2608" t="s">
        <v>10700</v>
      </c>
      <c r="P2608" t="s">
        <v>10754</v>
      </c>
      <c r="Q2608" t="s">
        <v>10777</v>
      </c>
      <c r="R2608" t="s">
        <v>10821</v>
      </c>
      <c r="T2608">
        <v>1308</v>
      </c>
      <c r="U2608">
        <v>109</v>
      </c>
      <c r="V2608">
        <v>27</v>
      </c>
      <c r="W2608">
        <v>2</v>
      </c>
      <c r="X2608">
        <v>2</v>
      </c>
      <c r="Z2608">
        <v>5.08</v>
      </c>
      <c r="AA2608">
        <v>40.635928</v>
      </c>
      <c r="AB2608">
        <v>-74.08129599999999</v>
      </c>
      <c r="AD2608" t="s">
        <v>10839</v>
      </c>
      <c r="AG2608" t="s">
        <v>10858</v>
      </c>
      <c r="AH2608" t="s">
        <v>10865</v>
      </c>
      <c r="AI2608">
        <v>285</v>
      </c>
      <c r="AJ2608" t="s">
        <v>10208</v>
      </c>
      <c r="AL2608">
        <v>0.3</v>
      </c>
      <c r="AM2608" t="s">
        <v>10883</v>
      </c>
      <c r="AN2608" t="s">
        <v>10913</v>
      </c>
      <c r="AO2608" t="s">
        <v>11006</v>
      </c>
      <c r="AP2608" t="s">
        <v>11051</v>
      </c>
      <c r="AQ2608" t="s">
        <v>11128</v>
      </c>
      <c r="AR2608" t="s">
        <v>11260</v>
      </c>
      <c r="AS2608" t="s">
        <v>11593</v>
      </c>
      <c r="AT2608" t="s">
        <v>11641</v>
      </c>
      <c r="AX2608" t="s">
        <v>10838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</row>
    <row r="2609" spans="1:59">
      <c r="A2609" s="1">
        <f>HYPERLINK("https://lsnyc.legalserver.org/matter/dynamic-profile/view/1906594","19-1906594")</f>
        <v>0</v>
      </c>
      <c r="B2609" t="s">
        <v>456</v>
      </c>
      <c r="C2609" t="s">
        <v>5257</v>
      </c>
      <c r="D2609" t="s">
        <v>9925</v>
      </c>
      <c r="E2609" t="s">
        <v>10075</v>
      </c>
      <c r="F2609">
        <v>10027</v>
      </c>
      <c r="G2609" t="s">
        <v>10089</v>
      </c>
      <c r="H2609" t="s">
        <v>10096</v>
      </c>
      <c r="I2609" t="s">
        <v>10168</v>
      </c>
      <c r="J2609" t="s">
        <v>10209</v>
      </c>
      <c r="K2609" t="s">
        <v>10217</v>
      </c>
      <c r="M2609" t="s">
        <v>10379</v>
      </c>
      <c r="N2609" t="s">
        <v>10715</v>
      </c>
      <c r="P2609" t="s">
        <v>10751</v>
      </c>
      <c r="Q2609" t="s">
        <v>10776</v>
      </c>
      <c r="R2609" t="s">
        <v>10824</v>
      </c>
      <c r="T2609">
        <v>18768</v>
      </c>
      <c r="U2609">
        <v>1564</v>
      </c>
      <c r="V2609">
        <v>33</v>
      </c>
      <c r="W2609">
        <v>1</v>
      </c>
      <c r="X2609">
        <v>1</v>
      </c>
      <c r="Z2609">
        <v>110.99</v>
      </c>
      <c r="AA2609">
        <v>40.811982</v>
      </c>
      <c r="AB2609">
        <v>-73.950907</v>
      </c>
      <c r="AD2609" t="s">
        <v>10839</v>
      </c>
      <c r="AG2609" t="s">
        <v>10858</v>
      </c>
      <c r="AH2609" t="s">
        <v>10862</v>
      </c>
      <c r="AI2609">
        <v>236</v>
      </c>
      <c r="AJ2609" t="s">
        <v>10209</v>
      </c>
      <c r="AL2609">
        <v>0</v>
      </c>
      <c r="AM2609" t="s">
        <v>10887</v>
      </c>
      <c r="AN2609" t="s">
        <v>10936</v>
      </c>
      <c r="AO2609" t="s">
        <v>11016</v>
      </c>
      <c r="AP2609" t="s">
        <v>11076</v>
      </c>
      <c r="AR2609" t="s">
        <v>11335</v>
      </c>
      <c r="AS2609" t="s">
        <v>9925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</row>
    <row r="2610" spans="1:59">
      <c r="A2610" s="1">
        <f>HYPERLINK("https://lsnyc.legalserver.org/matter/dynamic-profile/view/1906595","19-1906595")</f>
        <v>0</v>
      </c>
      <c r="B2610" t="s">
        <v>69</v>
      </c>
      <c r="C2610" t="s">
        <v>5010</v>
      </c>
      <c r="D2610" t="s">
        <v>9929</v>
      </c>
      <c r="E2610" t="s">
        <v>10075</v>
      </c>
      <c r="F2610">
        <v>10301</v>
      </c>
      <c r="G2610" t="s">
        <v>10088</v>
      </c>
      <c r="H2610" t="s">
        <v>10095</v>
      </c>
      <c r="I2610" t="s">
        <v>10168</v>
      </c>
      <c r="J2610" t="s">
        <v>10208</v>
      </c>
      <c r="K2610" t="s">
        <v>10217</v>
      </c>
      <c r="M2610" t="s">
        <v>10237</v>
      </c>
      <c r="N2610" t="s">
        <v>10701</v>
      </c>
      <c r="P2610" t="s">
        <v>10754</v>
      </c>
      <c r="Q2610" t="s">
        <v>10775</v>
      </c>
      <c r="R2610" t="s">
        <v>10821</v>
      </c>
      <c r="T2610">
        <v>1308</v>
      </c>
      <c r="U2610">
        <v>109</v>
      </c>
      <c r="V2610">
        <v>27</v>
      </c>
      <c r="W2610">
        <v>2</v>
      </c>
      <c r="X2610">
        <v>2</v>
      </c>
      <c r="Z2610">
        <v>5.08</v>
      </c>
      <c r="AA2610">
        <v>40.635928</v>
      </c>
      <c r="AB2610">
        <v>-74.08129599999999</v>
      </c>
      <c r="AD2610" t="s">
        <v>10839</v>
      </c>
      <c r="AG2610" t="s">
        <v>10858</v>
      </c>
      <c r="AH2610" t="s">
        <v>10865</v>
      </c>
      <c r="AI2610">
        <v>285</v>
      </c>
      <c r="AJ2610" t="s">
        <v>10208</v>
      </c>
      <c r="AL2610">
        <v>0.3</v>
      </c>
      <c r="AM2610" t="s">
        <v>10883</v>
      </c>
      <c r="AN2610" t="s">
        <v>10913</v>
      </c>
      <c r="AO2610" t="s">
        <v>11006</v>
      </c>
      <c r="AP2610" t="s">
        <v>11051</v>
      </c>
      <c r="AR2610" t="s">
        <v>11260</v>
      </c>
      <c r="AS2610" t="s">
        <v>11593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</row>
    <row r="2611" spans="1:59">
      <c r="A2611" s="1">
        <f>HYPERLINK("https://lsnyc.legalserver.org/matter/dynamic-profile/view/1906597","19-1906597")</f>
        <v>0</v>
      </c>
      <c r="B2611" t="s">
        <v>2187</v>
      </c>
      <c r="C2611" t="s">
        <v>6977</v>
      </c>
      <c r="D2611" t="s">
        <v>9926</v>
      </c>
      <c r="E2611" t="s">
        <v>10075</v>
      </c>
      <c r="F2611">
        <v>10457</v>
      </c>
      <c r="G2611" t="s">
        <v>10090</v>
      </c>
      <c r="H2611" t="s">
        <v>10096</v>
      </c>
      <c r="I2611" t="s">
        <v>10168</v>
      </c>
      <c r="J2611" t="s">
        <v>10215</v>
      </c>
      <c r="K2611" t="s">
        <v>10217</v>
      </c>
      <c r="M2611" t="s">
        <v>10303</v>
      </c>
      <c r="N2611" t="s">
        <v>10671</v>
      </c>
      <c r="P2611" t="s">
        <v>10751</v>
      </c>
      <c r="Q2611" t="s">
        <v>10761</v>
      </c>
      <c r="R2611" t="s">
        <v>10821</v>
      </c>
      <c r="T2611">
        <v>7800</v>
      </c>
      <c r="U2611">
        <v>650</v>
      </c>
      <c r="V2611">
        <v>41</v>
      </c>
      <c r="W2611">
        <v>1</v>
      </c>
      <c r="X2611">
        <v>0</v>
      </c>
      <c r="Z2611">
        <v>62.45</v>
      </c>
      <c r="AA2611">
        <v>40.845585</v>
      </c>
      <c r="AB2611">
        <v>-73.89828900000001</v>
      </c>
      <c r="AD2611" t="s">
        <v>10839</v>
      </c>
      <c r="AG2611" t="s">
        <v>10858</v>
      </c>
      <c r="AH2611" t="s">
        <v>10862</v>
      </c>
      <c r="AI2611">
        <v>231</v>
      </c>
      <c r="AJ2611" t="s">
        <v>10215</v>
      </c>
      <c r="AL2611">
        <v>0.1</v>
      </c>
      <c r="AR2611" t="s">
        <v>11400</v>
      </c>
      <c r="AS2611" t="s">
        <v>9926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</row>
    <row r="2612" spans="1:59">
      <c r="A2612" s="1">
        <f>HYPERLINK("https://lsnyc.legalserver.org/matter/dynamic-profile/view/1906598","19-1906598")</f>
        <v>0</v>
      </c>
      <c r="B2612" t="s">
        <v>2211</v>
      </c>
      <c r="C2612" t="s">
        <v>7001</v>
      </c>
      <c r="D2612" t="s">
        <v>9925</v>
      </c>
      <c r="E2612" t="s">
        <v>10075</v>
      </c>
      <c r="F2612">
        <v>10027</v>
      </c>
      <c r="G2612" t="s">
        <v>10089</v>
      </c>
      <c r="H2612" t="s">
        <v>10096</v>
      </c>
      <c r="I2612" t="s">
        <v>10168</v>
      </c>
      <c r="J2612" t="s">
        <v>10209</v>
      </c>
      <c r="K2612" t="s">
        <v>10217</v>
      </c>
      <c r="M2612" t="s">
        <v>10501</v>
      </c>
      <c r="N2612" t="s">
        <v>10715</v>
      </c>
      <c r="P2612" t="s">
        <v>10751</v>
      </c>
      <c r="Q2612" t="s">
        <v>10776</v>
      </c>
      <c r="R2612" t="s">
        <v>10824</v>
      </c>
      <c r="T2612">
        <v>17280</v>
      </c>
      <c r="U2612">
        <v>1440</v>
      </c>
      <c r="V2612">
        <v>69</v>
      </c>
      <c r="W2612">
        <v>2</v>
      </c>
      <c r="X2612">
        <v>0</v>
      </c>
      <c r="Z2612">
        <v>102.19</v>
      </c>
      <c r="AA2612">
        <v>40.810894</v>
      </c>
      <c r="AB2612">
        <v>-73.947676</v>
      </c>
      <c r="AD2612" t="s">
        <v>10839</v>
      </c>
      <c r="AG2612" t="s">
        <v>10858</v>
      </c>
      <c r="AH2612" t="s">
        <v>10862</v>
      </c>
      <c r="AI2612">
        <v>236</v>
      </c>
      <c r="AJ2612" t="s">
        <v>10209</v>
      </c>
      <c r="AL2612">
        <v>0</v>
      </c>
      <c r="AM2612" t="s">
        <v>10887</v>
      </c>
      <c r="AN2612" t="s">
        <v>10936</v>
      </c>
      <c r="AO2612" t="s">
        <v>11016</v>
      </c>
      <c r="AP2612" t="s">
        <v>11076</v>
      </c>
      <c r="AR2612" t="s">
        <v>11268</v>
      </c>
      <c r="AS2612" t="s">
        <v>9925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</row>
    <row r="2613" spans="1:59">
      <c r="A2613" s="1">
        <f>HYPERLINK("https://lsnyc.legalserver.org/matter/dynamic-profile/view/1906599","19-1906599")</f>
        <v>0</v>
      </c>
      <c r="B2613" t="s">
        <v>2212</v>
      </c>
      <c r="C2613" t="s">
        <v>7002</v>
      </c>
      <c r="D2613" t="s">
        <v>9928</v>
      </c>
      <c r="E2613" t="s">
        <v>10075</v>
      </c>
      <c r="F2613">
        <v>11233</v>
      </c>
      <c r="G2613" t="s">
        <v>10093</v>
      </c>
      <c r="H2613" t="s">
        <v>10096</v>
      </c>
      <c r="I2613" t="s">
        <v>10169</v>
      </c>
      <c r="J2613" t="s">
        <v>10213</v>
      </c>
      <c r="K2613" t="s">
        <v>10217</v>
      </c>
      <c r="M2613" t="s">
        <v>10359</v>
      </c>
      <c r="N2613" t="s">
        <v>10664</v>
      </c>
      <c r="P2613" t="s">
        <v>10749</v>
      </c>
      <c r="Q2613" t="s">
        <v>10765</v>
      </c>
      <c r="R2613" t="s">
        <v>10825</v>
      </c>
      <c r="T2613">
        <v>2196</v>
      </c>
      <c r="U2613">
        <v>183</v>
      </c>
      <c r="V2613">
        <v>77</v>
      </c>
      <c r="W2613">
        <v>1</v>
      </c>
      <c r="X2613">
        <v>0</v>
      </c>
      <c r="Z2613">
        <v>17.58</v>
      </c>
      <c r="AA2613">
        <v>40.681014</v>
      </c>
      <c r="AB2613">
        <v>-73.922101</v>
      </c>
      <c r="AD2613" t="s">
        <v>10840</v>
      </c>
      <c r="AG2613" t="s">
        <v>10858</v>
      </c>
      <c r="AH2613" t="s">
        <v>10862</v>
      </c>
      <c r="AI2613">
        <v>239</v>
      </c>
      <c r="AJ2613" t="s">
        <v>10213</v>
      </c>
      <c r="AL2613">
        <v>0.6</v>
      </c>
      <c r="AM2613" t="s">
        <v>10889</v>
      </c>
      <c r="AN2613" t="s">
        <v>10922</v>
      </c>
      <c r="AO2613" t="s">
        <v>11007</v>
      </c>
      <c r="AP2613" t="s">
        <v>11064</v>
      </c>
      <c r="AR2613" t="s">
        <v>11255</v>
      </c>
      <c r="AS2613" t="s">
        <v>11595</v>
      </c>
      <c r="AX2613" t="s">
        <v>10838</v>
      </c>
      <c r="BA2613" t="s">
        <v>11741</v>
      </c>
      <c r="BB2613">
        <v>0</v>
      </c>
      <c r="BC2613">
        <v>0</v>
      </c>
      <c r="BD2613">
        <v>0</v>
      </c>
      <c r="BE2613">
        <v>0</v>
      </c>
      <c r="BF2613">
        <v>1</v>
      </c>
      <c r="BG2613">
        <v>0</v>
      </c>
    </row>
    <row r="2614" spans="1:59">
      <c r="A2614" s="1">
        <f>HYPERLINK("https://lsnyc.legalserver.org/matter/dynamic-profile/view/1906600","19-1906600")</f>
        <v>0</v>
      </c>
      <c r="B2614" t="s">
        <v>2213</v>
      </c>
      <c r="C2614" t="s">
        <v>7003</v>
      </c>
      <c r="D2614" t="s">
        <v>9925</v>
      </c>
      <c r="E2614" t="s">
        <v>10075</v>
      </c>
      <c r="F2614">
        <v>10027</v>
      </c>
      <c r="G2614" t="s">
        <v>10089</v>
      </c>
      <c r="H2614" t="s">
        <v>10096</v>
      </c>
      <c r="I2614" t="s">
        <v>10168</v>
      </c>
      <c r="J2614" t="s">
        <v>10209</v>
      </c>
      <c r="K2614" t="s">
        <v>10217</v>
      </c>
      <c r="M2614" t="s">
        <v>10453</v>
      </c>
      <c r="N2614" t="s">
        <v>10715</v>
      </c>
      <c r="P2614" t="s">
        <v>10751</v>
      </c>
      <c r="Q2614" t="s">
        <v>10776</v>
      </c>
      <c r="R2614" t="s">
        <v>10824</v>
      </c>
      <c r="T2614">
        <v>9168</v>
      </c>
      <c r="U2614">
        <v>764</v>
      </c>
      <c r="V2614">
        <v>59</v>
      </c>
      <c r="W2614">
        <v>1</v>
      </c>
      <c r="X2614">
        <v>0</v>
      </c>
      <c r="Z2614">
        <v>73.40000000000001</v>
      </c>
      <c r="AA2614">
        <v>40.814972</v>
      </c>
      <c r="AB2614">
        <v>-73.95734299999999</v>
      </c>
      <c r="AD2614" t="s">
        <v>10840</v>
      </c>
      <c r="AG2614" t="s">
        <v>10858</v>
      </c>
      <c r="AH2614" t="s">
        <v>10862</v>
      </c>
      <c r="AI2614">
        <v>236</v>
      </c>
      <c r="AJ2614" t="s">
        <v>10209</v>
      </c>
      <c r="AL2614">
        <v>0</v>
      </c>
      <c r="AM2614" t="s">
        <v>10887</v>
      </c>
      <c r="AN2614" t="s">
        <v>10936</v>
      </c>
      <c r="AO2614" t="s">
        <v>11019</v>
      </c>
      <c r="AP2614" t="s">
        <v>11073</v>
      </c>
      <c r="AR2614" t="s">
        <v>11274</v>
      </c>
      <c r="AS2614" t="s">
        <v>9925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</row>
    <row r="2615" spans="1:59">
      <c r="A2615" s="1">
        <f>HYPERLINK("https://lsnyc.legalserver.org/matter/dynamic-profile/view/1906601","19-1906601")</f>
        <v>0</v>
      </c>
      <c r="B2615" t="s">
        <v>2214</v>
      </c>
      <c r="C2615" t="s">
        <v>7004</v>
      </c>
      <c r="D2615" t="s">
        <v>9925</v>
      </c>
      <c r="E2615" t="s">
        <v>10075</v>
      </c>
      <c r="F2615">
        <v>10027</v>
      </c>
      <c r="G2615" t="s">
        <v>10089</v>
      </c>
      <c r="H2615" t="s">
        <v>10096</v>
      </c>
      <c r="I2615" t="s">
        <v>10168</v>
      </c>
      <c r="J2615" t="s">
        <v>10209</v>
      </c>
      <c r="K2615" t="s">
        <v>10217</v>
      </c>
      <c r="M2615" t="s">
        <v>10305</v>
      </c>
      <c r="N2615" t="s">
        <v>10691</v>
      </c>
      <c r="P2615" t="s">
        <v>10752</v>
      </c>
      <c r="Q2615" t="s">
        <v>10805</v>
      </c>
      <c r="R2615" t="s">
        <v>10824</v>
      </c>
      <c r="T2615">
        <v>36000</v>
      </c>
      <c r="U2615">
        <v>3000</v>
      </c>
      <c r="V2615">
        <v>18</v>
      </c>
      <c r="W2615">
        <v>3</v>
      </c>
      <c r="X2615">
        <v>0</v>
      </c>
      <c r="Z2615">
        <v>168.78</v>
      </c>
      <c r="AA2615">
        <v>40.810049</v>
      </c>
      <c r="AB2615">
        <v>-73.94417300000001</v>
      </c>
      <c r="AD2615" t="s">
        <v>10840</v>
      </c>
      <c r="AG2615" t="s">
        <v>10858</v>
      </c>
      <c r="AH2615" t="s">
        <v>10863</v>
      </c>
      <c r="AI2615">
        <v>236</v>
      </c>
      <c r="AJ2615" t="s">
        <v>10209</v>
      </c>
      <c r="AL2615">
        <v>6.7</v>
      </c>
      <c r="AM2615" t="s">
        <v>10887</v>
      </c>
      <c r="AN2615" t="s">
        <v>10936</v>
      </c>
      <c r="AO2615" t="s">
        <v>11016</v>
      </c>
      <c r="AP2615" t="s">
        <v>11076</v>
      </c>
      <c r="AQ2615" t="s">
        <v>11155</v>
      </c>
      <c r="AR2615" t="s">
        <v>11257</v>
      </c>
      <c r="AS2615" t="s">
        <v>9925</v>
      </c>
      <c r="AT2615" t="s">
        <v>11642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</row>
    <row r="2616" spans="1:59">
      <c r="A2616" s="1">
        <f>HYPERLINK("https://lsnyc.legalserver.org/matter/dynamic-profile/view/1906602","19-1906602")</f>
        <v>0</v>
      </c>
      <c r="B2616" t="s">
        <v>2215</v>
      </c>
      <c r="C2616" t="s">
        <v>7005</v>
      </c>
      <c r="D2616" t="s">
        <v>9925</v>
      </c>
      <c r="E2616" t="s">
        <v>10075</v>
      </c>
      <c r="F2616">
        <v>10002</v>
      </c>
      <c r="G2616" t="s">
        <v>10093</v>
      </c>
      <c r="H2616" t="s">
        <v>10096</v>
      </c>
      <c r="I2616" t="s">
        <v>10168</v>
      </c>
      <c r="J2616" t="s">
        <v>10213</v>
      </c>
      <c r="K2616" t="s">
        <v>10217</v>
      </c>
      <c r="M2616" t="s">
        <v>10581</v>
      </c>
      <c r="N2616" t="s">
        <v>10656</v>
      </c>
      <c r="P2616" t="s">
        <v>10751</v>
      </c>
      <c r="Q2616" t="s">
        <v>10768</v>
      </c>
      <c r="R2616" t="s">
        <v>10824</v>
      </c>
      <c r="T2616">
        <v>14280</v>
      </c>
      <c r="U2616">
        <v>1190</v>
      </c>
      <c r="V2616">
        <v>45</v>
      </c>
      <c r="W2616">
        <v>1</v>
      </c>
      <c r="X2616">
        <v>2</v>
      </c>
      <c r="Z2616">
        <v>66.95</v>
      </c>
      <c r="AA2616">
        <v>40.712182</v>
      </c>
      <c r="AB2616">
        <v>-73.98266599999999</v>
      </c>
      <c r="AD2616" t="s">
        <v>10839</v>
      </c>
      <c r="AG2616" t="s">
        <v>10858</v>
      </c>
      <c r="AH2616" t="s">
        <v>10861</v>
      </c>
      <c r="AI2616">
        <v>234</v>
      </c>
      <c r="AJ2616" t="s">
        <v>10214</v>
      </c>
      <c r="AL2616">
        <v>3.7</v>
      </c>
      <c r="AM2616" t="s">
        <v>10886</v>
      </c>
      <c r="AN2616" t="s">
        <v>10963</v>
      </c>
      <c r="AO2616" t="s">
        <v>11004</v>
      </c>
      <c r="AP2616" t="s">
        <v>11048</v>
      </c>
      <c r="AR2616" t="s">
        <v>11400</v>
      </c>
      <c r="AS2616" t="s">
        <v>9925</v>
      </c>
      <c r="AT2616" t="s">
        <v>11641</v>
      </c>
      <c r="AX2616" t="s">
        <v>10838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</row>
    <row r="2617" spans="1:59">
      <c r="A2617" s="1">
        <f>HYPERLINK("https://lsnyc.legalserver.org/matter/dynamic-profile/view/1906604","19-1906604")</f>
        <v>0</v>
      </c>
      <c r="B2617" t="s">
        <v>2216</v>
      </c>
      <c r="C2617" t="s">
        <v>7006</v>
      </c>
      <c r="D2617" t="s">
        <v>10011</v>
      </c>
      <c r="E2617" t="s">
        <v>10075</v>
      </c>
      <c r="F2617">
        <v>11709</v>
      </c>
      <c r="G2617" t="s">
        <v>10093</v>
      </c>
      <c r="H2617" t="s">
        <v>10096</v>
      </c>
      <c r="I2617" t="s">
        <v>10168</v>
      </c>
      <c r="J2617" t="s">
        <v>10213</v>
      </c>
      <c r="K2617" t="s">
        <v>10218</v>
      </c>
      <c r="L2617" t="s">
        <v>10157</v>
      </c>
      <c r="M2617" t="s">
        <v>10330</v>
      </c>
      <c r="N2617" t="s">
        <v>10710</v>
      </c>
      <c r="P2617" t="s">
        <v>10750</v>
      </c>
      <c r="Q2617" t="s">
        <v>10760</v>
      </c>
      <c r="R2617" t="s">
        <v>10820</v>
      </c>
      <c r="T2617">
        <v>85200</v>
      </c>
      <c r="U2617">
        <v>7100</v>
      </c>
      <c r="V2617">
        <v>54</v>
      </c>
      <c r="W2617">
        <v>2</v>
      </c>
      <c r="X2617">
        <v>0</v>
      </c>
      <c r="Y2617" t="s">
        <v>10829</v>
      </c>
      <c r="Z2617">
        <v>503.84</v>
      </c>
      <c r="AA2617">
        <v>40.908891</v>
      </c>
      <c r="AB2617">
        <v>-73.554191</v>
      </c>
      <c r="AD2617" t="s">
        <v>10840</v>
      </c>
      <c r="AG2617" t="s">
        <v>10858</v>
      </c>
      <c r="AH2617" t="s">
        <v>10871</v>
      </c>
      <c r="AI2617">
        <v>234</v>
      </c>
      <c r="AJ2617" t="s">
        <v>10214</v>
      </c>
      <c r="AK2617" t="s">
        <v>10882</v>
      </c>
      <c r="AL2617">
        <v>7.75</v>
      </c>
      <c r="AM2617" t="s">
        <v>10895</v>
      </c>
      <c r="AN2617" t="s">
        <v>10984</v>
      </c>
      <c r="AO2617" t="s">
        <v>11037</v>
      </c>
      <c r="AR2617" t="s">
        <v>11270</v>
      </c>
      <c r="AS2617" t="s">
        <v>9925</v>
      </c>
      <c r="AT2617" t="s">
        <v>11642</v>
      </c>
      <c r="AX2617" t="s">
        <v>10838</v>
      </c>
      <c r="AY2617" t="s">
        <v>10829</v>
      </c>
      <c r="AZ2617" t="s">
        <v>11679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</row>
    <row r="2618" spans="1:59">
      <c r="A2618" s="1">
        <f>HYPERLINK("https://lsnyc.legalserver.org/matter/dynamic-profile/view/1906605","19-1906605")</f>
        <v>0</v>
      </c>
      <c r="B2618" t="s">
        <v>2217</v>
      </c>
      <c r="C2618" t="s">
        <v>7007</v>
      </c>
      <c r="D2618" t="s">
        <v>9925</v>
      </c>
      <c r="E2618" t="s">
        <v>10075</v>
      </c>
      <c r="F2618">
        <v>10027</v>
      </c>
      <c r="G2618" t="s">
        <v>10089</v>
      </c>
      <c r="H2618" t="s">
        <v>10096</v>
      </c>
      <c r="I2618" t="s">
        <v>10168</v>
      </c>
      <c r="J2618" t="s">
        <v>10209</v>
      </c>
      <c r="K2618" t="s">
        <v>10217</v>
      </c>
      <c r="M2618" t="s">
        <v>10432</v>
      </c>
      <c r="N2618" t="s">
        <v>10715</v>
      </c>
      <c r="P2618" t="s">
        <v>10751</v>
      </c>
      <c r="Q2618" t="s">
        <v>10776</v>
      </c>
      <c r="R2618" t="s">
        <v>10821</v>
      </c>
      <c r="T2618">
        <v>4044</v>
      </c>
      <c r="U2618">
        <v>337</v>
      </c>
      <c r="V2618">
        <v>42</v>
      </c>
      <c r="W2618">
        <v>1</v>
      </c>
      <c r="X2618">
        <v>0</v>
      </c>
      <c r="Z2618">
        <v>32.38</v>
      </c>
      <c r="AA2618">
        <v>40.812662</v>
      </c>
      <c r="AB2618">
        <v>-73.951757</v>
      </c>
      <c r="AD2618" t="s">
        <v>10840</v>
      </c>
      <c r="AG2618" t="s">
        <v>10858</v>
      </c>
      <c r="AH2618" t="s">
        <v>10862</v>
      </c>
      <c r="AI2618">
        <v>236</v>
      </c>
      <c r="AJ2618" t="s">
        <v>10209</v>
      </c>
      <c r="AL2618">
        <v>0</v>
      </c>
      <c r="AM2618" t="s">
        <v>10887</v>
      </c>
      <c r="AN2618" t="s">
        <v>10936</v>
      </c>
      <c r="AO2618" t="s">
        <v>11016</v>
      </c>
      <c r="AP2618" t="s">
        <v>11076</v>
      </c>
      <c r="AR2618" t="s">
        <v>11260</v>
      </c>
      <c r="AS2618" t="s">
        <v>9925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</row>
    <row r="2619" spans="1:59">
      <c r="A2619" s="1">
        <f>HYPERLINK("https://lsnyc.legalserver.org/matter/dynamic-profile/view/1906607","19-1906607")</f>
        <v>0</v>
      </c>
      <c r="B2619" t="s">
        <v>2218</v>
      </c>
      <c r="C2619" t="s">
        <v>5744</v>
      </c>
      <c r="D2619" t="s">
        <v>9928</v>
      </c>
      <c r="E2619" t="s">
        <v>10075</v>
      </c>
      <c r="F2619">
        <v>11208</v>
      </c>
      <c r="G2619" t="s">
        <v>10093</v>
      </c>
      <c r="H2619" t="s">
        <v>10096</v>
      </c>
      <c r="I2619" t="s">
        <v>10168</v>
      </c>
      <c r="J2619" t="s">
        <v>10213</v>
      </c>
      <c r="K2619" t="s">
        <v>10218</v>
      </c>
      <c r="L2619" t="s">
        <v>10108</v>
      </c>
      <c r="M2619" t="s">
        <v>10348</v>
      </c>
      <c r="N2619" t="s">
        <v>10650</v>
      </c>
      <c r="P2619" t="s">
        <v>10751</v>
      </c>
      <c r="Q2619" t="s">
        <v>10761</v>
      </c>
      <c r="R2619" t="s">
        <v>10824</v>
      </c>
      <c r="T2619">
        <v>2288</v>
      </c>
      <c r="U2619">
        <v>190.67</v>
      </c>
      <c r="V2619">
        <v>42</v>
      </c>
      <c r="W2619">
        <v>2</v>
      </c>
      <c r="X2619">
        <v>2</v>
      </c>
      <c r="Y2619" t="s">
        <v>10832</v>
      </c>
      <c r="Z2619">
        <v>8.890000000000001</v>
      </c>
      <c r="AA2619">
        <v>40.672718</v>
      </c>
      <c r="AB2619">
        <v>-73.866073</v>
      </c>
      <c r="AD2619" t="s">
        <v>10839</v>
      </c>
      <c r="AG2619" t="s">
        <v>10858</v>
      </c>
      <c r="AH2619" t="s">
        <v>10862</v>
      </c>
      <c r="AI2619">
        <v>239</v>
      </c>
      <c r="AJ2619" t="s">
        <v>10213</v>
      </c>
      <c r="AK2619" t="s">
        <v>10838</v>
      </c>
      <c r="AL2619">
        <v>4</v>
      </c>
      <c r="AM2619" t="s">
        <v>10889</v>
      </c>
      <c r="AN2619" t="s">
        <v>10946</v>
      </c>
      <c r="AO2619" t="s">
        <v>11012</v>
      </c>
      <c r="AP2619" t="s">
        <v>11060</v>
      </c>
      <c r="AR2619" t="s">
        <v>11439</v>
      </c>
      <c r="AS2619" t="s">
        <v>11595</v>
      </c>
      <c r="AT2619" t="s">
        <v>11641</v>
      </c>
      <c r="AY2619" t="s">
        <v>10832</v>
      </c>
      <c r="AZ2619" t="s">
        <v>11688</v>
      </c>
      <c r="BA2619" t="s">
        <v>11739</v>
      </c>
      <c r="BB2619">
        <v>0</v>
      </c>
      <c r="BC2619">
        <v>0</v>
      </c>
      <c r="BD2619">
        <v>600</v>
      </c>
      <c r="BE2619">
        <v>0</v>
      </c>
      <c r="BF2619">
        <v>4</v>
      </c>
      <c r="BG2619">
        <v>0</v>
      </c>
    </row>
    <row r="2620" spans="1:59">
      <c r="A2620" s="1">
        <f>HYPERLINK("https://lsnyc.legalserver.org/matter/dynamic-profile/view/1906608","19-1906608")</f>
        <v>0</v>
      </c>
      <c r="B2620" t="s">
        <v>2219</v>
      </c>
      <c r="C2620" t="s">
        <v>7008</v>
      </c>
      <c r="D2620" t="s">
        <v>9928</v>
      </c>
      <c r="E2620" t="s">
        <v>10075</v>
      </c>
      <c r="F2620">
        <v>11229</v>
      </c>
      <c r="G2620" t="s">
        <v>10093</v>
      </c>
      <c r="H2620" t="s">
        <v>10104</v>
      </c>
      <c r="I2620" t="s">
        <v>10171</v>
      </c>
      <c r="J2620" t="s">
        <v>10213</v>
      </c>
      <c r="K2620" t="s">
        <v>10217</v>
      </c>
      <c r="M2620" t="s">
        <v>10390</v>
      </c>
      <c r="N2620" t="s">
        <v>10644</v>
      </c>
      <c r="P2620" t="s">
        <v>10749</v>
      </c>
      <c r="Q2620" t="s">
        <v>10774</v>
      </c>
      <c r="R2620" t="s">
        <v>10820</v>
      </c>
      <c r="T2620">
        <v>14720</v>
      </c>
      <c r="U2620">
        <v>1226.67</v>
      </c>
      <c r="V2620">
        <v>74</v>
      </c>
      <c r="W2620">
        <v>2</v>
      </c>
      <c r="X2620">
        <v>0</v>
      </c>
      <c r="Z2620">
        <v>87.05</v>
      </c>
      <c r="AA2620">
        <v>40.603741</v>
      </c>
      <c r="AB2620">
        <v>-73.95256000000001</v>
      </c>
      <c r="AD2620" t="s">
        <v>10839</v>
      </c>
      <c r="AG2620" t="s">
        <v>10858</v>
      </c>
      <c r="AH2620" t="s">
        <v>10869</v>
      </c>
      <c r="AI2620">
        <v>239</v>
      </c>
      <c r="AJ2620" t="s">
        <v>10213</v>
      </c>
      <c r="AL2620">
        <v>3</v>
      </c>
      <c r="AM2620" t="s">
        <v>10888</v>
      </c>
      <c r="AN2620" t="s">
        <v>10957</v>
      </c>
      <c r="AO2620" t="s">
        <v>11015</v>
      </c>
      <c r="AP2620" t="s">
        <v>11092</v>
      </c>
      <c r="AQ2620" t="s">
        <v>11136</v>
      </c>
      <c r="AR2620" t="s">
        <v>11263</v>
      </c>
      <c r="AS2620" t="s">
        <v>11595</v>
      </c>
      <c r="BA2620" t="s">
        <v>11741</v>
      </c>
      <c r="BB2620">
        <v>0</v>
      </c>
      <c r="BC2620">
        <v>0</v>
      </c>
      <c r="BD2620">
        <v>0</v>
      </c>
      <c r="BE2620">
        <v>0</v>
      </c>
      <c r="BF2620">
        <v>1</v>
      </c>
      <c r="BG2620">
        <v>0</v>
      </c>
    </row>
    <row r="2621" spans="1:59">
      <c r="A2621" s="1">
        <f>HYPERLINK("https://lsnyc.legalserver.org/matter/dynamic-profile/view/1906609","19-1906609")</f>
        <v>0</v>
      </c>
      <c r="B2621" t="s">
        <v>2220</v>
      </c>
      <c r="C2621" t="s">
        <v>5963</v>
      </c>
      <c r="D2621" t="s">
        <v>9925</v>
      </c>
      <c r="E2621" t="s">
        <v>10075</v>
      </c>
      <c r="F2621">
        <v>10027</v>
      </c>
      <c r="G2621" t="s">
        <v>10089</v>
      </c>
      <c r="H2621" t="s">
        <v>10096</v>
      </c>
      <c r="I2621" t="s">
        <v>10168</v>
      </c>
      <c r="J2621" t="s">
        <v>10209</v>
      </c>
      <c r="K2621" t="s">
        <v>10217</v>
      </c>
      <c r="M2621" t="s">
        <v>10391</v>
      </c>
      <c r="N2621" t="s">
        <v>10715</v>
      </c>
      <c r="P2621" t="s">
        <v>10751</v>
      </c>
      <c r="Q2621" t="s">
        <v>10776</v>
      </c>
      <c r="R2621" t="s">
        <v>10823</v>
      </c>
      <c r="T2621">
        <v>13652.64</v>
      </c>
      <c r="U2621">
        <v>1137.72</v>
      </c>
      <c r="V2621">
        <v>48</v>
      </c>
      <c r="W2621">
        <v>3</v>
      </c>
      <c r="X2621">
        <v>0</v>
      </c>
      <c r="Z2621">
        <v>64.01000000000001</v>
      </c>
      <c r="AA2621">
        <v>40.811386</v>
      </c>
      <c r="AB2621">
        <v>-73.957104</v>
      </c>
      <c r="AD2621" t="s">
        <v>10839</v>
      </c>
      <c r="AG2621" t="s">
        <v>10858</v>
      </c>
      <c r="AH2621" t="s">
        <v>10862</v>
      </c>
      <c r="AI2621">
        <v>236</v>
      </c>
      <c r="AJ2621" t="s">
        <v>10209</v>
      </c>
      <c r="AL2621">
        <v>0</v>
      </c>
      <c r="AM2621" t="s">
        <v>10887</v>
      </c>
      <c r="AN2621" t="s">
        <v>10953</v>
      </c>
      <c r="AO2621" t="s">
        <v>11016</v>
      </c>
      <c r="AP2621" t="s">
        <v>11073</v>
      </c>
      <c r="AR2621" t="s">
        <v>11257</v>
      </c>
      <c r="AS2621" t="s">
        <v>9925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</row>
    <row r="2622" spans="1:59">
      <c r="A2622" s="1">
        <f>HYPERLINK("https://lsnyc.legalserver.org/matter/dynamic-profile/view/1906610","19-1906610")</f>
        <v>0</v>
      </c>
      <c r="B2622" t="s">
        <v>2221</v>
      </c>
      <c r="C2622" t="s">
        <v>7009</v>
      </c>
      <c r="D2622" t="s">
        <v>9928</v>
      </c>
      <c r="E2622" t="s">
        <v>10075</v>
      </c>
      <c r="F2622">
        <v>11206</v>
      </c>
      <c r="G2622" t="s">
        <v>10093</v>
      </c>
      <c r="H2622" t="s">
        <v>10096</v>
      </c>
      <c r="I2622" t="s">
        <v>10168</v>
      </c>
      <c r="J2622" t="s">
        <v>10213</v>
      </c>
      <c r="K2622" t="s">
        <v>10218</v>
      </c>
      <c r="L2622" t="s">
        <v>10096</v>
      </c>
      <c r="M2622" t="s">
        <v>10337</v>
      </c>
      <c r="N2622" t="s">
        <v>10650</v>
      </c>
      <c r="P2622" t="s">
        <v>10749</v>
      </c>
      <c r="Q2622" t="s">
        <v>10765</v>
      </c>
      <c r="R2622" t="s">
        <v>10824</v>
      </c>
      <c r="T2622">
        <v>37000</v>
      </c>
      <c r="U2622">
        <v>3083.33</v>
      </c>
      <c r="V2622">
        <v>49</v>
      </c>
      <c r="W2622">
        <v>1</v>
      </c>
      <c r="X2622">
        <v>1</v>
      </c>
      <c r="Y2622" t="s">
        <v>10829</v>
      </c>
      <c r="Z2622">
        <v>218.81</v>
      </c>
      <c r="AA2622">
        <v>40.693823</v>
      </c>
      <c r="AB2622">
        <v>-73.938579</v>
      </c>
      <c r="AD2622" t="s">
        <v>10840</v>
      </c>
      <c r="AG2622" t="s">
        <v>10858</v>
      </c>
      <c r="AH2622" t="s">
        <v>10862</v>
      </c>
      <c r="AI2622">
        <v>239</v>
      </c>
      <c r="AJ2622" t="s">
        <v>10213</v>
      </c>
      <c r="AK2622" t="s">
        <v>10882</v>
      </c>
      <c r="AL2622">
        <v>0.1</v>
      </c>
      <c r="AM2622" t="s">
        <v>10889</v>
      </c>
      <c r="AN2622" t="s">
        <v>10920</v>
      </c>
      <c r="AO2622" t="s">
        <v>11011</v>
      </c>
      <c r="AP2622" t="s">
        <v>11052</v>
      </c>
      <c r="AR2622" t="s">
        <v>11257</v>
      </c>
      <c r="AS2622" t="s">
        <v>11595</v>
      </c>
      <c r="AY2622" t="s">
        <v>10829</v>
      </c>
      <c r="AZ2622" t="s">
        <v>11687</v>
      </c>
      <c r="BA2622" t="s">
        <v>11738</v>
      </c>
      <c r="BB2622">
        <v>0</v>
      </c>
      <c r="BC2622">
        <v>0</v>
      </c>
      <c r="BD2622">
        <v>0</v>
      </c>
      <c r="BE2622">
        <v>0</v>
      </c>
      <c r="BF2622">
        <v>5</v>
      </c>
      <c r="BG2622">
        <v>0</v>
      </c>
    </row>
    <row r="2623" spans="1:59">
      <c r="A2623" s="1">
        <f>HYPERLINK("https://lsnyc.legalserver.org/matter/dynamic-profile/view/1906611","19-1906611")</f>
        <v>0</v>
      </c>
      <c r="B2623" t="s">
        <v>2222</v>
      </c>
      <c r="C2623" t="s">
        <v>7010</v>
      </c>
      <c r="D2623" t="s">
        <v>9925</v>
      </c>
      <c r="E2623" t="s">
        <v>10075</v>
      </c>
      <c r="F2623">
        <v>10027</v>
      </c>
      <c r="G2623" t="s">
        <v>10089</v>
      </c>
      <c r="H2623" t="s">
        <v>10096</v>
      </c>
      <c r="I2623" t="s">
        <v>10168</v>
      </c>
      <c r="J2623" t="s">
        <v>10209</v>
      </c>
      <c r="K2623" t="s">
        <v>10217</v>
      </c>
      <c r="M2623" t="s">
        <v>10509</v>
      </c>
      <c r="N2623" t="s">
        <v>10715</v>
      </c>
      <c r="P2623" t="s">
        <v>10751</v>
      </c>
      <c r="Q2623" t="s">
        <v>10776</v>
      </c>
      <c r="R2623" t="s">
        <v>10824</v>
      </c>
      <c r="T2623">
        <v>0</v>
      </c>
      <c r="U2623">
        <v>0</v>
      </c>
      <c r="V2623">
        <v>85</v>
      </c>
      <c r="W2623">
        <v>2</v>
      </c>
      <c r="X2623">
        <v>0</v>
      </c>
      <c r="Z2623">
        <v>0</v>
      </c>
      <c r="AA2623">
        <v>40.806324</v>
      </c>
      <c r="AB2623">
        <v>-73.945419</v>
      </c>
      <c r="AD2623" t="s">
        <v>10840</v>
      </c>
      <c r="AG2623" t="s">
        <v>10858</v>
      </c>
      <c r="AH2623" t="s">
        <v>10861</v>
      </c>
      <c r="AI2623">
        <v>236</v>
      </c>
      <c r="AJ2623" t="s">
        <v>10209</v>
      </c>
      <c r="AL2623">
        <v>0</v>
      </c>
      <c r="AM2623" t="s">
        <v>10887</v>
      </c>
      <c r="AN2623" t="s">
        <v>10936</v>
      </c>
      <c r="AO2623" t="s">
        <v>11016</v>
      </c>
      <c r="AP2623" t="s">
        <v>11076</v>
      </c>
      <c r="AR2623" t="s">
        <v>11267</v>
      </c>
      <c r="AS2623" t="s">
        <v>9925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</row>
    <row r="2624" spans="1:59">
      <c r="A2624" s="1">
        <f>HYPERLINK("https://lsnyc.legalserver.org/matter/dynamic-profile/view/1906612","19-1906612")</f>
        <v>0</v>
      </c>
      <c r="B2624" t="s">
        <v>2223</v>
      </c>
      <c r="C2624" t="s">
        <v>7011</v>
      </c>
      <c r="D2624" t="s">
        <v>9925</v>
      </c>
      <c r="E2624" t="s">
        <v>10075</v>
      </c>
      <c r="F2624">
        <v>10027</v>
      </c>
      <c r="G2624" t="s">
        <v>10089</v>
      </c>
      <c r="H2624" t="s">
        <v>10096</v>
      </c>
      <c r="I2624" t="s">
        <v>10168</v>
      </c>
      <c r="J2624" t="s">
        <v>10209</v>
      </c>
      <c r="K2624" t="s">
        <v>10217</v>
      </c>
      <c r="M2624" t="s">
        <v>10388</v>
      </c>
      <c r="N2624" t="s">
        <v>10715</v>
      </c>
      <c r="P2624" t="s">
        <v>10751</v>
      </c>
      <c r="Q2624" t="s">
        <v>10776</v>
      </c>
      <c r="R2624" t="s">
        <v>10820</v>
      </c>
      <c r="T2624">
        <v>11280</v>
      </c>
      <c r="U2624">
        <v>940</v>
      </c>
      <c r="V2624">
        <v>45</v>
      </c>
      <c r="W2624">
        <v>1</v>
      </c>
      <c r="X2624">
        <v>0</v>
      </c>
      <c r="Z2624">
        <v>90.31</v>
      </c>
      <c r="AA2624">
        <v>40.803131</v>
      </c>
      <c r="AB2624">
        <v>-73.94499399999999</v>
      </c>
      <c r="AD2624" t="s">
        <v>10839</v>
      </c>
      <c r="AG2624" t="s">
        <v>10858</v>
      </c>
      <c r="AH2624" t="s">
        <v>10861</v>
      </c>
      <c r="AI2624">
        <v>236</v>
      </c>
      <c r="AJ2624" t="s">
        <v>10209</v>
      </c>
      <c r="AL2624">
        <v>0</v>
      </c>
      <c r="AM2624" t="s">
        <v>10887</v>
      </c>
      <c r="AN2624" t="s">
        <v>10936</v>
      </c>
      <c r="AO2624" t="s">
        <v>11016</v>
      </c>
      <c r="AP2624" t="s">
        <v>11076</v>
      </c>
      <c r="AR2624" t="s">
        <v>11254</v>
      </c>
      <c r="AS2624" t="s">
        <v>9925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</row>
    <row r="2625" spans="1:59">
      <c r="A2625" s="1">
        <f>HYPERLINK("https://lsnyc.legalserver.org/matter/dynamic-profile/view/1906613","19-1906613")</f>
        <v>0</v>
      </c>
      <c r="B2625" t="s">
        <v>2224</v>
      </c>
      <c r="C2625" t="s">
        <v>6838</v>
      </c>
      <c r="D2625" t="s">
        <v>9928</v>
      </c>
      <c r="E2625" t="s">
        <v>10075</v>
      </c>
      <c r="F2625">
        <v>11206</v>
      </c>
      <c r="G2625" t="s">
        <v>10093</v>
      </c>
      <c r="H2625" t="s">
        <v>10096</v>
      </c>
      <c r="I2625" t="s">
        <v>10169</v>
      </c>
      <c r="J2625" t="s">
        <v>10213</v>
      </c>
      <c r="K2625" t="s">
        <v>10217</v>
      </c>
      <c r="M2625" t="s">
        <v>10280</v>
      </c>
      <c r="N2625" t="s">
        <v>10656</v>
      </c>
      <c r="P2625" t="s">
        <v>10751</v>
      </c>
      <c r="Q2625" t="s">
        <v>10780</v>
      </c>
      <c r="R2625" t="s">
        <v>10821</v>
      </c>
      <c r="T2625">
        <v>20800</v>
      </c>
      <c r="U2625">
        <v>1733.33</v>
      </c>
      <c r="V2625">
        <v>2</v>
      </c>
      <c r="W2625">
        <v>3</v>
      </c>
      <c r="X2625">
        <v>0</v>
      </c>
      <c r="Z2625">
        <v>97.52</v>
      </c>
      <c r="AA2625">
        <v>40.702385</v>
      </c>
      <c r="AB2625">
        <v>-73.943741</v>
      </c>
      <c r="AD2625" t="s">
        <v>10840</v>
      </c>
      <c r="AG2625" t="s">
        <v>10858</v>
      </c>
      <c r="AH2625" t="s">
        <v>10861</v>
      </c>
      <c r="AI2625">
        <v>234</v>
      </c>
      <c r="AJ2625" t="s">
        <v>10214</v>
      </c>
      <c r="AL2625">
        <v>3.5</v>
      </c>
      <c r="AM2625" t="s">
        <v>10886</v>
      </c>
      <c r="AN2625" t="s">
        <v>10942</v>
      </c>
      <c r="AO2625" t="s">
        <v>11011</v>
      </c>
      <c r="AP2625" t="s">
        <v>11071</v>
      </c>
      <c r="AR2625" t="s">
        <v>11262</v>
      </c>
      <c r="AS2625" t="s">
        <v>11595</v>
      </c>
      <c r="AT2625" t="s">
        <v>11642</v>
      </c>
      <c r="AX2625" t="s">
        <v>10838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</row>
    <row r="2626" spans="1:59">
      <c r="A2626" s="1">
        <f>HYPERLINK("https://lsnyc.legalserver.org/matter/dynamic-profile/view/1906614","19-1906614")</f>
        <v>0</v>
      </c>
      <c r="B2626" t="s">
        <v>2225</v>
      </c>
      <c r="C2626" t="s">
        <v>7012</v>
      </c>
      <c r="D2626" t="s">
        <v>9925</v>
      </c>
      <c r="E2626" t="s">
        <v>10075</v>
      </c>
      <c r="F2626">
        <v>10029</v>
      </c>
      <c r="G2626" t="s">
        <v>10093</v>
      </c>
      <c r="H2626" t="s">
        <v>10096</v>
      </c>
      <c r="I2626" t="s">
        <v>10168</v>
      </c>
      <c r="J2626" t="s">
        <v>10213</v>
      </c>
      <c r="K2626" t="s">
        <v>10217</v>
      </c>
      <c r="M2626" t="s">
        <v>10373</v>
      </c>
      <c r="N2626" t="s">
        <v>10665</v>
      </c>
      <c r="P2626" t="s">
        <v>10750</v>
      </c>
      <c r="Q2626" t="s">
        <v>10760</v>
      </c>
      <c r="R2626" t="s">
        <v>10824</v>
      </c>
      <c r="T2626">
        <v>53362</v>
      </c>
      <c r="U2626">
        <v>4446.83</v>
      </c>
      <c r="V2626">
        <v>26</v>
      </c>
      <c r="W2626">
        <v>2</v>
      </c>
      <c r="X2626">
        <v>1</v>
      </c>
      <c r="Z2626">
        <v>250.17</v>
      </c>
      <c r="AA2626">
        <v>40.79115</v>
      </c>
      <c r="AB2626">
        <v>-73.94528200000001</v>
      </c>
      <c r="AD2626" t="s">
        <v>10840</v>
      </c>
      <c r="AG2626" t="s">
        <v>10858</v>
      </c>
      <c r="AH2626" t="s">
        <v>10876</v>
      </c>
      <c r="AI2626">
        <v>239</v>
      </c>
      <c r="AJ2626" t="s">
        <v>10213</v>
      </c>
      <c r="AL2626">
        <v>7.75</v>
      </c>
      <c r="AM2626" t="s">
        <v>10887</v>
      </c>
      <c r="AN2626" t="s">
        <v>10926</v>
      </c>
      <c r="AO2626" t="s">
        <v>11013</v>
      </c>
      <c r="AP2626" t="s">
        <v>11066</v>
      </c>
      <c r="AR2626" t="s">
        <v>11257</v>
      </c>
      <c r="AS2626" t="s">
        <v>9925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</row>
    <row r="2627" spans="1:59">
      <c r="A2627" s="1">
        <f>HYPERLINK("https://lsnyc.legalserver.org/matter/dynamic-profile/view/1906615","19-1906615")</f>
        <v>0</v>
      </c>
      <c r="B2627" t="s">
        <v>2226</v>
      </c>
      <c r="C2627" t="s">
        <v>7013</v>
      </c>
      <c r="D2627" t="s">
        <v>9925</v>
      </c>
      <c r="E2627" t="s">
        <v>10075</v>
      </c>
      <c r="F2627">
        <v>10030</v>
      </c>
      <c r="G2627" t="s">
        <v>10089</v>
      </c>
      <c r="H2627" t="s">
        <v>10096</v>
      </c>
      <c r="I2627" t="s">
        <v>10168</v>
      </c>
      <c r="J2627" t="s">
        <v>10209</v>
      </c>
      <c r="K2627" t="s">
        <v>10217</v>
      </c>
      <c r="M2627" t="s">
        <v>10389</v>
      </c>
      <c r="N2627" t="s">
        <v>10715</v>
      </c>
      <c r="P2627" t="s">
        <v>10751</v>
      </c>
      <c r="Q2627" t="s">
        <v>10776</v>
      </c>
      <c r="R2627" t="s">
        <v>10824</v>
      </c>
      <c r="T2627">
        <v>4888</v>
      </c>
      <c r="U2627">
        <v>407.33</v>
      </c>
      <c r="V2627">
        <v>41</v>
      </c>
      <c r="W2627">
        <v>1</v>
      </c>
      <c r="X2627">
        <v>0</v>
      </c>
      <c r="Z2627">
        <v>39.14</v>
      </c>
      <c r="AA2627">
        <v>40.815998</v>
      </c>
      <c r="AB2627">
        <v>-73.94073899999999</v>
      </c>
      <c r="AD2627" t="s">
        <v>10839</v>
      </c>
      <c r="AF2627" t="s">
        <v>10843</v>
      </c>
      <c r="AG2627" t="s">
        <v>10859</v>
      </c>
      <c r="AH2627" t="s">
        <v>10862</v>
      </c>
      <c r="AI2627">
        <v>236</v>
      </c>
      <c r="AJ2627" t="s">
        <v>10209</v>
      </c>
      <c r="AL2627">
        <v>0</v>
      </c>
      <c r="AM2627" t="s">
        <v>10887</v>
      </c>
      <c r="AN2627" t="s">
        <v>10936</v>
      </c>
      <c r="AO2627" t="s">
        <v>11016</v>
      </c>
      <c r="AP2627" t="s">
        <v>11076</v>
      </c>
      <c r="AR2627" t="s">
        <v>11260</v>
      </c>
      <c r="AS2627" t="s">
        <v>9925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</row>
    <row r="2628" spans="1:59">
      <c r="A2628" s="1">
        <f>HYPERLINK("https://lsnyc.legalserver.org/matter/dynamic-profile/view/1906617","19-1906617")</f>
        <v>0</v>
      </c>
      <c r="B2628" t="s">
        <v>2227</v>
      </c>
      <c r="C2628" t="s">
        <v>5811</v>
      </c>
      <c r="D2628" t="s">
        <v>9925</v>
      </c>
      <c r="E2628" t="s">
        <v>10075</v>
      </c>
      <c r="F2628">
        <v>10002</v>
      </c>
      <c r="G2628" t="s">
        <v>10089</v>
      </c>
      <c r="H2628" t="s">
        <v>10096</v>
      </c>
      <c r="I2628" t="s">
        <v>10169</v>
      </c>
      <c r="J2628" t="s">
        <v>10209</v>
      </c>
      <c r="K2628" t="s">
        <v>10218</v>
      </c>
      <c r="L2628" t="s">
        <v>10096</v>
      </c>
      <c r="M2628" t="s">
        <v>10305</v>
      </c>
      <c r="N2628" t="s">
        <v>10691</v>
      </c>
      <c r="P2628" t="s">
        <v>10756</v>
      </c>
      <c r="Q2628" t="s">
        <v>10792</v>
      </c>
      <c r="R2628" t="s">
        <v>10821</v>
      </c>
      <c r="T2628">
        <v>24000</v>
      </c>
      <c r="U2628">
        <v>2000</v>
      </c>
      <c r="V2628">
        <v>67</v>
      </c>
      <c r="W2628">
        <v>2</v>
      </c>
      <c r="X2628">
        <v>0</v>
      </c>
      <c r="Y2628" t="s">
        <v>10830</v>
      </c>
      <c r="Z2628">
        <v>141.93</v>
      </c>
      <c r="AA2628">
        <v>40.715577</v>
      </c>
      <c r="AB2628">
        <v>-73.98443399999999</v>
      </c>
      <c r="AD2628" t="s">
        <v>10840</v>
      </c>
      <c r="AG2628" t="s">
        <v>10858</v>
      </c>
      <c r="AH2628" t="s">
        <v>10861</v>
      </c>
      <c r="AI2628">
        <v>236</v>
      </c>
      <c r="AJ2628" t="s">
        <v>10209</v>
      </c>
      <c r="AK2628" t="s">
        <v>10838</v>
      </c>
      <c r="AL2628">
        <v>1.25</v>
      </c>
      <c r="AM2628" t="s">
        <v>10891</v>
      </c>
      <c r="AN2628" t="s">
        <v>10963</v>
      </c>
      <c r="AO2628" t="s">
        <v>11004</v>
      </c>
      <c r="AP2628" t="s">
        <v>11093</v>
      </c>
      <c r="AR2628" t="s">
        <v>11300</v>
      </c>
      <c r="AS2628" t="s">
        <v>9925</v>
      </c>
      <c r="AT2628" t="s">
        <v>11642</v>
      </c>
      <c r="AY2628" t="s">
        <v>10830</v>
      </c>
      <c r="AZ2628" t="s">
        <v>11698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</row>
    <row r="2629" spans="1:59">
      <c r="A2629" s="1">
        <f>HYPERLINK("https://lsnyc.legalserver.org/matter/dynamic-profile/view/1906619","19-1906619")</f>
        <v>0</v>
      </c>
      <c r="B2629" t="s">
        <v>2228</v>
      </c>
      <c r="C2629" t="s">
        <v>7014</v>
      </c>
      <c r="D2629" t="s">
        <v>9928</v>
      </c>
      <c r="E2629" t="s">
        <v>10075</v>
      </c>
      <c r="F2629">
        <v>11229</v>
      </c>
      <c r="G2629" t="s">
        <v>10093</v>
      </c>
      <c r="H2629" t="s">
        <v>10139</v>
      </c>
      <c r="I2629" t="s">
        <v>10171</v>
      </c>
      <c r="J2629" t="s">
        <v>10213</v>
      </c>
      <c r="K2629" t="s">
        <v>10217</v>
      </c>
      <c r="M2629" t="s">
        <v>10390</v>
      </c>
      <c r="N2629" t="s">
        <v>10644</v>
      </c>
      <c r="P2629" t="s">
        <v>10749</v>
      </c>
      <c r="Q2629" t="s">
        <v>10791</v>
      </c>
      <c r="R2629" t="s">
        <v>10820</v>
      </c>
      <c r="T2629">
        <v>19896</v>
      </c>
      <c r="U2629">
        <v>1658</v>
      </c>
      <c r="V2629">
        <v>64</v>
      </c>
      <c r="W2629">
        <v>2</v>
      </c>
      <c r="X2629">
        <v>0</v>
      </c>
      <c r="Z2629">
        <v>117.66</v>
      </c>
      <c r="AA2629">
        <v>40.609069</v>
      </c>
      <c r="AB2629">
        <v>-73.95357</v>
      </c>
      <c r="AD2629" t="s">
        <v>10839</v>
      </c>
      <c r="AG2629" t="s">
        <v>10858</v>
      </c>
      <c r="AH2629" t="s">
        <v>10869</v>
      </c>
      <c r="AI2629">
        <v>239</v>
      </c>
      <c r="AJ2629" t="s">
        <v>10213</v>
      </c>
      <c r="AL2629">
        <v>7</v>
      </c>
      <c r="AM2629" t="s">
        <v>10888</v>
      </c>
      <c r="AN2629" t="s">
        <v>10957</v>
      </c>
      <c r="AO2629" t="s">
        <v>11015</v>
      </c>
      <c r="AP2629" t="s">
        <v>11092</v>
      </c>
      <c r="AQ2629" t="s">
        <v>11100</v>
      </c>
      <c r="AR2629" t="s">
        <v>11346</v>
      </c>
      <c r="AS2629" t="s">
        <v>11595</v>
      </c>
      <c r="BA2629" t="s">
        <v>11740</v>
      </c>
      <c r="BB2629">
        <v>0</v>
      </c>
      <c r="BC2629">
        <v>0</v>
      </c>
      <c r="BD2629">
        <v>0</v>
      </c>
      <c r="BE2629">
        <v>0</v>
      </c>
      <c r="BF2629">
        <v>2</v>
      </c>
      <c r="BG2629">
        <v>0</v>
      </c>
    </row>
    <row r="2630" spans="1:59">
      <c r="A2630" s="1">
        <f>HYPERLINK("https://lsnyc.legalserver.org/matter/dynamic-profile/view/1906620","19-1906620")</f>
        <v>0</v>
      </c>
      <c r="B2630" t="s">
        <v>2229</v>
      </c>
      <c r="C2630" t="s">
        <v>7015</v>
      </c>
      <c r="D2630" t="s">
        <v>9926</v>
      </c>
      <c r="E2630" t="s">
        <v>10075</v>
      </c>
      <c r="F2630">
        <v>10463</v>
      </c>
      <c r="G2630" t="s">
        <v>10093</v>
      </c>
      <c r="H2630" t="s">
        <v>10096</v>
      </c>
      <c r="I2630" t="s">
        <v>10168</v>
      </c>
      <c r="J2630" t="s">
        <v>10213</v>
      </c>
      <c r="K2630" t="s">
        <v>10217</v>
      </c>
      <c r="M2630" t="s">
        <v>10280</v>
      </c>
      <c r="N2630" t="s">
        <v>10656</v>
      </c>
      <c r="P2630" t="s">
        <v>10751</v>
      </c>
      <c r="Q2630" t="s">
        <v>10780</v>
      </c>
      <c r="R2630" t="s">
        <v>10821</v>
      </c>
      <c r="T2630">
        <v>19536</v>
      </c>
      <c r="U2630">
        <v>1628</v>
      </c>
      <c r="V2630">
        <v>19</v>
      </c>
      <c r="W2630">
        <v>2</v>
      </c>
      <c r="X2630">
        <v>0</v>
      </c>
      <c r="Z2630">
        <v>115.53</v>
      </c>
      <c r="AA2630">
        <v>40.886262</v>
      </c>
      <c r="AB2630">
        <v>-73.906083</v>
      </c>
      <c r="AD2630" t="s">
        <v>10840</v>
      </c>
      <c r="AG2630" t="s">
        <v>10858</v>
      </c>
      <c r="AH2630" t="s">
        <v>10861</v>
      </c>
      <c r="AI2630">
        <v>234</v>
      </c>
      <c r="AJ2630" t="s">
        <v>10214</v>
      </c>
      <c r="AL2630">
        <v>4.25</v>
      </c>
      <c r="AM2630" t="s">
        <v>10893</v>
      </c>
      <c r="AN2630" t="s">
        <v>10919</v>
      </c>
      <c r="AO2630" t="s">
        <v>11002</v>
      </c>
      <c r="AP2630" t="s">
        <v>11057</v>
      </c>
      <c r="AR2630" t="s">
        <v>11365</v>
      </c>
      <c r="AS2630" t="s">
        <v>9926</v>
      </c>
      <c r="AT2630" t="s">
        <v>11642</v>
      </c>
      <c r="AX2630" t="s">
        <v>10838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</row>
    <row r="2631" spans="1:59">
      <c r="A2631" s="1">
        <f>HYPERLINK("https://lsnyc.legalserver.org/matter/dynamic-profile/view/1906621","19-1906621")</f>
        <v>0</v>
      </c>
      <c r="B2631" t="s">
        <v>2230</v>
      </c>
      <c r="C2631" t="s">
        <v>7016</v>
      </c>
      <c r="D2631" t="s">
        <v>9925</v>
      </c>
      <c r="E2631" t="s">
        <v>10075</v>
      </c>
      <c r="F2631">
        <v>10027</v>
      </c>
      <c r="G2631" t="s">
        <v>10089</v>
      </c>
      <c r="H2631" t="s">
        <v>10096</v>
      </c>
      <c r="I2631" t="s">
        <v>10168</v>
      </c>
      <c r="J2631" t="s">
        <v>10209</v>
      </c>
      <c r="K2631" t="s">
        <v>10217</v>
      </c>
      <c r="M2631" t="s">
        <v>10501</v>
      </c>
      <c r="N2631" t="s">
        <v>10715</v>
      </c>
      <c r="P2631" t="s">
        <v>10751</v>
      </c>
      <c r="Q2631" t="s">
        <v>10776</v>
      </c>
      <c r="R2631" t="s">
        <v>10821</v>
      </c>
      <c r="T2631">
        <v>8808</v>
      </c>
      <c r="U2631">
        <v>734</v>
      </c>
      <c r="V2631">
        <v>44</v>
      </c>
      <c r="W2631">
        <v>1</v>
      </c>
      <c r="X2631">
        <v>2</v>
      </c>
      <c r="Z2631">
        <v>41.29</v>
      </c>
      <c r="AA2631">
        <v>40.812121</v>
      </c>
      <c r="AB2631">
        <v>-73.95500199999999</v>
      </c>
      <c r="AD2631" t="s">
        <v>10839</v>
      </c>
      <c r="AG2631" t="s">
        <v>10858</v>
      </c>
      <c r="AH2631" t="s">
        <v>10861</v>
      </c>
      <c r="AI2631">
        <v>236</v>
      </c>
      <c r="AJ2631" t="s">
        <v>10209</v>
      </c>
      <c r="AL2631">
        <v>0</v>
      </c>
      <c r="AM2631" t="s">
        <v>10887</v>
      </c>
      <c r="AN2631" t="s">
        <v>10936</v>
      </c>
      <c r="AO2631" t="s">
        <v>11016</v>
      </c>
      <c r="AP2631" t="s">
        <v>11073</v>
      </c>
      <c r="AR2631" t="s">
        <v>11274</v>
      </c>
      <c r="AS2631" t="s">
        <v>9925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</row>
    <row r="2632" spans="1:59">
      <c r="A2632" s="1">
        <f>HYPERLINK("https://lsnyc.legalserver.org/matter/dynamic-profile/view/1906622","19-1906622")</f>
        <v>0</v>
      </c>
      <c r="B2632" t="s">
        <v>2231</v>
      </c>
      <c r="C2632" t="s">
        <v>7017</v>
      </c>
      <c r="D2632" t="s">
        <v>9926</v>
      </c>
      <c r="E2632" t="s">
        <v>10075</v>
      </c>
      <c r="F2632">
        <v>10456</v>
      </c>
      <c r="G2632" t="s">
        <v>10090</v>
      </c>
      <c r="H2632" t="s">
        <v>10096</v>
      </c>
      <c r="I2632" t="s">
        <v>10168</v>
      </c>
      <c r="J2632" t="s">
        <v>10210</v>
      </c>
      <c r="K2632" t="s">
        <v>10217</v>
      </c>
      <c r="M2632" t="s">
        <v>10372</v>
      </c>
      <c r="N2632" t="s">
        <v>10671</v>
      </c>
      <c r="P2632" t="s">
        <v>10750</v>
      </c>
      <c r="Q2632" t="s">
        <v>10778</v>
      </c>
      <c r="R2632" t="s">
        <v>10821</v>
      </c>
      <c r="T2632">
        <v>4200</v>
      </c>
      <c r="U2632">
        <v>350</v>
      </c>
      <c r="V2632">
        <v>31</v>
      </c>
      <c r="W2632">
        <v>1</v>
      </c>
      <c r="X2632">
        <v>2</v>
      </c>
      <c r="Z2632">
        <v>19.69</v>
      </c>
      <c r="AA2632">
        <v>40.8325</v>
      </c>
      <c r="AB2632">
        <v>-73.909222</v>
      </c>
      <c r="AD2632" t="s">
        <v>10840</v>
      </c>
      <c r="AG2632" t="s">
        <v>10858</v>
      </c>
      <c r="AH2632" t="s">
        <v>10861</v>
      </c>
      <c r="AI2632">
        <v>234</v>
      </c>
      <c r="AJ2632" t="s">
        <v>10214</v>
      </c>
      <c r="AL2632">
        <v>2.25</v>
      </c>
      <c r="AM2632" t="s">
        <v>10884</v>
      </c>
      <c r="AN2632" t="s">
        <v>10918</v>
      </c>
      <c r="AO2632" t="s">
        <v>11001</v>
      </c>
      <c r="AP2632" t="s">
        <v>11055</v>
      </c>
      <c r="AR2632" t="s">
        <v>11255</v>
      </c>
      <c r="AS2632" t="s">
        <v>9926</v>
      </c>
      <c r="AT2632" t="s">
        <v>11642</v>
      </c>
      <c r="AX2632" t="s">
        <v>10838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</row>
    <row r="2633" spans="1:59">
      <c r="A2633" s="1">
        <f>HYPERLINK("https://lsnyc.legalserver.org/matter/dynamic-profile/view/1906623","19-1906623")</f>
        <v>0</v>
      </c>
      <c r="B2633" t="s">
        <v>2232</v>
      </c>
      <c r="C2633" t="s">
        <v>7018</v>
      </c>
      <c r="D2633" t="s">
        <v>9928</v>
      </c>
      <c r="E2633" t="s">
        <v>10075</v>
      </c>
      <c r="F2633">
        <v>11234</v>
      </c>
      <c r="G2633" t="s">
        <v>10093</v>
      </c>
      <c r="H2633" t="s">
        <v>10096</v>
      </c>
      <c r="I2633" t="s">
        <v>10168</v>
      </c>
      <c r="J2633" t="s">
        <v>10213</v>
      </c>
      <c r="K2633" t="s">
        <v>10218</v>
      </c>
      <c r="L2633" t="s">
        <v>10141</v>
      </c>
      <c r="M2633" t="s">
        <v>10435</v>
      </c>
      <c r="N2633" t="s">
        <v>10665</v>
      </c>
      <c r="P2633" t="s">
        <v>10750</v>
      </c>
      <c r="Q2633" t="s">
        <v>10779</v>
      </c>
      <c r="R2633" t="s">
        <v>10824</v>
      </c>
      <c r="T2633">
        <v>0</v>
      </c>
      <c r="U2633">
        <v>0</v>
      </c>
      <c r="V2633">
        <v>32</v>
      </c>
      <c r="W2633">
        <v>1</v>
      </c>
      <c r="X2633">
        <v>0</v>
      </c>
      <c r="Y2633" t="s">
        <v>10829</v>
      </c>
      <c r="Z2633">
        <v>0</v>
      </c>
      <c r="AA2633">
        <v>40.616224</v>
      </c>
      <c r="AB2633">
        <v>-73.938986</v>
      </c>
      <c r="AD2633" t="s">
        <v>10839</v>
      </c>
      <c r="AG2633" t="s">
        <v>10858</v>
      </c>
      <c r="AH2633" t="s">
        <v>10871</v>
      </c>
      <c r="AI2633">
        <v>234</v>
      </c>
      <c r="AJ2633" t="s">
        <v>10214</v>
      </c>
      <c r="AK2633" t="s">
        <v>10838</v>
      </c>
      <c r="AL2633">
        <v>2</v>
      </c>
      <c r="AM2633" t="s">
        <v>10888</v>
      </c>
      <c r="AN2633" t="s">
        <v>10957</v>
      </c>
      <c r="AO2633" t="s">
        <v>11023</v>
      </c>
      <c r="AP2633" t="s">
        <v>11065</v>
      </c>
      <c r="AR2633" t="s">
        <v>11267</v>
      </c>
      <c r="AS2633" t="s">
        <v>11595</v>
      </c>
      <c r="AT2633" t="s">
        <v>11641</v>
      </c>
      <c r="AX2633" t="s">
        <v>10838</v>
      </c>
      <c r="AY2633" t="s">
        <v>10829</v>
      </c>
      <c r="AZ2633" t="s">
        <v>11679</v>
      </c>
      <c r="BA2633" t="s">
        <v>11741</v>
      </c>
      <c r="BB2633">
        <v>0</v>
      </c>
      <c r="BC2633">
        <v>0</v>
      </c>
      <c r="BD2633">
        <v>0</v>
      </c>
      <c r="BE2633">
        <v>0</v>
      </c>
      <c r="BF2633">
        <v>1</v>
      </c>
      <c r="BG2633">
        <v>0</v>
      </c>
    </row>
    <row r="2634" spans="1:59">
      <c r="A2634" s="1">
        <f>HYPERLINK("https://lsnyc.legalserver.org/matter/dynamic-profile/view/1906624","19-1906624")</f>
        <v>0</v>
      </c>
      <c r="B2634" t="s">
        <v>2233</v>
      </c>
      <c r="C2634" t="s">
        <v>7019</v>
      </c>
      <c r="D2634" t="s">
        <v>9925</v>
      </c>
      <c r="E2634" t="s">
        <v>10075</v>
      </c>
      <c r="F2634">
        <v>10027</v>
      </c>
      <c r="G2634" t="s">
        <v>10089</v>
      </c>
      <c r="H2634" t="s">
        <v>10096</v>
      </c>
      <c r="I2634" t="s">
        <v>10168</v>
      </c>
      <c r="J2634" t="s">
        <v>10209</v>
      </c>
      <c r="K2634" t="s">
        <v>10217</v>
      </c>
      <c r="M2634" t="s">
        <v>10391</v>
      </c>
      <c r="N2634" t="s">
        <v>10715</v>
      </c>
      <c r="P2634" t="s">
        <v>10751</v>
      </c>
      <c r="Q2634" t="s">
        <v>10776</v>
      </c>
      <c r="R2634" t="s">
        <v>10822</v>
      </c>
      <c r="T2634">
        <v>2040</v>
      </c>
      <c r="U2634">
        <v>170</v>
      </c>
      <c r="V2634">
        <v>24</v>
      </c>
      <c r="W2634">
        <v>1</v>
      </c>
      <c r="X2634">
        <v>0</v>
      </c>
      <c r="Z2634">
        <v>16.33</v>
      </c>
      <c r="AA2634">
        <v>40.818508</v>
      </c>
      <c r="AB2634">
        <v>-73.95697699999999</v>
      </c>
      <c r="AD2634" t="s">
        <v>10839</v>
      </c>
      <c r="AG2634" t="s">
        <v>10858</v>
      </c>
      <c r="AH2634" t="s">
        <v>10861</v>
      </c>
      <c r="AI2634">
        <v>236</v>
      </c>
      <c r="AJ2634" t="s">
        <v>10209</v>
      </c>
      <c r="AL2634">
        <v>0</v>
      </c>
      <c r="AM2634" t="s">
        <v>10887</v>
      </c>
      <c r="AN2634" t="s">
        <v>10936</v>
      </c>
      <c r="AO2634" t="s">
        <v>11019</v>
      </c>
      <c r="AP2634" t="s">
        <v>11073</v>
      </c>
      <c r="AR2634" t="s">
        <v>11257</v>
      </c>
      <c r="AS2634" t="s">
        <v>9925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</row>
    <row r="2635" spans="1:59">
      <c r="A2635" s="1">
        <f>HYPERLINK("https://lsnyc.legalserver.org/matter/dynamic-profile/view/1906625","19-1906625")</f>
        <v>0</v>
      </c>
      <c r="B2635" t="s">
        <v>2198</v>
      </c>
      <c r="C2635" t="s">
        <v>7020</v>
      </c>
      <c r="D2635" t="s">
        <v>9926</v>
      </c>
      <c r="E2635" t="s">
        <v>10075</v>
      </c>
      <c r="F2635">
        <v>10458</v>
      </c>
      <c r="G2635" t="s">
        <v>10093</v>
      </c>
      <c r="H2635" t="s">
        <v>10096</v>
      </c>
      <c r="I2635" t="s">
        <v>10168</v>
      </c>
      <c r="J2635" t="s">
        <v>10213</v>
      </c>
      <c r="K2635" t="s">
        <v>10217</v>
      </c>
      <c r="M2635" t="s">
        <v>10378</v>
      </c>
      <c r="N2635" t="s">
        <v>10662</v>
      </c>
      <c r="P2635" t="s">
        <v>10754</v>
      </c>
      <c r="Q2635" t="s">
        <v>10784</v>
      </c>
      <c r="R2635" t="s">
        <v>10825</v>
      </c>
      <c r="T2635">
        <v>10302.6</v>
      </c>
      <c r="U2635">
        <v>858.55</v>
      </c>
      <c r="V2635">
        <v>29</v>
      </c>
      <c r="W2635">
        <v>1</v>
      </c>
      <c r="X2635">
        <v>0</v>
      </c>
      <c r="Z2635">
        <v>82.48999999999999</v>
      </c>
      <c r="AA2635">
        <v>40.856237</v>
      </c>
      <c r="AB2635">
        <v>-73.892005</v>
      </c>
      <c r="AD2635" t="s">
        <v>10840</v>
      </c>
      <c r="AG2635" t="s">
        <v>10858</v>
      </c>
      <c r="AH2635" t="s">
        <v>10868</v>
      </c>
      <c r="AI2635">
        <v>239</v>
      </c>
      <c r="AJ2635" t="s">
        <v>10213</v>
      </c>
      <c r="AL2635">
        <v>5</v>
      </c>
      <c r="AM2635" t="s">
        <v>10884</v>
      </c>
      <c r="AN2635" t="s">
        <v>10907</v>
      </c>
      <c r="AO2635" t="s">
        <v>11000</v>
      </c>
      <c r="AP2635" t="s">
        <v>11056</v>
      </c>
      <c r="AQ2635" t="s">
        <v>11117</v>
      </c>
      <c r="AR2635" t="s">
        <v>11374</v>
      </c>
      <c r="AS2635" t="s">
        <v>9926</v>
      </c>
      <c r="AT2635" t="s">
        <v>11642</v>
      </c>
      <c r="AU2635" t="s">
        <v>11646</v>
      </c>
      <c r="AX2635" t="s">
        <v>10837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</row>
    <row r="2636" spans="1:59">
      <c r="A2636" s="1">
        <f>HYPERLINK("https://lsnyc.legalserver.org/matter/dynamic-profile/view/1906626","19-1906626")</f>
        <v>0</v>
      </c>
      <c r="B2636" t="s">
        <v>2234</v>
      </c>
      <c r="C2636" t="s">
        <v>7021</v>
      </c>
      <c r="D2636" t="s">
        <v>9928</v>
      </c>
      <c r="E2636" t="s">
        <v>10075</v>
      </c>
      <c r="F2636">
        <v>11234</v>
      </c>
      <c r="G2636" t="s">
        <v>10093</v>
      </c>
      <c r="H2636" t="s">
        <v>10096</v>
      </c>
      <c r="I2636" t="s">
        <v>10168</v>
      </c>
      <c r="J2636" t="s">
        <v>10213</v>
      </c>
      <c r="K2636" t="s">
        <v>10217</v>
      </c>
      <c r="M2636" t="s">
        <v>10256</v>
      </c>
      <c r="N2636" t="s">
        <v>10671</v>
      </c>
      <c r="P2636" t="s">
        <v>10756</v>
      </c>
      <c r="Q2636" t="s">
        <v>10787</v>
      </c>
      <c r="R2636" t="s">
        <v>10820</v>
      </c>
      <c r="T2636">
        <v>21422</v>
      </c>
      <c r="U2636">
        <v>1785.17</v>
      </c>
      <c r="V2636">
        <v>61</v>
      </c>
      <c r="W2636">
        <v>1</v>
      </c>
      <c r="X2636">
        <v>0</v>
      </c>
      <c r="Z2636">
        <v>171.51</v>
      </c>
      <c r="AA2636">
        <v>40.616807</v>
      </c>
      <c r="AB2636">
        <v>-73.914485</v>
      </c>
      <c r="AD2636" t="s">
        <v>10839</v>
      </c>
      <c r="AG2636" t="s">
        <v>10858</v>
      </c>
      <c r="AH2636" t="s">
        <v>10861</v>
      </c>
      <c r="AI2636">
        <v>234</v>
      </c>
      <c r="AJ2636" t="s">
        <v>10214</v>
      </c>
      <c r="AL2636">
        <v>1.7</v>
      </c>
      <c r="AM2636" t="s">
        <v>10889</v>
      </c>
      <c r="AN2636" t="s">
        <v>10959</v>
      </c>
      <c r="AO2636" t="s">
        <v>11012</v>
      </c>
      <c r="AP2636" t="s">
        <v>11072</v>
      </c>
      <c r="AQ2636" t="s">
        <v>11149</v>
      </c>
      <c r="AR2636" t="s">
        <v>11328</v>
      </c>
      <c r="AS2636" t="s">
        <v>11595</v>
      </c>
      <c r="AT2636" t="s">
        <v>11641</v>
      </c>
      <c r="AX2636" t="s">
        <v>10838</v>
      </c>
      <c r="BA2636" t="s">
        <v>11741</v>
      </c>
      <c r="BB2636">
        <v>0</v>
      </c>
      <c r="BC2636">
        <v>0</v>
      </c>
      <c r="BD2636">
        <v>0</v>
      </c>
      <c r="BE2636">
        <v>0</v>
      </c>
      <c r="BF2636">
        <v>1</v>
      </c>
      <c r="BG2636">
        <v>0</v>
      </c>
    </row>
    <row r="2637" spans="1:59">
      <c r="A2637" s="1">
        <f>HYPERLINK("https://lsnyc.legalserver.org/matter/dynamic-profile/view/1906627","19-1906627")</f>
        <v>0</v>
      </c>
      <c r="B2637" t="s">
        <v>2221</v>
      </c>
      <c r="C2637" t="s">
        <v>7009</v>
      </c>
      <c r="D2637" t="s">
        <v>9928</v>
      </c>
      <c r="E2637" t="s">
        <v>10075</v>
      </c>
      <c r="F2637">
        <v>11206</v>
      </c>
      <c r="G2637" t="s">
        <v>10093</v>
      </c>
      <c r="H2637" t="s">
        <v>10096</v>
      </c>
      <c r="I2637" t="s">
        <v>10168</v>
      </c>
      <c r="J2637" t="s">
        <v>10213</v>
      </c>
      <c r="K2637" t="s">
        <v>10217</v>
      </c>
      <c r="M2637" t="s">
        <v>10551</v>
      </c>
      <c r="N2637" t="s">
        <v>10650</v>
      </c>
      <c r="P2637" t="s">
        <v>10749</v>
      </c>
      <c r="Q2637" t="s">
        <v>10765</v>
      </c>
      <c r="R2637" t="s">
        <v>10824</v>
      </c>
      <c r="T2637">
        <v>37000</v>
      </c>
      <c r="U2637">
        <v>3083.33</v>
      </c>
      <c r="V2637">
        <v>49</v>
      </c>
      <c r="W2637">
        <v>1</v>
      </c>
      <c r="X2637">
        <v>1</v>
      </c>
      <c r="Z2637">
        <v>218.81</v>
      </c>
      <c r="AA2637">
        <v>40.693823</v>
      </c>
      <c r="AB2637">
        <v>-73.938579</v>
      </c>
      <c r="AD2637" t="s">
        <v>10840</v>
      </c>
      <c r="AG2637" t="s">
        <v>10858</v>
      </c>
      <c r="AH2637" t="s">
        <v>10862</v>
      </c>
      <c r="AI2637">
        <v>239</v>
      </c>
      <c r="AJ2637" t="s">
        <v>10213</v>
      </c>
      <c r="AL2637">
        <v>4.6</v>
      </c>
      <c r="AM2637" t="s">
        <v>10889</v>
      </c>
      <c r="AN2637" t="s">
        <v>10920</v>
      </c>
      <c r="AO2637" t="s">
        <v>11011</v>
      </c>
      <c r="AP2637" t="s">
        <v>11052</v>
      </c>
      <c r="AR2637" t="s">
        <v>11257</v>
      </c>
      <c r="AS2637" t="s">
        <v>11595</v>
      </c>
      <c r="BA2637" t="s">
        <v>11738</v>
      </c>
      <c r="BB2637">
        <v>0</v>
      </c>
      <c r="BC2637">
        <v>0</v>
      </c>
      <c r="BD2637">
        <v>0</v>
      </c>
      <c r="BE2637">
        <v>0</v>
      </c>
      <c r="BF2637">
        <v>5</v>
      </c>
      <c r="BG2637">
        <v>0</v>
      </c>
    </row>
    <row r="2638" spans="1:59">
      <c r="A2638" s="1">
        <f>HYPERLINK("https://lsnyc.legalserver.org/matter/dynamic-profile/view/1906628","19-1906628")</f>
        <v>0</v>
      </c>
      <c r="B2638" t="s">
        <v>2235</v>
      </c>
      <c r="C2638" t="s">
        <v>7022</v>
      </c>
      <c r="D2638" t="s">
        <v>9925</v>
      </c>
      <c r="E2638" t="s">
        <v>10075</v>
      </c>
      <c r="F2638">
        <v>10026</v>
      </c>
      <c r="G2638" t="s">
        <v>10089</v>
      </c>
      <c r="H2638" t="s">
        <v>10096</v>
      </c>
      <c r="I2638" t="s">
        <v>10168</v>
      </c>
      <c r="J2638" t="s">
        <v>10209</v>
      </c>
      <c r="K2638" t="s">
        <v>10217</v>
      </c>
      <c r="M2638" t="s">
        <v>10388</v>
      </c>
      <c r="N2638" t="s">
        <v>10715</v>
      </c>
      <c r="P2638" t="s">
        <v>10751</v>
      </c>
      <c r="Q2638" t="s">
        <v>10776</v>
      </c>
      <c r="R2638" t="s">
        <v>10824</v>
      </c>
      <c r="T2638">
        <v>2292</v>
      </c>
      <c r="U2638">
        <v>191</v>
      </c>
      <c r="V2638">
        <v>44</v>
      </c>
      <c r="W2638">
        <v>1</v>
      </c>
      <c r="X2638">
        <v>0</v>
      </c>
      <c r="Z2638">
        <v>18.35</v>
      </c>
      <c r="AA2638">
        <v>40.802291</v>
      </c>
      <c r="AB2638">
        <v>-73.95653799999999</v>
      </c>
      <c r="AD2638" t="s">
        <v>10840</v>
      </c>
      <c r="AG2638" t="s">
        <v>10858</v>
      </c>
      <c r="AH2638" t="s">
        <v>10862</v>
      </c>
      <c r="AI2638">
        <v>236</v>
      </c>
      <c r="AJ2638" t="s">
        <v>10209</v>
      </c>
      <c r="AL2638">
        <v>0</v>
      </c>
      <c r="AM2638" t="s">
        <v>10887</v>
      </c>
      <c r="AN2638" t="s">
        <v>10936</v>
      </c>
      <c r="AO2638" t="s">
        <v>11016</v>
      </c>
      <c r="AP2638" t="s">
        <v>11076</v>
      </c>
      <c r="AR2638" t="s">
        <v>11279</v>
      </c>
      <c r="AS2638" t="s">
        <v>9925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</row>
    <row r="2639" spans="1:59">
      <c r="A2639" s="1">
        <f>HYPERLINK("https://lsnyc.legalserver.org/matter/dynamic-profile/view/1906629","19-1906629")</f>
        <v>0</v>
      </c>
      <c r="B2639" t="s">
        <v>2236</v>
      </c>
      <c r="C2639" t="s">
        <v>7023</v>
      </c>
      <c r="D2639" t="s">
        <v>9925</v>
      </c>
      <c r="E2639" t="s">
        <v>10075</v>
      </c>
      <c r="F2639">
        <v>10026</v>
      </c>
      <c r="G2639" t="s">
        <v>10089</v>
      </c>
      <c r="H2639" t="s">
        <v>10096</v>
      </c>
      <c r="I2639" t="s">
        <v>10169</v>
      </c>
      <c r="J2639" t="s">
        <v>10209</v>
      </c>
      <c r="K2639" t="s">
        <v>10217</v>
      </c>
      <c r="M2639" t="s">
        <v>10476</v>
      </c>
      <c r="N2639" t="s">
        <v>10715</v>
      </c>
      <c r="P2639" t="s">
        <v>10751</v>
      </c>
      <c r="Q2639" t="s">
        <v>10776</v>
      </c>
      <c r="R2639" t="s">
        <v>10823</v>
      </c>
      <c r="T2639">
        <v>12588</v>
      </c>
      <c r="U2639">
        <v>1049</v>
      </c>
      <c r="V2639">
        <v>66</v>
      </c>
      <c r="W2639">
        <v>1</v>
      </c>
      <c r="X2639">
        <v>0</v>
      </c>
      <c r="Z2639">
        <v>100.78</v>
      </c>
      <c r="AA2639">
        <v>40.805646</v>
      </c>
      <c r="AB2639">
        <v>-73.951702</v>
      </c>
      <c r="AD2639" t="s">
        <v>10839</v>
      </c>
      <c r="AG2639" t="s">
        <v>10858</v>
      </c>
      <c r="AH2639" t="s">
        <v>10862</v>
      </c>
      <c r="AI2639">
        <v>236</v>
      </c>
      <c r="AJ2639" t="s">
        <v>10209</v>
      </c>
      <c r="AL2639">
        <v>0</v>
      </c>
      <c r="AM2639" t="s">
        <v>10887</v>
      </c>
      <c r="AN2639" t="s">
        <v>10936</v>
      </c>
      <c r="AO2639" t="s">
        <v>11016</v>
      </c>
      <c r="AP2639" t="s">
        <v>11076</v>
      </c>
      <c r="AR2639" t="s">
        <v>11253</v>
      </c>
      <c r="AS2639" t="s">
        <v>9925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</row>
    <row r="2640" spans="1:59">
      <c r="A2640" s="1">
        <f>HYPERLINK("https://lsnyc.legalserver.org/matter/dynamic-profile/view/1906630","19-1906630")</f>
        <v>0</v>
      </c>
      <c r="B2640" t="s">
        <v>2237</v>
      </c>
      <c r="C2640" t="s">
        <v>7024</v>
      </c>
      <c r="D2640" t="s">
        <v>9925</v>
      </c>
      <c r="E2640" t="s">
        <v>10075</v>
      </c>
      <c r="F2640">
        <v>10029</v>
      </c>
      <c r="G2640" t="s">
        <v>10091</v>
      </c>
      <c r="H2640" t="s">
        <v>10096</v>
      </c>
      <c r="I2640" t="s">
        <v>10168</v>
      </c>
      <c r="J2640" t="s">
        <v>10214</v>
      </c>
      <c r="K2640" t="s">
        <v>10217</v>
      </c>
      <c r="M2640" t="s">
        <v>10286</v>
      </c>
      <c r="N2640" t="s">
        <v>10671</v>
      </c>
      <c r="P2640" t="s">
        <v>10751</v>
      </c>
      <c r="Q2640" t="s">
        <v>10768</v>
      </c>
      <c r="R2640" t="s">
        <v>10824</v>
      </c>
      <c r="T2640">
        <v>2366</v>
      </c>
      <c r="U2640">
        <v>197.17</v>
      </c>
      <c r="V2640">
        <v>61</v>
      </c>
      <c r="W2640">
        <v>1</v>
      </c>
      <c r="X2640">
        <v>0</v>
      </c>
      <c r="Z2640">
        <v>18.94</v>
      </c>
      <c r="AA2640">
        <v>40.79602</v>
      </c>
      <c r="AB2640">
        <v>-73.94053</v>
      </c>
      <c r="AD2640" t="s">
        <v>10840</v>
      </c>
      <c r="AG2640" t="s">
        <v>10858</v>
      </c>
      <c r="AH2640" t="s">
        <v>10871</v>
      </c>
      <c r="AI2640">
        <v>234</v>
      </c>
      <c r="AJ2640" t="s">
        <v>10214</v>
      </c>
      <c r="AL2640">
        <v>1</v>
      </c>
      <c r="AM2640" t="s">
        <v>10887</v>
      </c>
      <c r="AN2640" t="s">
        <v>10926</v>
      </c>
      <c r="AO2640" t="s">
        <v>11016</v>
      </c>
      <c r="AP2640" t="s">
        <v>11066</v>
      </c>
      <c r="AR2640" t="s">
        <v>11311</v>
      </c>
      <c r="AS2640" t="s">
        <v>9925</v>
      </c>
      <c r="AT2640" t="s">
        <v>11642</v>
      </c>
      <c r="AX2640" t="s">
        <v>10838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</row>
    <row r="2641" spans="1:59">
      <c r="A2641" s="1">
        <f>HYPERLINK("https://lsnyc.legalserver.org/matter/dynamic-profile/view/1906631","19-1906631")</f>
        <v>0</v>
      </c>
      <c r="B2641" t="s">
        <v>2238</v>
      </c>
      <c r="C2641" t="s">
        <v>7025</v>
      </c>
      <c r="D2641" t="s">
        <v>9928</v>
      </c>
      <c r="E2641" t="s">
        <v>10075</v>
      </c>
      <c r="F2641">
        <v>11235</v>
      </c>
      <c r="G2641" t="s">
        <v>10093</v>
      </c>
      <c r="H2641" t="s">
        <v>10139</v>
      </c>
      <c r="I2641" t="s">
        <v>10171</v>
      </c>
      <c r="J2641" t="s">
        <v>10213</v>
      </c>
      <c r="K2641" t="s">
        <v>10217</v>
      </c>
      <c r="M2641" t="s">
        <v>10390</v>
      </c>
      <c r="N2641" t="s">
        <v>10644</v>
      </c>
      <c r="P2641" t="s">
        <v>10749</v>
      </c>
      <c r="Q2641" t="s">
        <v>10791</v>
      </c>
      <c r="R2641" t="s">
        <v>10820</v>
      </c>
      <c r="T2641">
        <v>10296</v>
      </c>
      <c r="U2641">
        <v>858</v>
      </c>
      <c r="V2641">
        <v>82</v>
      </c>
      <c r="W2641">
        <v>1</v>
      </c>
      <c r="X2641">
        <v>0</v>
      </c>
      <c r="Z2641">
        <v>82.43000000000001</v>
      </c>
      <c r="AA2641">
        <v>40.577685</v>
      </c>
      <c r="AB2641">
        <v>-73.954787</v>
      </c>
      <c r="AD2641" t="s">
        <v>10840</v>
      </c>
      <c r="AG2641" t="s">
        <v>10858</v>
      </c>
      <c r="AH2641" t="s">
        <v>10869</v>
      </c>
      <c r="AI2641">
        <v>239</v>
      </c>
      <c r="AJ2641" t="s">
        <v>10213</v>
      </c>
      <c r="AL2641">
        <v>4.25</v>
      </c>
      <c r="AM2641" t="s">
        <v>10889</v>
      </c>
      <c r="AN2641" t="s">
        <v>10965</v>
      </c>
      <c r="AO2641" t="s">
        <v>11006</v>
      </c>
      <c r="AP2641" t="s">
        <v>11092</v>
      </c>
      <c r="AQ2641" t="s">
        <v>11100</v>
      </c>
      <c r="AR2641" t="s">
        <v>11263</v>
      </c>
      <c r="AS2641" t="s">
        <v>11595</v>
      </c>
      <c r="BA2641" t="s">
        <v>11742</v>
      </c>
      <c r="BB2641">
        <v>0</v>
      </c>
      <c r="BC2641">
        <v>0</v>
      </c>
      <c r="BD2641">
        <v>0</v>
      </c>
      <c r="BE2641">
        <v>0</v>
      </c>
      <c r="BF2641">
        <v>7</v>
      </c>
      <c r="BG2641">
        <v>0</v>
      </c>
    </row>
    <row r="2642" spans="1:59">
      <c r="A2642" s="1">
        <f>HYPERLINK("https://lsnyc.legalserver.org/matter/dynamic-profile/view/1906632","19-1906632")</f>
        <v>0</v>
      </c>
      <c r="B2642" t="s">
        <v>2239</v>
      </c>
      <c r="C2642" t="s">
        <v>5092</v>
      </c>
      <c r="D2642" t="s">
        <v>9928</v>
      </c>
      <c r="E2642" t="s">
        <v>10075</v>
      </c>
      <c r="F2642">
        <v>11216</v>
      </c>
      <c r="G2642" t="s">
        <v>10093</v>
      </c>
      <c r="H2642" t="s">
        <v>10096</v>
      </c>
      <c r="I2642" t="s">
        <v>10168</v>
      </c>
      <c r="J2642" t="s">
        <v>10213</v>
      </c>
      <c r="K2642" t="s">
        <v>10218</v>
      </c>
      <c r="L2642" t="s">
        <v>10155</v>
      </c>
      <c r="M2642" t="s">
        <v>10317</v>
      </c>
      <c r="N2642" t="s">
        <v>10671</v>
      </c>
      <c r="P2642" t="s">
        <v>10751</v>
      </c>
      <c r="Q2642" t="s">
        <v>10761</v>
      </c>
      <c r="R2642" t="s">
        <v>10824</v>
      </c>
      <c r="T2642">
        <v>21600</v>
      </c>
      <c r="U2642">
        <v>1800</v>
      </c>
      <c r="V2642">
        <v>33</v>
      </c>
      <c r="W2642">
        <v>1</v>
      </c>
      <c r="X2642">
        <v>2</v>
      </c>
      <c r="Y2642" t="s">
        <v>10829</v>
      </c>
      <c r="Z2642">
        <v>101.27</v>
      </c>
      <c r="AA2642">
        <v>40.687844</v>
      </c>
      <c r="AB2642">
        <v>-73.948666</v>
      </c>
      <c r="AD2642" t="s">
        <v>10839</v>
      </c>
      <c r="AG2642" t="s">
        <v>10858</v>
      </c>
      <c r="AH2642" t="s">
        <v>10861</v>
      </c>
      <c r="AI2642">
        <v>234</v>
      </c>
      <c r="AJ2642" t="s">
        <v>10214</v>
      </c>
      <c r="AK2642" t="s">
        <v>10882</v>
      </c>
      <c r="AL2642">
        <v>5.6</v>
      </c>
      <c r="AM2642" t="s">
        <v>10889</v>
      </c>
      <c r="AN2642" t="s">
        <v>10914</v>
      </c>
      <c r="AO2642" t="s">
        <v>11007</v>
      </c>
      <c r="AP2642" t="s">
        <v>11052</v>
      </c>
      <c r="AR2642" t="s">
        <v>11257</v>
      </c>
      <c r="AS2642" t="s">
        <v>11595</v>
      </c>
      <c r="AT2642" t="s">
        <v>11641</v>
      </c>
      <c r="AX2642" t="s">
        <v>10838</v>
      </c>
      <c r="AY2642" t="s">
        <v>10829</v>
      </c>
      <c r="AZ2642" t="s">
        <v>11682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</row>
    <row r="2643" spans="1:59">
      <c r="A2643" s="1">
        <f>HYPERLINK("https://lsnyc.legalserver.org/matter/dynamic-profile/view/1906633","19-1906633")</f>
        <v>0</v>
      </c>
      <c r="B2643" t="s">
        <v>2240</v>
      </c>
      <c r="C2643" t="s">
        <v>7026</v>
      </c>
      <c r="D2643" t="s">
        <v>9926</v>
      </c>
      <c r="E2643" t="s">
        <v>10075</v>
      </c>
      <c r="F2643">
        <v>10453</v>
      </c>
      <c r="G2643" t="s">
        <v>10090</v>
      </c>
      <c r="H2643" t="s">
        <v>10096</v>
      </c>
      <c r="I2643" t="s">
        <v>10169</v>
      </c>
      <c r="J2643" t="s">
        <v>10210</v>
      </c>
      <c r="K2643" t="s">
        <v>10217</v>
      </c>
      <c r="M2643" t="s">
        <v>10438</v>
      </c>
      <c r="N2643" t="s">
        <v>10665</v>
      </c>
      <c r="O2643" t="s">
        <v>10665</v>
      </c>
      <c r="P2643" t="s">
        <v>10750</v>
      </c>
      <c r="Q2643" t="s">
        <v>10799</v>
      </c>
      <c r="R2643" t="s">
        <v>10821</v>
      </c>
      <c r="T2643">
        <v>720</v>
      </c>
      <c r="U2643">
        <v>60</v>
      </c>
      <c r="V2643">
        <v>56</v>
      </c>
      <c r="W2643">
        <v>1</v>
      </c>
      <c r="X2643">
        <v>0</v>
      </c>
      <c r="Z2643">
        <v>5.76</v>
      </c>
      <c r="AA2643">
        <v>40.856707</v>
      </c>
      <c r="AB2643">
        <v>-73.90351099999999</v>
      </c>
      <c r="AD2643" t="s">
        <v>10840</v>
      </c>
      <c r="AG2643" t="s">
        <v>10858</v>
      </c>
      <c r="AH2643" t="s">
        <v>10861</v>
      </c>
      <c r="AI2643">
        <v>234</v>
      </c>
      <c r="AJ2643" t="s">
        <v>10214</v>
      </c>
      <c r="AL2643">
        <v>14.6</v>
      </c>
      <c r="AM2643" t="s">
        <v>10884</v>
      </c>
      <c r="AN2643" t="s">
        <v>10931</v>
      </c>
      <c r="AO2643" t="s">
        <v>11000</v>
      </c>
      <c r="AP2643" t="s">
        <v>11045</v>
      </c>
      <c r="AQ2643" t="s">
        <v>11188</v>
      </c>
      <c r="AR2643" t="s">
        <v>11298</v>
      </c>
      <c r="AS2643" t="s">
        <v>9926</v>
      </c>
      <c r="AT2643" t="s">
        <v>11642</v>
      </c>
      <c r="AX2643" t="s">
        <v>10838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</row>
    <row r="2644" spans="1:59">
      <c r="A2644" s="1">
        <f>HYPERLINK("https://lsnyc.legalserver.org/matter/dynamic-profile/view/1906634","19-1906634")</f>
        <v>0</v>
      </c>
      <c r="B2644" t="s">
        <v>2241</v>
      </c>
      <c r="C2644" t="s">
        <v>6132</v>
      </c>
      <c r="D2644" t="s">
        <v>9928</v>
      </c>
      <c r="E2644" t="s">
        <v>10075</v>
      </c>
      <c r="F2644">
        <v>11235</v>
      </c>
      <c r="G2644" t="s">
        <v>10093</v>
      </c>
      <c r="H2644" t="s">
        <v>10139</v>
      </c>
      <c r="I2644" t="s">
        <v>10171</v>
      </c>
      <c r="J2644" t="s">
        <v>10213</v>
      </c>
      <c r="K2644" t="s">
        <v>10217</v>
      </c>
      <c r="M2644" t="s">
        <v>10390</v>
      </c>
      <c r="N2644" t="s">
        <v>10644</v>
      </c>
      <c r="P2644" t="s">
        <v>10749</v>
      </c>
      <c r="Q2644" t="s">
        <v>10791</v>
      </c>
      <c r="R2644" t="s">
        <v>10820</v>
      </c>
      <c r="T2644">
        <v>12720</v>
      </c>
      <c r="U2644">
        <v>1060</v>
      </c>
      <c r="V2644">
        <v>69</v>
      </c>
      <c r="W2644">
        <v>2</v>
      </c>
      <c r="X2644">
        <v>0</v>
      </c>
      <c r="Z2644">
        <v>75.22</v>
      </c>
      <c r="AA2644">
        <v>40.576592</v>
      </c>
      <c r="AB2644">
        <v>-73.95540699999999</v>
      </c>
      <c r="AD2644" t="s">
        <v>10839</v>
      </c>
      <c r="AF2644" t="s">
        <v>10843</v>
      </c>
      <c r="AG2644" t="s">
        <v>10859</v>
      </c>
      <c r="AH2644" t="s">
        <v>10869</v>
      </c>
      <c r="AI2644">
        <v>239</v>
      </c>
      <c r="AJ2644" t="s">
        <v>10213</v>
      </c>
      <c r="AL2644">
        <v>2.5</v>
      </c>
      <c r="AM2644" t="s">
        <v>10889</v>
      </c>
      <c r="AN2644" t="s">
        <v>10965</v>
      </c>
      <c r="AO2644" t="s">
        <v>11006</v>
      </c>
      <c r="AP2644" t="s">
        <v>11092</v>
      </c>
      <c r="AQ2644" t="s">
        <v>11100</v>
      </c>
      <c r="AR2644" t="s">
        <v>11268</v>
      </c>
      <c r="AS2644" t="s">
        <v>11595</v>
      </c>
      <c r="BA2644" t="s">
        <v>11741</v>
      </c>
      <c r="BB2644">
        <v>0</v>
      </c>
      <c r="BC2644">
        <v>0</v>
      </c>
      <c r="BD2644">
        <v>0</v>
      </c>
      <c r="BE2644">
        <v>0</v>
      </c>
      <c r="BF2644">
        <v>1</v>
      </c>
      <c r="BG2644">
        <v>0</v>
      </c>
    </row>
    <row r="2645" spans="1:59">
      <c r="A2645" s="1">
        <f>HYPERLINK("https://lsnyc.legalserver.org/matter/dynamic-profile/view/1906636","19-1906636")</f>
        <v>0</v>
      </c>
      <c r="B2645" t="s">
        <v>2242</v>
      </c>
      <c r="C2645" t="s">
        <v>7027</v>
      </c>
      <c r="D2645" t="s">
        <v>9928</v>
      </c>
      <c r="E2645" t="s">
        <v>10075</v>
      </c>
      <c r="F2645">
        <v>11201</v>
      </c>
      <c r="G2645" t="s">
        <v>10093</v>
      </c>
      <c r="H2645" t="s">
        <v>10096</v>
      </c>
      <c r="I2645" t="s">
        <v>10168</v>
      </c>
      <c r="J2645" t="s">
        <v>10213</v>
      </c>
      <c r="K2645" t="s">
        <v>10217</v>
      </c>
      <c r="M2645" t="s">
        <v>10359</v>
      </c>
      <c r="N2645" t="s">
        <v>10664</v>
      </c>
      <c r="P2645" t="s">
        <v>10749</v>
      </c>
      <c r="Q2645" t="s">
        <v>10767</v>
      </c>
      <c r="R2645" t="s">
        <v>10824</v>
      </c>
      <c r="T2645">
        <v>2366</v>
      </c>
      <c r="U2645">
        <v>197.17</v>
      </c>
      <c r="V2645">
        <v>70</v>
      </c>
      <c r="W2645">
        <v>2</v>
      </c>
      <c r="X2645">
        <v>1</v>
      </c>
      <c r="Z2645">
        <v>11.09</v>
      </c>
      <c r="AA2645">
        <v>40.700718</v>
      </c>
      <c r="AB2645">
        <v>-73.984128</v>
      </c>
      <c r="AD2645" t="s">
        <v>10839</v>
      </c>
      <c r="AG2645" t="s">
        <v>10858</v>
      </c>
      <c r="AH2645" t="s">
        <v>10862</v>
      </c>
      <c r="AI2645">
        <v>239</v>
      </c>
      <c r="AJ2645" t="s">
        <v>10213</v>
      </c>
      <c r="AL2645">
        <v>0.6</v>
      </c>
      <c r="AM2645" t="s">
        <v>10889</v>
      </c>
      <c r="AN2645" t="s">
        <v>10923</v>
      </c>
      <c r="AO2645" t="s">
        <v>11007</v>
      </c>
      <c r="AP2645" t="s">
        <v>11061</v>
      </c>
      <c r="AR2645" t="s">
        <v>11255</v>
      </c>
      <c r="AS2645" t="s">
        <v>11595</v>
      </c>
      <c r="BA2645" t="s">
        <v>11741</v>
      </c>
      <c r="BB2645">
        <v>0</v>
      </c>
      <c r="BC2645">
        <v>0</v>
      </c>
      <c r="BD2645">
        <v>0</v>
      </c>
      <c r="BE2645">
        <v>0</v>
      </c>
      <c r="BF2645">
        <v>1</v>
      </c>
      <c r="BG2645">
        <v>0</v>
      </c>
    </row>
    <row r="2646" spans="1:59">
      <c r="A2646" s="1">
        <f>HYPERLINK("https://lsnyc.legalserver.org/matter/dynamic-profile/view/1906638","19-1906638")</f>
        <v>0</v>
      </c>
      <c r="B2646" t="s">
        <v>2243</v>
      </c>
      <c r="C2646" t="s">
        <v>7028</v>
      </c>
      <c r="D2646" t="s">
        <v>9928</v>
      </c>
      <c r="E2646" t="s">
        <v>10075</v>
      </c>
      <c r="F2646">
        <v>11235</v>
      </c>
      <c r="G2646" t="s">
        <v>10093</v>
      </c>
      <c r="H2646" t="s">
        <v>10139</v>
      </c>
      <c r="I2646" t="s">
        <v>10171</v>
      </c>
      <c r="J2646" t="s">
        <v>10213</v>
      </c>
      <c r="K2646" t="s">
        <v>10217</v>
      </c>
      <c r="M2646" t="s">
        <v>10390</v>
      </c>
      <c r="N2646" t="s">
        <v>10644</v>
      </c>
      <c r="P2646" t="s">
        <v>10749</v>
      </c>
      <c r="Q2646" t="s">
        <v>10774</v>
      </c>
      <c r="R2646" t="s">
        <v>10820</v>
      </c>
      <c r="T2646">
        <v>12960</v>
      </c>
      <c r="U2646">
        <v>1080</v>
      </c>
      <c r="V2646">
        <v>73</v>
      </c>
      <c r="W2646">
        <v>1</v>
      </c>
      <c r="X2646">
        <v>0</v>
      </c>
      <c r="Z2646">
        <v>103.76</v>
      </c>
      <c r="AA2646">
        <v>40.575001</v>
      </c>
      <c r="AB2646">
        <v>-73.96649600000001</v>
      </c>
      <c r="AD2646" t="s">
        <v>10839</v>
      </c>
      <c r="AG2646" t="s">
        <v>10858</v>
      </c>
      <c r="AH2646" t="s">
        <v>10869</v>
      </c>
      <c r="AI2646">
        <v>239</v>
      </c>
      <c r="AJ2646" t="s">
        <v>10213</v>
      </c>
      <c r="AL2646">
        <v>3.5</v>
      </c>
      <c r="AM2646" t="s">
        <v>10889</v>
      </c>
      <c r="AN2646" t="s">
        <v>10960</v>
      </c>
      <c r="AO2646" t="s">
        <v>11006</v>
      </c>
      <c r="AP2646" t="s">
        <v>11092</v>
      </c>
      <c r="AQ2646" t="s">
        <v>11136</v>
      </c>
      <c r="AR2646" t="s">
        <v>11268</v>
      </c>
      <c r="AS2646" t="s">
        <v>11595</v>
      </c>
      <c r="BA2646" t="s">
        <v>11740</v>
      </c>
      <c r="BB2646">
        <v>0</v>
      </c>
      <c r="BC2646">
        <v>0</v>
      </c>
      <c r="BD2646">
        <v>0</v>
      </c>
      <c r="BE2646">
        <v>0</v>
      </c>
      <c r="BF2646">
        <v>2</v>
      </c>
      <c r="BG2646">
        <v>0</v>
      </c>
    </row>
    <row r="2647" spans="1:59">
      <c r="A2647" s="1">
        <f>HYPERLINK("https://lsnyc.legalserver.org/matter/dynamic-profile/view/1906639","19-1906639")</f>
        <v>0</v>
      </c>
      <c r="B2647" t="s">
        <v>2244</v>
      </c>
      <c r="C2647" t="s">
        <v>7029</v>
      </c>
      <c r="D2647" t="s">
        <v>9928</v>
      </c>
      <c r="E2647" t="s">
        <v>10075</v>
      </c>
      <c r="F2647">
        <v>11213</v>
      </c>
      <c r="G2647" t="s">
        <v>10093</v>
      </c>
      <c r="H2647" t="s">
        <v>10096</v>
      </c>
      <c r="I2647" t="s">
        <v>10168</v>
      </c>
      <c r="J2647" t="s">
        <v>10213</v>
      </c>
      <c r="K2647" t="s">
        <v>10217</v>
      </c>
      <c r="M2647" t="s">
        <v>10582</v>
      </c>
      <c r="N2647" t="s">
        <v>10656</v>
      </c>
      <c r="P2647" t="s">
        <v>10751</v>
      </c>
      <c r="Q2647" t="s">
        <v>10768</v>
      </c>
      <c r="R2647" t="s">
        <v>10824</v>
      </c>
      <c r="T2647">
        <v>2304</v>
      </c>
      <c r="U2647">
        <v>192</v>
      </c>
      <c r="V2647">
        <v>31</v>
      </c>
      <c r="W2647">
        <v>1</v>
      </c>
      <c r="X2647">
        <v>0</v>
      </c>
      <c r="Z2647">
        <v>18.45</v>
      </c>
      <c r="AA2647">
        <v>40.665079</v>
      </c>
      <c r="AB2647">
        <v>-73.93387</v>
      </c>
      <c r="AD2647" t="s">
        <v>10839</v>
      </c>
      <c r="AG2647" t="s">
        <v>10858</v>
      </c>
      <c r="AH2647" t="s">
        <v>10861</v>
      </c>
      <c r="AI2647">
        <v>234</v>
      </c>
      <c r="AJ2647" t="s">
        <v>10214</v>
      </c>
      <c r="AL2647">
        <v>3.6</v>
      </c>
      <c r="AM2647" t="s">
        <v>10888</v>
      </c>
      <c r="AN2647" t="s">
        <v>10912</v>
      </c>
      <c r="AO2647" t="s">
        <v>11005</v>
      </c>
      <c r="AP2647" t="s">
        <v>11061</v>
      </c>
      <c r="AR2647" t="s">
        <v>11279</v>
      </c>
      <c r="AS2647" t="s">
        <v>11595</v>
      </c>
      <c r="AT2647" t="s">
        <v>11641</v>
      </c>
      <c r="AX2647" t="s">
        <v>10838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</row>
    <row r="2648" spans="1:59">
      <c r="A2648" s="1">
        <f>HYPERLINK("https://lsnyc.legalserver.org/matter/dynamic-profile/view/1906640","19-1906640")</f>
        <v>0</v>
      </c>
      <c r="B2648" t="s">
        <v>2245</v>
      </c>
      <c r="C2648" t="s">
        <v>7030</v>
      </c>
      <c r="D2648" t="s">
        <v>9928</v>
      </c>
      <c r="E2648" t="s">
        <v>10075</v>
      </c>
      <c r="F2648">
        <v>11213</v>
      </c>
      <c r="G2648" t="s">
        <v>10093</v>
      </c>
      <c r="H2648" t="s">
        <v>10096</v>
      </c>
      <c r="I2648" t="s">
        <v>10168</v>
      </c>
      <c r="J2648" t="s">
        <v>10213</v>
      </c>
      <c r="K2648" t="s">
        <v>10218</v>
      </c>
      <c r="L2648" t="s">
        <v>10221</v>
      </c>
      <c r="M2648" t="s">
        <v>10293</v>
      </c>
      <c r="N2648" t="s">
        <v>10644</v>
      </c>
      <c r="P2648" t="s">
        <v>10749</v>
      </c>
      <c r="Q2648" t="s">
        <v>10767</v>
      </c>
      <c r="R2648" t="s">
        <v>10824</v>
      </c>
      <c r="T2648">
        <v>35000</v>
      </c>
      <c r="U2648">
        <v>2916.67</v>
      </c>
      <c r="V2648">
        <v>63</v>
      </c>
      <c r="W2648">
        <v>1</v>
      </c>
      <c r="X2648">
        <v>0</v>
      </c>
      <c r="Y2648" t="s">
        <v>10829</v>
      </c>
      <c r="Z2648">
        <v>280.22</v>
      </c>
      <c r="AA2648">
        <v>40.671991</v>
      </c>
      <c r="AB2648">
        <v>-73.928404</v>
      </c>
      <c r="AD2648" t="s">
        <v>10839</v>
      </c>
      <c r="AG2648" t="s">
        <v>10858</v>
      </c>
      <c r="AH2648" t="s">
        <v>10869</v>
      </c>
      <c r="AI2648">
        <v>239</v>
      </c>
      <c r="AJ2648" t="s">
        <v>10213</v>
      </c>
      <c r="AK2648" t="s">
        <v>10838</v>
      </c>
      <c r="AL2648">
        <v>1.25</v>
      </c>
      <c r="AM2648" t="s">
        <v>10888</v>
      </c>
      <c r="AN2648" t="s">
        <v>10922</v>
      </c>
      <c r="AO2648" t="s">
        <v>11007</v>
      </c>
      <c r="AP2648" t="s">
        <v>11052</v>
      </c>
      <c r="AR2648" t="s">
        <v>11268</v>
      </c>
      <c r="AS2648" t="s">
        <v>11595</v>
      </c>
      <c r="AU2648" t="s">
        <v>11647</v>
      </c>
      <c r="AW2648" t="s">
        <v>11645</v>
      </c>
      <c r="AY2648" t="s">
        <v>10829</v>
      </c>
      <c r="AZ2648" t="s">
        <v>11681</v>
      </c>
      <c r="BA2648" t="s">
        <v>11740</v>
      </c>
      <c r="BB2648">
        <v>0</v>
      </c>
      <c r="BC2648">
        <v>0</v>
      </c>
      <c r="BD2648">
        <v>0</v>
      </c>
      <c r="BE2648">
        <v>0</v>
      </c>
      <c r="BF2648">
        <v>2</v>
      </c>
      <c r="BG2648">
        <v>0</v>
      </c>
    </row>
    <row r="2649" spans="1:59">
      <c r="A2649" s="1">
        <f>HYPERLINK("https://lsnyc.legalserver.org/matter/dynamic-profile/view/1906641","19-1906641")</f>
        <v>0</v>
      </c>
      <c r="B2649" t="s">
        <v>2246</v>
      </c>
      <c r="C2649" t="s">
        <v>7031</v>
      </c>
      <c r="D2649" t="s">
        <v>9938</v>
      </c>
      <c r="E2649" t="s">
        <v>10075</v>
      </c>
      <c r="F2649">
        <v>11434</v>
      </c>
      <c r="G2649" t="s">
        <v>10092</v>
      </c>
      <c r="H2649" t="s">
        <v>10096</v>
      </c>
      <c r="I2649" t="s">
        <v>10168</v>
      </c>
      <c r="J2649" t="s">
        <v>10212</v>
      </c>
      <c r="K2649" t="s">
        <v>10217</v>
      </c>
      <c r="M2649" t="s">
        <v>10530</v>
      </c>
      <c r="N2649" t="s">
        <v>10678</v>
      </c>
      <c r="P2649" t="s">
        <v>10749</v>
      </c>
      <c r="Q2649" t="s">
        <v>10769</v>
      </c>
      <c r="R2649" t="s">
        <v>10824</v>
      </c>
      <c r="T2649">
        <v>24000</v>
      </c>
      <c r="U2649">
        <v>2000</v>
      </c>
      <c r="V2649">
        <v>30</v>
      </c>
      <c r="W2649">
        <v>1</v>
      </c>
      <c r="X2649">
        <v>0</v>
      </c>
      <c r="Z2649">
        <v>192.15</v>
      </c>
      <c r="AA2649">
        <v>40.66115</v>
      </c>
      <c r="AB2649">
        <v>-73.77034</v>
      </c>
      <c r="AD2649" t="s">
        <v>10840</v>
      </c>
      <c r="AG2649" t="s">
        <v>10858</v>
      </c>
      <c r="AH2649" t="s">
        <v>10871</v>
      </c>
      <c r="AI2649">
        <v>234</v>
      </c>
      <c r="AJ2649" t="s">
        <v>10214</v>
      </c>
      <c r="AL2649">
        <v>4</v>
      </c>
      <c r="AM2649" t="s">
        <v>10892</v>
      </c>
      <c r="AN2649" t="s">
        <v>10930</v>
      </c>
      <c r="AO2649" t="s">
        <v>11017</v>
      </c>
      <c r="AP2649" t="s">
        <v>11082</v>
      </c>
      <c r="AR2649" t="s">
        <v>11256</v>
      </c>
      <c r="AS2649" t="s">
        <v>11594</v>
      </c>
      <c r="AT2649" t="s">
        <v>11642</v>
      </c>
      <c r="AX2649" t="s">
        <v>10838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</row>
    <row r="2650" spans="1:59">
      <c r="A2650" s="1">
        <f>HYPERLINK("https://lsnyc.legalserver.org/matter/dynamic-profile/view/1906642","19-1906642")</f>
        <v>0</v>
      </c>
      <c r="B2650" t="s">
        <v>2247</v>
      </c>
      <c r="C2650" t="s">
        <v>7032</v>
      </c>
      <c r="D2650" t="s">
        <v>9928</v>
      </c>
      <c r="E2650" t="s">
        <v>10075</v>
      </c>
      <c r="F2650">
        <v>11207</v>
      </c>
      <c r="G2650" t="s">
        <v>10093</v>
      </c>
      <c r="H2650" t="s">
        <v>10096</v>
      </c>
      <c r="I2650" t="s">
        <v>10168</v>
      </c>
      <c r="J2650" t="s">
        <v>10213</v>
      </c>
      <c r="K2650" t="s">
        <v>10217</v>
      </c>
      <c r="M2650" t="s">
        <v>10539</v>
      </c>
      <c r="N2650" t="s">
        <v>10664</v>
      </c>
      <c r="P2650" t="s">
        <v>10749</v>
      </c>
      <c r="Q2650" t="s">
        <v>10765</v>
      </c>
      <c r="R2650" t="s">
        <v>10824</v>
      </c>
      <c r="T2650">
        <v>7200</v>
      </c>
      <c r="U2650">
        <v>600</v>
      </c>
      <c r="V2650">
        <v>36</v>
      </c>
      <c r="W2650">
        <v>1</v>
      </c>
      <c r="X2650">
        <v>3</v>
      </c>
      <c r="Z2650">
        <v>27.96</v>
      </c>
      <c r="AA2650">
        <v>40.660475</v>
      </c>
      <c r="AB2650">
        <v>-73.880549</v>
      </c>
      <c r="AD2650" t="s">
        <v>10839</v>
      </c>
      <c r="AG2650" t="s">
        <v>10858</v>
      </c>
      <c r="AH2650" t="s">
        <v>10861</v>
      </c>
      <c r="AI2650">
        <v>239</v>
      </c>
      <c r="AJ2650" t="s">
        <v>10213</v>
      </c>
      <c r="AL2650">
        <v>2</v>
      </c>
      <c r="AM2650" t="s">
        <v>10889</v>
      </c>
      <c r="AN2650" t="s">
        <v>10946</v>
      </c>
      <c r="AO2650" t="s">
        <v>11012</v>
      </c>
      <c r="AP2650" t="s">
        <v>11060</v>
      </c>
      <c r="AR2650" t="s">
        <v>11296</v>
      </c>
      <c r="AS2650" t="s">
        <v>11595</v>
      </c>
      <c r="BA2650" t="s">
        <v>11742</v>
      </c>
      <c r="BB2650">
        <v>0</v>
      </c>
      <c r="BC2650">
        <v>0</v>
      </c>
      <c r="BD2650">
        <v>0</v>
      </c>
      <c r="BE2650">
        <v>0</v>
      </c>
      <c r="BF2650">
        <v>7</v>
      </c>
      <c r="BG2650">
        <v>0</v>
      </c>
    </row>
    <row r="2651" spans="1:59">
      <c r="A2651" s="1">
        <f>HYPERLINK("https://lsnyc.legalserver.org/matter/dynamic-profile/view/1906643","19-1906643")</f>
        <v>0</v>
      </c>
      <c r="B2651" t="s">
        <v>2248</v>
      </c>
      <c r="C2651" t="s">
        <v>7033</v>
      </c>
      <c r="D2651" t="s">
        <v>9928</v>
      </c>
      <c r="E2651" t="s">
        <v>10075</v>
      </c>
      <c r="F2651">
        <v>11233</v>
      </c>
      <c r="G2651" t="s">
        <v>10093</v>
      </c>
      <c r="H2651" t="s">
        <v>10096</v>
      </c>
      <c r="I2651" t="s">
        <v>10168</v>
      </c>
      <c r="J2651" t="s">
        <v>10213</v>
      </c>
      <c r="K2651" t="s">
        <v>10218</v>
      </c>
      <c r="L2651" t="s">
        <v>10141</v>
      </c>
      <c r="M2651" t="s">
        <v>10481</v>
      </c>
      <c r="N2651" t="s">
        <v>10650</v>
      </c>
      <c r="P2651" t="s">
        <v>10749</v>
      </c>
      <c r="Q2651" t="s">
        <v>10765</v>
      </c>
      <c r="R2651" t="s">
        <v>10824</v>
      </c>
      <c r="T2651">
        <v>0</v>
      </c>
      <c r="U2651">
        <v>0</v>
      </c>
      <c r="V2651">
        <v>34</v>
      </c>
      <c r="W2651">
        <v>1</v>
      </c>
      <c r="X2651">
        <v>2</v>
      </c>
      <c r="Y2651" t="s">
        <v>10829</v>
      </c>
      <c r="Z2651">
        <v>0</v>
      </c>
      <c r="AA2651">
        <v>40.668982</v>
      </c>
      <c r="AB2651">
        <v>-73.924639</v>
      </c>
      <c r="AD2651" t="s">
        <v>10839</v>
      </c>
      <c r="AG2651" t="s">
        <v>10858</v>
      </c>
      <c r="AH2651" t="s">
        <v>10862</v>
      </c>
      <c r="AI2651">
        <v>239</v>
      </c>
      <c r="AJ2651" t="s">
        <v>10213</v>
      </c>
      <c r="AK2651" t="s">
        <v>10838</v>
      </c>
      <c r="AL2651">
        <v>0.1</v>
      </c>
      <c r="AM2651" t="s">
        <v>10888</v>
      </c>
      <c r="AN2651" t="s">
        <v>10922</v>
      </c>
      <c r="AO2651" t="s">
        <v>11005</v>
      </c>
      <c r="AP2651" t="s">
        <v>11064</v>
      </c>
      <c r="AQ2651" t="s">
        <v>11101</v>
      </c>
      <c r="AR2651" t="s">
        <v>11267</v>
      </c>
      <c r="AS2651" t="s">
        <v>11595</v>
      </c>
      <c r="AT2651" t="s">
        <v>11641</v>
      </c>
      <c r="AY2651" t="s">
        <v>10829</v>
      </c>
      <c r="AZ2651" t="s">
        <v>11681</v>
      </c>
      <c r="BA2651" t="s">
        <v>11741</v>
      </c>
      <c r="BB2651">
        <v>0</v>
      </c>
      <c r="BC2651">
        <v>0</v>
      </c>
      <c r="BD2651">
        <v>0</v>
      </c>
      <c r="BE2651">
        <v>0</v>
      </c>
      <c r="BF2651">
        <v>1</v>
      </c>
      <c r="BG2651">
        <v>0</v>
      </c>
    </row>
    <row r="2652" spans="1:59">
      <c r="A2652" s="1">
        <f>HYPERLINK("https://lsnyc.legalserver.org/matter/dynamic-profile/view/1906644","19-1906644")</f>
        <v>0</v>
      </c>
      <c r="B2652" t="s">
        <v>803</v>
      </c>
      <c r="C2652" t="s">
        <v>5133</v>
      </c>
      <c r="D2652" t="s">
        <v>9928</v>
      </c>
      <c r="E2652" t="s">
        <v>10075</v>
      </c>
      <c r="F2652">
        <v>11208</v>
      </c>
      <c r="G2652" t="s">
        <v>10093</v>
      </c>
      <c r="H2652" t="s">
        <v>10096</v>
      </c>
      <c r="I2652" t="s">
        <v>10168</v>
      </c>
      <c r="J2652" t="s">
        <v>10213</v>
      </c>
      <c r="K2652" t="s">
        <v>10217</v>
      </c>
      <c r="M2652" t="s">
        <v>10317</v>
      </c>
      <c r="N2652" t="s">
        <v>10698</v>
      </c>
      <c r="P2652" t="s">
        <v>10751</v>
      </c>
      <c r="Q2652" t="s">
        <v>10761</v>
      </c>
      <c r="R2652" t="s">
        <v>10821</v>
      </c>
      <c r="T2652">
        <v>9252</v>
      </c>
      <c r="U2652">
        <v>771</v>
      </c>
      <c r="V2652">
        <v>55</v>
      </c>
      <c r="W2652">
        <v>1</v>
      </c>
      <c r="X2652">
        <v>0</v>
      </c>
      <c r="Z2652">
        <v>74.08</v>
      </c>
      <c r="AA2652">
        <v>40.6702</v>
      </c>
      <c r="AB2652">
        <v>-73.863207</v>
      </c>
      <c r="AD2652" t="s">
        <v>10839</v>
      </c>
      <c r="AG2652" t="s">
        <v>10858</v>
      </c>
      <c r="AH2652" t="s">
        <v>10861</v>
      </c>
      <c r="AI2652">
        <v>234</v>
      </c>
      <c r="AJ2652" t="s">
        <v>10214</v>
      </c>
      <c r="AL2652">
        <v>5.75</v>
      </c>
      <c r="AM2652" t="s">
        <v>10889</v>
      </c>
      <c r="AN2652" t="s">
        <v>10946</v>
      </c>
      <c r="AO2652" t="s">
        <v>11012</v>
      </c>
      <c r="AP2652" t="s">
        <v>11060</v>
      </c>
      <c r="AR2652" t="s">
        <v>11263</v>
      </c>
      <c r="AS2652" t="s">
        <v>11595</v>
      </c>
      <c r="AT2652" t="s">
        <v>11641</v>
      </c>
      <c r="AX2652" t="s">
        <v>10838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</row>
    <row r="2653" spans="1:59">
      <c r="A2653" s="1">
        <f>HYPERLINK("https://lsnyc.legalserver.org/matter/dynamic-profile/view/1906645","19-1906645")</f>
        <v>0</v>
      </c>
      <c r="B2653" t="s">
        <v>2249</v>
      </c>
      <c r="C2653" t="s">
        <v>7034</v>
      </c>
      <c r="D2653" t="s">
        <v>9928</v>
      </c>
      <c r="E2653" t="s">
        <v>10075</v>
      </c>
      <c r="F2653">
        <v>11231</v>
      </c>
      <c r="G2653" t="s">
        <v>10093</v>
      </c>
      <c r="H2653" t="s">
        <v>10096</v>
      </c>
      <c r="I2653" t="s">
        <v>10168</v>
      </c>
      <c r="J2653" t="s">
        <v>10213</v>
      </c>
      <c r="K2653" t="s">
        <v>10217</v>
      </c>
      <c r="M2653" t="s">
        <v>10280</v>
      </c>
      <c r="N2653" t="s">
        <v>10656</v>
      </c>
      <c r="P2653" t="s">
        <v>10751</v>
      </c>
      <c r="Q2653" t="s">
        <v>10768</v>
      </c>
      <c r="R2653" t="s">
        <v>10821</v>
      </c>
      <c r="T2653">
        <v>2196</v>
      </c>
      <c r="U2653">
        <v>183</v>
      </c>
      <c r="V2653">
        <v>34</v>
      </c>
      <c r="W2653">
        <v>2</v>
      </c>
      <c r="X2653">
        <v>0</v>
      </c>
      <c r="Z2653">
        <v>12.99</v>
      </c>
      <c r="AA2653">
        <v>40.674632</v>
      </c>
      <c r="AB2653">
        <v>-74.003642</v>
      </c>
      <c r="AD2653" t="s">
        <v>10840</v>
      </c>
      <c r="AG2653" t="s">
        <v>10858</v>
      </c>
      <c r="AH2653" t="s">
        <v>10871</v>
      </c>
      <c r="AI2653">
        <v>234</v>
      </c>
      <c r="AJ2653" t="s">
        <v>10214</v>
      </c>
      <c r="AL2653">
        <v>4</v>
      </c>
      <c r="AM2653" t="s">
        <v>10886</v>
      </c>
      <c r="AN2653" t="s">
        <v>10921</v>
      </c>
      <c r="AO2653" t="s">
        <v>11007</v>
      </c>
      <c r="AP2653" t="s">
        <v>11069</v>
      </c>
      <c r="AR2653" t="s">
        <v>11255</v>
      </c>
      <c r="AS2653" t="s">
        <v>11595</v>
      </c>
      <c r="AT2653" t="s">
        <v>11642</v>
      </c>
      <c r="AX2653" t="s">
        <v>10838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</row>
    <row r="2654" spans="1:59">
      <c r="A2654" s="1">
        <f>HYPERLINK("https://lsnyc.legalserver.org/matter/dynamic-profile/view/1906646","19-1906646")</f>
        <v>0</v>
      </c>
      <c r="B2654" t="s">
        <v>530</v>
      </c>
      <c r="C2654" t="s">
        <v>7035</v>
      </c>
      <c r="D2654" t="s">
        <v>9925</v>
      </c>
      <c r="E2654" t="s">
        <v>10075</v>
      </c>
      <c r="F2654">
        <v>10032</v>
      </c>
      <c r="G2654" t="s">
        <v>10093</v>
      </c>
      <c r="H2654" t="s">
        <v>10096</v>
      </c>
      <c r="I2654" t="s">
        <v>10169</v>
      </c>
      <c r="J2654" t="s">
        <v>10213</v>
      </c>
      <c r="K2654" t="s">
        <v>10218</v>
      </c>
      <c r="L2654" t="s">
        <v>10149</v>
      </c>
      <c r="M2654" t="s">
        <v>10436</v>
      </c>
      <c r="N2654" t="s">
        <v>10710</v>
      </c>
      <c r="P2654" t="s">
        <v>10750</v>
      </c>
      <c r="Q2654" t="s">
        <v>10760</v>
      </c>
      <c r="R2654" t="s">
        <v>10823</v>
      </c>
      <c r="T2654">
        <v>9000</v>
      </c>
      <c r="U2654">
        <v>750</v>
      </c>
      <c r="V2654">
        <v>59</v>
      </c>
      <c r="W2654">
        <v>2</v>
      </c>
      <c r="X2654">
        <v>0</v>
      </c>
      <c r="Y2654" t="s">
        <v>10829</v>
      </c>
      <c r="Z2654">
        <v>53.22</v>
      </c>
      <c r="AA2654">
        <v>40.841284</v>
      </c>
      <c r="AB2654">
        <v>-73.93683</v>
      </c>
      <c r="AD2654" t="s">
        <v>10839</v>
      </c>
      <c r="AG2654" t="s">
        <v>10858</v>
      </c>
      <c r="AH2654" t="s">
        <v>10861</v>
      </c>
      <c r="AI2654">
        <v>234</v>
      </c>
      <c r="AJ2654" t="s">
        <v>10214</v>
      </c>
      <c r="AK2654" t="s">
        <v>10838</v>
      </c>
      <c r="AL2654">
        <v>3.71</v>
      </c>
      <c r="AM2654" t="s">
        <v>10887</v>
      </c>
      <c r="AN2654" t="s">
        <v>10937</v>
      </c>
      <c r="AO2654" t="s">
        <v>11019</v>
      </c>
      <c r="AP2654" t="s">
        <v>11074</v>
      </c>
      <c r="AR2654" t="s">
        <v>11316</v>
      </c>
      <c r="AS2654" t="s">
        <v>9925</v>
      </c>
      <c r="AT2654" t="s">
        <v>11641</v>
      </c>
      <c r="AX2654" t="s">
        <v>10838</v>
      </c>
      <c r="AY2654" t="s">
        <v>10829</v>
      </c>
      <c r="AZ2654" t="s">
        <v>11679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</row>
    <row r="2655" spans="1:59">
      <c r="A2655" s="1">
        <f>HYPERLINK("https://lsnyc.legalserver.org/matter/dynamic-profile/view/1906647","19-1906647")</f>
        <v>0</v>
      </c>
      <c r="B2655" t="s">
        <v>2250</v>
      </c>
      <c r="C2655" t="s">
        <v>7036</v>
      </c>
      <c r="D2655" t="s">
        <v>9926</v>
      </c>
      <c r="E2655" t="s">
        <v>10075</v>
      </c>
      <c r="F2655">
        <v>10454</v>
      </c>
      <c r="G2655" t="s">
        <v>10091</v>
      </c>
      <c r="H2655" t="s">
        <v>10096</v>
      </c>
      <c r="I2655" t="s">
        <v>10169</v>
      </c>
      <c r="J2655" t="s">
        <v>10214</v>
      </c>
      <c r="K2655" t="s">
        <v>10217</v>
      </c>
      <c r="M2655" t="s">
        <v>10286</v>
      </c>
      <c r="N2655" t="s">
        <v>10671</v>
      </c>
      <c r="P2655" t="s">
        <v>10751</v>
      </c>
      <c r="Q2655" t="s">
        <v>10786</v>
      </c>
      <c r="R2655" t="s">
        <v>10825</v>
      </c>
      <c r="T2655">
        <v>9132</v>
      </c>
      <c r="U2655">
        <v>761</v>
      </c>
      <c r="V2655">
        <v>69</v>
      </c>
      <c r="W2655">
        <v>1</v>
      </c>
      <c r="X2655">
        <v>0</v>
      </c>
      <c r="Z2655">
        <v>73.11</v>
      </c>
      <c r="AA2655">
        <v>40.809321</v>
      </c>
      <c r="AB2655">
        <v>-73.915453</v>
      </c>
      <c r="AD2655" t="s">
        <v>10839</v>
      </c>
      <c r="AG2655" t="s">
        <v>10858</v>
      </c>
      <c r="AH2655" t="s">
        <v>10861</v>
      </c>
      <c r="AI2655">
        <v>234</v>
      </c>
      <c r="AJ2655" t="s">
        <v>10214</v>
      </c>
      <c r="AL2655">
        <v>1</v>
      </c>
      <c r="AM2655" t="s">
        <v>10884</v>
      </c>
      <c r="AN2655" t="s">
        <v>10924</v>
      </c>
      <c r="AO2655" t="s">
        <v>11013</v>
      </c>
      <c r="AP2655" t="s">
        <v>11066</v>
      </c>
      <c r="AR2655" t="s">
        <v>11263</v>
      </c>
      <c r="AS2655" t="s">
        <v>9926</v>
      </c>
      <c r="AT2655" t="s">
        <v>11641</v>
      </c>
      <c r="AX2655" t="s">
        <v>10838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</row>
    <row r="2656" spans="1:59">
      <c r="A2656" s="1">
        <f>HYPERLINK("https://lsnyc.legalserver.org/matter/dynamic-profile/view/1906648","19-1906648")</f>
        <v>0</v>
      </c>
      <c r="B2656" t="s">
        <v>2251</v>
      </c>
      <c r="C2656" t="s">
        <v>7037</v>
      </c>
      <c r="D2656" t="s">
        <v>9926</v>
      </c>
      <c r="E2656" t="s">
        <v>10075</v>
      </c>
      <c r="F2656">
        <v>10467</v>
      </c>
      <c r="G2656" t="s">
        <v>10091</v>
      </c>
      <c r="H2656" t="s">
        <v>10096</v>
      </c>
      <c r="I2656" t="s">
        <v>10168</v>
      </c>
      <c r="J2656" t="s">
        <v>10214</v>
      </c>
      <c r="K2656" t="s">
        <v>10217</v>
      </c>
      <c r="M2656" t="s">
        <v>10286</v>
      </c>
      <c r="N2656" t="s">
        <v>10671</v>
      </c>
      <c r="P2656" t="s">
        <v>10749</v>
      </c>
      <c r="Q2656" t="s">
        <v>10765</v>
      </c>
      <c r="R2656" t="s">
        <v>10824</v>
      </c>
      <c r="T2656">
        <v>1872</v>
      </c>
      <c r="U2656">
        <v>156</v>
      </c>
      <c r="V2656">
        <v>51</v>
      </c>
      <c r="W2656">
        <v>1</v>
      </c>
      <c r="X2656">
        <v>0</v>
      </c>
      <c r="Z2656">
        <v>14.99</v>
      </c>
      <c r="AA2656">
        <v>40.881895</v>
      </c>
      <c r="AB2656">
        <v>-73.859526</v>
      </c>
      <c r="AD2656" t="s">
        <v>10840</v>
      </c>
      <c r="AG2656" t="s">
        <v>10858</v>
      </c>
      <c r="AH2656" t="s">
        <v>10871</v>
      </c>
      <c r="AI2656">
        <v>234</v>
      </c>
      <c r="AJ2656" t="s">
        <v>10214</v>
      </c>
      <c r="AL2656">
        <v>1</v>
      </c>
      <c r="AM2656" t="s">
        <v>10893</v>
      </c>
      <c r="AN2656" t="s">
        <v>10956</v>
      </c>
      <c r="AO2656" t="s">
        <v>11010</v>
      </c>
      <c r="AP2656" t="s">
        <v>11085</v>
      </c>
      <c r="AR2656" t="s">
        <v>11311</v>
      </c>
      <c r="AS2656" t="s">
        <v>9926</v>
      </c>
      <c r="AT2656" t="s">
        <v>11642</v>
      </c>
      <c r="AX2656" t="s">
        <v>10838</v>
      </c>
      <c r="BA2656" t="s">
        <v>11741</v>
      </c>
      <c r="BB2656">
        <v>0</v>
      </c>
      <c r="BC2656">
        <v>0</v>
      </c>
      <c r="BD2656">
        <v>0</v>
      </c>
      <c r="BE2656">
        <v>0</v>
      </c>
      <c r="BF2656">
        <v>1</v>
      </c>
      <c r="BG2656">
        <v>0</v>
      </c>
    </row>
    <row r="2657" spans="1:59">
      <c r="A2657" s="1">
        <f>HYPERLINK("https://lsnyc.legalserver.org/matter/dynamic-profile/view/1906649","19-1906649")</f>
        <v>0</v>
      </c>
      <c r="B2657" t="s">
        <v>2252</v>
      </c>
      <c r="C2657" t="s">
        <v>7038</v>
      </c>
      <c r="D2657" t="s">
        <v>9926</v>
      </c>
      <c r="E2657" t="s">
        <v>10075</v>
      </c>
      <c r="F2657">
        <v>10457</v>
      </c>
      <c r="G2657" t="s">
        <v>10090</v>
      </c>
      <c r="H2657" t="s">
        <v>10104</v>
      </c>
      <c r="I2657" t="s">
        <v>10168</v>
      </c>
      <c r="J2657" t="s">
        <v>10210</v>
      </c>
      <c r="K2657" t="s">
        <v>10218</v>
      </c>
      <c r="L2657" t="s">
        <v>10110</v>
      </c>
      <c r="M2657" t="s">
        <v>10434</v>
      </c>
      <c r="N2657" t="s">
        <v>10651</v>
      </c>
      <c r="P2657" t="s">
        <v>10749</v>
      </c>
      <c r="Q2657" t="s">
        <v>10765</v>
      </c>
      <c r="R2657" t="s">
        <v>10824</v>
      </c>
      <c r="T2657">
        <v>24312</v>
      </c>
      <c r="U2657">
        <v>2026</v>
      </c>
      <c r="V2657">
        <v>56</v>
      </c>
      <c r="W2657">
        <v>2</v>
      </c>
      <c r="X2657">
        <v>1</v>
      </c>
      <c r="Y2657" t="s">
        <v>10831</v>
      </c>
      <c r="Z2657">
        <v>113.98</v>
      </c>
      <c r="AA2657">
        <v>40.838751</v>
      </c>
      <c r="AB2657">
        <v>-73.89952599999999</v>
      </c>
      <c r="AD2657" t="s">
        <v>10839</v>
      </c>
      <c r="AG2657" t="s">
        <v>10858</v>
      </c>
      <c r="AH2657" t="s">
        <v>10862</v>
      </c>
      <c r="AI2657">
        <v>230</v>
      </c>
      <c r="AJ2657" t="s">
        <v>10210</v>
      </c>
      <c r="AK2657" t="s">
        <v>10838</v>
      </c>
      <c r="AL2657">
        <v>1.25</v>
      </c>
      <c r="AM2657" t="s">
        <v>10884</v>
      </c>
      <c r="AN2657" t="s">
        <v>10918</v>
      </c>
      <c r="AO2657" t="s">
        <v>11000</v>
      </c>
      <c r="AP2657" t="s">
        <v>11055</v>
      </c>
      <c r="AR2657" t="s">
        <v>11296</v>
      </c>
      <c r="AS2657" t="s">
        <v>9926</v>
      </c>
      <c r="AT2657" t="s">
        <v>11641</v>
      </c>
      <c r="AX2657" t="s">
        <v>11678</v>
      </c>
      <c r="AY2657" t="s">
        <v>10831</v>
      </c>
      <c r="AZ2657" t="s">
        <v>11685</v>
      </c>
      <c r="BA2657" t="s">
        <v>11738</v>
      </c>
      <c r="BB2657">
        <v>0</v>
      </c>
      <c r="BC2657">
        <v>0</v>
      </c>
      <c r="BD2657">
        <v>0</v>
      </c>
      <c r="BE2657">
        <v>0</v>
      </c>
      <c r="BF2657">
        <v>5</v>
      </c>
      <c r="BG2657">
        <v>0</v>
      </c>
    </row>
    <row r="2658" spans="1:59">
      <c r="A2658" s="1">
        <f>HYPERLINK("https://lsnyc.legalserver.org/matter/dynamic-profile/view/1906650","19-1906650")</f>
        <v>0</v>
      </c>
      <c r="B2658" t="s">
        <v>2253</v>
      </c>
      <c r="C2658" t="s">
        <v>7039</v>
      </c>
      <c r="D2658" t="s">
        <v>9926</v>
      </c>
      <c r="E2658" t="s">
        <v>10075</v>
      </c>
      <c r="F2658">
        <v>10466</v>
      </c>
      <c r="G2658" t="s">
        <v>10090</v>
      </c>
      <c r="H2658" t="s">
        <v>10121</v>
      </c>
      <c r="I2658" t="s">
        <v>10169</v>
      </c>
      <c r="J2658" t="s">
        <v>10210</v>
      </c>
      <c r="K2658" t="s">
        <v>10217</v>
      </c>
      <c r="M2658" t="s">
        <v>10558</v>
      </c>
      <c r="N2658" t="s">
        <v>10683</v>
      </c>
      <c r="P2658" t="s">
        <v>10754</v>
      </c>
      <c r="Q2658" t="s">
        <v>10775</v>
      </c>
      <c r="R2658" t="s">
        <v>10821</v>
      </c>
      <c r="T2658">
        <v>8796</v>
      </c>
      <c r="U2658">
        <v>733</v>
      </c>
      <c r="V2658">
        <v>46</v>
      </c>
      <c r="W2658">
        <v>1</v>
      </c>
      <c r="X2658">
        <v>2</v>
      </c>
      <c r="Z2658">
        <v>41.24</v>
      </c>
      <c r="AA2658">
        <v>40.885959</v>
      </c>
      <c r="AB2658">
        <v>-73.843698</v>
      </c>
      <c r="AD2658" t="s">
        <v>10839</v>
      </c>
      <c r="AG2658" t="s">
        <v>10858</v>
      </c>
      <c r="AH2658" t="s">
        <v>10865</v>
      </c>
      <c r="AI2658">
        <v>230</v>
      </c>
      <c r="AJ2658" t="s">
        <v>10210</v>
      </c>
      <c r="AL2658">
        <v>2.5</v>
      </c>
      <c r="AM2658" t="s">
        <v>10893</v>
      </c>
      <c r="AN2658" t="s">
        <v>10956</v>
      </c>
      <c r="AO2658" t="s">
        <v>11010</v>
      </c>
      <c r="AP2658" t="s">
        <v>11085</v>
      </c>
      <c r="AQ2658" t="s">
        <v>11124</v>
      </c>
      <c r="AR2658" t="s">
        <v>11253</v>
      </c>
      <c r="AS2658" t="s">
        <v>9926</v>
      </c>
      <c r="AX2658" t="s">
        <v>10838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</row>
    <row r="2659" spans="1:59">
      <c r="A2659" s="1">
        <f>HYPERLINK("https://lsnyc.legalserver.org/matter/dynamic-profile/view/1906652","19-1906652")</f>
        <v>0</v>
      </c>
      <c r="B2659" t="s">
        <v>2089</v>
      </c>
      <c r="C2659" t="s">
        <v>6882</v>
      </c>
      <c r="D2659" t="s">
        <v>9925</v>
      </c>
      <c r="E2659" t="s">
        <v>10075</v>
      </c>
      <c r="F2659">
        <v>10039</v>
      </c>
      <c r="G2659" t="s">
        <v>10089</v>
      </c>
      <c r="H2659" t="s">
        <v>10096</v>
      </c>
      <c r="I2659" t="s">
        <v>10169</v>
      </c>
      <c r="J2659" t="s">
        <v>10209</v>
      </c>
      <c r="K2659" t="s">
        <v>10218</v>
      </c>
      <c r="L2659" t="s">
        <v>10137</v>
      </c>
      <c r="M2659" t="s">
        <v>10324</v>
      </c>
      <c r="N2659" t="s">
        <v>10649</v>
      </c>
      <c r="P2659" t="s">
        <v>10753</v>
      </c>
      <c r="Q2659" t="s">
        <v>10763</v>
      </c>
      <c r="R2659" t="s">
        <v>10823</v>
      </c>
      <c r="T2659">
        <v>3600</v>
      </c>
      <c r="U2659">
        <v>300</v>
      </c>
      <c r="V2659">
        <v>27</v>
      </c>
      <c r="W2659">
        <v>4</v>
      </c>
      <c r="X2659">
        <v>1</v>
      </c>
      <c r="Y2659" t="s">
        <v>10833</v>
      </c>
      <c r="Z2659">
        <v>11.93</v>
      </c>
      <c r="AA2659">
        <v>40.823389</v>
      </c>
      <c r="AB2659">
        <v>-73.940735</v>
      </c>
      <c r="AD2659" t="s">
        <v>10839</v>
      </c>
      <c r="AF2659" t="s">
        <v>10844</v>
      </c>
      <c r="AG2659" t="s">
        <v>10859</v>
      </c>
      <c r="AH2659" t="s">
        <v>10864</v>
      </c>
      <c r="AI2659">
        <v>236</v>
      </c>
      <c r="AJ2659" t="s">
        <v>10209</v>
      </c>
      <c r="AK2659" t="s">
        <v>10838</v>
      </c>
      <c r="AL2659">
        <v>2</v>
      </c>
      <c r="AM2659" t="s">
        <v>10887</v>
      </c>
      <c r="AN2659" t="s">
        <v>10943</v>
      </c>
      <c r="AO2659" t="s">
        <v>11016</v>
      </c>
      <c r="AP2659" t="s">
        <v>11076</v>
      </c>
      <c r="AQ2659" t="s">
        <v>11109</v>
      </c>
      <c r="AR2659" t="s">
        <v>11257</v>
      </c>
      <c r="AS2659" t="s">
        <v>9925</v>
      </c>
      <c r="AY2659" t="s">
        <v>10833</v>
      </c>
      <c r="AZ2659" t="s">
        <v>11689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</row>
    <row r="2660" spans="1:59">
      <c r="A2660" s="1">
        <f>HYPERLINK("https://lsnyc.legalserver.org/matter/dynamic-profile/view/1906653","19-1906653")</f>
        <v>0</v>
      </c>
      <c r="B2660" t="s">
        <v>2254</v>
      </c>
      <c r="C2660" t="s">
        <v>7040</v>
      </c>
      <c r="D2660" t="s">
        <v>9928</v>
      </c>
      <c r="E2660" t="s">
        <v>10075</v>
      </c>
      <c r="F2660">
        <v>11226</v>
      </c>
      <c r="G2660" t="s">
        <v>10093</v>
      </c>
      <c r="H2660" t="s">
        <v>10096</v>
      </c>
      <c r="I2660" t="s">
        <v>10168</v>
      </c>
      <c r="J2660" t="s">
        <v>10213</v>
      </c>
      <c r="K2660" t="s">
        <v>10217</v>
      </c>
      <c r="M2660" t="s">
        <v>10435</v>
      </c>
      <c r="N2660" t="s">
        <v>10665</v>
      </c>
      <c r="P2660" t="s">
        <v>10750</v>
      </c>
      <c r="Q2660" t="s">
        <v>10760</v>
      </c>
      <c r="R2660" t="s">
        <v>10824</v>
      </c>
      <c r="T2660">
        <v>0</v>
      </c>
      <c r="U2660">
        <v>0</v>
      </c>
      <c r="V2660">
        <v>47</v>
      </c>
      <c r="W2660">
        <v>2</v>
      </c>
      <c r="X2660">
        <v>1</v>
      </c>
      <c r="Z2660">
        <v>0</v>
      </c>
      <c r="AA2660">
        <v>40.651986</v>
      </c>
      <c r="AB2660">
        <v>-73.95513200000001</v>
      </c>
      <c r="AC2660" t="s">
        <v>10837</v>
      </c>
      <c r="AD2660" t="s">
        <v>10840</v>
      </c>
      <c r="AG2660" t="s">
        <v>10858</v>
      </c>
      <c r="AH2660" t="s">
        <v>10876</v>
      </c>
      <c r="AI2660">
        <v>239</v>
      </c>
      <c r="AJ2660" t="s">
        <v>10213</v>
      </c>
      <c r="AL2660">
        <v>1.55</v>
      </c>
      <c r="AM2660" t="s">
        <v>10888</v>
      </c>
      <c r="AN2660" t="s">
        <v>10912</v>
      </c>
      <c r="AO2660" t="s">
        <v>11005</v>
      </c>
      <c r="AP2660" t="s">
        <v>11050</v>
      </c>
      <c r="AR2660" t="s">
        <v>11267</v>
      </c>
      <c r="AS2660" t="s">
        <v>11595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</row>
    <row r="2661" spans="1:59">
      <c r="A2661" s="1">
        <f>HYPERLINK("https://lsnyc.legalserver.org/matter/dynamic-profile/view/1906654","19-1906654")</f>
        <v>0</v>
      </c>
      <c r="B2661" t="s">
        <v>2255</v>
      </c>
      <c r="C2661" t="s">
        <v>7041</v>
      </c>
      <c r="D2661" t="s">
        <v>9928</v>
      </c>
      <c r="E2661" t="s">
        <v>10075</v>
      </c>
      <c r="F2661">
        <v>11212</v>
      </c>
      <c r="G2661" t="s">
        <v>10093</v>
      </c>
      <c r="H2661" t="s">
        <v>10096</v>
      </c>
      <c r="I2661" t="s">
        <v>10168</v>
      </c>
      <c r="J2661" t="s">
        <v>10213</v>
      </c>
      <c r="K2661" t="s">
        <v>10218</v>
      </c>
      <c r="L2661" t="s">
        <v>10096</v>
      </c>
      <c r="M2661" t="s">
        <v>10245</v>
      </c>
      <c r="N2661" t="s">
        <v>10664</v>
      </c>
      <c r="P2661" t="s">
        <v>10749</v>
      </c>
      <c r="Q2661" t="s">
        <v>10765</v>
      </c>
      <c r="R2661" t="s">
        <v>10824</v>
      </c>
      <c r="T2661">
        <v>21000</v>
      </c>
      <c r="U2661">
        <v>1750</v>
      </c>
      <c r="V2661">
        <v>29</v>
      </c>
      <c r="W2661">
        <v>3</v>
      </c>
      <c r="X2661">
        <v>1</v>
      </c>
      <c r="Y2661" t="s">
        <v>10829</v>
      </c>
      <c r="Z2661">
        <v>81.55</v>
      </c>
      <c r="AA2661">
        <v>40.657978</v>
      </c>
      <c r="AB2661">
        <v>-73.90986100000001</v>
      </c>
      <c r="AD2661" t="s">
        <v>10839</v>
      </c>
      <c r="AG2661" t="s">
        <v>10858</v>
      </c>
      <c r="AH2661" t="s">
        <v>10862</v>
      </c>
      <c r="AI2661">
        <v>239</v>
      </c>
      <c r="AJ2661" t="s">
        <v>10213</v>
      </c>
      <c r="AK2661" t="s">
        <v>10838</v>
      </c>
      <c r="AL2661">
        <v>1.1</v>
      </c>
      <c r="AM2661" t="s">
        <v>10888</v>
      </c>
      <c r="AN2661" t="s">
        <v>10946</v>
      </c>
      <c r="AO2661" t="s">
        <v>11012</v>
      </c>
      <c r="AP2661" t="s">
        <v>11060</v>
      </c>
      <c r="AR2661" t="s">
        <v>11257</v>
      </c>
      <c r="AS2661" t="s">
        <v>11595</v>
      </c>
      <c r="AX2661" t="s">
        <v>10838</v>
      </c>
      <c r="AY2661" t="s">
        <v>10829</v>
      </c>
      <c r="AZ2661" t="s">
        <v>11681</v>
      </c>
      <c r="BA2661" t="s">
        <v>11741</v>
      </c>
      <c r="BB2661">
        <v>0</v>
      </c>
      <c r="BC2661">
        <v>0</v>
      </c>
      <c r="BD2661">
        <v>0</v>
      </c>
      <c r="BE2661">
        <v>0</v>
      </c>
      <c r="BF2661">
        <v>1</v>
      </c>
      <c r="BG2661">
        <v>0</v>
      </c>
    </row>
    <row r="2662" spans="1:59">
      <c r="A2662" s="1">
        <f>HYPERLINK("https://lsnyc.legalserver.org/matter/dynamic-profile/view/1906655","19-1906655")</f>
        <v>0</v>
      </c>
      <c r="B2662" t="s">
        <v>2256</v>
      </c>
      <c r="C2662" t="s">
        <v>7042</v>
      </c>
      <c r="D2662" t="s">
        <v>9926</v>
      </c>
      <c r="E2662" t="s">
        <v>10075</v>
      </c>
      <c r="F2662">
        <v>10456</v>
      </c>
      <c r="G2662" t="s">
        <v>10090</v>
      </c>
      <c r="H2662" t="s">
        <v>10096</v>
      </c>
      <c r="I2662" t="s">
        <v>10169</v>
      </c>
      <c r="J2662" t="s">
        <v>10210</v>
      </c>
      <c r="K2662" t="s">
        <v>10217</v>
      </c>
      <c r="M2662" t="s">
        <v>10296</v>
      </c>
      <c r="N2662" t="s">
        <v>10673</v>
      </c>
      <c r="P2662" t="s">
        <v>10753</v>
      </c>
      <c r="Q2662" t="s">
        <v>10763</v>
      </c>
      <c r="R2662" t="s">
        <v>10823</v>
      </c>
      <c r="T2662">
        <v>25000</v>
      </c>
      <c r="U2662">
        <v>2083.33</v>
      </c>
      <c r="V2662">
        <v>26</v>
      </c>
      <c r="W2662">
        <v>2</v>
      </c>
      <c r="X2662">
        <v>2</v>
      </c>
      <c r="Z2662">
        <v>97.09</v>
      </c>
      <c r="AA2662">
        <v>40.829684</v>
      </c>
      <c r="AB2662">
        <v>-73.91986199999999</v>
      </c>
      <c r="AD2662" t="s">
        <v>10839</v>
      </c>
      <c r="AF2662" t="s">
        <v>10842</v>
      </c>
      <c r="AG2662" t="s">
        <v>10859</v>
      </c>
      <c r="AH2662" t="s">
        <v>10864</v>
      </c>
      <c r="AI2662">
        <v>230</v>
      </c>
      <c r="AJ2662" t="s">
        <v>10210</v>
      </c>
      <c r="AL2662">
        <v>10</v>
      </c>
      <c r="AM2662" t="s">
        <v>10884</v>
      </c>
      <c r="AN2662" t="s">
        <v>10929</v>
      </c>
      <c r="AO2662" t="s">
        <v>11001</v>
      </c>
      <c r="AP2662" t="s">
        <v>11055</v>
      </c>
      <c r="AQ2662" t="s">
        <v>11109</v>
      </c>
      <c r="AR2662" t="s">
        <v>11257</v>
      </c>
      <c r="AS2662" t="s">
        <v>9926</v>
      </c>
      <c r="AT2662" t="s">
        <v>11641</v>
      </c>
      <c r="AV2662" t="s">
        <v>11656</v>
      </c>
      <c r="AW2662" t="s">
        <v>11645</v>
      </c>
      <c r="AX2662" t="s">
        <v>10838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</row>
    <row r="2663" spans="1:59">
      <c r="A2663" s="1">
        <f>HYPERLINK("https://lsnyc.legalserver.org/matter/dynamic-profile/view/1906656","19-1906656")</f>
        <v>0</v>
      </c>
      <c r="B2663" t="s">
        <v>2257</v>
      </c>
      <c r="C2663" t="s">
        <v>7043</v>
      </c>
      <c r="D2663" t="s">
        <v>9929</v>
      </c>
      <c r="E2663" t="s">
        <v>10075</v>
      </c>
      <c r="F2663">
        <v>10304</v>
      </c>
      <c r="G2663" t="s">
        <v>10088</v>
      </c>
      <c r="H2663" t="s">
        <v>10129</v>
      </c>
      <c r="I2663" t="s">
        <v>10168</v>
      </c>
      <c r="J2663" t="s">
        <v>10208</v>
      </c>
      <c r="K2663" t="s">
        <v>10217</v>
      </c>
      <c r="M2663" t="s">
        <v>10466</v>
      </c>
      <c r="N2663" t="s">
        <v>10735</v>
      </c>
      <c r="P2663" t="s">
        <v>10754</v>
      </c>
      <c r="Q2663" t="s">
        <v>10784</v>
      </c>
      <c r="R2663" t="s">
        <v>10821</v>
      </c>
      <c r="T2663">
        <v>31000</v>
      </c>
      <c r="U2663">
        <v>2583.33</v>
      </c>
      <c r="V2663">
        <v>28</v>
      </c>
      <c r="W2663">
        <v>2</v>
      </c>
      <c r="X2663">
        <v>1</v>
      </c>
      <c r="Z2663">
        <v>145.34</v>
      </c>
      <c r="AA2663">
        <v>40.603387</v>
      </c>
      <c r="AB2663">
        <v>-74.09026</v>
      </c>
      <c r="AD2663" t="s">
        <v>10840</v>
      </c>
      <c r="AG2663" t="s">
        <v>10858</v>
      </c>
      <c r="AH2663" t="s">
        <v>10861</v>
      </c>
      <c r="AI2663">
        <v>285</v>
      </c>
      <c r="AJ2663" t="s">
        <v>10208</v>
      </c>
      <c r="AL2663">
        <v>4</v>
      </c>
      <c r="AM2663" t="s">
        <v>10883</v>
      </c>
      <c r="AN2663" t="s">
        <v>10928</v>
      </c>
      <c r="AO2663" t="s">
        <v>10999</v>
      </c>
      <c r="AP2663" t="s">
        <v>11063</v>
      </c>
      <c r="AR2663" t="s">
        <v>11257</v>
      </c>
      <c r="AS2663" t="s">
        <v>11593</v>
      </c>
      <c r="AT2663" t="s">
        <v>11642</v>
      </c>
      <c r="AX2663" t="s">
        <v>10837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</row>
    <row r="2664" spans="1:59">
      <c r="A2664" s="1">
        <f>HYPERLINK("https://lsnyc.legalserver.org/matter/dynamic-profile/view/1906657","19-1906657")</f>
        <v>0</v>
      </c>
      <c r="B2664" t="s">
        <v>2258</v>
      </c>
      <c r="C2664" t="s">
        <v>7044</v>
      </c>
      <c r="D2664" t="s">
        <v>9926</v>
      </c>
      <c r="E2664" t="s">
        <v>10075</v>
      </c>
      <c r="F2664">
        <v>10467</v>
      </c>
      <c r="G2664" t="s">
        <v>10090</v>
      </c>
      <c r="H2664" t="s">
        <v>10096</v>
      </c>
      <c r="I2664" t="s">
        <v>10169</v>
      </c>
      <c r="J2664" t="s">
        <v>10210</v>
      </c>
      <c r="K2664" t="s">
        <v>10217</v>
      </c>
      <c r="M2664" t="s">
        <v>10362</v>
      </c>
      <c r="N2664" t="s">
        <v>10651</v>
      </c>
      <c r="P2664" t="s">
        <v>10749</v>
      </c>
      <c r="Q2664" t="s">
        <v>10765</v>
      </c>
      <c r="R2664" t="s">
        <v>10823</v>
      </c>
      <c r="T2664">
        <v>0</v>
      </c>
      <c r="U2664">
        <v>0</v>
      </c>
      <c r="V2664">
        <v>29</v>
      </c>
      <c r="W2664">
        <v>1</v>
      </c>
      <c r="X2664">
        <v>3</v>
      </c>
      <c r="Z2664">
        <v>0</v>
      </c>
      <c r="AA2664">
        <v>40.870287</v>
      </c>
      <c r="AB2664">
        <v>-73.86270399999999</v>
      </c>
      <c r="AD2664" t="s">
        <v>10839</v>
      </c>
      <c r="AF2664" t="s">
        <v>10844</v>
      </c>
      <c r="AG2664" t="s">
        <v>10859</v>
      </c>
      <c r="AH2664" t="s">
        <v>10862</v>
      </c>
      <c r="AI2664">
        <v>230</v>
      </c>
      <c r="AJ2664" t="s">
        <v>10210</v>
      </c>
      <c r="AL2664">
        <v>3</v>
      </c>
      <c r="AM2664" t="s">
        <v>10893</v>
      </c>
      <c r="AN2664" t="s">
        <v>10956</v>
      </c>
      <c r="AO2664" t="s">
        <v>11010</v>
      </c>
      <c r="AP2664" t="s">
        <v>11085</v>
      </c>
      <c r="AR2664" t="s">
        <v>11279</v>
      </c>
      <c r="AS2664" t="s">
        <v>9926</v>
      </c>
      <c r="AT2664" t="s">
        <v>11641</v>
      </c>
      <c r="AV2664" t="s">
        <v>11656</v>
      </c>
      <c r="AW2664" t="s">
        <v>11645</v>
      </c>
      <c r="AX2664" t="s">
        <v>10838</v>
      </c>
      <c r="BA2664" t="s">
        <v>11738</v>
      </c>
      <c r="BB2664">
        <v>0</v>
      </c>
      <c r="BC2664">
        <v>0</v>
      </c>
      <c r="BD2664">
        <v>0</v>
      </c>
      <c r="BE2664">
        <v>0</v>
      </c>
      <c r="BF2664">
        <v>5</v>
      </c>
      <c r="BG2664">
        <v>0</v>
      </c>
    </row>
    <row r="2665" spans="1:59">
      <c r="A2665" s="1">
        <f>HYPERLINK("https://lsnyc.legalserver.org/matter/dynamic-profile/view/1906658","19-1906658")</f>
        <v>0</v>
      </c>
      <c r="B2665" t="s">
        <v>2259</v>
      </c>
      <c r="C2665" t="s">
        <v>7045</v>
      </c>
      <c r="D2665" t="s">
        <v>9926</v>
      </c>
      <c r="E2665" t="s">
        <v>10075</v>
      </c>
      <c r="F2665">
        <v>10462</v>
      </c>
      <c r="G2665" t="s">
        <v>10090</v>
      </c>
      <c r="H2665" t="s">
        <v>10096</v>
      </c>
      <c r="I2665" t="s">
        <v>10168</v>
      </c>
      <c r="J2665" t="s">
        <v>10210</v>
      </c>
      <c r="K2665" t="s">
        <v>10218</v>
      </c>
      <c r="L2665" t="s">
        <v>10127</v>
      </c>
      <c r="M2665" t="s">
        <v>10438</v>
      </c>
      <c r="N2665" t="s">
        <v>10694</v>
      </c>
      <c r="P2665" t="s">
        <v>10751</v>
      </c>
      <c r="Q2665" t="s">
        <v>10773</v>
      </c>
      <c r="R2665" t="s">
        <v>10823</v>
      </c>
      <c r="T2665">
        <v>43992</v>
      </c>
      <c r="U2665">
        <v>3666</v>
      </c>
      <c r="V2665">
        <v>61</v>
      </c>
      <c r="W2665">
        <v>2</v>
      </c>
      <c r="X2665">
        <v>0</v>
      </c>
      <c r="Y2665" t="s">
        <v>10829</v>
      </c>
      <c r="Z2665">
        <v>260.15</v>
      </c>
      <c r="AA2665">
        <v>40.836809</v>
      </c>
      <c r="AB2665">
        <v>-73.85009599999999</v>
      </c>
      <c r="AD2665" t="s">
        <v>10840</v>
      </c>
      <c r="AG2665" t="s">
        <v>10858</v>
      </c>
      <c r="AH2665" t="s">
        <v>10861</v>
      </c>
      <c r="AI2665">
        <v>234</v>
      </c>
      <c r="AJ2665" t="s">
        <v>10214</v>
      </c>
      <c r="AK2665" t="s">
        <v>10838</v>
      </c>
      <c r="AL2665">
        <v>2.75</v>
      </c>
      <c r="AR2665" t="s">
        <v>11468</v>
      </c>
      <c r="AS2665" t="s">
        <v>9926</v>
      </c>
      <c r="AT2665" t="s">
        <v>11642</v>
      </c>
      <c r="AX2665" t="s">
        <v>10838</v>
      </c>
      <c r="AY2665" t="s">
        <v>10829</v>
      </c>
      <c r="AZ2665" t="s">
        <v>11682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</row>
    <row r="2666" spans="1:59">
      <c r="A2666" s="1">
        <f>HYPERLINK("https://lsnyc.legalserver.org/matter/dynamic-profile/view/1906659","19-1906659")</f>
        <v>0</v>
      </c>
      <c r="B2666" t="s">
        <v>2260</v>
      </c>
      <c r="C2666" t="s">
        <v>7046</v>
      </c>
      <c r="D2666" t="s">
        <v>9938</v>
      </c>
      <c r="E2666" t="s">
        <v>10075</v>
      </c>
      <c r="F2666">
        <v>11434</v>
      </c>
      <c r="G2666" t="s">
        <v>10092</v>
      </c>
      <c r="H2666" t="s">
        <v>10096</v>
      </c>
      <c r="I2666" t="s">
        <v>10168</v>
      </c>
      <c r="J2666" t="s">
        <v>10212</v>
      </c>
      <c r="K2666" t="s">
        <v>10218</v>
      </c>
      <c r="L2666" t="s">
        <v>10156</v>
      </c>
      <c r="M2666" t="s">
        <v>10260</v>
      </c>
      <c r="N2666" t="s">
        <v>10665</v>
      </c>
      <c r="P2666" t="s">
        <v>10751</v>
      </c>
      <c r="Q2666" t="s">
        <v>10773</v>
      </c>
      <c r="R2666" t="s">
        <v>10824</v>
      </c>
      <c r="T2666">
        <v>4656</v>
      </c>
      <c r="U2666">
        <v>388</v>
      </c>
      <c r="V2666">
        <v>37</v>
      </c>
      <c r="W2666">
        <v>2</v>
      </c>
      <c r="X2666">
        <v>1</v>
      </c>
      <c r="Y2666" t="s">
        <v>10829</v>
      </c>
      <c r="Z2666">
        <v>21.83</v>
      </c>
      <c r="AA2666">
        <v>40.67557</v>
      </c>
      <c r="AB2666">
        <v>-73.761213</v>
      </c>
      <c r="AD2666" t="s">
        <v>10839</v>
      </c>
      <c r="AG2666" t="s">
        <v>10858</v>
      </c>
      <c r="AH2666" t="s">
        <v>10871</v>
      </c>
      <c r="AI2666">
        <v>234</v>
      </c>
      <c r="AJ2666" t="s">
        <v>10214</v>
      </c>
      <c r="AK2666" t="s">
        <v>10838</v>
      </c>
      <c r="AL2666">
        <v>6.75</v>
      </c>
      <c r="AM2666" t="s">
        <v>10892</v>
      </c>
      <c r="AN2666" t="s">
        <v>10951</v>
      </c>
      <c r="AO2666" t="s">
        <v>11017</v>
      </c>
      <c r="AP2666" t="s">
        <v>11075</v>
      </c>
      <c r="AR2666" t="s">
        <v>11311</v>
      </c>
      <c r="AS2666" t="s">
        <v>11594</v>
      </c>
      <c r="AT2666" t="s">
        <v>11641</v>
      </c>
      <c r="AX2666" t="s">
        <v>10838</v>
      </c>
      <c r="AY2666" t="s">
        <v>10829</v>
      </c>
      <c r="AZ2666" t="s">
        <v>11682</v>
      </c>
      <c r="BA2666" t="s">
        <v>11741</v>
      </c>
      <c r="BB2666">
        <v>0</v>
      </c>
      <c r="BC2666">
        <v>0</v>
      </c>
      <c r="BD2666">
        <v>0</v>
      </c>
      <c r="BE2666">
        <v>0</v>
      </c>
      <c r="BF2666">
        <v>1</v>
      </c>
      <c r="BG2666">
        <v>0</v>
      </c>
    </row>
    <row r="2667" spans="1:59">
      <c r="A2667" s="1">
        <f>HYPERLINK("https://lsnyc.legalserver.org/matter/dynamic-profile/view/1906660","19-1906660")</f>
        <v>0</v>
      </c>
      <c r="B2667" t="s">
        <v>2261</v>
      </c>
      <c r="C2667" t="s">
        <v>6999</v>
      </c>
      <c r="D2667" t="s">
        <v>9926</v>
      </c>
      <c r="E2667" t="s">
        <v>10075</v>
      </c>
      <c r="F2667">
        <v>10452</v>
      </c>
      <c r="G2667" t="s">
        <v>10090</v>
      </c>
      <c r="H2667" t="s">
        <v>10096</v>
      </c>
      <c r="I2667" t="s">
        <v>10168</v>
      </c>
      <c r="J2667" t="s">
        <v>10210</v>
      </c>
      <c r="K2667" t="s">
        <v>10217</v>
      </c>
      <c r="M2667" t="s">
        <v>10579</v>
      </c>
      <c r="N2667" t="s">
        <v>10650</v>
      </c>
      <c r="P2667" t="s">
        <v>10749</v>
      </c>
      <c r="Q2667" t="s">
        <v>10765</v>
      </c>
      <c r="R2667" t="s">
        <v>10828</v>
      </c>
      <c r="T2667">
        <v>60000</v>
      </c>
      <c r="U2667">
        <v>5000</v>
      </c>
      <c r="V2667">
        <v>70</v>
      </c>
      <c r="W2667">
        <v>2</v>
      </c>
      <c r="X2667">
        <v>0</v>
      </c>
      <c r="Z2667">
        <v>354.82</v>
      </c>
      <c r="AA2667">
        <v>40.828115</v>
      </c>
      <c r="AB2667">
        <v>-73.923996</v>
      </c>
      <c r="AD2667" t="s">
        <v>10840</v>
      </c>
      <c r="AG2667" t="s">
        <v>10858</v>
      </c>
      <c r="AH2667" t="s">
        <v>10862</v>
      </c>
      <c r="AI2667">
        <v>230</v>
      </c>
      <c r="AJ2667" t="s">
        <v>10210</v>
      </c>
      <c r="AL2667">
        <v>9</v>
      </c>
      <c r="AM2667" t="s">
        <v>10884</v>
      </c>
      <c r="AN2667" t="s">
        <v>10924</v>
      </c>
      <c r="AO2667" t="s">
        <v>11013</v>
      </c>
      <c r="AP2667" t="s">
        <v>11066</v>
      </c>
      <c r="AR2667" t="s">
        <v>11400</v>
      </c>
      <c r="AS2667" t="s">
        <v>9926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</row>
    <row r="2668" spans="1:59">
      <c r="A2668" s="1">
        <f>HYPERLINK("https://lsnyc.legalserver.org/matter/dynamic-profile/view/1906661","19-1906661")</f>
        <v>0</v>
      </c>
      <c r="B2668" t="s">
        <v>521</v>
      </c>
      <c r="C2668" t="s">
        <v>5439</v>
      </c>
      <c r="D2668" t="s">
        <v>9928</v>
      </c>
      <c r="E2668" t="s">
        <v>10075</v>
      </c>
      <c r="F2668">
        <v>11222</v>
      </c>
      <c r="G2668" t="s">
        <v>10093</v>
      </c>
      <c r="H2668" t="s">
        <v>10096</v>
      </c>
      <c r="I2668" t="s">
        <v>10169</v>
      </c>
      <c r="J2668" t="s">
        <v>10213</v>
      </c>
      <c r="K2668" t="s">
        <v>10217</v>
      </c>
      <c r="M2668" t="s">
        <v>10443</v>
      </c>
      <c r="N2668" t="s">
        <v>10644</v>
      </c>
      <c r="P2668" t="s">
        <v>10749</v>
      </c>
      <c r="Q2668" t="s">
        <v>10765</v>
      </c>
      <c r="R2668" t="s">
        <v>10821</v>
      </c>
      <c r="T2668">
        <v>3913.2</v>
      </c>
      <c r="U2668">
        <v>326.1</v>
      </c>
      <c r="V2668">
        <v>64</v>
      </c>
      <c r="W2668">
        <v>2</v>
      </c>
      <c r="X2668">
        <v>0</v>
      </c>
      <c r="Z2668">
        <v>23.14</v>
      </c>
      <c r="AA2668">
        <v>40.724319</v>
      </c>
      <c r="AB2668">
        <v>-73.941187</v>
      </c>
      <c r="AD2668" t="s">
        <v>10839</v>
      </c>
      <c r="AF2668" t="s">
        <v>10843</v>
      </c>
      <c r="AG2668" t="s">
        <v>10859</v>
      </c>
      <c r="AH2668" t="s">
        <v>10862</v>
      </c>
      <c r="AI2668">
        <v>239</v>
      </c>
      <c r="AJ2668" t="s">
        <v>10213</v>
      </c>
      <c r="AL2668">
        <v>14.9</v>
      </c>
      <c r="AM2668" t="s">
        <v>10891</v>
      </c>
      <c r="AN2668" t="s">
        <v>10939</v>
      </c>
      <c r="AO2668" t="s">
        <v>11004</v>
      </c>
      <c r="AP2668" t="s">
        <v>11054</v>
      </c>
      <c r="AR2668" t="s">
        <v>11263</v>
      </c>
      <c r="AS2668" t="s">
        <v>11595</v>
      </c>
      <c r="BA2668" t="s">
        <v>11738</v>
      </c>
      <c r="BB2668">
        <v>0</v>
      </c>
      <c r="BC2668">
        <v>0</v>
      </c>
      <c r="BD2668">
        <v>0</v>
      </c>
      <c r="BE2668">
        <v>0</v>
      </c>
      <c r="BF2668">
        <v>5</v>
      </c>
      <c r="BG2668">
        <v>0</v>
      </c>
    </row>
    <row r="2669" spans="1:59">
      <c r="A2669" s="1">
        <f>HYPERLINK("https://lsnyc.legalserver.org/matter/dynamic-profile/view/1906662","19-1906662")</f>
        <v>0</v>
      </c>
      <c r="B2669" t="s">
        <v>2262</v>
      </c>
      <c r="C2669" t="s">
        <v>5770</v>
      </c>
      <c r="D2669" t="s">
        <v>9928</v>
      </c>
      <c r="E2669" t="s">
        <v>10075</v>
      </c>
      <c r="F2669">
        <v>11215</v>
      </c>
      <c r="G2669" t="s">
        <v>10093</v>
      </c>
      <c r="H2669" t="s">
        <v>10096</v>
      </c>
      <c r="I2669" t="s">
        <v>10168</v>
      </c>
      <c r="J2669" t="s">
        <v>10213</v>
      </c>
      <c r="K2669" t="s">
        <v>10218</v>
      </c>
      <c r="L2669" t="s">
        <v>10096</v>
      </c>
      <c r="M2669" t="s">
        <v>10293</v>
      </c>
      <c r="N2669" t="s">
        <v>10644</v>
      </c>
      <c r="P2669" t="s">
        <v>10749</v>
      </c>
      <c r="Q2669" t="s">
        <v>10765</v>
      </c>
      <c r="R2669" t="s">
        <v>10821</v>
      </c>
      <c r="T2669">
        <v>10080</v>
      </c>
      <c r="U2669">
        <v>840</v>
      </c>
      <c r="V2669">
        <v>69</v>
      </c>
      <c r="W2669">
        <v>1</v>
      </c>
      <c r="X2669">
        <v>0</v>
      </c>
      <c r="Y2669" t="s">
        <v>10829</v>
      </c>
      <c r="Z2669">
        <v>80.7</v>
      </c>
      <c r="AA2669">
        <v>40.67509</v>
      </c>
      <c r="AB2669">
        <v>-73.98172700000001</v>
      </c>
      <c r="AD2669" t="s">
        <v>10839</v>
      </c>
      <c r="AG2669" t="s">
        <v>10858</v>
      </c>
      <c r="AH2669" t="s">
        <v>10862</v>
      </c>
      <c r="AI2669">
        <v>239</v>
      </c>
      <c r="AJ2669" t="s">
        <v>10213</v>
      </c>
      <c r="AK2669" t="s">
        <v>10838</v>
      </c>
      <c r="AL2669">
        <v>0.75</v>
      </c>
      <c r="AM2669" t="s">
        <v>10886</v>
      </c>
      <c r="AN2669" t="s">
        <v>10917</v>
      </c>
      <c r="AO2669" t="s">
        <v>11007</v>
      </c>
      <c r="AP2669" t="s">
        <v>11059</v>
      </c>
      <c r="AR2669" t="s">
        <v>11289</v>
      </c>
      <c r="AS2669" t="s">
        <v>11595</v>
      </c>
      <c r="AW2669" t="s">
        <v>11645</v>
      </c>
      <c r="AY2669" t="s">
        <v>10829</v>
      </c>
      <c r="AZ2669" t="s">
        <v>11681</v>
      </c>
      <c r="BA2669" t="s">
        <v>11741</v>
      </c>
      <c r="BB2669">
        <v>0</v>
      </c>
      <c r="BC2669">
        <v>0</v>
      </c>
      <c r="BD2669">
        <v>0</v>
      </c>
      <c r="BE2669">
        <v>0</v>
      </c>
      <c r="BF2669">
        <v>1</v>
      </c>
      <c r="BG2669">
        <v>0</v>
      </c>
    </row>
    <row r="2670" spans="1:59">
      <c r="A2670" s="1">
        <f>HYPERLINK("https://lsnyc.legalserver.org/matter/dynamic-profile/view/1906663","19-1906663")</f>
        <v>0</v>
      </c>
      <c r="B2670" t="s">
        <v>2263</v>
      </c>
      <c r="C2670" t="s">
        <v>7047</v>
      </c>
      <c r="D2670" t="s">
        <v>9928</v>
      </c>
      <c r="E2670" t="s">
        <v>10075</v>
      </c>
      <c r="F2670">
        <v>11214</v>
      </c>
      <c r="G2670" t="s">
        <v>10093</v>
      </c>
      <c r="H2670" t="s">
        <v>10096</v>
      </c>
      <c r="I2670" t="s">
        <v>10168</v>
      </c>
      <c r="J2670" t="s">
        <v>10213</v>
      </c>
      <c r="K2670" t="s">
        <v>10218</v>
      </c>
      <c r="L2670" t="s">
        <v>10120</v>
      </c>
      <c r="M2670" t="s">
        <v>10390</v>
      </c>
      <c r="N2670" t="s">
        <v>10644</v>
      </c>
      <c r="P2670" t="s">
        <v>10749</v>
      </c>
      <c r="Q2670" t="s">
        <v>10791</v>
      </c>
      <c r="R2670" t="s">
        <v>10820</v>
      </c>
      <c r="T2670">
        <v>27900</v>
      </c>
      <c r="U2670">
        <v>2325</v>
      </c>
      <c r="V2670">
        <v>80</v>
      </c>
      <c r="W2670">
        <v>1</v>
      </c>
      <c r="X2670">
        <v>0</v>
      </c>
      <c r="Y2670" t="s">
        <v>10829</v>
      </c>
      <c r="Z2670">
        <v>223.38</v>
      </c>
      <c r="AA2670">
        <v>40.605195</v>
      </c>
      <c r="AB2670">
        <v>-73.990776</v>
      </c>
      <c r="AC2670" t="s">
        <v>10837</v>
      </c>
      <c r="AD2670" t="s">
        <v>10840</v>
      </c>
      <c r="AG2670" t="s">
        <v>10858</v>
      </c>
      <c r="AH2670" t="s">
        <v>10869</v>
      </c>
      <c r="AI2670">
        <v>239</v>
      </c>
      <c r="AJ2670" t="s">
        <v>10213</v>
      </c>
      <c r="AK2670" t="s">
        <v>10838</v>
      </c>
      <c r="AL2670">
        <v>1.75</v>
      </c>
      <c r="AM2670" t="s">
        <v>10883</v>
      </c>
      <c r="AN2670" t="s">
        <v>10969</v>
      </c>
      <c r="AO2670" t="s">
        <v>11023</v>
      </c>
      <c r="AP2670" t="s">
        <v>11079</v>
      </c>
      <c r="AR2670" t="s">
        <v>11355</v>
      </c>
      <c r="AS2670" t="s">
        <v>11595</v>
      </c>
      <c r="AW2670" t="s">
        <v>11666</v>
      </c>
      <c r="AY2670" t="s">
        <v>10829</v>
      </c>
      <c r="AZ2670" t="s">
        <v>11681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</row>
    <row r="2671" spans="1:59">
      <c r="A2671" s="1">
        <f>HYPERLINK("https://lsnyc.legalserver.org/matter/dynamic-profile/view/1906664","19-1906664")</f>
        <v>0</v>
      </c>
      <c r="B2671" t="s">
        <v>2264</v>
      </c>
      <c r="C2671" t="s">
        <v>7048</v>
      </c>
      <c r="D2671" t="s">
        <v>9926</v>
      </c>
      <c r="E2671" t="s">
        <v>10075</v>
      </c>
      <c r="F2671">
        <v>10472</v>
      </c>
      <c r="G2671" t="s">
        <v>10090</v>
      </c>
      <c r="H2671" t="s">
        <v>10121</v>
      </c>
      <c r="I2671" t="s">
        <v>10168</v>
      </c>
      <c r="J2671" t="s">
        <v>10210</v>
      </c>
      <c r="K2671" t="s">
        <v>10217</v>
      </c>
      <c r="M2671" t="s">
        <v>10561</v>
      </c>
      <c r="N2671" t="s">
        <v>10683</v>
      </c>
      <c r="P2671" t="s">
        <v>10754</v>
      </c>
      <c r="Q2671" t="s">
        <v>10777</v>
      </c>
      <c r="R2671" t="s">
        <v>10821</v>
      </c>
      <c r="T2671">
        <v>0</v>
      </c>
      <c r="U2671">
        <v>0</v>
      </c>
      <c r="V2671">
        <v>23</v>
      </c>
      <c r="W2671">
        <v>1</v>
      </c>
      <c r="X2671">
        <v>1</v>
      </c>
      <c r="Z2671">
        <v>0</v>
      </c>
      <c r="AA2671">
        <v>40.83559</v>
      </c>
      <c r="AB2671">
        <v>-73.876501</v>
      </c>
      <c r="AD2671" t="s">
        <v>10839</v>
      </c>
      <c r="AG2671" t="s">
        <v>10858</v>
      </c>
      <c r="AH2671" t="s">
        <v>10865</v>
      </c>
      <c r="AI2671">
        <v>230</v>
      </c>
      <c r="AJ2671" t="s">
        <v>10210</v>
      </c>
      <c r="AL2671">
        <v>1.75</v>
      </c>
      <c r="AM2671" t="s">
        <v>10884</v>
      </c>
      <c r="AN2671" t="s">
        <v>10968</v>
      </c>
      <c r="AO2671" t="s">
        <v>11001</v>
      </c>
      <c r="AP2671" t="s">
        <v>11046</v>
      </c>
      <c r="AQ2671" t="s">
        <v>11128</v>
      </c>
      <c r="AR2671" t="s">
        <v>11267</v>
      </c>
      <c r="AS2671" t="s">
        <v>9926</v>
      </c>
      <c r="AT2671" t="s">
        <v>11641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</row>
    <row r="2672" spans="1:59">
      <c r="A2672" s="1">
        <f>HYPERLINK("https://lsnyc.legalserver.org/matter/dynamic-profile/view/1906667","19-1906667")</f>
        <v>0</v>
      </c>
      <c r="B2672" t="s">
        <v>2265</v>
      </c>
      <c r="C2672" t="s">
        <v>7049</v>
      </c>
      <c r="D2672" t="s">
        <v>9926</v>
      </c>
      <c r="E2672" t="s">
        <v>10075</v>
      </c>
      <c r="F2672">
        <v>10453</v>
      </c>
      <c r="G2672" t="s">
        <v>10090</v>
      </c>
      <c r="H2672" t="s">
        <v>10121</v>
      </c>
      <c r="I2672" t="s">
        <v>10169</v>
      </c>
      <c r="J2672" t="s">
        <v>10210</v>
      </c>
      <c r="K2672" t="s">
        <v>10217</v>
      </c>
      <c r="M2672" t="s">
        <v>10561</v>
      </c>
      <c r="N2672" t="s">
        <v>10683</v>
      </c>
      <c r="P2672" t="s">
        <v>10754</v>
      </c>
      <c r="Q2672" t="s">
        <v>10777</v>
      </c>
      <c r="R2672" t="s">
        <v>10823</v>
      </c>
      <c r="T2672">
        <v>0</v>
      </c>
      <c r="U2672">
        <v>0</v>
      </c>
      <c r="V2672">
        <v>43</v>
      </c>
      <c r="W2672">
        <v>1</v>
      </c>
      <c r="X2672">
        <v>0</v>
      </c>
      <c r="Z2672">
        <v>0</v>
      </c>
      <c r="AA2672">
        <v>40.850816</v>
      </c>
      <c r="AB2672">
        <v>-73.910538</v>
      </c>
      <c r="AD2672" t="s">
        <v>10839</v>
      </c>
      <c r="AF2672" t="s">
        <v>10842</v>
      </c>
      <c r="AG2672" t="s">
        <v>10859</v>
      </c>
      <c r="AH2672" t="s">
        <v>10865</v>
      </c>
      <c r="AI2672">
        <v>230</v>
      </c>
      <c r="AJ2672" t="s">
        <v>10210</v>
      </c>
      <c r="AL2672">
        <v>1.75</v>
      </c>
      <c r="AM2672" t="s">
        <v>10884</v>
      </c>
      <c r="AN2672" t="s">
        <v>10929</v>
      </c>
      <c r="AO2672" t="s">
        <v>11013</v>
      </c>
      <c r="AP2672" t="s">
        <v>11045</v>
      </c>
      <c r="AQ2672" t="s">
        <v>11128</v>
      </c>
      <c r="AR2672" t="s">
        <v>11267</v>
      </c>
      <c r="AS2672" t="s">
        <v>9926</v>
      </c>
      <c r="AT2672" t="s">
        <v>11641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</row>
    <row r="2673" spans="1:59">
      <c r="A2673" s="1">
        <f>HYPERLINK("https://lsnyc.legalserver.org/matter/dynamic-profile/view/1906668","19-1906668")</f>
        <v>0</v>
      </c>
      <c r="B2673" t="s">
        <v>2266</v>
      </c>
      <c r="C2673" t="s">
        <v>7050</v>
      </c>
      <c r="D2673" t="s">
        <v>9928</v>
      </c>
      <c r="E2673" t="s">
        <v>10075</v>
      </c>
      <c r="F2673">
        <v>11203</v>
      </c>
      <c r="G2673" t="s">
        <v>10093</v>
      </c>
      <c r="H2673" t="s">
        <v>10146</v>
      </c>
      <c r="I2673" t="s">
        <v>10168</v>
      </c>
      <c r="J2673" t="s">
        <v>10213</v>
      </c>
      <c r="K2673" t="s">
        <v>10217</v>
      </c>
      <c r="M2673" t="s">
        <v>10470</v>
      </c>
      <c r="N2673" t="s">
        <v>10653</v>
      </c>
      <c r="P2673" t="s">
        <v>10749</v>
      </c>
      <c r="Q2673" t="s">
        <v>10759</v>
      </c>
      <c r="R2673" t="s">
        <v>10824</v>
      </c>
      <c r="T2673">
        <v>21996</v>
      </c>
      <c r="U2673">
        <v>1833</v>
      </c>
      <c r="V2673">
        <v>44</v>
      </c>
      <c r="W2673">
        <v>3</v>
      </c>
      <c r="X2673">
        <v>2</v>
      </c>
      <c r="Z2673">
        <v>72.91</v>
      </c>
      <c r="AA2673">
        <v>40.660114</v>
      </c>
      <c r="AB2673">
        <v>-73.93543099999999</v>
      </c>
      <c r="AC2673" t="s">
        <v>10838</v>
      </c>
      <c r="AD2673" t="s">
        <v>10839</v>
      </c>
      <c r="AG2673" t="s">
        <v>10858</v>
      </c>
      <c r="AH2673" t="s">
        <v>10860</v>
      </c>
      <c r="AI2673">
        <v>239</v>
      </c>
      <c r="AJ2673" t="s">
        <v>10213</v>
      </c>
      <c r="AL2673">
        <v>11.6</v>
      </c>
      <c r="AM2673" t="s">
        <v>10888</v>
      </c>
      <c r="AN2673" t="s">
        <v>10912</v>
      </c>
      <c r="AO2673" t="s">
        <v>11005</v>
      </c>
      <c r="AP2673" t="s">
        <v>11064</v>
      </c>
      <c r="AQ2673" t="s">
        <v>11098</v>
      </c>
      <c r="AR2673" t="s">
        <v>11261</v>
      </c>
      <c r="AS2673" t="s">
        <v>11595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</row>
    <row r="2674" spans="1:59">
      <c r="A2674" s="1">
        <f>HYPERLINK("https://lsnyc.legalserver.org/matter/dynamic-profile/view/1906669","19-1906669")</f>
        <v>0</v>
      </c>
      <c r="B2674" t="s">
        <v>2267</v>
      </c>
      <c r="C2674" t="s">
        <v>7051</v>
      </c>
      <c r="D2674" t="s">
        <v>9928</v>
      </c>
      <c r="E2674" t="s">
        <v>10075</v>
      </c>
      <c r="F2674">
        <v>11203</v>
      </c>
      <c r="G2674" t="s">
        <v>10093</v>
      </c>
      <c r="H2674" t="s">
        <v>10096</v>
      </c>
      <c r="I2674" t="s">
        <v>10168</v>
      </c>
      <c r="J2674" t="s">
        <v>10213</v>
      </c>
      <c r="K2674" t="s">
        <v>10218</v>
      </c>
      <c r="L2674" t="s">
        <v>10151</v>
      </c>
      <c r="M2674" t="s">
        <v>10290</v>
      </c>
      <c r="N2674" t="s">
        <v>10665</v>
      </c>
      <c r="P2674" t="s">
        <v>10751</v>
      </c>
      <c r="Q2674" t="s">
        <v>10773</v>
      </c>
      <c r="R2674" t="s">
        <v>10824</v>
      </c>
      <c r="T2674">
        <v>16744</v>
      </c>
      <c r="U2674">
        <v>1395.33</v>
      </c>
      <c r="V2674">
        <v>27</v>
      </c>
      <c r="W2674">
        <v>1</v>
      </c>
      <c r="X2674">
        <v>0</v>
      </c>
      <c r="Y2674" t="s">
        <v>10829</v>
      </c>
      <c r="Z2674">
        <v>134.06</v>
      </c>
      <c r="AA2674">
        <v>40.650205</v>
      </c>
      <c r="AB2674">
        <v>-73.93241399999999</v>
      </c>
      <c r="AD2674" t="s">
        <v>10840</v>
      </c>
      <c r="AG2674" t="s">
        <v>10858</v>
      </c>
      <c r="AH2674" t="s">
        <v>10861</v>
      </c>
      <c r="AI2674">
        <v>234</v>
      </c>
      <c r="AJ2674" t="s">
        <v>10214</v>
      </c>
      <c r="AK2674" t="s">
        <v>10838</v>
      </c>
      <c r="AL2674">
        <v>3.25</v>
      </c>
      <c r="AM2674" t="s">
        <v>10888</v>
      </c>
      <c r="AN2674" t="s">
        <v>10925</v>
      </c>
      <c r="AO2674" t="s">
        <v>11008</v>
      </c>
      <c r="AP2674" t="s">
        <v>11065</v>
      </c>
      <c r="AR2674" t="s">
        <v>11293</v>
      </c>
      <c r="AS2674" t="s">
        <v>11595</v>
      </c>
      <c r="AT2674" t="s">
        <v>11642</v>
      </c>
      <c r="AX2674" t="s">
        <v>10838</v>
      </c>
      <c r="AY2674" t="s">
        <v>10829</v>
      </c>
      <c r="AZ2674" t="s">
        <v>11682</v>
      </c>
      <c r="BA2674" t="s">
        <v>11741</v>
      </c>
      <c r="BB2674">
        <v>0</v>
      </c>
      <c r="BC2674">
        <v>0</v>
      </c>
      <c r="BD2674">
        <v>0</v>
      </c>
      <c r="BE2674">
        <v>0</v>
      </c>
      <c r="BF2674">
        <v>1</v>
      </c>
      <c r="BG2674">
        <v>0</v>
      </c>
    </row>
    <row r="2675" spans="1:59">
      <c r="A2675" s="1">
        <f>HYPERLINK("https://lsnyc.legalserver.org/matter/dynamic-profile/view/1906670","19-1906670")</f>
        <v>0</v>
      </c>
      <c r="B2675" t="s">
        <v>2268</v>
      </c>
      <c r="C2675" t="s">
        <v>7052</v>
      </c>
      <c r="D2675" t="s">
        <v>9925</v>
      </c>
      <c r="E2675" t="s">
        <v>10075</v>
      </c>
      <c r="F2675">
        <v>10031</v>
      </c>
      <c r="G2675" t="s">
        <v>10089</v>
      </c>
      <c r="H2675" t="s">
        <v>10096</v>
      </c>
      <c r="I2675" t="s">
        <v>10168</v>
      </c>
      <c r="J2675" t="s">
        <v>10209</v>
      </c>
      <c r="K2675" t="s">
        <v>10217</v>
      </c>
      <c r="M2675" t="s">
        <v>10267</v>
      </c>
      <c r="N2675" t="s">
        <v>10691</v>
      </c>
      <c r="P2675" t="s">
        <v>10751</v>
      </c>
      <c r="Q2675" t="s">
        <v>10776</v>
      </c>
      <c r="R2675" t="s">
        <v>10824</v>
      </c>
      <c r="T2675">
        <v>12252</v>
      </c>
      <c r="U2675">
        <v>1021</v>
      </c>
      <c r="V2675">
        <v>76</v>
      </c>
      <c r="W2675">
        <v>1</v>
      </c>
      <c r="X2675">
        <v>0</v>
      </c>
      <c r="Z2675">
        <v>98.09</v>
      </c>
      <c r="AA2675">
        <v>40.824428</v>
      </c>
      <c r="AB2675">
        <v>-73.95019499999999</v>
      </c>
      <c r="AD2675" t="s">
        <v>10839</v>
      </c>
      <c r="AG2675" t="s">
        <v>10858</v>
      </c>
      <c r="AH2675" t="s">
        <v>10874</v>
      </c>
      <c r="AI2675">
        <v>236</v>
      </c>
      <c r="AJ2675" t="s">
        <v>10209</v>
      </c>
      <c r="AL2675">
        <v>8.300000000000001</v>
      </c>
      <c r="AM2675" t="s">
        <v>10887</v>
      </c>
      <c r="AN2675" t="s">
        <v>10943</v>
      </c>
      <c r="AO2675" t="s">
        <v>11019</v>
      </c>
      <c r="AP2675" t="s">
        <v>11073</v>
      </c>
      <c r="AR2675" t="s">
        <v>11268</v>
      </c>
      <c r="AS2675" t="s">
        <v>9925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</row>
    <row r="2676" spans="1:59">
      <c r="A2676" s="1">
        <f>HYPERLINK("https://lsnyc.legalserver.org/matter/dynamic-profile/view/1906671","19-1906671")</f>
        <v>0</v>
      </c>
      <c r="B2676" t="s">
        <v>937</v>
      </c>
      <c r="C2676" t="s">
        <v>7053</v>
      </c>
      <c r="D2676" t="s">
        <v>9926</v>
      </c>
      <c r="E2676" t="s">
        <v>10075</v>
      </c>
      <c r="F2676">
        <v>10456</v>
      </c>
      <c r="G2676" t="s">
        <v>10090</v>
      </c>
      <c r="H2676" t="s">
        <v>10121</v>
      </c>
      <c r="I2676" t="s">
        <v>10169</v>
      </c>
      <c r="J2676" t="s">
        <v>10210</v>
      </c>
      <c r="K2676" t="s">
        <v>10217</v>
      </c>
      <c r="M2676" t="s">
        <v>10561</v>
      </c>
      <c r="N2676" t="s">
        <v>10683</v>
      </c>
      <c r="P2676" t="s">
        <v>10754</v>
      </c>
      <c r="Q2676" t="s">
        <v>10777</v>
      </c>
      <c r="R2676" t="s">
        <v>10823</v>
      </c>
      <c r="T2676">
        <v>20280</v>
      </c>
      <c r="U2676">
        <v>1690</v>
      </c>
      <c r="V2676">
        <v>30</v>
      </c>
      <c r="W2676">
        <v>1</v>
      </c>
      <c r="X2676">
        <v>3</v>
      </c>
      <c r="Z2676">
        <v>78.76000000000001</v>
      </c>
      <c r="AA2676">
        <v>40.82369</v>
      </c>
      <c r="AB2676">
        <v>-73.90378699999999</v>
      </c>
      <c r="AD2676" t="s">
        <v>10839</v>
      </c>
      <c r="AF2676" t="s">
        <v>10842</v>
      </c>
      <c r="AG2676" t="s">
        <v>10859</v>
      </c>
      <c r="AH2676" t="s">
        <v>10865</v>
      </c>
      <c r="AI2676">
        <v>230</v>
      </c>
      <c r="AJ2676" t="s">
        <v>10210</v>
      </c>
      <c r="AL2676">
        <v>4</v>
      </c>
      <c r="AM2676" t="s">
        <v>10884</v>
      </c>
      <c r="AN2676" t="s">
        <v>10918</v>
      </c>
      <c r="AO2676" t="s">
        <v>11001</v>
      </c>
      <c r="AP2676" t="s">
        <v>11055</v>
      </c>
      <c r="AQ2676" t="s">
        <v>11128</v>
      </c>
      <c r="AR2676" t="s">
        <v>11276</v>
      </c>
      <c r="AS2676" t="s">
        <v>9926</v>
      </c>
      <c r="AT2676" t="s">
        <v>11641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</row>
    <row r="2677" spans="1:59">
      <c r="A2677" s="1">
        <f>HYPERLINK("https://lsnyc.legalserver.org/matter/dynamic-profile/view/1906672","19-1906672")</f>
        <v>0</v>
      </c>
      <c r="B2677" t="s">
        <v>648</v>
      </c>
      <c r="C2677" t="s">
        <v>7054</v>
      </c>
      <c r="D2677" t="s">
        <v>9925</v>
      </c>
      <c r="E2677" t="s">
        <v>10075</v>
      </c>
      <c r="F2677">
        <v>10038</v>
      </c>
      <c r="G2677" t="s">
        <v>10090</v>
      </c>
      <c r="H2677" t="s">
        <v>10096</v>
      </c>
      <c r="I2677" t="s">
        <v>10168</v>
      </c>
      <c r="J2677" t="s">
        <v>10210</v>
      </c>
      <c r="K2677" t="s">
        <v>10218</v>
      </c>
      <c r="L2677" t="s">
        <v>10155</v>
      </c>
      <c r="M2677" t="s">
        <v>10336</v>
      </c>
      <c r="N2677" t="s">
        <v>10736</v>
      </c>
      <c r="P2677" t="s">
        <v>10754</v>
      </c>
      <c r="Q2677" t="s">
        <v>10770</v>
      </c>
      <c r="R2677" t="s">
        <v>10824</v>
      </c>
      <c r="T2677">
        <v>38000</v>
      </c>
      <c r="U2677">
        <v>3166.67</v>
      </c>
      <c r="V2677">
        <v>43</v>
      </c>
      <c r="W2677">
        <v>1</v>
      </c>
      <c r="X2677">
        <v>0</v>
      </c>
      <c r="Y2677" t="s">
        <v>10830</v>
      </c>
      <c r="Z2677">
        <v>304.24</v>
      </c>
      <c r="AA2677">
        <v>40.709094</v>
      </c>
      <c r="AB2677">
        <v>-73.998988</v>
      </c>
      <c r="AC2677" t="s">
        <v>10837</v>
      </c>
      <c r="AD2677" t="s">
        <v>10840</v>
      </c>
      <c r="AG2677" t="s">
        <v>10858</v>
      </c>
      <c r="AH2677" t="s">
        <v>10872</v>
      </c>
      <c r="AI2677">
        <v>234</v>
      </c>
      <c r="AJ2677" t="s">
        <v>10214</v>
      </c>
      <c r="AK2677" t="s">
        <v>10882</v>
      </c>
      <c r="AL2677">
        <v>4</v>
      </c>
      <c r="AM2677" t="s">
        <v>10886</v>
      </c>
      <c r="AN2677" t="s">
        <v>10963</v>
      </c>
      <c r="AO2677" t="s">
        <v>11004</v>
      </c>
      <c r="AP2677" t="s">
        <v>11093</v>
      </c>
      <c r="AQ2677" t="s">
        <v>11111</v>
      </c>
      <c r="AR2677" t="s">
        <v>11257</v>
      </c>
      <c r="AS2677" t="s">
        <v>9925</v>
      </c>
      <c r="AY2677" t="s">
        <v>10830</v>
      </c>
      <c r="AZ2677" t="s">
        <v>11717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</row>
    <row r="2678" spans="1:59">
      <c r="A2678" s="1">
        <f>HYPERLINK("https://lsnyc.legalserver.org/matter/dynamic-profile/view/1906673","19-1906673")</f>
        <v>0</v>
      </c>
      <c r="B2678" t="s">
        <v>2269</v>
      </c>
      <c r="C2678" t="s">
        <v>7055</v>
      </c>
      <c r="D2678" t="s">
        <v>9928</v>
      </c>
      <c r="E2678" t="s">
        <v>10075</v>
      </c>
      <c r="F2678">
        <v>11211</v>
      </c>
      <c r="G2678" t="s">
        <v>10091</v>
      </c>
      <c r="H2678" t="s">
        <v>10096</v>
      </c>
      <c r="I2678" t="s">
        <v>10168</v>
      </c>
      <c r="J2678" t="s">
        <v>10211</v>
      </c>
      <c r="K2678" t="s">
        <v>10217</v>
      </c>
      <c r="M2678" t="s">
        <v>10307</v>
      </c>
      <c r="N2678" t="s">
        <v>10671</v>
      </c>
      <c r="P2678" t="s">
        <v>10752</v>
      </c>
      <c r="Q2678" t="s">
        <v>10762</v>
      </c>
      <c r="R2678" t="s">
        <v>10821</v>
      </c>
      <c r="T2678">
        <v>0</v>
      </c>
      <c r="U2678">
        <v>0</v>
      </c>
      <c r="V2678">
        <v>48</v>
      </c>
      <c r="W2678">
        <v>3</v>
      </c>
      <c r="X2678">
        <v>0</v>
      </c>
      <c r="Z2678">
        <v>0</v>
      </c>
      <c r="AA2678">
        <v>40.706856</v>
      </c>
      <c r="AB2678">
        <v>-73.951528</v>
      </c>
      <c r="AD2678" t="s">
        <v>10839</v>
      </c>
      <c r="AG2678" t="s">
        <v>10858</v>
      </c>
      <c r="AH2678" t="s">
        <v>10871</v>
      </c>
      <c r="AI2678">
        <v>234</v>
      </c>
      <c r="AJ2678" t="s">
        <v>10214</v>
      </c>
      <c r="AL2678">
        <v>0.86</v>
      </c>
      <c r="AM2678" t="s">
        <v>10886</v>
      </c>
      <c r="AN2678" t="s">
        <v>10942</v>
      </c>
      <c r="AO2678" t="s">
        <v>11011</v>
      </c>
      <c r="AP2678" t="s">
        <v>11071</v>
      </c>
      <c r="AR2678" t="s">
        <v>11267</v>
      </c>
      <c r="AS2678" t="s">
        <v>11595</v>
      </c>
      <c r="AT2678" t="s">
        <v>11641</v>
      </c>
      <c r="AX2678" t="s">
        <v>10838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</row>
    <row r="2679" spans="1:59">
      <c r="A2679" s="1">
        <f>HYPERLINK("https://lsnyc.legalserver.org/matter/dynamic-profile/view/1906675","19-1906675")</f>
        <v>0</v>
      </c>
      <c r="B2679" t="s">
        <v>2270</v>
      </c>
      <c r="C2679" t="s">
        <v>6975</v>
      </c>
      <c r="D2679" t="s">
        <v>9926</v>
      </c>
      <c r="E2679" t="s">
        <v>10075</v>
      </c>
      <c r="F2679">
        <v>10473</v>
      </c>
      <c r="G2679" t="s">
        <v>10090</v>
      </c>
      <c r="H2679" t="s">
        <v>10096</v>
      </c>
      <c r="I2679" t="s">
        <v>10169</v>
      </c>
      <c r="J2679" t="s">
        <v>10210</v>
      </c>
      <c r="K2679" t="s">
        <v>10218</v>
      </c>
      <c r="L2679" t="s">
        <v>10151</v>
      </c>
      <c r="M2679" t="s">
        <v>10262</v>
      </c>
      <c r="N2679" t="s">
        <v>10666</v>
      </c>
      <c r="P2679" t="s">
        <v>10749</v>
      </c>
      <c r="Q2679" t="s">
        <v>10765</v>
      </c>
      <c r="R2679" t="s">
        <v>10823</v>
      </c>
      <c r="T2679">
        <v>10380</v>
      </c>
      <c r="U2679">
        <v>865</v>
      </c>
      <c r="V2679">
        <v>69</v>
      </c>
      <c r="W2679">
        <v>1</v>
      </c>
      <c r="X2679">
        <v>0</v>
      </c>
      <c r="Y2679" t="s">
        <v>10829</v>
      </c>
      <c r="Z2679">
        <v>83.11</v>
      </c>
      <c r="AA2679">
        <v>40.818515</v>
      </c>
      <c r="AB2679">
        <v>-73.861582</v>
      </c>
      <c r="AD2679" t="s">
        <v>10841</v>
      </c>
      <c r="AG2679" t="s">
        <v>10858</v>
      </c>
      <c r="AH2679" t="s">
        <v>10861</v>
      </c>
      <c r="AI2679">
        <v>230</v>
      </c>
      <c r="AJ2679" t="s">
        <v>10210</v>
      </c>
      <c r="AK2679" t="s">
        <v>10838</v>
      </c>
      <c r="AL2679">
        <v>0.5</v>
      </c>
      <c r="AM2679" t="s">
        <v>10884</v>
      </c>
      <c r="AN2679" t="s">
        <v>10968</v>
      </c>
      <c r="AO2679" t="s">
        <v>11002</v>
      </c>
      <c r="AP2679" t="s">
        <v>11046</v>
      </c>
      <c r="AR2679" t="s">
        <v>11268</v>
      </c>
      <c r="AS2679" t="s">
        <v>9926</v>
      </c>
      <c r="AT2679" t="s">
        <v>11642</v>
      </c>
      <c r="AX2679" t="s">
        <v>10838</v>
      </c>
      <c r="AY2679" t="s">
        <v>10829</v>
      </c>
      <c r="AZ2679" t="s">
        <v>11681</v>
      </c>
      <c r="BA2679" t="s">
        <v>11741</v>
      </c>
      <c r="BB2679">
        <v>0</v>
      </c>
      <c r="BC2679">
        <v>0</v>
      </c>
      <c r="BD2679">
        <v>0</v>
      </c>
      <c r="BE2679">
        <v>0</v>
      </c>
      <c r="BF2679">
        <v>1</v>
      </c>
      <c r="BG2679">
        <v>0</v>
      </c>
    </row>
    <row r="2680" spans="1:59">
      <c r="A2680" s="1">
        <f>HYPERLINK("https://lsnyc.legalserver.org/matter/dynamic-profile/view/1906676","19-1906676")</f>
        <v>0</v>
      </c>
      <c r="B2680" t="s">
        <v>2271</v>
      </c>
      <c r="C2680" t="s">
        <v>7056</v>
      </c>
      <c r="D2680" t="s">
        <v>9926</v>
      </c>
      <c r="E2680" t="s">
        <v>10075</v>
      </c>
      <c r="F2680">
        <v>10460</v>
      </c>
      <c r="G2680" t="s">
        <v>10090</v>
      </c>
      <c r="H2680" t="s">
        <v>10096</v>
      </c>
      <c r="I2680" t="s">
        <v>10168</v>
      </c>
      <c r="J2680" t="s">
        <v>10210</v>
      </c>
      <c r="K2680" t="s">
        <v>10217</v>
      </c>
      <c r="M2680" t="s">
        <v>10495</v>
      </c>
      <c r="N2680" t="s">
        <v>10646</v>
      </c>
      <c r="P2680" t="s">
        <v>10749</v>
      </c>
      <c r="Q2680" t="s">
        <v>10769</v>
      </c>
      <c r="R2680" t="s">
        <v>10824</v>
      </c>
      <c r="T2680">
        <v>53200</v>
      </c>
      <c r="U2680">
        <v>4433.33</v>
      </c>
      <c r="V2680">
        <v>53</v>
      </c>
      <c r="W2680">
        <v>2</v>
      </c>
      <c r="X2680">
        <v>0</v>
      </c>
      <c r="Z2680">
        <v>314.61</v>
      </c>
      <c r="AA2680">
        <v>40.840957</v>
      </c>
      <c r="AB2680">
        <v>-73.88408699999999</v>
      </c>
      <c r="AD2680" t="s">
        <v>10840</v>
      </c>
      <c r="AG2680" t="s">
        <v>10858</v>
      </c>
      <c r="AH2680" t="s">
        <v>10861</v>
      </c>
      <c r="AI2680">
        <v>234</v>
      </c>
      <c r="AJ2680" t="s">
        <v>10214</v>
      </c>
      <c r="AL2680">
        <v>4.25</v>
      </c>
      <c r="AM2680" t="s">
        <v>10884</v>
      </c>
      <c r="AN2680" t="s">
        <v>10908</v>
      </c>
      <c r="AO2680" t="s">
        <v>11001</v>
      </c>
      <c r="AP2680" t="s">
        <v>11062</v>
      </c>
      <c r="AR2680" t="s">
        <v>11356</v>
      </c>
      <c r="AS2680" t="s">
        <v>9926</v>
      </c>
      <c r="AT2680" t="s">
        <v>11642</v>
      </c>
      <c r="AX2680" t="s">
        <v>10838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</row>
    <row r="2681" spans="1:59">
      <c r="A2681" s="1">
        <f>HYPERLINK("https://lsnyc.legalserver.org/matter/dynamic-profile/view/1906677","19-1906677")</f>
        <v>0</v>
      </c>
      <c r="B2681" t="s">
        <v>2272</v>
      </c>
      <c r="C2681" t="s">
        <v>7057</v>
      </c>
      <c r="D2681" t="s">
        <v>9928</v>
      </c>
      <c r="E2681" t="s">
        <v>10075</v>
      </c>
      <c r="F2681">
        <v>11221</v>
      </c>
      <c r="G2681" t="s">
        <v>10093</v>
      </c>
      <c r="H2681" t="s">
        <v>10096</v>
      </c>
      <c r="I2681" t="s">
        <v>10168</v>
      </c>
      <c r="J2681" t="s">
        <v>10213</v>
      </c>
      <c r="K2681" t="s">
        <v>10218</v>
      </c>
      <c r="L2681" t="s">
        <v>10145</v>
      </c>
      <c r="M2681" t="s">
        <v>10414</v>
      </c>
      <c r="N2681" t="s">
        <v>10671</v>
      </c>
      <c r="P2681" t="s">
        <v>10749</v>
      </c>
      <c r="Q2681" t="s">
        <v>10765</v>
      </c>
      <c r="R2681" t="s">
        <v>10824</v>
      </c>
      <c r="T2681">
        <v>24456</v>
      </c>
      <c r="U2681">
        <v>2038</v>
      </c>
      <c r="V2681">
        <v>66</v>
      </c>
      <c r="W2681">
        <v>1</v>
      </c>
      <c r="X2681">
        <v>0</v>
      </c>
      <c r="Y2681" t="s">
        <v>10829</v>
      </c>
      <c r="Z2681">
        <v>195.8</v>
      </c>
      <c r="AA2681">
        <v>40.688048</v>
      </c>
      <c r="AB2681">
        <v>-73.93639400000001</v>
      </c>
      <c r="AC2681" t="s">
        <v>10837</v>
      </c>
      <c r="AD2681" t="s">
        <v>10840</v>
      </c>
      <c r="AG2681" t="s">
        <v>10858</v>
      </c>
      <c r="AH2681" t="s">
        <v>10861</v>
      </c>
      <c r="AI2681">
        <v>234</v>
      </c>
      <c r="AJ2681" t="s">
        <v>10214</v>
      </c>
      <c r="AK2681" t="s">
        <v>10882</v>
      </c>
      <c r="AL2681">
        <v>2.9</v>
      </c>
      <c r="AM2681" t="s">
        <v>10889</v>
      </c>
      <c r="AN2681" t="s">
        <v>10914</v>
      </c>
      <c r="AO2681" t="s">
        <v>11007</v>
      </c>
      <c r="AP2681" t="s">
        <v>11052</v>
      </c>
      <c r="AR2681" t="s">
        <v>11363</v>
      </c>
      <c r="AS2681" t="s">
        <v>11595</v>
      </c>
      <c r="AT2681" t="s">
        <v>11642</v>
      </c>
      <c r="AX2681" t="s">
        <v>10838</v>
      </c>
      <c r="AY2681" t="s">
        <v>10829</v>
      </c>
      <c r="AZ2681" t="s">
        <v>11681</v>
      </c>
      <c r="BA2681" t="s">
        <v>11742</v>
      </c>
      <c r="BB2681">
        <v>0</v>
      </c>
      <c r="BC2681">
        <v>0</v>
      </c>
      <c r="BD2681">
        <v>0</v>
      </c>
      <c r="BE2681">
        <v>0</v>
      </c>
      <c r="BF2681">
        <v>7</v>
      </c>
      <c r="BG2681">
        <v>0</v>
      </c>
    </row>
    <row r="2682" spans="1:59">
      <c r="A2682" s="1">
        <f>HYPERLINK("https://lsnyc.legalserver.org/matter/dynamic-profile/view/1906678","19-1906678")</f>
        <v>0</v>
      </c>
      <c r="B2682" t="s">
        <v>2158</v>
      </c>
      <c r="C2682" t="s">
        <v>5009</v>
      </c>
      <c r="D2682" t="s">
        <v>9928</v>
      </c>
      <c r="E2682" t="s">
        <v>10075</v>
      </c>
      <c r="F2682">
        <v>11225</v>
      </c>
      <c r="G2682" t="s">
        <v>10093</v>
      </c>
      <c r="H2682" t="s">
        <v>10096</v>
      </c>
      <c r="I2682" t="s">
        <v>10168</v>
      </c>
      <c r="J2682" t="s">
        <v>10213</v>
      </c>
      <c r="K2682" t="s">
        <v>10217</v>
      </c>
      <c r="M2682" t="s">
        <v>10236</v>
      </c>
      <c r="N2682" t="s">
        <v>10650</v>
      </c>
      <c r="O2682" t="s">
        <v>10653</v>
      </c>
      <c r="P2682" t="s">
        <v>10749</v>
      </c>
      <c r="Q2682" t="s">
        <v>10765</v>
      </c>
      <c r="R2682" t="s">
        <v>10820</v>
      </c>
      <c r="T2682">
        <v>80000</v>
      </c>
      <c r="U2682">
        <v>6666.67</v>
      </c>
      <c r="V2682">
        <v>32</v>
      </c>
      <c r="W2682">
        <v>2</v>
      </c>
      <c r="X2682">
        <v>0</v>
      </c>
      <c r="Z2682">
        <v>473.09</v>
      </c>
      <c r="AA2682">
        <v>40.65869</v>
      </c>
      <c r="AB2682">
        <v>-73.96026000000001</v>
      </c>
      <c r="AD2682" t="s">
        <v>10839</v>
      </c>
      <c r="AG2682" t="s">
        <v>10858</v>
      </c>
      <c r="AH2682" t="s">
        <v>10862</v>
      </c>
      <c r="AI2682">
        <v>239</v>
      </c>
      <c r="AJ2682" t="s">
        <v>10213</v>
      </c>
      <c r="AL2682">
        <v>0.1</v>
      </c>
      <c r="AM2682" t="s">
        <v>10888</v>
      </c>
      <c r="AN2682" t="s">
        <v>10912</v>
      </c>
      <c r="AO2682" t="s">
        <v>11005</v>
      </c>
      <c r="AP2682" t="s">
        <v>11050</v>
      </c>
      <c r="AR2682" t="s">
        <v>11257</v>
      </c>
      <c r="AS2682" t="s">
        <v>11595</v>
      </c>
      <c r="BA2682" t="s">
        <v>11739</v>
      </c>
      <c r="BB2682">
        <v>0</v>
      </c>
      <c r="BC2682">
        <v>0</v>
      </c>
      <c r="BD2682">
        <v>0</v>
      </c>
      <c r="BE2682">
        <v>0</v>
      </c>
      <c r="BF2682">
        <v>4</v>
      </c>
      <c r="BG2682">
        <v>0</v>
      </c>
    </row>
    <row r="2683" spans="1:59">
      <c r="A2683" s="1">
        <f>HYPERLINK("https://lsnyc.legalserver.org/matter/dynamic-profile/view/1906679","19-1906679")</f>
        <v>0</v>
      </c>
      <c r="B2683" t="s">
        <v>2273</v>
      </c>
      <c r="C2683" t="s">
        <v>7058</v>
      </c>
      <c r="D2683" t="s">
        <v>9928</v>
      </c>
      <c r="E2683" t="s">
        <v>10075</v>
      </c>
      <c r="F2683">
        <v>11226</v>
      </c>
      <c r="G2683" t="s">
        <v>10093</v>
      </c>
      <c r="H2683" t="s">
        <v>10096</v>
      </c>
      <c r="I2683" t="s">
        <v>10168</v>
      </c>
      <c r="J2683" t="s">
        <v>10213</v>
      </c>
      <c r="K2683" t="s">
        <v>10218</v>
      </c>
      <c r="L2683" t="s">
        <v>10115</v>
      </c>
      <c r="M2683" t="s">
        <v>10583</v>
      </c>
      <c r="N2683" t="s">
        <v>10736</v>
      </c>
      <c r="P2683" t="s">
        <v>10749</v>
      </c>
      <c r="Q2683" t="s">
        <v>10765</v>
      </c>
      <c r="R2683" t="s">
        <v>10824</v>
      </c>
      <c r="T2683">
        <v>39024</v>
      </c>
      <c r="U2683">
        <v>3252</v>
      </c>
      <c r="V2683">
        <v>57</v>
      </c>
      <c r="W2683">
        <v>4</v>
      </c>
      <c r="X2683">
        <v>0</v>
      </c>
      <c r="Y2683" t="s">
        <v>10829</v>
      </c>
      <c r="Z2683">
        <v>151.55</v>
      </c>
      <c r="AA2683">
        <v>40.648819</v>
      </c>
      <c r="AB2683">
        <v>-73.961792</v>
      </c>
      <c r="AC2683" t="s">
        <v>10837</v>
      </c>
      <c r="AD2683" t="s">
        <v>10839</v>
      </c>
      <c r="AG2683" t="s">
        <v>10858</v>
      </c>
      <c r="AH2683" t="s">
        <v>10862</v>
      </c>
      <c r="AI2683">
        <v>234</v>
      </c>
      <c r="AJ2683" t="s">
        <v>10214</v>
      </c>
      <c r="AK2683" t="s">
        <v>10882</v>
      </c>
      <c r="AL2683">
        <v>0.1</v>
      </c>
      <c r="AM2683" t="s">
        <v>10888</v>
      </c>
      <c r="AN2683" t="s">
        <v>10932</v>
      </c>
      <c r="AO2683" t="s">
        <v>11008</v>
      </c>
      <c r="AP2683" t="s">
        <v>11050</v>
      </c>
      <c r="AQ2683" t="s">
        <v>11120</v>
      </c>
      <c r="AR2683" t="s">
        <v>11469</v>
      </c>
      <c r="AS2683" t="s">
        <v>11595</v>
      </c>
      <c r="AY2683" t="s">
        <v>10829</v>
      </c>
      <c r="AZ2683" t="s">
        <v>11681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</row>
    <row r="2684" spans="1:59">
      <c r="A2684" s="1">
        <f>HYPERLINK("https://lsnyc.legalserver.org/matter/dynamic-profile/view/1906680","19-1906680")</f>
        <v>0</v>
      </c>
      <c r="B2684" t="s">
        <v>2274</v>
      </c>
      <c r="C2684" t="s">
        <v>7059</v>
      </c>
      <c r="D2684" t="s">
        <v>9928</v>
      </c>
      <c r="E2684" t="s">
        <v>10075</v>
      </c>
      <c r="F2684">
        <v>11215</v>
      </c>
      <c r="G2684" t="s">
        <v>10093</v>
      </c>
      <c r="H2684" t="s">
        <v>10096</v>
      </c>
      <c r="I2684" t="s">
        <v>10168</v>
      </c>
      <c r="J2684" t="s">
        <v>10213</v>
      </c>
      <c r="K2684" t="s">
        <v>10218</v>
      </c>
      <c r="L2684" t="s">
        <v>10221</v>
      </c>
      <c r="M2684" t="s">
        <v>10293</v>
      </c>
      <c r="N2684" t="s">
        <v>10644</v>
      </c>
      <c r="P2684" t="s">
        <v>10756</v>
      </c>
      <c r="Q2684" t="s">
        <v>10802</v>
      </c>
      <c r="R2684" t="s">
        <v>10820</v>
      </c>
      <c r="T2684">
        <v>33408</v>
      </c>
      <c r="U2684">
        <v>2784</v>
      </c>
      <c r="V2684">
        <v>67</v>
      </c>
      <c r="W2684">
        <v>1</v>
      </c>
      <c r="X2684">
        <v>0</v>
      </c>
      <c r="Y2684" t="s">
        <v>10829</v>
      </c>
      <c r="Z2684">
        <v>267.48</v>
      </c>
      <c r="AA2684">
        <v>40.665</v>
      </c>
      <c r="AB2684">
        <v>-73.98763</v>
      </c>
      <c r="AD2684" t="s">
        <v>10839</v>
      </c>
      <c r="AG2684" t="s">
        <v>10858</v>
      </c>
      <c r="AH2684" t="s">
        <v>10869</v>
      </c>
      <c r="AI2684">
        <v>239</v>
      </c>
      <c r="AJ2684" t="s">
        <v>10213</v>
      </c>
      <c r="AK2684" t="s">
        <v>10838</v>
      </c>
      <c r="AL2684">
        <v>1.25</v>
      </c>
      <c r="AM2684" t="s">
        <v>10886</v>
      </c>
      <c r="AN2684" t="s">
        <v>10917</v>
      </c>
      <c r="AO2684" t="s">
        <v>11008</v>
      </c>
      <c r="AP2684" t="s">
        <v>11059</v>
      </c>
      <c r="AQ2684" t="s">
        <v>11154</v>
      </c>
      <c r="AR2684" t="s">
        <v>11355</v>
      </c>
      <c r="AS2684" t="s">
        <v>11595</v>
      </c>
      <c r="AY2684" t="s">
        <v>10829</v>
      </c>
      <c r="AZ2684" t="s">
        <v>11694</v>
      </c>
      <c r="BA2684" t="s">
        <v>11741</v>
      </c>
      <c r="BB2684">
        <v>0</v>
      </c>
      <c r="BC2684">
        <v>0</v>
      </c>
      <c r="BD2684">
        <v>0</v>
      </c>
      <c r="BE2684">
        <v>0</v>
      </c>
      <c r="BF2684">
        <v>1</v>
      </c>
      <c r="BG2684">
        <v>0</v>
      </c>
    </row>
    <row r="2685" spans="1:59">
      <c r="A2685" s="1">
        <f>HYPERLINK("https://lsnyc.legalserver.org/matter/dynamic-profile/view/1906682","19-1906682")</f>
        <v>0</v>
      </c>
      <c r="B2685" t="s">
        <v>2275</v>
      </c>
      <c r="C2685" t="s">
        <v>7060</v>
      </c>
      <c r="D2685" t="s">
        <v>9926</v>
      </c>
      <c r="E2685" t="s">
        <v>10075</v>
      </c>
      <c r="F2685">
        <v>10468</v>
      </c>
      <c r="G2685" t="s">
        <v>10091</v>
      </c>
      <c r="H2685" t="s">
        <v>10096</v>
      </c>
      <c r="I2685" t="s">
        <v>10169</v>
      </c>
      <c r="J2685" t="s">
        <v>10211</v>
      </c>
      <c r="K2685" t="s">
        <v>10217</v>
      </c>
      <c r="M2685" t="s">
        <v>10307</v>
      </c>
      <c r="N2685" t="s">
        <v>10671</v>
      </c>
      <c r="P2685" t="s">
        <v>10752</v>
      </c>
      <c r="Q2685" t="s">
        <v>10762</v>
      </c>
      <c r="R2685" t="s">
        <v>10821</v>
      </c>
      <c r="T2685">
        <v>2160</v>
      </c>
      <c r="U2685">
        <v>180</v>
      </c>
      <c r="V2685">
        <v>55</v>
      </c>
      <c r="W2685">
        <v>1</v>
      </c>
      <c r="X2685">
        <v>0</v>
      </c>
      <c r="Z2685">
        <v>17.29</v>
      </c>
      <c r="AA2685">
        <v>40.866674</v>
      </c>
      <c r="AB2685">
        <v>-73.900139</v>
      </c>
      <c r="AD2685" t="s">
        <v>10839</v>
      </c>
      <c r="AF2685" t="s">
        <v>10843</v>
      </c>
      <c r="AG2685" t="s">
        <v>10859</v>
      </c>
      <c r="AH2685" t="s">
        <v>10871</v>
      </c>
      <c r="AI2685">
        <v>234</v>
      </c>
      <c r="AJ2685" t="s">
        <v>10214</v>
      </c>
      <c r="AL2685">
        <v>1</v>
      </c>
      <c r="AM2685" t="s">
        <v>10887</v>
      </c>
      <c r="AN2685" t="s">
        <v>10907</v>
      </c>
      <c r="AO2685" t="s">
        <v>11000</v>
      </c>
      <c r="AP2685" t="s">
        <v>11045</v>
      </c>
      <c r="AR2685" t="s">
        <v>11257</v>
      </c>
      <c r="AS2685" t="s">
        <v>9926</v>
      </c>
      <c r="AT2685" t="s">
        <v>11641</v>
      </c>
      <c r="AX2685" t="s">
        <v>10838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</row>
    <row r="2686" spans="1:59">
      <c r="A2686" s="1">
        <f>HYPERLINK("https://lsnyc.legalserver.org/matter/dynamic-profile/view/1906683","19-1906683")</f>
        <v>0</v>
      </c>
      <c r="B2686" t="s">
        <v>2276</v>
      </c>
      <c r="C2686" t="s">
        <v>7061</v>
      </c>
      <c r="D2686" t="s">
        <v>9926</v>
      </c>
      <c r="E2686" t="s">
        <v>10075</v>
      </c>
      <c r="F2686">
        <v>10462</v>
      </c>
      <c r="G2686" t="s">
        <v>10090</v>
      </c>
      <c r="H2686" t="s">
        <v>10096</v>
      </c>
      <c r="I2686" t="s">
        <v>10168</v>
      </c>
      <c r="J2686" t="s">
        <v>10210</v>
      </c>
      <c r="K2686" t="s">
        <v>10217</v>
      </c>
      <c r="M2686" t="s">
        <v>10234</v>
      </c>
      <c r="N2686" t="s">
        <v>10666</v>
      </c>
      <c r="P2686" t="s">
        <v>10749</v>
      </c>
      <c r="Q2686" t="s">
        <v>10764</v>
      </c>
      <c r="R2686" t="s">
        <v>10822</v>
      </c>
      <c r="T2686">
        <v>27972</v>
      </c>
      <c r="U2686">
        <v>2331</v>
      </c>
      <c r="V2686">
        <v>39</v>
      </c>
      <c r="W2686">
        <v>2</v>
      </c>
      <c r="X2686">
        <v>0</v>
      </c>
      <c r="Z2686">
        <v>165.42</v>
      </c>
      <c r="AA2686">
        <v>40.839935</v>
      </c>
      <c r="AB2686">
        <v>-73.85665400000001</v>
      </c>
      <c r="AD2686" t="s">
        <v>10822</v>
      </c>
      <c r="AG2686" t="s">
        <v>10858</v>
      </c>
      <c r="AH2686" t="s">
        <v>10862</v>
      </c>
      <c r="AI2686">
        <v>230</v>
      </c>
      <c r="AJ2686" t="s">
        <v>10210</v>
      </c>
      <c r="AL2686">
        <v>5.75</v>
      </c>
      <c r="AM2686" t="s">
        <v>10885</v>
      </c>
      <c r="AN2686" t="s">
        <v>10908</v>
      </c>
      <c r="AO2686" t="s">
        <v>11001</v>
      </c>
      <c r="AP2686" t="s">
        <v>11046</v>
      </c>
      <c r="AR2686" t="s">
        <v>11328</v>
      </c>
      <c r="AS2686" t="s">
        <v>9926</v>
      </c>
      <c r="BA2686" t="s">
        <v>11739</v>
      </c>
      <c r="BB2686">
        <v>0</v>
      </c>
      <c r="BC2686">
        <v>0</v>
      </c>
      <c r="BD2686">
        <v>0</v>
      </c>
      <c r="BE2686">
        <v>0</v>
      </c>
      <c r="BF2686">
        <v>4</v>
      </c>
      <c r="BG2686">
        <v>0</v>
      </c>
    </row>
    <row r="2687" spans="1:59">
      <c r="A2687" s="1">
        <f>HYPERLINK("https://lsnyc.legalserver.org/matter/dynamic-profile/view/1906684","19-1906684")</f>
        <v>0</v>
      </c>
      <c r="B2687" t="s">
        <v>2277</v>
      </c>
      <c r="C2687" t="s">
        <v>7062</v>
      </c>
      <c r="D2687" t="s">
        <v>9948</v>
      </c>
      <c r="E2687" t="s">
        <v>10075</v>
      </c>
      <c r="F2687">
        <v>11691</v>
      </c>
      <c r="G2687" t="s">
        <v>10093</v>
      </c>
      <c r="H2687" t="s">
        <v>10096</v>
      </c>
      <c r="I2687" t="s">
        <v>10168</v>
      </c>
      <c r="J2687" t="s">
        <v>10213</v>
      </c>
      <c r="K2687" t="s">
        <v>10217</v>
      </c>
      <c r="M2687" t="s">
        <v>10358</v>
      </c>
      <c r="N2687" t="s">
        <v>10671</v>
      </c>
      <c r="P2687" t="s">
        <v>10752</v>
      </c>
      <c r="Q2687" t="s">
        <v>10783</v>
      </c>
      <c r="R2687" t="s">
        <v>10822</v>
      </c>
      <c r="T2687">
        <v>0</v>
      </c>
      <c r="U2687">
        <v>0</v>
      </c>
      <c r="V2687">
        <v>35</v>
      </c>
      <c r="W2687">
        <v>1</v>
      </c>
      <c r="X2687">
        <v>0</v>
      </c>
      <c r="Z2687">
        <v>0</v>
      </c>
      <c r="AA2687">
        <v>40.599012</v>
      </c>
      <c r="AB2687">
        <v>-73.76585</v>
      </c>
      <c r="AD2687" t="s">
        <v>10839</v>
      </c>
      <c r="AG2687" t="s">
        <v>10858</v>
      </c>
      <c r="AH2687" t="s">
        <v>10861</v>
      </c>
      <c r="AI2687">
        <v>234</v>
      </c>
      <c r="AJ2687" t="s">
        <v>10214</v>
      </c>
      <c r="AL2687">
        <v>1.95</v>
      </c>
      <c r="AM2687" t="s">
        <v>10892</v>
      </c>
      <c r="AN2687" t="s">
        <v>10930</v>
      </c>
      <c r="AO2687" t="s">
        <v>11017</v>
      </c>
      <c r="AP2687" t="s">
        <v>11082</v>
      </c>
      <c r="AR2687" t="s">
        <v>11255</v>
      </c>
      <c r="AS2687" t="s">
        <v>11594</v>
      </c>
      <c r="AT2687" t="s">
        <v>11641</v>
      </c>
      <c r="AX2687" t="s">
        <v>11678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</row>
    <row r="2688" spans="1:59">
      <c r="A2688" s="1">
        <f>HYPERLINK("https://lsnyc.legalserver.org/matter/dynamic-profile/view/1906685","19-1906685")</f>
        <v>0</v>
      </c>
      <c r="B2688" t="s">
        <v>1337</v>
      </c>
      <c r="C2688" t="s">
        <v>7063</v>
      </c>
      <c r="D2688" t="s">
        <v>9925</v>
      </c>
      <c r="E2688" t="s">
        <v>10075</v>
      </c>
      <c r="F2688">
        <v>10128</v>
      </c>
      <c r="G2688" t="s">
        <v>10089</v>
      </c>
      <c r="H2688" t="s">
        <v>10096</v>
      </c>
      <c r="I2688" t="s">
        <v>10168</v>
      </c>
      <c r="J2688" t="s">
        <v>10209</v>
      </c>
      <c r="K2688" t="s">
        <v>10217</v>
      </c>
      <c r="M2688" t="s">
        <v>10381</v>
      </c>
      <c r="N2688" t="s">
        <v>10656</v>
      </c>
      <c r="P2688" t="s">
        <v>10751</v>
      </c>
      <c r="Q2688" t="s">
        <v>10768</v>
      </c>
      <c r="R2688" t="s">
        <v>10821</v>
      </c>
      <c r="T2688">
        <v>2304</v>
      </c>
      <c r="U2688">
        <v>192</v>
      </c>
      <c r="V2688">
        <v>56</v>
      </c>
      <c r="W2688">
        <v>1</v>
      </c>
      <c r="X2688">
        <v>0</v>
      </c>
      <c r="Z2688">
        <v>18.45</v>
      </c>
      <c r="AA2688">
        <v>40.78334</v>
      </c>
      <c r="AB2688">
        <v>-73.949253</v>
      </c>
      <c r="AC2688" t="s">
        <v>10837</v>
      </c>
      <c r="AD2688" t="s">
        <v>10840</v>
      </c>
      <c r="AG2688" t="s">
        <v>10858</v>
      </c>
      <c r="AH2688" t="s">
        <v>10861</v>
      </c>
      <c r="AI2688">
        <v>234</v>
      </c>
      <c r="AJ2688" t="s">
        <v>10214</v>
      </c>
      <c r="AL2688">
        <v>42.53</v>
      </c>
      <c r="AM2688" t="s">
        <v>10891</v>
      </c>
      <c r="AN2688" t="s">
        <v>10970</v>
      </c>
      <c r="AO2688" t="s">
        <v>11013</v>
      </c>
      <c r="AP2688" t="s">
        <v>11094</v>
      </c>
      <c r="AR2688" t="s">
        <v>11279</v>
      </c>
      <c r="AS2688" t="s">
        <v>9925</v>
      </c>
      <c r="AT2688" t="s">
        <v>11642</v>
      </c>
      <c r="AX2688" t="s">
        <v>10838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</row>
    <row r="2689" spans="1:59">
      <c r="A2689" s="1">
        <f>HYPERLINK("https://lsnyc.legalserver.org/matter/dynamic-profile/view/1906686","19-1906686")</f>
        <v>0</v>
      </c>
      <c r="B2689" t="s">
        <v>2278</v>
      </c>
      <c r="C2689" t="s">
        <v>7064</v>
      </c>
      <c r="D2689" t="s">
        <v>9925</v>
      </c>
      <c r="E2689" t="s">
        <v>10075</v>
      </c>
      <c r="F2689">
        <v>10011</v>
      </c>
      <c r="G2689" t="s">
        <v>10089</v>
      </c>
      <c r="H2689" t="s">
        <v>10096</v>
      </c>
      <c r="I2689" t="s">
        <v>10168</v>
      </c>
      <c r="J2689" t="s">
        <v>10209</v>
      </c>
      <c r="K2689" t="s">
        <v>10218</v>
      </c>
      <c r="L2689" t="s">
        <v>10157</v>
      </c>
      <c r="M2689" t="s">
        <v>10332</v>
      </c>
      <c r="N2689" t="s">
        <v>10736</v>
      </c>
      <c r="P2689" t="s">
        <v>10749</v>
      </c>
      <c r="Q2689" t="s">
        <v>10765</v>
      </c>
      <c r="R2689" t="s">
        <v>10820</v>
      </c>
      <c r="T2689">
        <v>41880</v>
      </c>
      <c r="U2689">
        <v>3490</v>
      </c>
      <c r="V2689">
        <v>69</v>
      </c>
      <c r="W2689">
        <v>2</v>
      </c>
      <c r="X2689">
        <v>0</v>
      </c>
      <c r="Y2689" t="s">
        <v>10829</v>
      </c>
      <c r="Z2689">
        <v>247.66</v>
      </c>
      <c r="AA2689">
        <v>40.74479</v>
      </c>
      <c r="AB2689">
        <v>-73.996551</v>
      </c>
      <c r="AC2689" t="s">
        <v>10837</v>
      </c>
      <c r="AD2689" t="s">
        <v>10840</v>
      </c>
      <c r="AG2689" t="s">
        <v>10858</v>
      </c>
      <c r="AH2689" t="s">
        <v>10862</v>
      </c>
      <c r="AI2689">
        <v>234</v>
      </c>
      <c r="AJ2689" t="s">
        <v>10214</v>
      </c>
      <c r="AK2689" t="s">
        <v>10882</v>
      </c>
      <c r="AL2689">
        <v>0.4</v>
      </c>
      <c r="AM2689" t="s">
        <v>10891</v>
      </c>
      <c r="AN2689" t="s">
        <v>10966</v>
      </c>
      <c r="AO2689" t="s">
        <v>11021</v>
      </c>
      <c r="AP2689" t="s">
        <v>11090</v>
      </c>
      <c r="AQ2689" t="s">
        <v>11120</v>
      </c>
      <c r="AR2689" t="s">
        <v>11349</v>
      </c>
      <c r="AS2689" t="s">
        <v>9925</v>
      </c>
      <c r="AY2689" t="s">
        <v>10829</v>
      </c>
      <c r="AZ2689" t="s">
        <v>11681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</row>
    <row r="2690" spans="1:59">
      <c r="A2690" s="1">
        <f>HYPERLINK("https://lsnyc.legalserver.org/matter/dynamic-profile/view/1906687","19-1906687")</f>
        <v>0</v>
      </c>
      <c r="B2690" t="s">
        <v>521</v>
      </c>
      <c r="C2690" t="s">
        <v>5439</v>
      </c>
      <c r="D2690" t="s">
        <v>9928</v>
      </c>
      <c r="E2690" t="s">
        <v>10075</v>
      </c>
      <c r="F2690">
        <v>11222</v>
      </c>
      <c r="G2690" t="s">
        <v>10093</v>
      </c>
      <c r="H2690" t="s">
        <v>10096</v>
      </c>
      <c r="I2690" t="s">
        <v>10169</v>
      </c>
      <c r="J2690" t="s">
        <v>10213</v>
      </c>
      <c r="K2690" t="s">
        <v>10218</v>
      </c>
      <c r="L2690" t="s">
        <v>10135</v>
      </c>
      <c r="M2690" t="s">
        <v>10443</v>
      </c>
      <c r="N2690" t="s">
        <v>10644</v>
      </c>
      <c r="P2690" t="s">
        <v>10749</v>
      </c>
      <c r="Q2690" t="s">
        <v>10765</v>
      </c>
      <c r="R2690" t="s">
        <v>10821</v>
      </c>
      <c r="T2690">
        <v>3913.2</v>
      </c>
      <c r="U2690">
        <v>326.1</v>
      </c>
      <c r="V2690">
        <v>64</v>
      </c>
      <c r="W2690">
        <v>2</v>
      </c>
      <c r="X2690">
        <v>0</v>
      </c>
      <c r="Y2690" t="s">
        <v>10831</v>
      </c>
      <c r="Z2690">
        <v>23.14</v>
      </c>
      <c r="AA2690">
        <v>40.724319</v>
      </c>
      <c r="AB2690">
        <v>-73.941187</v>
      </c>
      <c r="AD2690" t="s">
        <v>10839</v>
      </c>
      <c r="AF2690" t="s">
        <v>10843</v>
      </c>
      <c r="AG2690" t="s">
        <v>10859</v>
      </c>
      <c r="AH2690" t="s">
        <v>10862</v>
      </c>
      <c r="AI2690">
        <v>239</v>
      </c>
      <c r="AJ2690" t="s">
        <v>10213</v>
      </c>
      <c r="AK2690" t="s">
        <v>10838</v>
      </c>
      <c r="AL2690">
        <v>1.95</v>
      </c>
      <c r="AM2690" t="s">
        <v>10891</v>
      </c>
      <c r="AN2690" t="s">
        <v>10939</v>
      </c>
      <c r="AO2690" t="s">
        <v>11004</v>
      </c>
      <c r="AP2690" t="s">
        <v>11054</v>
      </c>
      <c r="AR2690" t="s">
        <v>11263</v>
      </c>
      <c r="AS2690" t="s">
        <v>11595</v>
      </c>
      <c r="AY2690" t="s">
        <v>10831</v>
      </c>
      <c r="AZ2690" t="s">
        <v>11687</v>
      </c>
      <c r="BA2690" t="s">
        <v>11738</v>
      </c>
      <c r="BB2690">
        <v>0</v>
      </c>
      <c r="BC2690">
        <v>0</v>
      </c>
      <c r="BD2690">
        <v>0</v>
      </c>
      <c r="BE2690">
        <v>0</v>
      </c>
      <c r="BF2690">
        <v>5</v>
      </c>
      <c r="BG2690">
        <v>0</v>
      </c>
    </row>
    <row r="2691" spans="1:59">
      <c r="A2691" s="1">
        <f>HYPERLINK("https://lsnyc.legalserver.org/matter/dynamic-profile/view/1906688","19-1906688")</f>
        <v>0</v>
      </c>
      <c r="B2691" t="s">
        <v>2279</v>
      </c>
      <c r="C2691" t="s">
        <v>7065</v>
      </c>
      <c r="D2691" t="s">
        <v>9928</v>
      </c>
      <c r="E2691" t="s">
        <v>10075</v>
      </c>
      <c r="F2691">
        <v>11208</v>
      </c>
      <c r="G2691" t="s">
        <v>10093</v>
      </c>
      <c r="H2691" t="s">
        <v>10096</v>
      </c>
      <c r="I2691" t="s">
        <v>10168</v>
      </c>
      <c r="J2691" t="s">
        <v>10213</v>
      </c>
      <c r="K2691" t="s">
        <v>10218</v>
      </c>
      <c r="L2691" t="s">
        <v>10096</v>
      </c>
      <c r="M2691" t="s">
        <v>10481</v>
      </c>
      <c r="N2691" t="s">
        <v>10650</v>
      </c>
      <c r="P2691" t="s">
        <v>10749</v>
      </c>
      <c r="Q2691" t="s">
        <v>10765</v>
      </c>
      <c r="R2691" t="s">
        <v>10827</v>
      </c>
      <c r="T2691">
        <v>0</v>
      </c>
      <c r="U2691">
        <v>0</v>
      </c>
      <c r="V2691">
        <v>47</v>
      </c>
      <c r="W2691">
        <v>1</v>
      </c>
      <c r="X2691">
        <v>0</v>
      </c>
      <c r="Y2691" t="s">
        <v>10829</v>
      </c>
      <c r="Z2691">
        <v>0</v>
      </c>
      <c r="AA2691">
        <v>40.681033</v>
      </c>
      <c r="AB2691">
        <v>-73.884655</v>
      </c>
      <c r="AD2691" t="s">
        <v>10839</v>
      </c>
      <c r="AG2691" t="s">
        <v>10858</v>
      </c>
      <c r="AH2691" t="s">
        <v>10861</v>
      </c>
      <c r="AI2691">
        <v>234</v>
      </c>
      <c r="AJ2691" t="s">
        <v>10214</v>
      </c>
      <c r="AK2691" t="s">
        <v>10838</v>
      </c>
      <c r="AL2691">
        <v>0.9</v>
      </c>
      <c r="AM2691" t="s">
        <v>10886</v>
      </c>
      <c r="AN2691" t="s">
        <v>10920</v>
      </c>
      <c r="AO2691" t="s">
        <v>11011</v>
      </c>
      <c r="AP2691" t="s">
        <v>11058</v>
      </c>
      <c r="AQ2691" t="s">
        <v>11100</v>
      </c>
      <c r="AR2691" t="s">
        <v>11267</v>
      </c>
      <c r="AS2691" t="s">
        <v>11595</v>
      </c>
      <c r="AT2691" t="s">
        <v>11641</v>
      </c>
      <c r="AX2691" t="s">
        <v>11678</v>
      </c>
      <c r="AY2691" t="s">
        <v>10829</v>
      </c>
      <c r="AZ2691" t="s">
        <v>11681</v>
      </c>
      <c r="BA2691" t="s">
        <v>11741</v>
      </c>
      <c r="BB2691">
        <v>0</v>
      </c>
      <c r="BC2691">
        <v>0</v>
      </c>
      <c r="BD2691">
        <v>0</v>
      </c>
      <c r="BE2691">
        <v>0</v>
      </c>
      <c r="BF2691">
        <v>1</v>
      </c>
      <c r="BG2691">
        <v>0</v>
      </c>
    </row>
    <row r="2692" spans="1:59">
      <c r="A2692" s="1">
        <f>HYPERLINK("https://lsnyc.legalserver.org/matter/dynamic-profile/view/1906689","19-1906689")</f>
        <v>0</v>
      </c>
      <c r="B2692" t="s">
        <v>2280</v>
      </c>
      <c r="C2692" t="s">
        <v>7066</v>
      </c>
      <c r="D2692" t="s">
        <v>9928</v>
      </c>
      <c r="E2692" t="s">
        <v>10075</v>
      </c>
      <c r="F2692">
        <v>11212</v>
      </c>
      <c r="G2692" t="s">
        <v>10093</v>
      </c>
      <c r="H2692" t="s">
        <v>10096</v>
      </c>
      <c r="I2692" t="s">
        <v>10168</v>
      </c>
      <c r="J2692" t="s">
        <v>10213</v>
      </c>
      <c r="K2692" t="s">
        <v>10218</v>
      </c>
      <c r="L2692" t="s">
        <v>10221</v>
      </c>
      <c r="M2692" t="s">
        <v>10293</v>
      </c>
      <c r="N2692" t="s">
        <v>10644</v>
      </c>
      <c r="P2692" t="s">
        <v>10749</v>
      </c>
      <c r="Q2692" t="s">
        <v>10767</v>
      </c>
      <c r="R2692" t="s">
        <v>10824</v>
      </c>
      <c r="T2692">
        <v>8400</v>
      </c>
      <c r="U2692">
        <v>700</v>
      </c>
      <c r="V2692">
        <v>74</v>
      </c>
      <c r="W2692">
        <v>1</v>
      </c>
      <c r="X2692">
        <v>0</v>
      </c>
      <c r="Y2692" t="s">
        <v>10829</v>
      </c>
      <c r="Z2692">
        <v>67.25</v>
      </c>
      <c r="AA2692">
        <v>40.668007</v>
      </c>
      <c r="AB2692">
        <v>-73.90817300000001</v>
      </c>
      <c r="AD2692" t="s">
        <v>10839</v>
      </c>
      <c r="AG2692" t="s">
        <v>10858</v>
      </c>
      <c r="AH2692" t="s">
        <v>10869</v>
      </c>
      <c r="AI2692">
        <v>239</v>
      </c>
      <c r="AJ2692" t="s">
        <v>10213</v>
      </c>
      <c r="AK2692" t="s">
        <v>10838</v>
      </c>
      <c r="AL2692">
        <v>1.25</v>
      </c>
      <c r="AM2692" t="s">
        <v>10888</v>
      </c>
      <c r="AN2692" t="s">
        <v>10922</v>
      </c>
      <c r="AO2692" t="s">
        <v>11005</v>
      </c>
      <c r="AP2692" t="s">
        <v>11064</v>
      </c>
      <c r="AR2692" t="s">
        <v>11268</v>
      </c>
      <c r="AS2692" t="s">
        <v>11595</v>
      </c>
      <c r="AT2692" t="s">
        <v>11641</v>
      </c>
      <c r="AV2692" t="s">
        <v>11656</v>
      </c>
      <c r="AW2692" t="s">
        <v>11645</v>
      </c>
      <c r="AX2692" t="s">
        <v>10838</v>
      </c>
      <c r="AY2692" t="s">
        <v>10829</v>
      </c>
      <c r="AZ2692" t="s">
        <v>11681</v>
      </c>
      <c r="BA2692" t="s">
        <v>11741</v>
      </c>
      <c r="BB2692">
        <v>0</v>
      </c>
      <c r="BC2692">
        <v>0</v>
      </c>
      <c r="BD2692">
        <v>0</v>
      </c>
      <c r="BE2692">
        <v>0</v>
      </c>
      <c r="BF2692">
        <v>1</v>
      </c>
      <c r="BG2692">
        <v>0</v>
      </c>
    </row>
    <row r="2693" spans="1:59">
      <c r="A2693" s="1">
        <f>HYPERLINK("https://lsnyc.legalserver.org/matter/dynamic-profile/view/1906690","19-1906690")</f>
        <v>0</v>
      </c>
      <c r="B2693" t="s">
        <v>1715</v>
      </c>
      <c r="C2693" t="s">
        <v>6511</v>
      </c>
      <c r="D2693" t="s">
        <v>9931</v>
      </c>
      <c r="E2693" t="s">
        <v>10075</v>
      </c>
      <c r="F2693">
        <v>11354</v>
      </c>
      <c r="G2693" t="s">
        <v>10092</v>
      </c>
      <c r="H2693" t="s">
        <v>10096</v>
      </c>
      <c r="I2693" t="s">
        <v>10189</v>
      </c>
      <c r="J2693" t="s">
        <v>10212</v>
      </c>
      <c r="K2693" t="s">
        <v>10217</v>
      </c>
      <c r="M2693" t="s">
        <v>10347</v>
      </c>
      <c r="N2693" t="s">
        <v>10650</v>
      </c>
      <c r="P2693" t="s">
        <v>10749</v>
      </c>
      <c r="Q2693" t="s">
        <v>10765</v>
      </c>
      <c r="R2693" t="s">
        <v>10827</v>
      </c>
      <c r="T2693">
        <v>15000</v>
      </c>
      <c r="U2693">
        <v>1250</v>
      </c>
      <c r="V2693">
        <v>41</v>
      </c>
      <c r="W2693">
        <v>1</v>
      </c>
      <c r="X2693">
        <v>0</v>
      </c>
      <c r="Z2693">
        <v>120.1</v>
      </c>
      <c r="AA2693">
        <v>40.762842</v>
      </c>
      <c r="AB2693">
        <v>-73.81588600000001</v>
      </c>
      <c r="AD2693" t="s">
        <v>10840</v>
      </c>
      <c r="AF2693" t="s">
        <v>10842</v>
      </c>
      <c r="AG2693" t="s">
        <v>10859</v>
      </c>
      <c r="AH2693" t="s">
        <v>10862</v>
      </c>
      <c r="AI2693">
        <v>237</v>
      </c>
      <c r="AJ2693" t="s">
        <v>10212</v>
      </c>
      <c r="AL2693">
        <v>15.35</v>
      </c>
      <c r="AM2693" t="s">
        <v>10890</v>
      </c>
      <c r="AN2693" t="s">
        <v>10927</v>
      </c>
      <c r="AO2693" t="s">
        <v>11009</v>
      </c>
      <c r="AP2693" t="s">
        <v>11067</v>
      </c>
      <c r="AR2693" t="s">
        <v>11276</v>
      </c>
      <c r="AS2693" t="s">
        <v>11594</v>
      </c>
      <c r="BA2693" t="s">
        <v>11739</v>
      </c>
      <c r="BB2693">
        <v>0</v>
      </c>
      <c r="BC2693">
        <v>0</v>
      </c>
      <c r="BD2693">
        <v>0</v>
      </c>
      <c r="BE2693">
        <v>0</v>
      </c>
      <c r="BF2693">
        <v>4</v>
      </c>
      <c r="BG2693">
        <v>0</v>
      </c>
    </row>
    <row r="2694" spans="1:59">
      <c r="A2694" s="1">
        <f>HYPERLINK("https://lsnyc.legalserver.org/matter/dynamic-profile/view/1906691","19-1906691")</f>
        <v>0</v>
      </c>
      <c r="B2694" t="s">
        <v>1485</v>
      </c>
      <c r="C2694" t="s">
        <v>7067</v>
      </c>
      <c r="D2694" t="s">
        <v>9926</v>
      </c>
      <c r="E2694" t="s">
        <v>10075</v>
      </c>
      <c r="F2694">
        <v>10469</v>
      </c>
      <c r="G2694" t="s">
        <v>10090</v>
      </c>
      <c r="H2694" t="s">
        <v>10096</v>
      </c>
      <c r="I2694" t="s">
        <v>10168</v>
      </c>
      <c r="J2694" t="s">
        <v>10210</v>
      </c>
      <c r="K2694" t="s">
        <v>10217</v>
      </c>
      <c r="M2694" t="s">
        <v>10558</v>
      </c>
      <c r="N2694" t="s">
        <v>10683</v>
      </c>
      <c r="P2694" t="s">
        <v>10754</v>
      </c>
      <c r="Q2694" t="s">
        <v>10770</v>
      </c>
      <c r="R2694" t="s">
        <v>10822</v>
      </c>
      <c r="T2694">
        <v>7200</v>
      </c>
      <c r="U2694">
        <v>600</v>
      </c>
      <c r="V2694">
        <v>29</v>
      </c>
      <c r="W2694">
        <v>1</v>
      </c>
      <c r="X2694">
        <v>2</v>
      </c>
      <c r="Z2694">
        <v>33.76</v>
      </c>
      <c r="AA2694">
        <v>40.876307</v>
      </c>
      <c r="AB2694">
        <v>-73.8556</v>
      </c>
      <c r="AD2694" t="s">
        <v>10840</v>
      </c>
      <c r="AG2694" t="s">
        <v>10858</v>
      </c>
      <c r="AH2694" t="s">
        <v>10865</v>
      </c>
      <c r="AI2694">
        <v>230</v>
      </c>
      <c r="AJ2694" t="s">
        <v>10210</v>
      </c>
      <c r="AL2694">
        <v>2</v>
      </c>
      <c r="AM2694" t="s">
        <v>10893</v>
      </c>
      <c r="AN2694" t="s">
        <v>10956</v>
      </c>
      <c r="AO2694" t="s">
        <v>11010</v>
      </c>
      <c r="AP2694" t="s">
        <v>11085</v>
      </c>
      <c r="AQ2694" t="s">
        <v>11152</v>
      </c>
      <c r="AR2694" t="s">
        <v>11273</v>
      </c>
      <c r="AS2694" t="s">
        <v>9926</v>
      </c>
      <c r="AT2694" t="s">
        <v>11641</v>
      </c>
      <c r="AV2694" t="s">
        <v>11656</v>
      </c>
      <c r="AW2694" t="s">
        <v>11645</v>
      </c>
      <c r="AX2694" t="s">
        <v>10838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</row>
    <row r="2695" spans="1:59">
      <c r="A2695" s="1">
        <f>HYPERLINK("https://lsnyc.legalserver.org/matter/dynamic-profile/view/1906692","19-1906692")</f>
        <v>0</v>
      </c>
      <c r="B2695" t="s">
        <v>2281</v>
      </c>
      <c r="C2695" t="s">
        <v>6248</v>
      </c>
      <c r="D2695" t="s">
        <v>9926</v>
      </c>
      <c r="E2695" t="s">
        <v>10075</v>
      </c>
      <c r="F2695">
        <v>10462</v>
      </c>
      <c r="G2695" t="s">
        <v>10090</v>
      </c>
      <c r="H2695" t="s">
        <v>10096</v>
      </c>
      <c r="I2695" t="s">
        <v>10168</v>
      </c>
      <c r="J2695" t="s">
        <v>10210</v>
      </c>
      <c r="K2695" t="s">
        <v>10217</v>
      </c>
      <c r="M2695" t="s">
        <v>10399</v>
      </c>
      <c r="N2695" t="s">
        <v>10651</v>
      </c>
      <c r="P2695" t="s">
        <v>10749</v>
      </c>
      <c r="Q2695" t="s">
        <v>10765</v>
      </c>
      <c r="R2695" t="s">
        <v>10825</v>
      </c>
      <c r="T2695">
        <v>11440</v>
      </c>
      <c r="U2695">
        <v>953.33</v>
      </c>
      <c r="V2695">
        <v>22</v>
      </c>
      <c r="W2695">
        <v>1</v>
      </c>
      <c r="X2695">
        <v>0</v>
      </c>
      <c r="Z2695">
        <v>91.59</v>
      </c>
      <c r="AA2695">
        <v>40.838965</v>
      </c>
      <c r="AB2695">
        <v>-73.861349</v>
      </c>
      <c r="AD2695" t="s">
        <v>10839</v>
      </c>
      <c r="AG2695" t="s">
        <v>10858</v>
      </c>
      <c r="AH2695" t="s">
        <v>10862</v>
      </c>
      <c r="AI2695">
        <v>230</v>
      </c>
      <c r="AJ2695" t="s">
        <v>10210</v>
      </c>
      <c r="AL2695">
        <v>5.5</v>
      </c>
      <c r="AM2695" t="s">
        <v>10885</v>
      </c>
      <c r="AN2695" t="s">
        <v>10908</v>
      </c>
      <c r="AO2695" t="s">
        <v>11001</v>
      </c>
      <c r="AP2695" t="s">
        <v>11046</v>
      </c>
      <c r="AR2695" t="s">
        <v>11293</v>
      </c>
      <c r="AS2695" t="s">
        <v>9926</v>
      </c>
      <c r="AT2695" t="s">
        <v>11641</v>
      </c>
      <c r="AW2695" t="s">
        <v>11656</v>
      </c>
      <c r="BA2695" t="s">
        <v>11738</v>
      </c>
      <c r="BB2695">
        <v>0</v>
      </c>
      <c r="BC2695">
        <v>0</v>
      </c>
      <c r="BD2695">
        <v>0</v>
      </c>
      <c r="BE2695">
        <v>0</v>
      </c>
      <c r="BF2695">
        <v>5</v>
      </c>
      <c r="BG2695">
        <v>0</v>
      </c>
    </row>
    <row r="2696" spans="1:59">
      <c r="A2696" s="1">
        <f>HYPERLINK("https://lsnyc.legalserver.org/matter/dynamic-profile/view/1906693","19-1906693")</f>
        <v>0</v>
      </c>
      <c r="B2696" t="s">
        <v>2282</v>
      </c>
      <c r="C2696" t="s">
        <v>7068</v>
      </c>
      <c r="D2696" t="s">
        <v>9928</v>
      </c>
      <c r="E2696" t="s">
        <v>10075</v>
      </c>
      <c r="F2696">
        <v>11208</v>
      </c>
      <c r="G2696" t="s">
        <v>10093</v>
      </c>
      <c r="H2696" t="s">
        <v>10096</v>
      </c>
      <c r="I2696" t="s">
        <v>10168</v>
      </c>
      <c r="J2696" t="s">
        <v>10213</v>
      </c>
      <c r="K2696" t="s">
        <v>10217</v>
      </c>
      <c r="M2696" t="s">
        <v>10565</v>
      </c>
      <c r="N2696" t="s">
        <v>10664</v>
      </c>
      <c r="P2696" t="s">
        <v>10749</v>
      </c>
      <c r="Q2696" t="s">
        <v>10765</v>
      </c>
      <c r="R2696" t="s">
        <v>10821</v>
      </c>
      <c r="T2696">
        <v>6000</v>
      </c>
      <c r="U2696">
        <v>500</v>
      </c>
      <c r="V2696">
        <v>29</v>
      </c>
      <c r="W2696">
        <v>2</v>
      </c>
      <c r="X2696">
        <v>3</v>
      </c>
      <c r="Z2696">
        <v>19.89</v>
      </c>
      <c r="AA2696">
        <v>40.688137</v>
      </c>
      <c r="AB2696">
        <v>-73.872401</v>
      </c>
      <c r="AD2696" t="s">
        <v>10839</v>
      </c>
      <c r="AG2696" t="s">
        <v>10858</v>
      </c>
      <c r="AH2696" t="s">
        <v>10861</v>
      </c>
      <c r="AI2696">
        <v>239</v>
      </c>
      <c r="AJ2696" t="s">
        <v>10213</v>
      </c>
      <c r="AL2696">
        <v>0</v>
      </c>
      <c r="AM2696" t="s">
        <v>10886</v>
      </c>
      <c r="AN2696" t="s">
        <v>10920</v>
      </c>
      <c r="AO2696" t="s">
        <v>11011</v>
      </c>
      <c r="AP2696" t="s">
        <v>11058</v>
      </c>
      <c r="AR2696" t="s">
        <v>11401</v>
      </c>
      <c r="AS2696" t="s">
        <v>11595</v>
      </c>
      <c r="BA2696" t="s">
        <v>11742</v>
      </c>
      <c r="BB2696">
        <v>0</v>
      </c>
      <c r="BC2696">
        <v>0</v>
      </c>
      <c r="BD2696">
        <v>0</v>
      </c>
      <c r="BE2696">
        <v>0</v>
      </c>
      <c r="BF2696">
        <v>7</v>
      </c>
      <c r="BG2696">
        <v>0</v>
      </c>
    </row>
    <row r="2697" spans="1:59">
      <c r="A2697" s="1">
        <f>HYPERLINK("https://lsnyc.legalserver.org/matter/dynamic-profile/view/1906694","19-1906694")</f>
        <v>0</v>
      </c>
      <c r="B2697" t="s">
        <v>2283</v>
      </c>
      <c r="C2697" t="s">
        <v>7069</v>
      </c>
      <c r="D2697" t="s">
        <v>9935</v>
      </c>
      <c r="E2697" t="s">
        <v>10075</v>
      </c>
      <c r="F2697">
        <v>11369</v>
      </c>
      <c r="G2697" t="s">
        <v>10091</v>
      </c>
      <c r="H2697" t="s">
        <v>10096</v>
      </c>
      <c r="I2697" t="s">
        <v>10168</v>
      </c>
      <c r="J2697" t="s">
        <v>10211</v>
      </c>
      <c r="K2697" t="s">
        <v>10217</v>
      </c>
      <c r="M2697" t="s">
        <v>10231</v>
      </c>
      <c r="N2697" t="s">
        <v>10647</v>
      </c>
      <c r="P2697" t="s">
        <v>10752</v>
      </c>
      <c r="Q2697" t="s">
        <v>10762</v>
      </c>
      <c r="R2697" t="s">
        <v>10823</v>
      </c>
      <c r="T2697">
        <v>20800</v>
      </c>
      <c r="U2697">
        <v>1733.33</v>
      </c>
      <c r="V2697">
        <v>28</v>
      </c>
      <c r="W2697">
        <v>1</v>
      </c>
      <c r="X2697">
        <v>0</v>
      </c>
      <c r="Z2697">
        <v>166.53</v>
      </c>
      <c r="AA2697">
        <v>40.760846</v>
      </c>
      <c r="AB2697">
        <v>-73.875676</v>
      </c>
      <c r="AD2697" t="s">
        <v>10839</v>
      </c>
      <c r="AG2697" t="s">
        <v>10858</v>
      </c>
      <c r="AH2697" t="s">
        <v>10861</v>
      </c>
      <c r="AI2697">
        <v>234</v>
      </c>
      <c r="AJ2697" t="s">
        <v>10214</v>
      </c>
      <c r="AL2697">
        <v>1.4</v>
      </c>
      <c r="AM2697" t="s">
        <v>10885</v>
      </c>
      <c r="AN2697" t="s">
        <v>10909</v>
      </c>
      <c r="AO2697" t="s">
        <v>11014</v>
      </c>
      <c r="AP2697" t="s">
        <v>11068</v>
      </c>
      <c r="AR2697" t="s">
        <v>11257</v>
      </c>
      <c r="AS2697" t="s">
        <v>11594</v>
      </c>
      <c r="AT2697" t="s">
        <v>11641</v>
      </c>
      <c r="AX2697" t="s">
        <v>10837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</row>
    <row r="2698" spans="1:59">
      <c r="A2698" s="1">
        <f>HYPERLINK("https://lsnyc.legalserver.org/matter/dynamic-profile/view/1906695","19-1906695")</f>
        <v>0</v>
      </c>
      <c r="B2698" t="s">
        <v>2284</v>
      </c>
      <c r="C2698" t="s">
        <v>7070</v>
      </c>
      <c r="D2698" t="s">
        <v>9926</v>
      </c>
      <c r="E2698" t="s">
        <v>10075</v>
      </c>
      <c r="F2698">
        <v>10458</v>
      </c>
      <c r="G2698" t="s">
        <v>10091</v>
      </c>
      <c r="H2698" t="s">
        <v>10096</v>
      </c>
      <c r="I2698" t="s">
        <v>10168</v>
      </c>
      <c r="J2698" t="s">
        <v>10214</v>
      </c>
      <c r="K2698" t="s">
        <v>10217</v>
      </c>
      <c r="M2698" t="s">
        <v>10286</v>
      </c>
      <c r="N2698" t="s">
        <v>10671</v>
      </c>
      <c r="P2698" t="s">
        <v>10749</v>
      </c>
      <c r="Q2698" t="s">
        <v>10765</v>
      </c>
      <c r="R2698" t="s">
        <v>10824</v>
      </c>
      <c r="T2698">
        <v>20800</v>
      </c>
      <c r="U2698">
        <v>1733.33</v>
      </c>
      <c r="V2698">
        <v>28</v>
      </c>
      <c r="W2698">
        <v>1</v>
      </c>
      <c r="X2698">
        <v>0</v>
      </c>
      <c r="Z2698">
        <v>166.53</v>
      </c>
      <c r="AA2698">
        <v>40.855592</v>
      </c>
      <c r="AB2698">
        <v>-73.888547</v>
      </c>
      <c r="AD2698" t="s">
        <v>10840</v>
      </c>
      <c r="AG2698" t="s">
        <v>10858</v>
      </c>
      <c r="AH2698" t="s">
        <v>10871</v>
      </c>
      <c r="AI2698">
        <v>234</v>
      </c>
      <c r="AJ2698" t="s">
        <v>10214</v>
      </c>
      <c r="AL2698">
        <v>1</v>
      </c>
      <c r="AM2698" t="s">
        <v>10884</v>
      </c>
      <c r="AN2698" t="s">
        <v>10907</v>
      </c>
      <c r="AO2698" t="s">
        <v>11000</v>
      </c>
      <c r="AP2698" t="s">
        <v>11056</v>
      </c>
      <c r="AR2698" t="s">
        <v>11257</v>
      </c>
      <c r="AS2698" t="s">
        <v>9926</v>
      </c>
      <c r="AT2698" t="s">
        <v>11642</v>
      </c>
      <c r="AX2698" t="s">
        <v>10838</v>
      </c>
      <c r="BA2698" t="s">
        <v>11741</v>
      </c>
      <c r="BB2698">
        <v>0</v>
      </c>
      <c r="BC2698">
        <v>0</v>
      </c>
      <c r="BD2698">
        <v>0</v>
      </c>
      <c r="BE2698">
        <v>0</v>
      </c>
      <c r="BF2698">
        <v>1</v>
      </c>
      <c r="BG2698">
        <v>0</v>
      </c>
    </row>
    <row r="2699" spans="1:59">
      <c r="A2699" s="1">
        <f>HYPERLINK("https://lsnyc.legalserver.org/matter/dynamic-profile/view/1906697","19-1906697")</f>
        <v>0</v>
      </c>
      <c r="B2699" t="s">
        <v>2285</v>
      </c>
      <c r="C2699" t="s">
        <v>7071</v>
      </c>
      <c r="D2699" t="s">
        <v>9928</v>
      </c>
      <c r="E2699" t="s">
        <v>10075</v>
      </c>
      <c r="F2699">
        <v>11211</v>
      </c>
      <c r="G2699" t="s">
        <v>10091</v>
      </c>
      <c r="H2699" t="s">
        <v>10096</v>
      </c>
      <c r="I2699" t="s">
        <v>10168</v>
      </c>
      <c r="J2699" t="s">
        <v>10211</v>
      </c>
      <c r="K2699" t="s">
        <v>10217</v>
      </c>
      <c r="M2699" t="s">
        <v>10231</v>
      </c>
      <c r="N2699" t="s">
        <v>10647</v>
      </c>
      <c r="P2699" t="s">
        <v>10752</v>
      </c>
      <c r="Q2699" t="s">
        <v>10762</v>
      </c>
      <c r="R2699" t="s">
        <v>10821</v>
      </c>
      <c r="T2699">
        <v>23400</v>
      </c>
      <c r="U2699">
        <v>1950</v>
      </c>
      <c r="V2699">
        <v>39</v>
      </c>
      <c r="W2699">
        <v>2</v>
      </c>
      <c r="X2699">
        <v>0</v>
      </c>
      <c r="Z2699">
        <v>138.38</v>
      </c>
      <c r="AA2699">
        <v>40.709513</v>
      </c>
      <c r="AB2699">
        <v>-73.953593</v>
      </c>
      <c r="AD2699" t="s">
        <v>10839</v>
      </c>
      <c r="AG2699" t="s">
        <v>10858</v>
      </c>
      <c r="AH2699" t="s">
        <v>10861</v>
      </c>
      <c r="AI2699">
        <v>234</v>
      </c>
      <c r="AJ2699" t="s">
        <v>10214</v>
      </c>
      <c r="AL2699">
        <v>1.2</v>
      </c>
      <c r="AM2699" t="s">
        <v>10886</v>
      </c>
      <c r="AN2699" t="s">
        <v>10942</v>
      </c>
      <c r="AO2699" t="s">
        <v>11011</v>
      </c>
      <c r="AP2699" t="s">
        <v>11071</v>
      </c>
      <c r="AR2699" t="s">
        <v>11262</v>
      </c>
      <c r="AS2699" t="s">
        <v>11595</v>
      </c>
      <c r="AT2699" t="s">
        <v>11641</v>
      </c>
      <c r="AX2699" t="s">
        <v>10838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</row>
    <row r="2700" spans="1:59">
      <c r="A2700" s="1">
        <f>HYPERLINK("https://lsnyc.legalserver.org/matter/dynamic-profile/view/1906698","19-1906698")</f>
        <v>0</v>
      </c>
      <c r="B2700" t="s">
        <v>2286</v>
      </c>
      <c r="C2700" t="s">
        <v>7072</v>
      </c>
      <c r="D2700" t="s">
        <v>9950</v>
      </c>
      <c r="E2700" t="s">
        <v>10075</v>
      </c>
      <c r="F2700">
        <v>11418</v>
      </c>
      <c r="G2700" t="s">
        <v>10093</v>
      </c>
      <c r="H2700" t="s">
        <v>10096</v>
      </c>
      <c r="I2700" t="s">
        <v>10169</v>
      </c>
      <c r="J2700" t="s">
        <v>10213</v>
      </c>
      <c r="K2700" t="s">
        <v>10218</v>
      </c>
      <c r="L2700" t="s">
        <v>10152</v>
      </c>
      <c r="M2700" t="s">
        <v>10358</v>
      </c>
      <c r="N2700" t="s">
        <v>10671</v>
      </c>
      <c r="P2700" t="s">
        <v>10752</v>
      </c>
      <c r="Q2700" t="s">
        <v>10783</v>
      </c>
      <c r="R2700" t="s">
        <v>10821</v>
      </c>
      <c r="T2700">
        <v>15600</v>
      </c>
      <c r="U2700">
        <v>1300</v>
      </c>
      <c r="V2700">
        <v>58</v>
      </c>
      <c r="W2700">
        <v>1</v>
      </c>
      <c r="X2700">
        <v>0</v>
      </c>
      <c r="Y2700" t="s">
        <v>10830</v>
      </c>
      <c r="Z2700">
        <v>124.9</v>
      </c>
      <c r="AA2700">
        <v>40.695403</v>
      </c>
      <c r="AB2700">
        <v>-73.845669</v>
      </c>
      <c r="AD2700" t="s">
        <v>10840</v>
      </c>
      <c r="AF2700" t="s">
        <v>10843</v>
      </c>
      <c r="AG2700" t="s">
        <v>10859</v>
      </c>
      <c r="AH2700" t="s">
        <v>10861</v>
      </c>
      <c r="AI2700">
        <v>234</v>
      </c>
      <c r="AJ2700" t="s">
        <v>10214</v>
      </c>
      <c r="AK2700" t="s">
        <v>10882</v>
      </c>
      <c r="AL2700">
        <v>4</v>
      </c>
      <c r="AM2700" t="s">
        <v>10886</v>
      </c>
      <c r="AN2700" t="s">
        <v>10945</v>
      </c>
      <c r="AO2700" t="s">
        <v>11017</v>
      </c>
      <c r="AP2700" t="s">
        <v>11088</v>
      </c>
      <c r="AR2700" t="s">
        <v>11257</v>
      </c>
      <c r="AS2700" t="s">
        <v>11594</v>
      </c>
      <c r="AT2700" t="s">
        <v>11642</v>
      </c>
      <c r="AX2700" t="s">
        <v>10838</v>
      </c>
      <c r="AY2700" t="s">
        <v>10830</v>
      </c>
      <c r="AZ2700" t="s">
        <v>11680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</row>
    <row r="2701" spans="1:59">
      <c r="A2701" s="1">
        <f>HYPERLINK("https://lsnyc.legalserver.org/matter/dynamic-profile/view/1906700","19-1906700")</f>
        <v>0</v>
      </c>
      <c r="B2701" t="s">
        <v>2287</v>
      </c>
      <c r="C2701" t="s">
        <v>7073</v>
      </c>
      <c r="D2701" t="s">
        <v>9928</v>
      </c>
      <c r="E2701" t="s">
        <v>10075</v>
      </c>
      <c r="F2701">
        <v>11238</v>
      </c>
      <c r="G2701" t="s">
        <v>10091</v>
      </c>
      <c r="H2701" t="s">
        <v>10096</v>
      </c>
      <c r="I2701" t="s">
        <v>10168</v>
      </c>
      <c r="J2701" t="s">
        <v>10214</v>
      </c>
      <c r="K2701" t="s">
        <v>10217</v>
      </c>
      <c r="M2701" t="s">
        <v>10286</v>
      </c>
      <c r="N2701" t="s">
        <v>10671</v>
      </c>
      <c r="P2701" t="s">
        <v>10751</v>
      </c>
      <c r="Q2701" t="s">
        <v>10768</v>
      </c>
      <c r="R2701" t="s">
        <v>10827</v>
      </c>
      <c r="T2701">
        <v>2889</v>
      </c>
      <c r="U2701">
        <v>240.75</v>
      </c>
      <c r="V2701">
        <v>48</v>
      </c>
      <c r="W2701">
        <v>1</v>
      </c>
      <c r="X2701">
        <v>0</v>
      </c>
      <c r="Z2701">
        <v>23.13</v>
      </c>
      <c r="AA2701">
        <v>40.677881</v>
      </c>
      <c r="AB2701">
        <v>-73.971042</v>
      </c>
      <c r="AD2701" t="s">
        <v>10839</v>
      </c>
      <c r="AG2701" t="s">
        <v>10858</v>
      </c>
      <c r="AH2701" t="s">
        <v>10861</v>
      </c>
      <c r="AI2701">
        <v>234</v>
      </c>
      <c r="AJ2701" t="s">
        <v>10214</v>
      </c>
      <c r="AL2701">
        <v>0.3</v>
      </c>
      <c r="AM2701" t="s">
        <v>10888</v>
      </c>
      <c r="AN2701" t="s">
        <v>10917</v>
      </c>
      <c r="AO2701" t="s">
        <v>11005</v>
      </c>
      <c r="AP2701" t="s">
        <v>11061</v>
      </c>
      <c r="AR2701" t="s">
        <v>11366</v>
      </c>
      <c r="AS2701" t="s">
        <v>11595</v>
      </c>
      <c r="AT2701" t="s">
        <v>11641</v>
      </c>
      <c r="AX2701" t="s">
        <v>10838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</row>
    <row r="2702" spans="1:59">
      <c r="A2702" s="1">
        <f>HYPERLINK("https://lsnyc.legalserver.org/matter/dynamic-profile/view/1906701","19-1906701")</f>
        <v>0</v>
      </c>
      <c r="B2702" t="s">
        <v>2288</v>
      </c>
      <c r="C2702" t="s">
        <v>5422</v>
      </c>
      <c r="D2702" t="s">
        <v>9925</v>
      </c>
      <c r="E2702" t="s">
        <v>10075</v>
      </c>
      <c r="F2702">
        <v>10035</v>
      </c>
      <c r="G2702" t="s">
        <v>10089</v>
      </c>
      <c r="H2702" t="s">
        <v>10096</v>
      </c>
      <c r="J2702" t="s">
        <v>10209</v>
      </c>
      <c r="K2702" t="s">
        <v>10217</v>
      </c>
      <c r="M2702" t="s">
        <v>10493</v>
      </c>
      <c r="N2702" t="s">
        <v>10707</v>
      </c>
      <c r="P2702" t="s">
        <v>10751</v>
      </c>
      <c r="Q2702" t="s">
        <v>10776</v>
      </c>
      <c r="R2702" t="s">
        <v>10821</v>
      </c>
      <c r="T2702">
        <v>7566</v>
      </c>
      <c r="U2702">
        <v>630.5</v>
      </c>
      <c r="V2702">
        <v>33</v>
      </c>
      <c r="W2702">
        <v>1</v>
      </c>
      <c r="X2702">
        <v>2</v>
      </c>
      <c r="Z2702">
        <v>35.47</v>
      </c>
      <c r="AA2702">
        <v>40.800389</v>
      </c>
      <c r="AB2702">
        <v>-73.941298</v>
      </c>
      <c r="AD2702" t="s">
        <v>10839</v>
      </c>
      <c r="AG2702" t="s">
        <v>10858</v>
      </c>
      <c r="AH2702" t="s">
        <v>10868</v>
      </c>
      <c r="AI2702">
        <v>236</v>
      </c>
      <c r="AJ2702" t="s">
        <v>10209</v>
      </c>
      <c r="AL2702">
        <v>20.5</v>
      </c>
      <c r="AM2702" t="s">
        <v>10887</v>
      </c>
      <c r="AN2702" t="s">
        <v>10926</v>
      </c>
      <c r="AO2702" t="s">
        <v>11016</v>
      </c>
      <c r="AP2702" t="s">
        <v>11076</v>
      </c>
      <c r="AQ2702" t="s">
        <v>11156</v>
      </c>
      <c r="AR2702" t="s">
        <v>11292</v>
      </c>
      <c r="AS2702" t="s">
        <v>9925</v>
      </c>
      <c r="AT2702" t="s">
        <v>11641</v>
      </c>
      <c r="AX2702" t="s">
        <v>10838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</row>
    <row r="2703" spans="1:59">
      <c r="A2703" s="1">
        <f>HYPERLINK("https://lsnyc.legalserver.org/matter/dynamic-profile/view/1906702","19-1906702")</f>
        <v>0</v>
      </c>
      <c r="B2703" t="s">
        <v>2289</v>
      </c>
      <c r="C2703" t="s">
        <v>7074</v>
      </c>
      <c r="D2703" t="s">
        <v>9926</v>
      </c>
      <c r="E2703" t="s">
        <v>10075</v>
      </c>
      <c r="F2703">
        <v>10468</v>
      </c>
      <c r="G2703" t="s">
        <v>10090</v>
      </c>
      <c r="H2703" t="s">
        <v>10096</v>
      </c>
      <c r="I2703" t="s">
        <v>10168</v>
      </c>
      <c r="J2703" t="s">
        <v>10210</v>
      </c>
      <c r="K2703" t="s">
        <v>10217</v>
      </c>
      <c r="M2703" t="s">
        <v>10558</v>
      </c>
      <c r="N2703" t="s">
        <v>10683</v>
      </c>
      <c r="P2703" t="s">
        <v>10754</v>
      </c>
      <c r="Q2703" t="s">
        <v>10775</v>
      </c>
      <c r="R2703" t="s">
        <v>10821</v>
      </c>
      <c r="T2703">
        <v>0</v>
      </c>
      <c r="U2703">
        <v>0</v>
      </c>
      <c r="V2703">
        <v>23</v>
      </c>
      <c r="W2703">
        <v>1</v>
      </c>
      <c r="X2703">
        <v>1</v>
      </c>
      <c r="Z2703">
        <v>0</v>
      </c>
      <c r="AA2703">
        <v>40.85916</v>
      </c>
      <c r="AB2703">
        <v>-73.901033</v>
      </c>
      <c r="AD2703" t="s">
        <v>10839</v>
      </c>
      <c r="AG2703" t="s">
        <v>10858</v>
      </c>
      <c r="AH2703" t="s">
        <v>10865</v>
      </c>
      <c r="AI2703">
        <v>230</v>
      </c>
      <c r="AJ2703" t="s">
        <v>10210</v>
      </c>
      <c r="AL2703">
        <v>2</v>
      </c>
      <c r="AM2703" t="s">
        <v>10884</v>
      </c>
      <c r="AN2703" t="s">
        <v>10931</v>
      </c>
      <c r="AO2703" t="s">
        <v>11000</v>
      </c>
      <c r="AP2703" t="s">
        <v>11045</v>
      </c>
      <c r="AQ2703" t="s">
        <v>11138</v>
      </c>
      <c r="AR2703" t="s">
        <v>11257</v>
      </c>
      <c r="AS2703" t="s">
        <v>9926</v>
      </c>
      <c r="AT2703" t="s">
        <v>11641</v>
      </c>
      <c r="AV2703" t="s">
        <v>11656</v>
      </c>
      <c r="AW2703" t="s">
        <v>11645</v>
      </c>
      <c r="AX2703" t="s">
        <v>10838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</row>
    <row r="2704" spans="1:59">
      <c r="A2704" s="1">
        <f>HYPERLINK("https://lsnyc.legalserver.org/matter/dynamic-profile/view/1906703","19-1906703")</f>
        <v>0</v>
      </c>
      <c r="B2704" t="s">
        <v>2290</v>
      </c>
      <c r="C2704" t="s">
        <v>7075</v>
      </c>
      <c r="D2704" t="s">
        <v>9926</v>
      </c>
      <c r="E2704" t="s">
        <v>10075</v>
      </c>
      <c r="F2704">
        <v>10451</v>
      </c>
      <c r="G2704" t="s">
        <v>10090</v>
      </c>
      <c r="H2704" t="s">
        <v>10096</v>
      </c>
      <c r="I2704" t="s">
        <v>10169</v>
      </c>
      <c r="J2704" t="s">
        <v>10210</v>
      </c>
      <c r="K2704" t="s">
        <v>10217</v>
      </c>
      <c r="M2704" t="s">
        <v>10558</v>
      </c>
      <c r="N2704" t="s">
        <v>10683</v>
      </c>
      <c r="P2704" t="s">
        <v>10754</v>
      </c>
      <c r="Q2704" t="s">
        <v>10775</v>
      </c>
      <c r="R2704" t="s">
        <v>10821</v>
      </c>
      <c r="T2704">
        <v>28548</v>
      </c>
      <c r="U2704">
        <v>2379</v>
      </c>
      <c r="V2704">
        <v>40</v>
      </c>
      <c r="W2704">
        <v>1</v>
      </c>
      <c r="X2704">
        <v>0</v>
      </c>
      <c r="Z2704">
        <v>228.57</v>
      </c>
      <c r="AA2704">
        <v>40.816862</v>
      </c>
      <c r="AB2704">
        <v>-73.919678</v>
      </c>
      <c r="AD2704" t="s">
        <v>10840</v>
      </c>
      <c r="AF2704" t="s">
        <v>10842</v>
      </c>
      <c r="AG2704" t="s">
        <v>10859</v>
      </c>
      <c r="AH2704" t="s">
        <v>10865</v>
      </c>
      <c r="AI2704">
        <v>230</v>
      </c>
      <c r="AJ2704" t="s">
        <v>10210</v>
      </c>
      <c r="AL2704">
        <v>2</v>
      </c>
      <c r="AM2704" t="s">
        <v>10884</v>
      </c>
      <c r="AN2704" t="s">
        <v>10924</v>
      </c>
      <c r="AO2704" t="s">
        <v>11013</v>
      </c>
      <c r="AP2704" t="s">
        <v>11062</v>
      </c>
      <c r="AR2704" t="s">
        <v>11257</v>
      </c>
      <c r="AS2704" t="s">
        <v>9926</v>
      </c>
      <c r="AT2704" t="s">
        <v>11642</v>
      </c>
      <c r="AV2704" t="s">
        <v>11655</v>
      </c>
      <c r="AW2704" t="s">
        <v>11666</v>
      </c>
      <c r="AX2704" t="s">
        <v>10838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</row>
    <row r="2705" spans="1:59">
      <c r="A2705" s="1">
        <f>HYPERLINK("https://lsnyc.legalserver.org/matter/dynamic-profile/view/1906705","19-1906705")</f>
        <v>0</v>
      </c>
      <c r="B2705" t="s">
        <v>2291</v>
      </c>
      <c r="C2705" t="s">
        <v>7076</v>
      </c>
      <c r="D2705" t="s">
        <v>9928</v>
      </c>
      <c r="E2705" t="s">
        <v>10075</v>
      </c>
      <c r="F2705">
        <v>11225</v>
      </c>
      <c r="G2705" t="s">
        <v>10093</v>
      </c>
      <c r="H2705" t="s">
        <v>10096</v>
      </c>
      <c r="I2705" t="s">
        <v>10168</v>
      </c>
      <c r="J2705" t="s">
        <v>10213</v>
      </c>
      <c r="K2705" t="s">
        <v>10217</v>
      </c>
      <c r="M2705" t="s">
        <v>10426</v>
      </c>
      <c r="N2705" t="s">
        <v>10644</v>
      </c>
      <c r="P2705" t="s">
        <v>10751</v>
      </c>
      <c r="Q2705" t="s">
        <v>10761</v>
      </c>
      <c r="R2705" t="s">
        <v>10824</v>
      </c>
      <c r="T2705">
        <v>18792</v>
      </c>
      <c r="U2705">
        <v>1566</v>
      </c>
      <c r="V2705">
        <v>69</v>
      </c>
      <c r="W2705">
        <v>3</v>
      </c>
      <c r="X2705">
        <v>0</v>
      </c>
      <c r="Z2705">
        <v>88.09999999999999</v>
      </c>
      <c r="AA2705">
        <v>40.659588</v>
      </c>
      <c r="AB2705">
        <v>-73.96238700000001</v>
      </c>
      <c r="AC2705" t="s">
        <v>10837</v>
      </c>
      <c r="AD2705" t="s">
        <v>10839</v>
      </c>
      <c r="AG2705" t="s">
        <v>10858</v>
      </c>
      <c r="AH2705" t="s">
        <v>10874</v>
      </c>
      <c r="AI2705">
        <v>239</v>
      </c>
      <c r="AJ2705" t="s">
        <v>10213</v>
      </c>
      <c r="AL2705">
        <v>7.6</v>
      </c>
      <c r="AM2705" t="s">
        <v>10888</v>
      </c>
      <c r="AN2705" t="s">
        <v>10912</v>
      </c>
      <c r="AO2705" t="s">
        <v>11008</v>
      </c>
      <c r="AP2705" t="s">
        <v>11050</v>
      </c>
      <c r="AR2705" t="s">
        <v>11253</v>
      </c>
      <c r="AS2705" t="s">
        <v>11595</v>
      </c>
      <c r="BA2705" t="s">
        <v>11742</v>
      </c>
      <c r="BB2705">
        <v>0</v>
      </c>
      <c r="BC2705">
        <v>0</v>
      </c>
      <c r="BD2705">
        <v>0</v>
      </c>
      <c r="BE2705">
        <v>0</v>
      </c>
      <c r="BF2705">
        <v>7</v>
      </c>
      <c r="BG2705">
        <v>0</v>
      </c>
    </row>
    <row r="2706" spans="1:59">
      <c r="A2706" s="1">
        <f>HYPERLINK("https://lsnyc.legalserver.org/matter/dynamic-profile/view/1906706","19-1906706")</f>
        <v>0</v>
      </c>
      <c r="B2706" t="s">
        <v>2292</v>
      </c>
      <c r="C2706" t="s">
        <v>7077</v>
      </c>
      <c r="D2706" t="s">
        <v>9926</v>
      </c>
      <c r="E2706" t="s">
        <v>10075</v>
      </c>
      <c r="F2706">
        <v>10473</v>
      </c>
      <c r="G2706" t="s">
        <v>10090</v>
      </c>
      <c r="H2706" t="s">
        <v>10146</v>
      </c>
      <c r="I2706" t="s">
        <v>10168</v>
      </c>
      <c r="J2706" t="s">
        <v>10210</v>
      </c>
      <c r="K2706" t="s">
        <v>10218</v>
      </c>
      <c r="L2706" t="s">
        <v>10162</v>
      </c>
      <c r="M2706" t="s">
        <v>10524</v>
      </c>
      <c r="N2706" t="s">
        <v>10671</v>
      </c>
      <c r="P2706" t="s">
        <v>10751</v>
      </c>
      <c r="Q2706" t="s">
        <v>10761</v>
      </c>
      <c r="R2706" t="s">
        <v>10824</v>
      </c>
      <c r="T2706">
        <v>11316</v>
      </c>
      <c r="U2706">
        <v>943</v>
      </c>
      <c r="V2706">
        <v>41</v>
      </c>
      <c r="W2706">
        <v>1</v>
      </c>
      <c r="X2706">
        <v>1</v>
      </c>
      <c r="Y2706" t="s">
        <v>10833</v>
      </c>
      <c r="Z2706">
        <v>66.92</v>
      </c>
      <c r="AA2706">
        <v>40.819726</v>
      </c>
      <c r="AB2706">
        <v>-73.84912</v>
      </c>
      <c r="AD2706" t="s">
        <v>10839</v>
      </c>
      <c r="AG2706" t="s">
        <v>10858</v>
      </c>
      <c r="AH2706" t="s">
        <v>10862</v>
      </c>
      <c r="AI2706">
        <v>230</v>
      </c>
      <c r="AJ2706" t="s">
        <v>10210</v>
      </c>
      <c r="AK2706" t="s">
        <v>10838</v>
      </c>
      <c r="AL2706">
        <v>0.5</v>
      </c>
      <c r="AM2706" t="s">
        <v>10884</v>
      </c>
      <c r="AN2706" t="s">
        <v>10908</v>
      </c>
      <c r="AO2706" t="s">
        <v>11001</v>
      </c>
      <c r="AP2706" t="s">
        <v>11046</v>
      </c>
      <c r="AR2706" t="s">
        <v>11298</v>
      </c>
      <c r="AS2706" t="s">
        <v>9926</v>
      </c>
      <c r="AY2706" t="s">
        <v>10833</v>
      </c>
      <c r="AZ2706" t="s">
        <v>11688</v>
      </c>
      <c r="BA2706" t="s">
        <v>11737</v>
      </c>
      <c r="BB2706">
        <v>0</v>
      </c>
      <c r="BC2706">
        <v>0</v>
      </c>
      <c r="BD2706">
        <v>0</v>
      </c>
      <c r="BE2706">
        <v>1675.5</v>
      </c>
      <c r="BF2706">
        <v>3</v>
      </c>
      <c r="BG2706">
        <v>0</v>
      </c>
    </row>
    <row r="2707" spans="1:59">
      <c r="A2707" s="1">
        <f>HYPERLINK("https://lsnyc.legalserver.org/matter/dynamic-profile/view/1906707","19-1906707")</f>
        <v>0</v>
      </c>
      <c r="B2707" t="s">
        <v>1113</v>
      </c>
      <c r="C2707" t="s">
        <v>5977</v>
      </c>
      <c r="D2707" t="s">
        <v>9928</v>
      </c>
      <c r="E2707" t="s">
        <v>10075</v>
      </c>
      <c r="F2707">
        <v>11225</v>
      </c>
      <c r="G2707" t="s">
        <v>10093</v>
      </c>
      <c r="H2707" t="s">
        <v>10096</v>
      </c>
      <c r="I2707" t="s">
        <v>10168</v>
      </c>
      <c r="J2707" t="s">
        <v>10213</v>
      </c>
      <c r="K2707" t="s">
        <v>10217</v>
      </c>
      <c r="M2707" t="s">
        <v>10426</v>
      </c>
      <c r="N2707" t="s">
        <v>10644</v>
      </c>
      <c r="P2707" t="s">
        <v>10751</v>
      </c>
      <c r="Q2707" t="s">
        <v>10761</v>
      </c>
      <c r="R2707" t="s">
        <v>10825</v>
      </c>
      <c r="T2707">
        <v>0</v>
      </c>
      <c r="U2707">
        <v>0</v>
      </c>
      <c r="V2707">
        <v>68</v>
      </c>
      <c r="W2707">
        <v>3</v>
      </c>
      <c r="X2707">
        <v>0</v>
      </c>
      <c r="Z2707">
        <v>0</v>
      </c>
      <c r="AA2707">
        <v>40.660224</v>
      </c>
      <c r="AB2707">
        <v>-73.952583</v>
      </c>
      <c r="AD2707" t="s">
        <v>10839</v>
      </c>
      <c r="AG2707" t="s">
        <v>10858</v>
      </c>
      <c r="AH2707" t="s">
        <v>10874</v>
      </c>
      <c r="AI2707">
        <v>239</v>
      </c>
      <c r="AJ2707" t="s">
        <v>10213</v>
      </c>
      <c r="AL2707">
        <v>6.5</v>
      </c>
      <c r="AM2707" t="s">
        <v>10888</v>
      </c>
      <c r="AN2707" t="s">
        <v>10912</v>
      </c>
      <c r="AO2707" t="s">
        <v>11005</v>
      </c>
      <c r="AP2707" t="s">
        <v>11050</v>
      </c>
      <c r="AR2707" t="s">
        <v>11279</v>
      </c>
      <c r="AS2707" t="s">
        <v>11595</v>
      </c>
      <c r="BA2707" t="s">
        <v>11742</v>
      </c>
      <c r="BB2707">
        <v>0</v>
      </c>
      <c r="BC2707">
        <v>0</v>
      </c>
      <c r="BD2707">
        <v>0</v>
      </c>
      <c r="BE2707">
        <v>0</v>
      </c>
      <c r="BF2707">
        <v>7</v>
      </c>
      <c r="BG2707">
        <v>0</v>
      </c>
    </row>
    <row r="2708" spans="1:59">
      <c r="A2708" s="1">
        <f>HYPERLINK("https://lsnyc.legalserver.org/matter/dynamic-profile/view/1906708","19-1906708")</f>
        <v>0</v>
      </c>
      <c r="B2708" t="s">
        <v>2293</v>
      </c>
      <c r="C2708" t="s">
        <v>7078</v>
      </c>
      <c r="D2708" t="s">
        <v>9926</v>
      </c>
      <c r="E2708" t="s">
        <v>10075</v>
      </c>
      <c r="F2708">
        <v>10457</v>
      </c>
      <c r="G2708" t="s">
        <v>10090</v>
      </c>
      <c r="H2708" t="s">
        <v>10096</v>
      </c>
      <c r="I2708" t="s">
        <v>10168</v>
      </c>
      <c r="J2708" t="s">
        <v>10210</v>
      </c>
      <c r="K2708" t="s">
        <v>10217</v>
      </c>
      <c r="M2708" t="s">
        <v>10584</v>
      </c>
      <c r="N2708" t="s">
        <v>10651</v>
      </c>
      <c r="P2708" t="s">
        <v>10749</v>
      </c>
      <c r="Q2708" t="s">
        <v>10765</v>
      </c>
      <c r="R2708" t="s">
        <v>10821</v>
      </c>
      <c r="T2708">
        <v>4498</v>
      </c>
      <c r="U2708">
        <v>374.83</v>
      </c>
      <c r="V2708">
        <v>61</v>
      </c>
      <c r="W2708">
        <v>2</v>
      </c>
      <c r="X2708">
        <v>3</v>
      </c>
      <c r="Z2708">
        <v>14.91</v>
      </c>
      <c r="AA2708">
        <v>40.853347</v>
      </c>
      <c r="AB2708">
        <v>-73.900426</v>
      </c>
      <c r="AD2708" t="s">
        <v>10839</v>
      </c>
      <c r="AG2708" t="s">
        <v>10858</v>
      </c>
      <c r="AH2708" t="s">
        <v>10861</v>
      </c>
      <c r="AI2708">
        <v>230</v>
      </c>
      <c r="AJ2708" t="s">
        <v>10210</v>
      </c>
      <c r="AL2708">
        <v>10.3</v>
      </c>
      <c r="AM2708" t="s">
        <v>10884</v>
      </c>
      <c r="AN2708" t="s">
        <v>10931</v>
      </c>
      <c r="AO2708" t="s">
        <v>11000</v>
      </c>
      <c r="AP2708" t="s">
        <v>11056</v>
      </c>
      <c r="AR2708" t="s">
        <v>11273</v>
      </c>
      <c r="AS2708" t="s">
        <v>9926</v>
      </c>
      <c r="AT2708" t="s">
        <v>11641</v>
      </c>
      <c r="AX2708" t="s">
        <v>10838</v>
      </c>
      <c r="BA2708" t="s">
        <v>11738</v>
      </c>
      <c r="BB2708">
        <v>0</v>
      </c>
      <c r="BC2708">
        <v>0</v>
      </c>
      <c r="BD2708">
        <v>0</v>
      </c>
      <c r="BE2708">
        <v>0</v>
      </c>
      <c r="BF2708">
        <v>5</v>
      </c>
      <c r="BG2708">
        <v>0</v>
      </c>
    </row>
    <row r="2709" spans="1:59">
      <c r="A2709" s="1">
        <f>HYPERLINK("https://lsnyc.legalserver.org/matter/dynamic-profile/view/1906709","19-1906709")</f>
        <v>0</v>
      </c>
      <c r="B2709" t="s">
        <v>2294</v>
      </c>
      <c r="C2709" t="s">
        <v>7078</v>
      </c>
      <c r="D2709" t="s">
        <v>9926</v>
      </c>
      <c r="E2709" t="s">
        <v>10075</v>
      </c>
      <c r="F2709">
        <v>10457</v>
      </c>
      <c r="G2709" t="s">
        <v>10090</v>
      </c>
      <c r="H2709" t="s">
        <v>10096</v>
      </c>
      <c r="I2709" t="s">
        <v>10168</v>
      </c>
      <c r="J2709" t="s">
        <v>10210</v>
      </c>
      <c r="K2709" t="s">
        <v>10217</v>
      </c>
      <c r="M2709" t="s">
        <v>10584</v>
      </c>
      <c r="N2709" t="s">
        <v>10677</v>
      </c>
      <c r="P2709" t="s">
        <v>10751</v>
      </c>
      <c r="Q2709" t="s">
        <v>10761</v>
      </c>
      <c r="R2709" t="s">
        <v>10821</v>
      </c>
      <c r="T2709">
        <v>4498</v>
      </c>
      <c r="U2709">
        <v>374.83</v>
      </c>
      <c r="V2709">
        <v>61</v>
      </c>
      <c r="W2709">
        <v>2</v>
      </c>
      <c r="X2709">
        <v>3</v>
      </c>
      <c r="Z2709">
        <v>14.91</v>
      </c>
      <c r="AA2709">
        <v>40.853347</v>
      </c>
      <c r="AB2709">
        <v>-73.900426</v>
      </c>
      <c r="AD2709" t="s">
        <v>10839</v>
      </c>
      <c r="AG2709" t="s">
        <v>10858</v>
      </c>
      <c r="AH2709" t="s">
        <v>10861</v>
      </c>
      <c r="AI2709">
        <v>230</v>
      </c>
      <c r="AJ2709" t="s">
        <v>10210</v>
      </c>
      <c r="AL2709">
        <v>0</v>
      </c>
      <c r="AM2709" t="s">
        <v>10884</v>
      </c>
      <c r="AN2709" t="s">
        <v>10931</v>
      </c>
      <c r="AO2709" t="s">
        <v>11000</v>
      </c>
      <c r="AP2709" t="s">
        <v>11056</v>
      </c>
      <c r="AR2709" t="s">
        <v>11273</v>
      </c>
      <c r="AS2709" t="s">
        <v>9926</v>
      </c>
      <c r="AT2709" t="s">
        <v>11641</v>
      </c>
      <c r="AX2709" t="s">
        <v>10838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</row>
    <row r="2710" spans="1:59">
      <c r="A2710" s="1">
        <f>HYPERLINK("https://lsnyc.legalserver.org/matter/dynamic-profile/view/1906710","19-1906710")</f>
        <v>0</v>
      </c>
      <c r="B2710" t="s">
        <v>2295</v>
      </c>
      <c r="C2710" t="s">
        <v>5009</v>
      </c>
      <c r="D2710" t="s">
        <v>9928</v>
      </c>
      <c r="E2710" t="s">
        <v>10075</v>
      </c>
      <c r="F2710">
        <v>11225</v>
      </c>
      <c r="G2710" t="s">
        <v>10093</v>
      </c>
      <c r="H2710" t="s">
        <v>10146</v>
      </c>
      <c r="I2710" t="s">
        <v>10168</v>
      </c>
      <c r="J2710" t="s">
        <v>10213</v>
      </c>
      <c r="K2710" t="s">
        <v>10217</v>
      </c>
      <c r="M2710" t="s">
        <v>10236</v>
      </c>
      <c r="N2710" t="s">
        <v>10650</v>
      </c>
      <c r="O2710" t="s">
        <v>10653</v>
      </c>
      <c r="P2710" t="s">
        <v>10749</v>
      </c>
      <c r="Q2710" t="s">
        <v>10765</v>
      </c>
      <c r="R2710" t="s">
        <v>10821</v>
      </c>
      <c r="T2710">
        <v>45060</v>
      </c>
      <c r="U2710">
        <v>3755</v>
      </c>
      <c r="V2710">
        <v>32</v>
      </c>
      <c r="W2710">
        <v>2</v>
      </c>
      <c r="X2710">
        <v>1</v>
      </c>
      <c r="Z2710">
        <v>211.25</v>
      </c>
      <c r="AA2710">
        <v>40.65869</v>
      </c>
      <c r="AB2710">
        <v>-73.96026000000001</v>
      </c>
      <c r="AC2710" t="s">
        <v>10837</v>
      </c>
      <c r="AD2710" t="s">
        <v>10839</v>
      </c>
      <c r="AG2710" t="s">
        <v>10858</v>
      </c>
      <c r="AH2710" t="s">
        <v>10862</v>
      </c>
      <c r="AI2710">
        <v>239</v>
      </c>
      <c r="AJ2710" t="s">
        <v>10213</v>
      </c>
      <c r="AL2710">
        <v>1.6</v>
      </c>
      <c r="AM2710" t="s">
        <v>10888</v>
      </c>
      <c r="AN2710" t="s">
        <v>10912</v>
      </c>
      <c r="AO2710" t="s">
        <v>11005</v>
      </c>
      <c r="AP2710" t="s">
        <v>11050</v>
      </c>
      <c r="AR2710" t="s">
        <v>11352</v>
      </c>
      <c r="AS2710" t="s">
        <v>11595</v>
      </c>
      <c r="AT2710" t="s">
        <v>11641</v>
      </c>
      <c r="AX2710" t="s">
        <v>10838</v>
      </c>
      <c r="BA2710" t="s">
        <v>11741</v>
      </c>
      <c r="BB2710">
        <v>0</v>
      </c>
      <c r="BC2710">
        <v>0</v>
      </c>
      <c r="BD2710">
        <v>0</v>
      </c>
      <c r="BE2710">
        <v>0</v>
      </c>
      <c r="BF2710">
        <v>1</v>
      </c>
      <c r="BG2710">
        <v>0</v>
      </c>
    </row>
    <row r="2711" spans="1:59">
      <c r="A2711" s="1">
        <f>HYPERLINK("https://lsnyc.legalserver.org/matter/dynamic-profile/view/1906711","19-1906711")</f>
        <v>0</v>
      </c>
      <c r="B2711" t="s">
        <v>2296</v>
      </c>
      <c r="C2711" t="s">
        <v>7079</v>
      </c>
      <c r="D2711" t="s">
        <v>9926</v>
      </c>
      <c r="E2711" t="s">
        <v>10075</v>
      </c>
      <c r="F2711">
        <v>10472</v>
      </c>
      <c r="G2711" t="s">
        <v>10090</v>
      </c>
      <c r="H2711" t="s">
        <v>10103</v>
      </c>
      <c r="I2711" t="s">
        <v>10169</v>
      </c>
      <c r="J2711" t="s">
        <v>10210</v>
      </c>
      <c r="K2711" t="s">
        <v>10217</v>
      </c>
      <c r="M2711" t="s">
        <v>10558</v>
      </c>
      <c r="N2711" t="s">
        <v>10683</v>
      </c>
      <c r="P2711" t="s">
        <v>10754</v>
      </c>
      <c r="Q2711" t="s">
        <v>10775</v>
      </c>
      <c r="R2711" t="s">
        <v>10821</v>
      </c>
      <c r="T2711">
        <v>15600</v>
      </c>
      <c r="U2711">
        <v>1300</v>
      </c>
      <c r="V2711">
        <v>50</v>
      </c>
      <c r="W2711">
        <v>1</v>
      </c>
      <c r="X2711">
        <v>0</v>
      </c>
      <c r="Z2711">
        <v>124.9</v>
      </c>
      <c r="AA2711">
        <v>40.828735</v>
      </c>
      <c r="AB2711">
        <v>-73.861042</v>
      </c>
      <c r="AD2711" t="s">
        <v>10839</v>
      </c>
      <c r="AG2711" t="s">
        <v>10858</v>
      </c>
      <c r="AH2711" t="s">
        <v>10865</v>
      </c>
      <c r="AI2711">
        <v>230</v>
      </c>
      <c r="AJ2711" t="s">
        <v>10210</v>
      </c>
      <c r="AL2711">
        <v>2.25</v>
      </c>
      <c r="AM2711" t="s">
        <v>10884</v>
      </c>
      <c r="AN2711" t="s">
        <v>10908</v>
      </c>
      <c r="AO2711" t="s">
        <v>11002</v>
      </c>
      <c r="AP2711" t="s">
        <v>11046</v>
      </c>
      <c r="AQ2711" t="s">
        <v>11124</v>
      </c>
      <c r="AR2711" t="s">
        <v>11257</v>
      </c>
      <c r="AS2711" t="s">
        <v>9926</v>
      </c>
      <c r="AT2711" t="s">
        <v>11641</v>
      </c>
      <c r="AX2711" t="s">
        <v>10838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</row>
    <row r="2712" spans="1:59">
      <c r="A2712" s="1">
        <f>HYPERLINK("https://lsnyc.legalserver.org/matter/dynamic-profile/view/1906712","19-1906712")</f>
        <v>0</v>
      </c>
      <c r="B2712" t="s">
        <v>2297</v>
      </c>
      <c r="C2712" t="s">
        <v>7080</v>
      </c>
      <c r="D2712" t="s">
        <v>9926</v>
      </c>
      <c r="E2712" t="s">
        <v>10075</v>
      </c>
      <c r="F2712">
        <v>10468</v>
      </c>
      <c r="G2712" t="s">
        <v>10090</v>
      </c>
      <c r="H2712" t="s">
        <v>10146</v>
      </c>
      <c r="I2712" t="s">
        <v>10169</v>
      </c>
      <c r="J2712" t="s">
        <v>10210</v>
      </c>
      <c r="K2712" t="s">
        <v>10217</v>
      </c>
      <c r="M2712" t="s">
        <v>10512</v>
      </c>
      <c r="N2712" t="s">
        <v>10708</v>
      </c>
      <c r="P2712" t="s">
        <v>10754</v>
      </c>
      <c r="Q2712" t="s">
        <v>10775</v>
      </c>
      <c r="R2712" t="s">
        <v>10821</v>
      </c>
      <c r="T2712">
        <v>20200</v>
      </c>
      <c r="U2712">
        <v>1683.33</v>
      </c>
      <c r="V2712">
        <v>34</v>
      </c>
      <c r="W2712">
        <v>1</v>
      </c>
      <c r="X2712">
        <v>4</v>
      </c>
      <c r="Z2712">
        <v>66.95</v>
      </c>
      <c r="AA2712">
        <v>40.871425</v>
      </c>
      <c r="AB2712">
        <v>-73.89951499999999</v>
      </c>
      <c r="AD2712" t="s">
        <v>10839</v>
      </c>
      <c r="AF2712" t="s">
        <v>10844</v>
      </c>
      <c r="AG2712" t="s">
        <v>10859</v>
      </c>
      <c r="AH2712" t="s">
        <v>10865</v>
      </c>
      <c r="AI2712">
        <v>230</v>
      </c>
      <c r="AJ2712" t="s">
        <v>10210</v>
      </c>
      <c r="AL2712">
        <v>2</v>
      </c>
      <c r="AM2712" t="s">
        <v>10887</v>
      </c>
      <c r="AN2712" t="s">
        <v>10919</v>
      </c>
      <c r="AO2712" t="s">
        <v>11000</v>
      </c>
      <c r="AP2712" t="s">
        <v>11045</v>
      </c>
      <c r="AQ2712" t="s">
        <v>11126</v>
      </c>
      <c r="AR2712" t="s">
        <v>11295</v>
      </c>
      <c r="AS2712" t="s">
        <v>9926</v>
      </c>
      <c r="AT2712" t="s">
        <v>11641</v>
      </c>
      <c r="AV2712" t="s">
        <v>11656</v>
      </c>
      <c r="AW2712" t="s">
        <v>11645</v>
      </c>
      <c r="AX2712" t="s">
        <v>10838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</row>
    <row r="2713" spans="1:59">
      <c r="A2713" s="1">
        <f>HYPERLINK("https://lsnyc.legalserver.org/matter/dynamic-profile/view/1906713","19-1906713")</f>
        <v>0</v>
      </c>
      <c r="B2713" t="s">
        <v>2298</v>
      </c>
      <c r="C2713" t="s">
        <v>7081</v>
      </c>
      <c r="D2713" t="s">
        <v>9926</v>
      </c>
      <c r="E2713" t="s">
        <v>10075</v>
      </c>
      <c r="F2713">
        <v>10468</v>
      </c>
      <c r="G2713" t="s">
        <v>10090</v>
      </c>
      <c r="H2713" t="s">
        <v>10146</v>
      </c>
      <c r="I2713" t="s">
        <v>10169</v>
      </c>
      <c r="J2713" t="s">
        <v>10210</v>
      </c>
      <c r="K2713" t="s">
        <v>10217</v>
      </c>
      <c r="M2713" t="s">
        <v>10297</v>
      </c>
      <c r="N2713" t="s">
        <v>10651</v>
      </c>
      <c r="P2713" t="s">
        <v>10749</v>
      </c>
      <c r="Q2713" t="s">
        <v>10765</v>
      </c>
      <c r="R2713" t="s">
        <v>10823</v>
      </c>
      <c r="T2713">
        <v>85000</v>
      </c>
      <c r="U2713">
        <v>7083.33</v>
      </c>
      <c r="V2713">
        <v>49</v>
      </c>
      <c r="W2713">
        <v>5</v>
      </c>
      <c r="X2713">
        <v>1</v>
      </c>
      <c r="Z2713">
        <v>245.74</v>
      </c>
      <c r="AA2713">
        <v>40.865527</v>
      </c>
      <c r="AB2713">
        <v>-73.90040999999999</v>
      </c>
      <c r="AD2713" t="s">
        <v>10839</v>
      </c>
      <c r="AG2713" t="s">
        <v>10858</v>
      </c>
      <c r="AH2713" t="s">
        <v>10861</v>
      </c>
      <c r="AI2713">
        <v>230</v>
      </c>
      <c r="AJ2713" t="s">
        <v>10210</v>
      </c>
      <c r="AL2713">
        <v>2.2</v>
      </c>
      <c r="AM2713" t="s">
        <v>10887</v>
      </c>
      <c r="AN2713" t="s">
        <v>10907</v>
      </c>
      <c r="AO2713" t="s">
        <v>11000</v>
      </c>
      <c r="AP2713" t="s">
        <v>11045</v>
      </c>
      <c r="AR2713" t="s">
        <v>11257</v>
      </c>
      <c r="AS2713" t="s">
        <v>9926</v>
      </c>
      <c r="AT2713" t="s">
        <v>11641</v>
      </c>
      <c r="AX2713" t="s">
        <v>10838</v>
      </c>
      <c r="BA2713" t="s">
        <v>11738</v>
      </c>
      <c r="BB2713">
        <v>0</v>
      </c>
      <c r="BC2713">
        <v>0</v>
      </c>
      <c r="BD2713">
        <v>0</v>
      </c>
      <c r="BE2713">
        <v>0</v>
      </c>
      <c r="BF2713">
        <v>5</v>
      </c>
      <c r="BG2713">
        <v>0</v>
      </c>
    </row>
    <row r="2714" spans="1:59">
      <c r="A2714" s="1">
        <f>HYPERLINK("https://lsnyc.legalserver.org/matter/dynamic-profile/view/1906714","19-1906714")</f>
        <v>0</v>
      </c>
      <c r="B2714" t="s">
        <v>1508</v>
      </c>
      <c r="C2714" t="s">
        <v>6330</v>
      </c>
      <c r="D2714" t="s">
        <v>9928</v>
      </c>
      <c r="E2714" t="s">
        <v>10075</v>
      </c>
      <c r="F2714">
        <v>11236</v>
      </c>
      <c r="G2714" t="s">
        <v>10093</v>
      </c>
      <c r="H2714" t="s">
        <v>10146</v>
      </c>
      <c r="I2714" t="s">
        <v>10168</v>
      </c>
      <c r="J2714" t="s">
        <v>10213</v>
      </c>
      <c r="K2714" t="s">
        <v>10218</v>
      </c>
      <c r="L2714" t="s">
        <v>10155</v>
      </c>
      <c r="M2714" t="s">
        <v>10289</v>
      </c>
      <c r="N2714" t="s">
        <v>10698</v>
      </c>
      <c r="P2714" t="s">
        <v>10751</v>
      </c>
      <c r="Q2714" t="s">
        <v>10761</v>
      </c>
      <c r="R2714" t="s">
        <v>10824</v>
      </c>
      <c r="T2714">
        <v>36864</v>
      </c>
      <c r="U2714">
        <v>3072</v>
      </c>
      <c r="V2714">
        <v>59</v>
      </c>
      <c r="W2714">
        <v>3</v>
      </c>
      <c r="X2714">
        <v>0</v>
      </c>
      <c r="Y2714" t="s">
        <v>10829</v>
      </c>
      <c r="Z2714">
        <v>172.83</v>
      </c>
      <c r="AA2714">
        <v>40.630937</v>
      </c>
      <c r="AB2714">
        <v>-73.888898</v>
      </c>
      <c r="AD2714" t="s">
        <v>10839</v>
      </c>
      <c r="AG2714" t="s">
        <v>10858</v>
      </c>
      <c r="AH2714" t="s">
        <v>10868</v>
      </c>
      <c r="AI2714">
        <v>239</v>
      </c>
      <c r="AJ2714" t="s">
        <v>10213</v>
      </c>
      <c r="AK2714" t="s">
        <v>10838</v>
      </c>
      <c r="AL2714">
        <v>2</v>
      </c>
      <c r="AM2714" t="s">
        <v>10889</v>
      </c>
      <c r="AN2714" t="s">
        <v>10959</v>
      </c>
      <c r="AO2714" t="s">
        <v>11012</v>
      </c>
      <c r="AP2714" t="s">
        <v>11072</v>
      </c>
      <c r="AR2714" t="s">
        <v>11369</v>
      </c>
      <c r="AS2714" t="s">
        <v>11595</v>
      </c>
      <c r="AT2714" t="s">
        <v>11641</v>
      </c>
      <c r="AX2714" t="s">
        <v>10838</v>
      </c>
      <c r="AY2714" t="s">
        <v>10829</v>
      </c>
      <c r="AZ2714" t="s">
        <v>11682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</row>
    <row r="2715" spans="1:59">
      <c r="A2715" s="1">
        <f>HYPERLINK("https://lsnyc.legalserver.org/matter/dynamic-profile/view/1906715","19-1906715")</f>
        <v>0</v>
      </c>
      <c r="B2715" t="s">
        <v>2299</v>
      </c>
      <c r="C2715" t="s">
        <v>7082</v>
      </c>
      <c r="D2715" t="s">
        <v>9925</v>
      </c>
      <c r="E2715" t="s">
        <v>10075</v>
      </c>
      <c r="F2715">
        <v>10031</v>
      </c>
      <c r="G2715" t="s">
        <v>10089</v>
      </c>
      <c r="H2715" t="s">
        <v>10146</v>
      </c>
      <c r="J2715" t="s">
        <v>10209</v>
      </c>
      <c r="K2715" t="s">
        <v>10217</v>
      </c>
      <c r="M2715" t="s">
        <v>10483</v>
      </c>
      <c r="N2715" t="s">
        <v>10650</v>
      </c>
      <c r="P2715" t="s">
        <v>10749</v>
      </c>
      <c r="Q2715" t="s">
        <v>10765</v>
      </c>
      <c r="R2715" t="s">
        <v>10821</v>
      </c>
      <c r="T2715">
        <v>18200</v>
      </c>
      <c r="U2715">
        <v>1516.67</v>
      </c>
      <c r="V2715">
        <v>51</v>
      </c>
      <c r="W2715">
        <v>5</v>
      </c>
      <c r="X2715">
        <v>1</v>
      </c>
      <c r="Z2715">
        <v>52.62</v>
      </c>
      <c r="AA2715">
        <v>40.824742</v>
      </c>
      <c r="AB2715">
        <v>-73.949966</v>
      </c>
      <c r="AD2715" t="s">
        <v>10839</v>
      </c>
      <c r="AF2715" t="s">
        <v>10844</v>
      </c>
      <c r="AG2715" t="s">
        <v>10859</v>
      </c>
      <c r="AH2715" t="s">
        <v>10862</v>
      </c>
      <c r="AI2715">
        <v>236</v>
      </c>
      <c r="AJ2715" t="s">
        <v>10209</v>
      </c>
      <c r="AL2715">
        <v>7.1</v>
      </c>
      <c r="AM2715" t="s">
        <v>10887</v>
      </c>
      <c r="AN2715" t="s">
        <v>10943</v>
      </c>
      <c r="AO2715" t="s">
        <v>11019</v>
      </c>
      <c r="AP2715" t="s">
        <v>11073</v>
      </c>
      <c r="AR2715" t="s">
        <v>11257</v>
      </c>
      <c r="AS2715" t="s">
        <v>9925</v>
      </c>
      <c r="AT2715" t="s">
        <v>11641</v>
      </c>
      <c r="AX2715" t="s">
        <v>10838</v>
      </c>
      <c r="BA2715" t="s">
        <v>11737</v>
      </c>
      <c r="BB2715">
        <v>0</v>
      </c>
      <c r="BC2715">
        <v>0</v>
      </c>
      <c r="BD2715">
        <v>0</v>
      </c>
      <c r="BE2715">
        <v>0</v>
      </c>
      <c r="BF2715">
        <v>3</v>
      </c>
      <c r="BG2715">
        <v>0</v>
      </c>
    </row>
    <row r="2716" spans="1:59">
      <c r="A2716" s="1">
        <f>HYPERLINK("https://lsnyc.legalserver.org/matter/dynamic-profile/view/1906716","19-1906716")</f>
        <v>0</v>
      </c>
      <c r="B2716" t="s">
        <v>2300</v>
      </c>
      <c r="C2716" t="s">
        <v>7083</v>
      </c>
      <c r="D2716" t="s">
        <v>9928</v>
      </c>
      <c r="E2716" t="s">
        <v>10075</v>
      </c>
      <c r="F2716">
        <v>11206</v>
      </c>
      <c r="G2716" t="s">
        <v>10093</v>
      </c>
      <c r="H2716" t="s">
        <v>10146</v>
      </c>
      <c r="I2716" t="s">
        <v>10168</v>
      </c>
      <c r="J2716" t="s">
        <v>10213</v>
      </c>
      <c r="K2716" t="s">
        <v>10217</v>
      </c>
      <c r="M2716" t="s">
        <v>10359</v>
      </c>
      <c r="N2716" t="s">
        <v>10664</v>
      </c>
      <c r="P2716" t="s">
        <v>10749</v>
      </c>
      <c r="Q2716" t="s">
        <v>10767</v>
      </c>
      <c r="R2716" t="s">
        <v>10824</v>
      </c>
      <c r="T2716">
        <v>8316</v>
      </c>
      <c r="U2716">
        <v>693</v>
      </c>
      <c r="V2716">
        <v>43</v>
      </c>
      <c r="W2716">
        <v>1</v>
      </c>
      <c r="X2716">
        <v>0</v>
      </c>
      <c r="Z2716">
        <v>66.58</v>
      </c>
      <c r="AA2716">
        <v>40.703751</v>
      </c>
      <c r="AB2716">
        <v>-73.939751</v>
      </c>
      <c r="AD2716" t="s">
        <v>10839</v>
      </c>
      <c r="AG2716" t="s">
        <v>10858</v>
      </c>
      <c r="AH2716" t="s">
        <v>10862</v>
      </c>
      <c r="AI2716">
        <v>239</v>
      </c>
      <c r="AJ2716" t="s">
        <v>10213</v>
      </c>
      <c r="AL2716">
        <v>0</v>
      </c>
      <c r="AM2716" t="s">
        <v>10886</v>
      </c>
      <c r="AN2716" t="s">
        <v>10942</v>
      </c>
      <c r="AO2716" t="s">
        <v>11011</v>
      </c>
      <c r="AP2716" t="s">
        <v>11071</v>
      </c>
      <c r="AR2716" t="s">
        <v>11263</v>
      </c>
      <c r="AS2716" t="s">
        <v>11595</v>
      </c>
      <c r="BA2716" t="s">
        <v>11741</v>
      </c>
      <c r="BB2716">
        <v>0</v>
      </c>
      <c r="BC2716">
        <v>0</v>
      </c>
      <c r="BD2716">
        <v>0</v>
      </c>
      <c r="BE2716">
        <v>0</v>
      </c>
      <c r="BF2716">
        <v>1</v>
      </c>
      <c r="BG2716">
        <v>0</v>
      </c>
    </row>
    <row r="2717" spans="1:59">
      <c r="A2717" s="1">
        <f>HYPERLINK("https://lsnyc.legalserver.org/matter/dynamic-profile/view/1906717","19-1906717")</f>
        <v>0</v>
      </c>
      <c r="B2717" t="s">
        <v>2301</v>
      </c>
      <c r="C2717" t="s">
        <v>7084</v>
      </c>
      <c r="D2717" t="s">
        <v>9925</v>
      </c>
      <c r="E2717" t="s">
        <v>10075</v>
      </c>
      <c r="F2717">
        <v>10040</v>
      </c>
      <c r="G2717" t="s">
        <v>10091</v>
      </c>
      <c r="H2717" t="s">
        <v>10146</v>
      </c>
      <c r="I2717" t="s">
        <v>10168</v>
      </c>
      <c r="J2717" t="s">
        <v>10211</v>
      </c>
      <c r="K2717" t="s">
        <v>10217</v>
      </c>
      <c r="M2717" t="s">
        <v>10231</v>
      </c>
      <c r="N2717" t="s">
        <v>10647</v>
      </c>
      <c r="P2717" t="s">
        <v>10752</v>
      </c>
      <c r="Q2717" t="s">
        <v>10762</v>
      </c>
      <c r="R2717" t="s">
        <v>10820</v>
      </c>
      <c r="T2717">
        <v>30000</v>
      </c>
      <c r="U2717">
        <v>2500</v>
      </c>
      <c r="V2717">
        <v>53</v>
      </c>
      <c r="W2717">
        <v>2</v>
      </c>
      <c r="X2717">
        <v>2</v>
      </c>
      <c r="Z2717">
        <v>116.5</v>
      </c>
      <c r="AA2717">
        <v>40.856292</v>
      </c>
      <c r="AB2717">
        <v>-73.935671</v>
      </c>
      <c r="AC2717" t="s">
        <v>10837</v>
      </c>
      <c r="AD2717" t="s">
        <v>10840</v>
      </c>
      <c r="AG2717" t="s">
        <v>10858</v>
      </c>
      <c r="AH2717" t="s">
        <v>10861</v>
      </c>
      <c r="AI2717">
        <v>234</v>
      </c>
      <c r="AJ2717" t="s">
        <v>10214</v>
      </c>
      <c r="AL2717">
        <v>1.1</v>
      </c>
      <c r="AM2717" t="s">
        <v>10887</v>
      </c>
      <c r="AN2717" t="s">
        <v>10943</v>
      </c>
      <c r="AO2717" t="s">
        <v>11019</v>
      </c>
      <c r="AP2717" t="s">
        <v>11074</v>
      </c>
      <c r="AR2717" t="s">
        <v>11297</v>
      </c>
      <c r="AS2717" t="s">
        <v>9925</v>
      </c>
      <c r="AT2717" t="s">
        <v>11642</v>
      </c>
      <c r="AX2717" t="s">
        <v>10838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</row>
    <row r="2718" spans="1:59">
      <c r="A2718" s="1">
        <f>HYPERLINK("https://lsnyc.legalserver.org/matter/dynamic-profile/view/1906718","19-1906718")</f>
        <v>0</v>
      </c>
      <c r="B2718" t="s">
        <v>2302</v>
      </c>
      <c r="C2718" t="s">
        <v>7085</v>
      </c>
      <c r="D2718" t="s">
        <v>9952</v>
      </c>
      <c r="E2718" t="s">
        <v>10075</v>
      </c>
      <c r="F2718">
        <v>11429</v>
      </c>
      <c r="G2718" t="s">
        <v>10092</v>
      </c>
      <c r="H2718" t="s">
        <v>10146</v>
      </c>
      <c r="I2718" t="s">
        <v>10168</v>
      </c>
      <c r="J2718" t="s">
        <v>10212</v>
      </c>
      <c r="K2718" t="s">
        <v>10217</v>
      </c>
      <c r="M2718" t="s">
        <v>10473</v>
      </c>
      <c r="N2718" t="s">
        <v>10678</v>
      </c>
      <c r="P2718" t="s">
        <v>10749</v>
      </c>
      <c r="Q2718" t="s">
        <v>10769</v>
      </c>
      <c r="R2718" t="s">
        <v>10825</v>
      </c>
      <c r="T2718">
        <v>33740</v>
      </c>
      <c r="U2718">
        <v>2811.67</v>
      </c>
      <c r="V2718">
        <v>63</v>
      </c>
      <c r="W2718">
        <v>1</v>
      </c>
      <c r="X2718">
        <v>0</v>
      </c>
      <c r="Z2718">
        <v>270.14</v>
      </c>
      <c r="AA2718">
        <v>40.709497</v>
      </c>
      <c r="AB2718">
        <v>-73.728685</v>
      </c>
      <c r="AD2718" t="s">
        <v>10839</v>
      </c>
      <c r="AG2718" t="s">
        <v>10858</v>
      </c>
      <c r="AH2718" t="s">
        <v>10871</v>
      </c>
      <c r="AI2718">
        <v>234</v>
      </c>
      <c r="AJ2718" t="s">
        <v>10214</v>
      </c>
      <c r="AL2718">
        <v>43.2</v>
      </c>
      <c r="AM2718" t="s">
        <v>10892</v>
      </c>
      <c r="AN2718" t="s">
        <v>10940</v>
      </c>
      <c r="AO2718" t="s">
        <v>11020</v>
      </c>
      <c r="AP2718" t="s">
        <v>11075</v>
      </c>
      <c r="AR2718" t="s">
        <v>11470</v>
      </c>
      <c r="AS2718" t="s">
        <v>11594</v>
      </c>
      <c r="AT2718" t="s">
        <v>11641</v>
      </c>
      <c r="AX2718" t="s">
        <v>10838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</row>
    <row r="2719" spans="1:59">
      <c r="A2719" s="1">
        <f>HYPERLINK("https://lsnyc.legalserver.org/matter/dynamic-profile/view/1906719","19-1906719")</f>
        <v>0</v>
      </c>
      <c r="B2719" t="s">
        <v>309</v>
      </c>
      <c r="C2719" t="s">
        <v>5238</v>
      </c>
      <c r="D2719" t="s">
        <v>9928</v>
      </c>
      <c r="E2719" t="s">
        <v>10075</v>
      </c>
      <c r="F2719">
        <v>11220</v>
      </c>
      <c r="G2719" t="s">
        <v>10093</v>
      </c>
      <c r="H2719" t="s">
        <v>10146</v>
      </c>
      <c r="I2719" t="s">
        <v>10168</v>
      </c>
      <c r="J2719" t="s">
        <v>10213</v>
      </c>
      <c r="K2719" t="s">
        <v>10218</v>
      </c>
      <c r="L2719" t="s">
        <v>10153</v>
      </c>
      <c r="M2719" t="s">
        <v>10539</v>
      </c>
      <c r="N2719" t="s">
        <v>10664</v>
      </c>
      <c r="P2719" t="s">
        <v>10749</v>
      </c>
      <c r="Q2719" t="s">
        <v>10765</v>
      </c>
      <c r="R2719" t="s">
        <v>10824</v>
      </c>
      <c r="T2719">
        <v>10316.4</v>
      </c>
      <c r="U2719">
        <v>859.7</v>
      </c>
      <c r="V2719">
        <v>60</v>
      </c>
      <c r="W2719">
        <v>2</v>
      </c>
      <c r="X2719">
        <v>0</v>
      </c>
      <c r="Y2719" t="s">
        <v>10829</v>
      </c>
      <c r="Z2719">
        <v>61.01</v>
      </c>
      <c r="AA2719">
        <v>40.642075</v>
      </c>
      <c r="AB2719">
        <v>-74.02391299999999</v>
      </c>
      <c r="AD2719" t="s">
        <v>10839</v>
      </c>
      <c r="AG2719" t="s">
        <v>10858</v>
      </c>
      <c r="AH2719" t="s">
        <v>10862</v>
      </c>
      <c r="AI2719">
        <v>239</v>
      </c>
      <c r="AJ2719" t="s">
        <v>10213</v>
      </c>
      <c r="AK2719" t="s">
        <v>10882</v>
      </c>
      <c r="AL2719">
        <v>1.1</v>
      </c>
      <c r="AM2719" t="s">
        <v>10886</v>
      </c>
      <c r="AN2719" t="s">
        <v>10921</v>
      </c>
      <c r="AO2719" t="s">
        <v>11006</v>
      </c>
      <c r="AP2719" t="s">
        <v>11069</v>
      </c>
      <c r="AR2719" t="s">
        <v>11298</v>
      </c>
      <c r="AS2719" t="s">
        <v>11595</v>
      </c>
      <c r="AY2719" t="s">
        <v>10829</v>
      </c>
      <c r="AZ2719" t="s">
        <v>11681</v>
      </c>
      <c r="BA2719" t="s">
        <v>11741</v>
      </c>
      <c r="BB2719">
        <v>0</v>
      </c>
      <c r="BC2719">
        <v>0</v>
      </c>
      <c r="BD2719">
        <v>0</v>
      </c>
      <c r="BE2719">
        <v>0</v>
      </c>
      <c r="BF2719">
        <v>1</v>
      </c>
      <c r="BG2719">
        <v>0</v>
      </c>
    </row>
    <row r="2720" spans="1:59">
      <c r="A2720" s="1">
        <f>HYPERLINK("https://lsnyc.legalserver.org/matter/dynamic-profile/view/1906720","19-1906720")</f>
        <v>0</v>
      </c>
      <c r="B2720" t="s">
        <v>2303</v>
      </c>
      <c r="C2720" t="s">
        <v>7086</v>
      </c>
      <c r="D2720" t="s">
        <v>9928</v>
      </c>
      <c r="E2720" t="s">
        <v>10075</v>
      </c>
      <c r="F2720">
        <v>11213</v>
      </c>
      <c r="G2720" t="s">
        <v>10093</v>
      </c>
      <c r="H2720" t="s">
        <v>10146</v>
      </c>
      <c r="I2720" t="s">
        <v>10168</v>
      </c>
      <c r="J2720" t="s">
        <v>10213</v>
      </c>
      <c r="K2720" t="s">
        <v>10218</v>
      </c>
      <c r="L2720" t="s">
        <v>10153</v>
      </c>
      <c r="M2720" t="s">
        <v>10317</v>
      </c>
      <c r="N2720" t="s">
        <v>10644</v>
      </c>
      <c r="P2720" t="s">
        <v>10751</v>
      </c>
      <c r="Q2720" t="s">
        <v>10761</v>
      </c>
      <c r="R2720" t="s">
        <v>10824</v>
      </c>
      <c r="T2720">
        <v>13520</v>
      </c>
      <c r="U2720">
        <v>1126.67</v>
      </c>
      <c r="V2720">
        <v>63</v>
      </c>
      <c r="W2720">
        <v>1</v>
      </c>
      <c r="X2720">
        <v>0</v>
      </c>
      <c r="Y2720" t="s">
        <v>10829</v>
      </c>
      <c r="Z2720">
        <v>108.25</v>
      </c>
      <c r="AA2720">
        <v>40.67619</v>
      </c>
      <c r="AB2720">
        <v>-73.946499</v>
      </c>
      <c r="AD2720" t="s">
        <v>10840</v>
      </c>
      <c r="AG2720" t="s">
        <v>10858</v>
      </c>
      <c r="AH2720" t="s">
        <v>10861</v>
      </c>
      <c r="AI2720">
        <v>234</v>
      </c>
      <c r="AJ2720" t="s">
        <v>10214</v>
      </c>
      <c r="AK2720" t="s">
        <v>10838</v>
      </c>
      <c r="AL2720">
        <v>3.8</v>
      </c>
      <c r="AM2720" t="s">
        <v>10888</v>
      </c>
      <c r="AN2720" t="s">
        <v>10912</v>
      </c>
      <c r="AO2720" t="s">
        <v>11007</v>
      </c>
      <c r="AP2720" t="s">
        <v>11052</v>
      </c>
      <c r="AR2720" t="s">
        <v>11262</v>
      </c>
      <c r="AS2720" t="s">
        <v>11595</v>
      </c>
      <c r="AT2720" t="s">
        <v>11642</v>
      </c>
      <c r="AX2720" t="s">
        <v>10838</v>
      </c>
      <c r="AY2720" t="s">
        <v>10829</v>
      </c>
      <c r="AZ2720" t="s">
        <v>11682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</row>
    <row r="2721" spans="1:59">
      <c r="A2721" s="1">
        <f>HYPERLINK("https://lsnyc.legalserver.org/matter/dynamic-profile/view/1906721","19-1906721")</f>
        <v>0</v>
      </c>
      <c r="B2721" t="s">
        <v>1891</v>
      </c>
      <c r="C2721" t="s">
        <v>6685</v>
      </c>
      <c r="D2721" t="s">
        <v>9928</v>
      </c>
      <c r="E2721" t="s">
        <v>10075</v>
      </c>
      <c r="F2721">
        <v>11217</v>
      </c>
      <c r="G2721" t="s">
        <v>10093</v>
      </c>
      <c r="H2721" t="s">
        <v>10146</v>
      </c>
      <c r="I2721" t="s">
        <v>10168</v>
      </c>
      <c r="J2721" t="s">
        <v>10213</v>
      </c>
      <c r="K2721" t="s">
        <v>10217</v>
      </c>
      <c r="M2721" t="s">
        <v>10457</v>
      </c>
      <c r="N2721" t="s">
        <v>10698</v>
      </c>
      <c r="P2721" t="s">
        <v>10749</v>
      </c>
      <c r="Q2721" t="s">
        <v>10765</v>
      </c>
      <c r="R2721" t="s">
        <v>10824</v>
      </c>
      <c r="T2721">
        <v>10260</v>
      </c>
      <c r="U2721">
        <v>855</v>
      </c>
      <c r="V2721">
        <v>68</v>
      </c>
      <c r="W2721">
        <v>1</v>
      </c>
      <c r="X2721">
        <v>0</v>
      </c>
      <c r="Z2721">
        <v>82.15000000000001</v>
      </c>
      <c r="AA2721">
        <v>40.685549</v>
      </c>
      <c r="AB2721">
        <v>-73.980372</v>
      </c>
      <c r="AD2721" t="s">
        <v>10839</v>
      </c>
      <c r="AG2721" t="s">
        <v>10858</v>
      </c>
      <c r="AH2721" t="s">
        <v>10868</v>
      </c>
      <c r="AI2721">
        <v>239</v>
      </c>
      <c r="AJ2721" t="s">
        <v>10213</v>
      </c>
      <c r="AL2721">
        <v>14.75</v>
      </c>
      <c r="AR2721" t="s">
        <v>11268</v>
      </c>
      <c r="AS2721" t="s">
        <v>11595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</row>
    <row r="2722" spans="1:59">
      <c r="A2722" s="1">
        <f>HYPERLINK("https://lsnyc.legalserver.org/matter/dynamic-profile/view/1906722","19-1906722")</f>
        <v>0</v>
      </c>
      <c r="B2722" t="s">
        <v>2304</v>
      </c>
      <c r="C2722" t="s">
        <v>7087</v>
      </c>
      <c r="D2722" t="s">
        <v>9926</v>
      </c>
      <c r="E2722" t="s">
        <v>10075</v>
      </c>
      <c r="F2722">
        <v>10458</v>
      </c>
      <c r="G2722" t="s">
        <v>10090</v>
      </c>
      <c r="H2722" t="s">
        <v>10146</v>
      </c>
      <c r="I2722" t="s">
        <v>10168</v>
      </c>
      <c r="J2722" t="s">
        <v>10210</v>
      </c>
      <c r="K2722" t="s">
        <v>10218</v>
      </c>
      <c r="L2722" t="s">
        <v>10099</v>
      </c>
      <c r="M2722" t="s">
        <v>10346</v>
      </c>
      <c r="N2722" t="s">
        <v>10671</v>
      </c>
      <c r="P2722" t="s">
        <v>10751</v>
      </c>
      <c r="Q2722" t="s">
        <v>10786</v>
      </c>
      <c r="R2722" t="s">
        <v>10824</v>
      </c>
      <c r="T2722">
        <v>15652</v>
      </c>
      <c r="U2722">
        <v>1304.33</v>
      </c>
      <c r="V2722">
        <v>39</v>
      </c>
      <c r="W2722">
        <v>2</v>
      </c>
      <c r="X2722">
        <v>2</v>
      </c>
      <c r="Y2722" t="s">
        <v>10829</v>
      </c>
      <c r="Z2722">
        <v>60.78</v>
      </c>
      <c r="AA2722">
        <v>40.860126</v>
      </c>
      <c r="AB2722">
        <v>-73.893311</v>
      </c>
      <c r="AD2722" t="s">
        <v>10839</v>
      </c>
      <c r="AG2722" t="s">
        <v>10858</v>
      </c>
      <c r="AH2722" t="s">
        <v>10871</v>
      </c>
      <c r="AI2722">
        <v>234</v>
      </c>
      <c r="AJ2722" t="s">
        <v>10214</v>
      </c>
      <c r="AK2722" t="s">
        <v>10882</v>
      </c>
      <c r="AL2722">
        <v>2.5</v>
      </c>
      <c r="AM2722" t="s">
        <v>10884</v>
      </c>
      <c r="AN2722" t="s">
        <v>10907</v>
      </c>
      <c r="AO2722" t="s">
        <v>11000</v>
      </c>
      <c r="AP2722" t="s">
        <v>11056</v>
      </c>
      <c r="AR2722" t="s">
        <v>11257</v>
      </c>
      <c r="AS2722" t="s">
        <v>9926</v>
      </c>
      <c r="AT2722" t="s">
        <v>11641</v>
      </c>
      <c r="AX2722" t="s">
        <v>10838</v>
      </c>
      <c r="AY2722" t="s">
        <v>10829</v>
      </c>
      <c r="AZ2722" t="s">
        <v>11682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</row>
    <row r="2723" spans="1:59">
      <c r="A2723" s="1">
        <f>HYPERLINK("https://lsnyc.legalserver.org/matter/dynamic-profile/view/1906723","19-1906723")</f>
        <v>0</v>
      </c>
      <c r="B2723" t="s">
        <v>2305</v>
      </c>
      <c r="C2723" t="s">
        <v>7088</v>
      </c>
      <c r="D2723" t="s">
        <v>9926</v>
      </c>
      <c r="E2723" t="s">
        <v>10075</v>
      </c>
      <c r="F2723">
        <v>10457</v>
      </c>
      <c r="G2723" t="s">
        <v>10090</v>
      </c>
      <c r="H2723" t="s">
        <v>10146</v>
      </c>
      <c r="I2723" t="s">
        <v>10168</v>
      </c>
      <c r="J2723" t="s">
        <v>10210</v>
      </c>
      <c r="K2723" t="s">
        <v>10217</v>
      </c>
      <c r="M2723" t="s">
        <v>10319</v>
      </c>
      <c r="N2723" t="s">
        <v>10651</v>
      </c>
      <c r="P2723" t="s">
        <v>10749</v>
      </c>
      <c r="Q2723" t="s">
        <v>10765</v>
      </c>
      <c r="R2723" t="s">
        <v>10824</v>
      </c>
      <c r="T2723">
        <v>31200</v>
      </c>
      <c r="U2723">
        <v>2600</v>
      </c>
      <c r="V2723">
        <v>54</v>
      </c>
      <c r="W2723">
        <v>3</v>
      </c>
      <c r="X2723">
        <v>0</v>
      </c>
      <c r="Z2723">
        <v>146.27</v>
      </c>
      <c r="AA2723">
        <v>40.842208</v>
      </c>
      <c r="AB2723">
        <v>-73.91163299999999</v>
      </c>
      <c r="AC2723" t="s">
        <v>10837</v>
      </c>
      <c r="AD2723" t="s">
        <v>10840</v>
      </c>
      <c r="AG2723" t="s">
        <v>10858</v>
      </c>
      <c r="AH2723" t="s">
        <v>10862</v>
      </c>
      <c r="AI2723">
        <v>230</v>
      </c>
      <c r="AJ2723" t="s">
        <v>10210</v>
      </c>
      <c r="AL2723">
        <v>15.7</v>
      </c>
      <c r="AM2723" t="s">
        <v>10884</v>
      </c>
      <c r="AN2723" t="s">
        <v>10929</v>
      </c>
      <c r="AO2723" t="s">
        <v>11013</v>
      </c>
      <c r="AP2723" t="s">
        <v>11055</v>
      </c>
      <c r="AR2723" t="s">
        <v>11257</v>
      </c>
      <c r="AS2723" t="s">
        <v>9926</v>
      </c>
      <c r="AT2723" t="s">
        <v>11642</v>
      </c>
      <c r="AX2723" t="s">
        <v>10838</v>
      </c>
      <c r="BA2723" t="s">
        <v>11738</v>
      </c>
      <c r="BB2723">
        <v>0</v>
      </c>
      <c r="BC2723">
        <v>0</v>
      </c>
      <c r="BD2723">
        <v>0</v>
      </c>
      <c r="BE2723">
        <v>0</v>
      </c>
      <c r="BF2723">
        <v>5</v>
      </c>
      <c r="BG2723">
        <v>0</v>
      </c>
    </row>
    <row r="2724" spans="1:59">
      <c r="A2724" s="1">
        <f>HYPERLINK("https://lsnyc.legalserver.org/matter/dynamic-profile/view/1906724","19-1906724")</f>
        <v>0</v>
      </c>
      <c r="B2724" t="s">
        <v>2306</v>
      </c>
      <c r="C2724" t="s">
        <v>7089</v>
      </c>
      <c r="D2724" t="s">
        <v>10012</v>
      </c>
      <c r="E2724" t="s">
        <v>10075</v>
      </c>
      <c r="F2724">
        <v>11411</v>
      </c>
      <c r="G2724" t="s">
        <v>10092</v>
      </c>
      <c r="H2724" t="s">
        <v>10146</v>
      </c>
      <c r="I2724" t="s">
        <v>10168</v>
      </c>
      <c r="J2724" t="s">
        <v>10212</v>
      </c>
      <c r="K2724" t="s">
        <v>10218</v>
      </c>
      <c r="L2724" t="s">
        <v>10146</v>
      </c>
      <c r="M2724" t="s">
        <v>10364</v>
      </c>
      <c r="N2724" t="s">
        <v>10695</v>
      </c>
      <c r="P2724" t="s">
        <v>10749</v>
      </c>
      <c r="Q2724" t="s">
        <v>10765</v>
      </c>
      <c r="R2724" t="s">
        <v>10824</v>
      </c>
      <c r="T2724">
        <v>7560</v>
      </c>
      <c r="U2724">
        <v>630</v>
      </c>
      <c r="V2724">
        <v>65</v>
      </c>
      <c r="W2724">
        <v>2</v>
      </c>
      <c r="X2724">
        <v>0</v>
      </c>
      <c r="Y2724" t="s">
        <v>10829</v>
      </c>
      <c r="Z2724">
        <v>44.71</v>
      </c>
      <c r="AA2724">
        <v>40.700227</v>
      </c>
      <c r="AB2724">
        <v>-73.745667</v>
      </c>
      <c r="AD2724" t="s">
        <v>10839</v>
      </c>
      <c r="AG2724" t="s">
        <v>10858</v>
      </c>
      <c r="AH2724" t="s">
        <v>10862</v>
      </c>
      <c r="AI2724">
        <v>237</v>
      </c>
      <c r="AJ2724" t="s">
        <v>10212</v>
      </c>
      <c r="AK2724" t="s">
        <v>10882</v>
      </c>
      <c r="AL2724">
        <v>4.6</v>
      </c>
      <c r="AM2724" t="s">
        <v>10892</v>
      </c>
      <c r="AN2724" t="s">
        <v>10940</v>
      </c>
      <c r="AO2724" t="s">
        <v>11020</v>
      </c>
      <c r="AP2724" t="s">
        <v>11075</v>
      </c>
      <c r="AR2724" t="s">
        <v>11268</v>
      </c>
      <c r="AS2724" t="s">
        <v>11594</v>
      </c>
      <c r="AT2724" t="s">
        <v>11641</v>
      </c>
      <c r="AX2724" t="s">
        <v>10838</v>
      </c>
      <c r="AY2724" t="s">
        <v>10829</v>
      </c>
      <c r="AZ2724" t="s">
        <v>11681</v>
      </c>
      <c r="BA2724" t="s">
        <v>11741</v>
      </c>
      <c r="BB2724">
        <v>0</v>
      </c>
      <c r="BC2724">
        <v>0</v>
      </c>
      <c r="BD2724">
        <v>0</v>
      </c>
      <c r="BE2724">
        <v>0</v>
      </c>
      <c r="BF2724">
        <v>1</v>
      </c>
      <c r="BG2724">
        <v>0</v>
      </c>
    </row>
    <row r="2725" spans="1:59">
      <c r="A2725" s="1">
        <f>HYPERLINK("https://lsnyc.legalserver.org/matter/dynamic-profile/view/1906725","19-1906725")</f>
        <v>0</v>
      </c>
      <c r="B2725" t="s">
        <v>2266</v>
      </c>
      <c r="C2725" t="s">
        <v>7090</v>
      </c>
      <c r="D2725" t="s">
        <v>9925</v>
      </c>
      <c r="E2725" t="s">
        <v>10075</v>
      </c>
      <c r="F2725">
        <v>10030</v>
      </c>
      <c r="G2725" t="s">
        <v>10089</v>
      </c>
      <c r="H2725" t="s">
        <v>10146</v>
      </c>
      <c r="I2725" t="s">
        <v>10168</v>
      </c>
      <c r="J2725" t="s">
        <v>10209</v>
      </c>
      <c r="K2725" t="s">
        <v>10217</v>
      </c>
      <c r="M2725" t="s">
        <v>10301</v>
      </c>
      <c r="N2725" t="s">
        <v>10665</v>
      </c>
      <c r="P2725" t="s">
        <v>10751</v>
      </c>
      <c r="Q2725" t="s">
        <v>10773</v>
      </c>
      <c r="R2725" t="s">
        <v>10824</v>
      </c>
      <c r="T2725">
        <v>43000</v>
      </c>
      <c r="U2725">
        <v>3583.33</v>
      </c>
      <c r="V2725">
        <v>44</v>
      </c>
      <c r="W2725">
        <v>2</v>
      </c>
      <c r="X2725">
        <v>1</v>
      </c>
      <c r="Z2725">
        <v>201.59</v>
      </c>
      <c r="AA2725">
        <v>40.818591</v>
      </c>
      <c r="AB2725">
        <v>-73.940873</v>
      </c>
      <c r="AD2725" t="s">
        <v>10840</v>
      </c>
      <c r="AG2725" t="s">
        <v>10858</v>
      </c>
      <c r="AH2725" t="s">
        <v>10861</v>
      </c>
      <c r="AI2725">
        <v>234</v>
      </c>
      <c r="AJ2725" t="s">
        <v>10214</v>
      </c>
      <c r="AL2725">
        <v>3</v>
      </c>
      <c r="AM2725" t="s">
        <v>10887</v>
      </c>
      <c r="AN2725" t="s">
        <v>10936</v>
      </c>
      <c r="AO2725" t="s">
        <v>11016</v>
      </c>
      <c r="AP2725" t="s">
        <v>11076</v>
      </c>
      <c r="AQ2725" t="s">
        <v>11115</v>
      </c>
      <c r="AR2725" t="s">
        <v>11257</v>
      </c>
      <c r="AS2725" t="s">
        <v>9925</v>
      </c>
      <c r="AT2725" t="s">
        <v>11642</v>
      </c>
      <c r="AX2725" t="s">
        <v>10838</v>
      </c>
      <c r="BA2725" t="s">
        <v>11741</v>
      </c>
      <c r="BB2725">
        <v>0</v>
      </c>
      <c r="BC2725">
        <v>0</v>
      </c>
      <c r="BD2725">
        <v>0</v>
      </c>
      <c r="BE2725">
        <v>0</v>
      </c>
      <c r="BF2725">
        <v>1</v>
      </c>
      <c r="BG2725">
        <v>0</v>
      </c>
    </row>
    <row r="2726" spans="1:59">
      <c r="A2726" s="1">
        <f>HYPERLINK("https://lsnyc.legalserver.org/matter/dynamic-profile/view/1906726","19-1906726")</f>
        <v>0</v>
      </c>
      <c r="C2726" t="s">
        <v>7091</v>
      </c>
      <c r="D2726" t="s">
        <v>9955</v>
      </c>
      <c r="E2726" t="s">
        <v>10075</v>
      </c>
      <c r="F2726">
        <v>11692</v>
      </c>
      <c r="G2726" t="s">
        <v>10093</v>
      </c>
      <c r="H2726" t="s">
        <v>10146</v>
      </c>
      <c r="I2726" t="s">
        <v>10168</v>
      </c>
      <c r="J2726" t="s">
        <v>10213</v>
      </c>
      <c r="K2726" t="s">
        <v>10217</v>
      </c>
      <c r="M2726" t="s">
        <v>10330</v>
      </c>
      <c r="N2726" t="s">
        <v>10710</v>
      </c>
      <c r="P2726" t="s">
        <v>10750</v>
      </c>
      <c r="Q2726" t="s">
        <v>10760</v>
      </c>
      <c r="R2726" t="s">
        <v>10824</v>
      </c>
      <c r="T2726">
        <v>12000</v>
      </c>
      <c r="U2726">
        <v>1000</v>
      </c>
      <c r="V2726">
        <v>0</v>
      </c>
      <c r="W2726">
        <v>1</v>
      </c>
      <c r="X2726">
        <v>0</v>
      </c>
      <c r="Z2726">
        <v>96.08</v>
      </c>
      <c r="AA2726">
        <v>40.589432</v>
      </c>
      <c r="AB2726">
        <v>-73.804092</v>
      </c>
      <c r="AD2726" t="s">
        <v>10840</v>
      </c>
      <c r="AG2726" t="s">
        <v>10858</v>
      </c>
      <c r="AH2726" t="s">
        <v>10878</v>
      </c>
      <c r="AI2726">
        <v>239</v>
      </c>
      <c r="AJ2726" t="s">
        <v>10213</v>
      </c>
      <c r="AL2726">
        <v>3</v>
      </c>
      <c r="AM2726" t="s">
        <v>10892</v>
      </c>
      <c r="AN2726" t="s">
        <v>10930</v>
      </c>
      <c r="AO2726" t="s">
        <v>11017</v>
      </c>
      <c r="AP2726" t="s">
        <v>11082</v>
      </c>
      <c r="AQ2726" t="s">
        <v>11141</v>
      </c>
      <c r="AR2726" t="s">
        <v>11257</v>
      </c>
      <c r="AS2726" t="s">
        <v>11594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</row>
    <row r="2727" spans="1:59">
      <c r="A2727" s="1">
        <f>HYPERLINK("https://lsnyc.legalserver.org/matter/dynamic-profile/view/1906730","19-1906730")</f>
        <v>0</v>
      </c>
      <c r="B2727" t="s">
        <v>2307</v>
      </c>
      <c r="C2727" t="s">
        <v>7092</v>
      </c>
      <c r="D2727" t="s">
        <v>9938</v>
      </c>
      <c r="E2727" t="s">
        <v>10075</v>
      </c>
      <c r="F2727">
        <v>11435</v>
      </c>
      <c r="G2727" t="s">
        <v>10092</v>
      </c>
      <c r="H2727" t="s">
        <v>10146</v>
      </c>
      <c r="I2727" t="s">
        <v>10169</v>
      </c>
      <c r="J2727" t="s">
        <v>10212</v>
      </c>
      <c r="K2727" t="s">
        <v>10217</v>
      </c>
      <c r="M2727" t="s">
        <v>10547</v>
      </c>
      <c r="N2727" t="s">
        <v>10649</v>
      </c>
      <c r="P2727" t="s">
        <v>10753</v>
      </c>
      <c r="Q2727" t="s">
        <v>10763</v>
      </c>
      <c r="R2727" t="s">
        <v>10823</v>
      </c>
      <c r="T2727">
        <v>22176</v>
      </c>
      <c r="U2727">
        <v>1848</v>
      </c>
      <c r="V2727">
        <v>71</v>
      </c>
      <c r="W2727">
        <v>2</v>
      </c>
      <c r="X2727">
        <v>0</v>
      </c>
      <c r="Z2727">
        <v>131.14</v>
      </c>
      <c r="AA2727">
        <v>40.705114</v>
      </c>
      <c r="AB2727">
        <v>-73.806203</v>
      </c>
      <c r="AD2727" t="s">
        <v>10840</v>
      </c>
      <c r="AF2727" t="s">
        <v>10843</v>
      </c>
      <c r="AG2727" t="s">
        <v>10859</v>
      </c>
      <c r="AH2727" t="s">
        <v>10861</v>
      </c>
      <c r="AI2727">
        <v>234</v>
      </c>
      <c r="AJ2727" t="s">
        <v>10214</v>
      </c>
      <c r="AL2727">
        <v>1.35</v>
      </c>
      <c r="AM2727" t="s">
        <v>10892</v>
      </c>
      <c r="AN2727" t="s">
        <v>10951</v>
      </c>
      <c r="AO2727" t="s">
        <v>11020</v>
      </c>
      <c r="AP2727" t="s">
        <v>11081</v>
      </c>
      <c r="AR2727" t="s">
        <v>11300</v>
      </c>
      <c r="AS2727" t="s">
        <v>11594</v>
      </c>
      <c r="AT2727" t="s">
        <v>11642</v>
      </c>
      <c r="AX2727" t="s">
        <v>10838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</row>
    <row r="2728" spans="1:59">
      <c r="A2728" s="1">
        <f>HYPERLINK("https://lsnyc.legalserver.org/matter/dynamic-profile/view/1906732","19-1906732")</f>
        <v>0</v>
      </c>
      <c r="B2728" t="s">
        <v>2308</v>
      </c>
      <c r="C2728" t="s">
        <v>7093</v>
      </c>
      <c r="D2728" t="s">
        <v>9926</v>
      </c>
      <c r="E2728" t="s">
        <v>10075</v>
      </c>
      <c r="F2728">
        <v>10469</v>
      </c>
      <c r="G2728" t="s">
        <v>10090</v>
      </c>
      <c r="H2728" t="s">
        <v>10146</v>
      </c>
      <c r="I2728" t="s">
        <v>10168</v>
      </c>
      <c r="J2728" t="s">
        <v>10210</v>
      </c>
      <c r="K2728" t="s">
        <v>10217</v>
      </c>
      <c r="M2728" t="s">
        <v>10512</v>
      </c>
      <c r="N2728" t="s">
        <v>10708</v>
      </c>
      <c r="P2728" t="s">
        <v>10754</v>
      </c>
      <c r="Q2728" t="s">
        <v>10777</v>
      </c>
      <c r="R2728" t="s">
        <v>10824</v>
      </c>
      <c r="T2728">
        <v>0</v>
      </c>
      <c r="U2728">
        <v>0</v>
      </c>
      <c r="V2728">
        <v>41</v>
      </c>
      <c r="W2728">
        <v>1</v>
      </c>
      <c r="X2728">
        <v>2</v>
      </c>
      <c r="Z2728">
        <v>0</v>
      </c>
      <c r="AA2728">
        <v>40.87809</v>
      </c>
      <c r="AB2728">
        <v>-73.85264599999999</v>
      </c>
      <c r="AD2728" t="s">
        <v>10839</v>
      </c>
      <c r="AF2728" t="s">
        <v>10842</v>
      </c>
      <c r="AG2728" t="s">
        <v>10859</v>
      </c>
      <c r="AH2728" t="s">
        <v>10865</v>
      </c>
      <c r="AI2728">
        <v>230</v>
      </c>
      <c r="AJ2728" t="s">
        <v>10210</v>
      </c>
      <c r="AL2728">
        <v>13</v>
      </c>
      <c r="AM2728" t="s">
        <v>10893</v>
      </c>
      <c r="AN2728" t="s">
        <v>10956</v>
      </c>
      <c r="AO2728" t="s">
        <v>11010</v>
      </c>
      <c r="AP2728" t="s">
        <v>11085</v>
      </c>
      <c r="AQ2728" t="s">
        <v>11128</v>
      </c>
      <c r="AR2728" t="s">
        <v>11267</v>
      </c>
      <c r="AS2728" t="s">
        <v>9926</v>
      </c>
      <c r="AT2728" t="s">
        <v>11641</v>
      </c>
      <c r="AV2728" t="s">
        <v>11656</v>
      </c>
      <c r="AW2728" t="s">
        <v>11645</v>
      </c>
      <c r="AX2728" t="s">
        <v>10838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</row>
    <row r="2729" spans="1:59">
      <c r="A2729" s="1">
        <f>HYPERLINK("https://lsnyc.legalserver.org/matter/dynamic-profile/view/1906733","19-1906733")</f>
        <v>0</v>
      </c>
      <c r="B2729" t="s">
        <v>2309</v>
      </c>
      <c r="C2729" t="s">
        <v>7094</v>
      </c>
      <c r="D2729" t="s">
        <v>9926</v>
      </c>
      <c r="E2729" t="s">
        <v>10075</v>
      </c>
      <c r="F2729">
        <v>10460</v>
      </c>
      <c r="G2729" t="s">
        <v>10090</v>
      </c>
      <c r="H2729" t="s">
        <v>10146</v>
      </c>
      <c r="I2729" t="s">
        <v>10169</v>
      </c>
      <c r="J2729" t="s">
        <v>10210</v>
      </c>
      <c r="K2729" t="s">
        <v>10217</v>
      </c>
      <c r="M2729" t="s">
        <v>10519</v>
      </c>
      <c r="N2729" t="s">
        <v>10723</v>
      </c>
      <c r="P2729" t="s">
        <v>10753</v>
      </c>
      <c r="Q2729" t="s">
        <v>10809</v>
      </c>
      <c r="R2729" t="s">
        <v>10821</v>
      </c>
      <c r="T2729">
        <v>0</v>
      </c>
      <c r="U2729">
        <v>0</v>
      </c>
      <c r="V2729">
        <v>34</v>
      </c>
      <c r="W2729">
        <v>1</v>
      </c>
      <c r="X2729">
        <v>1</v>
      </c>
      <c r="Z2729">
        <v>0</v>
      </c>
      <c r="AA2729">
        <v>40.837928</v>
      </c>
      <c r="AB2729">
        <v>-73.867462</v>
      </c>
      <c r="AD2729" t="s">
        <v>10839</v>
      </c>
      <c r="AF2729" t="s">
        <v>10842</v>
      </c>
      <c r="AG2729" t="s">
        <v>10859</v>
      </c>
      <c r="AH2729" t="s">
        <v>10864</v>
      </c>
      <c r="AI2729">
        <v>230</v>
      </c>
      <c r="AJ2729" t="s">
        <v>10210</v>
      </c>
      <c r="AL2729">
        <v>3.2</v>
      </c>
      <c r="AM2729" t="s">
        <v>10884</v>
      </c>
      <c r="AN2729" t="s">
        <v>10908</v>
      </c>
      <c r="AO2729" t="s">
        <v>11000</v>
      </c>
      <c r="AP2729" t="s">
        <v>11046</v>
      </c>
      <c r="AQ2729" t="s">
        <v>11180</v>
      </c>
      <c r="AR2729" t="s">
        <v>11267</v>
      </c>
      <c r="AS2729" t="s">
        <v>9926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</row>
    <row r="2730" spans="1:59">
      <c r="A2730" s="1">
        <f>HYPERLINK("https://lsnyc.legalserver.org/matter/dynamic-profile/view/1906734","19-1906734")</f>
        <v>0</v>
      </c>
      <c r="B2730" t="s">
        <v>2310</v>
      </c>
      <c r="C2730" t="s">
        <v>7095</v>
      </c>
      <c r="D2730" t="s">
        <v>9926</v>
      </c>
      <c r="E2730" t="s">
        <v>10075</v>
      </c>
      <c r="F2730">
        <v>10457</v>
      </c>
      <c r="G2730" t="s">
        <v>10090</v>
      </c>
      <c r="H2730" t="s">
        <v>10096</v>
      </c>
      <c r="I2730" t="s">
        <v>10168</v>
      </c>
      <c r="J2730" t="s">
        <v>10210</v>
      </c>
      <c r="K2730" t="s">
        <v>10217</v>
      </c>
      <c r="M2730" t="s">
        <v>10450</v>
      </c>
      <c r="N2730" t="s">
        <v>10650</v>
      </c>
      <c r="P2730" t="s">
        <v>10749</v>
      </c>
      <c r="Q2730" t="s">
        <v>10765</v>
      </c>
      <c r="R2730" t="s">
        <v>10824</v>
      </c>
      <c r="T2730">
        <v>9492</v>
      </c>
      <c r="U2730">
        <v>791</v>
      </c>
      <c r="V2730">
        <v>53</v>
      </c>
      <c r="W2730">
        <v>1</v>
      </c>
      <c r="X2730">
        <v>0</v>
      </c>
      <c r="Z2730">
        <v>76</v>
      </c>
      <c r="AA2730">
        <v>40.856156</v>
      </c>
      <c r="AB2730">
        <v>-73.899653</v>
      </c>
      <c r="AD2730" t="s">
        <v>10839</v>
      </c>
      <c r="AG2730" t="s">
        <v>10858</v>
      </c>
      <c r="AH2730" t="s">
        <v>10862</v>
      </c>
      <c r="AI2730">
        <v>230</v>
      </c>
      <c r="AJ2730" t="s">
        <v>10210</v>
      </c>
      <c r="AL2730">
        <v>0.3</v>
      </c>
      <c r="AM2730" t="s">
        <v>10884</v>
      </c>
      <c r="AN2730" t="s">
        <v>10931</v>
      </c>
      <c r="AO2730" t="s">
        <v>11000</v>
      </c>
      <c r="AP2730" t="s">
        <v>11056</v>
      </c>
      <c r="AR2730" t="s">
        <v>11258</v>
      </c>
      <c r="AS2730" t="s">
        <v>9926</v>
      </c>
      <c r="AT2730" t="s">
        <v>11641</v>
      </c>
      <c r="BA2730" t="s">
        <v>11741</v>
      </c>
      <c r="BB2730">
        <v>0</v>
      </c>
      <c r="BC2730">
        <v>0</v>
      </c>
      <c r="BD2730">
        <v>0</v>
      </c>
      <c r="BE2730">
        <v>0</v>
      </c>
      <c r="BF2730">
        <v>1</v>
      </c>
      <c r="BG2730">
        <v>0</v>
      </c>
    </row>
    <row r="2731" spans="1:59">
      <c r="A2731" s="1">
        <f>HYPERLINK("https://lsnyc.legalserver.org/matter/dynamic-profile/view/1906736","19-1906736")</f>
        <v>0</v>
      </c>
      <c r="B2731" t="s">
        <v>2311</v>
      </c>
      <c r="C2731" t="s">
        <v>7096</v>
      </c>
      <c r="D2731" t="s">
        <v>9926</v>
      </c>
      <c r="E2731" t="s">
        <v>10075</v>
      </c>
      <c r="F2731">
        <v>10452</v>
      </c>
      <c r="G2731" t="s">
        <v>10090</v>
      </c>
      <c r="H2731" t="s">
        <v>10146</v>
      </c>
      <c r="I2731" t="s">
        <v>10169</v>
      </c>
      <c r="J2731" t="s">
        <v>10210</v>
      </c>
      <c r="K2731" t="s">
        <v>10217</v>
      </c>
      <c r="M2731" t="s">
        <v>10336</v>
      </c>
      <c r="N2731" t="s">
        <v>10677</v>
      </c>
      <c r="P2731" t="s">
        <v>10754</v>
      </c>
      <c r="Q2731" t="s">
        <v>10770</v>
      </c>
      <c r="R2731" t="s">
        <v>10821</v>
      </c>
      <c r="T2731">
        <v>20800</v>
      </c>
      <c r="U2731">
        <v>1733.33</v>
      </c>
      <c r="V2731">
        <v>65</v>
      </c>
      <c r="W2731">
        <v>1</v>
      </c>
      <c r="X2731">
        <v>0</v>
      </c>
      <c r="Z2731">
        <v>166.53</v>
      </c>
      <c r="AA2731">
        <v>40.835538</v>
      </c>
      <c r="AB2731">
        <v>-73.92399500000001</v>
      </c>
      <c r="AD2731" t="s">
        <v>10840</v>
      </c>
      <c r="AF2731" t="s">
        <v>10843</v>
      </c>
      <c r="AG2731" t="s">
        <v>10859</v>
      </c>
      <c r="AH2731" t="s">
        <v>10861</v>
      </c>
      <c r="AI2731">
        <v>234</v>
      </c>
      <c r="AJ2731" t="s">
        <v>10214</v>
      </c>
      <c r="AL2731">
        <v>1.6</v>
      </c>
      <c r="AM2731" t="s">
        <v>10884</v>
      </c>
      <c r="AN2731" t="s">
        <v>10924</v>
      </c>
      <c r="AO2731" t="s">
        <v>11013</v>
      </c>
      <c r="AP2731" t="s">
        <v>11055</v>
      </c>
      <c r="AQ2731" t="s">
        <v>11206</v>
      </c>
      <c r="AR2731" t="s">
        <v>11257</v>
      </c>
      <c r="AS2731" t="s">
        <v>9926</v>
      </c>
      <c r="AT2731" t="s">
        <v>11642</v>
      </c>
      <c r="AX2731" t="s">
        <v>10838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</row>
    <row r="2732" spans="1:59">
      <c r="A2732" s="1">
        <f>HYPERLINK("https://lsnyc.legalserver.org/matter/dynamic-profile/view/1906737","19-1906737")</f>
        <v>0</v>
      </c>
      <c r="B2732" t="s">
        <v>2312</v>
      </c>
      <c r="C2732" t="s">
        <v>7097</v>
      </c>
      <c r="D2732" t="s">
        <v>9926</v>
      </c>
      <c r="E2732" t="s">
        <v>10075</v>
      </c>
      <c r="F2732">
        <v>10452</v>
      </c>
      <c r="G2732" t="s">
        <v>10090</v>
      </c>
      <c r="H2732" t="s">
        <v>10146</v>
      </c>
      <c r="I2732" t="s">
        <v>10168</v>
      </c>
      <c r="J2732" t="s">
        <v>10210</v>
      </c>
      <c r="K2732" t="s">
        <v>10218</v>
      </c>
      <c r="L2732" t="s">
        <v>10113</v>
      </c>
      <c r="M2732" t="s">
        <v>10234</v>
      </c>
      <c r="N2732" t="s">
        <v>10650</v>
      </c>
      <c r="P2732" t="s">
        <v>10749</v>
      </c>
      <c r="Q2732" t="s">
        <v>10765</v>
      </c>
      <c r="R2732" t="s">
        <v>10822</v>
      </c>
      <c r="T2732">
        <v>0</v>
      </c>
      <c r="U2732">
        <v>0</v>
      </c>
      <c r="V2732">
        <v>52</v>
      </c>
      <c r="W2732">
        <v>1</v>
      </c>
      <c r="X2732">
        <v>0</v>
      </c>
      <c r="Y2732" t="s">
        <v>10829</v>
      </c>
      <c r="Z2732">
        <v>0</v>
      </c>
      <c r="AA2732">
        <v>40.846145</v>
      </c>
      <c r="AB2732">
        <v>-73.915814</v>
      </c>
      <c r="AD2732" t="s">
        <v>10839</v>
      </c>
      <c r="AG2732" t="s">
        <v>10858</v>
      </c>
      <c r="AH2732" t="s">
        <v>10862</v>
      </c>
      <c r="AI2732">
        <v>230</v>
      </c>
      <c r="AJ2732" t="s">
        <v>10210</v>
      </c>
      <c r="AK2732" t="s">
        <v>10838</v>
      </c>
      <c r="AL2732">
        <v>1</v>
      </c>
      <c r="AM2732" t="s">
        <v>10884</v>
      </c>
      <c r="AN2732" t="s">
        <v>10929</v>
      </c>
      <c r="AO2732" t="s">
        <v>11013</v>
      </c>
      <c r="AP2732" t="s">
        <v>11045</v>
      </c>
      <c r="AR2732" t="s">
        <v>11471</v>
      </c>
      <c r="AS2732" t="s">
        <v>9926</v>
      </c>
      <c r="AV2732" t="s">
        <v>11641</v>
      </c>
      <c r="AY2732" t="s">
        <v>10829</v>
      </c>
      <c r="AZ2732" t="s">
        <v>11681</v>
      </c>
      <c r="BA2732" t="s">
        <v>11741</v>
      </c>
      <c r="BB2732">
        <v>0</v>
      </c>
      <c r="BC2732">
        <v>0</v>
      </c>
      <c r="BD2732">
        <v>0</v>
      </c>
      <c r="BE2732">
        <v>0</v>
      </c>
      <c r="BF2732">
        <v>1</v>
      </c>
      <c r="BG2732">
        <v>0</v>
      </c>
    </row>
    <row r="2733" spans="1:59">
      <c r="A2733" s="1">
        <f>HYPERLINK("https://lsnyc.legalserver.org/matter/dynamic-profile/view/1906738","19-1906738")</f>
        <v>0</v>
      </c>
      <c r="B2733" t="s">
        <v>2313</v>
      </c>
      <c r="C2733" t="s">
        <v>7098</v>
      </c>
      <c r="D2733" t="s">
        <v>9941</v>
      </c>
      <c r="E2733" t="s">
        <v>10075</v>
      </c>
      <c r="F2733">
        <v>11427</v>
      </c>
      <c r="G2733" t="s">
        <v>10092</v>
      </c>
      <c r="H2733" t="s">
        <v>10146</v>
      </c>
      <c r="I2733" t="s">
        <v>10169</v>
      </c>
      <c r="J2733" t="s">
        <v>10212</v>
      </c>
      <c r="K2733" t="s">
        <v>10217</v>
      </c>
      <c r="M2733" t="s">
        <v>10547</v>
      </c>
      <c r="N2733" t="s">
        <v>10671</v>
      </c>
      <c r="P2733" t="s">
        <v>10753</v>
      </c>
      <c r="Q2733" t="s">
        <v>10763</v>
      </c>
      <c r="R2733" t="s">
        <v>10823</v>
      </c>
      <c r="T2733">
        <v>15600</v>
      </c>
      <c r="U2733">
        <v>1300</v>
      </c>
      <c r="V2733">
        <v>39</v>
      </c>
      <c r="W2733">
        <v>1</v>
      </c>
      <c r="X2733">
        <v>0</v>
      </c>
      <c r="Z2733">
        <v>124.9</v>
      </c>
      <c r="AA2733">
        <v>40.727351</v>
      </c>
      <c r="AB2733">
        <v>-73.745323</v>
      </c>
      <c r="AD2733" t="s">
        <v>10840</v>
      </c>
      <c r="AF2733" t="s">
        <v>10843</v>
      </c>
      <c r="AG2733" t="s">
        <v>10859</v>
      </c>
      <c r="AH2733" t="s">
        <v>10861</v>
      </c>
      <c r="AI2733">
        <v>234</v>
      </c>
      <c r="AJ2733" t="s">
        <v>10214</v>
      </c>
      <c r="AL2733">
        <v>0.5</v>
      </c>
      <c r="AM2733" t="s">
        <v>10892</v>
      </c>
      <c r="AN2733" t="s">
        <v>10940</v>
      </c>
      <c r="AO2733" t="s">
        <v>11020</v>
      </c>
      <c r="AP2733" t="s">
        <v>11078</v>
      </c>
      <c r="AR2733" t="s">
        <v>11257</v>
      </c>
      <c r="AS2733" t="s">
        <v>11594</v>
      </c>
      <c r="AT2733" t="s">
        <v>11642</v>
      </c>
      <c r="AX2733" t="s">
        <v>10838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</row>
    <row r="2734" spans="1:59">
      <c r="A2734" s="1">
        <f>HYPERLINK("https://lsnyc.legalserver.org/matter/dynamic-profile/view/1906739","19-1906739")</f>
        <v>0</v>
      </c>
      <c r="B2734" t="s">
        <v>2314</v>
      </c>
      <c r="C2734" t="s">
        <v>7099</v>
      </c>
      <c r="D2734" t="s">
        <v>9930</v>
      </c>
      <c r="E2734" t="s">
        <v>10075</v>
      </c>
      <c r="F2734">
        <v>11373</v>
      </c>
      <c r="G2734" t="s">
        <v>10092</v>
      </c>
      <c r="H2734" t="s">
        <v>10146</v>
      </c>
      <c r="I2734" t="s">
        <v>10169</v>
      </c>
      <c r="J2734" t="s">
        <v>10212</v>
      </c>
      <c r="K2734" t="s">
        <v>10217</v>
      </c>
      <c r="M2734" t="s">
        <v>10416</v>
      </c>
      <c r="N2734" t="s">
        <v>10678</v>
      </c>
      <c r="P2734" t="s">
        <v>10749</v>
      </c>
      <c r="Q2734" t="s">
        <v>10769</v>
      </c>
      <c r="R2734" t="s">
        <v>10821</v>
      </c>
      <c r="T2734">
        <v>26268</v>
      </c>
      <c r="U2734">
        <v>2189</v>
      </c>
      <c r="V2734">
        <v>67</v>
      </c>
      <c r="W2734">
        <v>2</v>
      </c>
      <c r="X2734">
        <v>0</v>
      </c>
      <c r="Z2734">
        <v>155.34</v>
      </c>
      <c r="AA2734">
        <v>40.736355</v>
      </c>
      <c r="AB2734">
        <v>-73.885976</v>
      </c>
      <c r="AC2734" t="s">
        <v>10837</v>
      </c>
      <c r="AD2734" t="s">
        <v>10839</v>
      </c>
      <c r="AG2734" t="s">
        <v>10858</v>
      </c>
      <c r="AH2734" t="s">
        <v>10871</v>
      </c>
      <c r="AI2734">
        <v>234</v>
      </c>
      <c r="AJ2734" t="s">
        <v>10214</v>
      </c>
      <c r="AL2734">
        <v>1.6</v>
      </c>
      <c r="AM2734" t="s">
        <v>10890</v>
      </c>
      <c r="AN2734" t="s">
        <v>10949</v>
      </c>
      <c r="AO2734" t="s">
        <v>11009</v>
      </c>
      <c r="AP2734" t="s">
        <v>11053</v>
      </c>
      <c r="AR2734" t="s">
        <v>11472</v>
      </c>
      <c r="AS2734" t="s">
        <v>11594</v>
      </c>
      <c r="AT2734" t="s">
        <v>11641</v>
      </c>
      <c r="AX2734" t="s">
        <v>10838</v>
      </c>
      <c r="BA2734" t="s">
        <v>11741</v>
      </c>
      <c r="BB2734">
        <v>0</v>
      </c>
      <c r="BC2734">
        <v>0</v>
      </c>
      <c r="BD2734">
        <v>0</v>
      </c>
      <c r="BE2734">
        <v>0</v>
      </c>
      <c r="BF2734">
        <v>1</v>
      </c>
      <c r="BG2734">
        <v>0</v>
      </c>
    </row>
    <row r="2735" spans="1:59">
      <c r="A2735" s="1">
        <f>HYPERLINK("https://lsnyc.legalserver.org/matter/dynamic-profile/view/1906740","19-1906740")</f>
        <v>0</v>
      </c>
      <c r="B2735" t="s">
        <v>2315</v>
      </c>
      <c r="C2735" t="s">
        <v>7100</v>
      </c>
      <c r="D2735" t="s">
        <v>9928</v>
      </c>
      <c r="E2735" t="s">
        <v>10075</v>
      </c>
      <c r="F2735">
        <v>11225</v>
      </c>
      <c r="G2735" t="s">
        <v>10093</v>
      </c>
      <c r="H2735" t="s">
        <v>10146</v>
      </c>
      <c r="I2735" t="s">
        <v>10168</v>
      </c>
      <c r="J2735" t="s">
        <v>10213</v>
      </c>
      <c r="K2735" t="s">
        <v>10217</v>
      </c>
      <c r="M2735" t="s">
        <v>10265</v>
      </c>
      <c r="N2735" t="s">
        <v>10644</v>
      </c>
      <c r="P2735" t="s">
        <v>10751</v>
      </c>
      <c r="Q2735" t="s">
        <v>10761</v>
      </c>
      <c r="R2735" t="s">
        <v>10822</v>
      </c>
      <c r="T2735">
        <v>7200</v>
      </c>
      <c r="U2735">
        <v>600</v>
      </c>
      <c r="V2735">
        <v>65</v>
      </c>
      <c r="W2735">
        <v>1</v>
      </c>
      <c r="X2735">
        <v>0</v>
      </c>
      <c r="Z2735">
        <v>57.65</v>
      </c>
      <c r="AA2735">
        <v>40.668679</v>
      </c>
      <c r="AB2735">
        <v>-73.95944799999999</v>
      </c>
      <c r="AD2735" t="s">
        <v>10840</v>
      </c>
      <c r="AG2735" t="s">
        <v>10858</v>
      </c>
      <c r="AH2735" t="s">
        <v>10862</v>
      </c>
      <c r="AI2735">
        <v>239</v>
      </c>
      <c r="AJ2735" t="s">
        <v>10213</v>
      </c>
      <c r="AK2735" t="s">
        <v>10838</v>
      </c>
      <c r="AL2735">
        <v>8.550000000000001</v>
      </c>
      <c r="AM2735" t="s">
        <v>10888</v>
      </c>
      <c r="AN2735" t="s">
        <v>10923</v>
      </c>
      <c r="AO2735" t="s">
        <v>11005</v>
      </c>
      <c r="AP2735" t="s">
        <v>11061</v>
      </c>
      <c r="AR2735" t="s">
        <v>11253</v>
      </c>
      <c r="AS2735" t="s">
        <v>11595</v>
      </c>
      <c r="AZ2735" t="s">
        <v>11688</v>
      </c>
      <c r="BA2735" t="s">
        <v>11737</v>
      </c>
      <c r="BB2735">
        <v>0</v>
      </c>
      <c r="BC2735">
        <v>0</v>
      </c>
      <c r="BD2735">
        <v>0</v>
      </c>
      <c r="BE2735">
        <v>0</v>
      </c>
      <c r="BF2735">
        <v>3</v>
      </c>
      <c r="BG2735">
        <v>0</v>
      </c>
    </row>
    <row r="2736" spans="1:59">
      <c r="A2736" s="1">
        <f>HYPERLINK("https://lsnyc.legalserver.org/matter/dynamic-profile/view/1906741","19-1906741")</f>
        <v>0</v>
      </c>
      <c r="B2736" t="s">
        <v>2316</v>
      </c>
      <c r="C2736" t="s">
        <v>7101</v>
      </c>
      <c r="D2736" t="s">
        <v>9926</v>
      </c>
      <c r="E2736" t="s">
        <v>10075</v>
      </c>
      <c r="F2736">
        <v>10455</v>
      </c>
      <c r="G2736" t="s">
        <v>10090</v>
      </c>
      <c r="H2736" t="s">
        <v>10146</v>
      </c>
      <c r="I2736" t="s">
        <v>10168</v>
      </c>
      <c r="J2736" t="s">
        <v>10210</v>
      </c>
      <c r="K2736" t="s">
        <v>10217</v>
      </c>
      <c r="M2736" t="s">
        <v>10397</v>
      </c>
      <c r="N2736" t="s">
        <v>10650</v>
      </c>
      <c r="P2736" t="s">
        <v>10749</v>
      </c>
      <c r="Q2736" t="s">
        <v>10765</v>
      </c>
      <c r="R2736" t="s">
        <v>10828</v>
      </c>
      <c r="T2736">
        <v>10400</v>
      </c>
      <c r="U2736">
        <v>866.67</v>
      </c>
      <c r="V2736">
        <v>42</v>
      </c>
      <c r="W2736">
        <v>2</v>
      </c>
      <c r="X2736">
        <v>0</v>
      </c>
      <c r="Z2736">
        <v>61.5</v>
      </c>
      <c r="AA2736">
        <v>40.81463</v>
      </c>
      <c r="AB2736">
        <v>-73.898206</v>
      </c>
      <c r="AD2736" t="s">
        <v>10840</v>
      </c>
      <c r="AG2736" t="s">
        <v>10858</v>
      </c>
      <c r="AH2736" t="s">
        <v>10862</v>
      </c>
      <c r="AI2736">
        <v>230</v>
      </c>
      <c r="AJ2736" t="s">
        <v>10210</v>
      </c>
      <c r="AL2736">
        <v>12.25</v>
      </c>
      <c r="AM2736" t="s">
        <v>10884</v>
      </c>
      <c r="AN2736" t="s">
        <v>10968</v>
      </c>
      <c r="AO2736" t="s">
        <v>11001</v>
      </c>
      <c r="AP2736" t="s">
        <v>11066</v>
      </c>
      <c r="AR2736" t="s">
        <v>11400</v>
      </c>
      <c r="AS2736" t="s">
        <v>9926</v>
      </c>
      <c r="BA2736" t="s">
        <v>11738</v>
      </c>
      <c r="BB2736">
        <v>0</v>
      </c>
      <c r="BC2736">
        <v>0</v>
      </c>
      <c r="BD2736">
        <v>0</v>
      </c>
      <c r="BE2736">
        <v>0</v>
      </c>
      <c r="BF2736">
        <v>5</v>
      </c>
      <c r="BG2736">
        <v>0</v>
      </c>
    </row>
    <row r="2737" spans="1:59">
      <c r="A2737" s="1">
        <f>HYPERLINK("https://lsnyc.legalserver.org/matter/dynamic-profile/view/1906742","19-1906742")</f>
        <v>0</v>
      </c>
      <c r="B2737" t="s">
        <v>2317</v>
      </c>
      <c r="C2737" t="s">
        <v>7102</v>
      </c>
      <c r="D2737" t="s">
        <v>9929</v>
      </c>
      <c r="E2737" t="s">
        <v>10075</v>
      </c>
      <c r="F2737">
        <v>10310</v>
      </c>
      <c r="G2737" t="s">
        <v>10093</v>
      </c>
      <c r="H2737" t="s">
        <v>10146</v>
      </c>
      <c r="I2737" t="s">
        <v>10168</v>
      </c>
      <c r="J2737" t="s">
        <v>10213</v>
      </c>
      <c r="K2737" t="s">
        <v>10218</v>
      </c>
      <c r="L2737" t="s">
        <v>10098</v>
      </c>
      <c r="M2737" t="s">
        <v>10289</v>
      </c>
      <c r="N2737" t="s">
        <v>10671</v>
      </c>
      <c r="P2737" t="s">
        <v>10751</v>
      </c>
      <c r="Q2737" t="s">
        <v>10786</v>
      </c>
      <c r="R2737" t="s">
        <v>10824</v>
      </c>
      <c r="T2737">
        <v>18200</v>
      </c>
      <c r="U2737">
        <v>1516.67</v>
      </c>
      <c r="V2737">
        <v>45</v>
      </c>
      <c r="W2737">
        <v>1</v>
      </c>
      <c r="X2737">
        <v>0</v>
      </c>
      <c r="Y2737" t="s">
        <v>10829</v>
      </c>
      <c r="Z2737">
        <v>145.72</v>
      </c>
      <c r="AA2737">
        <v>40.632934</v>
      </c>
      <c r="AB2737">
        <v>-74.116219</v>
      </c>
      <c r="AD2737" t="s">
        <v>10840</v>
      </c>
      <c r="AG2737" t="s">
        <v>10858</v>
      </c>
      <c r="AH2737" t="s">
        <v>10874</v>
      </c>
      <c r="AI2737">
        <v>234</v>
      </c>
      <c r="AJ2737" t="s">
        <v>10214</v>
      </c>
      <c r="AK2737" t="s">
        <v>10838</v>
      </c>
      <c r="AL2737">
        <v>2.85</v>
      </c>
      <c r="AM2737" t="s">
        <v>10883</v>
      </c>
      <c r="AN2737" t="s">
        <v>10913</v>
      </c>
      <c r="AO2737" t="s">
        <v>11006</v>
      </c>
      <c r="AP2737" t="s">
        <v>11051</v>
      </c>
      <c r="AR2737" t="s">
        <v>11257</v>
      </c>
      <c r="AS2737" t="s">
        <v>11593</v>
      </c>
      <c r="AT2737" t="s">
        <v>11642</v>
      </c>
      <c r="AX2737" t="s">
        <v>10838</v>
      </c>
      <c r="AY2737" t="s">
        <v>10829</v>
      </c>
      <c r="AZ2737" t="s">
        <v>11682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</row>
    <row r="2738" spans="1:59">
      <c r="A2738" s="1">
        <f>HYPERLINK("https://lsnyc.legalserver.org/matter/dynamic-profile/view/1906743","19-1906743")</f>
        <v>0</v>
      </c>
      <c r="B2738" t="s">
        <v>2318</v>
      </c>
      <c r="C2738" t="s">
        <v>7103</v>
      </c>
      <c r="D2738" t="s">
        <v>9926</v>
      </c>
      <c r="E2738" t="s">
        <v>10075</v>
      </c>
      <c r="F2738">
        <v>10468</v>
      </c>
      <c r="G2738" t="s">
        <v>10093</v>
      </c>
      <c r="H2738" t="s">
        <v>10146</v>
      </c>
      <c r="I2738" t="s">
        <v>10168</v>
      </c>
      <c r="J2738" t="s">
        <v>10213</v>
      </c>
      <c r="K2738" t="s">
        <v>10218</v>
      </c>
      <c r="L2738" t="s">
        <v>10149</v>
      </c>
      <c r="M2738" t="s">
        <v>10436</v>
      </c>
      <c r="N2738" t="s">
        <v>10710</v>
      </c>
      <c r="P2738" t="s">
        <v>10750</v>
      </c>
      <c r="Q2738" t="s">
        <v>10760</v>
      </c>
      <c r="R2738" t="s">
        <v>10821</v>
      </c>
      <c r="T2738">
        <v>0</v>
      </c>
      <c r="U2738">
        <v>0</v>
      </c>
      <c r="V2738">
        <v>56</v>
      </c>
      <c r="W2738">
        <v>1</v>
      </c>
      <c r="X2738">
        <v>0</v>
      </c>
      <c r="Y2738" t="s">
        <v>10829</v>
      </c>
      <c r="Z2738">
        <v>0</v>
      </c>
      <c r="AA2738">
        <v>40.879759</v>
      </c>
      <c r="AB2738">
        <v>-73.88606</v>
      </c>
      <c r="AC2738" t="s">
        <v>10837</v>
      </c>
      <c r="AD2738" t="s">
        <v>10840</v>
      </c>
      <c r="AG2738" t="s">
        <v>10858</v>
      </c>
      <c r="AH2738" t="s">
        <v>10861</v>
      </c>
      <c r="AI2738">
        <v>234</v>
      </c>
      <c r="AJ2738" t="s">
        <v>10214</v>
      </c>
      <c r="AK2738" t="s">
        <v>10838</v>
      </c>
      <c r="AL2738">
        <v>1.25</v>
      </c>
      <c r="AM2738" t="s">
        <v>10887</v>
      </c>
      <c r="AN2738" t="s">
        <v>10938</v>
      </c>
      <c r="AO2738" t="s">
        <v>11010</v>
      </c>
      <c r="AP2738" t="s">
        <v>11057</v>
      </c>
      <c r="AR2738" t="s">
        <v>11255</v>
      </c>
      <c r="AS2738" t="s">
        <v>9926</v>
      </c>
      <c r="AT2738" t="s">
        <v>11642</v>
      </c>
      <c r="AX2738" t="s">
        <v>10838</v>
      </c>
      <c r="AY2738" t="s">
        <v>10829</v>
      </c>
      <c r="AZ2738" t="s">
        <v>11679</v>
      </c>
      <c r="BA2738" t="s">
        <v>11742</v>
      </c>
      <c r="BB2738">
        <v>0</v>
      </c>
      <c r="BC2738">
        <v>0</v>
      </c>
      <c r="BD2738">
        <v>0</v>
      </c>
      <c r="BE2738">
        <v>0</v>
      </c>
      <c r="BF2738">
        <v>7</v>
      </c>
      <c r="BG2738">
        <v>0</v>
      </c>
    </row>
    <row r="2739" spans="1:59">
      <c r="A2739" s="1">
        <f>HYPERLINK("https://lsnyc.legalserver.org/matter/dynamic-profile/view/1906744","19-1906744")</f>
        <v>0</v>
      </c>
      <c r="B2739" t="s">
        <v>2319</v>
      </c>
      <c r="C2739" t="s">
        <v>7104</v>
      </c>
      <c r="D2739" t="s">
        <v>9951</v>
      </c>
      <c r="E2739" t="s">
        <v>10075</v>
      </c>
      <c r="F2739">
        <v>11416</v>
      </c>
      <c r="G2739" t="s">
        <v>10092</v>
      </c>
      <c r="H2739" t="s">
        <v>10146</v>
      </c>
      <c r="I2739" t="s">
        <v>10168</v>
      </c>
      <c r="J2739" t="s">
        <v>10212</v>
      </c>
      <c r="K2739" t="s">
        <v>10217</v>
      </c>
      <c r="M2739" t="s">
        <v>10311</v>
      </c>
      <c r="N2739" t="s">
        <v>10684</v>
      </c>
      <c r="P2739" t="s">
        <v>10751</v>
      </c>
      <c r="Q2739" t="s">
        <v>10786</v>
      </c>
      <c r="R2739" t="s">
        <v>10827</v>
      </c>
      <c r="T2739">
        <v>0</v>
      </c>
      <c r="U2739">
        <v>0</v>
      </c>
      <c r="V2739">
        <v>63</v>
      </c>
      <c r="W2739">
        <v>1</v>
      </c>
      <c r="X2739">
        <v>0</v>
      </c>
      <c r="Z2739">
        <v>0</v>
      </c>
      <c r="AA2739">
        <v>40.689127</v>
      </c>
      <c r="AB2739">
        <v>-73.839535</v>
      </c>
      <c r="AD2739" t="s">
        <v>10840</v>
      </c>
      <c r="AG2739" t="s">
        <v>10858</v>
      </c>
      <c r="AH2739" t="s">
        <v>10873</v>
      </c>
      <c r="AI2739">
        <v>237</v>
      </c>
      <c r="AJ2739" t="s">
        <v>10212</v>
      </c>
      <c r="AL2739">
        <v>2</v>
      </c>
      <c r="AM2739" t="s">
        <v>10892</v>
      </c>
      <c r="AN2739" t="s">
        <v>10945</v>
      </c>
      <c r="AO2739" t="s">
        <v>11017</v>
      </c>
      <c r="AP2739" t="s">
        <v>11070</v>
      </c>
      <c r="AR2739" t="s">
        <v>11267</v>
      </c>
      <c r="AS2739" t="s">
        <v>11594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</row>
    <row r="2740" spans="1:59">
      <c r="A2740" s="1">
        <f>HYPERLINK("https://lsnyc.legalserver.org/matter/dynamic-profile/view/1906745","19-1906745")</f>
        <v>0</v>
      </c>
      <c r="B2740" t="s">
        <v>705</v>
      </c>
      <c r="C2740" t="s">
        <v>5613</v>
      </c>
      <c r="D2740" t="s">
        <v>9950</v>
      </c>
      <c r="E2740" t="s">
        <v>10075</v>
      </c>
      <c r="F2740">
        <v>11418</v>
      </c>
      <c r="G2740" t="s">
        <v>10093</v>
      </c>
      <c r="H2740" t="s">
        <v>10146</v>
      </c>
      <c r="I2740" t="s">
        <v>10183</v>
      </c>
      <c r="J2740" t="s">
        <v>10213</v>
      </c>
      <c r="K2740" t="s">
        <v>10217</v>
      </c>
      <c r="M2740" t="s">
        <v>10330</v>
      </c>
      <c r="N2740" t="s">
        <v>10710</v>
      </c>
      <c r="P2740" t="s">
        <v>10750</v>
      </c>
      <c r="Q2740" t="s">
        <v>10760</v>
      </c>
      <c r="R2740" t="s">
        <v>10820</v>
      </c>
      <c r="T2740">
        <v>40000</v>
      </c>
      <c r="U2740">
        <v>3333.33</v>
      </c>
      <c r="V2740">
        <v>52</v>
      </c>
      <c r="W2740">
        <v>1</v>
      </c>
      <c r="X2740">
        <v>1</v>
      </c>
      <c r="Z2740">
        <v>236.55</v>
      </c>
      <c r="AA2740">
        <v>40.70617</v>
      </c>
      <c r="AB2740">
        <v>-73.835733</v>
      </c>
      <c r="AD2740" t="s">
        <v>10839</v>
      </c>
      <c r="AG2740" t="s">
        <v>10858</v>
      </c>
      <c r="AH2740" t="s">
        <v>10878</v>
      </c>
      <c r="AI2740">
        <v>239</v>
      </c>
      <c r="AJ2740" t="s">
        <v>10213</v>
      </c>
      <c r="AL2740">
        <v>3.75</v>
      </c>
      <c r="AM2740" t="s">
        <v>10890</v>
      </c>
      <c r="AN2740" t="s">
        <v>10952</v>
      </c>
      <c r="AO2740" t="s">
        <v>11020</v>
      </c>
      <c r="AP2740" t="s">
        <v>11083</v>
      </c>
      <c r="AQ2740" t="s">
        <v>11141</v>
      </c>
      <c r="AR2740" t="s">
        <v>11257</v>
      </c>
      <c r="AS2740" t="s">
        <v>11594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</row>
    <row r="2741" spans="1:59">
      <c r="A2741" s="1">
        <f>HYPERLINK("https://lsnyc.legalserver.org/matter/dynamic-profile/view/1906746","19-1906746")</f>
        <v>0</v>
      </c>
      <c r="B2741" t="s">
        <v>2320</v>
      </c>
      <c r="C2741" t="s">
        <v>6999</v>
      </c>
      <c r="D2741" t="s">
        <v>9926</v>
      </c>
      <c r="E2741" t="s">
        <v>10075</v>
      </c>
      <c r="F2741">
        <v>10452</v>
      </c>
      <c r="G2741" t="s">
        <v>10090</v>
      </c>
      <c r="H2741" t="s">
        <v>10146</v>
      </c>
      <c r="I2741" t="s">
        <v>10169</v>
      </c>
      <c r="J2741" t="s">
        <v>10210</v>
      </c>
      <c r="K2741" t="s">
        <v>10217</v>
      </c>
      <c r="M2741" t="s">
        <v>10579</v>
      </c>
      <c r="N2741" t="s">
        <v>10650</v>
      </c>
      <c r="P2741" t="s">
        <v>10749</v>
      </c>
      <c r="Q2741" t="s">
        <v>10765</v>
      </c>
      <c r="R2741" t="s">
        <v>10821</v>
      </c>
      <c r="T2741">
        <v>0</v>
      </c>
      <c r="U2741">
        <v>0</v>
      </c>
      <c r="V2741">
        <v>51</v>
      </c>
      <c r="W2741">
        <v>3</v>
      </c>
      <c r="X2741">
        <v>0</v>
      </c>
      <c r="Z2741">
        <v>0</v>
      </c>
      <c r="AA2741">
        <v>40.828115</v>
      </c>
      <c r="AB2741">
        <v>-73.923996</v>
      </c>
      <c r="AD2741" t="s">
        <v>10839</v>
      </c>
      <c r="AG2741" t="s">
        <v>10858</v>
      </c>
      <c r="AH2741" t="s">
        <v>10862</v>
      </c>
      <c r="AI2741">
        <v>230</v>
      </c>
      <c r="AJ2741" t="s">
        <v>10210</v>
      </c>
      <c r="AL2741">
        <v>0</v>
      </c>
      <c r="AM2741" t="s">
        <v>10884</v>
      </c>
      <c r="AN2741" t="s">
        <v>10924</v>
      </c>
      <c r="AO2741" t="s">
        <v>11013</v>
      </c>
      <c r="AP2741" t="s">
        <v>11066</v>
      </c>
      <c r="AR2741" t="s">
        <v>11267</v>
      </c>
      <c r="AS2741" t="s">
        <v>9926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</row>
    <row r="2742" spans="1:59">
      <c r="A2742" s="1">
        <f>HYPERLINK("https://lsnyc.legalserver.org/matter/dynamic-profile/view/1906747","19-1906747")</f>
        <v>0</v>
      </c>
      <c r="B2742" t="s">
        <v>1307</v>
      </c>
      <c r="C2742" t="s">
        <v>7105</v>
      </c>
      <c r="D2742" t="s">
        <v>9925</v>
      </c>
      <c r="E2742" t="s">
        <v>10075</v>
      </c>
      <c r="F2742">
        <v>10034</v>
      </c>
      <c r="G2742" t="s">
        <v>10089</v>
      </c>
      <c r="H2742" t="s">
        <v>10146</v>
      </c>
      <c r="I2742" t="s">
        <v>10168</v>
      </c>
      <c r="J2742" t="s">
        <v>10209</v>
      </c>
      <c r="K2742" t="s">
        <v>10218</v>
      </c>
      <c r="L2742" t="s">
        <v>10146</v>
      </c>
      <c r="M2742" t="s">
        <v>10451</v>
      </c>
      <c r="N2742" t="s">
        <v>10650</v>
      </c>
      <c r="P2742" t="s">
        <v>10749</v>
      </c>
      <c r="Q2742" t="s">
        <v>10765</v>
      </c>
      <c r="R2742" t="s">
        <v>10823</v>
      </c>
      <c r="T2742">
        <v>57000</v>
      </c>
      <c r="U2742">
        <v>4750</v>
      </c>
      <c r="V2742">
        <v>56</v>
      </c>
      <c r="W2742">
        <v>2</v>
      </c>
      <c r="X2742">
        <v>2</v>
      </c>
      <c r="Y2742" t="s">
        <v>10829</v>
      </c>
      <c r="Z2742">
        <v>221.36</v>
      </c>
      <c r="AA2742">
        <v>40.8721</v>
      </c>
      <c r="AB2742">
        <v>-73.918302</v>
      </c>
      <c r="AC2742" t="s">
        <v>10837</v>
      </c>
      <c r="AD2742" t="s">
        <v>10840</v>
      </c>
      <c r="AG2742" t="s">
        <v>10858</v>
      </c>
      <c r="AH2742" t="s">
        <v>10862</v>
      </c>
      <c r="AI2742">
        <v>236</v>
      </c>
      <c r="AJ2742" t="s">
        <v>10209</v>
      </c>
      <c r="AK2742" t="s">
        <v>10838</v>
      </c>
      <c r="AL2742">
        <v>1.7</v>
      </c>
      <c r="AM2742" t="s">
        <v>10887</v>
      </c>
      <c r="AN2742" t="s">
        <v>10937</v>
      </c>
      <c r="AO2742" t="s">
        <v>11019</v>
      </c>
      <c r="AP2742" t="s">
        <v>11074</v>
      </c>
      <c r="AR2742" t="s">
        <v>11257</v>
      </c>
      <c r="AS2742" t="s">
        <v>9925</v>
      </c>
      <c r="AT2742" t="s">
        <v>11642</v>
      </c>
      <c r="AX2742" t="s">
        <v>10838</v>
      </c>
      <c r="AY2742" t="s">
        <v>10829</v>
      </c>
      <c r="AZ2742" t="s">
        <v>11681</v>
      </c>
      <c r="BA2742" t="s">
        <v>11741</v>
      </c>
      <c r="BB2742">
        <v>0</v>
      </c>
      <c r="BC2742">
        <v>0</v>
      </c>
      <c r="BD2742">
        <v>0</v>
      </c>
      <c r="BE2742">
        <v>0</v>
      </c>
      <c r="BF2742">
        <v>1</v>
      </c>
      <c r="BG2742">
        <v>0</v>
      </c>
    </row>
    <row r="2743" spans="1:59">
      <c r="A2743" s="1">
        <f>HYPERLINK("https://lsnyc.legalserver.org/matter/dynamic-profile/view/1906748","19-1906748")</f>
        <v>0</v>
      </c>
      <c r="B2743" t="s">
        <v>2321</v>
      </c>
      <c r="C2743" t="s">
        <v>7106</v>
      </c>
      <c r="D2743" t="s">
        <v>9928</v>
      </c>
      <c r="E2743" t="s">
        <v>10075</v>
      </c>
      <c r="F2743">
        <v>11208</v>
      </c>
      <c r="G2743" t="s">
        <v>10093</v>
      </c>
      <c r="H2743" t="s">
        <v>10146</v>
      </c>
      <c r="I2743" t="s">
        <v>10169</v>
      </c>
      <c r="J2743" t="s">
        <v>10213</v>
      </c>
      <c r="K2743" t="s">
        <v>10217</v>
      </c>
      <c r="M2743" t="s">
        <v>10317</v>
      </c>
      <c r="N2743" t="s">
        <v>10698</v>
      </c>
      <c r="P2743" t="s">
        <v>10751</v>
      </c>
      <c r="Q2743" t="s">
        <v>10761</v>
      </c>
      <c r="R2743" t="s">
        <v>10823</v>
      </c>
      <c r="T2743">
        <v>32115.24</v>
      </c>
      <c r="U2743">
        <v>2676.27</v>
      </c>
      <c r="V2743">
        <v>52</v>
      </c>
      <c r="W2743">
        <v>1</v>
      </c>
      <c r="X2743">
        <v>0</v>
      </c>
      <c r="Z2743">
        <v>257.13</v>
      </c>
      <c r="AA2743">
        <v>40.677677</v>
      </c>
      <c r="AB2743">
        <v>-73.86645900000001</v>
      </c>
      <c r="AD2743" t="s">
        <v>10839</v>
      </c>
      <c r="AF2743" t="s">
        <v>10842</v>
      </c>
      <c r="AG2743" t="s">
        <v>10859</v>
      </c>
      <c r="AH2743" t="s">
        <v>10871</v>
      </c>
      <c r="AI2743">
        <v>234</v>
      </c>
      <c r="AJ2743" t="s">
        <v>10214</v>
      </c>
      <c r="AL2743">
        <v>7.85</v>
      </c>
      <c r="AM2743" t="s">
        <v>10889</v>
      </c>
      <c r="AN2743" t="s">
        <v>10920</v>
      </c>
      <c r="AO2743" t="s">
        <v>11012</v>
      </c>
      <c r="AP2743" t="s">
        <v>11058</v>
      </c>
      <c r="AR2743" t="s">
        <v>11257</v>
      </c>
      <c r="AS2743" t="s">
        <v>11595</v>
      </c>
      <c r="AT2743" t="s">
        <v>11641</v>
      </c>
      <c r="AX2743" t="s">
        <v>10837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</row>
    <row r="2744" spans="1:59">
      <c r="A2744" s="1">
        <f>HYPERLINK("https://lsnyc.legalserver.org/matter/dynamic-profile/view/1906749","19-1906749")</f>
        <v>0</v>
      </c>
      <c r="B2744" t="s">
        <v>2315</v>
      </c>
      <c r="C2744" t="s">
        <v>7100</v>
      </c>
      <c r="D2744" t="s">
        <v>9928</v>
      </c>
      <c r="E2744" t="s">
        <v>10075</v>
      </c>
      <c r="F2744">
        <v>11225</v>
      </c>
      <c r="G2744" t="s">
        <v>10093</v>
      </c>
      <c r="H2744" t="s">
        <v>10146</v>
      </c>
      <c r="I2744" t="s">
        <v>10168</v>
      </c>
      <c r="J2744" t="s">
        <v>10213</v>
      </c>
      <c r="K2744" t="s">
        <v>10217</v>
      </c>
      <c r="M2744" t="s">
        <v>10265</v>
      </c>
      <c r="N2744" t="s">
        <v>10671</v>
      </c>
      <c r="P2744" t="s">
        <v>10749</v>
      </c>
      <c r="Q2744" t="s">
        <v>10791</v>
      </c>
      <c r="R2744" t="s">
        <v>10822</v>
      </c>
      <c r="T2744">
        <v>7200</v>
      </c>
      <c r="U2744">
        <v>600</v>
      </c>
      <c r="V2744">
        <v>65</v>
      </c>
      <c r="W2744">
        <v>1</v>
      </c>
      <c r="X2744">
        <v>0</v>
      </c>
      <c r="Z2744">
        <v>57.65</v>
      </c>
      <c r="AA2744">
        <v>40.668679</v>
      </c>
      <c r="AB2744">
        <v>-73.95944799999999</v>
      </c>
      <c r="AD2744" t="s">
        <v>10840</v>
      </c>
      <c r="AG2744" t="s">
        <v>10858</v>
      </c>
      <c r="AH2744" t="s">
        <v>10862</v>
      </c>
      <c r="AI2744">
        <v>239</v>
      </c>
      <c r="AJ2744" t="s">
        <v>10213</v>
      </c>
      <c r="AL2744">
        <v>1.45</v>
      </c>
      <c r="AM2744" t="s">
        <v>10888</v>
      </c>
      <c r="AN2744" t="s">
        <v>10923</v>
      </c>
      <c r="AO2744" t="s">
        <v>11005</v>
      </c>
      <c r="AP2744" t="s">
        <v>11061</v>
      </c>
      <c r="AQ2744" t="s">
        <v>11100</v>
      </c>
      <c r="AR2744" t="s">
        <v>11253</v>
      </c>
      <c r="AS2744" t="s">
        <v>11595</v>
      </c>
      <c r="BA2744" t="s">
        <v>11737</v>
      </c>
      <c r="BB2744">
        <v>0</v>
      </c>
      <c r="BC2744">
        <v>0</v>
      </c>
      <c r="BD2744">
        <v>0</v>
      </c>
      <c r="BE2744">
        <v>0</v>
      </c>
      <c r="BF2744">
        <v>3</v>
      </c>
      <c r="BG2744">
        <v>0</v>
      </c>
    </row>
    <row r="2745" spans="1:59">
      <c r="A2745" s="1">
        <f>HYPERLINK("https://lsnyc.legalserver.org/matter/dynamic-profile/view/1906750","19-1906750")</f>
        <v>0</v>
      </c>
      <c r="B2745" t="s">
        <v>1542</v>
      </c>
      <c r="C2745" t="s">
        <v>7107</v>
      </c>
      <c r="D2745" t="s">
        <v>9928</v>
      </c>
      <c r="E2745" t="s">
        <v>10075</v>
      </c>
      <c r="F2745">
        <v>11238</v>
      </c>
      <c r="G2745" t="s">
        <v>10093</v>
      </c>
      <c r="H2745" t="s">
        <v>10146</v>
      </c>
      <c r="I2745" t="s">
        <v>10168</v>
      </c>
      <c r="J2745" t="s">
        <v>10213</v>
      </c>
      <c r="K2745" t="s">
        <v>10218</v>
      </c>
      <c r="L2745" t="s">
        <v>10154</v>
      </c>
      <c r="M2745" t="s">
        <v>10289</v>
      </c>
      <c r="N2745" t="s">
        <v>10671</v>
      </c>
      <c r="P2745" t="s">
        <v>10751</v>
      </c>
      <c r="Q2745" t="s">
        <v>10786</v>
      </c>
      <c r="R2745" t="s">
        <v>10824</v>
      </c>
      <c r="T2745">
        <v>8652</v>
      </c>
      <c r="U2745">
        <v>721</v>
      </c>
      <c r="V2745">
        <v>32</v>
      </c>
      <c r="W2745">
        <v>1</v>
      </c>
      <c r="X2745">
        <v>0</v>
      </c>
      <c r="Y2745" t="s">
        <v>10833</v>
      </c>
      <c r="Z2745">
        <v>69.27</v>
      </c>
      <c r="AA2745">
        <v>40.685823</v>
      </c>
      <c r="AB2745">
        <v>-73.970572</v>
      </c>
      <c r="AD2745" t="s">
        <v>10840</v>
      </c>
      <c r="AG2745" t="s">
        <v>10858</v>
      </c>
      <c r="AH2745" t="s">
        <v>10871</v>
      </c>
      <c r="AI2745">
        <v>234</v>
      </c>
      <c r="AJ2745" t="s">
        <v>10214</v>
      </c>
      <c r="AK2745" t="s">
        <v>10838</v>
      </c>
      <c r="AL2745">
        <v>1.75</v>
      </c>
      <c r="AM2745" t="s">
        <v>10889</v>
      </c>
      <c r="AN2745" t="s">
        <v>10923</v>
      </c>
      <c r="AO2745" t="s">
        <v>11007</v>
      </c>
      <c r="AP2745" t="s">
        <v>11061</v>
      </c>
      <c r="AR2745" t="s">
        <v>11254</v>
      </c>
      <c r="AS2745" t="s">
        <v>11595</v>
      </c>
      <c r="AT2745" t="s">
        <v>11642</v>
      </c>
      <c r="AX2745" t="s">
        <v>10838</v>
      </c>
      <c r="AY2745" t="s">
        <v>10833</v>
      </c>
      <c r="AZ2745" t="s">
        <v>11693</v>
      </c>
      <c r="BB2745">
        <v>0</v>
      </c>
      <c r="BC2745">
        <v>0</v>
      </c>
      <c r="BD2745">
        <v>576</v>
      </c>
      <c r="BE2745">
        <v>0</v>
      </c>
      <c r="BF2745">
        <v>0</v>
      </c>
      <c r="BG2745">
        <v>0</v>
      </c>
    </row>
    <row r="2746" spans="1:59">
      <c r="A2746" s="1">
        <f>HYPERLINK("https://lsnyc.legalserver.org/matter/dynamic-profile/view/1906751","19-1906751")</f>
        <v>0</v>
      </c>
      <c r="B2746" t="s">
        <v>2322</v>
      </c>
      <c r="C2746" t="s">
        <v>7108</v>
      </c>
      <c r="D2746" t="s">
        <v>9928</v>
      </c>
      <c r="E2746" t="s">
        <v>10075</v>
      </c>
      <c r="F2746">
        <v>11226</v>
      </c>
      <c r="G2746" t="s">
        <v>10093</v>
      </c>
      <c r="H2746" t="s">
        <v>10146</v>
      </c>
      <c r="I2746" t="s">
        <v>10168</v>
      </c>
      <c r="J2746" t="s">
        <v>10213</v>
      </c>
      <c r="K2746" t="s">
        <v>10217</v>
      </c>
      <c r="M2746" t="s">
        <v>10531</v>
      </c>
      <c r="N2746" t="s">
        <v>10667</v>
      </c>
      <c r="P2746" t="s">
        <v>10749</v>
      </c>
      <c r="Q2746" t="s">
        <v>10765</v>
      </c>
      <c r="R2746" t="s">
        <v>10824</v>
      </c>
      <c r="T2746">
        <v>36400</v>
      </c>
      <c r="U2746">
        <v>3033.33</v>
      </c>
      <c r="V2746">
        <v>50</v>
      </c>
      <c r="W2746">
        <v>2</v>
      </c>
      <c r="X2746">
        <v>0</v>
      </c>
      <c r="Z2746">
        <v>215.26</v>
      </c>
      <c r="AA2746">
        <v>40.655065</v>
      </c>
      <c r="AB2746">
        <v>-73.951504</v>
      </c>
      <c r="AD2746" t="s">
        <v>10839</v>
      </c>
      <c r="AG2746" t="s">
        <v>10858</v>
      </c>
      <c r="AH2746" t="s">
        <v>10862</v>
      </c>
      <c r="AI2746">
        <v>239</v>
      </c>
      <c r="AJ2746" t="s">
        <v>10213</v>
      </c>
      <c r="AL2746">
        <v>10.8</v>
      </c>
      <c r="AM2746" t="s">
        <v>10888</v>
      </c>
      <c r="AN2746" t="s">
        <v>10912</v>
      </c>
      <c r="AO2746" t="s">
        <v>11005</v>
      </c>
      <c r="AP2746" t="s">
        <v>11050</v>
      </c>
      <c r="AQ2746" t="s">
        <v>11101</v>
      </c>
      <c r="AR2746" t="s">
        <v>11257</v>
      </c>
      <c r="AS2746" t="s">
        <v>11595</v>
      </c>
      <c r="BA2746" t="s">
        <v>11738</v>
      </c>
      <c r="BB2746">
        <v>0</v>
      </c>
      <c r="BC2746">
        <v>0</v>
      </c>
      <c r="BD2746">
        <v>0</v>
      </c>
      <c r="BE2746">
        <v>0</v>
      </c>
      <c r="BF2746">
        <v>5</v>
      </c>
      <c r="BG2746">
        <v>0</v>
      </c>
    </row>
    <row r="2747" spans="1:59">
      <c r="A2747" s="1">
        <f>HYPERLINK("https://lsnyc.legalserver.org/matter/dynamic-profile/view/1906752","19-1906752")</f>
        <v>0</v>
      </c>
      <c r="B2747" t="s">
        <v>2323</v>
      </c>
      <c r="C2747" t="s">
        <v>7109</v>
      </c>
      <c r="D2747" t="s">
        <v>9925</v>
      </c>
      <c r="E2747" t="s">
        <v>10075</v>
      </c>
      <c r="F2747">
        <v>10021</v>
      </c>
      <c r="G2747" t="s">
        <v>10091</v>
      </c>
      <c r="H2747" t="s">
        <v>10146</v>
      </c>
      <c r="I2747" t="s">
        <v>10168</v>
      </c>
      <c r="J2747" t="s">
        <v>10214</v>
      </c>
      <c r="K2747" t="s">
        <v>10217</v>
      </c>
      <c r="M2747" t="s">
        <v>10286</v>
      </c>
      <c r="N2747" t="s">
        <v>10646</v>
      </c>
      <c r="P2747" t="s">
        <v>10749</v>
      </c>
      <c r="Q2747" t="s">
        <v>10765</v>
      </c>
      <c r="R2747" t="s">
        <v>10820</v>
      </c>
      <c r="T2747">
        <v>26840</v>
      </c>
      <c r="U2747">
        <v>2236.67</v>
      </c>
      <c r="V2747">
        <v>70</v>
      </c>
      <c r="W2747">
        <v>1</v>
      </c>
      <c r="X2747">
        <v>0</v>
      </c>
      <c r="Z2747">
        <v>214.89</v>
      </c>
      <c r="AA2747">
        <v>40.768876</v>
      </c>
      <c r="AB2747">
        <v>-73.95909</v>
      </c>
      <c r="AD2747" t="s">
        <v>10840</v>
      </c>
      <c r="AG2747" t="s">
        <v>10858</v>
      </c>
      <c r="AH2747" t="s">
        <v>10861</v>
      </c>
      <c r="AI2747">
        <v>234</v>
      </c>
      <c r="AJ2747" t="s">
        <v>10214</v>
      </c>
      <c r="AL2747">
        <v>1</v>
      </c>
      <c r="AM2747" t="s">
        <v>10891</v>
      </c>
      <c r="AN2747" t="s">
        <v>10971</v>
      </c>
      <c r="AO2747" t="s">
        <v>11026</v>
      </c>
      <c r="AP2747" t="s">
        <v>11091</v>
      </c>
      <c r="AR2747" t="s">
        <v>11422</v>
      </c>
      <c r="AS2747" t="s">
        <v>9925</v>
      </c>
      <c r="AT2747" t="s">
        <v>11642</v>
      </c>
      <c r="AX2747" t="s">
        <v>10838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</row>
    <row r="2748" spans="1:59">
      <c r="A2748" s="1">
        <f>HYPERLINK("https://lsnyc.legalserver.org/matter/dynamic-profile/view/1906753","19-1906753")</f>
        <v>0</v>
      </c>
      <c r="B2748" t="s">
        <v>2324</v>
      </c>
      <c r="C2748" t="s">
        <v>7110</v>
      </c>
      <c r="D2748" t="s">
        <v>9941</v>
      </c>
      <c r="E2748" t="s">
        <v>10075</v>
      </c>
      <c r="F2748">
        <v>11429</v>
      </c>
      <c r="G2748" t="s">
        <v>10091</v>
      </c>
      <c r="H2748" t="s">
        <v>10146</v>
      </c>
      <c r="I2748" t="s">
        <v>10168</v>
      </c>
      <c r="J2748" t="s">
        <v>10214</v>
      </c>
      <c r="K2748" t="s">
        <v>10217</v>
      </c>
      <c r="M2748" t="s">
        <v>10307</v>
      </c>
      <c r="N2748" t="s">
        <v>10671</v>
      </c>
      <c r="P2748" t="s">
        <v>10752</v>
      </c>
      <c r="Q2748" t="s">
        <v>10762</v>
      </c>
      <c r="R2748" t="s">
        <v>10824</v>
      </c>
      <c r="T2748">
        <v>24000</v>
      </c>
      <c r="U2748">
        <v>2000</v>
      </c>
      <c r="V2748">
        <v>69</v>
      </c>
      <c r="W2748">
        <v>1</v>
      </c>
      <c r="X2748">
        <v>0</v>
      </c>
      <c r="Z2748">
        <v>192.15</v>
      </c>
      <c r="AA2748">
        <v>40.704043</v>
      </c>
      <c r="AB2748">
        <v>-73.73051599999999</v>
      </c>
      <c r="AD2748" t="s">
        <v>10839</v>
      </c>
      <c r="AG2748" t="s">
        <v>10858</v>
      </c>
      <c r="AH2748" t="s">
        <v>10861</v>
      </c>
      <c r="AI2748">
        <v>234</v>
      </c>
      <c r="AJ2748" t="s">
        <v>10214</v>
      </c>
      <c r="AL2748">
        <v>1</v>
      </c>
      <c r="AM2748" t="s">
        <v>10892</v>
      </c>
      <c r="AN2748" t="s">
        <v>10940</v>
      </c>
      <c r="AO2748" t="s">
        <v>11020</v>
      </c>
      <c r="AP2748" t="s">
        <v>11075</v>
      </c>
      <c r="AR2748" t="s">
        <v>11257</v>
      </c>
      <c r="AS2748" t="s">
        <v>11594</v>
      </c>
      <c r="AT2748" t="s">
        <v>11641</v>
      </c>
      <c r="AX2748" t="s">
        <v>10838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</row>
    <row r="2749" spans="1:59">
      <c r="A2749" s="1">
        <f>HYPERLINK("https://lsnyc.legalserver.org/matter/dynamic-profile/view/1906754","19-1906754")</f>
        <v>0</v>
      </c>
      <c r="B2749" t="s">
        <v>2325</v>
      </c>
      <c r="C2749" t="s">
        <v>7111</v>
      </c>
      <c r="D2749" t="s">
        <v>9928</v>
      </c>
      <c r="E2749" t="s">
        <v>10075</v>
      </c>
      <c r="F2749">
        <v>11249</v>
      </c>
      <c r="G2749" t="s">
        <v>10090</v>
      </c>
      <c r="H2749" t="s">
        <v>10146</v>
      </c>
      <c r="I2749" t="s">
        <v>10168</v>
      </c>
      <c r="J2749" t="s">
        <v>10210</v>
      </c>
      <c r="K2749" t="s">
        <v>10217</v>
      </c>
      <c r="M2749" t="s">
        <v>10407</v>
      </c>
      <c r="N2749" t="s">
        <v>10671</v>
      </c>
      <c r="P2749" t="s">
        <v>10754</v>
      </c>
      <c r="Q2749" t="s">
        <v>10771</v>
      </c>
      <c r="R2749" t="s">
        <v>10824</v>
      </c>
      <c r="T2749">
        <v>0</v>
      </c>
      <c r="U2749">
        <v>0</v>
      </c>
      <c r="V2749">
        <v>25</v>
      </c>
      <c r="W2749">
        <v>1</v>
      </c>
      <c r="X2749">
        <v>0</v>
      </c>
      <c r="Z2749">
        <v>0</v>
      </c>
      <c r="AA2749">
        <v>40.708744</v>
      </c>
      <c r="AB2749">
        <v>-73.966622</v>
      </c>
      <c r="AD2749" t="s">
        <v>10839</v>
      </c>
      <c r="AG2749" t="s">
        <v>10858</v>
      </c>
      <c r="AH2749" t="s">
        <v>10861</v>
      </c>
      <c r="AI2749">
        <v>234</v>
      </c>
      <c r="AJ2749" t="s">
        <v>10214</v>
      </c>
      <c r="AL2749">
        <v>0.9</v>
      </c>
      <c r="AM2749" t="s">
        <v>10886</v>
      </c>
      <c r="AN2749" t="s">
        <v>10939</v>
      </c>
      <c r="AO2749" t="s">
        <v>11011</v>
      </c>
      <c r="AP2749" t="s">
        <v>11054</v>
      </c>
      <c r="AR2749" t="s">
        <v>11267</v>
      </c>
      <c r="AS2749" t="s">
        <v>11595</v>
      </c>
      <c r="AT2749" t="s">
        <v>11641</v>
      </c>
      <c r="AX2749" t="s">
        <v>10838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</row>
    <row r="2750" spans="1:59">
      <c r="A2750" s="1">
        <f>HYPERLINK("https://lsnyc.legalserver.org/matter/dynamic-profile/view/1906755","19-1906755")</f>
        <v>0</v>
      </c>
      <c r="B2750" t="s">
        <v>2326</v>
      </c>
      <c r="C2750" t="s">
        <v>6999</v>
      </c>
      <c r="D2750" t="s">
        <v>9926</v>
      </c>
      <c r="E2750" t="s">
        <v>10075</v>
      </c>
      <c r="F2750">
        <v>10452</v>
      </c>
      <c r="G2750" t="s">
        <v>10090</v>
      </c>
      <c r="H2750" t="s">
        <v>10146</v>
      </c>
      <c r="I2750" t="s">
        <v>10169</v>
      </c>
      <c r="J2750" t="s">
        <v>10210</v>
      </c>
      <c r="K2750" t="s">
        <v>10217</v>
      </c>
      <c r="M2750" t="s">
        <v>10579</v>
      </c>
      <c r="N2750" t="s">
        <v>10650</v>
      </c>
      <c r="P2750" t="s">
        <v>10749</v>
      </c>
      <c r="Q2750" t="s">
        <v>10765</v>
      </c>
      <c r="R2750" t="s">
        <v>10821</v>
      </c>
      <c r="T2750">
        <v>9768</v>
      </c>
      <c r="U2750">
        <v>814</v>
      </c>
      <c r="V2750">
        <v>63</v>
      </c>
      <c r="W2750">
        <v>1</v>
      </c>
      <c r="X2750">
        <v>0</v>
      </c>
      <c r="Z2750">
        <v>78.20999999999999</v>
      </c>
      <c r="AA2750">
        <v>40.828115</v>
      </c>
      <c r="AB2750">
        <v>-73.923996</v>
      </c>
      <c r="AD2750" t="s">
        <v>10839</v>
      </c>
      <c r="AG2750" t="s">
        <v>10858</v>
      </c>
      <c r="AH2750" t="s">
        <v>10862</v>
      </c>
      <c r="AI2750">
        <v>230</v>
      </c>
      <c r="AJ2750" t="s">
        <v>10210</v>
      </c>
      <c r="AL2750">
        <v>0</v>
      </c>
      <c r="AM2750" t="s">
        <v>10884</v>
      </c>
      <c r="AN2750" t="s">
        <v>10924</v>
      </c>
      <c r="AO2750" t="s">
        <v>11013</v>
      </c>
      <c r="AP2750" t="s">
        <v>11066</v>
      </c>
      <c r="AR2750" t="s">
        <v>11253</v>
      </c>
      <c r="AS2750" t="s">
        <v>9926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</row>
    <row r="2751" spans="1:59">
      <c r="A2751" s="1">
        <f>HYPERLINK("https://lsnyc.legalserver.org/matter/dynamic-profile/view/1906756","19-1906756")</f>
        <v>0</v>
      </c>
      <c r="B2751" t="s">
        <v>2327</v>
      </c>
      <c r="C2751" t="s">
        <v>7112</v>
      </c>
      <c r="D2751" t="s">
        <v>9928</v>
      </c>
      <c r="E2751" t="s">
        <v>10075</v>
      </c>
      <c r="F2751">
        <v>11210</v>
      </c>
      <c r="G2751" t="s">
        <v>10093</v>
      </c>
      <c r="H2751" t="s">
        <v>10146</v>
      </c>
      <c r="I2751" t="s">
        <v>10168</v>
      </c>
      <c r="J2751" t="s">
        <v>10213</v>
      </c>
      <c r="K2751" t="s">
        <v>10217</v>
      </c>
      <c r="M2751" t="s">
        <v>10245</v>
      </c>
      <c r="N2751" t="s">
        <v>10667</v>
      </c>
      <c r="P2751" t="s">
        <v>10749</v>
      </c>
      <c r="Q2751" t="s">
        <v>10765</v>
      </c>
      <c r="R2751" t="s">
        <v>10824</v>
      </c>
      <c r="T2751">
        <v>24036</v>
      </c>
      <c r="U2751">
        <v>2003</v>
      </c>
      <c r="V2751">
        <v>52</v>
      </c>
      <c r="W2751">
        <v>1</v>
      </c>
      <c r="X2751">
        <v>1</v>
      </c>
      <c r="Z2751">
        <v>142.14</v>
      </c>
      <c r="AA2751">
        <v>40.634831</v>
      </c>
      <c r="AB2751">
        <v>-73.95142300000001</v>
      </c>
      <c r="AD2751" t="s">
        <v>10839</v>
      </c>
      <c r="AG2751" t="s">
        <v>10858</v>
      </c>
      <c r="AH2751" t="s">
        <v>10862</v>
      </c>
      <c r="AI2751">
        <v>239</v>
      </c>
      <c r="AJ2751" t="s">
        <v>10213</v>
      </c>
      <c r="AL2751">
        <v>1.2</v>
      </c>
      <c r="AM2751" t="s">
        <v>10888</v>
      </c>
      <c r="AN2751" t="s">
        <v>10932</v>
      </c>
      <c r="AO2751" t="s">
        <v>11008</v>
      </c>
      <c r="AP2751" t="s">
        <v>11065</v>
      </c>
      <c r="AR2751" t="s">
        <v>11338</v>
      </c>
      <c r="AS2751" t="s">
        <v>11595</v>
      </c>
      <c r="AT2751" t="s">
        <v>11641</v>
      </c>
      <c r="AU2751" t="s">
        <v>11645</v>
      </c>
      <c r="AX2751" t="s">
        <v>10838</v>
      </c>
      <c r="BA2751" t="s">
        <v>11740</v>
      </c>
      <c r="BB2751">
        <v>0</v>
      </c>
      <c r="BC2751">
        <v>0</v>
      </c>
      <c r="BD2751">
        <v>0</v>
      </c>
      <c r="BE2751">
        <v>0</v>
      </c>
      <c r="BF2751">
        <v>2</v>
      </c>
      <c r="BG2751">
        <v>0</v>
      </c>
    </row>
    <row r="2752" spans="1:59">
      <c r="A2752" s="1">
        <f>HYPERLINK("https://lsnyc.legalserver.org/matter/dynamic-profile/view/1906757","19-1906757")</f>
        <v>0</v>
      </c>
      <c r="B2752" t="s">
        <v>2328</v>
      </c>
      <c r="C2752" t="s">
        <v>7113</v>
      </c>
      <c r="D2752" t="s">
        <v>9926</v>
      </c>
      <c r="E2752" t="s">
        <v>10075</v>
      </c>
      <c r="F2752">
        <v>10463</v>
      </c>
      <c r="G2752" t="s">
        <v>10091</v>
      </c>
      <c r="H2752" t="s">
        <v>10146</v>
      </c>
      <c r="I2752" t="s">
        <v>10168</v>
      </c>
      <c r="J2752" t="s">
        <v>10214</v>
      </c>
      <c r="K2752" t="s">
        <v>10217</v>
      </c>
      <c r="M2752" t="s">
        <v>10286</v>
      </c>
      <c r="N2752" t="s">
        <v>10671</v>
      </c>
      <c r="P2752" t="s">
        <v>10752</v>
      </c>
      <c r="Q2752" t="s">
        <v>10762</v>
      </c>
      <c r="R2752" t="s">
        <v>10820</v>
      </c>
      <c r="T2752">
        <v>16560</v>
      </c>
      <c r="U2752">
        <v>1380</v>
      </c>
      <c r="V2752">
        <v>59</v>
      </c>
      <c r="W2752">
        <v>2</v>
      </c>
      <c r="X2752">
        <v>0</v>
      </c>
      <c r="Z2752">
        <v>97.93000000000001</v>
      </c>
      <c r="AA2752">
        <v>40.887347</v>
      </c>
      <c r="AB2752">
        <v>-73.903943</v>
      </c>
      <c r="AD2752" t="s">
        <v>10839</v>
      </c>
      <c r="AG2752" t="s">
        <v>10858</v>
      </c>
      <c r="AH2752" t="s">
        <v>10861</v>
      </c>
      <c r="AI2752">
        <v>234</v>
      </c>
      <c r="AJ2752" t="s">
        <v>10214</v>
      </c>
      <c r="AL2752">
        <v>0.6</v>
      </c>
      <c r="AM2752" t="s">
        <v>10893</v>
      </c>
      <c r="AN2752" t="s">
        <v>10919</v>
      </c>
      <c r="AO2752" t="s">
        <v>11002</v>
      </c>
      <c r="AP2752" t="s">
        <v>11057</v>
      </c>
      <c r="AR2752" t="s">
        <v>11298</v>
      </c>
      <c r="AS2752" t="s">
        <v>9926</v>
      </c>
      <c r="AT2752" t="s">
        <v>11641</v>
      </c>
      <c r="AX2752" t="s">
        <v>10838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</row>
    <row r="2753" spans="1:59">
      <c r="A2753" s="1">
        <f>HYPERLINK("https://lsnyc.legalserver.org/matter/dynamic-profile/view/1906758","19-1906758")</f>
        <v>0</v>
      </c>
      <c r="B2753" t="s">
        <v>2329</v>
      </c>
      <c r="C2753" t="s">
        <v>7114</v>
      </c>
      <c r="D2753" t="s">
        <v>9928</v>
      </c>
      <c r="E2753" t="s">
        <v>10075</v>
      </c>
      <c r="F2753">
        <v>11224</v>
      </c>
      <c r="G2753" t="s">
        <v>10093</v>
      </c>
      <c r="H2753" t="s">
        <v>10146</v>
      </c>
      <c r="I2753" t="s">
        <v>10171</v>
      </c>
      <c r="J2753" t="s">
        <v>10213</v>
      </c>
      <c r="K2753" t="s">
        <v>10217</v>
      </c>
      <c r="M2753" t="s">
        <v>10330</v>
      </c>
      <c r="N2753" t="s">
        <v>10710</v>
      </c>
      <c r="P2753" t="s">
        <v>10750</v>
      </c>
      <c r="Q2753" t="s">
        <v>10760</v>
      </c>
      <c r="R2753" t="s">
        <v>10820</v>
      </c>
      <c r="T2753">
        <v>0</v>
      </c>
      <c r="U2753">
        <v>0</v>
      </c>
      <c r="V2753">
        <v>67</v>
      </c>
      <c r="W2753">
        <v>1</v>
      </c>
      <c r="X2753">
        <v>0</v>
      </c>
      <c r="Z2753">
        <v>0</v>
      </c>
      <c r="AA2753">
        <v>40.578607</v>
      </c>
      <c r="AB2753">
        <v>-73.970665</v>
      </c>
      <c r="AD2753" t="s">
        <v>10839</v>
      </c>
      <c r="AG2753" t="s">
        <v>10858</v>
      </c>
      <c r="AH2753" t="s">
        <v>10861</v>
      </c>
      <c r="AI2753">
        <v>234</v>
      </c>
      <c r="AJ2753" t="s">
        <v>10214</v>
      </c>
      <c r="AL2753">
        <v>4.9</v>
      </c>
      <c r="AM2753" t="s">
        <v>10889</v>
      </c>
      <c r="AN2753" t="s">
        <v>10960</v>
      </c>
      <c r="AO2753" t="s">
        <v>11006</v>
      </c>
      <c r="AP2753" t="s">
        <v>11092</v>
      </c>
      <c r="AR2753" t="s">
        <v>11267</v>
      </c>
      <c r="AS2753" t="s">
        <v>11595</v>
      </c>
      <c r="AT2753" t="s">
        <v>11641</v>
      </c>
      <c r="AX2753" t="s">
        <v>10838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</row>
    <row r="2754" spans="1:59">
      <c r="A2754" s="1">
        <f>HYPERLINK("https://lsnyc.legalserver.org/matter/dynamic-profile/view/1906759","19-1906759")</f>
        <v>0</v>
      </c>
      <c r="B2754" t="s">
        <v>2330</v>
      </c>
      <c r="C2754" t="s">
        <v>5009</v>
      </c>
      <c r="D2754" t="s">
        <v>9928</v>
      </c>
      <c r="E2754" t="s">
        <v>10075</v>
      </c>
      <c r="F2754">
        <v>11225</v>
      </c>
      <c r="G2754" t="s">
        <v>10093</v>
      </c>
      <c r="H2754" t="s">
        <v>10146</v>
      </c>
      <c r="I2754" t="s">
        <v>10168</v>
      </c>
      <c r="J2754" t="s">
        <v>10213</v>
      </c>
      <c r="K2754" t="s">
        <v>10217</v>
      </c>
      <c r="M2754" t="s">
        <v>10236</v>
      </c>
      <c r="N2754" t="s">
        <v>10650</v>
      </c>
      <c r="O2754" t="s">
        <v>10653</v>
      </c>
      <c r="P2754" t="s">
        <v>10749</v>
      </c>
      <c r="Q2754" t="s">
        <v>10765</v>
      </c>
      <c r="R2754" t="s">
        <v>10821</v>
      </c>
      <c r="T2754">
        <v>45060</v>
      </c>
      <c r="U2754">
        <v>3755</v>
      </c>
      <c r="V2754">
        <v>29</v>
      </c>
      <c r="W2754">
        <v>2</v>
      </c>
      <c r="X2754">
        <v>1</v>
      </c>
      <c r="Z2754">
        <v>211.25</v>
      </c>
      <c r="AA2754">
        <v>40.65869</v>
      </c>
      <c r="AB2754">
        <v>-73.96026000000001</v>
      </c>
      <c r="AC2754" t="s">
        <v>10837</v>
      </c>
      <c r="AD2754" t="s">
        <v>10840</v>
      </c>
      <c r="AG2754" t="s">
        <v>10858</v>
      </c>
      <c r="AH2754" t="s">
        <v>10862</v>
      </c>
      <c r="AI2754">
        <v>239</v>
      </c>
      <c r="AJ2754" t="s">
        <v>10213</v>
      </c>
      <c r="AL2754">
        <v>0.1</v>
      </c>
      <c r="AM2754" t="s">
        <v>10888</v>
      </c>
      <c r="AN2754" t="s">
        <v>10912</v>
      </c>
      <c r="AO2754" t="s">
        <v>11005</v>
      </c>
      <c r="AP2754" t="s">
        <v>11050</v>
      </c>
      <c r="AR2754" t="s">
        <v>10180</v>
      </c>
      <c r="AS2754" t="s">
        <v>11595</v>
      </c>
      <c r="BA2754" t="s">
        <v>11737</v>
      </c>
      <c r="BB2754">
        <v>0</v>
      </c>
      <c r="BC2754">
        <v>0</v>
      </c>
      <c r="BD2754">
        <v>0</v>
      </c>
      <c r="BE2754">
        <v>0</v>
      </c>
      <c r="BF2754">
        <v>3</v>
      </c>
      <c r="BG2754">
        <v>0</v>
      </c>
    </row>
    <row r="2755" spans="1:59">
      <c r="A2755" s="1">
        <f>HYPERLINK("https://lsnyc.legalserver.org/matter/dynamic-profile/view/1906760","19-1906760")</f>
        <v>0</v>
      </c>
      <c r="B2755" t="s">
        <v>2331</v>
      </c>
      <c r="C2755" t="s">
        <v>7115</v>
      </c>
      <c r="D2755" t="s">
        <v>9941</v>
      </c>
      <c r="E2755" t="s">
        <v>10075</v>
      </c>
      <c r="F2755">
        <v>11429</v>
      </c>
      <c r="G2755" t="s">
        <v>10092</v>
      </c>
      <c r="H2755" t="s">
        <v>10146</v>
      </c>
      <c r="I2755" t="s">
        <v>10168</v>
      </c>
      <c r="J2755" t="s">
        <v>10212</v>
      </c>
      <c r="K2755" t="s">
        <v>10218</v>
      </c>
      <c r="L2755" t="s">
        <v>10100</v>
      </c>
      <c r="M2755" t="s">
        <v>10530</v>
      </c>
      <c r="N2755" t="s">
        <v>10678</v>
      </c>
      <c r="P2755" t="s">
        <v>10749</v>
      </c>
      <c r="Q2755" t="s">
        <v>10769</v>
      </c>
      <c r="R2755" t="s">
        <v>10824</v>
      </c>
      <c r="T2755">
        <v>19800</v>
      </c>
      <c r="U2755">
        <v>1650</v>
      </c>
      <c r="V2755">
        <v>58</v>
      </c>
      <c r="W2755">
        <v>1</v>
      </c>
      <c r="X2755">
        <v>0</v>
      </c>
      <c r="Y2755" t="s">
        <v>10830</v>
      </c>
      <c r="Z2755">
        <v>158.53</v>
      </c>
      <c r="AA2755">
        <v>40.704126</v>
      </c>
      <c r="AB2755">
        <v>-73.73315599999999</v>
      </c>
      <c r="AD2755" t="s">
        <v>10839</v>
      </c>
      <c r="AG2755" t="s">
        <v>10858</v>
      </c>
      <c r="AH2755" t="s">
        <v>10871</v>
      </c>
      <c r="AI2755">
        <v>234</v>
      </c>
      <c r="AJ2755" t="s">
        <v>10214</v>
      </c>
      <c r="AK2755" t="s">
        <v>10838</v>
      </c>
      <c r="AL2755">
        <v>7.25</v>
      </c>
      <c r="AM2755" t="s">
        <v>10892</v>
      </c>
      <c r="AN2755" t="s">
        <v>10940</v>
      </c>
      <c r="AO2755" t="s">
        <v>11020</v>
      </c>
      <c r="AP2755" t="s">
        <v>11075</v>
      </c>
      <c r="AR2755" t="s">
        <v>11418</v>
      </c>
      <c r="AS2755" t="s">
        <v>11594</v>
      </c>
      <c r="AT2755" t="s">
        <v>11641</v>
      </c>
      <c r="AX2755" t="s">
        <v>10838</v>
      </c>
      <c r="AY2755" t="s">
        <v>10830</v>
      </c>
      <c r="AZ2755" t="s">
        <v>11681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</row>
    <row r="2756" spans="1:59">
      <c r="A2756" s="1">
        <f>HYPERLINK("https://lsnyc.legalserver.org/matter/dynamic-profile/view/1906761","19-1906761")</f>
        <v>0</v>
      </c>
      <c r="B2756" t="s">
        <v>2332</v>
      </c>
      <c r="C2756" t="s">
        <v>7116</v>
      </c>
      <c r="D2756" t="s">
        <v>9926</v>
      </c>
      <c r="E2756" t="s">
        <v>10075</v>
      </c>
      <c r="F2756">
        <v>10458</v>
      </c>
      <c r="G2756" t="s">
        <v>10090</v>
      </c>
      <c r="H2756" t="s">
        <v>10146</v>
      </c>
      <c r="I2756" t="s">
        <v>10168</v>
      </c>
      <c r="J2756" t="s">
        <v>10210</v>
      </c>
      <c r="K2756" t="s">
        <v>10217</v>
      </c>
      <c r="M2756" t="s">
        <v>10438</v>
      </c>
      <c r="N2756" t="s">
        <v>10694</v>
      </c>
      <c r="P2756" t="s">
        <v>10751</v>
      </c>
      <c r="Q2756" t="s">
        <v>10773</v>
      </c>
      <c r="R2756" t="s">
        <v>10824</v>
      </c>
      <c r="T2756">
        <v>17888</v>
      </c>
      <c r="U2756">
        <v>1490.67</v>
      </c>
      <c r="V2756">
        <v>43</v>
      </c>
      <c r="W2756">
        <v>1</v>
      </c>
      <c r="X2756">
        <v>0</v>
      </c>
      <c r="Z2756">
        <v>143.22</v>
      </c>
      <c r="AA2756">
        <v>40.868833</v>
      </c>
      <c r="AB2756">
        <v>-73.89058300000001</v>
      </c>
      <c r="AD2756" t="s">
        <v>10839</v>
      </c>
      <c r="AG2756" t="s">
        <v>10858</v>
      </c>
      <c r="AH2756" t="s">
        <v>10861</v>
      </c>
      <c r="AI2756">
        <v>234</v>
      </c>
      <c r="AJ2756" t="s">
        <v>10214</v>
      </c>
      <c r="AL2756">
        <v>17.2</v>
      </c>
      <c r="AM2756" t="s">
        <v>10887</v>
      </c>
      <c r="AN2756" t="s">
        <v>10907</v>
      </c>
      <c r="AO2756" t="s">
        <v>11000</v>
      </c>
      <c r="AP2756" t="s">
        <v>11056</v>
      </c>
      <c r="AR2756" t="s">
        <v>11293</v>
      </c>
      <c r="AS2756" t="s">
        <v>9926</v>
      </c>
      <c r="AT2756" t="s">
        <v>11641</v>
      </c>
      <c r="AX2756" t="s">
        <v>10838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</row>
    <row r="2757" spans="1:59">
      <c r="A2757" s="1">
        <f>HYPERLINK("https://lsnyc.legalserver.org/matter/dynamic-profile/view/1906762","19-1906762")</f>
        <v>0</v>
      </c>
      <c r="B2757" t="s">
        <v>2333</v>
      </c>
      <c r="C2757" t="s">
        <v>7117</v>
      </c>
      <c r="D2757" t="s">
        <v>9925</v>
      </c>
      <c r="E2757" t="s">
        <v>10075</v>
      </c>
      <c r="F2757">
        <v>10034</v>
      </c>
      <c r="G2757" t="s">
        <v>10089</v>
      </c>
      <c r="H2757" t="s">
        <v>10146</v>
      </c>
      <c r="I2757" t="s">
        <v>10169</v>
      </c>
      <c r="J2757" t="s">
        <v>10209</v>
      </c>
      <c r="K2757" t="s">
        <v>10217</v>
      </c>
      <c r="M2757" t="s">
        <v>10543</v>
      </c>
      <c r="N2757" t="s">
        <v>10650</v>
      </c>
      <c r="P2757" t="s">
        <v>10749</v>
      </c>
      <c r="Q2757" t="s">
        <v>10765</v>
      </c>
      <c r="R2757" t="s">
        <v>10821</v>
      </c>
      <c r="T2757">
        <v>35068.8</v>
      </c>
      <c r="U2757">
        <v>2922.4</v>
      </c>
      <c r="V2757">
        <v>51</v>
      </c>
      <c r="W2757">
        <v>3</v>
      </c>
      <c r="X2757">
        <v>0</v>
      </c>
      <c r="Z2757">
        <v>164.41</v>
      </c>
      <c r="AA2757">
        <v>40.868289</v>
      </c>
      <c r="AB2757">
        <v>-73.91645800000001</v>
      </c>
      <c r="AD2757" t="s">
        <v>10839</v>
      </c>
      <c r="AG2757" t="s">
        <v>10858</v>
      </c>
      <c r="AH2757" t="s">
        <v>10862</v>
      </c>
      <c r="AI2757">
        <v>236</v>
      </c>
      <c r="AJ2757" t="s">
        <v>10209</v>
      </c>
      <c r="AL2757">
        <v>1.6</v>
      </c>
      <c r="AM2757" t="s">
        <v>10887</v>
      </c>
      <c r="AN2757" t="s">
        <v>10937</v>
      </c>
      <c r="AO2757" t="s">
        <v>11019</v>
      </c>
      <c r="AP2757" t="s">
        <v>11074</v>
      </c>
      <c r="AR2757" t="s">
        <v>11257</v>
      </c>
      <c r="AS2757" t="s">
        <v>9925</v>
      </c>
      <c r="AT2757" t="s">
        <v>11641</v>
      </c>
      <c r="AX2757" t="s">
        <v>10838</v>
      </c>
      <c r="BA2757" t="s">
        <v>11738</v>
      </c>
      <c r="BB2757">
        <v>0</v>
      </c>
      <c r="BC2757">
        <v>0</v>
      </c>
      <c r="BD2757">
        <v>0</v>
      </c>
      <c r="BE2757">
        <v>0</v>
      </c>
      <c r="BF2757">
        <v>5</v>
      </c>
      <c r="BG2757">
        <v>0</v>
      </c>
    </row>
    <row r="2758" spans="1:59">
      <c r="A2758" s="1">
        <f>HYPERLINK("https://lsnyc.legalserver.org/matter/dynamic-profile/view/1906763","19-1906763")</f>
        <v>0</v>
      </c>
      <c r="B2758" t="s">
        <v>2334</v>
      </c>
      <c r="C2758" t="s">
        <v>7118</v>
      </c>
      <c r="D2758" t="s">
        <v>9981</v>
      </c>
      <c r="E2758" t="s">
        <v>10075</v>
      </c>
      <c r="F2758">
        <v>11378</v>
      </c>
      <c r="G2758" t="s">
        <v>10092</v>
      </c>
      <c r="H2758" t="s">
        <v>10146</v>
      </c>
      <c r="I2758" t="s">
        <v>10168</v>
      </c>
      <c r="J2758" t="s">
        <v>10212</v>
      </c>
      <c r="K2758" t="s">
        <v>10218</v>
      </c>
      <c r="L2758" t="s">
        <v>10135</v>
      </c>
      <c r="M2758" t="s">
        <v>10260</v>
      </c>
      <c r="N2758" t="s">
        <v>10665</v>
      </c>
      <c r="P2758" t="s">
        <v>10751</v>
      </c>
      <c r="Q2758" t="s">
        <v>10773</v>
      </c>
      <c r="R2758" t="s">
        <v>10823</v>
      </c>
      <c r="T2758">
        <v>15600</v>
      </c>
      <c r="U2758">
        <v>1300</v>
      </c>
      <c r="V2758">
        <v>48</v>
      </c>
      <c r="W2758">
        <v>1</v>
      </c>
      <c r="X2758">
        <v>0</v>
      </c>
      <c r="Y2758" t="s">
        <v>10829</v>
      </c>
      <c r="Z2758">
        <v>124.9</v>
      </c>
      <c r="AA2758">
        <v>40.715885</v>
      </c>
      <c r="AB2758">
        <v>-73.903347</v>
      </c>
      <c r="AD2758" t="s">
        <v>10839</v>
      </c>
      <c r="AG2758" t="s">
        <v>10858</v>
      </c>
      <c r="AH2758" t="s">
        <v>10871</v>
      </c>
      <c r="AI2758">
        <v>234</v>
      </c>
      <c r="AJ2758" t="s">
        <v>10214</v>
      </c>
      <c r="AK2758" t="s">
        <v>10838</v>
      </c>
      <c r="AL2758">
        <v>3.25</v>
      </c>
      <c r="AM2758" t="s">
        <v>10890</v>
      </c>
      <c r="AN2758" t="s">
        <v>10935</v>
      </c>
      <c r="AO2758" t="s">
        <v>11024</v>
      </c>
      <c r="AP2758" t="s">
        <v>11077</v>
      </c>
      <c r="AR2758" t="s">
        <v>11257</v>
      </c>
      <c r="AS2758" t="s">
        <v>11594</v>
      </c>
      <c r="AT2758" t="s">
        <v>11641</v>
      </c>
      <c r="AX2758" t="s">
        <v>10838</v>
      </c>
      <c r="AY2758" t="s">
        <v>10829</v>
      </c>
      <c r="AZ2758" t="s">
        <v>11682</v>
      </c>
      <c r="BA2758" t="s">
        <v>11741</v>
      </c>
      <c r="BB2758">
        <v>0</v>
      </c>
      <c r="BC2758">
        <v>0</v>
      </c>
      <c r="BD2758">
        <v>0</v>
      </c>
      <c r="BE2758">
        <v>0</v>
      </c>
      <c r="BF2758">
        <v>1</v>
      </c>
      <c r="BG2758">
        <v>0</v>
      </c>
    </row>
    <row r="2759" spans="1:59">
      <c r="A2759" s="1">
        <f>HYPERLINK("https://lsnyc.legalserver.org/matter/dynamic-profile/view/1906765","19-1906765")</f>
        <v>0</v>
      </c>
      <c r="B2759" t="s">
        <v>2335</v>
      </c>
      <c r="C2759" t="s">
        <v>7119</v>
      </c>
      <c r="D2759" t="s">
        <v>9948</v>
      </c>
      <c r="E2759" t="s">
        <v>10075</v>
      </c>
      <c r="F2759">
        <v>11691</v>
      </c>
      <c r="G2759" t="s">
        <v>10092</v>
      </c>
      <c r="H2759" t="s">
        <v>10146</v>
      </c>
      <c r="I2759" t="s">
        <v>10168</v>
      </c>
      <c r="J2759" t="s">
        <v>10212</v>
      </c>
      <c r="K2759" t="s">
        <v>10217</v>
      </c>
      <c r="M2759" t="s">
        <v>10258</v>
      </c>
      <c r="N2759" t="s">
        <v>10650</v>
      </c>
      <c r="P2759" t="s">
        <v>10749</v>
      </c>
      <c r="Q2759" t="s">
        <v>10765</v>
      </c>
      <c r="R2759" t="s">
        <v>10824</v>
      </c>
      <c r="T2759">
        <v>4800</v>
      </c>
      <c r="U2759">
        <v>400</v>
      </c>
      <c r="V2759">
        <v>41</v>
      </c>
      <c r="W2759">
        <v>1</v>
      </c>
      <c r="X2759">
        <v>0</v>
      </c>
      <c r="Z2759">
        <v>38.43</v>
      </c>
      <c r="AA2759">
        <v>40.594371</v>
      </c>
      <c r="AB2759">
        <v>-73.75843999999999</v>
      </c>
      <c r="AD2759" t="s">
        <v>10839</v>
      </c>
      <c r="AF2759" t="s">
        <v>10843</v>
      </c>
      <c r="AG2759" t="s">
        <v>10859</v>
      </c>
      <c r="AH2759" t="s">
        <v>10861</v>
      </c>
      <c r="AI2759">
        <v>234</v>
      </c>
      <c r="AJ2759" t="s">
        <v>10214</v>
      </c>
      <c r="AL2759">
        <v>2</v>
      </c>
      <c r="AM2759" t="s">
        <v>10892</v>
      </c>
      <c r="AN2759" t="s">
        <v>10958</v>
      </c>
      <c r="AO2759" t="s">
        <v>11017</v>
      </c>
      <c r="AP2759" t="s">
        <v>11082</v>
      </c>
      <c r="AR2759" t="s">
        <v>11473</v>
      </c>
      <c r="AS2759" t="s">
        <v>11594</v>
      </c>
      <c r="AT2759" t="s">
        <v>11641</v>
      </c>
      <c r="AX2759" t="s">
        <v>10838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</row>
    <row r="2760" spans="1:59">
      <c r="A2760" s="1">
        <f>HYPERLINK("https://lsnyc.legalserver.org/matter/dynamic-profile/view/1906766","19-1906766")</f>
        <v>0</v>
      </c>
      <c r="B2760" t="s">
        <v>2336</v>
      </c>
      <c r="C2760" t="s">
        <v>7120</v>
      </c>
      <c r="D2760" t="s">
        <v>9926</v>
      </c>
      <c r="E2760" t="s">
        <v>10075</v>
      </c>
      <c r="F2760">
        <v>10452</v>
      </c>
      <c r="G2760" t="s">
        <v>10091</v>
      </c>
      <c r="H2760" t="s">
        <v>10146</v>
      </c>
      <c r="I2760" t="s">
        <v>10168</v>
      </c>
      <c r="J2760" t="s">
        <v>10211</v>
      </c>
      <c r="K2760" t="s">
        <v>10217</v>
      </c>
      <c r="M2760" t="s">
        <v>10231</v>
      </c>
      <c r="N2760" t="s">
        <v>10647</v>
      </c>
      <c r="P2760" t="s">
        <v>10752</v>
      </c>
      <c r="Q2760" t="s">
        <v>10762</v>
      </c>
      <c r="R2760" t="s">
        <v>10821</v>
      </c>
      <c r="T2760">
        <v>26000</v>
      </c>
      <c r="U2760">
        <v>2166.67</v>
      </c>
      <c r="V2760">
        <v>46</v>
      </c>
      <c r="W2760">
        <v>2</v>
      </c>
      <c r="X2760">
        <v>0</v>
      </c>
      <c r="Z2760">
        <v>153.76</v>
      </c>
      <c r="AA2760">
        <v>40.839573</v>
      </c>
      <c r="AB2760">
        <v>-73.92361699999999</v>
      </c>
      <c r="AD2760" t="s">
        <v>10839</v>
      </c>
      <c r="AG2760" t="s">
        <v>10858</v>
      </c>
      <c r="AH2760" t="s">
        <v>10861</v>
      </c>
      <c r="AI2760">
        <v>234</v>
      </c>
      <c r="AJ2760" t="s">
        <v>10214</v>
      </c>
      <c r="AL2760">
        <v>0.95</v>
      </c>
      <c r="AM2760" t="s">
        <v>10884</v>
      </c>
      <c r="AN2760" t="s">
        <v>10929</v>
      </c>
      <c r="AO2760" t="s">
        <v>11013</v>
      </c>
      <c r="AP2760" t="s">
        <v>11055</v>
      </c>
      <c r="AR2760" t="s">
        <v>11257</v>
      </c>
      <c r="AS2760" t="s">
        <v>9926</v>
      </c>
      <c r="AT2760" t="s">
        <v>11641</v>
      </c>
      <c r="AX2760" t="s">
        <v>10838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</row>
    <row r="2761" spans="1:59">
      <c r="A2761" s="1">
        <f>HYPERLINK("https://lsnyc.legalserver.org/matter/dynamic-profile/view/1906767","19-1906767")</f>
        <v>0</v>
      </c>
      <c r="B2761" t="s">
        <v>2337</v>
      </c>
      <c r="C2761" t="s">
        <v>7121</v>
      </c>
      <c r="D2761" t="s">
        <v>9928</v>
      </c>
      <c r="E2761" t="s">
        <v>10075</v>
      </c>
      <c r="F2761">
        <v>11235</v>
      </c>
      <c r="G2761" t="s">
        <v>10093</v>
      </c>
      <c r="H2761" t="s">
        <v>10146</v>
      </c>
      <c r="I2761" t="s">
        <v>10168</v>
      </c>
      <c r="J2761" t="s">
        <v>10213</v>
      </c>
      <c r="K2761" t="s">
        <v>10217</v>
      </c>
      <c r="M2761" t="s">
        <v>10290</v>
      </c>
      <c r="N2761" t="s">
        <v>10665</v>
      </c>
      <c r="P2761" t="s">
        <v>10751</v>
      </c>
      <c r="Q2761" t="s">
        <v>10773</v>
      </c>
      <c r="R2761" t="s">
        <v>10820</v>
      </c>
      <c r="T2761">
        <v>50400</v>
      </c>
      <c r="U2761">
        <v>4200</v>
      </c>
      <c r="V2761">
        <v>36</v>
      </c>
      <c r="W2761">
        <v>2</v>
      </c>
      <c r="X2761">
        <v>2</v>
      </c>
      <c r="Z2761">
        <v>195.73</v>
      </c>
      <c r="AA2761">
        <v>40.592527</v>
      </c>
      <c r="AB2761">
        <v>-73.941722</v>
      </c>
      <c r="AD2761" t="s">
        <v>10839</v>
      </c>
      <c r="AG2761" t="s">
        <v>10858</v>
      </c>
      <c r="AH2761" t="s">
        <v>10861</v>
      </c>
      <c r="AI2761">
        <v>234</v>
      </c>
      <c r="AJ2761" t="s">
        <v>10214</v>
      </c>
      <c r="AK2761" t="s">
        <v>10838</v>
      </c>
      <c r="AL2761">
        <v>13.45</v>
      </c>
      <c r="AM2761" t="s">
        <v>10888</v>
      </c>
      <c r="AN2761" t="s">
        <v>10957</v>
      </c>
      <c r="AO2761" t="s">
        <v>11012</v>
      </c>
      <c r="AP2761" t="s">
        <v>11092</v>
      </c>
      <c r="AR2761" t="s">
        <v>11332</v>
      </c>
      <c r="AS2761" t="s">
        <v>11595</v>
      </c>
      <c r="AT2761" t="s">
        <v>11641</v>
      </c>
      <c r="AX2761" t="s">
        <v>10838</v>
      </c>
      <c r="AZ2761" t="s">
        <v>11682</v>
      </c>
      <c r="BA2761" t="s">
        <v>11741</v>
      </c>
      <c r="BB2761">
        <v>0</v>
      </c>
      <c r="BC2761">
        <v>0</v>
      </c>
      <c r="BD2761">
        <v>0</v>
      </c>
      <c r="BE2761">
        <v>0</v>
      </c>
      <c r="BF2761">
        <v>1</v>
      </c>
      <c r="BG2761">
        <v>0</v>
      </c>
    </row>
    <row r="2762" spans="1:59">
      <c r="A2762" s="1">
        <f>HYPERLINK("https://lsnyc.legalserver.org/matter/dynamic-profile/view/1906768","19-1906768")</f>
        <v>0</v>
      </c>
      <c r="B2762" t="s">
        <v>2338</v>
      </c>
      <c r="C2762" t="s">
        <v>6178</v>
      </c>
      <c r="D2762" t="s">
        <v>9926</v>
      </c>
      <c r="E2762" t="s">
        <v>10075</v>
      </c>
      <c r="F2762">
        <v>10456</v>
      </c>
      <c r="G2762" t="s">
        <v>10090</v>
      </c>
      <c r="H2762" t="s">
        <v>10146</v>
      </c>
      <c r="I2762" t="s">
        <v>10168</v>
      </c>
      <c r="J2762" t="s">
        <v>10210</v>
      </c>
      <c r="K2762" t="s">
        <v>10218</v>
      </c>
      <c r="L2762" t="s">
        <v>10108</v>
      </c>
      <c r="M2762" t="s">
        <v>10336</v>
      </c>
      <c r="N2762" t="s">
        <v>10671</v>
      </c>
      <c r="P2762" t="s">
        <v>10754</v>
      </c>
      <c r="Q2762" t="s">
        <v>10770</v>
      </c>
      <c r="R2762" t="s">
        <v>10824</v>
      </c>
      <c r="T2762">
        <v>0</v>
      </c>
      <c r="U2762">
        <v>0</v>
      </c>
      <c r="V2762">
        <v>35</v>
      </c>
      <c r="W2762">
        <v>1</v>
      </c>
      <c r="X2762">
        <v>1</v>
      </c>
      <c r="Y2762" t="s">
        <v>10829</v>
      </c>
      <c r="Z2762">
        <v>0</v>
      </c>
      <c r="AA2762">
        <v>40.830227</v>
      </c>
      <c r="AB2762">
        <v>-73.906519</v>
      </c>
      <c r="AD2762" t="s">
        <v>10839</v>
      </c>
      <c r="AG2762" t="s">
        <v>10858</v>
      </c>
      <c r="AH2762" t="s">
        <v>10861</v>
      </c>
      <c r="AI2762">
        <v>234</v>
      </c>
      <c r="AJ2762" t="s">
        <v>10214</v>
      </c>
      <c r="AK2762" t="s">
        <v>10882</v>
      </c>
      <c r="AL2762">
        <v>2.2</v>
      </c>
      <c r="AM2762" t="s">
        <v>10884</v>
      </c>
      <c r="AN2762" t="s">
        <v>10918</v>
      </c>
      <c r="AO2762" t="s">
        <v>11001</v>
      </c>
      <c r="AP2762" t="s">
        <v>11055</v>
      </c>
      <c r="AR2762" t="s">
        <v>11279</v>
      </c>
      <c r="AS2762" t="s">
        <v>9926</v>
      </c>
      <c r="AT2762" t="s">
        <v>11641</v>
      </c>
      <c r="AX2762" t="s">
        <v>10838</v>
      </c>
      <c r="AY2762" t="s">
        <v>10829</v>
      </c>
      <c r="AZ2762" t="s">
        <v>11683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</row>
    <row r="2763" spans="1:59">
      <c r="A2763" s="1">
        <f>HYPERLINK("https://lsnyc.legalserver.org/matter/dynamic-profile/view/1906769","19-1906769")</f>
        <v>0</v>
      </c>
      <c r="B2763" t="s">
        <v>2339</v>
      </c>
      <c r="C2763" t="s">
        <v>7122</v>
      </c>
      <c r="D2763" t="s">
        <v>9928</v>
      </c>
      <c r="E2763" t="s">
        <v>10075</v>
      </c>
      <c r="F2763">
        <v>11221</v>
      </c>
      <c r="G2763" t="s">
        <v>10093</v>
      </c>
      <c r="H2763" t="s">
        <v>10146</v>
      </c>
      <c r="J2763" t="s">
        <v>10213</v>
      </c>
      <c r="K2763" t="s">
        <v>10217</v>
      </c>
      <c r="M2763" t="s">
        <v>10356</v>
      </c>
      <c r="N2763" t="s">
        <v>10657</v>
      </c>
      <c r="P2763" t="s">
        <v>10753</v>
      </c>
      <c r="Q2763" t="s">
        <v>10763</v>
      </c>
      <c r="R2763" t="s">
        <v>10821</v>
      </c>
      <c r="T2763">
        <v>45652</v>
      </c>
      <c r="U2763">
        <v>3804.33</v>
      </c>
      <c r="V2763">
        <v>41</v>
      </c>
      <c r="W2763">
        <v>6</v>
      </c>
      <c r="X2763">
        <v>1</v>
      </c>
      <c r="Z2763">
        <v>117.03</v>
      </c>
      <c r="AA2763">
        <v>40.691032</v>
      </c>
      <c r="AB2763">
        <v>-73.91498900000001</v>
      </c>
      <c r="AD2763" t="s">
        <v>10839</v>
      </c>
      <c r="AF2763" t="s">
        <v>10843</v>
      </c>
      <c r="AG2763" t="s">
        <v>10859</v>
      </c>
      <c r="AH2763" t="s">
        <v>10861</v>
      </c>
      <c r="AI2763">
        <v>239</v>
      </c>
      <c r="AJ2763" t="s">
        <v>10213</v>
      </c>
      <c r="AL2763">
        <v>2.6</v>
      </c>
      <c r="AM2763" t="s">
        <v>10889</v>
      </c>
      <c r="AN2763" t="s">
        <v>10920</v>
      </c>
      <c r="AO2763" t="s">
        <v>11011</v>
      </c>
      <c r="AP2763" t="s">
        <v>11058</v>
      </c>
      <c r="AR2763" t="s">
        <v>11474</v>
      </c>
      <c r="AS2763" t="s">
        <v>11595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</row>
    <row r="2764" spans="1:59">
      <c r="A2764" s="1">
        <f>HYPERLINK("https://lsnyc.legalserver.org/matter/dynamic-profile/view/1906771","19-1906771")</f>
        <v>0</v>
      </c>
      <c r="B2764" t="s">
        <v>886</v>
      </c>
      <c r="C2764" t="s">
        <v>5778</v>
      </c>
      <c r="D2764" t="s">
        <v>9926</v>
      </c>
      <c r="E2764" t="s">
        <v>10075</v>
      </c>
      <c r="F2764">
        <v>10451</v>
      </c>
      <c r="G2764" t="s">
        <v>10090</v>
      </c>
      <c r="H2764" t="s">
        <v>10146</v>
      </c>
      <c r="I2764" t="s">
        <v>10168</v>
      </c>
      <c r="J2764" t="s">
        <v>10210</v>
      </c>
      <c r="K2764" t="s">
        <v>10217</v>
      </c>
      <c r="M2764" t="s">
        <v>10333</v>
      </c>
      <c r="N2764" t="s">
        <v>10683</v>
      </c>
      <c r="P2764" t="s">
        <v>10757</v>
      </c>
      <c r="Q2764" t="s">
        <v>10789</v>
      </c>
      <c r="R2764" t="s">
        <v>10824</v>
      </c>
      <c r="T2764">
        <v>20964</v>
      </c>
      <c r="U2764">
        <v>1747</v>
      </c>
      <c r="V2764">
        <v>64</v>
      </c>
      <c r="W2764">
        <v>1</v>
      </c>
      <c r="X2764">
        <v>0</v>
      </c>
      <c r="Z2764">
        <v>167.85</v>
      </c>
      <c r="AA2764">
        <v>40.826479</v>
      </c>
      <c r="AB2764">
        <v>-73.92225000000001</v>
      </c>
      <c r="AD2764" t="s">
        <v>10822</v>
      </c>
      <c r="AG2764" t="s">
        <v>10858</v>
      </c>
      <c r="AH2764" t="s">
        <v>10874</v>
      </c>
      <c r="AI2764">
        <v>230</v>
      </c>
      <c r="AJ2764" t="s">
        <v>10210</v>
      </c>
      <c r="AL2764">
        <v>1.5</v>
      </c>
      <c r="AQ2764" t="s">
        <v>11121</v>
      </c>
      <c r="AR2764" t="s">
        <v>11364</v>
      </c>
      <c r="AS2764" t="s">
        <v>9926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</row>
    <row r="2765" spans="1:59">
      <c r="A2765" s="1">
        <f>HYPERLINK("https://lsnyc.legalserver.org/matter/dynamic-profile/view/1906773","19-1906773")</f>
        <v>0</v>
      </c>
      <c r="B2765" t="s">
        <v>2340</v>
      </c>
      <c r="C2765" t="s">
        <v>7123</v>
      </c>
      <c r="D2765" t="s">
        <v>9925</v>
      </c>
      <c r="E2765" t="s">
        <v>10075</v>
      </c>
      <c r="F2765">
        <v>10033</v>
      </c>
      <c r="G2765" t="s">
        <v>10089</v>
      </c>
      <c r="H2765" t="s">
        <v>10146</v>
      </c>
      <c r="I2765" t="s">
        <v>10169</v>
      </c>
      <c r="J2765" t="s">
        <v>10209</v>
      </c>
      <c r="K2765" t="s">
        <v>10218</v>
      </c>
      <c r="L2765" t="s">
        <v>10146</v>
      </c>
      <c r="M2765" t="s">
        <v>10451</v>
      </c>
      <c r="N2765" t="s">
        <v>10650</v>
      </c>
      <c r="P2765" t="s">
        <v>10749</v>
      </c>
      <c r="Q2765" t="s">
        <v>10765</v>
      </c>
      <c r="R2765" t="s">
        <v>10821</v>
      </c>
      <c r="T2765">
        <v>10200</v>
      </c>
      <c r="U2765">
        <v>850</v>
      </c>
      <c r="V2765">
        <v>78</v>
      </c>
      <c r="W2765">
        <v>1</v>
      </c>
      <c r="X2765">
        <v>0</v>
      </c>
      <c r="Y2765" t="s">
        <v>10829</v>
      </c>
      <c r="Z2765">
        <v>81.67</v>
      </c>
      <c r="AA2765">
        <v>40.851687</v>
      </c>
      <c r="AB2765">
        <v>-73.93328099999999</v>
      </c>
      <c r="AC2765" t="s">
        <v>10838</v>
      </c>
      <c r="AD2765" t="s">
        <v>10839</v>
      </c>
      <c r="AG2765" t="s">
        <v>10858</v>
      </c>
      <c r="AH2765" t="s">
        <v>10862</v>
      </c>
      <c r="AI2765">
        <v>236</v>
      </c>
      <c r="AJ2765" t="s">
        <v>10209</v>
      </c>
      <c r="AK2765" t="s">
        <v>10838</v>
      </c>
      <c r="AL2765">
        <v>1</v>
      </c>
      <c r="AM2765" t="s">
        <v>10887</v>
      </c>
      <c r="AN2765" t="s">
        <v>10937</v>
      </c>
      <c r="AO2765" t="s">
        <v>11019</v>
      </c>
      <c r="AP2765" t="s">
        <v>11074</v>
      </c>
      <c r="AR2765" t="s">
        <v>11274</v>
      </c>
      <c r="AS2765" t="s">
        <v>9925</v>
      </c>
      <c r="AT2765" t="s">
        <v>11641</v>
      </c>
      <c r="AX2765" t="s">
        <v>10838</v>
      </c>
      <c r="AY2765" t="s">
        <v>10829</v>
      </c>
      <c r="AZ2765" t="s">
        <v>11681</v>
      </c>
      <c r="BA2765" t="s">
        <v>11741</v>
      </c>
      <c r="BB2765">
        <v>0</v>
      </c>
      <c r="BC2765">
        <v>0</v>
      </c>
      <c r="BD2765">
        <v>0</v>
      </c>
      <c r="BE2765">
        <v>0</v>
      </c>
      <c r="BF2765">
        <v>1</v>
      </c>
      <c r="BG2765">
        <v>0</v>
      </c>
    </row>
    <row r="2766" spans="1:59">
      <c r="A2766" s="1">
        <f>HYPERLINK("https://lsnyc.legalserver.org/matter/dynamic-profile/view/1906774","19-1906774")</f>
        <v>0</v>
      </c>
      <c r="B2766" t="s">
        <v>2341</v>
      </c>
      <c r="C2766" t="s">
        <v>7124</v>
      </c>
      <c r="D2766" t="s">
        <v>9928</v>
      </c>
      <c r="E2766" t="s">
        <v>10075</v>
      </c>
      <c r="F2766">
        <v>11239</v>
      </c>
      <c r="G2766" t="s">
        <v>10093</v>
      </c>
      <c r="H2766" t="s">
        <v>10146</v>
      </c>
      <c r="I2766" t="s">
        <v>10168</v>
      </c>
      <c r="J2766" t="s">
        <v>10213</v>
      </c>
      <c r="K2766" t="s">
        <v>10218</v>
      </c>
      <c r="L2766" t="s">
        <v>10098</v>
      </c>
      <c r="M2766" t="s">
        <v>10481</v>
      </c>
      <c r="N2766" t="s">
        <v>10646</v>
      </c>
      <c r="P2766" t="s">
        <v>10749</v>
      </c>
      <c r="Q2766" t="s">
        <v>10765</v>
      </c>
      <c r="R2766" t="s">
        <v>10824</v>
      </c>
      <c r="T2766">
        <v>9252</v>
      </c>
      <c r="U2766">
        <v>771</v>
      </c>
      <c r="V2766">
        <v>58</v>
      </c>
      <c r="W2766">
        <v>1</v>
      </c>
      <c r="X2766">
        <v>0</v>
      </c>
      <c r="Y2766" t="s">
        <v>10829</v>
      </c>
      <c r="Z2766">
        <v>74.08</v>
      </c>
      <c r="AA2766">
        <v>40.648694</v>
      </c>
      <c r="AB2766">
        <v>-73.882091</v>
      </c>
      <c r="AD2766" t="s">
        <v>10839</v>
      </c>
      <c r="AF2766" t="s">
        <v>10843</v>
      </c>
      <c r="AG2766" t="s">
        <v>10859</v>
      </c>
      <c r="AH2766" t="s">
        <v>10861</v>
      </c>
      <c r="AI2766">
        <v>234</v>
      </c>
      <c r="AJ2766" t="s">
        <v>10214</v>
      </c>
      <c r="AK2766" t="s">
        <v>10838</v>
      </c>
      <c r="AL2766">
        <v>0.5</v>
      </c>
      <c r="AM2766" t="s">
        <v>10889</v>
      </c>
      <c r="AN2766" t="s">
        <v>10946</v>
      </c>
      <c r="AO2766" t="s">
        <v>11012</v>
      </c>
      <c r="AP2766" t="s">
        <v>11060</v>
      </c>
      <c r="AR2766" t="s">
        <v>11274</v>
      </c>
      <c r="AS2766" t="s">
        <v>11595</v>
      </c>
      <c r="AT2766" t="s">
        <v>11642</v>
      </c>
      <c r="AX2766" t="s">
        <v>10838</v>
      </c>
      <c r="AY2766" t="s">
        <v>10829</v>
      </c>
      <c r="AZ2766" t="s">
        <v>11681</v>
      </c>
      <c r="BA2766" t="s">
        <v>11741</v>
      </c>
      <c r="BB2766">
        <v>0</v>
      </c>
      <c r="BC2766">
        <v>0</v>
      </c>
      <c r="BD2766">
        <v>0</v>
      </c>
      <c r="BE2766">
        <v>0</v>
      </c>
      <c r="BF2766">
        <v>1</v>
      </c>
      <c r="BG2766">
        <v>0</v>
      </c>
    </row>
    <row r="2767" spans="1:59">
      <c r="A2767" s="1">
        <f>HYPERLINK("https://lsnyc.legalserver.org/matter/dynamic-profile/view/1906775","19-1906775")</f>
        <v>0</v>
      </c>
      <c r="B2767" t="s">
        <v>2342</v>
      </c>
      <c r="C2767" t="s">
        <v>7125</v>
      </c>
      <c r="D2767" t="s">
        <v>9928</v>
      </c>
      <c r="E2767" t="s">
        <v>10075</v>
      </c>
      <c r="F2767">
        <v>11212</v>
      </c>
      <c r="G2767" t="s">
        <v>10093</v>
      </c>
      <c r="H2767" t="s">
        <v>10146</v>
      </c>
      <c r="I2767" t="s">
        <v>10168</v>
      </c>
      <c r="J2767" t="s">
        <v>10213</v>
      </c>
      <c r="K2767" t="s">
        <v>10218</v>
      </c>
      <c r="L2767" t="s">
        <v>10157</v>
      </c>
      <c r="M2767" t="s">
        <v>10315</v>
      </c>
      <c r="N2767" t="s">
        <v>10646</v>
      </c>
      <c r="P2767" t="s">
        <v>10752</v>
      </c>
      <c r="Q2767" t="s">
        <v>10762</v>
      </c>
      <c r="R2767" t="s">
        <v>10824</v>
      </c>
      <c r="T2767">
        <v>25200</v>
      </c>
      <c r="U2767">
        <v>2100</v>
      </c>
      <c r="V2767">
        <v>72</v>
      </c>
      <c r="W2767">
        <v>1</v>
      </c>
      <c r="X2767">
        <v>0</v>
      </c>
      <c r="Y2767" t="s">
        <v>10830</v>
      </c>
      <c r="Z2767">
        <v>201.76</v>
      </c>
      <c r="AA2767">
        <v>40.66415</v>
      </c>
      <c r="AB2767">
        <v>-73.90700200000001</v>
      </c>
      <c r="AC2767" t="s">
        <v>10837</v>
      </c>
      <c r="AD2767" t="s">
        <v>10840</v>
      </c>
      <c r="AG2767" t="s">
        <v>10858</v>
      </c>
      <c r="AH2767" t="s">
        <v>10861</v>
      </c>
      <c r="AI2767">
        <v>234</v>
      </c>
      <c r="AJ2767" t="s">
        <v>10214</v>
      </c>
      <c r="AK2767" t="s">
        <v>10838</v>
      </c>
      <c r="AL2767">
        <v>2.55</v>
      </c>
      <c r="AM2767" t="s">
        <v>10888</v>
      </c>
      <c r="AN2767" t="s">
        <v>10922</v>
      </c>
      <c r="AO2767" t="s">
        <v>11005</v>
      </c>
      <c r="AP2767" t="s">
        <v>11064</v>
      </c>
      <c r="AR2767" t="s">
        <v>11345</v>
      </c>
      <c r="AS2767" t="s">
        <v>11595</v>
      </c>
      <c r="AT2767" t="s">
        <v>11642</v>
      </c>
      <c r="AX2767" t="s">
        <v>10838</v>
      </c>
      <c r="AY2767" t="s">
        <v>10830</v>
      </c>
      <c r="AZ2767" t="s">
        <v>11726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</row>
    <row r="2768" spans="1:59">
      <c r="A2768" s="1">
        <f>HYPERLINK("https://lsnyc.legalserver.org/matter/dynamic-profile/view/1906776","19-1906776")</f>
        <v>0</v>
      </c>
      <c r="B2768" t="s">
        <v>2343</v>
      </c>
      <c r="C2768" t="s">
        <v>7126</v>
      </c>
      <c r="D2768" t="s">
        <v>9928</v>
      </c>
      <c r="E2768" t="s">
        <v>10075</v>
      </c>
      <c r="F2768">
        <v>11206</v>
      </c>
      <c r="G2768" t="s">
        <v>10093</v>
      </c>
      <c r="H2768" t="s">
        <v>10146</v>
      </c>
      <c r="I2768" t="s">
        <v>10192</v>
      </c>
      <c r="J2768" t="s">
        <v>10213</v>
      </c>
      <c r="K2768" t="s">
        <v>10218</v>
      </c>
      <c r="L2768" t="s">
        <v>10129</v>
      </c>
      <c r="M2768" t="s">
        <v>10352</v>
      </c>
      <c r="N2768" t="s">
        <v>10650</v>
      </c>
      <c r="P2768" t="s">
        <v>10749</v>
      </c>
      <c r="Q2768" t="s">
        <v>10765</v>
      </c>
      <c r="R2768" t="s">
        <v>10827</v>
      </c>
      <c r="T2768">
        <v>9600</v>
      </c>
      <c r="U2768">
        <v>800</v>
      </c>
      <c r="V2768">
        <v>60</v>
      </c>
      <c r="W2768">
        <v>1</v>
      </c>
      <c r="X2768">
        <v>0</v>
      </c>
      <c r="Y2768" t="s">
        <v>10833</v>
      </c>
      <c r="Z2768">
        <v>76.86</v>
      </c>
      <c r="AA2768">
        <v>40.704851</v>
      </c>
      <c r="AB2768">
        <v>-73.944845</v>
      </c>
      <c r="AD2768" t="s">
        <v>10839</v>
      </c>
      <c r="AG2768" t="s">
        <v>10858</v>
      </c>
      <c r="AH2768" t="s">
        <v>10862</v>
      </c>
      <c r="AI2768">
        <v>239</v>
      </c>
      <c r="AJ2768" t="s">
        <v>10213</v>
      </c>
      <c r="AK2768" t="s">
        <v>10838</v>
      </c>
      <c r="AL2768">
        <v>7.6</v>
      </c>
      <c r="AM2768" t="s">
        <v>10886</v>
      </c>
      <c r="AN2768" t="s">
        <v>10942</v>
      </c>
      <c r="AO2768" t="s">
        <v>11011</v>
      </c>
      <c r="AP2768" t="s">
        <v>11071</v>
      </c>
      <c r="AQ2768" t="s">
        <v>11101</v>
      </c>
      <c r="AR2768" t="s">
        <v>11257</v>
      </c>
      <c r="AS2768" t="s">
        <v>11595</v>
      </c>
      <c r="AX2768" t="s">
        <v>10837</v>
      </c>
      <c r="AY2768" t="s">
        <v>10833</v>
      </c>
      <c r="AZ2768" t="s">
        <v>11687</v>
      </c>
      <c r="BA2768" t="s">
        <v>11739</v>
      </c>
      <c r="BB2768">
        <v>0</v>
      </c>
      <c r="BC2768">
        <v>0</v>
      </c>
      <c r="BD2768">
        <v>0</v>
      </c>
      <c r="BE2768">
        <v>0</v>
      </c>
      <c r="BF2768">
        <v>4</v>
      </c>
      <c r="BG2768">
        <v>0</v>
      </c>
    </row>
    <row r="2769" spans="1:59">
      <c r="A2769" s="1">
        <f>HYPERLINK("https://lsnyc.legalserver.org/matter/dynamic-profile/view/1906777","19-1906777")</f>
        <v>0</v>
      </c>
      <c r="B2769" t="s">
        <v>2344</v>
      </c>
      <c r="C2769" t="s">
        <v>7127</v>
      </c>
      <c r="D2769" t="s">
        <v>9925</v>
      </c>
      <c r="E2769" t="s">
        <v>10075</v>
      </c>
      <c r="F2769">
        <v>10025</v>
      </c>
      <c r="G2769" t="s">
        <v>10089</v>
      </c>
      <c r="H2769" t="s">
        <v>10146</v>
      </c>
      <c r="I2769" t="s">
        <v>10168</v>
      </c>
      <c r="J2769" t="s">
        <v>10209</v>
      </c>
      <c r="K2769" t="s">
        <v>10217</v>
      </c>
      <c r="M2769" t="s">
        <v>10302</v>
      </c>
      <c r="N2769" t="s">
        <v>10681</v>
      </c>
      <c r="P2769" t="s">
        <v>10751</v>
      </c>
      <c r="Q2769" t="s">
        <v>10761</v>
      </c>
      <c r="R2769" t="s">
        <v>10821</v>
      </c>
      <c r="T2769">
        <v>0</v>
      </c>
      <c r="U2769">
        <v>0</v>
      </c>
      <c r="V2769">
        <v>44</v>
      </c>
      <c r="W2769">
        <v>1</v>
      </c>
      <c r="X2769">
        <v>3</v>
      </c>
      <c r="Z2769">
        <v>0</v>
      </c>
      <c r="AA2769">
        <v>40.788706</v>
      </c>
      <c r="AB2769">
        <v>-73.979904</v>
      </c>
      <c r="AD2769" t="s">
        <v>10839</v>
      </c>
      <c r="AG2769" t="s">
        <v>10858</v>
      </c>
      <c r="AH2769" t="s">
        <v>10875</v>
      </c>
      <c r="AI2769">
        <v>236</v>
      </c>
      <c r="AJ2769" t="s">
        <v>10209</v>
      </c>
      <c r="AK2769" t="s">
        <v>10837</v>
      </c>
      <c r="AL2769">
        <v>5.5</v>
      </c>
      <c r="AR2769" t="s">
        <v>11279</v>
      </c>
      <c r="AS2769" t="s">
        <v>9925</v>
      </c>
      <c r="AT2769" t="s">
        <v>11641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</row>
    <row r="2770" spans="1:59">
      <c r="A2770" s="1">
        <f>HYPERLINK("https://lsnyc.legalserver.org/matter/dynamic-profile/view/1906778","19-1906778")</f>
        <v>0</v>
      </c>
      <c r="B2770" t="s">
        <v>2345</v>
      </c>
      <c r="C2770" t="s">
        <v>7128</v>
      </c>
      <c r="D2770" t="s">
        <v>9928</v>
      </c>
      <c r="E2770" t="s">
        <v>10075</v>
      </c>
      <c r="F2770">
        <v>11210</v>
      </c>
      <c r="G2770" t="s">
        <v>10093</v>
      </c>
      <c r="H2770" t="s">
        <v>10102</v>
      </c>
      <c r="I2770" t="s">
        <v>10177</v>
      </c>
      <c r="J2770" t="s">
        <v>10213</v>
      </c>
      <c r="K2770" t="s">
        <v>10218</v>
      </c>
      <c r="L2770" t="s">
        <v>10137</v>
      </c>
      <c r="M2770" t="s">
        <v>10390</v>
      </c>
      <c r="N2770" t="s">
        <v>10644</v>
      </c>
      <c r="P2770" t="s">
        <v>10751</v>
      </c>
      <c r="Q2770" t="s">
        <v>10761</v>
      </c>
      <c r="R2770" t="s">
        <v>10824</v>
      </c>
      <c r="T2770">
        <v>10296</v>
      </c>
      <c r="U2770">
        <v>858</v>
      </c>
      <c r="V2770">
        <v>79</v>
      </c>
      <c r="W2770">
        <v>1</v>
      </c>
      <c r="X2770">
        <v>0</v>
      </c>
      <c r="Y2770" t="s">
        <v>10830</v>
      </c>
      <c r="Z2770">
        <v>82.43000000000001</v>
      </c>
      <c r="AA2770">
        <v>40.634259</v>
      </c>
      <c r="AB2770">
        <v>-73.939909</v>
      </c>
      <c r="AD2770" t="s">
        <v>10839</v>
      </c>
      <c r="AG2770" t="s">
        <v>10858</v>
      </c>
      <c r="AH2770" t="s">
        <v>10869</v>
      </c>
      <c r="AI2770">
        <v>239</v>
      </c>
      <c r="AJ2770" t="s">
        <v>10213</v>
      </c>
      <c r="AK2770" t="s">
        <v>10838</v>
      </c>
      <c r="AL2770">
        <v>4.25</v>
      </c>
      <c r="AM2770" t="s">
        <v>10888</v>
      </c>
      <c r="AN2770" t="s">
        <v>10925</v>
      </c>
      <c r="AO2770" t="s">
        <v>11008</v>
      </c>
      <c r="AP2770" t="s">
        <v>11065</v>
      </c>
      <c r="AQ2770" t="s">
        <v>11135</v>
      </c>
      <c r="AR2770" t="s">
        <v>11263</v>
      </c>
      <c r="AS2770" t="s">
        <v>11595</v>
      </c>
      <c r="AY2770" t="s">
        <v>10830</v>
      </c>
      <c r="AZ2770" t="s">
        <v>11688</v>
      </c>
      <c r="BA2770" t="s">
        <v>11740</v>
      </c>
      <c r="BB2770">
        <v>0</v>
      </c>
      <c r="BC2770">
        <v>0</v>
      </c>
      <c r="BD2770">
        <v>0</v>
      </c>
      <c r="BE2770">
        <v>0</v>
      </c>
      <c r="BF2770">
        <v>2</v>
      </c>
      <c r="BG2770">
        <v>0</v>
      </c>
    </row>
    <row r="2771" spans="1:59">
      <c r="A2771" s="1">
        <f>HYPERLINK("https://lsnyc.legalserver.org/matter/dynamic-profile/view/1906780","19-1906780")</f>
        <v>0</v>
      </c>
      <c r="B2771" t="s">
        <v>2346</v>
      </c>
      <c r="C2771" t="s">
        <v>6999</v>
      </c>
      <c r="D2771" t="s">
        <v>9926</v>
      </c>
      <c r="E2771" t="s">
        <v>10075</v>
      </c>
      <c r="F2771">
        <v>10452</v>
      </c>
      <c r="G2771" t="s">
        <v>10090</v>
      </c>
      <c r="H2771" t="s">
        <v>10113</v>
      </c>
      <c r="I2771" t="s">
        <v>10169</v>
      </c>
      <c r="J2771" t="s">
        <v>10210</v>
      </c>
      <c r="K2771" t="s">
        <v>10217</v>
      </c>
      <c r="M2771" t="s">
        <v>10579</v>
      </c>
      <c r="N2771" t="s">
        <v>10650</v>
      </c>
      <c r="P2771" t="s">
        <v>10749</v>
      </c>
      <c r="Q2771" t="s">
        <v>10765</v>
      </c>
      <c r="R2771" t="s">
        <v>10821</v>
      </c>
      <c r="T2771">
        <v>12600</v>
      </c>
      <c r="U2771">
        <v>1050</v>
      </c>
      <c r="V2771">
        <v>59</v>
      </c>
      <c r="W2771">
        <v>3</v>
      </c>
      <c r="X2771">
        <v>0</v>
      </c>
      <c r="Z2771">
        <v>59.07</v>
      </c>
      <c r="AA2771">
        <v>40.828115</v>
      </c>
      <c r="AB2771">
        <v>-73.923996</v>
      </c>
      <c r="AD2771" t="s">
        <v>10839</v>
      </c>
      <c r="AG2771" t="s">
        <v>10858</v>
      </c>
      <c r="AH2771" t="s">
        <v>10862</v>
      </c>
      <c r="AI2771">
        <v>230</v>
      </c>
      <c r="AJ2771" t="s">
        <v>10210</v>
      </c>
      <c r="AL2771">
        <v>0</v>
      </c>
      <c r="AM2771" t="s">
        <v>10884</v>
      </c>
      <c r="AN2771" t="s">
        <v>10924</v>
      </c>
      <c r="AO2771" t="s">
        <v>11013</v>
      </c>
      <c r="AP2771" t="s">
        <v>11066</v>
      </c>
      <c r="AR2771" t="s">
        <v>11257</v>
      </c>
      <c r="AS2771" t="s">
        <v>9926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</row>
    <row r="2772" spans="1:59">
      <c r="A2772" s="1">
        <f>HYPERLINK("https://lsnyc.legalserver.org/matter/dynamic-profile/view/1906781","19-1906781")</f>
        <v>0</v>
      </c>
      <c r="B2772" t="s">
        <v>2347</v>
      </c>
      <c r="C2772" t="s">
        <v>7129</v>
      </c>
      <c r="D2772" t="s">
        <v>9928</v>
      </c>
      <c r="E2772" t="s">
        <v>10075</v>
      </c>
      <c r="F2772">
        <v>11225</v>
      </c>
      <c r="G2772" t="s">
        <v>10093</v>
      </c>
      <c r="H2772" t="s">
        <v>10146</v>
      </c>
      <c r="I2772" t="s">
        <v>10169</v>
      </c>
      <c r="J2772" t="s">
        <v>10213</v>
      </c>
      <c r="K2772" t="s">
        <v>10218</v>
      </c>
      <c r="L2772" t="s">
        <v>10166</v>
      </c>
      <c r="M2772" t="s">
        <v>10378</v>
      </c>
      <c r="N2772" t="s">
        <v>10698</v>
      </c>
      <c r="P2772" t="s">
        <v>10749</v>
      </c>
      <c r="Q2772" t="s">
        <v>10767</v>
      </c>
      <c r="R2772" t="s">
        <v>10823</v>
      </c>
      <c r="T2772">
        <v>4888</v>
      </c>
      <c r="U2772">
        <v>407.33</v>
      </c>
      <c r="V2772">
        <v>50</v>
      </c>
      <c r="W2772">
        <v>1</v>
      </c>
      <c r="X2772">
        <v>0</v>
      </c>
      <c r="Y2772" t="s">
        <v>10829</v>
      </c>
      <c r="Z2772">
        <v>39.14</v>
      </c>
      <c r="AA2772">
        <v>40.66463</v>
      </c>
      <c r="AB2772">
        <v>-73.95351599999999</v>
      </c>
      <c r="AD2772" t="s">
        <v>10840</v>
      </c>
      <c r="AG2772" t="s">
        <v>10858</v>
      </c>
      <c r="AH2772" t="s">
        <v>10861</v>
      </c>
      <c r="AI2772">
        <v>234</v>
      </c>
      <c r="AJ2772" t="s">
        <v>10214</v>
      </c>
      <c r="AK2772" t="s">
        <v>10838</v>
      </c>
      <c r="AL2772">
        <v>4.95</v>
      </c>
      <c r="AM2772" t="s">
        <v>10888</v>
      </c>
      <c r="AN2772" t="s">
        <v>10912</v>
      </c>
      <c r="AO2772" t="s">
        <v>11005</v>
      </c>
      <c r="AP2772" t="s">
        <v>11061</v>
      </c>
      <c r="AR2772" t="s">
        <v>11255</v>
      </c>
      <c r="AS2772" t="s">
        <v>11595</v>
      </c>
      <c r="AT2772" t="s">
        <v>11642</v>
      </c>
      <c r="AX2772" t="s">
        <v>10837</v>
      </c>
      <c r="AY2772" t="s">
        <v>10829</v>
      </c>
      <c r="AZ2772" t="s">
        <v>11681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</row>
    <row r="2773" spans="1:59">
      <c r="A2773" s="1">
        <f>HYPERLINK("https://lsnyc.legalserver.org/matter/dynamic-profile/view/1906782","19-1906782")</f>
        <v>0</v>
      </c>
      <c r="B2773" t="s">
        <v>2348</v>
      </c>
      <c r="C2773" t="s">
        <v>7130</v>
      </c>
      <c r="D2773" t="s">
        <v>9928</v>
      </c>
      <c r="E2773" t="s">
        <v>10075</v>
      </c>
      <c r="F2773">
        <v>11213</v>
      </c>
      <c r="G2773" t="s">
        <v>10093</v>
      </c>
      <c r="H2773" t="s">
        <v>10146</v>
      </c>
      <c r="J2773" t="s">
        <v>10213</v>
      </c>
      <c r="K2773" t="s">
        <v>10217</v>
      </c>
      <c r="M2773" t="s">
        <v>10356</v>
      </c>
      <c r="N2773" t="s">
        <v>10657</v>
      </c>
      <c r="P2773" t="s">
        <v>10753</v>
      </c>
      <c r="Q2773" t="s">
        <v>10763</v>
      </c>
      <c r="R2773" t="s">
        <v>10821</v>
      </c>
      <c r="T2773">
        <v>46416</v>
      </c>
      <c r="U2773">
        <v>3868</v>
      </c>
      <c r="V2773">
        <v>66</v>
      </c>
      <c r="W2773">
        <v>2</v>
      </c>
      <c r="X2773">
        <v>0</v>
      </c>
      <c r="Z2773">
        <v>274.49</v>
      </c>
      <c r="AA2773">
        <v>40.679907</v>
      </c>
      <c r="AB2773">
        <v>-73.936801</v>
      </c>
      <c r="AD2773" t="s">
        <v>10839</v>
      </c>
      <c r="AG2773" t="s">
        <v>10858</v>
      </c>
      <c r="AH2773" t="s">
        <v>10861</v>
      </c>
      <c r="AI2773">
        <v>239</v>
      </c>
      <c r="AJ2773" t="s">
        <v>10213</v>
      </c>
      <c r="AL2773">
        <v>1</v>
      </c>
      <c r="AM2773" t="s">
        <v>10889</v>
      </c>
      <c r="AN2773" t="s">
        <v>10914</v>
      </c>
      <c r="AO2773" t="s">
        <v>11007</v>
      </c>
      <c r="AP2773" t="s">
        <v>11052</v>
      </c>
      <c r="AR2773" t="s">
        <v>11475</v>
      </c>
      <c r="AS2773" t="s">
        <v>11595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</row>
    <row r="2774" spans="1:59">
      <c r="A2774" s="1">
        <f>HYPERLINK("https://lsnyc.legalserver.org/matter/dynamic-profile/view/1906783","19-1906783")</f>
        <v>0</v>
      </c>
      <c r="B2774" t="s">
        <v>1028</v>
      </c>
      <c r="C2774" t="s">
        <v>7131</v>
      </c>
      <c r="D2774" t="s">
        <v>9938</v>
      </c>
      <c r="E2774" t="s">
        <v>10075</v>
      </c>
      <c r="F2774">
        <v>11433</v>
      </c>
      <c r="G2774" t="s">
        <v>10092</v>
      </c>
      <c r="H2774" t="s">
        <v>10146</v>
      </c>
      <c r="I2774" t="s">
        <v>10168</v>
      </c>
      <c r="J2774" t="s">
        <v>10212</v>
      </c>
      <c r="K2774" t="s">
        <v>10217</v>
      </c>
      <c r="M2774" t="s">
        <v>10410</v>
      </c>
      <c r="N2774" t="s">
        <v>10693</v>
      </c>
      <c r="P2774" t="s">
        <v>10749</v>
      </c>
      <c r="Q2774" t="s">
        <v>10765</v>
      </c>
      <c r="R2774" t="s">
        <v>10824</v>
      </c>
      <c r="T2774">
        <v>15600</v>
      </c>
      <c r="U2774">
        <v>1300</v>
      </c>
      <c r="V2774">
        <v>58</v>
      </c>
      <c r="W2774">
        <v>1</v>
      </c>
      <c r="X2774">
        <v>0</v>
      </c>
      <c r="Z2774">
        <v>124.9</v>
      </c>
      <c r="AA2774">
        <v>40.701354</v>
      </c>
      <c r="AB2774">
        <v>-73.785569</v>
      </c>
      <c r="AD2774" t="s">
        <v>10839</v>
      </c>
      <c r="AG2774" t="s">
        <v>10858</v>
      </c>
      <c r="AH2774" t="s">
        <v>10871</v>
      </c>
      <c r="AI2774">
        <v>234</v>
      </c>
      <c r="AJ2774" t="s">
        <v>10214</v>
      </c>
      <c r="AL2774">
        <v>11.1</v>
      </c>
      <c r="AR2774" t="s">
        <v>11257</v>
      </c>
      <c r="AS2774" t="s">
        <v>11594</v>
      </c>
      <c r="AT2774" t="s">
        <v>11641</v>
      </c>
      <c r="AX2774" t="s">
        <v>10838</v>
      </c>
      <c r="BA2774" t="s">
        <v>11738</v>
      </c>
      <c r="BB2774">
        <v>0</v>
      </c>
      <c r="BC2774">
        <v>0</v>
      </c>
      <c r="BD2774">
        <v>0</v>
      </c>
      <c r="BE2774">
        <v>0</v>
      </c>
      <c r="BF2774">
        <v>5</v>
      </c>
      <c r="BG2774">
        <v>0</v>
      </c>
    </row>
    <row r="2775" spans="1:59">
      <c r="A2775" s="1">
        <f>HYPERLINK("https://lsnyc.legalserver.org/matter/dynamic-profile/view/1906784","19-1906784")</f>
        <v>0</v>
      </c>
      <c r="B2775" t="s">
        <v>2349</v>
      </c>
      <c r="C2775" t="s">
        <v>7132</v>
      </c>
      <c r="D2775" t="s">
        <v>9951</v>
      </c>
      <c r="E2775" t="s">
        <v>10075</v>
      </c>
      <c r="F2775">
        <v>11416</v>
      </c>
      <c r="G2775" t="s">
        <v>10092</v>
      </c>
      <c r="H2775" t="s">
        <v>10146</v>
      </c>
      <c r="I2775" t="s">
        <v>10169</v>
      </c>
      <c r="J2775" t="s">
        <v>10212</v>
      </c>
      <c r="K2775" t="s">
        <v>10217</v>
      </c>
      <c r="M2775" t="s">
        <v>10350</v>
      </c>
      <c r="N2775" t="s">
        <v>10692</v>
      </c>
      <c r="P2775" t="s">
        <v>10754</v>
      </c>
      <c r="Q2775" t="s">
        <v>10777</v>
      </c>
      <c r="R2775" t="s">
        <v>10823</v>
      </c>
      <c r="T2775">
        <v>0</v>
      </c>
      <c r="U2775">
        <v>0</v>
      </c>
      <c r="V2775">
        <v>33</v>
      </c>
      <c r="W2775">
        <v>2</v>
      </c>
      <c r="X2775">
        <v>3</v>
      </c>
      <c r="Z2775">
        <v>0</v>
      </c>
      <c r="AA2775">
        <v>40.682688</v>
      </c>
      <c r="AB2775">
        <v>-73.849435</v>
      </c>
      <c r="AD2775" t="s">
        <v>10839</v>
      </c>
      <c r="AF2775" t="s">
        <v>10842</v>
      </c>
      <c r="AG2775" t="s">
        <v>10859</v>
      </c>
      <c r="AH2775" t="s">
        <v>10865</v>
      </c>
      <c r="AI2775">
        <v>237</v>
      </c>
      <c r="AJ2775" t="s">
        <v>10212</v>
      </c>
      <c r="AL2775">
        <v>6.75</v>
      </c>
      <c r="AM2775" t="s">
        <v>10886</v>
      </c>
      <c r="AN2775" t="s">
        <v>10958</v>
      </c>
      <c r="AO2775" t="s">
        <v>11024</v>
      </c>
      <c r="AP2775" t="s">
        <v>11088</v>
      </c>
      <c r="AR2775" t="s">
        <v>11267</v>
      </c>
      <c r="AS2775" t="s">
        <v>11594</v>
      </c>
      <c r="BA2775" t="s">
        <v>11738</v>
      </c>
      <c r="BB2775">
        <v>0</v>
      </c>
      <c r="BC2775">
        <v>0</v>
      </c>
      <c r="BD2775">
        <v>0</v>
      </c>
      <c r="BE2775">
        <v>0</v>
      </c>
      <c r="BF2775">
        <v>5</v>
      </c>
      <c r="BG2775">
        <v>0</v>
      </c>
    </row>
    <row r="2776" spans="1:59">
      <c r="A2776" s="1">
        <f>HYPERLINK("https://lsnyc.legalserver.org/matter/dynamic-profile/view/1906785","19-1906785")</f>
        <v>0</v>
      </c>
      <c r="B2776" t="s">
        <v>2350</v>
      </c>
      <c r="C2776" t="s">
        <v>7133</v>
      </c>
      <c r="D2776" t="s">
        <v>9929</v>
      </c>
      <c r="E2776" t="s">
        <v>10075</v>
      </c>
      <c r="F2776">
        <v>10301</v>
      </c>
      <c r="G2776" t="s">
        <v>10088</v>
      </c>
      <c r="H2776" t="s">
        <v>10146</v>
      </c>
      <c r="I2776" t="s">
        <v>10168</v>
      </c>
      <c r="J2776" t="s">
        <v>10208</v>
      </c>
      <c r="K2776" t="s">
        <v>10217</v>
      </c>
      <c r="M2776" t="s">
        <v>10237</v>
      </c>
      <c r="N2776" t="s">
        <v>10701</v>
      </c>
      <c r="P2776" t="s">
        <v>10754</v>
      </c>
      <c r="Q2776" t="s">
        <v>10766</v>
      </c>
      <c r="R2776" t="s">
        <v>10822</v>
      </c>
      <c r="T2776">
        <v>28000</v>
      </c>
      <c r="U2776">
        <v>2333.33</v>
      </c>
      <c r="V2776">
        <v>33</v>
      </c>
      <c r="W2776">
        <v>1</v>
      </c>
      <c r="X2776">
        <v>4</v>
      </c>
      <c r="Z2776">
        <v>92.81</v>
      </c>
      <c r="AA2776">
        <v>40.647008</v>
      </c>
      <c r="AB2776">
        <v>-74.088132</v>
      </c>
      <c r="AD2776" t="s">
        <v>10839</v>
      </c>
      <c r="AG2776" t="s">
        <v>10858</v>
      </c>
      <c r="AH2776" t="s">
        <v>10865</v>
      </c>
      <c r="AI2776">
        <v>285</v>
      </c>
      <c r="AJ2776" t="s">
        <v>10208</v>
      </c>
      <c r="AL2776">
        <v>2.3</v>
      </c>
      <c r="AM2776" t="s">
        <v>10883</v>
      </c>
      <c r="AN2776" t="s">
        <v>10913</v>
      </c>
      <c r="AO2776" t="s">
        <v>11006</v>
      </c>
      <c r="AP2776" t="s">
        <v>11051</v>
      </c>
      <c r="AQ2776" t="s">
        <v>11112</v>
      </c>
      <c r="AR2776" t="s">
        <v>11257</v>
      </c>
      <c r="AS2776" t="s">
        <v>11593</v>
      </c>
      <c r="AT2776" t="s">
        <v>11641</v>
      </c>
      <c r="AX2776" t="s">
        <v>10838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</row>
    <row r="2777" spans="1:59">
      <c r="A2777" s="1">
        <f>HYPERLINK("https://lsnyc.legalserver.org/matter/dynamic-profile/view/1906788","19-1906788")</f>
        <v>0</v>
      </c>
      <c r="B2777" t="s">
        <v>2351</v>
      </c>
      <c r="C2777" t="s">
        <v>7134</v>
      </c>
      <c r="D2777" t="s">
        <v>10013</v>
      </c>
      <c r="E2777" t="s">
        <v>10075</v>
      </c>
      <c r="F2777">
        <v>10591</v>
      </c>
      <c r="G2777" t="s">
        <v>10093</v>
      </c>
      <c r="H2777" t="s">
        <v>10146</v>
      </c>
      <c r="I2777" t="s">
        <v>10168</v>
      </c>
      <c r="J2777" t="s">
        <v>10213</v>
      </c>
      <c r="K2777" t="s">
        <v>10218</v>
      </c>
      <c r="L2777" t="s">
        <v>10129</v>
      </c>
      <c r="M2777" t="s">
        <v>10436</v>
      </c>
      <c r="N2777" t="s">
        <v>10710</v>
      </c>
      <c r="P2777" t="s">
        <v>10750</v>
      </c>
      <c r="Q2777" t="s">
        <v>10760</v>
      </c>
      <c r="R2777" t="s">
        <v>10825</v>
      </c>
      <c r="T2777">
        <v>8400</v>
      </c>
      <c r="U2777">
        <v>700</v>
      </c>
      <c r="V2777">
        <v>71</v>
      </c>
      <c r="W2777">
        <v>1</v>
      </c>
      <c r="X2777">
        <v>0</v>
      </c>
      <c r="Y2777" t="s">
        <v>10829</v>
      </c>
      <c r="Z2777">
        <v>67.25</v>
      </c>
      <c r="AA2777">
        <v>41.084504</v>
      </c>
      <c r="AB2777">
        <v>-73.86226000000001</v>
      </c>
      <c r="AD2777" t="s">
        <v>10839</v>
      </c>
      <c r="AG2777" t="s">
        <v>10858</v>
      </c>
      <c r="AH2777" t="s">
        <v>10861</v>
      </c>
      <c r="AI2777">
        <v>234</v>
      </c>
      <c r="AJ2777" t="s">
        <v>10214</v>
      </c>
      <c r="AK2777" t="s">
        <v>10838</v>
      </c>
      <c r="AL2777">
        <v>1.3</v>
      </c>
      <c r="AM2777" t="s">
        <v>10896</v>
      </c>
      <c r="AN2777" t="s">
        <v>10985</v>
      </c>
      <c r="AO2777" t="s">
        <v>11038</v>
      </c>
      <c r="AR2777" t="s">
        <v>11316</v>
      </c>
      <c r="AS2777" t="s">
        <v>11604</v>
      </c>
      <c r="AT2777" t="s">
        <v>11641</v>
      </c>
      <c r="AX2777" t="s">
        <v>10838</v>
      </c>
      <c r="AY2777" t="s">
        <v>10829</v>
      </c>
      <c r="AZ2777" t="s">
        <v>11679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</row>
    <row r="2778" spans="1:59">
      <c r="A2778" s="1">
        <f>HYPERLINK("https://lsnyc.legalserver.org/matter/dynamic-profile/view/1906790","19-1906790")</f>
        <v>0</v>
      </c>
      <c r="B2778" t="s">
        <v>2352</v>
      </c>
      <c r="C2778" t="s">
        <v>7135</v>
      </c>
      <c r="D2778" t="s">
        <v>9941</v>
      </c>
      <c r="E2778" t="s">
        <v>10075</v>
      </c>
      <c r="F2778">
        <v>11428</v>
      </c>
      <c r="G2778" t="s">
        <v>10092</v>
      </c>
      <c r="H2778" t="s">
        <v>10146</v>
      </c>
      <c r="I2778" t="s">
        <v>10168</v>
      </c>
      <c r="J2778" t="s">
        <v>10212</v>
      </c>
      <c r="K2778" t="s">
        <v>10217</v>
      </c>
      <c r="M2778" t="s">
        <v>10416</v>
      </c>
      <c r="N2778" t="s">
        <v>10678</v>
      </c>
      <c r="P2778" t="s">
        <v>10749</v>
      </c>
      <c r="Q2778" t="s">
        <v>10769</v>
      </c>
      <c r="R2778" t="s">
        <v>10824</v>
      </c>
      <c r="T2778">
        <v>0</v>
      </c>
      <c r="U2778">
        <v>0</v>
      </c>
      <c r="V2778">
        <v>58</v>
      </c>
      <c r="W2778">
        <v>2</v>
      </c>
      <c r="X2778">
        <v>0</v>
      </c>
      <c r="Z2778">
        <v>0</v>
      </c>
      <c r="AA2778">
        <v>40.71982</v>
      </c>
      <c r="AB2778">
        <v>-73.743002</v>
      </c>
      <c r="AD2778" t="s">
        <v>10839</v>
      </c>
      <c r="AG2778" t="s">
        <v>10858</v>
      </c>
      <c r="AH2778" t="s">
        <v>10861</v>
      </c>
      <c r="AI2778">
        <v>234</v>
      </c>
      <c r="AJ2778" t="s">
        <v>10214</v>
      </c>
      <c r="AL2778">
        <v>1.75</v>
      </c>
      <c r="AM2778" t="s">
        <v>10892</v>
      </c>
      <c r="AN2778" t="s">
        <v>10940</v>
      </c>
      <c r="AO2778" t="s">
        <v>11020</v>
      </c>
      <c r="AP2778" t="s">
        <v>11078</v>
      </c>
      <c r="AR2778" t="s">
        <v>11267</v>
      </c>
      <c r="AS2778" t="s">
        <v>11594</v>
      </c>
      <c r="AT2778" t="s">
        <v>11641</v>
      </c>
      <c r="AX2778" t="s">
        <v>10838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</row>
    <row r="2779" spans="1:59">
      <c r="A2779" s="1">
        <f>HYPERLINK("https://lsnyc.legalserver.org/matter/dynamic-profile/view/1906791","19-1906791")</f>
        <v>0</v>
      </c>
      <c r="B2779" t="s">
        <v>2353</v>
      </c>
      <c r="C2779" t="s">
        <v>7086</v>
      </c>
      <c r="D2779" t="s">
        <v>9928</v>
      </c>
      <c r="E2779" t="s">
        <v>10075</v>
      </c>
      <c r="F2779">
        <v>11213</v>
      </c>
      <c r="G2779" t="s">
        <v>10093</v>
      </c>
      <c r="H2779" t="s">
        <v>10146</v>
      </c>
      <c r="I2779" t="s">
        <v>10168</v>
      </c>
      <c r="J2779" t="s">
        <v>10213</v>
      </c>
      <c r="K2779" t="s">
        <v>10218</v>
      </c>
      <c r="L2779" t="s">
        <v>10142</v>
      </c>
      <c r="M2779" t="s">
        <v>10420</v>
      </c>
      <c r="N2779" t="s">
        <v>10657</v>
      </c>
      <c r="P2779" t="s">
        <v>10753</v>
      </c>
      <c r="Q2779" t="s">
        <v>10763</v>
      </c>
      <c r="R2779" t="s">
        <v>10828</v>
      </c>
      <c r="T2779">
        <v>0</v>
      </c>
      <c r="U2779">
        <v>0</v>
      </c>
      <c r="V2779">
        <v>77</v>
      </c>
      <c r="W2779">
        <v>1</v>
      </c>
      <c r="X2779">
        <v>0</v>
      </c>
      <c r="Y2779" t="s">
        <v>10829</v>
      </c>
      <c r="Z2779">
        <v>0</v>
      </c>
      <c r="AA2779">
        <v>40.67619</v>
      </c>
      <c r="AB2779">
        <v>-73.946499</v>
      </c>
      <c r="AD2779" t="s">
        <v>10840</v>
      </c>
      <c r="AF2779" t="s">
        <v>10844</v>
      </c>
      <c r="AG2779" t="s">
        <v>10859</v>
      </c>
      <c r="AH2779" t="s">
        <v>10861</v>
      </c>
      <c r="AI2779">
        <v>239</v>
      </c>
      <c r="AJ2779" t="s">
        <v>10213</v>
      </c>
      <c r="AK2779" t="s">
        <v>10838</v>
      </c>
      <c r="AL2779">
        <v>0.6</v>
      </c>
      <c r="AM2779" t="s">
        <v>10888</v>
      </c>
      <c r="AN2779" t="s">
        <v>10912</v>
      </c>
      <c r="AO2779" t="s">
        <v>11007</v>
      </c>
      <c r="AP2779" t="s">
        <v>11052</v>
      </c>
      <c r="AR2779" t="s">
        <v>11267</v>
      </c>
      <c r="AS2779" t="s">
        <v>11595</v>
      </c>
      <c r="AW2779" t="s">
        <v>11674</v>
      </c>
      <c r="AY2779" t="s">
        <v>10829</v>
      </c>
      <c r="AZ2779" t="s">
        <v>11709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</row>
    <row r="2780" spans="1:59">
      <c r="A2780" s="1">
        <f>HYPERLINK("https://lsnyc.legalserver.org/matter/dynamic-profile/view/1906792","19-1906792")</f>
        <v>0</v>
      </c>
      <c r="B2780" t="s">
        <v>2354</v>
      </c>
      <c r="C2780" t="s">
        <v>7136</v>
      </c>
      <c r="D2780" t="s">
        <v>9926</v>
      </c>
      <c r="E2780" t="s">
        <v>10075</v>
      </c>
      <c r="F2780">
        <v>10453</v>
      </c>
      <c r="G2780" t="s">
        <v>10090</v>
      </c>
      <c r="H2780" t="s">
        <v>10146</v>
      </c>
      <c r="I2780" t="s">
        <v>10169</v>
      </c>
      <c r="J2780" t="s">
        <v>10210</v>
      </c>
      <c r="K2780" t="s">
        <v>10217</v>
      </c>
      <c r="M2780" t="s">
        <v>10495</v>
      </c>
      <c r="N2780" t="s">
        <v>10658</v>
      </c>
      <c r="P2780" t="s">
        <v>10749</v>
      </c>
      <c r="Q2780" t="s">
        <v>10759</v>
      </c>
      <c r="R2780" t="s">
        <v>10821</v>
      </c>
      <c r="T2780">
        <v>41600</v>
      </c>
      <c r="U2780">
        <v>3466.67</v>
      </c>
      <c r="V2780">
        <v>53</v>
      </c>
      <c r="W2780">
        <v>1</v>
      </c>
      <c r="X2780">
        <v>0</v>
      </c>
      <c r="Z2780">
        <v>333.07</v>
      </c>
      <c r="AA2780">
        <v>40.849249</v>
      </c>
      <c r="AB2780">
        <v>-73.920011</v>
      </c>
      <c r="AD2780" t="s">
        <v>10839</v>
      </c>
      <c r="AG2780" t="s">
        <v>10858</v>
      </c>
      <c r="AH2780" t="s">
        <v>10861</v>
      </c>
      <c r="AI2780">
        <v>234</v>
      </c>
      <c r="AJ2780" t="s">
        <v>10214</v>
      </c>
      <c r="AL2780">
        <v>3.35</v>
      </c>
      <c r="AM2780" t="s">
        <v>10884</v>
      </c>
      <c r="AN2780" t="s">
        <v>10929</v>
      </c>
      <c r="AO2780" t="s">
        <v>11013</v>
      </c>
      <c r="AP2780" t="s">
        <v>11045</v>
      </c>
      <c r="AR2780" t="s">
        <v>11356</v>
      </c>
      <c r="AS2780" t="s">
        <v>9926</v>
      </c>
      <c r="AT2780" t="s">
        <v>11641</v>
      </c>
      <c r="AX2780" t="s">
        <v>10838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</row>
    <row r="2781" spans="1:59">
      <c r="A2781" s="1">
        <f>HYPERLINK("https://lsnyc.legalserver.org/matter/dynamic-profile/view/1906793","19-1906793")</f>
        <v>0</v>
      </c>
      <c r="B2781" t="s">
        <v>2355</v>
      </c>
      <c r="C2781" t="s">
        <v>7137</v>
      </c>
      <c r="D2781" t="s">
        <v>9925</v>
      </c>
      <c r="E2781" t="s">
        <v>10075</v>
      </c>
      <c r="F2781">
        <v>10026</v>
      </c>
      <c r="G2781" t="s">
        <v>10089</v>
      </c>
      <c r="H2781" t="s">
        <v>10146</v>
      </c>
      <c r="I2781" t="s">
        <v>10168</v>
      </c>
      <c r="J2781" t="s">
        <v>10209</v>
      </c>
      <c r="K2781" t="s">
        <v>10217</v>
      </c>
      <c r="M2781" t="s">
        <v>10381</v>
      </c>
      <c r="N2781" t="s">
        <v>10656</v>
      </c>
      <c r="P2781" t="s">
        <v>10751</v>
      </c>
      <c r="Q2781" t="s">
        <v>10780</v>
      </c>
      <c r="R2781" t="s">
        <v>10824</v>
      </c>
      <c r="T2781">
        <v>13035</v>
      </c>
      <c r="U2781">
        <v>1086.25</v>
      </c>
      <c r="V2781">
        <v>38</v>
      </c>
      <c r="W2781">
        <v>1</v>
      </c>
      <c r="X2781">
        <v>2</v>
      </c>
      <c r="Z2781">
        <v>61.11</v>
      </c>
      <c r="AA2781">
        <v>40.798978</v>
      </c>
      <c r="AB2781">
        <v>-73.949251</v>
      </c>
      <c r="AD2781" t="s">
        <v>10839</v>
      </c>
      <c r="AG2781" t="s">
        <v>10858</v>
      </c>
      <c r="AH2781" t="s">
        <v>10866</v>
      </c>
      <c r="AI2781">
        <v>236</v>
      </c>
      <c r="AJ2781" t="s">
        <v>10209</v>
      </c>
      <c r="AL2781">
        <v>8.449999999999999</v>
      </c>
      <c r="AM2781" t="s">
        <v>10887</v>
      </c>
      <c r="AN2781" t="s">
        <v>10926</v>
      </c>
      <c r="AO2781" t="s">
        <v>11016</v>
      </c>
      <c r="AP2781" t="s">
        <v>11076</v>
      </c>
      <c r="AR2781" t="s">
        <v>11452</v>
      </c>
      <c r="AS2781" t="s">
        <v>9925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</row>
    <row r="2782" spans="1:59">
      <c r="A2782" s="1">
        <f>HYPERLINK("https://lsnyc.legalserver.org/matter/dynamic-profile/view/1906794","19-1906794")</f>
        <v>0</v>
      </c>
      <c r="B2782" t="s">
        <v>2356</v>
      </c>
      <c r="C2782" t="s">
        <v>7138</v>
      </c>
      <c r="D2782" t="s">
        <v>9928</v>
      </c>
      <c r="E2782" t="s">
        <v>10075</v>
      </c>
      <c r="F2782">
        <v>11216</v>
      </c>
      <c r="G2782" t="s">
        <v>10093</v>
      </c>
      <c r="H2782" t="s">
        <v>10146</v>
      </c>
      <c r="J2782" t="s">
        <v>10213</v>
      </c>
      <c r="K2782" t="s">
        <v>10218</v>
      </c>
      <c r="L2782" t="s">
        <v>10127</v>
      </c>
      <c r="M2782" t="s">
        <v>10585</v>
      </c>
      <c r="N2782" t="s">
        <v>10653</v>
      </c>
      <c r="P2782" t="s">
        <v>10749</v>
      </c>
      <c r="Q2782" t="s">
        <v>10769</v>
      </c>
      <c r="R2782" t="s">
        <v>10824</v>
      </c>
      <c r="T2782">
        <v>19164</v>
      </c>
      <c r="U2782">
        <v>1597</v>
      </c>
      <c r="V2782">
        <v>66</v>
      </c>
      <c r="W2782">
        <v>1</v>
      </c>
      <c r="X2782">
        <v>0</v>
      </c>
      <c r="Y2782" t="s">
        <v>10829</v>
      </c>
      <c r="Z2782">
        <v>153.43</v>
      </c>
      <c r="AA2782">
        <v>40.676734</v>
      </c>
      <c r="AB2782">
        <v>-73.942824</v>
      </c>
      <c r="AD2782" t="s">
        <v>10839</v>
      </c>
      <c r="AG2782" t="s">
        <v>10858</v>
      </c>
      <c r="AH2782" t="s">
        <v>10861</v>
      </c>
      <c r="AI2782">
        <v>239</v>
      </c>
      <c r="AJ2782" t="s">
        <v>10213</v>
      </c>
      <c r="AK2782" t="s">
        <v>10882</v>
      </c>
      <c r="AL2782">
        <v>0.9</v>
      </c>
      <c r="AM2782" t="s">
        <v>10889</v>
      </c>
      <c r="AN2782" t="s">
        <v>10914</v>
      </c>
      <c r="AO2782" t="s">
        <v>11007</v>
      </c>
      <c r="AP2782" t="s">
        <v>11052</v>
      </c>
      <c r="AR2782" t="s">
        <v>11336</v>
      </c>
      <c r="AS2782" t="s">
        <v>11595</v>
      </c>
      <c r="AY2782" t="s">
        <v>10829</v>
      </c>
      <c r="AZ2782" t="s">
        <v>11681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</row>
    <row r="2783" spans="1:59">
      <c r="A2783" s="1">
        <f>HYPERLINK("https://lsnyc.legalserver.org/matter/dynamic-profile/view/1906795","19-1906795")</f>
        <v>0</v>
      </c>
      <c r="B2783" t="s">
        <v>2357</v>
      </c>
      <c r="C2783" t="s">
        <v>7139</v>
      </c>
      <c r="D2783" t="s">
        <v>9926</v>
      </c>
      <c r="E2783" t="s">
        <v>10075</v>
      </c>
      <c r="F2783">
        <v>10462</v>
      </c>
      <c r="G2783" t="s">
        <v>10090</v>
      </c>
      <c r="H2783" t="s">
        <v>10147</v>
      </c>
      <c r="I2783" t="s">
        <v>10168</v>
      </c>
      <c r="J2783" t="s">
        <v>10210</v>
      </c>
      <c r="K2783" t="s">
        <v>10218</v>
      </c>
      <c r="L2783" t="s">
        <v>10157</v>
      </c>
      <c r="M2783" t="s">
        <v>10546</v>
      </c>
      <c r="N2783" t="s">
        <v>10651</v>
      </c>
      <c r="P2783" t="s">
        <v>10749</v>
      </c>
      <c r="Q2783" t="s">
        <v>10765</v>
      </c>
      <c r="R2783" t="s">
        <v>10821</v>
      </c>
      <c r="T2783">
        <v>2196</v>
      </c>
      <c r="U2783">
        <v>183</v>
      </c>
      <c r="V2783">
        <v>40</v>
      </c>
      <c r="W2783">
        <v>1</v>
      </c>
      <c r="X2783">
        <v>0</v>
      </c>
      <c r="Y2783" t="s">
        <v>10829</v>
      </c>
      <c r="Z2783">
        <v>17.58</v>
      </c>
      <c r="AA2783">
        <v>40.854152</v>
      </c>
      <c r="AB2783">
        <v>-73.861662</v>
      </c>
      <c r="AD2783" t="s">
        <v>10839</v>
      </c>
      <c r="AG2783" t="s">
        <v>10858</v>
      </c>
      <c r="AH2783" t="s">
        <v>10862</v>
      </c>
      <c r="AI2783">
        <v>230</v>
      </c>
      <c r="AJ2783" t="s">
        <v>10210</v>
      </c>
      <c r="AK2783" t="s">
        <v>10838</v>
      </c>
      <c r="AL2783">
        <v>8.5</v>
      </c>
      <c r="AM2783" t="s">
        <v>10885</v>
      </c>
      <c r="AN2783" t="s">
        <v>10938</v>
      </c>
      <c r="AO2783" t="s">
        <v>11002</v>
      </c>
      <c r="AP2783" t="s">
        <v>11049</v>
      </c>
      <c r="AR2783" t="s">
        <v>11255</v>
      </c>
      <c r="AS2783" t="s">
        <v>9926</v>
      </c>
      <c r="AT2783" t="s">
        <v>11641</v>
      </c>
      <c r="AX2783" t="s">
        <v>10838</v>
      </c>
      <c r="AY2783" t="s">
        <v>10829</v>
      </c>
      <c r="AZ2783" t="s">
        <v>11681</v>
      </c>
      <c r="BA2783" t="s">
        <v>11741</v>
      </c>
      <c r="BB2783">
        <v>0</v>
      </c>
      <c r="BC2783">
        <v>0</v>
      </c>
      <c r="BD2783">
        <v>0</v>
      </c>
      <c r="BE2783">
        <v>0</v>
      </c>
      <c r="BF2783">
        <v>1</v>
      </c>
      <c r="BG2783">
        <v>0</v>
      </c>
    </row>
    <row r="2784" spans="1:59">
      <c r="A2784" s="1">
        <f>HYPERLINK("https://lsnyc.legalserver.org/matter/dynamic-profile/view/1906796","19-1906796")</f>
        <v>0</v>
      </c>
      <c r="C2784" t="s">
        <v>7140</v>
      </c>
      <c r="D2784" t="s">
        <v>9928</v>
      </c>
      <c r="E2784" t="s">
        <v>10075</v>
      </c>
      <c r="F2784">
        <v>11203</v>
      </c>
      <c r="G2784" t="s">
        <v>10093</v>
      </c>
      <c r="H2784" t="s">
        <v>10146</v>
      </c>
      <c r="J2784" t="s">
        <v>10213</v>
      </c>
      <c r="K2784" t="s">
        <v>10218</v>
      </c>
      <c r="L2784" t="s">
        <v>10116</v>
      </c>
      <c r="M2784" t="s">
        <v>10470</v>
      </c>
      <c r="N2784" t="s">
        <v>10660</v>
      </c>
      <c r="P2784" t="s">
        <v>10749</v>
      </c>
      <c r="Q2784" t="s">
        <v>10769</v>
      </c>
      <c r="R2784" t="s">
        <v>10824</v>
      </c>
      <c r="T2784">
        <v>48000</v>
      </c>
      <c r="U2784">
        <v>4000</v>
      </c>
      <c r="V2784">
        <v>0</v>
      </c>
      <c r="W2784">
        <v>1</v>
      </c>
      <c r="X2784">
        <v>0</v>
      </c>
      <c r="Y2784" t="s">
        <v>10830</v>
      </c>
      <c r="Z2784">
        <v>384.31</v>
      </c>
      <c r="AA2784">
        <v>40.637549</v>
      </c>
      <c r="AB2784">
        <v>-73.935925</v>
      </c>
      <c r="AD2784" t="s">
        <v>10839</v>
      </c>
      <c r="AG2784" t="s">
        <v>10858</v>
      </c>
      <c r="AH2784" t="s">
        <v>10860</v>
      </c>
      <c r="AI2784">
        <v>239</v>
      </c>
      <c r="AJ2784" t="s">
        <v>10213</v>
      </c>
      <c r="AK2784" t="s">
        <v>10838</v>
      </c>
      <c r="AL2784">
        <v>7.7</v>
      </c>
      <c r="AM2784" t="s">
        <v>10888</v>
      </c>
      <c r="AN2784" t="s">
        <v>10925</v>
      </c>
      <c r="AO2784" t="s">
        <v>11008</v>
      </c>
      <c r="AP2784" t="s">
        <v>11065</v>
      </c>
      <c r="AR2784" t="s">
        <v>11256</v>
      </c>
      <c r="AS2784" t="s">
        <v>11595</v>
      </c>
      <c r="AY2784" t="s">
        <v>10830</v>
      </c>
      <c r="AZ2784" t="s">
        <v>11684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</row>
    <row r="2785" spans="1:59">
      <c r="A2785" s="1">
        <f>HYPERLINK("https://lsnyc.legalserver.org/matter/dynamic-profile/view/1906798","19-1906798")</f>
        <v>0</v>
      </c>
      <c r="B2785" t="s">
        <v>2358</v>
      </c>
      <c r="C2785" t="s">
        <v>7141</v>
      </c>
      <c r="D2785" t="s">
        <v>9929</v>
      </c>
      <c r="E2785" t="s">
        <v>10075</v>
      </c>
      <c r="F2785">
        <v>10304</v>
      </c>
      <c r="G2785" t="s">
        <v>10088</v>
      </c>
      <c r="H2785" t="s">
        <v>10146</v>
      </c>
      <c r="I2785" t="s">
        <v>10184</v>
      </c>
      <c r="J2785" t="s">
        <v>10208</v>
      </c>
      <c r="K2785" t="s">
        <v>10217</v>
      </c>
      <c r="M2785" t="s">
        <v>10237</v>
      </c>
      <c r="N2785" t="s">
        <v>10652</v>
      </c>
      <c r="P2785" t="s">
        <v>10754</v>
      </c>
      <c r="Q2785" t="s">
        <v>10771</v>
      </c>
      <c r="R2785" t="s">
        <v>10827</v>
      </c>
      <c r="T2785">
        <v>22100</v>
      </c>
      <c r="U2785">
        <v>1841.67</v>
      </c>
      <c r="V2785">
        <v>43</v>
      </c>
      <c r="W2785">
        <v>1</v>
      </c>
      <c r="X2785">
        <v>2</v>
      </c>
      <c r="Z2785">
        <v>103.61</v>
      </c>
      <c r="AA2785">
        <v>40.602923</v>
      </c>
      <c r="AB2785">
        <v>-74.08880499999999</v>
      </c>
      <c r="AD2785" t="s">
        <v>10839</v>
      </c>
      <c r="AG2785" t="s">
        <v>10858</v>
      </c>
      <c r="AH2785" t="s">
        <v>10865</v>
      </c>
      <c r="AI2785">
        <v>285</v>
      </c>
      <c r="AJ2785" t="s">
        <v>10208</v>
      </c>
      <c r="AL2785">
        <v>0.8</v>
      </c>
      <c r="AM2785" t="s">
        <v>10883</v>
      </c>
      <c r="AN2785" t="s">
        <v>10928</v>
      </c>
      <c r="AO2785" t="s">
        <v>10999</v>
      </c>
      <c r="AP2785" t="s">
        <v>11063</v>
      </c>
      <c r="AR2785" t="s">
        <v>11257</v>
      </c>
      <c r="AS2785" t="s">
        <v>11593</v>
      </c>
      <c r="AT2785" t="s">
        <v>11641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</row>
    <row r="2786" spans="1:59">
      <c r="A2786" s="1">
        <f>HYPERLINK("https://lsnyc.legalserver.org/matter/dynamic-profile/view/1906799","19-1906799")</f>
        <v>0</v>
      </c>
      <c r="B2786" t="s">
        <v>2359</v>
      </c>
      <c r="C2786" t="s">
        <v>7142</v>
      </c>
      <c r="D2786" t="s">
        <v>9928</v>
      </c>
      <c r="E2786" t="s">
        <v>10075</v>
      </c>
      <c r="F2786">
        <v>11212</v>
      </c>
      <c r="G2786" t="s">
        <v>10093</v>
      </c>
      <c r="H2786" t="s">
        <v>10146</v>
      </c>
      <c r="I2786" t="s">
        <v>10168</v>
      </c>
      <c r="J2786" t="s">
        <v>10213</v>
      </c>
      <c r="K2786" t="s">
        <v>10218</v>
      </c>
      <c r="L2786" t="s">
        <v>10146</v>
      </c>
      <c r="M2786" t="s">
        <v>10429</v>
      </c>
      <c r="N2786" t="s">
        <v>10657</v>
      </c>
      <c r="P2786" t="s">
        <v>10749</v>
      </c>
      <c r="Q2786" t="s">
        <v>10765</v>
      </c>
      <c r="R2786" t="s">
        <v>10824</v>
      </c>
      <c r="T2786">
        <v>60000</v>
      </c>
      <c r="U2786">
        <v>5000</v>
      </c>
      <c r="V2786">
        <v>70</v>
      </c>
      <c r="W2786">
        <v>1</v>
      </c>
      <c r="X2786">
        <v>0</v>
      </c>
      <c r="Y2786" t="s">
        <v>10829</v>
      </c>
      <c r="Z2786">
        <v>480.38</v>
      </c>
      <c r="AA2786">
        <v>40.659513</v>
      </c>
      <c r="AB2786">
        <v>-73.903569</v>
      </c>
      <c r="AC2786" t="s">
        <v>10837</v>
      </c>
      <c r="AD2786" t="s">
        <v>10840</v>
      </c>
      <c r="AG2786" t="s">
        <v>10858</v>
      </c>
      <c r="AH2786" t="s">
        <v>10861</v>
      </c>
      <c r="AI2786">
        <v>239</v>
      </c>
      <c r="AJ2786" t="s">
        <v>10213</v>
      </c>
      <c r="AK2786" t="s">
        <v>10838</v>
      </c>
      <c r="AL2786">
        <v>0.7</v>
      </c>
      <c r="AM2786" t="s">
        <v>10888</v>
      </c>
      <c r="AN2786" t="s">
        <v>10946</v>
      </c>
      <c r="AO2786" t="s">
        <v>11012</v>
      </c>
      <c r="AP2786" t="s">
        <v>11060</v>
      </c>
      <c r="AR2786" t="s">
        <v>11379</v>
      </c>
      <c r="AS2786" t="s">
        <v>11595</v>
      </c>
      <c r="AY2786" t="s">
        <v>10829</v>
      </c>
      <c r="AZ2786" t="s">
        <v>11681</v>
      </c>
      <c r="BA2786" t="s">
        <v>11741</v>
      </c>
      <c r="BB2786">
        <v>0</v>
      </c>
      <c r="BC2786">
        <v>0</v>
      </c>
      <c r="BD2786">
        <v>0</v>
      </c>
      <c r="BE2786">
        <v>0</v>
      </c>
      <c r="BF2786">
        <v>1</v>
      </c>
      <c r="BG2786">
        <v>0</v>
      </c>
    </row>
    <row r="2787" spans="1:59">
      <c r="A2787" s="1">
        <f>HYPERLINK("https://lsnyc.legalserver.org/matter/dynamic-profile/view/1906800","19-1906800")</f>
        <v>0</v>
      </c>
      <c r="B2787" t="s">
        <v>2360</v>
      </c>
      <c r="C2787" t="s">
        <v>7143</v>
      </c>
      <c r="D2787" t="s">
        <v>9926</v>
      </c>
      <c r="E2787" t="s">
        <v>10075</v>
      </c>
      <c r="F2787">
        <v>10468</v>
      </c>
      <c r="G2787" t="s">
        <v>10090</v>
      </c>
      <c r="H2787" t="s">
        <v>10146</v>
      </c>
      <c r="I2787" t="s">
        <v>10169</v>
      </c>
      <c r="J2787" t="s">
        <v>10215</v>
      </c>
      <c r="K2787" t="s">
        <v>10217</v>
      </c>
      <c r="M2787" t="s">
        <v>10306</v>
      </c>
      <c r="N2787" t="s">
        <v>10651</v>
      </c>
      <c r="P2787" t="s">
        <v>10749</v>
      </c>
      <c r="Q2787" t="s">
        <v>10765</v>
      </c>
      <c r="R2787" t="s">
        <v>10821</v>
      </c>
      <c r="T2787">
        <v>33408</v>
      </c>
      <c r="U2787">
        <v>2784</v>
      </c>
      <c r="V2787">
        <v>47</v>
      </c>
      <c r="W2787">
        <v>2</v>
      </c>
      <c r="X2787">
        <v>0</v>
      </c>
      <c r="Z2787">
        <v>197.56</v>
      </c>
      <c r="AA2787">
        <v>40.870129</v>
      </c>
      <c r="AB2787">
        <v>-73.893406</v>
      </c>
      <c r="AD2787" t="s">
        <v>10839</v>
      </c>
      <c r="AF2787" t="s">
        <v>10843</v>
      </c>
      <c r="AG2787" t="s">
        <v>10859</v>
      </c>
      <c r="AH2787" t="s">
        <v>10862</v>
      </c>
      <c r="AI2787">
        <v>231</v>
      </c>
      <c r="AJ2787" t="s">
        <v>10215</v>
      </c>
      <c r="AL2787">
        <v>5.3</v>
      </c>
      <c r="AM2787" t="s">
        <v>10887</v>
      </c>
      <c r="AN2787" t="s">
        <v>10907</v>
      </c>
      <c r="AO2787" t="s">
        <v>11000</v>
      </c>
      <c r="AP2787" t="s">
        <v>11045</v>
      </c>
      <c r="AR2787" t="s">
        <v>11476</v>
      </c>
      <c r="AS2787" t="s">
        <v>9926</v>
      </c>
      <c r="AT2787" t="s">
        <v>11641</v>
      </c>
      <c r="AW2787" t="s">
        <v>11645</v>
      </c>
      <c r="AX2787" t="s">
        <v>10838</v>
      </c>
      <c r="BA2787" t="s">
        <v>11738</v>
      </c>
      <c r="BB2787">
        <v>0</v>
      </c>
      <c r="BC2787">
        <v>0</v>
      </c>
      <c r="BD2787">
        <v>0</v>
      </c>
      <c r="BE2787">
        <v>0</v>
      </c>
      <c r="BF2787">
        <v>5</v>
      </c>
      <c r="BG2787">
        <v>0</v>
      </c>
    </row>
    <row r="2788" spans="1:59">
      <c r="A2788" s="1">
        <f>HYPERLINK("https://lsnyc.legalserver.org/matter/dynamic-profile/view/1906801","19-1906801")</f>
        <v>0</v>
      </c>
      <c r="B2788" t="s">
        <v>2360</v>
      </c>
      <c r="C2788" t="s">
        <v>7143</v>
      </c>
      <c r="D2788" t="s">
        <v>9926</v>
      </c>
      <c r="E2788" t="s">
        <v>10075</v>
      </c>
      <c r="F2788">
        <v>10468</v>
      </c>
      <c r="G2788" t="s">
        <v>10090</v>
      </c>
      <c r="H2788" t="s">
        <v>10146</v>
      </c>
      <c r="I2788" t="s">
        <v>10169</v>
      </c>
      <c r="J2788" t="s">
        <v>10215</v>
      </c>
      <c r="K2788" t="s">
        <v>10217</v>
      </c>
      <c r="M2788" t="s">
        <v>10303</v>
      </c>
      <c r="N2788" t="s">
        <v>10671</v>
      </c>
      <c r="P2788" t="s">
        <v>10751</v>
      </c>
      <c r="Q2788" t="s">
        <v>10761</v>
      </c>
      <c r="R2788" t="s">
        <v>10821</v>
      </c>
      <c r="T2788">
        <v>33408</v>
      </c>
      <c r="U2788">
        <v>2784</v>
      </c>
      <c r="V2788">
        <v>47</v>
      </c>
      <c r="W2788">
        <v>2</v>
      </c>
      <c r="X2788">
        <v>0</v>
      </c>
      <c r="Z2788">
        <v>197.56</v>
      </c>
      <c r="AA2788">
        <v>40.870129</v>
      </c>
      <c r="AB2788">
        <v>-73.893406</v>
      </c>
      <c r="AD2788" t="s">
        <v>10839</v>
      </c>
      <c r="AF2788" t="s">
        <v>10843</v>
      </c>
      <c r="AG2788" t="s">
        <v>10859</v>
      </c>
      <c r="AH2788" t="s">
        <v>10862</v>
      </c>
      <c r="AI2788">
        <v>231</v>
      </c>
      <c r="AJ2788" t="s">
        <v>10215</v>
      </c>
      <c r="AL2788">
        <v>0.1</v>
      </c>
      <c r="AR2788" t="s">
        <v>11476</v>
      </c>
      <c r="AS2788" t="s">
        <v>9926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</row>
    <row r="2789" spans="1:59">
      <c r="A2789" s="1">
        <f>HYPERLINK("https://lsnyc.legalserver.org/matter/dynamic-profile/view/1906802","19-1906802")</f>
        <v>0</v>
      </c>
      <c r="B2789" t="s">
        <v>2361</v>
      </c>
      <c r="C2789" t="s">
        <v>7073</v>
      </c>
      <c r="D2789" t="s">
        <v>9928</v>
      </c>
      <c r="E2789" t="s">
        <v>10075</v>
      </c>
      <c r="F2789">
        <v>11238</v>
      </c>
      <c r="G2789" t="s">
        <v>10093</v>
      </c>
      <c r="H2789" t="s">
        <v>10146</v>
      </c>
      <c r="I2789" t="s">
        <v>10168</v>
      </c>
      <c r="J2789" t="s">
        <v>10213</v>
      </c>
      <c r="K2789" t="s">
        <v>10218</v>
      </c>
      <c r="L2789" t="s">
        <v>10223</v>
      </c>
      <c r="M2789" t="s">
        <v>10247</v>
      </c>
      <c r="N2789" t="s">
        <v>10657</v>
      </c>
      <c r="P2789" t="s">
        <v>10754</v>
      </c>
      <c r="Q2789" t="s">
        <v>10770</v>
      </c>
      <c r="R2789" t="s">
        <v>10825</v>
      </c>
      <c r="T2789">
        <v>270</v>
      </c>
      <c r="U2789">
        <v>22.5</v>
      </c>
      <c r="V2789">
        <v>34</v>
      </c>
      <c r="W2789">
        <v>1</v>
      </c>
      <c r="X2789">
        <v>0</v>
      </c>
      <c r="Y2789" t="s">
        <v>10829</v>
      </c>
      <c r="Z2789">
        <v>2.16</v>
      </c>
      <c r="AA2789">
        <v>40.677881</v>
      </c>
      <c r="AB2789">
        <v>-73.971042</v>
      </c>
      <c r="AD2789" t="s">
        <v>10839</v>
      </c>
      <c r="AF2789" t="s">
        <v>10843</v>
      </c>
      <c r="AG2789" t="s">
        <v>10859</v>
      </c>
      <c r="AH2789" t="s">
        <v>10861</v>
      </c>
      <c r="AI2789">
        <v>239</v>
      </c>
      <c r="AJ2789" t="s">
        <v>10213</v>
      </c>
      <c r="AK2789" t="s">
        <v>10837</v>
      </c>
      <c r="AL2789">
        <v>1.6</v>
      </c>
      <c r="AM2789" t="s">
        <v>10888</v>
      </c>
      <c r="AN2789" t="s">
        <v>10917</v>
      </c>
      <c r="AO2789" t="s">
        <v>11005</v>
      </c>
      <c r="AP2789" t="s">
        <v>11061</v>
      </c>
      <c r="AQ2789" t="s">
        <v>11122</v>
      </c>
      <c r="AR2789" t="s">
        <v>11255</v>
      </c>
      <c r="AS2789" t="s">
        <v>11595</v>
      </c>
      <c r="AY2789" t="s">
        <v>10829</v>
      </c>
      <c r="AZ2789" t="s">
        <v>11683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</row>
    <row r="2790" spans="1:59">
      <c r="A2790" s="1">
        <f>HYPERLINK("https://lsnyc.legalserver.org/matter/dynamic-profile/view/1906803","19-1906803")</f>
        <v>0</v>
      </c>
      <c r="B2790" t="s">
        <v>2362</v>
      </c>
      <c r="C2790" t="s">
        <v>7144</v>
      </c>
      <c r="D2790" t="s">
        <v>9926</v>
      </c>
      <c r="E2790" t="s">
        <v>10075</v>
      </c>
      <c r="F2790">
        <v>10467</v>
      </c>
      <c r="G2790" t="s">
        <v>10090</v>
      </c>
      <c r="H2790" t="s">
        <v>10146</v>
      </c>
      <c r="I2790" t="s">
        <v>10168</v>
      </c>
      <c r="J2790" t="s">
        <v>10215</v>
      </c>
      <c r="K2790" t="s">
        <v>10217</v>
      </c>
      <c r="M2790" t="s">
        <v>10399</v>
      </c>
      <c r="N2790" t="s">
        <v>10651</v>
      </c>
      <c r="P2790" t="s">
        <v>10749</v>
      </c>
      <c r="Q2790" t="s">
        <v>10765</v>
      </c>
      <c r="R2790" t="s">
        <v>10824</v>
      </c>
      <c r="T2790">
        <v>6180</v>
      </c>
      <c r="U2790">
        <v>515</v>
      </c>
      <c r="V2790">
        <v>69</v>
      </c>
      <c r="W2790">
        <v>2</v>
      </c>
      <c r="X2790">
        <v>0</v>
      </c>
      <c r="Z2790">
        <v>36.55</v>
      </c>
      <c r="AA2790">
        <v>40.870949</v>
      </c>
      <c r="AB2790">
        <v>-73.86458500000001</v>
      </c>
      <c r="AD2790" t="s">
        <v>10839</v>
      </c>
      <c r="AG2790" t="s">
        <v>10858</v>
      </c>
      <c r="AH2790" t="s">
        <v>10862</v>
      </c>
      <c r="AI2790">
        <v>231</v>
      </c>
      <c r="AJ2790" t="s">
        <v>10215</v>
      </c>
      <c r="AL2790">
        <v>3.6</v>
      </c>
      <c r="AM2790" t="s">
        <v>10893</v>
      </c>
      <c r="AN2790" t="s">
        <v>10938</v>
      </c>
      <c r="AO2790" t="s">
        <v>11010</v>
      </c>
      <c r="AP2790" t="s">
        <v>11056</v>
      </c>
      <c r="AR2790" t="s">
        <v>11274</v>
      </c>
      <c r="AS2790" t="s">
        <v>9926</v>
      </c>
      <c r="AT2790" t="s">
        <v>11641</v>
      </c>
      <c r="AW2790" t="s">
        <v>11656</v>
      </c>
      <c r="BA2790" t="s">
        <v>11738</v>
      </c>
      <c r="BB2790">
        <v>0</v>
      </c>
      <c r="BC2790">
        <v>0</v>
      </c>
      <c r="BD2790">
        <v>0</v>
      </c>
      <c r="BE2790">
        <v>0</v>
      </c>
      <c r="BF2790">
        <v>5</v>
      </c>
      <c r="BG2790">
        <v>0</v>
      </c>
    </row>
    <row r="2791" spans="1:59">
      <c r="A2791" s="1">
        <f>HYPERLINK("https://lsnyc.legalserver.org/matter/dynamic-profile/view/1906804","19-1906804")</f>
        <v>0</v>
      </c>
      <c r="B2791" t="s">
        <v>2362</v>
      </c>
      <c r="C2791" t="s">
        <v>7144</v>
      </c>
      <c r="D2791" t="s">
        <v>9926</v>
      </c>
      <c r="E2791" t="s">
        <v>10075</v>
      </c>
      <c r="F2791">
        <v>10467</v>
      </c>
      <c r="G2791" t="s">
        <v>10090</v>
      </c>
      <c r="H2791" t="s">
        <v>10146</v>
      </c>
      <c r="I2791" t="s">
        <v>10168</v>
      </c>
      <c r="J2791" t="s">
        <v>10215</v>
      </c>
      <c r="K2791" t="s">
        <v>10217</v>
      </c>
      <c r="M2791" t="s">
        <v>10406</v>
      </c>
      <c r="N2791" t="s">
        <v>10677</v>
      </c>
      <c r="P2791" t="s">
        <v>10751</v>
      </c>
      <c r="Q2791" t="s">
        <v>10761</v>
      </c>
      <c r="R2791" t="s">
        <v>10824</v>
      </c>
      <c r="T2791">
        <v>6180</v>
      </c>
      <c r="U2791">
        <v>515</v>
      </c>
      <c r="V2791">
        <v>69</v>
      </c>
      <c r="W2791">
        <v>2</v>
      </c>
      <c r="X2791">
        <v>0</v>
      </c>
      <c r="Z2791">
        <v>36.55</v>
      </c>
      <c r="AA2791">
        <v>40.870949</v>
      </c>
      <c r="AB2791">
        <v>-73.86458500000001</v>
      </c>
      <c r="AD2791" t="s">
        <v>10839</v>
      </c>
      <c r="AG2791" t="s">
        <v>10858</v>
      </c>
      <c r="AH2791" t="s">
        <v>10862</v>
      </c>
      <c r="AI2791">
        <v>231</v>
      </c>
      <c r="AJ2791" t="s">
        <v>10215</v>
      </c>
      <c r="AL2791">
        <v>5</v>
      </c>
      <c r="AR2791" t="s">
        <v>11257</v>
      </c>
      <c r="AS2791" t="s">
        <v>9926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</row>
    <row r="2792" spans="1:59">
      <c r="A2792" s="1">
        <f>HYPERLINK("https://lsnyc.legalserver.org/matter/dynamic-profile/view/1906805","19-1906805")</f>
        <v>0</v>
      </c>
      <c r="B2792" t="s">
        <v>357</v>
      </c>
      <c r="C2792" t="s">
        <v>5280</v>
      </c>
      <c r="D2792" t="s">
        <v>9926</v>
      </c>
      <c r="E2792" t="s">
        <v>10075</v>
      </c>
      <c r="F2792">
        <v>10466</v>
      </c>
      <c r="G2792" t="s">
        <v>10090</v>
      </c>
      <c r="H2792" t="s">
        <v>10146</v>
      </c>
      <c r="I2792" t="s">
        <v>10168</v>
      </c>
      <c r="J2792" t="s">
        <v>10210</v>
      </c>
      <c r="K2792" t="s">
        <v>10217</v>
      </c>
      <c r="M2792" t="s">
        <v>10406</v>
      </c>
      <c r="N2792" t="s">
        <v>10677</v>
      </c>
      <c r="P2792" t="s">
        <v>10751</v>
      </c>
      <c r="Q2792" t="s">
        <v>10761</v>
      </c>
      <c r="R2792" t="s">
        <v>10824</v>
      </c>
      <c r="T2792">
        <v>18336</v>
      </c>
      <c r="U2792">
        <v>1528</v>
      </c>
      <c r="V2792">
        <v>60</v>
      </c>
      <c r="W2792">
        <v>4</v>
      </c>
      <c r="X2792">
        <v>2</v>
      </c>
      <c r="Z2792">
        <v>53.01</v>
      </c>
      <c r="AA2792">
        <v>40.889227</v>
      </c>
      <c r="AB2792">
        <v>-73.863822</v>
      </c>
      <c r="AD2792" t="s">
        <v>10839</v>
      </c>
      <c r="AG2792" t="s">
        <v>10858</v>
      </c>
      <c r="AH2792" t="s">
        <v>10874</v>
      </c>
      <c r="AI2792">
        <v>230</v>
      </c>
      <c r="AJ2792" t="s">
        <v>10210</v>
      </c>
      <c r="AL2792">
        <v>0.5</v>
      </c>
      <c r="AM2792" t="s">
        <v>10893</v>
      </c>
      <c r="AN2792" t="s">
        <v>10956</v>
      </c>
      <c r="AO2792" t="s">
        <v>11010</v>
      </c>
      <c r="AP2792" t="s">
        <v>11085</v>
      </c>
      <c r="AR2792" t="s">
        <v>11263</v>
      </c>
      <c r="AS2792" t="s">
        <v>9926</v>
      </c>
      <c r="AT2792" t="s">
        <v>11641</v>
      </c>
      <c r="AX2792" t="s">
        <v>10838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</row>
    <row r="2793" spans="1:59">
      <c r="A2793" s="1">
        <f>HYPERLINK("https://lsnyc.legalserver.org/matter/dynamic-profile/view/1906806","19-1906806")</f>
        <v>0</v>
      </c>
      <c r="B2793" t="s">
        <v>1487</v>
      </c>
      <c r="C2793" t="s">
        <v>6309</v>
      </c>
      <c r="D2793" t="s">
        <v>9926</v>
      </c>
      <c r="E2793" t="s">
        <v>10075</v>
      </c>
      <c r="F2793">
        <v>10466</v>
      </c>
      <c r="G2793" t="s">
        <v>10090</v>
      </c>
      <c r="H2793" t="s">
        <v>10146</v>
      </c>
      <c r="I2793" t="s">
        <v>10168</v>
      </c>
      <c r="J2793" t="s">
        <v>10210</v>
      </c>
      <c r="K2793" t="s">
        <v>10217</v>
      </c>
      <c r="M2793" t="s">
        <v>10401</v>
      </c>
      <c r="N2793" t="s">
        <v>10671</v>
      </c>
      <c r="P2793" t="s">
        <v>10751</v>
      </c>
      <c r="Q2793" t="s">
        <v>10761</v>
      </c>
      <c r="R2793" t="s">
        <v>10821</v>
      </c>
      <c r="T2793">
        <v>33020</v>
      </c>
      <c r="U2793">
        <v>2751.67</v>
      </c>
      <c r="V2793">
        <v>39</v>
      </c>
      <c r="W2793">
        <v>1</v>
      </c>
      <c r="X2793">
        <v>2</v>
      </c>
      <c r="Z2793">
        <v>154.81</v>
      </c>
      <c r="AA2793">
        <v>40.887164</v>
      </c>
      <c r="AB2793">
        <v>-73.864465</v>
      </c>
      <c r="AD2793" t="s">
        <v>10839</v>
      </c>
      <c r="AG2793" t="s">
        <v>10858</v>
      </c>
      <c r="AH2793" t="s">
        <v>10862</v>
      </c>
      <c r="AI2793">
        <v>230</v>
      </c>
      <c r="AJ2793" t="s">
        <v>10210</v>
      </c>
      <c r="AL2793">
        <v>1</v>
      </c>
      <c r="AR2793" t="s">
        <v>11257</v>
      </c>
      <c r="AS2793" t="s">
        <v>9926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</row>
    <row r="2794" spans="1:59">
      <c r="A2794" s="1">
        <f>HYPERLINK("https://lsnyc.legalserver.org/matter/dynamic-profile/view/1906808","19-1906808")</f>
        <v>0</v>
      </c>
      <c r="B2794" t="s">
        <v>2363</v>
      </c>
      <c r="C2794" t="s">
        <v>7145</v>
      </c>
      <c r="D2794" t="s">
        <v>9926</v>
      </c>
      <c r="E2794" t="s">
        <v>10075</v>
      </c>
      <c r="F2794">
        <v>10472</v>
      </c>
      <c r="G2794" t="s">
        <v>10090</v>
      </c>
      <c r="H2794" t="s">
        <v>10147</v>
      </c>
      <c r="I2794" t="s">
        <v>10168</v>
      </c>
      <c r="J2794" t="s">
        <v>10210</v>
      </c>
      <c r="K2794" t="s">
        <v>10217</v>
      </c>
      <c r="M2794" t="s">
        <v>10548</v>
      </c>
      <c r="N2794" t="s">
        <v>10687</v>
      </c>
      <c r="P2794" t="s">
        <v>10751</v>
      </c>
      <c r="Q2794" t="s">
        <v>10803</v>
      </c>
      <c r="R2794" t="s">
        <v>10824</v>
      </c>
      <c r="T2794">
        <v>27180</v>
      </c>
      <c r="U2794">
        <v>2265</v>
      </c>
      <c r="V2794">
        <v>45</v>
      </c>
      <c r="W2794">
        <v>1</v>
      </c>
      <c r="X2794">
        <v>2</v>
      </c>
      <c r="Z2794">
        <v>127.43</v>
      </c>
      <c r="AA2794">
        <v>40.829655</v>
      </c>
      <c r="AB2794">
        <v>-73.877194</v>
      </c>
      <c r="AC2794" t="s">
        <v>10837</v>
      </c>
      <c r="AD2794" t="s">
        <v>10839</v>
      </c>
      <c r="AG2794" t="s">
        <v>10858</v>
      </c>
      <c r="AH2794" t="s">
        <v>10874</v>
      </c>
      <c r="AI2794">
        <v>230</v>
      </c>
      <c r="AJ2794" t="s">
        <v>10210</v>
      </c>
      <c r="AL2794">
        <v>23.4</v>
      </c>
      <c r="AM2794" t="s">
        <v>10884</v>
      </c>
      <c r="AN2794" t="s">
        <v>10968</v>
      </c>
      <c r="AO2794" t="s">
        <v>11001</v>
      </c>
      <c r="AP2794" t="s">
        <v>11046</v>
      </c>
      <c r="AR2794" t="s">
        <v>11288</v>
      </c>
      <c r="AS2794" t="s">
        <v>9926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</row>
    <row r="2795" spans="1:59">
      <c r="A2795" s="1">
        <f>HYPERLINK("https://lsnyc.legalserver.org/matter/dynamic-profile/view/1906809","19-1906809")</f>
        <v>0</v>
      </c>
      <c r="B2795" t="s">
        <v>2364</v>
      </c>
      <c r="C2795" t="s">
        <v>7146</v>
      </c>
      <c r="D2795" t="s">
        <v>9926</v>
      </c>
      <c r="E2795" t="s">
        <v>10075</v>
      </c>
      <c r="F2795">
        <v>10473</v>
      </c>
      <c r="G2795" t="s">
        <v>10090</v>
      </c>
      <c r="H2795" t="s">
        <v>10147</v>
      </c>
      <c r="I2795" t="s">
        <v>10168</v>
      </c>
      <c r="J2795" t="s">
        <v>10210</v>
      </c>
      <c r="K2795" t="s">
        <v>10218</v>
      </c>
      <c r="L2795" t="s">
        <v>10157</v>
      </c>
      <c r="M2795" t="s">
        <v>10586</v>
      </c>
      <c r="N2795" t="s">
        <v>10736</v>
      </c>
      <c r="P2795" t="s">
        <v>10749</v>
      </c>
      <c r="Q2795" t="s">
        <v>10767</v>
      </c>
      <c r="R2795" t="s">
        <v>10824</v>
      </c>
      <c r="T2795">
        <v>36000</v>
      </c>
      <c r="U2795">
        <v>3000</v>
      </c>
      <c r="V2795">
        <v>61</v>
      </c>
      <c r="W2795">
        <v>1</v>
      </c>
      <c r="X2795">
        <v>0</v>
      </c>
      <c r="Y2795" t="s">
        <v>10829</v>
      </c>
      <c r="Z2795">
        <v>288.23</v>
      </c>
      <c r="AA2795">
        <v>40.818422</v>
      </c>
      <c r="AB2795">
        <v>-73.84700599999999</v>
      </c>
      <c r="AC2795" t="s">
        <v>10837</v>
      </c>
      <c r="AD2795" t="s">
        <v>10840</v>
      </c>
      <c r="AG2795" t="s">
        <v>10858</v>
      </c>
      <c r="AH2795" t="s">
        <v>10872</v>
      </c>
      <c r="AI2795">
        <v>234</v>
      </c>
      <c r="AJ2795" t="s">
        <v>10214</v>
      </c>
      <c r="AK2795" t="s">
        <v>10882</v>
      </c>
      <c r="AL2795">
        <v>0.4</v>
      </c>
      <c r="AM2795" t="s">
        <v>10884</v>
      </c>
      <c r="AN2795" t="s">
        <v>10908</v>
      </c>
      <c r="AO2795" t="s">
        <v>11001</v>
      </c>
      <c r="AP2795" t="s">
        <v>11046</v>
      </c>
      <c r="AR2795" t="s">
        <v>11257</v>
      </c>
      <c r="AS2795" t="s">
        <v>9926</v>
      </c>
      <c r="AY2795" t="s">
        <v>10829</v>
      </c>
      <c r="AZ2795" t="s">
        <v>11681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</row>
    <row r="2796" spans="1:59">
      <c r="A2796" s="1">
        <f>HYPERLINK("https://lsnyc.legalserver.org/matter/dynamic-profile/view/1906810","19-1906810")</f>
        <v>0</v>
      </c>
      <c r="B2796" t="s">
        <v>2365</v>
      </c>
      <c r="C2796" t="s">
        <v>7147</v>
      </c>
      <c r="D2796" t="s">
        <v>9929</v>
      </c>
      <c r="E2796" t="s">
        <v>10075</v>
      </c>
      <c r="F2796">
        <v>10310</v>
      </c>
      <c r="G2796" t="s">
        <v>10088</v>
      </c>
      <c r="H2796" t="s">
        <v>10147</v>
      </c>
      <c r="I2796" t="s">
        <v>10168</v>
      </c>
      <c r="J2796" t="s">
        <v>10208</v>
      </c>
      <c r="K2796" t="s">
        <v>10217</v>
      </c>
      <c r="M2796" t="s">
        <v>10254</v>
      </c>
      <c r="N2796" t="s">
        <v>10655</v>
      </c>
      <c r="P2796" t="s">
        <v>10749</v>
      </c>
      <c r="Q2796" t="s">
        <v>10765</v>
      </c>
      <c r="R2796" t="s">
        <v>10824</v>
      </c>
      <c r="T2796">
        <v>48310.8</v>
      </c>
      <c r="U2796">
        <v>4025.9</v>
      </c>
      <c r="V2796">
        <v>35</v>
      </c>
      <c r="W2796">
        <v>1</v>
      </c>
      <c r="X2796">
        <v>4</v>
      </c>
      <c r="Z2796">
        <v>160.13</v>
      </c>
      <c r="AA2796">
        <v>40.637523</v>
      </c>
      <c r="AB2796">
        <v>-74.115199</v>
      </c>
      <c r="AD2796" t="s">
        <v>10839</v>
      </c>
      <c r="AG2796" t="s">
        <v>10858</v>
      </c>
      <c r="AH2796" t="s">
        <v>10862</v>
      </c>
      <c r="AI2796">
        <v>285</v>
      </c>
      <c r="AJ2796" t="s">
        <v>10208</v>
      </c>
      <c r="AL2796">
        <v>3.95</v>
      </c>
      <c r="AM2796" t="s">
        <v>10883</v>
      </c>
      <c r="AN2796" t="s">
        <v>10913</v>
      </c>
      <c r="AO2796" t="s">
        <v>11006</v>
      </c>
      <c r="AP2796" t="s">
        <v>11051</v>
      </c>
      <c r="AR2796" t="s">
        <v>11295</v>
      </c>
      <c r="AS2796" t="s">
        <v>11593</v>
      </c>
      <c r="BA2796" t="s">
        <v>11738</v>
      </c>
      <c r="BB2796">
        <v>0</v>
      </c>
      <c r="BC2796">
        <v>0</v>
      </c>
      <c r="BD2796">
        <v>0</v>
      </c>
      <c r="BE2796">
        <v>0</v>
      </c>
      <c r="BF2796">
        <v>5</v>
      </c>
      <c r="BG2796">
        <v>0</v>
      </c>
    </row>
    <row r="2797" spans="1:59">
      <c r="A2797" s="1">
        <f>HYPERLINK("https://lsnyc.legalserver.org/matter/dynamic-profile/view/1906811","19-1906811")</f>
        <v>0</v>
      </c>
      <c r="B2797" t="s">
        <v>2366</v>
      </c>
      <c r="C2797" t="s">
        <v>7148</v>
      </c>
      <c r="D2797" t="s">
        <v>9925</v>
      </c>
      <c r="E2797" t="s">
        <v>10075</v>
      </c>
      <c r="F2797">
        <v>10029</v>
      </c>
      <c r="G2797" t="s">
        <v>10089</v>
      </c>
      <c r="H2797" t="s">
        <v>10147</v>
      </c>
      <c r="I2797" t="s">
        <v>10168</v>
      </c>
      <c r="J2797" t="s">
        <v>10209</v>
      </c>
      <c r="K2797" t="s">
        <v>10217</v>
      </c>
      <c r="M2797" t="s">
        <v>10278</v>
      </c>
      <c r="N2797" t="s">
        <v>10673</v>
      </c>
      <c r="P2797" t="s">
        <v>10753</v>
      </c>
      <c r="Q2797" t="s">
        <v>10763</v>
      </c>
      <c r="R2797" t="s">
        <v>10827</v>
      </c>
      <c r="T2797">
        <v>0</v>
      </c>
      <c r="U2797">
        <v>0</v>
      </c>
      <c r="V2797">
        <v>33</v>
      </c>
      <c r="W2797">
        <v>1</v>
      </c>
      <c r="X2797">
        <v>0</v>
      </c>
      <c r="Z2797">
        <v>0</v>
      </c>
      <c r="AA2797">
        <v>40.786236</v>
      </c>
      <c r="AB2797">
        <v>-73.942277</v>
      </c>
      <c r="AD2797" t="s">
        <v>10839</v>
      </c>
      <c r="AF2797" t="s">
        <v>10842</v>
      </c>
      <c r="AG2797" t="s">
        <v>10859</v>
      </c>
      <c r="AH2797" t="s">
        <v>10864</v>
      </c>
      <c r="AI2797">
        <v>236</v>
      </c>
      <c r="AJ2797" t="s">
        <v>10209</v>
      </c>
      <c r="AK2797" t="s">
        <v>10837</v>
      </c>
      <c r="AL2797">
        <v>14.71</v>
      </c>
      <c r="AM2797" t="s">
        <v>10887</v>
      </c>
      <c r="AN2797" t="s">
        <v>10926</v>
      </c>
      <c r="AO2797" t="s">
        <v>11013</v>
      </c>
      <c r="AP2797" t="s">
        <v>11066</v>
      </c>
      <c r="AQ2797" t="s">
        <v>11204</v>
      </c>
      <c r="AR2797" t="s">
        <v>11267</v>
      </c>
      <c r="AS2797" t="s">
        <v>9925</v>
      </c>
      <c r="AX2797" t="s">
        <v>10838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</row>
    <row r="2798" spans="1:59">
      <c r="A2798" s="1">
        <f>HYPERLINK("https://lsnyc.legalserver.org/matter/dynamic-profile/view/1906812","19-1906812")</f>
        <v>0</v>
      </c>
      <c r="B2798" t="s">
        <v>2367</v>
      </c>
      <c r="C2798" t="s">
        <v>7149</v>
      </c>
      <c r="D2798" t="s">
        <v>9925</v>
      </c>
      <c r="E2798" t="s">
        <v>10075</v>
      </c>
      <c r="F2798">
        <v>10026</v>
      </c>
      <c r="G2798" t="s">
        <v>10089</v>
      </c>
      <c r="H2798" t="s">
        <v>10147</v>
      </c>
      <c r="I2798" t="s">
        <v>10168</v>
      </c>
      <c r="J2798" t="s">
        <v>10209</v>
      </c>
      <c r="K2798" t="s">
        <v>10217</v>
      </c>
      <c r="M2798" t="s">
        <v>10575</v>
      </c>
      <c r="N2798" t="s">
        <v>10702</v>
      </c>
      <c r="P2798" t="s">
        <v>10749</v>
      </c>
      <c r="Q2798" t="s">
        <v>10765</v>
      </c>
      <c r="R2798" t="s">
        <v>10824</v>
      </c>
      <c r="T2798">
        <v>30000</v>
      </c>
      <c r="U2798">
        <v>2500</v>
      </c>
      <c r="V2798">
        <v>29</v>
      </c>
      <c r="W2798">
        <v>1</v>
      </c>
      <c r="X2798">
        <v>1</v>
      </c>
      <c r="Z2798">
        <v>177.41</v>
      </c>
      <c r="AA2798">
        <v>40.803153</v>
      </c>
      <c r="AB2798">
        <v>-73.957818</v>
      </c>
      <c r="AD2798" t="s">
        <v>10839</v>
      </c>
      <c r="AG2798" t="s">
        <v>10858</v>
      </c>
      <c r="AH2798" t="s">
        <v>10862</v>
      </c>
      <c r="AI2798">
        <v>236</v>
      </c>
      <c r="AJ2798" t="s">
        <v>10209</v>
      </c>
      <c r="AL2798">
        <v>9</v>
      </c>
      <c r="AM2798" t="s">
        <v>10887</v>
      </c>
      <c r="AN2798" t="s">
        <v>10936</v>
      </c>
      <c r="AO2798" t="s">
        <v>11016</v>
      </c>
      <c r="AP2798" t="s">
        <v>11076</v>
      </c>
      <c r="AR2798" t="s">
        <v>11257</v>
      </c>
      <c r="AS2798" t="s">
        <v>9925</v>
      </c>
      <c r="BA2798" t="s">
        <v>11738</v>
      </c>
      <c r="BB2798">
        <v>0</v>
      </c>
      <c r="BC2798">
        <v>0</v>
      </c>
      <c r="BD2798">
        <v>0</v>
      </c>
      <c r="BE2798">
        <v>0</v>
      </c>
      <c r="BF2798">
        <v>5</v>
      </c>
      <c r="BG2798">
        <v>0</v>
      </c>
    </row>
    <row r="2799" spans="1:59">
      <c r="A2799" s="1">
        <f>HYPERLINK("https://lsnyc.legalserver.org/matter/dynamic-profile/view/1906813","19-1906813")</f>
        <v>0</v>
      </c>
      <c r="B2799" t="s">
        <v>2368</v>
      </c>
      <c r="C2799" t="s">
        <v>7150</v>
      </c>
      <c r="D2799" t="s">
        <v>9959</v>
      </c>
      <c r="E2799" t="s">
        <v>10075</v>
      </c>
      <c r="F2799">
        <v>11356</v>
      </c>
      <c r="G2799" t="s">
        <v>10092</v>
      </c>
      <c r="H2799" t="s">
        <v>10106</v>
      </c>
      <c r="I2799" t="s">
        <v>10169</v>
      </c>
      <c r="J2799" t="s">
        <v>10212</v>
      </c>
      <c r="K2799" t="s">
        <v>10217</v>
      </c>
      <c r="M2799" t="s">
        <v>10422</v>
      </c>
      <c r="N2799" t="s">
        <v>10673</v>
      </c>
      <c r="P2799" t="s">
        <v>10758</v>
      </c>
      <c r="Q2799" t="s">
        <v>10804</v>
      </c>
      <c r="R2799" t="s">
        <v>10823</v>
      </c>
      <c r="T2799">
        <v>25600</v>
      </c>
      <c r="U2799">
        <v>2133.33</v>
      </c>
      <c r="V2799">
        <v>18</v>
      </c>
      <c r="W2799">
        <v>3</v>
      </c>
      <c r="X2799">
        <v>0</v>
      </c>
      <c r="Z2799">
        <v>120.02</v>
      </c>
      <c r="AA2799">
        <v>40.783813</v>
      </c>
      <c r="AB2799">
        <v>-73.84460900000001</v>
      </c>
      <c r="AD2799" t="s">
        <v>10839</v>
      </c>
      <c r="AF2799" t="s">
        <v>10853</v>
      </c>
      <c r="AG2799" t="s">
        <v>10859</v>
      </c>
      <c r="AH2799" t="s">
        <v>10864</v>
      </c>
      <c r="AI2799">
        <v>237</v>
      </c>
      <c r="AJ2799" t="s">
        <v>10212</v>
      </c>
      <c r="AL2799">
        <v>3</v>
      </c>
      <c r="AM2799" t="s">
        <v>10885</v>
      </c>
      <c r="AN2799" t="s">
        <v>10962</v>
      </c>
      <c r="AO2799" t="s">
        <v>11022</v>
      </c>
      <c r="AP2799" t="s">
        <v>11080</v>
      </c>
      <c r="AR2799" t="s">
        <v>11257</v>
      </c>
      <c r="AS2799" t="s">
        <v>11594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</row>
    <row r="2800" spans="1:59">
      <c r="A2800" s="1">
        <f>HYPERLINK("https://lsnyc.legalserver.org/matter/dynamic-profile/view/1906814","19-1906814")</f>
        <v>0</v>
      </c>
      <c r="B2800" t="s">
        <v>2369</v>
      </c>
      <c r="C2800" t="s">
        <v>7151</v>
      </c>
      <c r="D2800" t="s">
        <v>9925</v>
      </c>
      <c r="E2800" t="s">
        <v>10075</v>
      </c>
      <c r="F2800">
        <v>10025</v>
      </c>
      <c r="G2800" t="s">
        <v>10089</v>
      </c>
      <c r="H2800" t="s">
        <v>10147</v>
      </c>
      <c r="I2800" t="s">
        <v>10168</v>
      </c>
      <c r="J2800" t="s">
        <v>10209</v>
      </c>
      <c r="K2800" t="s">
        <v>10217</v>
      </c>
      <c r="M2800" t="s">
        <v>10499</v>
      </c>
      <c r="N2800" t="s">
        <v>10702</v>
      </c>
      <c r="P2800" t="s">
        <v>10749</v>
      </c>
      <c r="Q2800" t="s">
        <v>10765</v>
      </c>
      <c r="R2800" t="s">
        <v>10820</v>
      </c>
      <c r="T2800">
        <v>10299</v>
      </c>
      <c r="U2800">
        <v>858.25</v>
      </c>
      <c r="V2800">
        <v>67</v>
      </c>
      <c r="W2800">
        <v>1</v>
      </c>
      <c r="X2800">
        <v>0</v>
      </c>
      <c r="Z2800">
        <v>82.45999999999999</v>
      </c>
      <c r="AA2800">
        <v>40.801226</v>
      </c>
      <c r="AB2800">
        <v>-73.96854</v>
      </c>
      <c r="AD2800" t="s">
        <v>10839</v>
      </c>
      <c r="AG2800" t="s">
        <v>10858</v>
      </c>
      <c r="AH2800" t="s">
        <v>10862</v>
      </c>
      <c r="AI2800">
        <v>236</v>
      </c>
      <c r="AJ2800" t="s">
        <v>10209</v>
      </c>
      <c r="AL2800">
        <v>4.1</v>
      </c>
      <c r="AM2800" t="s">
        <v>10894</v>
      </c>
      <c r="AN2800" t="s">
        <v>10953</v>
      </c>
      <c r="AO2800" t="s">
        <v>11016</v>
      </c>
      <c r="AP2800" t="s">
        <v>11089</v>
      </c>
      <c r="AR2800" t="s">
        <v>11253</v>
      </c>
      <c r="AS2800" t="s">
        <v>9925</v>
      </c>
      <c r="BA2800" t="s">
        <v>11738</v>
      </c>
      <c r="BB2800">
        <v>0</v>
      </c>
      <c r="BC2800">
        <v>0</v>
      </c>
      <c r="BD2800">
        <v>0</v>
      </c>
      <c r="BE2800">
        <v>0</v>
      </c>
      <c r="BF2800">
        <v>5</v>
      </c>
      <c r="BG2800">
        <v>0</v>
      </c>
    </row>
    <row r="2801" spans="1:59">
      <c r="A2801" s="1">
        <f>HYPERLINK("https://lsnyc.legalserver.org/matter/dynamic-profile/view/1906816","19-1906816")</f>
        <v>0</v>
      </c>
      <c r="B2801" t="s">
        <v>2370</v>
      </c>
      <c r="C2801" t="s">
        <v>7152</v>
      </c>
      <c r="D2801" t="s">
        <v>9928</v>
      </c>
      <c r="E2801" t="s">
        <v>10075</v>
      </c>
      <c r="F2801">
        <v>11225</v>
      </c>
      <c r="G2801" t="s">
        <v>10093</v>
      </c>
      <c r="H2801" t="s">
        <v>10147</v>
      </c>
      <c r="I2801" t="s">
        <v>10168</v>
      </c>
      <c r="J2801" t="s">
        <v>10213</v>
      </c>
      <c r="K2801" t="s">
        <v>10217</v>
      </c>
      <c r="M2801" t="s">
        <v>10265</v>
      </c>
      <c r="N2801" t="s">
        <v>10671</v>
      </c>
      <c r="P2801" t="s">
        <v>10749</v>
      </c>
      <c r="Q2801" t="s">
        <v>10791</v>
      </c>
      <c r="R2801" t="s">
        <v>10824</v>
      </c>
      <c r="T2801">
        <v>12729</v>
      </c>
      <c r="U2801">
        <v>1060.75</v>
      </c>
      <c r="V2801">
        <v>62</v>
      </c>
      <c r="W2801">
        <v>1</v>
      </c>
      <c r="X2801">
        <v>0</v>
      </c>
      <c r="Z2801">
        <v>101.91</v>
      </c>
      <c r="AA2801">
        <v>40.665326</v>
      </c>
      <c r="AB2801">
        <v>-73.954076</v>
      </c>
      <c r="AD2801" t="s">
        <v>10839</v>
      </c>
      <c r="AG2801" t="s">
        <v>10858</v>
      </c>
      <c r="AH2801" t="s">
        <v>10862</v>
      </c>
      <c r="AI2801">
        <v>239</v>
      </c>
      <c r="AJ2801" t="s">
        <v>10213</v>
      </c>
      <c r="AL2801">
        <v>1.7</v>
      </c>
      <c r="AM2801" t="s">
        <v>10888</v>
      </c>
      <c r="AN2801" t="s">
        <v>10923</v>
      </c>
      <c r="AO2801" t="s">
        <v>11005</v>
      </c>
      <c r="AP2801" t="s">
        <v>11061</v>
      </c>
      <c r="AR2801" t="s">
        <v>11257</v>
      </c>
      <c r="AS2801" t="s">
        <v>11595</v>
      </c>
      <c r="AT2801" t="s">
        <v>11641</v>
      </c>
      <c r="BA2801" t="s">
        <v>11737</v>
      </c>
      <c r="BB2801">
        <v>0</v>
      </c>
      <c r="BC2801">
        <v>0</v>
      </c>
      <c r="BD2801">
        <v>0</v>
      </c>
      <c r="BE2801">
        <v>0</v>
      </c>
      <c r="BF2801">
        <v>3</v>
      </c>
      <c r="BG2801">
        <v>0</v>
      </c>
    </row>
    <row r="2802" spans="1:59">
      <c r="A2802" s="1">
        <f>HYPERLINK("https://lsnyc.legalserver.org/matter/dynamic-profile/view/1906817","19-1906817")</f>
        <v>0</v>
      </c>
      <c r="B2802" t="s">
        <v>2371</v>
      </c>
      <c r="C2802" t="s">
        <v>7150</v>
      </c>
      <c r="D2802" t="s">
        <v>9959</v>
      </c>
      <c r="E2802" t="s">
        <v>10075</v>
      </c>
      <c r="F2802">
        <v>11356</v>
      </c>
      <c r="G2802" t="s">
        <v>10092</v>
      </c>
      <c r="H2802" t="s">
        <v>10106</v>
      </c>
      <c r="I2802" t="s">
        <v>10169</v>
      </c>
      <c r="J2802" t="s">
        <v>10212</v>
      </c>
      <c r="K2802" t="s">
        <v>10217</v>
      </c>
      <c r="M2802" t="s">
        <v>10422</v>
      </c>
      <c r="N2802" t="s">
        <v>10673</v>
      </c>
      <c r="P2802" t="s">
        <v>10754</v>
      </c>
      <c r="Q2802" t="s">
        <v>10782</v>
      </c>
      <c r="R2802" t="s">
        <v>10823</v>
      </c>
      <c r="T2802">
        <v>25600</v>
      </c>
      <c r="U2802">
        <v>2133.33</v>
      </c>
      <c r="V2802">
        <v>20</v>
      </c>
      <c r="W2802">
        <v>3</v>
      </c>
      <c r="X2802">
        <v>0</v>
      </c>
      <c r="Z2802">
        <v>120.02</v>
      </c>
      <c r="AA2802">
        <v>40.783813</v>
      </c>
      <c r="AB2802">
        <v>-73.84460900000001</v>
      </c>
      <c r="AD2802" t="s">
        <v>10839</v>
      </c>
      <c r="AF2802" t="s">
        <v>10842</v>
      </c>
      <c r="AG2802" t="s">
        <v>10859</v>
      </c>
      <c r="AH2802" t="s">
        <v>10864</v>
      </c>
      <c r="AI2802">
        <v>237</v>
      </c>
      <c r="AJ2802" t="s">
        <v>10212</v>
      </c>
      <c r="AL2802">
        <v>5.25</v>
      </c>
      <c r="AM2802" t="s">
        <v>10885</v>
      </c>
      <c r="AN2802" t="s">
        <v>10962</v>
      </c>
      <c r="AO2802" t="s">
        <v>11022</v>
      </c>
      <c r="AP2802" t="s">
        <v>11080</v>
      </c>
      <c r="AQ2802" t="s">
        <v>11113</v>
      </c>
      <c r="AR2802" t="s">
        <v>11257</v>
      </c>
      <c r="AS2802" t="s">
        <v>11594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</row>
    <row r="2803" spans="1:59">
      <c r="A2803" s="1">
        <f>HYPERLINK("https://lsnyc.legalserver.org/matter/dynamic-profile/view/1906818","19-1906818")</f>
        <v>0</v>
      </c>
      <c r="B2803" t="s">
        <v>2372</v>
      </c>
      <c r="C2803" t="s">
        <v>7153</v>
      </c>
      <c r="D2803" t="s">
        <v>9926</v>
      </c>
      <c r="E2803" t="s">
        <v>10075</v>
      </c>
      <c r="F2803">
        <v>10457</v>
      </c>
      <c r="G2803" t="s">
        <v>10090</v>
      </c>
      <c r="H2803" t="s">
        <v>10147</v>
      </c>
      <c r="I2803" t="s">
        <v>10169</v>
      </c>
      <c r="J2803" t="s">
        <v>10210</v>
      </c>
      <c r="K2803" t="s">
        <v>10217</v>
      </c>
      <c r="M2803" t="s">
        <v>10372</v>
      </c>
      <c r="N2803" t="s">
        <v>10694</v>
      </c>
      <c r="P2803" t="s">
        <v>10751</v>
      </c>
      <c r="Q2803" t="s">
        <v>10773</v>
      </c>
      <c r="R2803" t="s">
        <v>10821</v>
      </c>
      <c r="T2803">
        <v>0</v>
      </c>
      <c r="U2803">
        <v>0</v>
      </c>
      <c r="V2803">
        <v>34</v>
      </c>
      <c r="W2803">
        <v>1</v>
      </c>
      <c r="X2803">
        <v>1</v>
      </c>
      <c r="Z2803">
        <v>0</v>
      </c>
      <c r="AA2803">
        <v>40.856407</v>
      </c>
      <c r="AB2803">
        <v>-73.899632</v>
      </c>
      <c r="AD2803" t="s">
        <v>10840</v>
      </c>
      <c r="AG2803" t="s">
        <v>10858</v>
      </c>
      <c r="AH2803" t="s">
        <v>10861</v>
      </c>
      <c r="AI2803">
        <v>234</v>
      </c>
      <c r="AJ2803" t="s">
        <v>10214</v>
      </c>
      <c r="AL2803">
        <v>1.2</v>
      </c>
      <c r="AM2803" t="s">
        <v>10884</v>
      </c>
      <c r="AN2803" t="s">
        <v>10931</v>
      </c>
      <c r="AO2803" t="s">
        <v>11000</v>
      </c>
      <c r="AP2803" t="s">
        <v>11056</v>
      </c>
      <c r="AR2803" t="s">
        <v>11267</v>
      </c>
      <c r="AS2803" t="s">
        <v>9926</v>
      </c>
      <c r="AT2803" t="s">
        <v>11642</v>
      </c>
      <c r="AX2803" t="s">
        <v>10838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</row>
    <row r="2804" spans="1:59">
      <c r="A2804" s="1">
        <f>HYPERLINK("https://lsnyc.legalserver.org/matter/dynamic-profile/view/1906819","19-1906819")</f>
        <v>0</v>
      </c>
      <c r="B2804" t="s">
        <v>2373</v>
      </c>
      <c r="C2804" t="s">
        <v>7154</v>
      </c>
      <c r="D2804" t="s">
        <v>9925</v>
      </c>
      <c r="E2804" t="s">
        <v>10075</v>
      </c>
      <c r="F2804">
        <v>10031</v>
      </c>
      <c r="G2804" t="s">
        <v>10089</v>
      </c>
      <c r="H2804" t="s">
        <v>10147</v>
      </c>
      <c r="I2804" t="s">
        <v>10169</v>
      </c>
      <c r="J2804" t="s">
        <v>10209</v>
      </c>
      <c r="K2804" t="s">
        <v>10217</v>
      </c>
      <c r="M2804" t="s">
        <v>10379</v>
      </c>
      <c r="N2804" t="s">
        <v>10702</v>
      </c>
      <c r="P2804" t="s">
        <v>10749</v>
      </c>
      <c r="Q2804" t="s">
        <v>10765</v>
      </c>
      <c r="R2804" t="s">
        <v>10821</v>
      </c>
      <c r="T2804">
        <v>26000</v>
      </c>
      <c r="U2804">
        <v>2166.67</v>
      </c>
      <c r="V2804">
        <v>57</v>
      </c>
      <c r="W2804">
        <v>2</v>
      </c>
      <c r="X2804">
        <v>1</v>
      </c>
      <c r="Z2804">
        <v>121.89</v>
      </c>
      <c r="AA2804">
        <v>40.829319</v>
      </c>
      <c r="AB2804">
        <v>-73.948998</v>
      </c>
      <c r="AD2804" t="s">
        <v>10839</v>
      </c>
      <c r="AG2804" t="s">
        <v>10858</v>
      </c>
      <c r="AH2804" t="s">
        <v>10862</v>
      </c>
      <c r="AI2804">
        <v>236</v>
      </c>
      <c r="AJ2804" t="s">
        <v>10209</v>
      </c>
      <c r="AL2804">
        <v>9.9</v>
      </c>
      <c r="AM2804" t="s">
        <v>10887</v>
      </c>
      <c r="AN2804" t="s">
        <v>10943</v>
      </c>
      <c r="AO2804" t="s">
        <v>11016</v>
      </c>
      <c r="AP2804" t="s">
        <v>11073</v>
      </c>
      <c r="AR2804" t="s">
        <v>11257</v>
      </c>
      <c r="AS2804" t="s">
        <v>9925</v>
      </c>
      <c r="AT2804" t="s">
        <v>11641</v>
      </c>
      <c r="BA2804" t="s">
        <v>11738</v>
      </c>
      <c r="BB2804">
        <v>0</v>
      </c>
      <c r="BC2804">
        <v>0</v>
      </c>
      <c r="BD2804">
        <v>0</v>
      </c>
      <c r="BE2804">
        <v>0</v>
      </c>
      <c r="BF2804">
        <v>5</v>
      </c>
      <c r="BG2804">
        <v>0</v>
      </c>
    </row>
    <row r="2805" spans="1:59">
      <c r="A2805" s="1">
        <f>HYPERLINK("https://lsnyc.legalserver.org/matter/dynamic-profile/view/1906820","19-1906820")</f>
        <v>0</v>
      </c>
      <c r="B2805" t="s">
        <v>2374</v>
      </c>
      <c r="C2805" t="s">
        <v>7155</v>
      </c>
      <c r="D2805" t="s">
        <v>9929</v>
      </c>
      <c r="E2805" t="s">
        <v>10075</v>
      </c>
      <c r="F2805">
        <v>10306</v>
      </c>
      <c r="G2805" t="s">
        <v>10088</v>
      </c>
      <c r="H2805" t="s">
        <v>10147</v>
      </c>
      <c r="I2805" t="s">
        <v>10168</v>
      </c>
      <c r="J2805" t="s">
        <v>10208</v>
      </c>
      <c r="K2805" t="s">
        <v>10217</v>
      </c>
      <c r="M2805" t="s">
        <v>10257</v>
      </c>
      <c r="N2805" t="s">
        <v>10650</v>
      </c>
      <c r="P2805" t="s">
        <v>10749</v>
      </c>
      <c r="Q2805" t="s">
        <v>10765</v>
      </c>
      <c r="R2805" t="s">
        <v>10821</v>
      </c>
      <c r="T2805">
        <v>11112</v>
      </c>
      <c r="U2805">
        <v>926</v>
      </c>
      <c r="V2805">
        <v>45</v>
      </c>
      <c r="W2805">
        <v>2</v>
      </c>
      <c r="X2805">
        <v>0</v>
      </c>
      <c r="Z2805">
        <v>65.70999999999999</v>
      </c>
      <c r="AA2805">
        <v>40.574742</v>
      </c>
      <c r="AB2805">
        <v>-74.100241</v>
      </c>
      <c r="AD2805" t="s">
        <v>10839</v>
      </c>
      <c r="AG2805" t="s">
        <v>10858</v>
      </c>
      <c r="AH2805" t="s">
        <v>10862</v>
      </c>
      <c r="AI2805">
        <v>285</v>
      </c>
      <c r="AJ2805" t="s">
        <v>10208</v>
      </c>
      <c r="AL2805">
        <v>20.8</v>
      </c>
      <c r="AM2805" t="s">
        <v>10883</v>
      </c>
      <c r="AN2805" t="s">
        <v>10915</v>
      </c>
      <c r="AO2805" t="s">
        <v>10999</v>
      </c>
      <c r="AP2805" t="s">
        <v>11063</v>
      </c>
      <c r="AR2805" t="s">
        <v>11298</v>
      </c>
      <c r="AS2805" t="s">
        <v>11593</v>
      </c>
      <c r="BA2805" t="s">
        <v>11738</v>
      </c>
      <c r="BB2805">
        <v>0</v>
      </c>
      <c r="BC2805">
        <v>0</v>
      </c>
      <c r="BD2805">
        <v>0</v>
      </c>
      <c r="BE2805">
        <v>0</v>
      </c>
      <c r="BF2805">
        <v>5</v>
      </c>
      <c r="BG2805">
        <v>0</v>
      </c>
    </row>
    <row r="2806" spans="1:59">
      <c r="A2806" s="1">
        <f>HYPERLINK("https://lsnyc.legalserver.org/matter/dynamic-profile/view/1906821","19-1906821")</f>
        <v>0</v>
      </c>
      <c r="B2806" t="s">
        <v>2357</v>
      </c>
      <c r="C2806" t="s">
        <v>7139</v>
      </c>
      <c r="D2806" t="s">
        <v>9926</v>
      </c>
      <c r="E2806" t="s">
        <v>10075</v>
      </c>
      <c r="F2806">
        <v>10462</v>
      </c>
      <c r="G2806" t="s">
        <v>10090</v>
      </c>
      <c r="H2806" t="s">
        <v>10147</v>
      </c>
      <c r="I2806" t="s">
        <v>10168</v>
      </c>
      <c r="J2806" t="s">
        <v>10210</v>
      </c>
      <c r="K2806" t="s">
        <v>10217</v>
      </c>
      <c r="M2806" t="s">
        <v>10367</v>
      </c>
      <c r="N2806" t="s">
        <v>10671</v>
      </c>
      <c r="P2806" t="s">
        <v>10751</v>
      </c>
      <c r="Q2806" t="s">
        <v>10761</v>
      </c>
      <c r="R2806" t="s">
        <v>10821</v>
      </c>
      <c r="T2806">
        <v>2196</v>
      </c>
      <c r="U2806">
        <v>183</v>
      </c>
      <c r="V2806">
        <v>40</v>
      </c>
      <c r="W2806">
        <v>1</v>
      </c>
      <c r="X2806">
        <v>0</v>
      </c>
      <c r="Z2806">
        <v>17.58</v>
      </c>
      <c r="AA2806">
        <v>40.854152</v>
      </c>
      <c r="AB2806">
        <v>-73.861662</v>
      </c>
      <c r="AD2806" t="s">
        <v>10839</v>
      </c>
      <c r="AG2806" t="s">
        <v>10858</v>
      </c>
      <c r="AH2806" t="s">
        <v>10862</v>
      </c>
      <c r="AI2806">
        <v>230</v>
      </c>
      <c r="AJ2806" t="s">
        <v>10210</v>
      </c>
      <c r="AL2806">
        <v>0</v>
      </c>
      <c r="AM2806" t="s">
        <v>10885</v>
      </c>
      <c r="AN2806" t="s">
        <v>10938</v>
      </c>
      <c r="AO2806" t="s">
        <v>11002</v>
      </c>
      <c r="AP2806" t="s">
        <v>11049</v>
      </c>
      <c r="AR2806" t="s">
        <v>11255</v>
      </c>
      <c r="AS2806" t="s">
        <v>9926</v>
      </c>
      <c r="AT2806" t="s">
        <v>11641</v>
      </c>
      <c r="AX2806" t="s">
        <v>10838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</row>
    <row r="2807" spans="1:59">
      <c r="A2807" s="1">
        <f>HYPERLINK("https://lsnyc.legalserver.org/matter/dynamic-profile/view/1906822","19-1906822")</f>
        <v>0</v>
      </c>
      <c r="B2807" t="s">
        <v>2375</v>
      </c>
      <c r="C2807" t="s">
        <v>7156</v>
      </c>
      <c r="D2807" t="s">
        <v>9926</v>
      </c>
      <c r="E2807" t="s">
        <v>10075</v>
      </c>
      <c r="F2807">
        <v>10468</v>
      </c>
      <c r="G2807" t="s">
        <v>10090</v>
      </c>
      <c r="H2807" t="s">
        <v>10147</v>
      </c>
      <c r="I2807" t="s">
        <v>10168</v>
      </c>
      <c r="J2807" t="s">
        <v>10210</v>
      </c>
      <c r="K2807" t="s">
        <v>10217</v>
      </c>
      <c r="M2807" t="s">
        <v>10328</v>
      </c>
      <c r="N2807" t="s">
        <v>10673</v>
      </c>
      <c r="P2807" t="s">
        <v>10753</v>
      </c>
      <c r="Q2807" t="s">
        <v>10763</v>
      </c>
      <c r="R2807" t="s">
        <v>10822</v>
      </c>
      <c r="T2807">
        <v>0</v>
      </c>
      <c r="U2807">
        <v>0</v>
      </c>
      <c r="V2807">
        <v>24</v>
      </c>
      <c r="W2807">
        <v>2</v>
      </c>
      <c r="X2807">
        <v>0</v>
      </c>
      <c r="Z2807">
        <v>0</v>
      </c>
      <c r="AA2807">
        <v>40.871114</v>
      </c>
      <c r="AB2807">
        <v>-73.893102</v>
      </c>
      <c r="AD2807" t="s">
        <v>10840</v>
      </c>
      <c r="AG2807" t="s">
        <v>10858</v>
      </c>
      <c r="AH2807" t="s">
        <v>10864</v>
      </c>
      <c r="AI2807">
        <v>230</v>
      </c>
      <c r="AJ2807" t="s">
        <v>10210</v>
      </c>
      <c r="AL2807">
        <v>1</v>
      </c>
      <c r="AM2807" t="s">
        <v>10887</v>
      </c>
      <c r="AN2807" t="s">
        <v>10907</v>
      </c>
      <c r="AO2807" t="s">
        <v>11000</v>
      </c>
      <c r="AP2807" t="s">
        <v>11045</v>
      </c>
      <c r="AQ2807" t="s">
        <v>11161</v>
      </c>
      <c r="AR2807" t="s">
        <v>11257</v>
      </c>
      <c r="AS2807" t="s">
        <v>9926</v>
      </c>
      <c r="AT2807" t="s">
        <v>11642</v>
      </c>
      <c r="AV2807" t="s">
        <v>11655</v>
      </c>
      <c r="AW2807" t="s">
        <v>11666</v>
      </c>
      <c r="AX2807" t="s">
        <v>10838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</row>
    <row r="2808" spans="1:59">
      <c r="A2808" s="1">
        <f>HYPERLINK("https://lsnyc.legalserver.org/matter/dynamic-profile/view/1906823","19-1906823")</f>
        <v>0</v>
      </c>
      <c r="B2808" t="s">
        <v>2376</v>
      </c>
      <c r="C2808" t="s">
        <v>7157</v>
      </c>
      <c r="D2808" t="s">
        <v>9928</v>
      </c>
      <c r="E2808" t="s">
        <v>10075</v>
      </c>
      <c r="F2808">
        <v>11208</v>
      </c>
      <c r="G2808" t="s">
        <v>10093</v>
      </c>
      <c r="H2808" t="s">
        <v>10147</v>
      </c>
      <c r="I2808" t="s">
        <v>10168</v>
      </c>
      <c r="J2808" t="s">
        <v>10213</v>
      </c>
      <c r="K2808" t="s">
        <v>10218</v>
      </c>
      <c r="L2808" t="s">
        <v>10151</v>
      </c>
      <c r="M2808" t="s">
        <v>10435</v>
      </c>
      <c r="N2808" t="s">
        <v>10671</v>
      </c>
      <c r="P2808" t="s">
        <v>10750</v>
      </c>
      <c r="Q2808" t="s">
        <v>10799</v>
      </c>
      <c r="R2808" t="s">
        <v>10825</v>
      </c>
      <c r="T2808">
        <v>8164</v>
      </c>
      <c r="U2808">
        <v>680.33</v>
      </c>
      <c r="V2808">
        <v>28</v>
      </c>
      <c r="W2808">
        <v>2</v>
      </c>
      <c r="X2808">
        <v>2</v>
      </c>
      <c r="Y2808" t="s">
        <v>10829</v>
      </c>
      <c r="Z2808">
        <v>31.7</v>
      </c>
      <c r="AA2808">
        <v>40.674094</v>
      </c>
      <c r="AB2808">
        <v>-73.872929</v>
      </c>
      <c r="AD2808" t="s">
        <v>10840</v>
      </c>
      <c r="AG2808" t="s">
        <v>10858</v>
      </c>
      <c r="AH2808" t="s">
        <v>10861</v>
      </c>
      <c r="AI2808">
        <v>234</v>
      </c>
      <c r="AJ2808" t="s">
        <v>10214</v>
      </c>
      <c r="AK2808" t="s">
        <v>10838</v>
      </c>
      <c r="AL2808">
        <v>2.35</v>
      </c>
      <c r="AM2808" t="s">
        <v>10889</v>
      </c>
      <c r="AN2808" t="s">
        <v>10946</v>
      </c>
      <c r="AO2808" t="s">
        <v>11012</v>
      </c>
      <c r="AP2808" t="s">
        <v>11060</v>
      </c>
      <c r="AR2808" t="s">
        <v>11257</v>
      </c>
      <c r="AS2808" t="s">
        <v>11595</v>
      </c>
      <c r="AT2808" t="s">
        <v>11642</v>
      </c>
      <c r="AX2808" t="s">
        <v>10838</v>
      </c>
      <c r="AY2808" t="s">
        <v>10829</v>
      </c>
      <c r="AZ2808" t="s">
        <v>11679</v>
      </c>
      <c r="BA2808" t="s">
        <v>11741</v>
      </c>
      <c r="BB2808">
        <v>0</v>
      </c>
      <c r="BC2808">
        <v>0</v>
      </c>
      <c r="BD2808">
        <v>0</v>
      </c>
      <c r="BE2808">
        <v>0</v>
      </c>
      <c r="BF2808">
        <v>1</v>
      </c>
      <c r="BG2808">
        <v>0</v>
      </c>
    </row>
    <row r="2809" spans="1:59">
      <c r="A2809" s="1">
        <f>HYPERLINK("https://lsnyc.legalserver.org/matter/dynamic-profile/view/1906824","19-1906824")</f>
        <v>0</v>
      </c>
      <c r="B2809" t="s">
        <v>2377</v>
      </c>
      <c r="C2809" t="s">
        <v>7158</v>
      </c>
      <c r="D2809" t="s">
        <v>9929</v>
      </c>
      <c r="E2809" t="s">
        <v>10075</v>
      </c>
      <c r="F2809">
        <v>10305</v>
      </c>
      <c r="G2809" t="s">
        <v>10088</v>
      </c>
      <c r="H2809" t="s">
        <v>10127</v>
      </c>
      <c r="I2809" t="s">
        <v>10169</v>
      </c>
      <c r="J2809" t="s">
        <v>10208</v>
      </c>
      <c r="K2809" t="s">
        <v>10217</v>
      </c>
      <c r="M2809" t="s">
        <v>10468</v>
      </c>
      <c r="N2809" t="s">
        <v>10661</v>
      </c>
      <c r="P2809" t="s">
        <v>10749</v>
      </c>
      <c r="Q2809" t="s">
        <v>10759</v>
      </c>
      <c r="R2809" t="s">
        <v>10821</v>
      </c>
      <c r="S2809" t="s">
        <v>10821</v>
      </c>
      <c r="T2809">
        <v>67320</v>
      </c>
      <c r="U2809">
        <v>5610</v>
      </c>
      <c r="V2809">
        <v>49</v>
      </c>
      <c r="W2809">
        <v>4</v>
      </c>
      <c r="X2809">
        <v>1</v>
      </c>
      <c r="Z2809">
        <v>223.14</v>
      </c>
      <c r="AA2809">
        <v>40.611956</v>
      </c>
      <c r="AB2809">
        <v>-74.06329700000001</v>
      </c>
      <c r="AD2809" t="s">
        <v>10839</v>
      </c>
      <c r="AG2809" t="s">
        <v>10858</v>
      </c>
      <c r="AH2809" t="s">
        <v>10860</v>
      </c>
      <c r="AI2809">
        <v>285</v>
      </c>
      <c r="AJ2809" t="s">
        <v>10208</v>
      </c>
      <c r="AL2809">
        <v>3.6</v>
      </c>
      <c r="AM2809" t="s">
        <v>10883</v>
      </c>
      <c r="AN2809" t="s">
        <v>10915</v>
      </c>
      <c r="AO2809" t="s">
        <v>11006</v>
      </c>
      <c r="AP2809" t="s">
        <v>11051</v>
      </c>
      <c r="AR2809" t="s">
        <v>11477</v>
      </c>
      <c r="AS2809" t="s">
        <v>11593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</row>
    <row r="2810" spans="1:59">
      <c r="A2810" s="1">
        <f>HYPERLINK("https://lsnyc.legalserver.org/matter/dynamic-profile/view/1906825","19-1906825")</f>
        <v>0</v>
      </c>
      <c r="B2810" t="s">
        <v>2378</v>
      </c>
      <c r="C2810" t="s">
        <v>7159</v>
      </c>
      <c r="D2810" t="s">
        <v>9926</v>
      </c>
      <c r="E2810" t="s">
        <v>10075</v>
      </c>
      <c r="F2810">
        <v>10467</v>
      </c>
      <c r="G2810" t="s">
        <v>10090</v>
      </c>
      <c r="H2810" t="s">
        <v>10147</v>
      </c>
      <c r="I2810" t="s">
        <v>10168</v>
      </c>
      <c r="J2810" t="s">
        <v>10210</v>
      </c>
      <c r="K2810" t="s">
        <v>10218</v>
      </c>
      <c r="L2810" t="s">
        <v>10127</v>
      </c>
      <c r="M2810" t="s">
        <v>10262</v>
      </c>
      <c r="N2810" t="s">
        <v>10651</v>
      </c>
      <c r="P2810" t="s">
        <v>10749</v>
      </c>
      <c r="Q2810" t="s">
        <v>10765</v>
      </c>
      <c r="R2810" t="s">
        <v>10824</v>
      </c>
      <c r="T2810">
        <v>86000</v>
      </c>
      <c r="U2810">
        <v>7166.67</v>
      </c>
      <c r="V2810">
        <v>37</v>
      </c>
      <c r="W2810">
        <v>2</v>
      </c>
      <c r="X2810">
        <v>0</v>
      </c>
      <c r="Y2810" t="s">
        <v>10829</v>
      </c>
      <c r="Z2810">
        <v>508.57</v>
      </c>
      <c r="AA2810">
        <v>40.871827</v>
      </c>
      <c r="AB2810">
        <v>-73.86503</v>
      </c>
      <c r="AD2810" t="s">
        <v>10839</v>
      </c>
      <c r="AG2810" t="s">
        <v>10858</v>
      </c>
      <c r="AH2810" t="s">
        <v>10861</v>
      </c>
      <c r="AI2810">
        <v>230</v>
      </c>
      <c r="AJ2810" t="s">
        <v>10210</v>
      </c>
      <c r="AK2810" t="s">
        <v>10838</v>
      </c>
      <c r="AL2810">
        <v>0.5</v>
      </c>
      <c r="AM2810" t="s">
        <v>10893</v>
      </c>
      <c r="AN2810" t="s">
        <v>10938</v>
      </c>
      <c r="AO2810" t="s">
        <v>11010</v>
      </c>
      <c r="AP2810" t="s">
        <v>11056</v>
      </c>
      <c r="AR2810" t="s">
        <v>11257</v>
      </c>
      <c r="AS2810" t="s">
        <v>9926</v>
      </c>
      <c r="AT2810" t="s">
        <v>11641</v>
      </c>
      <c r="AX2810" t="s">
        <v>10838</v>
      </c>
      <c r="AY2810" t="s">
        <v>10829</v>
      </c>
      <c r="AZ2810" t="s">
        <v>11681</v>
      </c>
      <c r="BA2810" t="s">
        <v>11741</v>
      </c>
      <c r="BB2810">
        <v>0</v>
      </c>
      <c r="BC2810">
        <v>0</v>
      </c>
      <c r="BD2810">
        <v>0</v>
      </c>
      <c r="BE2810">
        <v>0</v>
      </c>
      <c r="BF2810">
        <v>1</v>
      </c>
      <c r="BG2810">
        <v>0</v>
      </c>
    </row>
    <row r="2811" spans="1:59">
      <c r="A2811" s="1">
        <f>HYPERLINK("https://lsnyc.legalserver.org/matter/dynamic-profile/view/1906826","19-1906826")</f>
        <v>0</v>
      </c>
      <c r="B2811" t="s">
        <v>2379</v>
      </c>
      <c r="C2811" t="s">
        <v>7160</v>
      </c>
      <c r="D2811" t="s">
        <v>9925</v>
      </c>
      <c r="E2811" t="s">
        <v>10075</v>
      </c>
      <c r="F2811">
        <v>10031</v>
      </c>
      <c r="G2811" t="s">
        <v>10089</v>
      </c>
      <c r="H2811" t="s">
        <v>10147</v>
      </c>
      <c r="I2811" t="s">
        <v>10168</v>
      </c>
      <c r="J2811" t="s">
        <v>10209</v>
      </c>
      <c r="K2811" t="s">
        <v>10217</v>
      </c>
      <c r="M2811" t="s">
        <v>10575</v>
      </c>
      <c r="N2811" t="s">
        <v>10703</v>
      </c>
      <c r="P2811" t="s">
        <v>10749</v>
      </c>
      <c r="Q2811" t="s">
        <v>10765</v>
      </c>
      <c r="R2811" t="s">
        <v>10824</v>
      </c>
      <c r="T2811">
        <v>140000</v>
      </c>
      <c r="U2811">
        <v>11666.67</v>
      </c>
      <c r="V2811">
        <v>49</v>
      </c>
      <c r="W2811">
        <v>2</v>
      </c>
      <c r="X2811">
        <v>0</v>
      </c>
      <c r="Z2811">
        <v>827.91</v>
      </c>
      <c r="AA2811">
        <v>40.825104</v>
      </c>
      <c r="AB2811">
        <v>-73.953593</v>
      </c>
      <c r="AD2811" t="s">
        <v>10840</v>
      </c>
      <c r="AG2811" t="s">
        <v>10858</v>
      </c>
      <c r="AH2811" t="s">
        <v>10862</v>
      </c>
      <c r="AI2811">
        <v>236</v>
      </c>
      <c r="AJ2811" t="s">
        <v>10209</v>
      </c>
      <c r="AL2811">
        <v>0.5</v>
      </c>
      <c r="AM2811" t="s">
        <v>10887</v>
      </c>
      <c r="AN2811" t="s">
        <v>10943</v>
      </c>
      <c r="AO2811" t="s">
        <v>11019</v>
      </c>
      <c r="AP2811" t="s">
        <v>11073</v>
      </c>
      <c r="AR2811" t="s">
        <v>11257</v>
      </c>
      <c r="AS2811" t="s">
        <v>9925</v>
      </c>
      <c r="BA2811" t="s">
        <v>11741</v>
      </c>
      <c r="BB2811">
        <v>0</v>
      </c>
      <c r="BC2811">
        <v>0</v>
      </c>
      <c r="BD2811">
        <v>0</v>
      </c>
      <c r="BE2811">
        <v>0</v>
      </c>
      <c r="BF2811">
        <v>1</v>
      </c>
      <c r="BG2811">
        <v>0</v>
      </c>
    </row>
    <row r="2812" spans="1:59">
      <c r="A2812" s="1">
        <f>HYPERLINK("https://lsnyc.legalserver.org/matter/dynamic-profile/view/1906827","19-1906827")</f>
        <v>0</v>
      </c>
      <c r="B2812" t="s">
        <v>2380</v>
      </c>
      <c r="C2812" t="s">
        <v>7161</v>
      </c>
      <c r="D2812" t="s">
        <v>9965</v>
      </c>
      <c r="E2812" t="s">
        <v>10075</v>
      </c>
      <c r="F2812">
        <v>11101</v>
      </c>
      <c r="G2812" t="s">
        <v>10092</v>
      </c>
      <c r="H2812" t="s">
        <v>10147</v>
      </c>
      <c r="I2812" t="s">
        <v>10168</v>
      </c>
      <c r="J2812" t="s">
        <v>10212</v>
      </c>
      <c r="K2812" t="s">
        <v>10217</v>
      </c>
      <c r="M2812" t="s">
        <v>10242</v>
      </c>
      <c r="N2812" t="s">
        <v>10671</v>
      </c>
      <c r="P2812" t="s">
        <v>10751</v>
      </c>
      <c r="Q2812" t="s">
        <v>10780</v>
      </c>
      <c r="R2812" t="s">
        <v>10820</v>
      </c>
      <c r="T2812">
        <v>0</v>
      </c>
      <c r="U2812">
        <v>0</v>
      </c>
      <c r="V2812">
        <v>54</v>
      </c>
      <c r="W2812">
        <v>1</v>
      </c>
      <c r="X2812">
        <v>0</v>
      </c>
      <c r="Z2812">
        <v>0</v>
      </c>
      <c r="AA2812">
        <v>40.752705</v>
      </c>
      <c r="AB2812">
        <v>-73.930494</v>
      </c>
      <c r="AD2812" t="s">
        <v>10840</v>
      </c>
      <c r="AG2812" t="s">
        <v>10858</v>
      </c>
      <c r="AH2812" t="s">
        <v>10861</v>
      </c>
      <c r="AI2812">
        <v>234</v>
      </c>
      <c r="AJ2812" t="s">
        <v>10214</v>
      </c>
      <c r="AL2812">
        <v>5.9</v>
      </c>
      <c r="AM2812" t="s">
        <v>10891</v>
      </c>
      <c r="AN2812" t="s">
        <v>10961</v>
      </c>
      <c r="AO2812" t="s">
        <v>11003</v>
      </c>
      <c r="AP2812" t="s">
        <v>11047</v>
      </c>
      <c r="AR2812" t="s">
        <v>11279</v>
      </c>
      <c r="AS2812" t="s">
        <v>11594</v>
      </c>
      <c r="AT2812" t="s">
        <v>11642</v>
      </c>
      <c r="AX2812" t="s">
        <v>10838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</row>
    <row r="2813" spans="1:59">
      <c r="A2813" s="1">
        <f>HYPERLINK("https://lsnyc.legalserver.org/matter/dynamic-profile/view/1906828","19-1906828")</f>
        <v>0</v>
      </c>
      <c r="B2813" t="s">
        <v>2381</v>
      </c>
      <c r="C2813" t="s">
        <v>7162</v>
      </c>
      <c r="D2813" t="s">
        <v>9926</v>
      </c>
      <c r="E2813" t="s">
        <v>10075</v>
      </c>
      <c r="F2813">
        <v>10457</v>
      </c>
      <c r="G2813" t="s">
        <v>10090</v>
      </c>
      <c r="H2813" t="s">
        <v>10147</v>
      </c>
      <c r="I2813" t="s">
        <v>10169</v>
      </c>
      <c r="J2813" t="s">
        <v>10210</v>
      </c>
      <c r="K2813" t="s">
        <v>10218</v>
      </c>
      <c r="L2813" t="s">
        <v>10142</v>
      </c>
      <c r="M2813" t="s">
        <v>10333</v>
      </c>
      <c r="N2813" t="s">
        <v>10683</v>
      </c>
      <c r="P2813" t="s">
        <v>10751</v>
      </c>
      <c r="Q2813" t="s">
        <v>10761</v>
      </c>
      <c r="R2813" t="s">
        <v>10821</v>
      </c>
      <c r="T2813">
        <v>0</v>
      </c>
      <c r="U2813">
        <v>0</v>
      </c>
      <c r="V2813">
        <v>29</v>
      </c>
      <c r="W2813">
        <v>1</v>
      </c>
      <c r="X2813">
        <v>5</v>
      </c>
      <c r="Y2813" t="s">
        <v>10830</v>
      </c>
      <c r="Z2813">
        <v>0</v>
      </c>
      <c r="AA2813">
        <v>40.852816</v>
      </c>
      <c r="AB2813">
        <v>-73.88918200000001</v>
      </c>
      <c r="AD2813" t="s">
        <v>10839</v>
      </c>
      <c r="AF2813" t="s">
        <v>10843</v>
      </c>
      <c r="AG2813" t="s">
        <v>10859</v>
      </c>
      <c r="AH2813" t="s">
        <v>10874</v>
      </c>
      <c r="AI2813">
        <v>230</v>
      </c>
      <c r="AJ2813" t="s">
        <v>10210</v>
      </c>
      <c r="AK2813" t="s">
        <v>10882</v>
      </c>
      <c r="AL2813">
        <v>3.3</v>
      </c>
      <c r="AM2813" t="s">
        <v>10884</v>
      </c>
      <c r="AN2813" t="s">
        <v>10931</v>
      </c>
      <c r="AO2813" t="s">
        <v>11000</v>
      </c>
      <c r="AP2813" t="s">
        <v>11056</v>
      </c>
      <c r="AQ2813" t="s">
        <v>11135</v>
      </c>
      <c r="AR2813" t="s">
        <v>11279</v>
      </c>
      <c r="AS2813" t="s">
        <v>9926</v>
      </c>
      <c r="AY2813" t="s">
        <v>10830</v>
      </c>
      <c r="AZ2813" t="s">
        <v>11701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</row>
    <row r="2814" spans="1:59">
      <c r="A2814" s="1">
        <f>HYPERLINK("https://lsnyc.legalserver.org/matter/dynamic-profile/view/1906829","19-1906829")</f>
        <v>0</v>
      </c>
      <c r="B2814" t="s">
        <v>2382</v>
      </c>
      <c r="C2814" t="s">
        <v>7163</v>
      </c>
      <c r="D2814" t="s">
        <v>9928</v>
      </c>
      <c r="E2814" t="s">
        <v>10075</v>
      </c>
      <c r="F2814">
        <v>11236</v>
      </c>
      <c r="G2814" t="s">
        <v>10091</v>
      </c>
      <c r="H2814" t="s">
        <v>10147</v>
      </c>
      <c r="I2814" t="s">
        <v>10168</v>
      </c>
      <c r="J2814" t="s">
        <v>10214</v>
      </c>
      <c r="K2814" t="s">
        <v>10217</v>
      </c>
      <c r="M2814" t="s">
        <v>10286</v>
      </c>
      <c r="N2814" t="s">
        <v>10671</v>
      </c>
      <c r="P2814" t="s">
        <v>10749</v>
      </c>
      <c r="Q2814" t="s">
        <v>10765</v>
      </c>
      <c r="R2814" t="s">
        <v>10824</v>
      </c>
      <c r="T2814">
        <v>10392</v>
      </c>
      <c r="U2814">
        <v>866</v>
      </c>
      <c r="V2814">
        <v>53</v>
      </c>
      <c r="W2814">
        <v>1</v>
      </c>
      <c r="X2814">
        <v>0</v>
      </c>
      <c r="Z2814">
        <v>83.2</v>
      </c>
      <c r="AA2814">
        <v>40.631986</v>
      </c>
      <c r="AB2814">
        <v>-73.88646300000001</v>
      </c>
      <c r="AD2814" t="s">
        <v>10839</v>
      </c>
      <c r="AG2814" t="s">
        <v>10858</v>
      </c>
      <c r="AH2814" t="s">
        <v>10871</v>
      </c>
      <c r="AI2814">
        <v>234</v>
      </c>
      <c r="AJ2814" t="s">
        <v>10214</v>
      </c>
      <c r="AL2814">
        <v>1</v>
      </c>
      <c r="AM2814" t="s">
        <v>10889</v>
      </c>
      <c r="AN2814" t="s">
        <v>10959</v>
      </c>
      <c r="AO2814" t="s">
        <v>11012</v>
      </c>
      <c r="AP2814" t="s">
        <v>11072</v>
      </c>
      <c r="AR2814" t="s">
        <v>11298</v>
      </c>
      <c r="AS2814" t="s">
        <v>11595</v>
      </c>
      <c r="AT2814" t="s">
        <v>11641</v>
      </c>
      <c r="AX2814" t="s">
        <v>10838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</row>
    <row r="2815" spans="1:59">
      <c r="A2815" s="1">
        <f>HYPERLINK("https://lsnyc.legalserver.org/matter/dynamic-profile/view/1906830","19-1906830")</f>
        <v>0</v>
      </c>
      <c r="B2815" t="s">
        <v>2372</v>
      </c>
      <c r="C2815" t="s">
        <v>7153</v>
      </c>
      <c r="D2815" t="s">
        <v>9926</v>
      </c>
      <c r="E2815" t="s">
        <v>10075</v>
      </c>
      <c r="F2815">
        <v>10457</v>
      </c>
      <c r="G2815" t="s">
        <v>10090</v>
      </c>
      <c r="H2815" t="s">
        <v>10147</v>
      </c>
      <c r="I2815" t="s">
        <v>10169</v>
      </c>
      <c r="J2815" t="s">
        <v>10210</v>
      </c>
      <c r="K2815" t="s">
        <v>10217</v>
      </c>
      <c r="M2815" t="s">
        <v>10438</v>
      </c>
      <c r="N2815" t="s">
        <v>10665</v>
      </c>
      <c r="O2815" t="s">
        <v>10665</v>
      </c>
      <c r="P2815" t="s">
        <v>10750</v>
      </c>
      <c r="Q2815" t="s">
        <v>10799</v>
      </c>
      <c r="R2815" t="s">
        <v>10821</v>
      </c>
      <c r="T2815">
        <v>0</v>
      </c>
      <c r="U2815">
        <v>0</v>
      </c>
      <c r="V2815">
        <v>34</v>
      </c>
      <c r="W2815">
        <v>1</v>
      </c>
      <c r="X2815">
        <v>1</v>
      </c>
      <c r="Z2815">
        <v>0</v>
      </c>
      <c r="AA2815">
        <v>40.856407</v>
      </c>
      <c r="AB2815">
        <v>-73.899632</v>
      </c>
      <c r="AD2815" t="s">
        <v>10840</v>
      </c>
      <c r="AG2815" t="s">
        <v>10858</v>
      </c>
      <c r="AH2815" t="s">
        <v>10861</v>
      </c>
      <c r="AI2815">
        <v>234</v>
      </c>
      <c r="AJ2815" t="s">
        <v>10214</v>
      </c>
      <c r="AL2815">
        <v>0.75</v>
      </c>
      <c r="AQ2815" t="s">
        <v>11220</v>
      </c>
      <c r="AR2815" t="s">
        <v>11267</v>
      </c>
      <c r="AS2815" t="s">
        <v>9926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</row>
    <row r="2816" spans="1:59">
      <c r="A2816" s="1">
        <f>HYPERLINK("https://lsnyc.legalserver.org/matter/dynamic-profile/view/1906831","19-1906831")</f>
        <v>0</v>
      </c>
      <c r="B2816" t="s">
        <v>2383</v>
      </c>
      <c r="C2816" t="s">
        <v>7164</v>
      </c>
      <c r="D2816" t="s">
        <v>9939</v>
      </c>
      <c r="E2816" t="s">
        <v>10075</v>
      </c>
      <c r="F2816">
        <v>11419</v>
      </c>
      <c r="G2816" t="s">
        <v>10092</v>
      </c>
      <c r="H2816" t="s">
        <v>10147</v>
      </c>
      <c r="I2816" t="s">
        <v>10168</v>
      </c>
      <c r="J2816" t="s">
        <v>10212</v>
      </c>
      <c r="K2816" t="s">
        <v>10217</v>
      </c>
      <c r="M2816" t="s">
        <v>10547</v>
      </c>
      <c r="N2816" t="s">
        <v>10649</v>
      </c>
      <c r="P2816" t="s">
        <v>10753</v>
      </c>
      <c r="Q2816" t="s">
        <v>10763</v>
      </c>
      <c r="R2816" t="s">
        <v>10827</v>
      </c>
      <c r="T2816">
        <v>9600</v>
      </c>
      <c r="U2816">
        <v>800</v>
      </c>
      <c r="V2816">
        <v>65</v>
      </c>
      <c r="W2816">
        <v>1</v>
      </c>
      <c r="X2816">
        <v>0</v>
      </c>
      <c r="Z2816">
        <v>76.86</v>
      </c>
      <c r="AA2816">
        <v>40.688677</v>
      </c>
      <c r="AB2816">
        <v>-73.82099700000001</v>
      </c>
      <c r="AD2816" t="s">
        <v>10840</v>
      </c>
      <c r="AF2816" t="s">
        <v>10843</v>
      </c>
      <c r="AG2816" t="s">
        <v>10859</v>
      </c>
      <c r="AH2816" t="s">
        <v>10861</v>
      </c>
      <c r="AI2816">
        <v>234</v>
      </c>
      <c r="AJ2816" t="s">
        <v>10214</v>
      </c>
      <c r="AL2816">
        <v>6.95</v>
      </c>
      <c r="AM2816" t="s">
        <v>10892</v>
      </c>
      <c r="AN2816" t="s">
        <v>10944</v>
      </c>
      <c r="AO2816" t="s">
        <v>11017</v>
      </c>
      <c r="AP2816" t="s">
        <v>11070</v>
      </c>
      <c r="AQ2816" t="s">
        <v>11097</v>
      </c>
      <c r="AR2816" t="s">
        <v>11300</v>
      </c>
      <c r="AS2816" t="s">
        <v>11594</v>
      </c>
      <c r="AT2816" t="s">
        <v>11642</v>
      </c>
      <c r="AX2816" t="s">
        <v>10838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</row>
    <row r="2817" spans="1:59">
      <c r="A2817" s="1">
        <f>HYPERLINK("https://lsnyc.legalserver.org/matter/dynamic-profile/view/1906832","19-1906832")</f>
        <v>0</v>
      </c>
      <c r="B2817" t="s">
        <v>2384</v>
      </c>
      <c r="C2817" t="s">
        <v>7165</v>
      </c>
      <c r="D2817" t="s">
        <v>9925</v>
      </c>
      <c r="E2817" t="s">
        <v>10075</v>
      </c>
      <c r="F2817">
        <v>10003</v>
      </c>
      <c r="G2817" t="s">
        <v>10093</v>
      </c>
      <c r="H2817" t="s">
        <v>10147</v>
      </c>
      <c r="I2817" t="s">
        <v>10168</v>
      </c>
      <c r="J2817" t="s">
        <v>10213</v>
      </c>
      <c r="K2817" t="s">
        <v>10217</v>
      </c>
      <c r="M2817" t="s">
        <v>10330</v>
      </c>
      <c r="N2817" t="s">
        <v>10710</v>
      </c>
      <c r="P2817" t="s">
        <v>10750</v>
      </c>
      <c r="Q2817" t="s">
        <v>10760</v>
      </c>
      <c r="R2817" t="s">
        <v>10822</v>
      </c>
      <c r="T2817">
        <v>81600</v>
      </c>
      <c r="U2817">
        <v>6800</v>
      </c>
      <c r="V2817">
        <v>80</v>
      </c>
      <c r="W2817">
        <v>2</v>
      </c>
      <c r="X2817">
        <v>0</v>
      </c>
      <c r="Z2817">
        <v>482.55</v>
      </c>
      <c r="AA2817">
        <v>40.734305</v>
      </c>
      <c r="AB2817">
        <v>-73.986906</v>
      </c>
      <c r="AD2817" t="s">
        <v>10839</v>
      </c>
      <c r="AG2817" t="s">
        <v>10858</v>
      </c>
      <c r="AH2817" t="s">
        <v>10861</v>
      </c>
      <c r="AI2817">
        <v>234</v>
      </c>
      <c r="AJ2817" t="s">
        <v>10214</v>
      </c>
      <c r="AL2817">
        <v>1.1</v>
      </c>
      <c r="AM2817" t="s">
        <v>10891</v>
      </c>
      <c r="AN2817" t="s">
        <v>10910</v>
      </c>
      <c r="AO2817" t="s">
        <v>11026</v>
      </c>
      <c r="AP2817" t="s">
        <v>11048</v>
      </c>
      <c r="AR2817" t="s">
        <v>11345</v>
      </c>
      <c r="AS2817" t="s">
        <v>9925</v>
      </c>
      <c r="AT2817" t="s">
        <v>11641</v>
      </c>
      <c r="AX2817" t="s">
        <v>10838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</row>
    <row r="2818" spans="1:59">
      <c r="A2818" s="1">
        <f>HYPERLINK("https://lsnyc.legalserver.org/matter/dynamic-profile/view/1906833","19-1906833")</f>
        <v>0</v>
      </c>
      <c r="B2818" t="s">
        <v>212</v>
      </c>
      <c r="C2818" t="s">
        <v>7166</v>
      </c>
      <c r="D2818" t="s">
        <v>9926</v>
      </c>
      <c r="E2818" t="s">
        <v>10075</v>
      </c>
      <c r="F2818">
        <v>10456</v>
      </c>
      <c r="G2818" t="s">
        <v>10090</v>
      </c>
      <c r="H2818" t="s">
        <v>10147</v>
      </c>
      <c r="I2818" t="s">
        <v>10168</v>
      </c>
      <c r="J2818" t="s">
        <v>10210</v>
      </c>
      <c r="K2818" t="s">
        <v>10218</v>
      </c>
      <c r="L2818" t="s">
        <v>10153</v>
      </c>
      <c r="M2818" t="s">
        <v>10336</v>
      </c>
      <c r="N2818" t="s">
        <v>10677</v>
      </c>
      <c r="P2818" t="s">
        <v>10754</v>
      </c>
      <c r="Q2818" t="s">
        <v>10782</v>
      </c>
      <c r="R2818" t="s">
        <v>10824</v>
      </c>
      <c r="T2818">
        <v>14760</v>
      </c>
      <c r="U2818">
        <v>1230</v>
      </c>
      <c r="V2818">
        <v>61</v>
      </c>
      <c r="W2818">
        <v>1</v>
      </c>
      <c r="X2818">
        <v>0</v>
      </c>
      <c r="Y2818" t="s">
        <v>10829</v>
      </c>
      <c r="Z2818">
        <v>118.17</v>
      </c>
      <c r="AA2818">
        <v>40.833813</v>
      </c>
      <c r="AB2818">
        <v>-73.90506600000001</v>
      </c>
      <c r="AD2818" t="s">
        <v>10839</v>
      </c>
      <c r="AG2818" t="s">
        <v>10858</v>
      </c>
      <c r="AH2818" t="s">
        <v>10861</v>
      </c>
      <c r="AI2818">
        <v>234</v>
      </c>
      <c r="AJ2818" t="s">
        <v>10214</v>
      </c>
      <c r="AK2818" t="s">
        <v>10882</v>
      </c>
      <c r="AL2818">
        <v>1.6</v>
      </c>
      <c r="AM2818" t="s">
        <v>10884</v>
      </c>
      <c r="AN2818" t="s">
        <v>10918</v>
      </c>
      <c r="AO2818" t="s">
        <v>11000</v>
      </c>
      <c r="AP2818" t="s">
        <v>11055</v>
      </c>
      <c r="AR2818" t="s">
        <v>11478</v>
      </c>
      <c r="AS2818" t="s">
        <v>9926</v>
      </c>
      <c r="AT2818" t="s">
        <v>11641</v>
      </c>
      <c r="AX2818" t="s">
        <v>10838</v>
      </c>
      <c r="AY2818" t="s">
        <v>10829</v>
      </c>
      <c r="AZ2818" t="s">
        <v>11683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</row>
    <row r="2819" spans="1:59">
      <c r="A2819" s="1">
        <f>HYPERLINK("https://lsnyc.legalserver.org/matter/dynamic-profile/view/1906834","19-1906834")</f>
        <v>0</v>
      </c>
      <c r="B2819" t="s">
        <v>2385</v>
      </c>
      <c r="C2819" t="s">
        <v>7167</v>
      </c>
      <c r="D2819" t="s">
        <v>9928</v>
      </c>
      <c r="E2819" t="s">
        <v>10075</v>
      </c>
      <c r="F2819">
        <v>11212</v>
      </c>
      <c r="G2819" t="s">
        <v>10093</v>
      </c>
      <c r="H2819" t="s">
        <v>10113</v>
      </c>
      <c r="I2819" t="s">
        <v>10168</v>
      </c>
      <c r="J2819" t="s">
        <v>10213</v>
      </c>
      <c r="K2819" t="s">
        <v>10218</v>
      </c>
      <c r="L2819" t="s">
        <v>10116</v>
      </c>
      <c r="M2819" t="s">
        <v>10382</v>
      </c>
      <c r="N2819" t="s">
        <v>10657</v>
      </c>
      <c r="P2819" t="s">
        <v>10749</v>
      </c>
      <c r="Q2819" t="s">
        <v>10765</v>
      </c>
      <c r="R2819" t="s">
        <v>10822</v>
      </c>
      <c r="T2819">
        <v>0</v>
      </c>
      <c r="U2819">
        <v>0</v>
      </c>
      <c r="V2819">
        <v>56</v>
      </c>
      <c r="W2819">
        <v>1</v>
      </c>
      <c r="X2819">
        <v>0</v>
      </c>
      <c r="Y2819" t="s">
        <v>10829</v>
      </c>
      <c r="Z2819">
        <v>0</v>
      </c>
      <c r="AA2819">
        <v>40.666081</v>
      </c>
      <c r="AB2819">
        <v>-73.90804</v>
      </c>
      <c r="AD2819" t="s">
        <v>10840</v>
      </c>
      <c r="AG2819" t="s">
        <v>10858</v>
      </c>
      <c r="AH2819" t="s">
        <v>10862</v>
      </c>
      <c r="AI2819">
        <v>239</v>
      </c>
      <c r="AJ2819" t="s">
        <v>10213</v>
      </c>
      <c r="AK2819" t="s">
        <v>10838</v>
      </c>
      <c r="AL2819">
        <v>1.2</v>
      </c>
      <c r="AM2819" t="s">
        <v>10888</v>
      </c>
      <c r="AN2819" t="s">
        <v>10922</v>
      </c>
      <c r="AO2819" t="s">
        <v>11005</v>
      </c>
      <c r="AP2819" t="s">
        <v>11064</v>
      </c>
      <c r="AQ2819" t="s">
        <v>11101</v>
      </c>
      <c r="AR2819" t="s">
        <v>11267</v>
      </c>
      <c r="AS2819" t="s">
        <v>11595</v>
      </c>
      <c r="AT2819" t="s">
        <v>11642</v>
      </c>
      <c r="AY2819" t="s">
        <v>10829</v>
      </c>
      <c r="AZ2819" t="s">
        <v>11681</v>
      </c>
      <c r="BA2819" t="s">
        <v>11741</v>
      </c>
      <c r="BB2819">
        <v>0</v>
      </c>
      <c r="BC2819">
        <v>0</v>
      </c>
      <c r="BD2819">
        <v>0</v>
      </c>
      <c r="BE2819">
        <v>0</v>
      </c>
      <c r="BF2819">
        <v>1</v>
      </c>
      <c r="BG2819">
        <v>0</v>
      </c>
    </row>
    <row r="2820" spans="1:59">
      <c r="A2820" s="1">
        <f>HYPERLINK("https://lsnyc.legalserver.org/matter/dynamic-profile/view/1906835","19-1906835")</f>
        <v>0</v>
      </c>
      <c r="B2820" t="s">
        <v>2386</v>
      </c>
      <c r="C2820" t="s">
        <v>7168</v>
      </c>
      <c r="D2820" t="s">
        <v>9926</v>
      </c>
      <c r="E2820" t="s">
        <v>10075</v>
      </c>
      <c r="F2820">
        <v>10460</v>
      </c>
      <c r="G2820" t="s">
        <v>10090</v>
      </c>
      <c r="H2820" t="s">
        <v>10147</v>
      </c>
      <c r="I2820" t="s">
        <v>10168</v>
      </c>
      <c r="J2820" t="s">
        <v>10210</v>
      </c>
      <c r="K2820" t="s">
        <v>10217</v>
      </c>
      <c r="M2820" t="s">
        <v>10372</v>
      </c>
      <c r="N2820" t="s">
        <v>10704</v>
      </c>
      <c r="P2820" t="s">
        <v>10750</v>
      </c>
      <c r="Q2820" t="s">
        <v>10778</v>
      </c>
      <c r="R2820" t="s">
        <v>10821</v>
      </c>
      <c r="T2820">
        <v>11352</v>
      </c>
      <c r="U2820">
        <v>946</v>
      </c>
      <c r="V2820">
        <v>44</v>
      </c>
      <c r="W2820">
        <v>1</v>
      </c>
      <c r="X2820">
        <v>0</v>
      </c>
      <c r="Z2820">
        <v>90.89</v>
      </c>
      <c r="AA2820">
        <v>40.844849</v>
      </c>
      <c r="AB2820">
        <v>-73.882763</v>
      </c>
      <c r="AD2820" t="s">
        <v>10840</v>
      </c>
      <c r="AG2820" t="s">
        <v>10858</v>
      </c>
      <c r="AH2820" t="s">
        <v>10861</v>
      </c>
      <c r="AI2820">
        <v>234</v>
      </c>
      <c r="AJ2820" t="s">
        <v>10214</v>
      </c>
      <c r="AL2820">
        <v>3.75</v>
      </c>
      <c r="AM2820" t="s">
        <v>10884</v>
      </c>
      <c r="AN2820" t="s">
        <v>10908</v>
      </c>
      <c r="AO2820" t="s">
        <v>11001</v>
      </c>
      <c r="AP2820" t="s">
        <v>11062</v>
      </c>
      <c r="AR2820" t="s">
        <v>11296</v>
      </c>
      <c r="AS2820" t="s">
        <v>9926</v>
      </c>
      <c r="AT2820" t="s">
        <v>11642</v>
      </c>
      <c r="AX2820" t="s">
        <v>10838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</row>
    <row r="2821" spans="1:59">
      <c r="A2821" s="1">
        <f>HYPERLINK("https://lsnyc.legalserver.org/matter/dynamic-profile/view/1906836","19-1906836")</f>
        <v>0</v>
      </c>
      <c r="B2821" t="s">
        <v>452</v>
      </c>
      <c r="C2821" t="s">
        <v>7169</v>
      </c>
      <c r="D2821" t="s">
        <v>9928</v>
      </c>
      <c r="E2821" t="s">
        <v>10075</v>
      </c>
      <c r="F2821">
        <v>11208</v>
      </c>
      <c r="G2821" t="s">
        <v>10093</v>
      </c>
      <c r="H2821" t="s">
        <v>10147</v>
      </c>
      <c r="I2821" t="s">
        <v>10168</v>
      </c>
      <c r="J2821" t="s">
        <v>10213</v>
      </c>
      <c r="K2821" t="s">
        <v>10218</v>
      </c>
      <c r="L2821" t="s">
        <v>10113</v>
      </c>
      <c r="M2821" t="s">
        <v>10481</v>
      </c>
      <c r="N2821" t="s">
        <v>10650</v>
      </c>
      <c r="P2821" t="s">
        <v>10749</v>
      </c>
      <c r="Q2821" t="s">
        <v>10765</v>
      </c>
      <c r="R2821" t="s">
        <v>10824</v>
      </c>
      <c r="T2821">
        <v>14092</v>
      </c>
      <c r="U2821">
        <v>1174.33</v>
      </c>
      <c r="V2821">
        <v>63</v>
      </c>
      <c r="W2821">
        <v>1</v>
      </c>
      <c r="X2821">
        <v>1</v>
      </c>
      <c r="Y2821" t="s">
        <v>10829</v>
      </c>
      <c r="Z2821">
        <v>83.34</v>
      </c>
      <c r="AA2821">
        <v>40.666294</v>
      </c>
      <c r="AB2821">
        <v>-73.877489</v>
      </c>
      <c r="AD2821" t="s">
        <v>10839</v>
      </c>
      <c r="AF2821" t="s">
        <v>10843</v>
      </c>
      <c r="AG2821" t="s">
        <v>10859</v>
      </c>
      <c r="AH2821" t="s">
        <v>10871</v>
      </c>
      <c r="AI2821">
        <v>234</v>
      </c>
      <c r="AJ2821" t="s">
        <v>10214</v>
      </c>
      <c r="AK2821" t="s">
        <v>10838</v>
      </c>
      <c r="AL2821">
        <v>0.5</v>
      </c>
      <c r="AM2821" t="s">
        <v>10889</v>
      </c>
      <c r="AN2821" t="s">
        <v>10946</v>
      </c>
      <c r="AO2821" t="s">
        <v>11012</v>
      </c>
      <c r="AP2821" t="s">
        <v>11060</v>
      </c>
      <c r="AR2821" t="s">
        <v>11293</v>
      </c>
      <c r="AS2821" t="s">
        <v>11595</v>
      </c>
      <c r="AT2821" t="s">
        <v>11641</v>
      </c>
      <c r="AX2821" t="s">
        <v>10838</v>
      </c>
      <c r="AY2821" t="s">
        <v>10829</v>
      </c>
      <c r="AZ2821" t="s">
        <v>11681</v>
      </c>
      <c r="BA2821" t="s">
        <v>11741</v>
      </c>
      <c r="BB2821">
        <v>0</v>
      </c>
      <c r="BC2821">
        <v>0</v>
      </c>
      <c r="BD2821">
        <v>0</v>
      </c>
      <c r="BE2821">
        <v>0</v>
      </c>
      <c r="BF2821">
        <v>1</v>
      </c>
      <c r="BG2821">
        <v>0</v>
      </c>
    </row>
    <row r="2822" spans="1:59">
      <c r="A2822" s="1">
        <f>HYPERLINK("https://lsnyc.legalserver.org/matter/dynamic-profile/view/1906837","19-1906837")</f>
        <v>0</v>
      </c>
      <c r="B2822" t="s">
        <v>2387</v>
      </c>
      <c r="C2822" t="s">
        <v>7170</v>
      </c>
      <c r="D2822" t="s">
        <v>9929</v>
      </c>
      <c r="E2822" t="s">
        <v>10075</v>
      </c>
      <c r="F2822">
        <v>10304</v>
      </c>
      <c r="G2822" t="s">
        <v>10088</v>
      </c>
      <c r="H2822" t="s">
        <v>10129</v>
      </c>
      <c r="I2822" t="s">
        <v>10168</v>
      </c>
      <c r="J2822" t="s">
        <v>10208</v>
      </c>
      <c r="K2822" t="s">
        <v>10217</v>
      </c>
      <c r="M2822" t="s">
        <v>10257</v>
      </c>
      <c r="N2822" t="s">
        <v>10650</v>
      </c>
      <c r="P2822" t="s">
        <v>10749</v>
      </c>
      <c r="Q2822" t="s">
        <v>10774</v>
      </c>
      <c r="R2822" t="s">
        <v>10824</v>
      </c>
      <c r="T2822">
        <v>18720</v>
      </c>
      <c r="U2822">
        <v>1560</v>
      </c>
      <c r="V2822">
        <v>37</v>
      </c>
      <c r="W2822">
        <v>1</v>
      </c>
      <c r="X2822">
        <v>3</v>
      </c>
      <c r="Z2822">
        <v>72.7</v>
      </c>
      <c r="AA2822">
        <v>40.614105</v>
      </c>
      <c r="AB2822">
        <v>-74.08265400000001</v>
      </c>
      <c r="AD2822" t="s">
        <v>10839</v>
      </c>
      <c r="AG2822" t="s">
        <v>10858</v>
      </c>
      <c r="AH2822" t="s">
        <v>10862</v>
      </c>
      <c r="AI2822">
        <v>285</v>
      </c>
      <c r="AJ2822" t="s">
        <v>10208</v>
      </c>
      <c r="AL2822">
        <v>18.85</v>
      </c>
      <c r="AM2822" t="s">
        <v>10883</v>
      </c>
      <c r="AN2822" t="s">
        <v>10913</v>
      </c>
      <c r="AO2822" t="s">
        <v>11006</v>
      </c>
      <c r="AP2822" t="s">
        <v>11051</v>
      </c>
      <c r="AR2822" t="s">
        <v>11262</v>
      </c>
      <c r="AS2822" t="s">
        <v>11593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</row>
    <row r="2823" spans="1:59">
      <c r="A2823" s="1">
        <f>HYPERLINK("https://lsnyc.legalserver.org/matter/dynamic-profile/view/1906839","19-1906839")</f>
        <v>0</v>
      </c>
      <c r="B2823" t="s">
        <v>2388</v>
      </c>
      <c r="C2823" t="s">
        <v>7171</v>
      </c>
      <c r="D2823" t="s">
        <v>9926</v>
      </c>
      <c r="E2823" t="s">
        <v>10075</v>
      </c>
      <c r="F2823">
        <v>10473</v>
      </c>
      <c r="G2823" t="s">
        <v>10090</v>
      </c>
      <c r="H2823" t="s">
        <v>10147</v>
      </c>
      <c r="I2823" t="s">
        <v>10168</v>
      </c>
      <c r="J2823" t="s">
        <v>10210</v>
      </c>
      <c r="K2823" t="s">
        <v>10217</v>
      </c>
      <c r="M2823" t="s">
        <v>10336</v>
      </c>
      <c r="N2823" t="s">
        <v>10671</v>
      </c>
      <c r="P2823" t="s">
        <v>10754</v>
      </c>
      <c r="Q2823" t="s">
        <v>10777</v>
      </c>
      <c r="R2823" t="s">
        <v>10824</v>
      </c>
      <c r="T2823">
        <v>11280</v>
      </c>
      <c r="U2823">
        <v>940</v>
      </c>
      <c r="V2823">
        <v>40</v>
      </c>
      <c r="W2823">
        <v>1</v>
      </c>
      <c r="X2823">
        <v>0</v>
      </c>
      <c r="Z2823">
        <v>90.31</v>
      </c>
      <c r="AA2823">
        <v>40.817457</v>
      </c>
      <c r="AB2823">
        <v>-73.84673100000001</v>
      </c>
      <c r="AD2823" t="s">
        <v>10839</v>
      </c>
      <c r="AG2823" t="s">
        <v>10858</v>
      </c>
      <c r="AH2823" t="s">
        <v>10861</v>
      </c>
      <c r="AI2823">
        <v>234</v>
      </c>
      <c r="AJ2823" t="s">
        <v>10214</v>
      </c>
      <c r="AL2823">
        <v>1.4</v>
      </c>
      <c r="AM2823" t="s">
        <v>10884</v>
      </c>
      <c r="AN2823" t="s">
        <v>10908</v>
      </c>
      <c r="AO2823" t="s">
        <v>11001</v>
      </c>
      <c r="AP2823" t="s">
        <v>11046</v>
      </c>
      <c r="AR2823" t="s">
        <v>11479</v>
      </c>
      <c r="AS2823" t="s">
        <v>9926</v>
      </c>
      <c r="AT2823" t="s">
        <v>11641</v>
      </c>
      <c r="AX2823" t="s">
        <v>10838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</row>
    <row r="2824" spans="1:59">
      <c r="A2824" s="1">
        <f>HYPERLINK("https://lsnyc.legalserver.org/matter/dynamic-profile/view/1906840","19-1906840")</f>
        <v>0</v>
      </c>
      <c r="B2824" t="s">
        <v>2389</v>
      </c>
      <c r="C2824" t="s">
        <v>7172</v>
      </c>
      <c r="D2824" t="s">
        <v>9925</v>
      </c>
      <c r="E2824" t="s">
        <v>10075</v>
      </c>
      <c r="F2824">
        <v>10035</v>
      </c>
      <c r="G2824" t="s">
        <v>10091</v>
      </c>
      <c r="H2824" t="s">
        <v>10147</v>
      </c>
      <c r="I2824" t="s">
        <v>10169</v>
      </c>
      <c r="J2824" t="s">
        <v>10214</v>
      </c>
      <c r="K2824" t="s">
        <v>10217</v>
      </c>
      <c r="M2824" t="s">
        <v>10286</v>
      </c>
      <c r="N2824" t="s">
        <v>10671</v>
      </c>
      <c r="P2824" t="s">
        <v>10754</v>
      </c>
      <c r="Q2824" t="s">
        <v>10782</v>
      </c>
      <c r="R2824" t="s">
        <v>10821</v>
      </c>
      <c r="T2824">
        <v>9600</v>
      </c>
      <c r="U2824">
        <v>800</v>
      </c>
      <c r="V2824">
        <v>78</v>
      </c>
      <c r="W2824">
        <v>2</v>
      </c>
      <c r="X2824">
        <v>0</v>
      </c>
      <c r="Z2824">
        <v>56.77</v>
      </c>
      <c r="AA2824">
        <v>40.797203</v>
      </c>
      <c r="AB2824">
        <v>-73.936702</v>
      </c>
      <c r="AD2824" t="s">
        <v>10840</v>
      </c>
      <c r="AG2824" t="s">
        <v>10858</v>
      </c>
      <c r="AH2824" t="s">
        <v>10871</v>
      </c>
      <c r="AI2824">
        <v>234</v>
      </c>
      <c r="AJ2824" t="s">
        <v>10214</v>
      </c>
      <c r="AL2824">
        <v>1</v>
      </c>
      <c r="AM2824" t="s">
        <v>10887</v>
      </c>
      <c r="AN2824" t="s">
        <v>10926</v>
      </c>
      <c r="AO2824" t="s">
        <v>11013</v>
      </c>
      <c r="AP2824" t="s">
        <v>11066</v>
      </c>
      <c r="AR2824" t="s">
        <v>11316</v>
      </c>
      <c r="AS2824" t="s">
        <v>9925</v>
      </c>
      <c r="AT2824" t="s">
        <v>11642</v>
      </c>
      <c r="AX2824" t="s">
        <v>10838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</row>
    <row r="2825" spans="1:59">
      <c r="A2825" s="1">
        <f>HYPERLINK("https://lsnyc.legalserver.org/matter/dynamic-profile/view/1906841","19-1906841")</f>
        <v>0</v>
      </c>
      <c r="B2825" t="s">
        <v>2390</v>
      </c>
      <c r="C2825" t="s">
        <v>7173</v>
      </c>
      <c r="D2825" t="s">
        <v>9925</v>
      </c>
      <c r="E2825" t="s">
        <v>10075</v>
      </c>
      <c r="F2825">
        <v>10039</v>
      </c>
      <c r="G2825" t="s">
        <v>10089</v>
      </c>
      <c r="H2825" t="s">
        <v>10147</v>
      </c>
      <c r="I2825" t="s">
        <v>10168</v>
      </c>
      <c r="J2825" t="s">
        <v>10209</v>
      </c>
      <c r="K2825" t="s">
        <v>10218</v>
      </c>
      <c r="L2825" t="s">
        <v>10158</v>
      </c>
      <c r="M2825" t="s">
        <v>10379</v>
      </c>
      <c r="N2825" t="s">
        <v>10650</v>
      </c>
      <c r="P2825" t="s">
        <v>10749</v>
      </c>
      <c r="Q2825" t="s">
        <v>10765</v>
      </c>
      <c r="R2825" t="s">
        <v>10824</v>
      </c>
      <c r="T2825">
        <v>10932</v>
      </c>
      <c r="U2825">
        <v>911</v>
      </c>
      <c r="V2825">
        <v>66</v>
      </c>
      <c r="W2825">
        <v>1</v>
      </c>
      <c r="X2825">
        <v>0</v>
      </c>
      <c r="Y2825" t="s">
        <v>10829</v>
      </c>
      <c r="Z2825">
        <v>87.53</v>
      </c>
      <c r="AA2825">
        <v>40.824768</v>
      </c>
      <c r="AB2825">
        <v>-73.941171</v>
      </c>
      <c r="AD2825" t="s">
        <v>10840</v>
      </c>
      <c r="AG2825" t="s">
        <v>10858</v>
      </c>
      <c r="AH2825" t="s">
        <v>10861</v>
      </c>
      <c r="AI2825">
        <v>236</v>
      </c>
      <c r="AJ2825" t="s">
        <v>10209</v>
      </c>
      <c r="AK2825" t="s">
        <v>10882</v>
      </c>
      <c r="AL2825">
        <v>0</v>
      </c>
      <c r="AM2825" t="s">
        <v>10887</v>
      </c>
      <c r="AN2825" t="s">
        <v>10943</v>
      </c>
      <c r="AO2825" t="s">
        <v>11016</v>
      </c>
      <c r="AP2825" t="s">
        <v>11076</v>
      </c>
      <c r="AR2825" t="s">
        <v>11253</v>
      </c>
      <c r="AS2825" t="s">
        <v>9925</v>
      </c>
      <c r="AY2825" t="s">
        <v>10829</v>
      </c>
      <c r="AZ2825" t="s">
        <v>11681</v>
      </c>
      <c r="BA2825" t="s">
        <v>11741</v>
      </c>
      <c r="BB2825">
        <v>0</v>
      </c>
      <c r="BC2825">
        <v>0</v>
      </c>
      <c r="BD2825">
        <v>0</v>
      </c>
      <c r="BE2825">
        <v>0</v>
      </c>
      <c r="BF2825">
        <v>1</v>
      </c>
      <c r="BG2825">
        <v>0</v>
      </c>
    </row>
    <row r="2826" spans="1:59">
      <c r="A2826" s="1">
        <f>HYPERLINK("https://lsnyc.legalserver.org/matter/dynamic-profile/view/1906842","19-1906842")</f>
        <v>0</v>
      </c>
      <c r="B2826" t="s">
        <v>2391</v>
      </c>
      <c r="C2826" t="s">
        <v>7174</v>
      </c>
      <c r="D2826" t="s">
        <v>10014</v>
      </c>
      <c r="E2826" t="s">
        <v>10078</v>
      </c>
      <c r="F2826">
        <v>34110</v>
      </c>
      <c r="G2826" t="s">
        <v>10093</v>
      </c>
      <c r="H2826" t="s">
        <v>10147</v>
      </c>
      <c r="I2826" t="s">
        <v>10168</v>
      </c>
      <c r="J2826" t="s">
        <v>10213</v>
      </c>
      <c r="K2826" t="s">
        <v>10218</v>
      </c>
      <c r="L2826" t="s">
        <v>10149</v>
      </c>
      <c r="M2826" t="s">
        <v>10436</v>
      </c>
      <c r="N2826" t="s">
        <v>10710</v>
      </c>
      <c r="P2826" t="s">
        <v>10750</v>
      </c>
      <c r="Q2826" t="s">
        <v>10760</v>
      </c>
      <c r="R2826" t="s">
        <v>10822</v>
      </c>
      <c r="T2826">
        <v>6484.08</v>
      </c>
      <c r="U2826">
        <v>540.34</v>
      </c>
      <c r="V2826">
        <v>80</v>
      </c>
      <c r="W2826">
        <v>1</v>
      </c>
      <c r="X2826">
        <v>0</v>
      </c>
      <c r="Y2826" t="s">
        <v>10829</v>
      </c>
      <c r="Z2826">
        <v>51.91</v>
      </c>
      <c r="AA2826">
        <v>26.289608</v>
      </c>
      <c r="AB2826">
        <v>-81.761718</v>
      </c>
      <c r="AD2826" t="s">
        <v>10840</v>
      </c>
      <c r="AG2826" t="s">
        <v>10858</v>
      </c>
      <c r="AH2826" t="s">
        <v>10861</v>
      </c>
      <c r="AI2826">
        <v>234</v>
      </c>
      <c r="AJ2826" t="s">
        <v>10214</v>
      </c>
      <c r="AK2826" t="s">
        <v>10838</v>
      </c>
      <c r="AL2826">
        <v>0.85</v>
      </c>
      <c r="AR2826" t="s">
        <v>11270</v>
      </c>
      <c r="AS2826" t="s">
        <v>11617</v>
      </c>
      <c r="AT2826" t="s">
        <v>11642</v>
      </c>
      <c r="AX2826" t="s">
        <v>10838</v>
      </c>
      <c r="AY2826" t="s">
        <v>10829</v>
      </c>
      <c r="AZ2826" t="s">
        <v>11679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</row>
    <row r="2827" spans="1:59">
      <c r="A2827" s="1">
        <f>HYPERLINK("https://lsnyc.legalserver.org/matter/dynamic-profile/view/1906843","19-1906843")</f>
        <v>0</v>
      </c>
      <c r="B2827" t="s">
        <v>2392</v>
      </c>
      <c r="C2827" t="s">
        <v>7175</v>
      </c>
      <c r="D2827" t="s">
        <v>9926</v>
      </c>
      <c r="E2827" t="s">
        <v>10075</v>
      </c>
      <c r="F2827">
        <v>10459</v>
      </c>
      <c r="G2827" t="s">
        <v>10090</v>
      </c>
      <c r="H2827" t="s">
        <v>10134</v>
      </c>
      <c r="I2827" t="s">
        <v>10168</v>
      </c>
      <c r="J2827" t="s">
        <v>10210</v>
      </c>
      <c r="K2827" t="s">
        <v>10218</v>
      </c>
      <c r="L2827" t="s">
        <v>10161</v>
      </c>
      <c r="M2827" t="s">
        <v>10517</v>
      </c>
      <c r="N2827" t="s">
        <v>10650</v>
      </c>
      <c r="P2827" t="s">
        <v>10749</v>
      </c>
      <c r="Q2827" t="s">
        <v>10765</v>
      </c>
      <c r="R2827" t="s">
        <v>10827</v>
      </c>
      <c r="T2827">
        <v>0</v>
      </c>
      <c r="U2827">
        <v>0</v>
      </c>
      <c r="V2827">
        <v>25</v>
      </c>
      <c r="W2827">
        <v>2</v>
      </c>
      <c r="X2827">
        <v>0</v>
      </c>
      <c r="Y2827" t="s">
        <v>10830</v>
      </c>
      <c r="Z2827">
        <v>0</v>
      </c>
      <c r="AA2827">
        <v>40.822891</v>
      </c>
      <c r="AB2827">
        <v>-73.89104</v>
      </c>
      <c r="AD2827" t="s">
        <v>10839</v>
      </c>
      <c r="AG2827" t="s">
        <v>10858</v>
      </c>
      <c r="AH2827" t="s">
        <v>10862</v>
      </c>
      <c r="AI2827">
        <v>230</v>
      </c>
      <c r="AJ2827" t="s">
        <v>10210</v>
      </c>
      <c r="AK2827" t="s">
        <v>10838</v>
      </c>
      <c r="AL2827">
        <v>0.25</v>
      </c>
      <c r="AM2827" t="s">
        <v>10884</v>
      </c>
      <c r="AN2827" t="s">
        <v>10968</v>
      </c>
      <c r="AO2827" t="s">
        <v>11001</v>
      </c>
      <c r="AP2827" t="s">
        <v>11062</v>
      </c>
      <c r="AR2827" t="s">
        <v>11267</v>
      </c>
      <c r="AS2827" t="s">
        <v>9926</v>
      </c>
      <c r="AT2827" t="s">
        <v>11641</v>
      </c>
      <c r="AW2827" t="s">
        <v>11667</v>
      </c>
      <c r="AY2827" t="s">
        <v>10830</v>
      </c>
      <c r="AZ2827" t="s">
        <v>11681</v>
      </c>
      <c r="BA2827" t="s">
        <v>11740</v>
      </c>
      <c r="BB2827">
        <v>0</v>
      </c>
      <c r="BC2827">
        <v>0</v>
      </c>
      <c r="BD2827">
        <v>0</v>
      </c>
      <c r="BE2827">
        <v>0</v>
      </c>
      <c r="BF2827">
        <v>2</v>
      </c>
      <c r="BG2827">
        <v>0</v>
      </c>
    </row>
    <row r="2828" spans="1:59">
      <c r="A2828" s="1">
        <f>HYPERLINK("https://lsnyc.legalserver.org/matter/dynamic-profile/view/1906844","19-1906844")</f>
        <v>0</v>
      </c>
      <c r="B2828" t="s">
        <v>2393</v>
      </c>
      <c r="C2828" t="s">
        <v>7176</v>
      </c>
      <c r="D2828" t="s">
        <v>9925</v>
      </c>
      <c r="E2828" t="s">
        <v>10075</v>
      </c>
      <c r="F2828">
        <v>10031</v>
      </c>
      <c r="G2828" t="s">
        <v>10089</v>
      </c>
      <c r="H2828" t="s">
        <v>10147</v>
      </c>
      <c r="I2828" t="s">
        <v>10168</v>
      </c>
      <c r="J2828" t="s">
        <v>10209</v>
      </c>
      <c r="K2828" t="s">
        <v>10217</v>
      </c>
      <c r="M2828" t="s">
        <v>10499</v>
      </c>
      <c r="N2828" t="s">
        <v>10702</v>
      </c>
      <c r="P2828" t="s">
        <v>10749</v>
      </c>
      <c r="Q2828" t="s">
        <v>10765</v>
      </c>
      <c r="R2828" t="s">
        <v>10824</v>
      </c>
      <c r="T2828">
        <v>20000</v>
      </c>
      <c r="U2828">
        <v>1666.67</v>
      </c>
      <c r="V2828">
        <v>31</v>
      </c>
      <c r="W2828">
        <v>1</v>
      </c>
      <c r="X2828">
        <v>0</v>
      </c>
      <c r="Z2828">
        <v>160.13</v>
      </c>
      <c r="AA2828">
        <v>40.821745</v>
      </c>
      <c r="AB2828">
        <v>-73.94868</v>
      </c>
      <c r="AD2828" t="s">
        <v>10839</v>
      </c>
      <c r="AG2828" t="s">
        <v>10858</v>
      </c>
      <c r="AH2828" t="s">
        <v>10862</v>
      </c>
      <c r="AI2828">
        <v>236</v>
      </c>
      <c r="AJ2828" t="s">
        <v>10209</v>
      </c>
      <c r="AL2828">
        <v>13.1</v>
      </c>
      <c r="AM2828" t="s">
        <v>10887</v>
      </c>
      <c r="AN2828" t="s">
        <v>10936</v>
      </c>
      <c r="AO2828" t="s">
        <v>11016</v>
      </c>
      <c r="AP2828" t="s">
        <v>11076</v>
      </c>
      <c r="AR2828" t="s">
        <v>11262</v>
      </c>
      <c r="AS2828" t="s">
        <v>9925</v>
      </c>
      <c r="BA2828" t="s">
        <v>11738</v>
      </c>
      <c r="BB2828">
        <v>0</v>
      </c>
      <c r="BC2828">
        <v>0</v>
      </c>
      <c r="BD2828">
        <v>0</v>
      </c>
      <c r="BE2828">
        <v>0</v>
      </c>
      <c r="BF2828">
        <v>5</v>
      </c>
      <c r="BG2828">
        <v>0</v>
      </c>
    </row>
    <row r="2829" spans="1:59">
      <c r="A2829" s="1">
        <f>HYPERLINK("https://lsnyc.legalserver.org/matter/dynamic-profile/view/1906845","19-1906845")</f>
        <v>0</v>
      </c>
      <c r="B2829" t="s">
        <v>2394</v>
      </c>
      <c r="C2829" t="s">
        <v>7177</v>
      </c>
      <c r="D2829" t="s">
        <v>9928</v>
      </c>
      <c r="E2829" t="s">
        <v>10075</v>
      </c>
      <c r="F2829">
        <v>11206</v>
      </c>
      <c r="G2829" t="s">
        <v>10093</v>
      </c>
      <c r="H2829" t="s">
        <v>10147</v>
      </c>
      <c r="I2829" t="s">
        <v>10168</v>
      </c>
      <c r="J2829" t="s">
        <v>10213</v>
      </c>
      <c r="K2829" t="s">
        <v>10217</v>
      </c>
      <c r="M2829" t="s">
        <v>10467</v>
      </c>
      <c r="N2829" t="s">
        <v>10664</v>
      </c>
      <c r="P2829" t="s">
        <v>10749</v>
      </c>
      <c r="Q2829" t="s">
        <v>10767</v>
      </c>
      <c r="R2829" t="s">
        <v>10824</v>
      </c>
      <c r="T2829">
        <v>9000</v>
      </c>
      <c r="U2829">
        <v>750</v>
      </c>
      <c r="V2829">
        <v>46</v>
      </c>
      <c r="W2829">
        <v>1</v>
      </c>
      <c r="X2829">
        <v>0</v>
      </c>
      <c r="Z2829">
        <v>72.06</v>
      </c>
      <c r="AA2829">
        <v>40.70363</v>
      </c>
      <c r="AB2829">
        <v>-73.94048100000001</v>
      </c>
      <c r="AD2829" t="s">
        <v>10840</v>
      </c>
      <c r="AG2829" t="s">
        <v>10858</v>
      </c>
      <c r="AH2829" t="s">
        <v>10862</v>
      </c>
      <c r="AI2829">
        <v>239</v>
      </c>
      <c r="AJ2829" t="s">
        <v>10213</v>
      </c>
      <c r="AL2829">
        <v>6</v>
      </c>
      <c r="AM2829" t="s">
        <v>10886</v>
      </c>
      <c r="AN2829" t="s">
        <v>10942</v>
      </c>
      <c r="AO2829" t="s">
        <v>11011</v>
      </c>
      <c r="AP2829" t="s">
        <v>11071</v>
      </c>
      <c r="AR2829" t="s">
        <v>11293</v>
      </c>
      <c r="AS2829" t="s">
        <v>11595</v>
      </c>
      <c r="BA2829" t="s">
        <v>11740</v>
      </c>
      <c r="BB2829">
        <v>0</v>
      </c>
      <c r="BC2829">
        <v>0</v>
      </c>
      <c r="BD2829">
        <v>0</v>
      </c>
      <c r="BE2829">
        <v>0</v>
      </c>
      <c r="BF2829">
        <v>2</v>
      </c>
      <c r="BG2829">
        <v>0</v>
      </c>
    </row>
    <row r="2830" spans="1:59">
      <c r="A2830" s="1">
        <f>HYPERLINK("https://lsnyc.legalserver.org/matter/dynamic-profile/view/1906846","19-1906846")</f>
        <v>0</v>
      </c>
      <c r="B2830" t="s">
        <v>2395</v>
      </c>
      <c r="C2830" t="s">
        <v>7178</v>
      </c>
      <c r="D2830" t="s">
        <v>9928</v>
      </c>
      <c r="E2830" t="s">
        <v>10075</v>
      </c>
      <c r="F2830">
        <v>11237</v>
      </c>
      <c r="G2830" t="s">
        <v>10093</v>
      </c>
      <c r="H2830" t="s">
        <v>10147</v>
      </c>
      <c r="I2830" t="s">
        <v>10178</v>
      </c>
      <c r="J2830" t="s">
        <v>10213</v>
      </c>
      <c r="K2830" t="s">
        <v>10217</v>
      </c>
      <c r="M2830" t="s">
        <v>10378</v>
      </c>
      <c r="N2830" t="s">
        <v>10662</v>
      </c>
      <c r="P2830" t="s">
        <v>10754</v>
      </c>
      <c r="Q2830" t="s">
        <v>10784</v>
      </c>
      <c r="R2830" t="s">
        <v>10823</v>
      </c>
      <c r="T2830">
        <v>0</v>
      </c>
      <c r="U2830">
        <v>0</v>
      </c>
      <c r="V2830">
        <v>26</v>
      </c>
      <c r="W2830">
        <v>3</v>
      </c>
      <c r="X2830">
        <v>0</v>
      </c>
      <c r="Z2830">
        <v>0</v>
      </c>
      <c r="AA2830">
        <v>40.70253</v>
      </c>
      <c r="AB2830">
        <v>-73.929367</v>
      </c>
      <c r="AD2830" t="s">
        <v>10839</v>
      </c>
      <c r="AF2830" t="s">
        <v>10842</v>
      </c>
      <c r="AG2830" t="s">
        <v>10859</v>
      </c>
      <c r="AH2830" t="s">
        <v>10868</v>
      </c>
      <c r="AI2830">
        <v>239</v>
      </c>
      <c r="AJ2830" t="s">
        <v>10213</v>
      </c>
      <c r="AL2830">
        <v>0.8</v>
      </c>
      <c r="AM2830" t="s">
        <v>10886</v>
      </c>
      <c r="AN2830" t="s">
        <v>10942</v>
      </c>
      <c r="AO2830" t="s">
        <v>11011</v>
      </c>
      <c r="AP2830" t="s">
        <v>11071</v>
      </c>
      <c r="AQ2830" t="s">
        <v>11117</v>
      </c>
      <c r="AR2830" t="s">
        <v>11267</v>
      </c>
      <c r="AS2830" t="s">
        <v>11595</v>
      </c>
      <c r="AT2830" t="s">
        <v>11641</v>
      </c>
      <c r="AX2830" t="s">
        <v>10837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</row>
    <row r="2831" spans="1:59">
      <c r="A2831" s="1">
        <f>HYPERLINK("https://lsnyc.legalserver.org/matter/dynamic-profile/view/1906847","19-1906847")</f>
        <v>0</v>
      </c>
      <c r="B2831" t="s">
        <v>2396</v>
      </c>
      <c r="C2831" t="s">
        <v>7179</v>
      </c>
      <c r="D2831" t="s">
        <v>9925</v>
      </c>
      <c r="E2831" t="s">
        <v>10075</v>
      </c>
      <c r="F2831">
        <v>10029</v>
      </c>
      <c r="G2831" t="s">
        <v>10089</v>
      </c>
      <c r="H2831" t="s">
        <v>10147</v>
      </c>
      <c r="I2831" t="s">
        <v>10168</v>
      </c>
      <c r="J2831" t="s">
        <v>10209</v>
      </c>
      <c r="K2831" t="s">
        <v>10217</v>
      </c>
      <c r="M2831" t="s">
        <v>10301</v>
      </c>
      <c r="N2831" t="s">
        <v>10665</v>
      </c>
      <c r="P2831" t="s">
        <v>10751</v>
      </c>
      <c r="Q2831" t="s">
        <v>10773</v>
      </c>
      <c r="R2831" t="s">
        <v>10823</v>
      </c>
      <c r="T2831">
        <v>0</v>
      </c>
      <c r="U2831">
        <v>0</v>
      </c>
      <c r="V2831">
        <v>41</v>
      </c>
      <c r="W2831">
        <v>1</v>
      </c>
      <c r="X2831">
        <v>0</v>
      </c>
      <c r="Z2831">
        <v>0</v>
      </c>
      <c r="AA2831">
        <v>40.794664</v>
      </c>
      <c r="AB2831">
        <v>-73.939082</v>
      </c>
      <c r="AD2831" t="s">
        <v>10840</v>
      </c>
      <c r="AG2831" t="s">
        <v>10858</v>
      </c>
      <c r="AH2831" t="s">
        <v>10861</v>
      </c>
      <c r="AI2831">
        <v>234</v>
      </c>
      <c r="AJ2831" t="s">
        <v>10214</v>
      </c>
      <c r="AL2831">
        <v>2.4</v>
      </c>
      <c r="AM2831" t="s">
        <v>10887</v>
      </c>
      <c r="AN2831" t="s">
        <v>10926</v>
      </c>
      <c r="AO2831" t="s">
        <v>11016</v>
      </c>
      <c r="AP2831" t="s">
        <v>11066</v>
      </c>
      <c r="AR2831" t="s">
        <v>11267</v>
      </c>
      <c r="AS2831" t="s">
        <v>9925</v>
      </c>
      <c r="AT2831" t="s">
        <v>11642</v>
      </c>
      <c r="AX2831" t="s">
        <v>10838</v>
      </c>
      <c r="BA2831" t="s">
        <v>11741</v>
      </c>
      <c r="BB2831">
        <v>0</v>
      </c>
      <c r="BC2831">
        <v>0</v>
      </c>
      <c r="BD2831">
        <v>0</v>
      </c>
      <c r="BE2831">
        <v>0</v>
      </c>
      <c r="BF2831">
        <v>1</v>
      </c>
      <c r="BG2831">
        <v>0</v>
      </c>
    </row>
    <row r="2832" spans="1:59">
      <c r="A2832" s="1">
        <f>HYPERLINK("https://lsnyc.legalserver.org/matter/dynamic-profile/view/1906848","19-1906848")</f>
        <v>0</v>
      </c>
      <c r="B2832" t="s">
        <v>2397</v>
      </c>
      <c r="C2832" t="s">
        <v>7180</v>
      </c>
      <c r="D2832" t="s">
        <v>9926</v>
      </c>
      <c r="E2832" t="s">
        <v>10075</v>
      </c>
      <c r="F2832">
        <v>10453</v>
      </c>
      <c r="G2832" t="s">
        <v>10090</v>
      </c>
      <c r="H2832" t="s">
        <v>10147</v>
      </c>
      <c r="I2832" t="s">
        <v>10169</v>
      </c>
      <c r="J2832" t="s">
        <v>10210</v>
      </c>
      <c r="K2832" t="s">
        <v>10217</v>
      </c>
      <c r="M2832" t="s">
        <v>10372</v>
      </c>
      <c r="N2832" t="s">
        <v>10694</v>
      </c>
      <c r="P2832" t="s">
        <v>10751</v>
      </c>
      <c r="Q2832" t="s">
        <v>10773</v>
      </c>
      <c r="R2832" t="s">
        <v>10823</v>
      </c>
      <c r="T2832">
        <v>0</v>
      </c>
      <c r="U2832">
        <v>0</v>
      </c>
      <c r="V2832">
        <v>23</v>
      </c>
      <c r="W2832">
        <v>1</v>
      </c>
      <c r="X2832">
        <v>0</v>
      </c>
      <c r="Z2832">
        <v>0</v>
      </c>
      <c r="AA2832">
        <v>40.85347</v>
      </c>
      <c r="AB2832">
        <v>-73.91591200000001</v>
      </c>
      <c r="AD2832" t="s">
        <v>10840</v>
      </c>
      <c r="AF2832" t="s">
        <v>10843</v>
      </c>
      <c r="AG2832" t="s">
        <v>10859</v>
      </c>
      <c r="AH2832" t="s">
        <v>10861</v>
      </c>
      <c r="AI2832">
        <v>234</v>
      </c>
      <c r="AJ2832" t="s">
        <v>10214</v>
      </c>
      <c r="AL2832">
        <v>1.25</v>
      </c>
      <c r="AM2832" t="s">
        <v>10884</v>
      </c>
      <c r="AN2832" t="s">
        <v>10931</v>
      </c>
      <c r="AO2832" t="s">
        <v>11013</v>
      </c>
      <c r="AP2832" t="s">
        <v>11045</v>
      </c>
      <c r="AR2832" t="s">
        <v>11267</v>
      </c>
      <c r="AS2832" t="s">
        <v>9926</v>
      </c>
      <c r="AT2832" t="s">
        <v>11642</v>
      </c>
      <c r="AX2832" t="s">
        <v>10838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</row>
    <row r="2833" spans="1:59">
      <c r="A2833" s="1">
        <f>HYPERLINK("https://lsnyc.legalserver.org/matter/dynamic-profile/view/1906850","19-1906850")</f>
        <v>0</v>
      </c>
      <c r="B2833" t="s">
        <v>2398</v>
      </c>
      <c r="C2833" t="s">
        <v>7181</v>
      </c>
      <c r="D2833" t="s">
        <v>9928</v>
      </c>
      <c r="E2833" t="s">
        <v>10075</v>
      </c>
      <c r="F2833">
        <v>11217</v>
      </c>
      <c r="G2833" t="s">
        <v>10092</v>
      </c>
      <c r="H2833" t="s">
        <v>10147</v>
      </c>
      <c r="J2833" t="s">
        <v>10212</v>
      </c>
      <c r="K2833" t="s">
        <v>10217</v>
      </c>
      <c r="M2833" t="s">
        <v>10485</v>
      </c>
      <c r="N2833" t="s">
        <v>10694</v>
      </c>
      <c r="P2833" t="s">
        <v>10751</v>
      </c>
      <c r="Q2833" t="s">
        <v>10768</v>
      </c>
      <c r="R2833" t="s">
        <v>10824</v>
      </c>
      <c r="T2833">
        <v>8916</v>
      </c>
      <c r="U2833">
        <v>743</v>
      </c>
      <c r="V2833">
        <v>63</v>
      </c>
      <c r="W2833">
        <v>1</v>
      </c>
      <c r="X2833">
        <v>0</v>
      </c>
      <c r="Z2833">
        <v>71.39</v>
      </c>
      <c r="AA2833">
        <v>40.686322</v>
      </c>
      <c r="AB2833">
        <v>-73.978331</v>
      </c>
      <c r="AD2833" t="s">
        <v>10840</v>
      </c>
      <c r="AG2833" t="s">
        <v>10858</v>
      </c>
      <c r="AH2833" t="s">
        <v>10860</v>
      </c>
      <c r="AI2833">
        <v>237</v>
      </c>
      <c r="AJ2833" t="s">
        <v>10212</v>
      </c>
      <c r="AL2833">
        <v>1.6</v>
      </c>
      <c r="AM2833" t="s">
        <v>10889</v>
      </c>
      <c r="AN2833" t="s">
        <v>10923</v>
      </c>
      <c r="AO2833" t="s">
        <v>11007</v>
      </c>
      <c r="AP2833" t="s">
        <v>11061</v>
      </c>
      <c r="AR2833" t="s">
        <v>11295</v>
      </c>
      <c r="AS2833" t="s">
        <v>11595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</row>
    <row r="2834" spans="1:59">
      <c r="A2834" s="1">
        <f>HYPERLINK("https://lsnyc.legalserver.org/matter/dynamic-profile/view/1906851","19-1906851")</f>
        <v>0</v>
      </c>
      <c r="B2834" t="s">
        <v>2399</v>
      </c>
      <c r="C2834" t="s">
        <v>7182</v>
      </c>
      <c r="D2834" t="s">
        <v>9926</v>
      </c>
      <c r="E2834" t="s">
        <v>10075</v>
      </c>
      <c r="F2834">
        <v>10466</v>
      </c>
      <c r="G2834" t="s">
        <v>10090</v>
      </c>
      <c r="H2834" t="s">
        <v>10147</v>
      </c>
      <c r="I2834" t="s">
        <v>10168</v>
      </c>
      <c r="J2834" t="s">
        <v>10210</v>
      </c>
      <c r="K2834" t="s">
        <v>10217</v>
      </c>
      <c r="M2834" t="s">
        <v>10372</v>
      </c>
      <c r="N2834" t="s">
        <v>10704</v>
      </c>
      <c r="P2834" t="s">
        <v>10750</v>
      </c>
      <c r="Q2834" t="s">
        <v>10778</v>
      </c>
      <c r="R2834" t="s">
        <v>10824</v>
      </c>
      <c r="T2834">
        <v>19240</v>
      </c>
      <c r="U2834">
        <v>1603.33</v>
      </c>
      <c r="V2834">
        <v>43</v>
      </c>
      <c r="W2834">
        <v>1</v>
      </c>
      <c r="X2834">
        <v>1</v>
      </c>
      <c r="Z2834">
        <v>113.78</v>
      </c>
      <c r="AA2834">
        <v>40.901613</v>
      </c>
      <c r="AB2834">
        <v>-73.844628</v>
      </c>
      <c r="AD2834" t="s">
        <v>10839</v>
      </c>
      <c r="AG2834" t="s">
        <v>10858</v>
      </c>
      <c r="AH2834" t="s">
        <v>10861</v>
      </c>
      <c r="AI2834">
        <v>234</v>
      </c>
      <c r="AJ2834" t="s">
        <v>10214</v>
      </c>
      <c r="AL2834">
        <v>4.75</v>
      </c>
      <c r="AM2834" t="s">
        <v>10893</v>
      </c>
      <c r="AN2834" t="s">
        <v>10956</v>
      </c>
      <c r="AO2834" t="s">
        <v>11010</v>
      </c>
      <c r="AP2834" t="s">
        <v>11085</v>
      </c>
      <c r="AR2834" t="s">
        <v>11257</v>
      </c>
      <c r="AS2834" t="s">
        <v>9926</v>
      </c>
      <c r="AT2834" t="s">
        <v>11641</v>
      </c>
      <c r="AX2834" t="s">
        <v>10838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</row>
    <row r="2835" spans="1:59">
      <c r="A2835" s="1">
        <f>HYPERLINK("https://lsnyc.legalserver.org/matter/dynamic-profile/view/1906852","19-1906852")</f>
        <v>0</v>
      </c>
      <c r="B2835" t="s">
        <v>2400</v>
      </c>
      <c r="C2835" t="s">
        <v>7183</v>
      </c>
      <c r="D2835" t="s">
        <v>9938</v>
      </c>
      <c r="E2835" t="s">
        <v>10075</v>
      </c>
      <c r="F2835">
        <v>11435</v>
      </c>
      <c r="G2835" t="s">
        <v>10092</v>
      </c>
      <c r="H2835" t="s">
        <v>10147</v>
      </c>
      <c r="I2835" t="s">
        <v>10168</v>
      </c>
      <c r="J2835" t="s">
        <v>10212</v>
      </c>
      <c r="K2835" t="s">
        <v>10217</v>
      </c>
      <c r="M2835" t="s">
        <v>10547</v>
      </c>
      <c r="N2835" t="s">
        <v>10649</v>
      </c>
      <c r="P2835" t="s">
        <v>10753</v>
      </c>
      <c r="Q2835" t="s">
        <v>10763</v>
      </c>
      <c r="R2835" t="s">
        <v>10822</v>
      </c>
      <c r="T2835">
        <v>23400</v>
      </c>
      <c r="U2835">
        <v>1950</v>
      </c>
      <c r="V2835">
        <v>28</v>
      </c>
      <c r="W2835">
        <v>2</v>
      </c>
      <c r="X2835">
        <v>1</v>
      </c>
      <c r="Z2835">
        <v>109.7</v>
      </c>
      <c r="AA2835">
        <v>40.700785</v>
      </c>
      <c r="AB2835">
        <v>-73.81336</v>
      </c>
      <c r="AD2835" t="s">
        <v>10839</v>
      </c>
      <c r="AF2835" t="s">
        <v>10843</v>
      </c>
      <c r="AG2835" t="s">
        <v>10859</v>
      </c>
      <c r="AH2835" t="s">
        <v>10861</v>
      </c>
      <c r="AI2835">
        <v>234</v>
      </c>
      <c r="AJ2835" t="s">
        <v>10214</v>
      </c>
      <c r="AL2835">
        <v>2.25</v>
      </c>
      <c r="AM2835" t="s">
        <v>10892</v>
      </c>
      <c r="AN2835" t="s">
        <v>10944</v>
      </c>
      <c r="AO2835" t="s">
        <v>11020</v>
      </c>
      <c r="AP2835" t="s">
        <v>11081</v>
      </c>
      <c r="AR2835" t="s">
        <v>11262</v>
      </c>
      <c r="AS2835" t="s">
        <v>11594</v>
      </c>
      <c r="AT2835" t="s">
        <v>11641</v>
      </c>
      <c r="AX2835" t="s">
        <v>10838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</row>
    <row r="2836" spans="1:59">
      <c r="A2836" s="1">
        <f>HYPERLINK("https://lsnyc.legalserver.org/matter/dynamic-profile/view/1906853","19-1906853")</f>
        <v>0</v>
      </c>
      <c r="B2836" t="s">
        <v>2401</v>
      </c>
      <c r="C2836" t="s">
        <v>7184</v>
      </c>
      <c r="D2836" t="s">
        <v>9929</v>
      </c>
      <c r="E2836" t="s">
        <v>10075</v>
      </c>
      <c r="F2836">
        <v>10302</v>
      </c>
      <c r="G2836" t="s">
        <v>10088</v>
      </c>
      <c r="H2836" t="s">
        <v>10147</v>
      </c>
      <c r="I2836" t="s">
        <v>10168</v>
      </c>
      <c r="J2836" t="s">
        <v>10208</v>
      </c>
      <c r="K2836" t="s">
        <v>10217</v>
      </c>
      <c r="M2836" t="s">
        <v>10240</v>
      </c>
      <c r="N2836" t="s">
        <v>10655</v>
      </c>
      <c r="P2836" t="s">
        <v>10749</v>
      </c>
      <c r="Q2836" t="s">
        <v>10765</v>
      </c>
      <c r="R2836" t="s">
        <v>10824</v>
      </c>
      <c r="T2836">
        <v>21768</v>
      </c>
      <c r="U2836">
        <v>1814</v>
      </c>
      <c r="V2836">
        <v>59</v>
      </c>
      <c r="W2836">
        <v>1</v>
      </c>
      <c r="X2836">
        <v>0</v>
      </c>
      <c r="Z2836">
        <v>174.28</v>
      </c>
      <c r="AA2836">
        <v>40.638076</v>
      </c>
      <c r="AB2836">
        <v>-74.138631</v>
      </c>
      <c r="AD2836" t="s">
        <v>10839</v>
      </c>
      <c r="AF2836" t="s">
        <v>10843</v>
      </c>
      <c r="AG2836" t="s">
        <v>10859</v>
      </c>
      <c r="AH2836" t="s">
        <v>10862</v>
      </c>
      <c r="AI2836">
        <v>285</v>
      </c>
      <c r="AJ2836" t="s">
        <v>10208</v>
      </c>
      <c r="AL2836">
        <v>5.95</v>
      </c>
      <c r="AM2836" t="s">
        <v>10883</v>
      </c>
      <c r="AN2836" t="s">
        <v>10913</v>
      </c>
      <c r="AO2836" t="s">
        <v>11006</v>
      </c>
      <c r="AP2836" t="s">
        <v>11051</v>
      </c>
      <c r="AR2836" t="s">
        <v>11296</v>
      </c>
      <c r="AS2836" t="s">
        <v>11593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</row>
    <row r="2837" spans="1:59">
      <c r="A2837" s="1">
        <f>HYPERLINK("https://lsnyc.legalserver.org/matter/dynamic-profile/view/1906854","19-1906854")</f>
        <v>0</v>
      </c>
      <c r="B2837" t="s">
        <v>2402</v>
      </c>
      <c r="C2837" t="s">
        <v>7185</v>
      </c>
      <c r="D2837" t="s">
        <v>9928</v>
      </c>
      <c r="E2837" t="s">
        <v>10075</v>
      </c>
      <c r="F2837">
        <v>11206</v>
      </c>
      <c r="G2837" t="s">
        <v>10093</v>
      </c>
      <c r="H2837" t="s">
        <v>10147</v>
      </c>
      <c r="I2837" t="s">
        <v>10181</v>
      </c>
      <c r="J2837" t="s">
        <v>10213</v>
      </c>
      <c r="K2837" t="s">
        <v>10218</v>
      </c>
      <c r="L2837" t="s">
        <v>10108</v>
      </c>
      <c r="M2837" t="s">
        <v>10289</v>
      </c>
      <c r="N2837" t="s">
        <v>10671</v>
      </c>
      <c r="P2837" t="s">
        <v>10757</v>
      </c>
      <c r="Q2837" t="s">
        <v>10789</v>
      </c>
      <c r="R2837" t="s">
        <v>10827</v>
      </c>
      <c r="T2837">
        <v>20160</v>
      </c>
      <c r="U2837">
        <v>1680</v>
      </c>
      <c r="V2837">
        <v>76</v>
      </c>
      <c r="W2837">
        <v>2</v>
      </c>
      <c r="X2837">
        <v>0</v>
      </c>
      <c r="Y2837" t="s">
        <v>10833</v>
      </c>
      <c r="Z2837">
        <v>119.22</v>
      </c>
      <c r="AA2837">
        <v>40.70426</v>
      </c>
      <c r="AB2837">
        <v>-73.94664400000001</v>
      </c>
      <c r="AD2837" t="s">
        <v>10840</v>
      </c>
      <c r="AG2837" t="s">
        <v>10858</v>
      </c>
      <c r="AH2837" t="s">
        <v>10861</v>
      </c>
      <c r="AI2837">
        <v>234</v>
      </c>
      <c r="AJ2837" t="s">
        <v>10214</v>
      </c>
      <c r="AK2837" t="s">
        <v>10838</v>
      </c>
      <c r="AL2837">
        <v>1.65</v>
      </c>
      <c r="AM2837" t="s">
        <v>10886</v>
      </c>
      <c r="AN2837" t="s">
        <v>10942</v>
      </c>
      <c r="AO2837" t="s">
        <v>11011</v>
      </c>
      <c r="AP2837" t="s">
        <v>11071</v>
      </c>
      <c r="AR2837" t="s">
        <v>11270</v>
      </c>
      <c r="AS2837" t="s">
        <v>11595</v>
      </c>
      <c r="AT2837" t="s">
        <v>11642</v>
      </c>
      <c r="AX2837" t="s">
        <v>10838</v>
      </c>
      <c r="AY2837" t="s">
        <v>10833</v>
      </c>
      <c r="AZ2837" t="s">
        <v>11703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</row>
    <row r="2838" spans="1:59">
      <c r="A2838" s="1">
        <f>HYPERLINK("https://lsnyc.legalserver.org/matter/dynamic-profile/view/1906855","19-1906855")</f>
        <v>0</v>
      </c>
      <c r="B2838" t="s">
        <v>2403</v>
      </c>
      <c r="C2838" t="s">
        <v>7186</v>
      </c>
      <c r="D2838" t="s">
        <v>9926</v>
      </c>
      <c r="E2838" t="s">
        <v>10075</v>
      </c>
      <c r="F2838">
        <v>10467</v>
      </c>
      <c r="G2838" t="s">
        <v>10089</v>
      </c>
      <c r="H2838" t="s">
        <v>10147</v>
      </c>
      <c r="I2838" t="s">
        <v>10168</v>
      </c>
      <c r="J2838" t="s">
        <v>10209</v>
      </c>
      <c r="K2838" t="s">
        <v>10217</v>
      </c>
      <c r="M2838" t="s">
        <v>10490</v>
      </c>
      <c r="N2838" t="s">
        <v>10656</v>
      </c>
      <c r="P2838" t="s">
        <v>10751</v>
      </c>
      <c r="Q2838" t="s">
        <v>10768</v>
      </c>
      <c r="R2838" t="s">
        <v>10826</v>
      </c>
      <c r="T2838">
        <v>1800</v>
      </c>
      <c r="U2838">
        <v>150</v>
      </c>
      <c r="V2838">
        <v>45</v>
      </c>
      <c r="W2838">
        <v>2</v>
      </c>
      <c r="X2838">
        <v>0</v>
      </c>
      <c r="Z2838">
        <v>10.64</v>
      </c>
      <c r="AA2838">
        <v>40.867545</v>
      </c>
      <c r="AB2838">
        <v>-73.869342</v>
      </c>
      <c r="AD2838" t="s">
        <v>10839</v>
      </c>
      <c r="AG2838" t="s">
        <v>10858</v>
      </c>
      <c r="AH2838" t="s">
        <v>10866</v>
      </c>
      <c r="AI2838">
        <v>236</v>
      </c>
      <c r="AJ2838" t="s">
        <v>10209</v>
      </c>
      <c r="AL2838">
        <v>7</v>
      </c>
      <c r="AM2838" t="s">
        <v>10885</v>
      </c>
      <c r="AN2838" t="s">
        <v>10938</v>
      </c>
      <c r="AO2838" t="s">
        <v>11010</v>
      </c>
      <c r="AP2838" t="s">
        <v>11056</v>
      </c>
      <c r="AR2838" t="s">
        <v>11276</v>
      </c>
      <c r="AS2838" t="s">
        <v>9926</v>
      </c>
      <c r="AT2838" t="s">
        <v>11641</v>
      </c>
      <c r="AX2838" t="s">
        <v>10837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</row>
    <row r="2839" spans="1:59">
      <c r="A2839" s="1">
        <f>HYPERLINK("https://lsnyc.legalserver.org/matter/dynamic-profile/view/1906856","19-1906856")</f>
        <v>0</v>
      </c>
      <c r="B2839" t="s">
        <v>246</v>
      </c>
      <c r="C2839" t="s">
        <v>7187</v>
      </c>
      <c r="D2839" t="s">
        <v>9928</v>
      </c>
      <c r="E2839" t="s">
        <v>10075</v>
      </c>
      <c r="F2839">
        <v>11211</v>
      </c>
      <c r="G2839" t="s">
        <v>10092</v>
      </c>
      <c r="H2839" t="s">
        <v>10147</v>
      </c>
      <c r="J2839" t="s">
        <v>10212</v>
      </c>
      <c r="K2839" t="s">
        <v>10218</v>
      </c>
      <c r="L2839" t="s">
        <v>10158</v>
      </c>
      <c r="M2839" t="s">
        <v>10485</v>
      </c>
      <c r="N2839" t="s">
        <v>10694</v>
      </c>
      <c r="P2839" t="s">
        <v>10751</v>
      </c>
      <c r="Q2839" t="s">
        <v>10780</v>
      </c>
      <c r="R2839" t="s">
        <v>10824</v>
      </c>
      <c r="T2839">
        <v>0</v>
      </c>
      <c r="U2839">
        <v>0</v>
      </c>
      <c r="V2839">
        <v>55</v>
      </c>
      <c r="W2839">
        <v>1</v>
      </c>
      <c r="X2839">
        <v>0</v>
      </c>
      <c r="Y2839" t="s">
        <v>10829</v>
      </c>
      <c r="Z2839">
        <v>0</v>
      </c>
      <c r="AA2839">
        <v>40.714124</v>
      </c>
      <c r="AB2839">
        <v>-73.961308</v>
      </c>
      <c r="AD2839" t="s">
        <v>10840</v>
      </c>
      <c r="AG2839" t="s">
        <v>10858</v>
      </c>
      <c r="AH2839" t="s">
        <v>10860</v>
      </c>
      <c r="AI2839">
        <v>237</v>
      </c>
      <c r="AJ2839" t="s">
        <v>10212</v>
      </c>
      <c r="AK2839" t="s">
        <v>10882</v>
      </c>
      <c r="AL2839">
        <v>1</v>
      </c>
      <c r="AM2839" t="s">
        <v>10886</v>
      </c>
      <c r="AN2839" t="s">
        <v>10939</v>
      </c>
      <c r="AO2839" t="s">
        <v>11011</v>
      </c>
      <c r="AP2839" t="s">
        <v>11071</v>
      </c>
      <c r="AQ2839" t="s">
        <v>11118</v>
      </c>
      <c r="AR2839" t="s">
        <v>11267</v>
      </c>
      <c r="AS2839" t="s">
        <v>11595</v>
      </c>
      <c r="AY2839" t="s">
        <v>10829</v>
      </c>
      <c r="AZ2839" t="s">
        <v>11682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</row>
    <row r="2840" spans="1:59">
      <c r="A2840" s="1">
        <f>HYPERLINK("https://lsnyc.legalserver.org/matter/dynamic-profile/view/1906857","19-1906857")</f>
        <v>0</v>
      </c>
      <c r="B2840" t="s">
        <v>2404</v>
      </c>
      <c r="C2840" t="s">
        <v>7188</v>
      </c>
      <c r="D2840" t="s">
        <v>9926</v>
      </c>
      <c r="E2840" t="s">
        <v>10075</v>
      </c>
      <c r="F2840">
        <v>10458</v>
      </c>
      <c r="G2840" t="s">
        <v>10090</v>
      </c>
      <c r="H2840" t="s">
        <v>10147</v>
      </c>
      <c r="I2840" t="s">
        <v>10169</v>
      </c>
      <c r="J2840" t="s">
        <v>10210</v>
      </c>
      <c r="K2840" t="s">
        <v>10217</v>
      </c>
      <c r="M2840" t="s">
        <v>10380</v>
      </c>
      <c r="N2840" t="s">
        <v>10649</v>
      </c>
      <c r="P2840" t="s">
        <v>10753</v>
      </c>
      <c r="Q2840" t="s">
        <v>10763</v>
      </c>
      <c r="R2840" t="s">
        <v>10821</v>
      </c>
      <c r="T2840">
        <v>15000</v>
      </c>
      <c r="U2840">
        <v>1250</v>
      </c>
      <c r="V2840">
        <v>50</v>
      </c>
      <c r="W2840">
        <v>2</v>
      </c>
      <c r="X2840">
        <v>0</v>
      </c>
      <c r="Z2840">
        <v>88.7</v>
      </c>
      <c r="AA2840">
        <v>40.854815</v>
      </c>
      <c r="AB2840">
        <v>-73.891211</v>
      </c>
      <c r="AD2840" t="s">
        <v>10839</v>
      </c>
      <c r="AF2840" t="s">
        <v>10843</v>
      </c>
      <c r="AG2840" t="s">
        <v>10859</v>
      </c>
      <c r="AH2840" t="s">
        <v>10864</v>
      </c>
      <c r="AI2840">
        <v>230</v>
      </c>
      <c r="AJ2840" t="s">
        <v>10210</v>
      </c>
      <c r="AL2840">
        <v>2</v>
      </c>
      <c r="AM2840" t="s">
        <v>10884</v>
      </c>
      <c r="AN2840" t="s">
        <v>10907</v>
      </c>
      <c r="AO2840" t="s">
        <v>11000</v>
      </c>
      <c r="AP2840" t="s">
        <v>11056</v>
      </c>
      <c r="AQ2840" t="s">
        <v>11097</v>
      </c>
      <c r="AR2840" t="s">
        <v>11257</v>
      </c>
      <c r="AS2840" t="s">
        <v>9926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</row>
    <row r="2841" spans="1:59">
      <c r="A2841" s="1">
        <f>HYPERLINK("https://lsnyc.legalserver.org/matter/dynamic-profile/view/1906858","19-1906858")</f>
        <v>0</v>
      </c>
      <c r="B2841" t="s">
        <v>2405</v>
      </c>
      <c r="C2841" t="s">
        <v>5537</v>
      </c>
      <c r="D2841" t="s">
        <v>9925</v>
      </c>
      <c r="E2841" t="s">
        <v>10075</v>
      </c>
      <c r="F2841">
        <v>10031</v>
      </c>
      <c r="G2841" t="s">
        <v>10092</v>
      </c>
      <c r="H2841" t="s">
        <v>10147</v>
      </c>
      <c r="J2841" t="s">
        <v>10212</v>
      </c>
      <c r="K2841" t="s">
        <v>10218</v>
      </c>
      <c r="L2841" t="s">
        <v>10158</v>
      </c>
      <c r="M2841" t="s">
        <v>10485</v>
      </c>
      <c r="N2841" t="s">
        <v>10694</v>
      </c>
      <c r="P2841" t="s">
        <v>10751</v>
      </c>
      <c r="Q2841" t="s">
        <v>10780</v>
      </c>
      <c r="R2841" t="s">
        <v>10821</v>
      </c>
      <c r="T2841">
        <v>16450</v>
      </c>
      <c r="U2841">
        <v>1370.83</v>
      </c>
      <c r="V2841">
        <v>55</v>
      </c>
      <c r="W2841">
        <v>1</v>
      </c>
      <c r="X2841">
        <v>0</v>
      </c>
      <c r="Y2841" t="s">
        <v>10830</v>
      </c>
      <c r="Z2841">
        <v>131.71</v>
      </c>
      <c r="AA2841">
        <v>40.824287</v>
      </c>
      <c r="AB2841">
        <v>-73.954489</v>
      </c>
      <c r="AD2841" t="s">
        <v>10840</v>
      </c>
      <c r="AG2841" t="s">
        <v>10858</v>
      </c>
      <c r="AH2841" t="s">
        <v>10860</v>
      </c>
      <c r="AI2841">
        <v>237</v>
      </c>
      <c r="AJ2841" t="s">
        <v>10212</v>
      </c>
      <c r="AK2841" t="s">
        <v>10838</v>
      </c>
      <c r="AL2841">
        <v>1.2</v>
      </c>
      <c r="AM2841" t="s">
        <v>10887</v>
      </c>
      <c r="AN2841" t="s">
        <v>10943</v>
      </c>
      <c r="AO2841" t="s">
        <v>11019</v>
      </c>
      <c r="AP2841" t="s">
        <v>11073</v>
      </c>
      <c r="AQ2841" t="s">
        <v>11118</v>
      </c>
      <c r="AR2841" t="s">
        <v>11321</v>
      </c>
      <c r="AS2841" t="s">
        <v>9925</v>
      </c>
      <c r="AY2841" t="s">
        <v>10830</v>
      </c>
      <c r="AZ2841" t="s">
        <v>11710</v>
      </c>
      <c r="BA2841" t="s">
        <v>11740</v>
      </c>
      <c r="BB2841">
        <v>0</v>
      </c>
      <c r="BC2841">
        <v>0</v>
      </c>
      <c r="BD2841">
        <v>0</v>
      </c>
      <c r="BE2841">
        <v>0</v>
      </c>
      <c r="BF2841">
        <v>2</v>
      </c>
      <c r="BG2841">
        <v>0</v>
      </c>
    </row>
    <row r="2842" spans="1:59">
      <c r="A2842" s="1">
        <f>HYPERLINK("https://lsnyc.legalserver.org/matter/dynamic-profile/view/1906859","19-1906859")</f>
        <v>0</v>
      </c>
      <c r="B2842" t="s">
        <v>2406</v>
      </c>
      <c r="C2842" t="s">
        <v>7189</v>
      </c>
      <c r="D2842" t="s">
        <v>9929</v>
      </c>
      <c r="E2842" t="s">
        <v>10075</v>
      </c>
      <c r="F2842">
        <v>10306</v>
      </c>
      <c r="G2842" t="s">
        <v>10088</v>
      </c>
      <c r="H2842" t="s">
        <v>10147</v>
      </c>
      <c r="I2842" t="s">
        <v>10168</v>
      </c>
      <c r="J2842" t="s">
        <v>10208</v>
      </c>
      <c r="K2842" t="s">
        <v>10218</v>
      </c>
      <c r="L2842" t="s">
        <v>10113</v>
      </c>
      <c r="M2842" t="s">
        <v>10240</v>
      </c>
      <c r="N2842" t="s">
        <v>10711</v>
      </c>
      <c r="P2842" t="s">
        <v>10749</v>
      </c>
      <c r="Q2842" t="s">
        <v>10765</v>
      </c>
      <c r="R2842" t="s">
        <v>10820</v>
      </c>
      <c r="T2842">
        <v>14400</v>
      </c>
      <c r="U2842">
        <v>1200</v>
      </c>
      <c r="V2842">
        <v>51</v>
      </c>
      <c r="W2842">
        <v>3</v>
      </c>
      <c r="X2842">
        <v>0</v>
      </c>
      <c r="Y2842" t="s">
        <v>10829</v>
      </c>
      <c r="Z2842">
        <v>67.51000000000001</v>
      </c>
      <c r="AA2842">
        <v>40.572045</v>
      </c>
      <c r="AB2842">
        <v>-74.094641</v>
      </c>
      <c r="AD2842" t="s">
        <v>10839</v>
      </c>
      <c r="AG2842" t="s">
        <v>10858</v>
      </c>
      <c r="AH2842" t="s">
        <v>10862</v>
      </c>
      <c r="AI2842">
        <v>285</v>
      </c>
      <c r="AJ2842" t="s">
        <v>10208</v>
      </c>
      <c r="AK2842" t="s">
        <v>10837</v>
      </c>
      <c r="AL2842">
        <v>1.5</v>
      </c>
      <c r="AM2842" t="s">
        <v>10883</v>
      </c>
      <c r="AN2842" t="s">
        <v>10915</v>
      </c>
      <c r="AO2842" t="s">
        <v>10999</v>
      </c>
      <c r="AP2842" t="s">
        <v>11063</v>
      </c>
      <c r="AQ2842" t="s">
        <v>11221</v>
      </c>
      <c r="AR2842" t="s">
        <v>11256</v>
      </c>
      <c r="AS2842" t="s">
        <v>11593</v>
      </c>
      <c r="AT2842" t="s">
        <v>11641</v>
      </c>
      <c r="AY2842" t="s">
        <v>10829</v>
      </c>
      <c r="AZ2842" t="s">
        <v>11681</v>
      </c>
      <c r="BA2842" t="s">
        <v>11741</v>
      </c>
      <c r="BB2842">
        <v>0</v>
      </c>
      <c r="BC2842">
        <v>0</v>
      </c>
      <c r="BD2842">
        <v>0</v>
      </c>
      <c r="BE2842">
        <v>0</v>
      </c>
      <c r="BF2842">
        <v>1</v>
      </c>
      <c r="BG2842">
        <v>0</v>
      </c>
    </row>
    <row r="2843" spans="1:59">
      <c r="A2843" s="1">
        <f>HYPERLINK("https://lsnyc.legalserver.org/matter/dynamic-profile/view/1906860","19-1906860")</f>
        <v>0</v>
      </c>
      <c r="B2843" t="s">
        <v>2407</v>
      </c>
      <c r="C2843" t="s">
        <v>7183</v>
      </c>
      <c r="D2843" t="s">
        <v>9938</v>
      </c>
      <c r="E2843" t="s">
        <v>10075</v>
      </c>
      <c r="F2843">
        <v>11435</v>
      </c>
      <c r="G2843" t="s">
        <v>10092</v>
      </c>
      <c r="H2843" t="s">
        <v>10147</v>
      </c>
      <c r="I2843" t="s">
        <v>10168</v>
      </c>
      <c r="J2843" t="s">
        <v>10212</v>
      </c>
      <c r="K2843" t="s">
        <v>10217</v>
      </c>
      <c r="M2843" t="s">
        <v>10547</v>
      </c>
      <c r="N2843" t="s">
        <v>10671</v>
      </c>
      <c r="P2843" t="s">
        <v>10753</v>
      </c>
      <c r="Q2843" t="s">
        <v>10763</v>
      </c>
      <c r="R2843" t="s">
        <v>10822</v>
      </c>
      <c r="T2843">
        <v>23400</v>
      </c>
      <c r="U2843">
        <v>1950</v>
      </c>
      <c r="V2843">
        <v>8</v>
      </c>
      <c r="W2843">
        <v>2</v>
      </c>
      <c r="X2843">
        <v>1</v>
      </c>
      <c r="Z2843">
        <v>109.7</v>
      </c>
      <c r="AA2843">
        <v>40.700785</v>
      </c>
      <c r="AB2843">
        <v>-73.81336</v>
      </c>
      <c r="AC2843" t="s">
        <v>10838</v>
      </c>
      <c r="AD2843" t="s">
        <v>10839</v>
      </c>
      <c r="AF2843" t="s">
        <v>10843</v>
      </c>
      <c r="AG2843" t="s">
        <v>10859</v>
      </c>
      <c r="AH2843" t="s">
        <v>10861</v>
      </c>
      <c r="AI2843">
        <v>234</v>
      </c>
      <c r="AJ2843" t="s">
        <v>10214</v>
      </c>
      <c r="AL2843">
        <v>0.5</v>
      </c>
      <c r="AR2843" t="s">
        <v>11262</v>
      </c>
      <c r="AS2843" t="s">
        <v>11594</v>
      </c>
      <c r="AT2843" t="s">
        <v>11641</v>
      </c>
      <c r="AX2843" t="s">
        <v>10838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</row>
    <row r="2844" spans="1:59">
      <c r="A2844" s="1">
        <f>HYPERLINK("https://lsnyc.legalserver.org/matter/dynamic-profile/view/1906861","19-1906861")</f>
        <v>0</v>
      </c>
      <c r="B2844" t="s">
        <v>2408</v>
      </c>
      <c r="C2844" t="s">
        <v>7190</v>
      </c>
      <c r="D2844" t="s">
        <v>9925</v>
      </c>
      <c r="E2844" t="s">
        <v>10075</v>
      </c>
      <c r="F2844">
        <v>10035</v>
      </c>
      <c r="G2844" t="s">
        <v>10092</v>
      </c>
      <c r="H2844" t="s">
        <v>10147</v>
      </c>
      <c r="J2844" t="s">
        <v>10212</v>
      </c>
      <c r="K2844" t="s">
        <v>10218</v>
      </c>
      <c r="L2844" t="s">
        <v>10158</v>
      </c>
      <c r="M2844" t="s">
        <v>10485</v>
      </c>
      <c r="N2844" t="s">
        <v>10694</v>
      </c>
      <c r="P2844" t="s">
        <v>10751</v>
      </c>
      <c r="Q2844" t="s">
        <v>10780</v>
      </c>
      <c r="R2844" t="s">
        <v>10824</v>
      </c>
      <c r="T2844">
        <v>2405</v>
      </c>
      <c r="U2844">
        <v>200.42</v>
      </c>
      <c r="V2844">
        <v>61</v>
      </c>
      <c r="W2844">
        <v>1</v>
      </c>
      <c r="X2844">
        <v>0</v>
      </c>
      <c r="Y2844" t="s">
        <v>10829</v>
      </c>
      <c r="Z2844">
        <v>19.26</v>
      </c>
      <c r="AA2844">
        <v>40.786357</v>
      </c>
      <c r="AB2844">
        <v>-73.928645</v>
      </c>
      <c r="AD2844" t="s">
        <v>10840</v>
      </c>
      <c r="AG2844" t="s">
        <v>10858</v>
      </c>
      <c r="AH2844" t="s">
        <v>10860</v>
      </c>
      <c r="AI2844">
        <v>237</v>
      </c>
      <c r="AJ2844" t="s">
        <v>10212</v>
      </c>
      <c r="AK2844" t="s">
        <v>10838</v>
      </c>
      <c r="AL2844">
        <v>0.8</v>
      </c>
      <c r="AM2844" t="s">
        <v>10891</v>
      </c>
      <c r="AN2844" t="s">
        <v>10926</v>
      </c>
      <c r="AO2844" t="s">
        <v>11013</v>
      </c>
      <c r="AP2844" t="s">
        <v>11066</v>
      </c>
      <c r="AQ2844" t="s">
        <v>11118</v>
      </c>
      <c r="AR2844" t="s">
        <v>11255</v>
      </c>
      <c r="AS2844" t="s">
        <v>9925</v>
      </c>
      <c r="AY2844" t="s">
        <v>10829</v>
      </c>
      <c r="AZ2844" t="s">
        <v>11682</v>
      </c>
      <c r="BA2844" t="s">
        <v>11741</v>
      </c>
      <c r="BB2844">
        <v>0</v>
      </c>
      <c r="BC2844">
        <v>0</v>
      </c>
      <c r="BD2844">
        <v>0</v>
      </c>
      <c r="BE2844">
        <v>0</v>
      </c>
      <c r="BF2844">
        <v>1</v>
      </c>
      <c r="BG2844">
        <v>0</v>
      </c>
    </row>
    <row r="2845" spans="1:59">
      <c r="A2845" s="1">
        <f>HYPERLINK("https://lsnyc.legalserver.org/matter/dynamic-profile/view/1906862","19-1906862")</f>
        <v>0</v>
      </c>
      <c r="B2845" t="s">
        <v>2409</v>
      </c>
      <c r="C2845" t="s">
        <v>5528</v>
      </c>
      <c r="D2845" t="s">
        <v>9929</v>
      </c>
      <c r="E2845" t="s">
        <v>10075</v>
      </c>
      <c r="F2845">
        <v>10301</v>
      </c>
      <c r="G2845" t="s">
        <v>10088</v>
      </c>
      <c r="H2845" t="s">
        <v>10147</v>
      </c>
      <c r="I2845" t="s">
        <v>10170</v>
      </c>
      <c r="J2845" t="s">
        <v>10208</v>
      </c>
      <c r="K2845" t="s">
        <v>10217</v>
      </c>
      <c r="M2845" t="s">
        <v>10240</v>
      </c>
      <c r="N2845" t="s">
        <v>10650</v>
      </c>
      <c r="P2845" t="s">
        <v>10749</v>
      </c>
      <c r="Q2845" t="s">
        <v>10765</v>
      </c>
      <c r="R2845" t="s">
        <v>10820</v>
      </c>
      <c r="T2845">
        <v>18200</v>
      </c>
      <c r="U2845">
        <v>1516.67</v>
      </c>
      <c r="V2845">
        <v>34</v>
      </c>
      <c r="W2845">
        <v>1</v>
      </c>
      <c r="X2845">
        <v>2</v>
      </c>
      <c r="Z2845">
        <v>85.33</v>
      </c>
      <c r="AA2845">
        <v>40.645519</v>
      </c>
      <c r="AB2845">
        <v>-74.08039100000001</v>
      </c>
      <c r="AD2845" t="s">
        <v>10839</v>
      </c>
      <c r="AG2845" t="s">
        <v>10858</v>
      </c>
      <c r="AH2845" t="s">
        <v>10862</v>
      </c>
      <c r="AI2845">
        <v>285</v>
      </c>
      <c r="AJ2845" t="s">
        <v>10208</v>
      </c>
      <c r="AL2845">
        <v>10.55</v>
      </c>
      <c r="AM2845" t="s">
        <v>10883</v>
      </c>
      <c r="AN2845" t="s">
        <v>10913</v>
      </c>
      <c r="AO2845" t="s">
        <v>11006</v>
      </c>
      <c r="AP2845" t="s">
        <v>11051</v>
      </c>
      <c r="AR2845" t="s">
        <v>11275</v>
      </c>
      <c r="AS2845" t="s">
        <v>11593</v>
      </c>
      <c r="BA2845" t="s">
        <v>11738</v>
      </c>
      <c r="BB2845">
        <v>0</v>
      </c>
      <c r="BC2845">
        <v>0</v>
      </c>
      <c r="BD2845">
        <v>0</v>
      </c>
      <c r="BE2845">
        <v>0</v>
      </c>
      <c r="BF2845">
        <v>5</v>
      </c>
      <c r="BG2845">
        <v>0</v>
      </c>
    </row>
    <row r="2846" spans="1:59">
      <c r="A2846" s="1">
        <f>HYPERLINK("https://lsnyc.legalserver.org/matter/dynamic-profile/view/1906863","19-1906863")</f>
        <v>0</v>
      </c>
      <c r="B2846" t="s">
        <v>2410</v>
      </c>
      <c r="C2846" t="s">
        <v>7191</v>
      </c>
      <c r="D2846" t="s">
        <v>9937</v>
      </c>
      <c r="E2846" t="s">
        <v>10075</v>
      </c>
      <c r="F2846">
        <v>11412</v>
      </c>
      <c r="G2846" t="s">
        <v>10092</v>
      </c>
      <c r="H2846" t="s">
        <v>10147</v>
      </c>
      <c r="J2846" t="s">
        <v>10212</v>
      </c>
      <c r="K2846" t="s">
        <v>10218</v>
      </c>
      <c r="L2846" t="s">
        <v>10158</v>
      </c>
      <c r="M2846" t="s">
        <v>10485</v>
      </c>
      <c r="N2846" t="s">
        <v>10657</v>
      </c>
      <c r="P2846" t="s">
        <v>10756</v>
      </c>
      <c r="Q2846" t="s">
        <v>10787</v>
      </c>
      <c r="R2846" t="s">
        <v>10824</v>
      </c>
      <c r="T2846">
        <v>585</v>
      </c>
      <c r="U2846">
        <v>48.75</v>
      </c>
      <c r="V2846">
        <v>54</v>
      </c>
      <c r="W2846">
        <v>1</v>
      </c>
      <c r="X2846">
        <v>0</v>
      </c>
      <c r="Y2846" t="s">
        <v>10830</v>
      </c>
      <c r="Z2846">
        <v>4.68</v>
      </c>
      <c r="AA2846">
        <v>40.698326</v>
      </c>
      <c r="AB2846">
        <v>-73.762154</v>
      </c>
      <c r="AD2846" t="s">
        <v>10839</v>
      </c>
      <c r="AG2846" t="s">
        <v>10858</v>
      </c>
      <c r="AH2846" t="s">
        <v>10860</v>
      </c>
      <c r="AI2846">
        <v>237</v>
      </c>
      <c r="AJ2846" t="s">
        <v>10212</v>
      </c>
      <c r="AK2846" t="s">
        <v>10882</v>
      </c>
      <c r="AL2846">
        <v>1.4</v>
      </c>
      <c r="AM2846" t="s">
        <v>10892</v>
      </c>
      <c r="AN2846" t="s">
        <v>10940</v>
      </c>
      <c r="AO2846" t="s">
        <v>11020</v>
      </c>
      <c r="AP2846" t="s">
        <v>11075</v>
      </c>
      <c r="AR2846" t="s">
        <v>11255</v>
      </c>
      <c r="AS2846" t="s">
        <v>11594</v>
      </c>
      <c r="AY2846" t="s">
        <v>10830</v>
      </c>
      <c r="AZ2846" t="s">
        <v>11708</v>
      </c>
      <c r="BA2846" t="s">
        <v>11740</v>
      </c>
      <c r="BB2846">
        <v>0</v>
      </c>
      <c r="BC2846">
        <v>0</v>
      </c>
      <c r="BD2846">
        <v>0</v>
      </c>
      <c r="BE2846">
        <v>0</v>
      </c>
      <c r="BF2846">
        <v>2</v>
      </c>
      <c r="BG2846">
        <v>0</v>
      </c>
    </row>
    <row r="2847" spans="1:59">
      <c r="A2847" s="1">
        <f>HYPERLINK("https://lsnyc.legalserver.org/matter/dynamic-profile/view/1906864","19-1906864")</f>
        <v>0</v>
      </c>
      <c r="B2847" t="s">
        <v>762</v>
      </c>
      <c r="C2847" t="s">
        <v>7192</v>
      </c>
      <c r="D2847" t="s">
        <v>9948</v>
      </c>
      <c r="E2847" t="s">
        <v>10075</v>
      </c>
      <c r="F2847">
        <v>11691</v>
      </c>
      <c r="G2847" t="s">
        <v>10092</v>
      </c>
      <c r="H2847" t="s">
        <v>10147</v>
      </c>
      <c r="I2847" t="s">
        <v>10168</v>
      </c>
      <c r="J2847" t="s">
        <v>10212</v>
      </c>
      <c r="K2847" t="s">
        <v>10217</v>
      </c>
      <c r="M2847" t="s">
        <v>10416</v>
      </c>
      <c r="N2847" t="s">
        <v>10678</v>
      </c>
      <c r="P2847" t="s">
        <v>10749</v>
      </c>
      <c r="Q2847" t="s">
        <v>10769</v>
      </c>
      <c r="R2847" t="s">
        <v>10822</v>
      </c>
      <c r="T2847">
        <v>22048</v>
      </c>
      <c r="U2847">
        <v>1837.33</v>
      </c>
      <c r="V2847">
        <v>53</v>
      </c>
      <c r="W2847">
        <v>2</v>
      </c>
      <c r="X2847">
        <v>1</v>
      </c>
      <c r="Z2847">
        <v>103.37</v>
      </c>
      <c r="AA2847">
        <v>40.596781</v>
      </c>
      <c r="AB2847">
        <v>-73.77864</v>
      </c>
      <c r="AD2847" t="s">
        <v>10839</v>
      </c>
      <c r="AG2847" t="s">
        <v>10858</v>
      </c>
      <c r="AH2847" t="s">
        <v>10861</v>
      </c>
      <c r="AI2847">
        <v>234</v>
      </c>
      <c r="AJ2847" t="s">
        <v>10214</v>
      </c>
      <c r="AL2847">
        <v>3.65</v>
      </c>
      <c r="AM2847" t="s">
        <v>10892</v>
      </c>
      <c r="AN2847" t="s">
        <v>10930</v>
      </c>
      <c r="AO2847" t="s">
        <v>11017</v>
      </c>
      <c r="AP2847" t="s">
        <v>11082</v>
      </c>
      <c r="AR2847" t="s">
        <v>11257</v>
      </c>
      <c r="AS2847" t="s">
        <v>11594</v>
      </c>
      <c r="AT2847" t="s">
        <v>11642</v>
      </c>
      <c r="AX2847" t="s">
        <v>10838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</row>
    <row r="2848" spans="1:59">
      <c r="A2848" s="1">
        <f>HYPERLINK("https://lsnyc.legalserver.org/matter/dynamic-profile/view/1906865","19-1906865")</f>
        <v>0</v>
      </c>
      <c r="B2848" t="s">
        <v>2411</v>
      </c>
      <c r="C2848" t="s">
        <v>7193</v>
      </c>
      <c r="D2848" t="s">
        <v>9925</v>
      </c>
      <c r="E2848" t="s">
        <v>10075</v>
      </c>
      <c r="F2848">
        <v>10036</v>
      </c>
      <c r="G2848" t="s">
        <v>10089</v>
      </c>
      <c r="H2848" t="s">
        <v>10147</v>
      </c>
      <c r="I2848" t="s">
        <v>10168</v>
      </c>
      <c r="J2848" t="s">
        <v>10209</v>
      </c>
      <c r="K2848" t="s">
        <v>10217</v>
      </c>
      <c r="M2848" t="s">
        <v>10332</v>
      </c>
      <c r="N2848" t="s">
        <v>10690</v>
      </c>
      <c r="P2848" t="s">
        <v>10749</v>
      </c>
      <c r="Q2848" t="s">
        <v>10765</v>
      </c>
      <c r="R2848" t="s">
        <v>10820</v>
      </c>
      <c r="T2848">
        <v>13440</v>
      </c>
      <c r="U2848">
        <v>1120</v>
      </c>
      <c r="V2848">
        <v>55</v>
      </c>
      <c r="W2848">
        <v>1</v>
      </c>
      <c r="X2848">
        <v>0</v>
      </c>
      <c r="Z2848">
        <v>107.61</v>
      </c>
      <c r="AA2848">
        <v>40.76205</v>
      </c>
      <c r="AB2848">
        <v>-73.995535</v>
      </c>
      <c r="AC2848" t="s">
        <v>10837</v>
      </c>
      <c r="AD2848" t="s">
        <v>10840</v>
      </c>
      <c r="AG2848" t="s">
        <v>10858</v>
      </c>
      <c r="AH2848" t="s">
        <v>10861</v>
      </c>
      <c r="AI2848">
        <v>234</v>
      </c>
      <c r="AJ2848" t="s">
        <v>10214</v>
      </c>
      <c r="AL2848">
        <v>17.1</v>
      </c>
      <c r="AM2848" t="s">
        <v>10894</v>
      </c>
      <c r="AN2848" t="s">
        <v>10964</v>
      </c>
      <c r="AO2848" t="s">
        <v>11021</v>
      </c>
      <c r="AP2848" t="s">
        <v>11090</v>
      </c>
      <c r="AR2848" t="s">
        <v>11480</v>
      </c>
      <c r="AS2848" t="s">
        <v>9925</v>
      </c>
      <c r="AT2848" t="s">
        <v>11642</v>
      </c>
      <c r="AX2848" t="s">
        <v>10837</v>
      </c>
      <c r="BA2848" t="s">
        <v>11741</v>
      </c>
      <c r="BB2848">
        <v>0</v>
      </c>
      <c r="BC2848">
        <v>0</v>
      </c>
      <c r="BD2848">
        <v>0</v>
      </c>
      <c r="BE2848">
        <v>0</v>
      </c>
      <c r="BF2848">
        <v>1</v>
      </c>
      <c r="BG2848">
        <v>0</v>
      </c>
    </row>
    <row r="2849" spans="1:59">
      <c r="A2849" s="1">
        <f>HYPERLINK("https://lsnyc.legalserver.org/matter/dynamic-profile/view/1906866","19-1906866")</f>
        <v>0</v>
      </c>
      <c r="B2849" t="s">
        <v>2412</v>
      </c>
      <c r="C2849" t="s">
        <v>7194</v>
      </c>
      <c r="D2849" t="s">
        <v>9926</v>
      </c>
      <c r="E2849" t="s">
        <v>10075</v>
      </c>
      <c r="F2849">
        <v>10467</v>
      </c>
      <c r="G2849" t="s">
        <v>10090</v>
      </c>
      <c r="H2849" t="s">
        <v>10147</v>
      </c>
      <c r="I2849" t="s">
        <v>10168</v>
      </c>
      <c r="J2849" t="s">
        <v>10210</v>
      </c>
      <c r="K2849" t="s">
        <v>10217</v>
      </c>
      <c r="M2849" t="s">
        <v>10380</v>
      </c>
      <c r="N2849" t="s">
        <v>10649</v>
      </c>
      <c r="P2849" t="s">
        <v>10753</v>
      </c>
      <c r="Q2849" t="s">
        <v>10763</v>
      </c>
      <c r="R2849" t="s">
        <v>10824</v>
      </c>
      <c r="T2849">
        <v>0</v>
      </c>
      <c r="U2849">
        <v>0</v>
      </c>
      <c r="V2849">
        <v>48</v>
      </c>
      <c r="W2849">
        <v>1</v>
      </c>
      <c r="X2849">
        <v>0</v>
      </c>
      <c r="Z2849">
        <v>0</v>
      </c>
      <c r="AA2849">
        <v>40.860302</v>
      </c>
      <c r="AB2849">
        <v>-73.86339700000001</v>
      </c>
      <c r="AD2849" t="s">
        <v>10839</v>
      </c>
      <c r="AG2849" t="s">
        <v>10858</v>
      </c>
      <c r="AH2849" t="s">
        <v>10861</v>
      </c>
      <c r="AI2849">
        <v>230</v>
      </c>
      <c r="AJ2849" t="s">
        <v>10210</v>
      </c>
      <c r="AL2849">
        <v>5</v>
      </c>
      <c r="AM2849" t="s">
        <v>10885</v>
      </c>
      <c r="AN2849" t="s">
        <v>10938</v>
      </c>
      <c r="AO2849" t="s">
        <v>11002</v>
      </c>
      <c r="AP2849" t="s">
        <v>11049</v>
      </c>
      <c r="AQ2849" t="s">
        <v>11222</v>
      </c>
      <c r="AR2849" t="s">
        <v>11267</v>
      </c>
      <c r="AS2849" t="s">
        <v>9926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</row>
    <row r="2850" spans="1:59">
      <c r="A2850" s="1">
        <f>HYPERLINK("https://lsnyc.legalserver.org/matter/dynamic-profile/view/1906867","19-1906867")</f>
        <v>0</v>
      </c>
      <c r="B2850" t="s">
        <v>2413</v>
      </c>
      <c r="C2850" t="s">
        <v>7195</v>
      </c>
      <c r="D2850" t="s">
        <v>9928</v>
      </c>
      <c r="E2850" t="s">
        <v>10075</v>
      </c>
      <c r="F2850">
        <v>11203</v>
      </c>
      <c r="G2850" t="s">
        <v>10093</v>
      </c>
      <c r="H2850" t="s">
        <v>10147</v>
      </c>
      <c r="I2850" t="s">
        <v>10168</v>
      </c>
      <c r="J2850" t="s">
        <v>10213</v>
      </c>
      <c r="K2850" t="s">
        <v>10218</v>
      </c>
      <c r="L2850" t="s">
        <v>10137</v>
      </c>
      <c r="M2850" t="s">
        <v>10315</v>
      </c>
      <c r="N2850" t="s">
        <v>10686</v>
      </c>
      <c r="P2850" t="s">
        <v>10750</v>
      </c>
      <c r="Q2850" t="s">
        <v>10778</v>
      </c>
      <c r="R2850" t="s">
        <v>10824</v>
      </c>
      <c r="T2850">
        <v>46800</v>
      </c>
      <c r="U2850">
        <v>3900</v>
      </c>
      <c r="V2850">
        <v>57</v>
      </c>
      <c r="W2850">
        <v>1</v>
      </c>
      <c r="X2850">
        <v>0</v>
      </c>
      <c r="Y2850" t="s">
        <v>10829</v>
      </c>
      <c r="Z2850">
        <v>374.7</v>
      </c>
      <c r="AA2850">
        <v>40.661551</v>
      </c>
      <c r="AB2850">
        <v>-73.941734</v>
      </c>
      <c r="AC2850" t="s">
        <v>10837</v>
      </c>
      <c r="AD2850" t="s">
        <v>10840</v>
      </c>
      <c r="AG2850" t="s">
        <v>10858</v>
      </c>
      <c r="AH2850" t="s">
        <v>10861</v>
      </c>
      <c r="AI2850">
        <v>234</v>
      </c>
      <c r="AJ2850" t="s">
        <v>10214</v>
      </c>
      <c r="AK2850" t="s">
        <v>10838</v>
      </c>
      <c r="AL2850">
        <v>3.5</v>
      </c>
      <c r="AM2850" t="s">
        <v>10888</v>
      </c>
      <c r="AN2850" t="s">
        <v>10912</v>
      </c>
      <c r="AO2850" t="s">
        <v>11005</v>
      </c>
      <c r="AP2850" t="s">
        <v>11064</v>
      </c>
      <c r="AR2850" t="s">
        <v>11339</v>
      </c>
      <c r="AS2850" t="s">
        <v>11595</v>
      </c>
      <c r="AT2850" t="s">
        <v>11642</v>
      </c>
      <c r="AX2850" t="s">
        <v>10838</v>
      </c>
      <c r="AY2850" t="s">
        <v>10829</v>
      </c>
      <c r="AZ2850" t="s">
        <v>11679</v>
      </c>
      <c r="BA2850" t="s">
        <v>11742</v>
      </c>
      <c r="BB2850">
        <v>0</v>
      </c>
      <c r="BC2850">
        <v>0</v>
      </c>
      <c r="BD2850">
        <v>0</v>
      </c>
      <c r="BE2850">
        <v>0</v>
      </c>
      <c r="BF2850">
        <v>7</v>
      </c>
      <c r="BG2850">
        <v>0</v>
      </c>
    </row>
    <row r="2851" spans="1:59">
      <c r="A2851" s="1">
        <f>HYPERLINK("https://lsnyc.legalserver.org/matter/dynamic-profile/view/1906868","19-1906868")</f>
        <v>0</v>
      </c>
      <c r="B2851" t="s">
        <v>2414</v>
      </c>
      <c r="C2851" t="s">
        <v>7196</v>
      </c>
      <c r="D2851" t="s">
        <v>9925</v>
      </c>
      <c r="E2851" t="s">
        <v>10075</v>
      </c>
      <c r="F2851">
        <v>10031</v>
      </c>
      <c r="G2851" t="s">
        <v>10089</v>
      </c>
      <c r="H2851" t="s">
        <v>10147</v>
      </c>
      <c r="I2851" t="s">
        <v>10168</v>
      </c>
      <c r="J2851" t="s">
        <v>10209</v>
      </c>
      <c r="K2851" t="s">
        <v>10217</v>
      </c>
      <c r="M2851" t="s">
        <v>10459</v>
      </c>
      <c r="N2851" t="s">
        <v>10671</v>
      </c>
      <c r="O2851" t="s">
        <v>10691</v>
      </c>
      <c r="P2851" t="s">
        <v>10751</v>
      </c>
      <c r="Q2851" t="s">
        <v>10780</v>
      </c>
      <c r="R2851" t="s">
        <v>10821</v>
      </c>
      <c r="T2851">
        <v>12108</v>
      </c>
      <c r="U2851">
        <v>1009</v>
      </c>
      <c r="V2851">
        <v>8</v>
      </c>
      <c r="W2851">
        <v>1</v>
      </c>
      <c r="X2851">
        <v>1</v>
      </c>
      <c r="Z2851">
        <v>71.59999999999999</v>
      </c>
      <c r="AA2851">
        <v>40.819912</v>
      </c>
      <c r="AB2851">
        <v>-73.95313400000001</v>
      </c>
      <c r="AD2851" t="s">
        <v>10839</v>
      </c>
      <c r="AG2851" t="s">
        <v>10858</v>
      </c>
      <c r="AH2851" t="s">
        <v>10861</v>
      </c>
      <c r="AI2851">
        <v>234</v>
      </c>
      <c r="AJ2851" t="s">
        <v>10214</v>
      </c>
      <c r="AL2851">
        <v>4.95</v>
      </c>
      <c r="AM2851" t="s">
        <v>10887</v>
      </c>
      <c r="AN2851" t="s">
        <v>10936</v>
      </c>
      <c r="AO2851" t="s">
        <v>11019</v>
      </c>
      <c r="AP2851" t="s">
        <v>11073</v>
      </c>
      <c r="AR2851" t="s">
        <v>11344</v>
      </c>
      <c r="AS2851" t="s">
        <v>9925</v>
      </c>
      <c r="AT2851" t="s">
        <v>11641</v>
      </c>
      <c r="AX2851" t="s">
        <v>10838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</row>
    <row r="2852" spans="1:59">
      <c r="A2852" s="1">
        <f>HYPERLINK("https://lsnyc.legalserver.org/matter/dynamic-profile/view/1906870","19-1906870")</f>
        <v>0</v>
      </c>
      <c r="B2852" t="s">
        <v>1978</v>
      </c>
      <c r="C2852" t="s">
        <v>6771</v>
      </c>
      <c r="D2852" t="s">
        <v>9929</v>
      </c>
      <c r="E2852" t="s">
        <v>10075</v>
      </c>
      <c r="F2852">
        <v>10309</v>
      </c>
      <c r="G2852" t="s">
        <v>10088</v>
      </c>
      <c r="H2852" t="s">
        <v>10146</v>
      </c>
      <c r="I2852" t="s">
        <v>10168</v>
      </c>
      <c r="J2852" t="s">
        <v>10208</v>
      </c>
      <c r="K2852" t="s">
        <v>10217</v>
      </c>
      <c r="M2852" t="s">
        <v>10237</v>
      </c>
      <c r="N2852" t="s">
        <v>10701</v>
      </c>
      <c r="P2852" t="s">
        <v>10754</v>
      </c>
      <c r="Q2852" t="s">
        <v>10777</v>
      </c>
      <c r="R2852" t="s">
        <v>10820</v>
      </c>
      <c r="T2852">
        <v>9600</v>
      </c>
      <c r="U2852">
        <v>800</v>
      </c>
      <c r="V2852">
        <v>39</v>
      </c>
      <c r="W2852">
        <v>1</v>
      </c>
      <c r="X2852">
        <v>2</v>
      </c>
      <c r="Z2852">
        <v>45.01</v>
      </c>
      <c r="AA2852">
        <v>40.515812</v>
      </c>
      <c r="AB2852">
        <v>-74.211673</v>
      </c>
      <c r="AD2852" t="s">
        <v>10839</v>
      </c>
      <c r="AG2852" t="s">
        <v>10858</v>
      </c>
      <c r="AH2852" t="s">
        <v>10861</v>
      </c>
      <c r="AI2852">
        <v>285</v>
      </c>
      <c r="AJ2852" t="s">
        <v>10208</v>
      </c>
      <c r="AL2852">
        <v>0.6</v>
      </c>
      <c r="AM2852" t="s">
        <v>10883</v>
      </c>
      <c r="AN2852" t="s">
        <v>10906</v>
      </c>
      <c r="AO2852" t="s">
        <v>10999</v>
      </c>
      <c r="AP2852" t="s">
        <v>11044</v>
      </c>
      <c r="AQ2852" t="s">
        <v>11128</v>
      </c>
      <c r="AR2852" t="s">
        <v>11263</v>
      </c>
      <c r="AS2852" t="s">
        <v>11593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</row>
    <row r="2853" spans="1:59">
      <c r="A2853" s="1">
        <f>HYPERLINK("https://lsnyc.legalserver.org/matter/dynamic-profile/view/1906871","19-1906871")</f>
        <v>0</v>
      </c>
      <c r="B2853" t="s">
        <v>2415</v>
      </c>
      <c r="C2853" t="s">
        <v>7197</v>
      </c>
      <c r="D2853" t="s">
        <v>9928</v>
      </c>
      <c r="E2853" t="s">
        <v>10075</v>
      </c>
      <c r="F2853">
        <v>11225</v>
      </c>
      <c r="G2853" t="s">
        <v>10093</v>
      </c>
      <c r="H2853" t="s">
        <v>10147</v>
      </c>
      <c r="I2853" t="s">
        <v>10168</v>
      </c>
      <c r="J2853" t="s">
        <v>10213</v>
      </c>
      <c r="K2853" t="s">
        <v>10217</v>
      </c>
      <c r="M2853" t="s">
        <v>10265</v>
      </c>
      <c r="N2853" t="s">
        <v>10671</v>
      </c>
      <c r="P2853" t="s">
        <v>10751</v>
      </c>
      <c r="Q2853" t="s">
        <v>10761</v>
      </c>
      <c r="R2853" t="s">
        <v>10824</v>
      </c>
      <c r="T2853">
        <v>44200</v>
      </c>
      <c r="U2853">
        <v>3683.33</v>
      </c>
      <c r="V2853">
        <v>38</v>
      </c>
      <c r="W2853">
        <v>2</v>
      </c>
      <c r="X2853">
        <v>2</v>
      </c>
      <c r="Z2853">
        <v>171.65</v>
      </c>
      <c r="AA2853">
        <v>40.661699</v>
      </c>
      <c r="AB2853">
        <v>-73.952353</v>
      </c>
      <c r="AD2853" t="s">
        <v>10839</v>
      </c>
      <c r="AF2853" t="s">
        <v>10842</v>
      </c>
      <c r="AG2853" t="s">
        <v>10859</v>
      </c>
      <c r="AH2853" t="s">
        <v>10862</v>
      </c>
      <c r="AI2853">
        <v>239</v>
      </c>
      <c r="AJ2853" t="s">
        <v>10213</v>
      </c>
      <c r="AL2853">
        <v>11.7</v>
      </c>
      <c r="AM2853" t="s">
        <v>10888</v>
      </c>
      <c r="AN2853" t="s">
        <v>10912</v>
      </c>
      <c r="AO2853" t="s">
        <v>11005</v>
      </c>
      <c r="AP2853" t="s">
        <v>11050</v>
      </c>
      <c r="AR2853" t="s">
        <v>11262</v>
      </c>
      <c r="AS2853" t="s">
        <v>11595</v>
      </c>
      <c r="BA2853" t="s">
        <v>11737</v>
      </c>
      <c r="BB2853">
        <v>0</v>
      </c>
      <c r="BC2853">
        <v>0</v>
      </c>
      <c r="BD2853">
        <v>0</v>
      </c>
      <c r="BE2853">
        <v>0</v>
      </c>
      <c r="BF2853">
        <v>3</v>
      </c>
      <c r="BG2853">
        <v>0</v>
      </c>
    </row>
    <row r="2854" spans="1:59">
      <c r="A2854" s="1">
        <f>HYPERLINK("https://lsnyc.legalserver.org/matter/dynamic-profile/view/1906872","19-1906872")</f>
        <v>0</v>
      </c>
      <c r="B2854" t="s">
        <v>2416</v>
      </c>
      <c r="C2854" t="s">
        <v>5376</v>
      </c>
      <c r="D2854" t="s">
        <v>9925</v>
      </c>
      <c r="E2854" t="s">
        <v>10075</v>
      </c>
      <c r="F2854">
        <v>10026</v>
      </c>
      <c r="G2854" t="s">
        <v>10089</v>
      </c>
      <c r="H2854" t="s">
        <v>10147</v>
      </c>
      <c r="I2854" t="s">
        <v>10183</v>
      </c>
      <c r="J2854" t="s">
        <v>10209</v>
      </c>
      <c r="K2854" t="s">
        <v>10217</v>
      </c>
      <c r="M2854" t="s">
        <v>10488</v>
      </c>
      <c r="N2854" t="s">
        <v>10673</v>
      </c>
      <c r="P2854" t="s">
        <v>10753</v>
      </c>
      <c r="Q2854" t="s">
        <v>10763</v>
      </c>
      <c r="R2854" t="s">
        <v>10820</v>
      </c>
      <c r="T2854">
        <v>0</v>
      </c>
      <c r="U2854">
        <v>0</v>
      </c>
      <c r="V2854">
        <v>40</v>
      </c>
      <c r="W2854">
        <v>1</v>
      </c>
      <c r="X2854">
        <v>2</v>
      </c>
      <c r="Z2854">
        <v>0</v>
      </c>
      <c r="AA2854">
        <v>40.801663</v>
      </c>
      <c r="AB2854">
        <v>-73.94708</v>
      </c>
      <c r="AD2854" t="s">
        <v>10839</v>
      </c>
      <c r="AF2854" t="s">
        <v>10844</v>
      </c>
      <c r="AG2854" t="s">
        <v>10859</v>
      </c>
      <c r="AH2854" t="s">
        <v>10865</v>
      </c>
      <c r="AI2854">
        <v>236</v>
      </c>
      <c r="AJ2854" t="s">
        <v>10209</v>
      </c>
      <c r="AK2854" t="s">
        <v>10837</v>
      </c>
      <c r="AL2854">
        <v>8.25</v>
      </c>
      <c r="AM2854" t="s">
        <v>10887</v>
      </c>
      <c r="AN2854" t="s">
        <v>10936</v>
      </c>
      <c r="AO2854" t="s">
        <v>11016</v>
      </c>
      <c r="AP2854" t="s">
        <v>11076</v>
      </c>
      <c r="AQ2854" t="s">
        <v>11140</v>
      </c>
      <c r="AR2854" t="s">
        <v>11267</v>
      </c>
      <c r="AS2854" t="s">
        <v>9925</v>
      </c>
      <c r="BA2854" t="s">
        <v>11742</v>
      </c>
      <c r="BB2854">
        <v>0</v>
      </c>
      <c r="BC2854">
        <v>0</v>
      </c>
      <c r="BD2854">
        <v>0</v>
      </c>
      <c r="BE2854">
        <v>0</v>
      </c>
      <c r="BF2854">
        <v>7</v>
      </c>
      <c r="BG2854">
        <v>0</v>
      </c>
    </row>
    <row r="2855" spans="1:59">
      <c r="A2855" s="1">
        <f>HYPERLINK("https://lsnyc.legalserver.org/matter/dynamic-profile/view/1906873","19-1906873")</f>
        <v>0</v>
      </c>
      <c r="B2855" t="s">
        <v>1978</v>
      </c>
      <c r="C2855" t="s">
        <v>6771</v>
      </c>
      <c r="D2855" t="s">
        <v>9929</v>
      </c>
      <c r="E2855" t="s">
        <v>10075</v>
      </c>
      <c r="F2855">
        <v>10309</v>
      </c>
      <c r="G2855" t="s">
        <v>10088</v>
      </c>
      <c r="H2855" t="s">
        <v>10146</v>
      </c>
      <c r="I2855" t="s">
        <v>10168</v>
      </c>
      <c r="J2855" t="s">
        <v>10208</v>
      </c>
      <c r="K2855" t="s">
        <v>10217</v>
      </c>
      <c r="M2855" t="s">
        <v>10237</v>
      </c>
      <c r="N2855" t="s">
        <v>10652</v>
      </c>
      <c r="P2855" t="s">
        <v>10754</v>
      </c>
      <c r="Q2855" t="s">
        <v>10766</v>
      </c>
      <c r="R2855" t="s">
        <v>10820</v>
      </c>
      <c r="T2855">
        <v>9600</v>
      </c>
      <c r="U2855">
        <v>800</v>
      </c>
      <c r="V2855">
        <v>39</v>
      </c>
      <c r="W2855">
        <v>1</v>
      </c>
      <c r="X2855">
        <v>2</v>
      </c>
      <c r="Z2855">
        <v>45.01</v>
      </c>
      <c r="AA2855">
        <v>40.515812</v>
      </c>
      <c r="AB2855">
        <v>-74.211673</v>
      </c>
      <c r="AD2855" t="s">
        <v>10839</v>
      </c>
      <c r="AG2855" t="s">
        <v>10858</v>
      </c>
      <c r="AH2855" t="s">
        <v>10861</v>
      </c>
      <c r="AI2855">
        <v>285</v>
      </c>
      <c r="AJ2855" t="s">
        <v>10208</v>
      </c>
      <c r="AL2855">
        <v>1</v>
      </c>
      <c r="AM2855" t="s">
        <v>10883</v>
      </c>
      <c r="AN2855" t="s">
        <v>10906</v>
      </c>
      <c r="AO2855" t="s">
        <v>10999</v>
      </c>
      <c r="AP2855" t="s">
        <v>11044</v>
      </c>
      <c r="AR2855" t="s">
        <v>11263</v>
      </c>
      <c r="AS2855" t="s">
        <v>11593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</row>
    <row r="2856" spans="1:59">
      <c r="A2856" s="1">
        <f>HYPERLINK("https://lsnyc.legalserver.org/matter/dynamic-profile/view/1906874","19-1906874")</f>
        <v>0</v>
      </c>
      <c r="B2856" t="s">
        <v>2417</v>
      </c>
      <c r="C2856" t="s">
        <v>7198</v>
      </c>
      <c r="D2856" t="s">
        <v>9938</v>
      </c>
      <c r="E2856" t="s">
        <v>10075</v>
      </c>
      <c r="F2856">
        <v>11433</v>
      </c>
      <c r="G2856" t="s">
        <v>10092</v>
      </c>
      <c r="H2856" t="s">
        <v>10147</v>
      </c>
      <c r="I2856" t="s">
        <v>10168</v>
      </c>
      <c r="J2856" t="s">
        <v>10212</v>
      </c>
      <c r="K2856" t="s">
        <v>10217</v>
      </c>
      <c r="M2856" t="s">
        <v>10491</v>
      </c>
      <c r="N2856" t="s">
        <v>10693</v>
      </c>
      <c r="P2856" t="s">
        <v>10749</v>
      </c>
      <c r="Q2856" t="s">
        <v>10765</v>
      </c>
      <c r="R2856" t="s">
        <v>10824</v>
      </c>
      <c r="T2856">
        <v>25858.8</v>
      </c>
      <c r="U2856">
        <v>2154.9</v>
      </c>
      <c r="V2856">
        <v>66</v>
      </c>
      <c r="W2856">
        <v>4</v>
      </c>
      <c r="X2856">
        <v>0</v>
      </c>
      <c r="Z2856">
        <v>100.42</v>
      </c>
      <c r="AA2856">
        <v>40.696201</v>
      </c>
      <c r="AB2856">
        <v>-73.796363</v>
      </c>
      <c r="AD2856" t="s">
        <v>10839</v>
      </c>
      <c r="AG2856" t="s">
        <v>10858</v>
      </c>
      <c r="AH2856" t="s">
        <v>10862</v>
      </c>
      <c r="AI2856">
        <v>237</v>
      </c>
      <c r="AJ2856" t="s">
        <v>10212</v>
      </c>
      <c r="AL2856">
        <v>8.6</v>
      </c>
      <c r="AM2856" t="s">
        <v>10892</v>
      </c>
      <c r="AN2856" t="s">
        <v>10951</v>
      </c>
      <c r="AO2856" t="s">
        <v>11020</v>
      </c>
      <c r="AP2856" t="s">
        <v>11070</v>
      </c>
      <c r="AR2856" t="s">
        <v>11481</v>
      </c>
      <c r="AS2856" t="s">
        <v>11594</v>
      </c>
      <c r="BA2856" t="s">
        <v>11742</v>
      </c>
      <c r="BB2856">
        <v>0</v>
      </c>
      <c r="BC2856">
        <v>0</v>
      </c>
      <c r="BD2856">
        <v>0</v>
      </c>
      <c r="BE2856">
        <v>0</v>
      </c>
      <c r="BF2856">
        <v>7</v>
      </c>
      <c r="BG2856">
        <v>0</v>
      </c>
    </row>
    <row r="2857" spans="1:59">
      <c r="A2857" s="1">
        <f>HYPERLINK("https://lsnyc.legalserver.org/matter/dynamic-profile/view/1906875","19-1906875")</f>
        <v>0</v>
      </c>
      <c r="B2857" t="s">
        <v>2418</v>
      </c>
      <c r="C2857" t="s">
        <v>7199</v>
      </c>
      <c r="D2857" t="s">
        <v>9925</v>
      </c>
      <c r="E2857" t="s">
        <v>10075</v>
      </c>
      <c r="F2857">
        <v>10027</v>
      </c>
      <c r="G2857" t="s">
        <v>10089</v>
      </c>
      <c r="H2857" t="s">
        <v>10147</v>
      </c>
      <c r="I2857" t="s">
        <v>10168</v>
      </c>
      <c r="J2857" t="s">
        <v>10209</v>
      </c>
      <c r="K2857" t="s">
        <v>10217</v>
      </c>
      <c r="M2857" t="s">
        <v>10501</v>
      </c>
      <c r="N2857" t="s">
        <v>10702</v>
      </c>
      <c r="P2857" t="s">
        <v>10749</v>
      </c>
      <c r="Q2857" t="s">
        <v>10765</v>
      </c>
      <c r="R2857" t="s">
        <v>10824</v>
      </c>
      <c r="T2857">
        <v>2400</v>
      </c>
      <c r="U2857">
        <v>200</v>
      </c>
      <c r="V2857">
        <v>65</v>
      </c>
      <c r="W2857">
        <v>1</v>
      </c>
      <c r="X2857">
        <v>0</v>
      </c>
      <c r="Z2857">
        <v>19.22</v>
      </c>
      <c r="AA2857">
        <v>40.813135</v>
      </c>
      <c r="AB2857">
        <v>-73.949533</v>
      </c>
      <c r="AD2857" t="s">
        <v>10839</v>
      </c>
      <c r="AG2857" t="s">
        <v>10858</v>
      </c>
      <c r="AH2857" t="s">
        <v>10862</v>
      </c>
      <c r="AI2857">
        <v>236</v>
      </c>
      <c r="AJ2857" t="s">
        <v>10209</v>
      </c>
      <c r="AL2857">
        <v>4.85</v>
      </c>
      <c r="AM2857" t="s">
        <v>10887</v>
      </c>
      <c r="AN2857" t="s">
        <v>10936</v>
      </c>
      <c r="AO2857" t="s">
        <v>11016</v>
      </c>
      <c r="AP2857" t="s">
        <v>11076</v>
      </c>
      <c r="AR2857" t="s">
        <v>11344</v>
      </c>
      <c r="AS2857" t="s">
        <v>9925</v>
      </c>
      <c r="BA2857" t="s">
        <v>11738</v>
      </c>
      <c r="BB2857">
        <v>0</v>
      </c>
      <c r="BC2857">
        <v>0</v>
      </c>
      <c r="BD2857">
        <v>0</v>
      </c>
      <c r="BE2857">
        <v>0</v>
      </c>
      <c r="BF2857">
        <v>5</v>
      </c>
      <c r="BG2857">
        <v>0</v>
      </c>
    </row>
    <row r="2858" spans="1:59">
      <c r="A2858" s="1">
        <f>HYPERLINK("https://lsnyc.legalserver.org/matter/dynamic-profile/view/1906876","19-1906876")</f>
        <v>0</v>
      </c>
      <c r="B2858" t="s">
        <v>2419</v>
      </c>
      <c r="C2858" t="s">
        <v>7200</v>
      </c>
      <c r="D2858" t="s">
        <v>9928</v>
      </c>
      <c r="E2858" t="s">
        <v>10075</v>
      </c>
      <c r="F2858">
        <v>11220</v>
      </c>
      <c r="G2858" t="s">
        <v>10093</v>
      </c>
      <c r="H2858" t="s">
        <v>10147</v>
      </c>
      <c r="J2858" t="s">
        <v>10213</v>
      </c>
      <c r="K2858" t="s">
        <v>10218</v>
      </c>
      <c r="L2858" t="s">
        <v>10147</v>
      </c>
      <c r="M2858" t="s">
        <v>10587</v>
      </c>
      <c r="N2858" t="s">
        <v>10657</v>
      </c>
      <c r="P2858" t="s">
        <v>10749</v>
      </c>
      <c r="Q2858" t="s">
        <v>10765</v>
      </c>
      <c r="R2858" t="s">
        <v>10821</v>
      </c>
      <c r="T2858">
        <v>20400</v>
      </c>
      <c r="U2858">
        <v>1700</v>
      </c>
      <c r="V2858">
        <v>73</v>
      </c>
      <c r="W2858">
        <v>1</v>
      </c>
      <c r="X2858">
        <v>0</v>
      </c>
      <c r="Y2858" t="s">
        <v>10829</v>
      </c>
      <c r="Z2858">
        <v>163.33</v>
      </c>
      <c r="AA2858">
        <v>40.644992</v>
      </c>
      <c r="AB2858">
        <v>-74.00818</v>
      </c>
      <c r="AD2858" t="s">
        <v>10839</v>
      </c>
      <c r="AG2858" t="s">
        <v>10858</v>
      </c>
      <c r="AH2858" t="s">
        <v>10862</v>
      </c>
      <c r="AI2858">
        <v>239</v>
      </c>
      <c r="AJ2858" t="s">
        <v>10213</v>
      </c>
      <c r="AK2858" t="s">
        <v>10838</v>
      </c>
      <c r="AL2858">
        <v>0.5</v>
      </c>
      <c r="AM2858" t="s">
        <v>10886</v>
      </c>
      <c r="AN2858" t="s">
        <v>10921</v>
      </c>
      <c r="AO2858" t="s">
        <v>11005</v>
      </c>
      <c r="AP2858" t="s">
        <v>11069</v>
      </c>
      <c r="AR2858" t="s">
        <v>11379</v>
      </c>
      <c r="AS2858" t="s">
        <v>11595</v>
      </c>
      <c r="AY2858" t="s">
        <v>10829</v>
      </c>
      <c r="AZ2858" t="s">
        <v>11681</v>
      </c>
      <c r="BA2858" t="s">
        <v>11741</v>
      </c>
      <c r="BB2858">
        <v>0</v>
      </c>
      <c r="BC2858">
        <v>0</v>
      </c>
      <c r="BD2858">
        <v>0</v>
      </c>
      <c r="BE2858">
        <v>0</v>
      </c>
      <c r="BF2858">
        <v>1</v>
      </c>
      <c r="BG2858">
        <v>0</v>
      </c>
    </row>
    <row r="2859" spans="1:59">
      <c r="A2859" s="1">
        <f>HYPERLINK("https://lsnyc.legalserver.org/matter/dynamic-profile/view/1906878","19-1906878")</f>
        <v>0</v>
      </c>
      <c r="B2859" t="s">
        <v>2350</v>
      </c>
      <c r="C2859" t="s">
        <v>7133</v>
      </c>
      <c r="D2859" t="s">
        <v>9929</v>
      </c>
      <c r="E2859" t="s">
        <v>10075</v>
      </c>
      <c r="F2859">
        <v>10301</v>
      </c>
      <c r="G2859" t="s">
        <v>10088</v>
      </c>
      <c r="H2859" t="s">
        <v>10146</v>
      </c>
      <c r="I2859" t="s">
        <v>10168</v>
      </c>
      <c r="J2859" t="s">
        <v>10208</v>
      </c>
      <c r="K2859" t="s">
        <v>10217</v>
      </c>
      <c r="M2859" t="s">
        <v>10237</v>
      </c>
      <c r="N2859" t="s">
        <v>10652</v>
      </c>
      <c r="P2859" t="s">
        <v>10754</v>
      </c>
      <c r="Q2859" t="s">
        <v>10777</v>
      </c>
      <c r="R2859" t="s">
        <v>10822</v>
      </c>
      <c r="T2859">
        <v>28000</v>
      </c>
      <c r="U2859">
        <v>2333.33</v>
      </c>
      <c r="V2859">
        <v>33</v>
      </c>
      <c r="W2859">
        <v>1</v>
      </c>
      <c r="X2859">
        <v>4</v>
      </c>
      <c r="Z2859">
        <v>92.81</v>
      </c>
      <c r="AA2859">
        <v>40.647008</v>
      </c>
      <c r="AB2859">
        <v>-74.088132</v>
      </c>
      <c r="AD2859" t="s">
        <v>10839</v>
      </c>
      <c r="AG2859" t="s">
        <v>10858</v>
      </c>
      <c r="AH2859" t="s">
        <v>10865</v>
      </c>
      <c r="AI2859">
        <v>285</v>
      </c>
      <c r="AJ2859" t="s">
        <v>10208</v>
      </c>
      <c r="AL2859">
        <v>0.8</v>
      </c>
      <c r="AM2859" t="s">
        <v>10883</v>
      </c>
      <c r="AN2859" t="s">
        <v>10913</v>
      </c>
      <c r="AO2859" t="s">
        <v>11006</v>
      </c>
      <c r="AP2859" t="s">
        <v>11051</v>
      </c>
      <c r="AQ2859" t="s">
        <v>11128</v>
      </c>
      <c r="AR2859" t="s">
        <v>11257</v>
      </c>
      <c r="AS2859" t="s">
        <v>11593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</row>
    <row r="2860" spans="1:59">
      <c r="A2860" s="1">
        <f>HYPERLINK("https://lsnyc.legalserver.org/matter/dynamic-profile/view/1906879","19-1906879")</f>
        <v>0</v>
      </c>
      <c r="B2860" t="s">
        <v>2420</v>
      </c>
      <c r="C2860" t="s">
        <v>7201</v>
      </c>
      <c r="D2860" t="s">
        <v>9928</v>
      </c>
      <c r="E2860" t="s">
        <v>10075</v>
      </c>
      <c r="F2860">
        <v>11221</v>
      </c>
      <c r="G2860" t="s">
        <v>10093</v>
      </c>
      <c r="H2860" t="s">
        <v>10147</v>
      </c>
      <c r="J2860" t="s">
        <v>10213</v>
      </c>
      <c r="K2860" t="s">
        <v>10217</v>
      </c>
      <c r="M2860" t="s">
        <v>10532</v>
      </c>
      <c r="N2860" t="s">
        <v>10726</v>
      </c>
      <c r="P2860" t="s">
        <v>10751</v>
      </c>
      <c r="Q2860" t="s">
        <v>10780</v>
      </c>
      <c r="R2860" t="s">
        <v>10824</v>
      </c>
      <c r="T2860">
        <v>1950</v>
      </c>
      <c r="U2860">
        <v>162.5</v>
      </c>
      <c r="V2860">
        <v>62</v>
      </c>
      <c r="W2860">
        <v>1</v>
      </c>
      <c r="X2860">
        <v>0</v>
      </c>
      <c r="Z2860">
        <v>15.61</v>
      </c>
      <c r="AA2860">
        <v>40.692623</v>
      </c>
      <c r="AB2860">
        <v>-73.931237</v>
      </c>
      <c r="AD2860" t="s">
        <v>10840</v>
      </c>
      <c r="AG2860" t="s">
        <v>10858</v>
      </c>
      <c r="AH2860" t="s">
        <v>10866</v>
      </c>
      <c r="AI2860">
        <v>239</v>
      </c>
      <c r="AJ2860" t="s">
        <v>10213</v>
      </c>
      <c r="AL2860">
        <v>1.75</v>
      </c>
      <c r="AR2860" t="s">
        <v>11255</v>
      </c>
      <c r="AS2860" t="s">
        <v>11595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</row>
    <row r="2861" spans="1:59">
      <c r="A2861" s="1">
        <f>HYPERLINK("https://lsnyc.legalserver.org/matter/dynamic-profile/view/1906880","19-1906880")</f>
        <v>0</v>
      </c>
      <c r="B2861" t="s">
        <v>2421</v>
      </c>
      <c r="C2861" t="s">
        <v>7202</v>
      </c>
      <c r="D2861" t="s">
        <v>9928</v>
      </c>
      <c r="E2861" t="s">
        <v>10075</v>
      </c>
      <c r="F2861">
        <v>11211</v>
      </c>
      <c r="G2861" t="s">
        <v>10093</v>
      </c>
      <c r="H2861" t="s">
        <v>10147</v>
      </c>
      <c r="I2861" t="s">
        <v>10168</v>
      </c>
      <c r="J2861" t="s">
        <v>10213</v>
      </c>
      <c r="K2861" t="s">
        <v>10218</v>
      </c>
      <c r="L2861" t="s">
        <v>10138</v>
      </c>
      <c r="M2861" t="s">
        <v>10290</v>
      </c>
      <c r="N2861" t="s">
        <v>10694</v>
      </c>
      <c r="P2861" t="s">
        <v>10751</v>
      </c>
      <c r="Q2861" t="s">
        <v>10773</v>
      </c>
      <c r="R2861" t="s">
        <v>10820</v>
      </c>
      <c r="T2861">
        <v>0</v>
      </c>
      <c r="U2861">
        <v>0</v>
      </c>
      <c r="V2861">
        <v>28</v>
      </c>
      <c r="W2861">
        <v>1</v>
      </c>
      <c r="X2861">
        <v>0</v>
      </c>
      <c r="Y2861" t="s">
        <v>10829</v>
      </c>
      <c r="Z2861">
        <v>0</v>
      </c>
      <c r="AA2861">
        <v>40.715898</v>
      </c>
      <c r="AB2861">
        <v>-73.950384</v>
      </c>
      <c r="AD2861" t="s">
        <v>10840</v>
      </c>
      <c r="AG2861" t="s">
        <v>10858</v>
      </c>
      <c r="AH2861" t="s">
        <v>10861</v>
      </c>
      <c r="AI2861">
        <v>234</v>
      </c>
      <c r="AJ2861" t="s">
        <v>10214</v>
      </c>
      <c r="AK2861" t="s">
        <v>10838</v>
      </c>
      <c r="AL2861">
        <v>1.1</v>
      </c>
      <c r="AM2861" t="s">
        <v>10891</v>
      </c>
      <c r="AN2861" t="s">
        <v>10939</v>
      </c>
      <c r="AO2861" t="s">
        <v>11011</v>
      </c>
      <c r="AP2861" t="s">
        <v>11071</v>
      </c>
      <c r="AR2861" t="s">
        <v>11267</v>
      </c>
      <c r="AS2861" t="s">
        <v>11595</v>
      </c>
      <c r="AT2861" t="s">
        <v>11642</v>
      </c>
      <c r="AX2861" t="s">
        <v>10838</v>
      </c>
      <c r="AY2861" t="s">
        <v>10829</v>
      </c>
      <c r="AZ2861" t="s">
        <v>11682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</row>
    <row r="2862" spans="1:59">
      <c r="A2862" s="1">
        <f>HYPERLINK("https://lsnyc.legalserver.org/matter/dynamic-profile/view/1906881","19-1906881")</f>
        <v>0</v>
      </c>
      <c r="B2862" t="s">
        <v>2402</v>
      </c>
      <c r="C2862" t="s">
        <v>7185</v>
      </c>
      <c r="D2862" t="s">
        <v>9928</v>
      </c>
      <c r="E2862" t="s">
        <v>10075</v>
      </c>
      <c r="F2862">
        <v>11206</v>
      </c>
      <c r="G2862" t="s">
        <v>10091</v>
      </c>
      <c r="H2862" t="s">
        <v>10147</v>
      </c>
      <c r="I2862" t="s">
        <v>10181</v>
      </c>
      <c r="J2862" t="s">
        <v>10214</v>
      </c>
      <c r="K2862" t="s">
        <v>10217</v>
      </c>
      <c r="M2862" t="s">
        <v>10286</v>
      </c>
      <c r="N2862" t="s">
        <v>10671</v>
      </c>
      <c r="P2862" t="s">
        <v>10751</v>
      </c>
      <c r="Q2862" t="s">
        <v>10780</v>
      </c>
      <c r="R2862" t="s">
        <v>10827</v>
      </c>
      <c r="T2862">
        <v>20160</v>
      </c>
      <c r="U2862">
        <v>1680</v>
      </c>
      <c r="V2862">
        <v>76</v>
      </c>
      <c r="W2862">
        <v>2</v>
      </c>
      <c r="X2862">
        <v>0</v>
      </c>
      <c r="Z2862">
        <v>119.22</v>
      </c>
      <c r="AA2862">
        <v>40.70426</v>
      </c>
      <c r="AB2862">
        <v>-73.94664400000001</v>
      </c>
      <c r="AC2862" t="s">
        <v>10838</v>
      </c>
      <c r="AD2862" t="s">
        <v>10840</v>
      </c>
      <c r="AG2862" t="s">
        <v>10858</v>
      </c>
      <c r="AH2862" t="s">
        <v>10861</v>
      </c>
      <c r="AI2862">
        <v>234</v>
      </c>
      <c r="AJ2862" t="s">
        <v>10214</v>
      </c>
      <c r="AL2862">
        <v>0.9</v>
      </c>
      <c r="AR2862" t="s">
        <v>11270</v>
      </c>
      <c r="AS2862" t="s">
        <v>11595</v>
      </c>
      <c r="AT2862" t="s">
        <v>11642</v>
      </c>
      <c r="AX2862" t="s">
        <v>10838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</row>
    <row r="2863" spans="1:59">
      <c r="A2863" s="1">
        <f>HYPERLINK("https://lsnyc.legalserver.org/matter/dynamic-profile/view/1906882","19-1906882")</f>
        <v>0</v>
      </c>
      <c r="B2863" t="s">
        <v>2422</v>
      </c>
      <c r="C2863" t="s">
        <v>7203</v>
      </c>
      <c r="D2863" t="s">
        <v>9926</v>
      </c>
      <c r="E2863" t="s">
        <v>10075</v>
      </c>
      <c r="F2863">
        <v>10468</v>
      </c>
      <c r="G2863" t="s">
        <v>10090</v>
      </c>
      <c r="H2863" t="s">
        <v>10147</v>
      </c>
      <c r="I2863" t="s">
        <v>10169</v>
      </c>
      <c r="J2863" t="s">
        <v>10210</v>
      </c>
      <c r="K2863" t="s">
        <v>10217</v>
      </c>
      <c r="M2863" t="s">
        <v>10346</v>
      </c>
      <c r="N2863" t="s">
        <v>10671</v>
      </c>
      <c r="P2863" t="s">
        <v>10751</v>
      </c>
      <c r="Q2863" t="s">
        <v>10761</v>
      </c>
      <c r="R2863" t="s">
        <v>10823</v>
      </c>
      <c r="T2863">
        <v>15600</v>
      </c>
      <c r="U2863">
        <v>1300</v>
      </c>
      <c r="V2863">
        <v>37</v>
      </c>
      <c r="W2863">
        <v>2</v>
      </c>
      <c r="X2863">
        <v>5</v>
      </c>
      <c r="Z2863">
        <v>39.99</v>
      </c>
      <c r="AA2863">
        <v>40.860603</v>
      </c>
      <c r="AB2863">
        <v>-73.901122</v>
      </c>
      <c r="AD2863" t="s">
        <v>10839</v>
      </c>
      <c r="AF2863" t="s">
        <v>10844</v>
      </c>
      <c r="AG2863" t="s">
        <v>10859</v>
      </c>
      <c r="AH2863" t="s">
        <v>10862</v>
      </c>
      <c r="AI2863">
        <v>230</v>
      </c>
      <c r="AJ2863" t="s">
        <v>10210</v>
      </c>
      <c r="AL2863">
        <v>7.25</v>
      </c>
      <c r="AM2863" t="s">
        <v>10884</v>
      </c>
      <c r="AN2863" t="s">
        <v>10931</v>
      </c>
      <c r="AO2863" t="s">
        <v>11000</v>
      </c>
      <c r="AP2863" t="s">
        <v>11045</v>
      </c>
      <c r="AR2863" t="s">
        <v>11262</v>
      </c>
      <c r="AS2863" t="s">
        <v>9926</v>
      </c>
      <c r="BA2863" t="s">
        <v>11738</v>
      </c>
      <c r="BB2863">
        <v>0</v>
      </c>
      <c r="BC2863">
        <v>0</v>
      </c>
      <c r="BD2863">
        <v>0</v>
      </c>
      <c r="BE2863">
        <v>0</v>
      </c>
      <c r="BF2863">
        <v>5</v>
      </c>
      <c r="BG2863">
        <v>0</v>
      </c>
    </row>
    <row r="2864" spans="1:59">
      <c r="A2864" s="1">
        <f>HYPERLINK("https://lsnyc.legalserver.org/matter/dynamic-profile/view/1906883","19-1906883")</f>
        <v>0</v>
      </c>
      <c r="B2864" t="s">
        <v>2423</v>
      </c>
      <c r="C2864" t="s">
        <v>7204</v>
      </c>
      <c r="D2864" t="s">
        <v>9925</v>
      </c>
      <c r="E2864" t="s">
        <v>10075</v>
      </c>
      <c r="F2864">
        <v>10002</v>
      </c>
      <c r="G2864" t="s">
        <v>10089</v>
      </c>
      <c r="H2864" t="s">
        <v>10147</v>
      </c>
      <c r="I2864" t="s">
        <v>10168</v>
      </c>
      <c r="J2864" t="s">
        <v>10209</v>
      </c>
      <c r="K2864" t="s">
        <v>10217</v>
      </c>
      <c r="M2864" t="s">
        <v>10379</v>
      </c>
      <c r="N2864" t="s">
        <v>10703</v>
      </c>
      <c r="P2864" t="s">
        <v>10749</v>
      </c>
      <c r="Q2864" t="s">
        <v>10767</v>
      </c>
      <c r="R2864" t="s">
        <v>10824</v>
      </c>
      <c r="T2864">
        <v>1170</v>
      </c>
      <c r="U2864">
        <v>97.5</v>
      </c>
      <c r="V2864">
        <v>27</v>
      </c>
      <c r="W2864">
        <v>1</v>
      </c>
      <c r="X2864">
        <v>0</v>
      </c>
      <c r="Z2864">
        <v>9.369999999999999</v>
      </c>
      <c r="AA2864">
        <v>40.712344</v>
      </c>
      <c r="AB2864">
        <v>-73.99112700000001</v>
      </c>
      <c r="AD2864" t="s">
        <v>10840</v>
      </c>
      <c r="AF2864" t="s">
        <v>10843</v>
      </c>
      <c r="AG2864" t="s">
        <v>10859</v>
      </c>
      <c r="AH2864" t="s">
        <v>10862</v>
      </c>
      <c r="AI2864">
        <v>236</v>
      </c>
      <c r="AJ2864" t="s">
        <v>10209</v>
      </c>
      <c r="AL2864">
        <v>10</v>
      </c>
      <c r="AM2864" t="s">
        <v>10886</v>
      </c>
      <c r="AN2864" t="s">
        <v>10963</v>
      </c>
      <c r="AO2864" t="s">
        <v>11004</v>
      </c>
      <c r="AP2864" t="s">
        <v>11093</v>
      </c>
      <c r="AR2864" t="s">
        <v>11260</v>
      </c>
      <c r="AS2864" t="s">
        <v>9925</v>
      </c>
      <c r="BA2864" t="s">
        <v>11742</v>
      </c>
      <c r="BB2864">
        <v>0</v>
      </c>
      <c r="BC2864">
        <v>0</v>
      </c>
      <c r="BD2864">
        <v>0</v>
      </c>
      <c r="BE2864">
        <v>0</v>
      </c>
      <c r="BF2864">
        <v>7</v>
      </c>
      <c r="BG2864">
        <v>0</v>
      </c>
    </row>
    <row r="2865" spans="1:59">
      <c r="A2865" s="1">
        <f>HYPERLINK("https://lsnyc.legalserver.org/matter/dynamic-profile/view/1906884","19-1906884")</f>
        <v>0</v>
      </c>
      <c r="B2865" t="s">
        <v>2424</v>
      </c>
      <c r="C2865" t="s">
        <v>7205</v>
      </c>
      <c r="D2865" t="s">
        <v>9955</v>
      </c>
      <c r="E2865" t="s">
        <v>10075</v>
      </c>
      <c r="F2865">
        <v>11692</v>
      </c>
      <c r="G2865" t="s">
        <v>10092</v>
      </c>
      <c r="H2865" t="s">
        <v>10147</v>
      </c>
      <c r="I2865" t="s">
        <v>10168</v>
      </c>
      <c r="J2865" t="s">
        <v>10212</v>
      </c>
      <c r="K2865" t="s">
        <v>10218</v>
      </c>
      <c r="L2865" t="s">
        <v>10223</v>
      </c>
      <c r="M2865" t="s">
        <v>10326</v>
      </c>
      <c r="N2865" t="s">
        <v>10669</v>
      </c>
      <c r="O2865" t="s">
        <v>10699</v>
      </c>
      <c r="P2865" t="s">
        <v>10754</v>
      </c>
      <c r="Q2865" t="s">
        <v>10770</v>
      </c>
      <c r="R2865" t="s">
        <v>10824</v>
      </c>
      <c r="T2865">
        <v>0</v>
      </c>
      <c r="U2865">
        <v>0</v>
      </c>
      <c r="V2865">
        <v>48</v>
      </c>
      <c r="W2865">
        <v>1</v>
      </c>
      <c r="X2865">
        <v>2</v>
      </c>
      <c r="Y2865" t="s">
        <v>10829</v>
      </c>
      <c r="Z2865">
        <v>0</v>
      </c>
      <c r="AA2865">
        <v>40.598359</v>
      </c>
      <c r="AB2865">
        <v>-73.794566</v>
      </c>
      <c r="AD2865" t="s">
        <v>10839</v>
      </c>
      <c r="AF2865" t="s">
        <v>10842</v>
      </c>
      <c r="AG2865" t="s">
        <v>10859</v>
      </c>
      <c r="AH2865" t="s">
        <v>10865</v>
      </c>
      <c r="AI2865">
        <v>237</v>
      </c>
      <c r="AJ2865" t="s">
        <v>10212</v>
      </c>
      <c r="AK2865" t="s">
        <v>10837</v>
      </c>
      <c r="AL2865">
        <v>5</v>
      </c>
      <c r="AM2865" t="s">
        <v>10892</v>
      </c>
      <c r="AN2865" t="s">
        <v>10930</v>
      </c>
      <c r="AO2865" t="s">
        <v>11017</v>
      </c>
      <c r="AP2865" t="s">
        <v>11082</v>
      </c>
      <c r="AR2865" t="s">
        <v>11267</v>
      </c>
      <c r="AS2865" t="s">
        <v>11594</v>
      </c>
      <c r="AY2865" t="s">
        <v>10829</v>
      </c>
      <c r="AZ2865" t="s">
        <v>11683</v>
      </c>
      <c r="BA2865" t="s">
        <v>11741</v>
      </c>
      <c r="BB2865">
        <v>0</v>
      </c>
      <c r="BC2865">
        <v>0</v>
      </c>
      <c r="BD2865">
        <v>0</v>
      </c>
      <c r="BE2865">
        <v>0</v>
      </c>
      <c r="BF2865">
        <v>1</v>
      </c>
      <c r="BG2865">
        <v>0</v>
      </c>
    </row>
    <row r="2866" spans="1:59">
      <c r="A2866" s="1">
        <f>HYPERLINK("https://lsnyc.legalserver.org/matter/dynamic-profile/view/1906885","19-1906885")</f>
        <v>0</v>
      </c>
      <c r="B2866" t="s">
        <v>951</v>
      </c>
      <c r="C2866" t="s">
        <v>7206</v>
      </c>
      <c r="D2866" t="s">
        <v>9928</v>
      </c>
      <c r="E2866" t="s">
        <v>10075</v>
      </c>
      <c r="F2866">
        <v>11216</v>
      </c>
      <c r="G2866" t="s">
        <v>10093</v>
      </c>
      <c r="H2866" t="s">
        <v>10147</v>
      </c>
      <c r="I2866" t="s">
        <v>10168</v>
      </c>
      <c r="J2866" t="s">
        <v>10213</v>
      </c>
      <c r="K2866" t="s">
        <v>10217</v>
      </c>
      <c r="M2866" t="s">
        <v>10264</v>
      </c>
      <c r="N2866" t="s">
        <v>10668</v>
      </c>
      <c r="P2866" t="s">
        <v>10751</v>
      </c>
      <c r="Q2866" t="s">
        <v>10761</v>
      </c>
      <c r="R2866" t="s">
        <v>10824</v>
      </c>
      <c r="T2866">
        <v>19716</v>
      </c>
      <c r="U2866">
        <v>1643</v>
      </c>
      <c r="V2866">
        <v>69</v>
      </c>
      <c r="W2866">
        <v>3</v>
      </c>
      <c r="X2866">
        <v>2</v>
      </c>
      <c r="Z2866">
        <v>65.34999999999999</v>
      </c>
      <c r="AA2866">
        <v>40.686808</v>
      </c>
      <c r="AB2866">
        <v>-73.946305</v>
      </c>
      <c r="AD2866" t="s">
        <v>10839</v>
      </c>
      <c r="AG2866" t="s">
        <v>10858</v>
      </c>
      <c r="AH2866" t="s">
        <v>10862</v>
      </c>
      <c r="AI2866">
        <v>239</v>
      </c>
      <c r="AJ2866" t="s">
        <v>10213</v>
      </c>
      <c r="AL2866">
        <v>0</v>
      </c>
      <c r="AM2866" t="s">
        <v>10889</v>
      </c>
      <c r="AN2866" t="s">
        <v>10914</v>
      </c>
      <c r="AO2866" t="s">
        <v>11007</v>
      </c>
      <c r="AP2866" t="s">
        <v>11052</v>
      </c>
      <c r="AR2866" t="s">
        <v>11379</v>
      </c>
      <c r="AS2866" t="s">
        <v>11595</v>
      </c>
      <c r="BA2866" t="s">
        <v>11740</v>
      </c>
      <c r="BB2866">
        <v>0</v>
      </c>
      <c r="BC2866">
        <v>0</v>
      </c>
      <c r="BD2866">
        <v>0</v>
      </c>
      <c r="BE2866">
        <v>0</v>
      </c>
      <c r="BF2866">
        <v>2</v>
      </c>
      <c r="BG2866">
        <v>0</v>
      </c>
    </row>
    <row r="2867" spans="1:59">
      <c r="A2867" s="1">
        <f>HYPERLINK("https://lsnyc.legalserver.org/matter/dynamic-profile/view/1906886","19-1906886")</f>
        <v>0</v>
      </c>
      <c r="B2867" t="s">
        <v>2425</v>
      </c>
      <c r="C2867" t="s">
        <v>7207</v>
      </c>
      <c r="D2867" t="s">
        <v>9937</v>
      </c>
      <c r="E2867" t="s">
        <v>10075</v>
      </c>
      <c r="F2867">
        <v>11412</v>
      </c>
      <c r="G2867" t="s">
        <v>10092</v>
      </c>
      <c r="H2867" t="s">
        <v>10147</v>
      </c>
      <c r="I2867" t="s">
        <v>10168</v>
      </c>
      <c r="J2867" t="s">
        <v>10212</v>
      </c>
      <c r="K2867" t="s">
        <v>10218</v>
      </c>
      <c r="L2867" t="s">
        <v>10223</v>
      </c>
      <c r="M2867" t="s">
        <v>10326</v>
      </c>
      <c r="N2867" t="s">
        <v>10689</v>
      </c>
      <c r="O2867" t="s">
        <v>10699</v>
      </c>
      <c r="P2867" t="s">
        <v>10754</v>
      </c>
      <c r="Q2867" t="s">
        <v>10775</v>
      </c>
      <c r="R2867" t="s">
        <v>10828</v>
      </c>
      <c r="T2867">
        <v>0</v>
      </c>
      <c r="U2867">
        <v>0</v>
      </c>
      <c r="V2867">
        <v>46</v>
      </c>
      <c r="W2867">
        <v>1</v>
      </c>
      <c r="X2867">
        <v>1</v>
      </c>
      <c r="Y2867" t="s">
        <v>10829</v>
      </c>
      <c r="Z2867">
        <v>0</v>
      </c>
      <c r="AA2867">
        <v>40.70794</v>
      </c>
      <c r="AB2867">
        <v>-73.759655</v>
      </c>
      <c r="AD2867" t="s">
        <v>10839</v>
      </c>
      <c r="AG2867" t="s">
        <v>10858</v>
      </c>
      <c r="AH2867" t="s">
        <v>10865</v>
      </c>
      <c r="AI2867">
        <v>237</v>
      </c>
      <c r="AJ2867" t="s">
        <v>10212</v>
      </c>
      <c r="AK2867" t="s">
        <v>10837</v>
      </c>
      <c r="AL2867">
        <v>11.9</v>
      </c>
      <c r="AM2867" t="s">
        <v>10892</v>
      </c>
      <c r="AN2867" t="s">
        <v>10940</v>
      </c>
      <c r="AO2867" t="s">
        <v>11020</v>
      </c>
      <c r="AP2867" t="s">
        <v>11075</v>
      </c>
      <c r="AQ2867" t="s">
        <v>11114</v>
      </c>
      <c r="AR2867" t="s">
        <v>11267</v>
      </c>
      <c r="AS2867" t="s">
        <v>11594</v>
      </c>
      <c r="AY2867" t="s">
        <v>10829</v>
      </c>
      <c r="AZ2867" t="s">
        <v>11683</v>
      </c>
      <c r="BA2867" t="s">
        <v>11741</v>
      </c>
      <c r="BB2867">
        <v>0</v>
      </c>
      <c r="BC2867">
        <v>0</v>
      </c>
      <c r="BD2867">
        <v>0</v>
      </c>
      <c r="BE2867">
        <v>0</v>
      </c>
      <c r="BF2867">
        <v>1</v>
      </c>
      <c r="BG2867">
        <v>0</v>
      </c>
    </row>
    <row r="2868" spans="1:59">
      <c r="A2868" s="1">
        <f>HYPERLINK("https://lsnyc.legalserver.org/matter/dynamic-profile/view/1906887","19-1906887")</f>
        <v>0</v>
      </c>
      <c r="B2868" t="s">
        <v>2426</v>
      </c>
      <c r="C2868" t="s">
        <v>6891</v>
      </c>
      <c r="D2868" t="s">
        <v>9925</v>
      </c>
      <c r="E2868" t="s">
        <v>10075</v>
      </c>
      <c r="F2868">
        <v>10038</v>
      </c>
      <c r="G2868" t="s">
        <v>10092</v>
      </c>
      <c r="H2868" t="s">
        <v>10147</v>
      </c>
      <c r="I2868" t="s">
        <v>10168</v>
      </c>
      <c r="J2868" t="s">
        <v>10212</v>
      </c>
      <c r="K2868" t="s">
        <v>10218</v>
      </c>
      <c r="L2868" t="s">
        <v>10145</v>
      </c>
      <c r="M2868" t="s">
        <v>10363</v>
      </c>
      <c r="N2868" t="s">
        <v>10706</v>
      </c>
      <c r="P2868" t="s">
        <v>10750</v>
      </c>
      <c r="Q2868" t="s">
        <v>10760</v>
      </c>
      <c r="R2868" t="s">
        <v>10821</v>
      </c>
      <c r="T2868">
        <v>9900</v>
      </c>
      <c r="U2868">
        <v>825</v>
      </c>
      <c r="V2868">
        <v>51</v>
      </c>
      <c r="W2868">
        <v>1</v>
      </c>
      <c r="X2868">
        <v>0</v>
      </c>
      <c r="Y2868" t="s">
        <v>10829</v>
      </c>
      <c r="Z2868">
        <v>79.26000000000001</v>
      </c>
      <c r="AA2868">
        <v>40.708202</v>
      </c>
      <c r="AB2868">
        <v>-74.003801</v>
      </c>
      <c r="AD2868" t="s">
        <v>10840</v>
      </c>
      <c r="AG2868" t="s">
        <v>10858</v>
      </c>
      <c r="AH2868" t="s">
        <v>10868</v>
      </c>
      <c r="AI2868">
        <v>237</v>
      </c>
      <c r="AJ2868" t="s">
        <v>10212</v>
      </c>
      <c r="AK2868" t="s">
        <v>10838</v>
      </c>
      <c r="AL2868">
        <v>0.2</v>
      </c>
      <c r="AM2868" t="s">
        <v>10894</v>
      </c>
      <c r="AN2868" t="s">
        <v>10963</v>
      </c>
      <c r="AO2868" t="s">
        <v>11004</v>
      </c>
      <c r="AP2868" t="s">
        <v>11093</v>
      </c>
      <c r="AR2868" t="s">
        <v>11274</v>
      </c>
      <c r="AS2868" t="s">
        <v>9925</v>
      </c>
      <c r="AY2868" t="s">
        <v>10829</v>
      </c>
      <c r="AZ2868" t="s">
        <v>11679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</row>
    <row r="2869" spans="1:59">
      <c r="A2869" s="1">
        <f>HYPERLINK("https://lsnyc.legalserver.org/matter/dynamic-profile/view/1906888","19-1906888")</f>
        <v>0</v>
      </c>
      <c r="B2869" t="s">
        <v>2427</v>
      </c>
      <c r="C2869" t="s">
        <v>7208</v>
      </c>
      <c r="D2869" t="s">
        <v>9925</v>
      </c>
      <c r="E2869" t="s">
        <v>10075</v>
      </c>
      <c r="F2869">
        <v>10009</v>
      </c>
      <c r="G2869" t="s">
        <v>10089</v>
      </c>
      <c r="H2869" t="s">
        <v>10147</v>
      </c>
      <c r="I2869" t="s">
        <v>10168</v>
      </c>
      <c r="J2869" t="s">
        <v>10209</v>
      </c>
      <c r="K2869" t="s">
        <v>10217</v>
      </c>
      <c r="M2869" t="s">
        <v>10544</v>
      </c>
      <c r="N2869" t="s">
        <v>10691</v>
      </c>
      <c r="P2869" t="s">
        <v>10749</v>
      </c>
      <c r="Q2869" t="s">
        <v>10765</v>
      </c>
      <c r="R2869" t="s">
        <v>10825</v>
      </c>
      <c r="T2869">
        <v>0</v>
      </c>
      <c r="U2869">
        <v>0</v>
      </c>
      <c r="V2869">
        <v>37</v>
      </c>
      <c r="W2869">
        <v>1</v>
      </c>
      <c r="X2869">
        <v>0</v>
      </c>
      <c r="Z2869">
        <v>0</v>
      </c>
      <c r="AA2869">
        <v>40.732411</v>
      </c>
      <c r="AB2869">
        <v>-73.980375</v>
      </c>
      <c r="AD2869" t="s">
        <v>10841</v>
      </c>
      <c r="AG2869" t="s">
        <v>10858</v>
      </c>
      <c r="AH2869" t="s">
        <v>10868</v>
      </c>
      <c r="AI2869">
        <v>237</v>
      </c>
      <c r="AJ2869" t="s">
        <v>10212</v>
      </c>
      <c r="AL2869">
        <v>8.6</v>
      </c>
      <c r="AM2869" t="s">
        <v>10891</v>
      </c>
      <c r="AN2869" t="s">
        <v>10910</v>
      </c>
      <c r="AO2869" t="s">
        <v>11021</v>
      </c>
      <c r="AP2869" t="s">
        <v>11091</v>
      </c>
      <c r="AR2869" t="s">
        <v>11267</v>
      </c>
      <c r="AS2869" t="s">
        <v>9925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</row>
    <row r="2870" spans="1:59">
      <c r="A2870" s="1">
        <f>HYPERLINK("https://lsnyc.legalserver.org/matter/dynamic-profile/view/1906889","19-1906889")</f>
        <v>0</v>
      </c>
      <c r="B2870" t="s">
        <v>2428</v>
      </c>
      <c r="C2870" t="s">
        <v>7209</v>
      </c>
      <c r="D2870" t="s">
        <v>9926</v>
      </c>
      <c r="E2870" t="s">
        <v>10075</v>
      </c>
      <c r="F2870">
        <v>10468</v>
      </c>
      <c r="G2870" t="s">
        <v>10092</v>
      </c>
      <c r="H2870" t="s">
        <v>10147</v>
      </c>
      <c r="J2870" t="s">
        <v>10212</v>
      </c>
      <c r="K2870" t="s">
        <v>10218</v>
      </c>
      <c r="L2870" t="s">
        <v>10145</v>
      </c>
      <c r="M2870" t="s">
        <v>10363</v>
      </c>
      <c r="N2870" t="s">
        <v>10706</v>
      </c>
      <c r="P2870" t="s">
        <v>10751</v>
      </c>
      <c r="Q2870" t="s">
        <v>10768</v>
      </c>
      <c r="R2870" t="s">
        <v>10824</v>
      </c>
      <c r="T2870">
        <v>20056</v>
      </c>
      <c r="U2870">
        <v>1671.33</v>
      </c>
      <c r="V2870">
        <v>52</v>
      </c>
      <c r="W2870">
        <v>1</v>
      </c>
      <c r="X2870">
        <v>0</v>
      </c>
      <c r="Y2870" t="s">
        <v>10829</v>
      </c>
      <c r="Z2870">
        <v>160.58</v>
      </c>
      <c r="AA2870">
        <v>40.86056</v>
      </c>
      <c r="AB2870">
        <v>-73.904062</v>
      </c>
      <c r="AD2870" t="s">
        <v>10840</v>
      </c>
      <c r="AG2870" t="s">
        <v>10858</v>
      </c>
      <c r="AH2870" t="s">
        <v>10868</v>
      </c>
      <c r="AI2870">
        <v>237</v>
      </c>
      <c r="AJ2870" t="s">
        <v>10212</v>
      </c>
      <c r="AK2870" t="s">
        <v>10838</v>
      </c>
      <c r="AL2870">
        <v>3.3</v>
      </c>
      <c r="AM2870" t="s">
        <v>10884</v>
      </c>
      <c r="AN2870" t="s">
        <v>10931</v>
      </c>
      <c r="AO2870" t="s">
        <v>11000</v>
      </c>
      <c r="AP2870" t="s">
        <v>11045</v>
      </c>
      <c r="AR2870" t="s">
        <v>11321</v>
      </c>
      <c r="AS2870" t="s">
        <v>9926</v>
      </c>
      <c r="AY2870" t="s">
        <v>10829</v>
      </c>
      <c r="AZ2870" t="s">
        <v>11682</v>
      </c>
      <c r="BA2870" t="s">
        <v>11741</v>
      </c>
      <c r="BB2870">
        <v>0</v>
      </c>
      <c r="BC2870">
        <v>0</v>
      </c>
      <c r="BD2870">
        <v>0</v>
      </c>
      <c r="BE2870">
        <v>0</v>
      </c>
      <c r="BF2870">
        <v>1</v>
      </c>
      <c r="BG2870">
        <v>0</v>
      </c>
    </row>
    <row r="2871" spans="1:59">
      <c r="A2871" s="1">
        <f>HYPERLINK("https://lsnyc.legalserver.org/matter/dynamic-profile/view/1906890","19-1906890")</f>
        <v>0</v>
      </c>
      <c r="B2871" t="s">
        <v>2429</v>
      </c>
      <c r="C2871" t="s">
        <v>7210</v>
      </c>
      <c r="D2871" t="s">
        <v>9929</v>
      </c>
      <c r="E2871" t="s">
        <v>10075</v>
      </c>
      <c r="F2871">
        <v>10304</v>
      </c>
      <c r="G2871" t="s">
        <v>10088</v>
      </c>
      <c r="H2871" t="s">
        <v>10096</v>
      </c>
      <c r="I2871" t="s">
        <v>10168</v>
      </c>
      <c r="J2871" t="s">
        <v>10208</v>
      </c>
      <c r="K2871" t="s">
        <v>10217</v>
      </c>
      <c r="M2871" t="s">
        <v>10284</v>
      </c>
      <c r="N2871" t="s">
        <v>10650</v>
      </c>
      <c r="P2871" t="s">
        <v>10749</v>
      </c>
      <c r="Q2871" t="s">
        <v>10765</v>
      </c>
      <c r="R2871" t="s">
        <v>10824</v>
      </c>
      <c r="T2871">
        <v>28600</v>
      </c>
      <c r="U2871">
        <v>2383.33</v>
      </c>
      <c r="V2871">
        <v>38</v>
      </c>
      <c r="W2871">
        <v>1</v>
      </c>
      <c r="X2871">
        <v>3</v>
      </c>
      <c r="Z2871">
        <v>111.07</v>
      </c>
      <c r="AA2871">
        <v>40.614835</v>
      </c>
      <c r="AB2871">
        <v>-74.081705</v>
      </c>
      <c r="AD2871" t="s">
        <v>10839</v>
      </c>
      <c r="AF2871" t="s">
        <v>10843</v>
      </c>
      <c r="AG2871" t="s">
        <v>10859</v>
      </c>
      <c r="AH2871" t="s">
        <v>10861</v>
      </c>
      <c r="AI2871">
        <v>285</v>
      </c>
      <c r="AJ2871" t="s">
        <v>10208</v>
      </c>
      <c r="AL2871">
        <v>8</v>
      </c>
      <c r="AM2871" t="s">
        <v>10883</v>
      </c>
      <c r="AN2871" t="s">
        <v>10913</v>
      </c>
      <c r="AO2871" t="s">
        <v>11006</v>
      </c>
      <c r="AP2871" t="s">
        <v>11051</v>
      </c>
      <c r="AR2871" t="s">
        <v>11257</v>
      </c>
      <c r="AS2871" t="s">
        <v>11593</v>
      </c>
      <c r="AT2871" t="s">
        <v>11641</v>
      </c>
      <c r="AX2871" t="s">
        <v>10838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</row>
    <row r="2872" spans="1:59">
      <c r="A2872" s="1">
        <f>HYPERLINK("https://lsnyc.legalserver.org/matter/dynamic-profile/view/1906891","19-1906891")</f>
        <v>0</v>
      </c>
      <c r="B2872" t="s">
        <v>2430</v>
      </c>
      <c r="C2872" t="s">
        <v>6999</v>
      </c>
      <c r="D2872" t="s">
        <v>9926</v>
      </c>
      <c r="E2872" t="s">
        <v>10075</v>
      </c>
      <c r="F2872">
        <v>10452</v>
      </c>
      <c r="G2872" t="s">
        <v>10090</v>
      </c>
      <c r="H2872" t="s">
        <v>10113</v>
      </c>
      <c r="I2872" t="s">
        <v>10169</v>
      </c>
      <c r="J2872" t="s">
        <v>10210</v>
      </c>
      <c r="K2872" t="s">
        <v>10217</v>
      </c>
      <c r="M2872" t="s">
        <v>10579</v>
      </c>
      <c r="N2872" t="s">
        <v>10650</v>
      </c>
      <c r="P2872" t="s">
        <v>10749</v>
      </c>
      <c r="Q2872" t="s">
        <v>10765</v>
      </c>
      <c r="R2872" t="s">
        <v>10821</v>
      </c>
      <c r="T2872">
        <v>8400</v>
      </c>
      <c r="U2872">
        <v>700</v>
      </c>
      <c r="V2872">
        <v>62</v>
      </c>
      <c r="W2872">
        <v>1</v>
      </c>
      <c r="X2872">
        <v>0</v>
      </c>
      <c r="Z2872">
        <v>67.25</v>
      </c>
      <c r="AA2872">
        <v>40.828115</v>
      </c>
      <c r="AB2872">
        <v>-73.923996</v>
      </c>
      <c r="AD2872" t="s">
        <v>10839</v>
      </c>
      <c r="AG2872" t="s">
        <v>10858</v>
      </c>
      <c r="AH2872" t="s">
        <v>10862</v>
      </c>
      <c r="AI2872">
        <v>230</v>
      </c>
      <c r="AJ2872" t="s">
        <v>10210</v>
      </c>
      <c r="AL2872">
        <v>0</v>
      </c>
      <c r="AM2872" t="s">
        <v>10884</v>
      </c>
      <c r="AN2872" t="s">
        <v>10924</v>
      </c>
      <c r="AO2872" t="s">
        <v>11013</v>
      </c>
      <c r="AP2872" t="s">
        <v>11066</v>
      </c>
      <c r="AR2872" t="s">
        <v>11274</v>
      </c>
      <c r="AS2872" t="s">
        <v>9926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</row>
    <row r="2873" spans="1:59">
      <c r="A2873" s="1">
        <f>HYPERLINK("https://lsnyc.legalserver.org/matter/dynamic-profile/view/1906892","19-1906892")</f>
        <v>0</v>
      </c>
      <c r="B2873" t="s">
        <v>2431</v>
      </c>
      <c r="C2873" t="s">
        <v>7211</v>
      </c>
      <c r="D2873" t="s">
        <v>9928</v>
      </c>
      <c r="E2873" t="s">
        <v>10075</v>
      </c>
      <c r="F2873">
        <v>11229</v>
      </c>
      <c r="G2873" t="s">
        <v>10093</v>
      </c>
      <c r="H2873" t="s">
        <v>10113</v>
      </c>
      <c r="I2873" t="s">
        <v>10171</v>
      </c>
      <c r="J2873" t="s">
        <v>10213</v>
      </c>
      <c r="K2873" t="s">
        <v>10217</v>
      </c>
      <c r="M2873" t="s">
        <v>10315</v>
      </c>
      <c r="N2873" t="s">
        <v>10686</v>
      </c>
      <c r="P2873" t="s">
        <v>10750</v>
      </c>
      <c r="Q2873" t="s">
        <v>10778</v>
      </c>
      <c r="R2873" t="s">
        <v>10820</v>
      </c>
      <c r="T2873">
        <v>20800</v>
      </c>
      <c r="U2873">
        <v>1733.33</v>
      </c>
      <c r="V2873">
        <v>59</v>
      </c>
      <c r="W2873">
        <v>1</v>
      </c>
      <c r="X2873">
        <v>0</v>
      </c>
      <c r="Z2873">
        <v>166.53</v>
      </c>
      <c r="AA2873">
        <v>40.594722</v>
      </c>
      <c r="AB2873">
        <v>-73.958254</v>
      </c>
      <c r="AD2873" t="s">
        <v>10839</v>
      </c>
      <c r="AG2873" t="s">
        <v>10858</v>
      </c>
      <c r="AH2873" t="s">
        <v>10861</v>
      </c>
      <c r="AI2873">
        <v>234</v>
      </c>
      <c r="AJ2873" t="s">
        <v>10214</v>
      </c>
      <c r="AL2873">
        <v>8.949999999999999</v>
      </c>
      <c r="AM2873" t="s">
        <v>10883</v>
      </c>
      <c r="AN2873" t="s">
        <v>10965</v>
      </c>
      <c r="AO2873" t="s">
        <v>11015</v>
      </c>
      <c r="AP2873" t="s">
        <v>11092</v>
      </c>
      <c r="AR2873" t="s">
        <v>11257</v>
      </c>
      <c r="AS2873" t="s">
        <v>11595</v>
      </c>
      <c r="AT2873" t="s">
        <v>11641</v>
      </c>
      <c r="AX2873" t="s">
        <v>10838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</row>
    <row r="2874" spans="1:59">
      <c r="A2874" s="1">
        <f>HYPERLINK("https://lsnyc.legalserver.org/matter/dynamic-profile/view/1906893","19-1906893")</f>
        <v>0</v>
      </c>
      <c r="B2874" t="s">
        <v>2432</v>
      </c>
      <c r="C2874" t="s">
        <v>7212</v>
      </c>
      <c r="D2874" t="s">
        <v>9928</v>
      </c>
      <c r="E2874" t="s">
        <v>10075</v>
      </c>
      <c r="F2874">
        <v>11233</v>
      </c>
      <c r="G2874" t="s">
        <v>10093</v>
      </c>
      <c r="H2874" t="s">
        <v>10113</v>
      </c>
      <c r="I2874" t="s">
        <v>10168</v>
      </c>
      <c r="J2874" t="s">
        <v>10213</v>
      </c>
      <c r="K2874" t="s">
        <v>10218</v>
      </c>
      <c r="L2874" t="s">
        <v>10140</v>
      </c>
      <c r="M2874" t="s">
        <v>10439</v>
      </c>
      <c r="N2874" t="s">
        <v>10650</v>
      </c>
      <c r="P2874" t="s">
        <v>10749</v>
      </c>
      <c r="Q2874" t="s">
        <v>10765</v>
      </c>
      <c r="R2874" t="s">
        <v>10824</v>
      </c>
      <c r="T2874">
        <v>65000</v>
      </c>
      <c r="U2874">
        <v>5416.67</v>
      </c>
      <c r="V2874">
        <v>54</v>
      </c>
      <c r="W2874">
        <v>2</v>
      </c>
      <c r="X2874">
        <v>2</v>
      </c>
      <c r="Y2874" t="s">
        <v>10829</v>
      </c>
      <c r="Z2874">
        <v>252.43</v>
      </c>
      <c r="AA2874">
        <v>40.678889</v>
      </c>
      <c r="AB2874">
        <v>-73.918645</v>
      </c>
      <c r="AD2874" t="s">
        <v>10840</v>
      </c>
      <c r="AF2874" t="s">
        <v>10843</v>
      </c>
      <c r="AG2874" t="s">
        <v>10859</v>
      </c>
      <c r="AH2874" t="s">
        <v>10862</v>
      </c>
      <c r="AI2874">
        <v>239</v>
      </c>
      <c r="AJ2874" t="s">
        <v>10213</v>
      </c>
      <c r="AK2874" t="s">
        <v>10838</v>
      </c>
      <c r="AL2874">
        <v>2</v>
      </c>
      <c r="AM2874" t="s">
        <v>10889</v>
      </c>
      <c r="AN2874" t="s">
        <v>10922</v>
      </c>
      <c r="AO2874" t="s">
        <v>11007</v>
      </c>
      <c r="AP2874" t="s">
        <v>11064</v>
      </c>
      <c r="AQ2874" t="s">
        <v>11101</v>
      </c>
      <c r="AR2874" t="s">
        <v>11257</v>
      </c>
      <c r="AS2874" t="s">
        <v>11595</v>
      </c>
      <c r="AT2874" t="s">
        <v>11642</v>
      </c>
      <c r="AY2874" t="s">
        <v>10829</v>
      </c>
      <c r="AZ2874" t="s">
        <v>11681</v>
      </c>
      <c r="BA2874" t="s">
        <v>11741</v>
      </c>
      <c r="BB2874">
        <v>0</v>
      </c>
      <c r="BC2874">
        <v>0</v>
      </c>
      <c r="BD2874">
        <v>0</v>
      </c>
      <c r="BE2874">
        <v>0</v>
      </c>
      <c r="BF2874">
        <v>1</v>
      </c>
      <c r="BG2874">
        <v>0</v>
      </c>
    </row>
    <row r="2875" spans="1:59">
      <c r="A2875" s="1">
        <f>HYPERLINK("https://lsnyc.legalserver.org/matter/dynamic-profile/view/1906895","19-1906895")</f>
        <v>0</v>
      </c>
      <c r="B2875" t="s">
        <v>2433</v>
      </c>
      <c r="C2875" t="s">
        <v>7213</v>
      </c>
      <c r="D2875" t="s">
        <v>9931</v>
      </c>
      <c r="E2875" t="s">
        <v>10075</v>
      </c>
      <c r="F2875">
        <v>11367</v>
      </c>
      <c r="G2875" t="s">
        <v>10092</v>
      </c>
      <c r="H2875" t="s">
        <v>10113</v>
      </c>
      <c r="I2875" t="s">
        <v>10168</v>
      </c>
      <c r="J2875" t="s">
        <v>10212</v>
      </c>
      <c r="K2875" t="s">
        <v>10217</v>
      </c>
      <c r="M2875" t="s">
        <v>10398</v>
      </c>
      <c r="N2875" t="s">
        <v>10656</v>
      </c>
      <c r="P2875" t="s">
        <v>10751</v>
      </c>
      <c r="Q2875" t="s">
        <v>10768</v>
      </c>
      <c r="R2875" t="s">
        <v>10824</v>
      </c>
      <c r="T2875">
        <v>0</v>
      </c>
      <c r="U2875">
        <v>0</v>
      </c>
      <c r="V2875">
        <v>62</v>
      </c>
      <c r="W2875">
        <v>1</v>
      </c>
      <c r="X2875">
        <v>1</v>
      </c>
      <c r="Z2875">
        <v>0</v>
      </c>
      <c r="AA2875">
        <v>40.730308</v>
      </c>
      <c r="AB2875">
        <v>-73.810965</v>
      </c>
      <c r="AD2875" t="s">
        <v>10840</v>
      </c>
      <c r="AG2875" t="s">
        <v>10858</v>
      </c>
      <c r="AH2875" t="s">
        <v>10861</v>
      </c>
      <c r="AI2875">
        <v>237</v>
      </c>
      <c r="AJ2875" t="s">
        <v>10212</v>
      </c>
      <c r="AL2875">
        <v>9.199999999999999</v>
      </c>
      <c r="AM2875" t="s">
        <v>10890</v>
      </c>
      <c r="AN2875" t="s">
        <v>10962</v>
      </c>
      <c r="AO2875" t="s">
        <v>11009</v>
      </c>
      <c r="AP2875" t="s">
        <v>11081</v>
      </c>
      <c r="AR2875" t="s">
        <v>11267</v>
      </c>
      <c r="AS2875" t="s">
        <v>11594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</row>
    <row r="2876" spans="1:59">
      <c r="A2876" s="1">
        <f>HYPERLINK("https://lsnyc.legalserver.org/matter/dynamic-profile/view/1906896","19-1906896")</f>
        <v>0</v>
      </c>
      <c r="B2876" t="s">
        <v>2434</v>
      </c>
      <c r="C2876" t="s">
        <v>7214</v>
      </c>
      <c r="D2876" t="s">
        <v>9925</v>
      </c>
      <c r="E2876" t="s">
        <v>10075</v>
      </c>
      <c r="F2876">
        <v>10030</v>
      </c>
      <c r="G2876" t="s">
        <v>10089</v>
      </c>
      <c r="H2876" t="s">
        <v>10113</v>
      </c>
      <c r="I2876" t="s">
        <v>10168</v>
      </c>
      <c r="J2876" t="s">
        <v>10209</v>
      </c>
      <c r="K2876" t="s">
        <v>10217</v>
      </c>
      <c r="M2876" t="s">
        <v>10442</v>
      </c>
      <c r="N2876" t="s">
        <v>10671</v>
      </c>
      <c r="P2876" t="s">
        <v>10749</v>
      </c>
      <c r="Q2876" t="s">
        <v>10765</v>
      </c>
      <c r="R2876" t="s">
        <v>10824</v>
      </c>
      <c r="T2876">
        <v>9600</v>
      </c>
      <c r="U2876">
        <v>800</v>
      </c>
      <c r="V2876">
        <v>64</v>
      </c>
      <c r="W2876">
        <v>1</v>
      </c>
      <c r="X2876">
        <v>0</v>
      </c>
      <c r="Z2876">
        <v>76.86</v>
      </c>
      <c r="AA2876">
        <v>40.821595</v>
      </c>
      <c r="AB2876">
        <v>-73.943483</v>
      </c>
      <c r="AD2876" t="s">
        <v>10839</v>
      </c>
      <c r="AG2876" t="s">
        <v>10858</v>
      </c>
      <c r="AH2876" t="s">
        <v>10861</v>
      </c>
      <c r="AI2876">
        <v>234</v>
      </c>
      <c r="AJ2876" t="s">
        <v>10214</v>
      </c>
      <c r="AL2876">
        <v>0.5</v>
      </c>
      <c r="AM2876" t="s">
        <v>10887</v>
      </c>
      <c r="AN2876" t="s">
        <v>10936</v>
      </c>
      <c r="AO2876" t="s">
        <v>11016</v>
      </c>
      <c r="AP2876" t="s">
        <v>11076</v>
      </c>
      <c r="AR2876" t="s">
        <v>11298</v>
      </c>
      <c r="AS2876" t="s">
        <v>9925</v>
      </c>
      <c r="AT2876" t="s">
        <v>11641</v>
      </c>
      <c r="AX2876" t="s">
        <v>10838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</row>
    <row r="2877" spans="1:59">
      <c r="A2877" s="1">
        <f>HYPERLINK("https://lsnyc.legalserver.org/matter/dynamic-profile/view/1906897","19-1906897")</f>
        <v>0</v>
      </c>
      <c r="B2877" t="s">
        <v>2435</v>
      </c>
      <c r="C2877" t="s">
        <v>7215</v>
      </c>
      <c r="D2877" t="s">
        <v>9925</v>
      </c>
      <c r="E2877" t="s">
        <v>10075</v>
      </c>
      <c r="F2877">
        <v>10002</v>
      </c>
      <c r="G2877" t="s">
        <v>10089</v>
      </c>
      <c r="H2877" t="s">
        <v>10113</v>
      </c>
      <c r="I2877" t="s">
        <v>10182</v>
      </c>
      <c r="J2877" t="s">
        <v>10209</v>
      </c>
      <c r="K2877" t="s">
        <v>10218</v>
      </c>
      <c r="L2877" t="s">
        <v>10162</v>
      </c>
      <c r="M2877" t="s">
        <v>10433</v>
      </c>
      <c r="N2877" t="s">
        <v>10650</v>
      </c>
      <c r="P2877" t="s">
        <v>10749</v>
      </c>
      <c r="Q2877" t="s">
        <v>10765</v>
      </c>
      <c r="R2877" t="s">
        <v>10827</v>
      </c>
      <c r="T2877">
        <v>11232</v>
      </c>
      <c r="U2877">
        <v>936</v>
      </c>
      <c r="V2877">
        <v>72</v>
      </c>
      <c r="W2877">
        <v>1</v>
      </c>
      <c r="X2877">
        <v>0</v>
      </c>
      <c r="Y2877" t="s">
        <v>10829</v>
      </c>
      <c r="Z2877">
        <v>89.93000000000001</v>
      </c>
      <c r="AA2877">
        <v>40.718532</v>
      </c>
      <c r="AB2877">
        <v>-73.985551</v>
      </c>
      <c r="AD2877" t="s">
        <v>10840</v>
      </c>
      <c r="AG2877" t="s">
        <v>10858</v>
      </c>
      <c r="AH2877" t="s">
        <v>10862</v>
      </c>
      <c r="AI2877">
        <v>236</v>
      </c>
      <c r="AJ2877" t="s">
        <v>10209</v>
      </c>
      <c r="AK2877" t="s">
        <v>10838</v>
      </c>
      <c r="AL2877">
        <v>2.4</v>
      </c>
      <c r="AM2877" t="s">
        <v>10891</v>
      </c>
      <c r="AN2877" t="s">
        <v>10963</v>
      </c>
      <c r="AO2877" t="s">
        <v>11004</v>
      </c>
      <c r="AP2877" t="s">
        <v>11093</v>
      </c>
      <c r="AR2877" t="s">
        <v>11263</v>
      </c>
      <c r="AS2877" t="s">
        <v>9925</v>
      </c>
      <c r="AY2877" t="s">
        <v>10829</v>
      </c>
      <c r="AZ2877" t="s">
        <v>11681</v>
      </c>
      <c r="BA2877" t="s">
        <v>11741</v>
      </c>
      <c r="BB2877">
        <v>0</v>
      </c>
      <c r="BC2877">
        <v>0</v>
      </c>
      <c r="BD2877">
        <v>0</v>
      </c>
      <c r="BE2877">
        <v>0</v>
      </c>
      <c r="BF2877">
        <v>1</v>
      </c>
      <c r="BG2877">
        <v>0</v>
      </c>
    </row>
    <row r="2878" spans="1:59">
      <c r="A2878" s="1">
        <f>HYPERLINK("https://lsnyc.legalserver.org/matter/dynamic-profile/view/1906898","19-1906898")</f>
        <v>0</v>
      </c>
      <c r="B2878" t="s">
        <v>2436</v>
      </c>
      <c r="C2878" t="s">
        <v>7216</v>
      </c>
      <c r="D2878" t="s">
        <v>10015</v>
      </c>
      <c r="E2878" t="s">
        <v>10078</v>
      </c>
      <c r="F2878">
        <v>33428</v>
      </c>
      <c r="G2878" t="s">
        <v>10093</v>
      </c>
      <c r="H2878" t="s">
        <v>10113</v>
      </c>
      <c r="I2878" t="s">
        <v>10168</v>
      </c>
      <c r="J2878" t="s">
        <v>10213</v>
      </c>
      <c r="K2878" t="s">
        <v>10217</v>
      </c>
      <c r="M2878" t="s">
        <v>10290</v>
      </c>
      <c r="N2878" t="s">
        <v>10665</v>
      </c>
      <c r="P2878" t="s">
        <v>10751</v>
      </c>
      <c r="Q2878" t="s">
        <v>10773</v>
      </c>
      <c r="R2878" t="s">
        <v>10820</v>
      </c>
      <c r="T2878">
        <v>1800</v>
      </c>
      <c r="U2878">
        <v>150</v>
      </c>
      <c r="V2878">
        <v>45</v>
      </c>
      <c r="W2878">
        <v>1</v>
      </c>
      <c r="X2878">
        <v>0</v>
      </c>
      <c r="Z2878">
        <v>14.41</v>
      </c>
      <c r="AA2878">
        <v>26.366966</v>
      </c>
      <c r="AB2878">
        <v>-80.191743</v>
      </c>
      <c r="AC2878" t="s">
        <v>10837</v>
      </c>
      <c r="AD2878" t="s">
        <v>10840</v>
      </c>
      <c r="AG2878" t="s">
        <v>10858</v>
      </c>
      <c r="AH2878" t="s">
        <v>10861</v>
      </c>
      <c r="AI2878">
        <v>234</v>
      </c>
      <c r="AJ2878" t="s">
        <v>10214</v>
      </c>
      <c r="AL2878">
        <v>1.3</v>
      </c>
      <c r="AR2878" t="s">
        <v>11303</v>
      </c>
      <c r="AS2878" t="s">
        <v>11618</v>
      </c>
      <c r="AT2878" t="s">
        <v>11642</v>
      </c>
      <c r="AX2878" t="s">
        <v>10838</v>
      </c>
      <c r="BA2878" t="s">
        <v>11741</v>
      </c>
      <c r="BB2878">
        <v>0</v>
      </c>
      <c r="BC2878">
        <v>0</v>
      </c>
      <c r="BD2878">
        <v>0</v>
      </c>
      <c r="BE2878">
        <v>0</v>
      </c>
      <c r="BF2878">
        <v>1</v>
      </c>
      <c r="BG2878">
        <v>0</v>
      </c>
    </row>
    <row r="2879" spans="1:59">
      <c r="A2879" s="1">
        <f>HYPERLINK("https://lsnyc.legalserver.org/matter/dynamic-profile/view/1906899","19-1906899")</f>
        <v>0</v>
      </c>
      <c r="B2879" t="s">
        <v>2437</v>
      </c>
      <c r="C2879" t="s">
        <v>7217</v>
      </c>
      <c r="D2879" t="s">
        <v>9926</v>
      </c>
      <c r="E2879" t="s">
        <v>10075</v>
      </c>
      <c r="F2879">
        <v>10465</v>
      </c>
      <c r="G2879" t="s">
        <v>10090</v>
      </c>
      <c r="H2879" t="s">
        <v>10113</v>
      </c>
      <c r="I2879" t="s">
        <v>10168</v>
      </c>
      <c r="J2879" t="s">
        <v>10210</v>
      </c>
      <c r="K2879" t="s">
        <v>10217</v>
      </c>
      <c r="M2879" t="s">
        <v>10495</v>
      </c>
      <c r="N2879" t="s">
        <v>10658</v>
      </c>
      <c r="P2879" t="s">
        <v>10749</v>
      </c>
      <c r="Q2879" t="s">
        <v>10769</v>
      </c>
      <c r="R2879" t="s">
        <v>10820</v>
      </c>
      <c r="T2879">
        <v>64112</v>
      </c>
      <c r="U2879">
        <v>5342.67</v>
      </c>
      <c r="V2879">
        <v>70</v>
      </c>
      <c r="W2879">
        <v>2</v>
      </c>
      <c r="X2879">
        <v>0</v>
      </c>
      <c r="Z2879">
        <v>379.14</v>
      </c>
      <c r="AA2879">
        <v>40.833247</v>
      </c>
      <c r="AB2879">
        <v>-73.817806</v>
      </c>
      <c r="AD2879" t="s">
        <v>10840</v>
      </c>
      <c r="AG2879" t="s">
        <v>10858</v>
      </c>
      <c r="AH2879" t="s">
        <v>10860</v>
      </c>
      <c r="AI2879">
        <v>230</v>
      </c>
      <c r="AJ2879" t="s">
        <v>10210</v>
      </c>
      <c r="AL2879">
        <v>4.5</v>
      </c>
      <c r="AM2879" t="s">
        <v>10885</v>
      </c>
      <c r="AN2879" t="s">
        <v>10911</v>
      </c>
      <c r="AO2879" t="s">
        <v>11002</v>
      </c>
      <c r="AP2879" t="s">
        <v>11049</v>
      </c>
      <c r="AQ2879" t="s">
        <v>11223</v>
      </c>
      <c r="AR2879" t="s">
        <v>11265</v>
      </c>
      <c r="AS2879" t="s">
        <v>9926</v>
      </c>
      <c r="AT2879" t="s">
        <v>11642</v>
      </c>
      <c r="AX2879" t="s">
        <v>10838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</row>
    <row r="2880" spans="1:59">
      <c r="A2880" s="1">
        <f>HYPERLINK("https://lsnyc.legalserver.org/matter/dynamic-profile/view/1906901","19-1906901")</f>
        <v>0</v>
      </c>
      <c r="B2880" t="s">
        <v>2438</v>
      </c>
      <c r="C2880" t="s">
        <v>6829</v>
      </c>
      <c r="D2880" t="s">
        <v>9936</v>
      </c>
      <c r="E2880" t="s">
        <v>10075</v>
      </c>
      <c r="F2880">
        <v>11102</v>
      </c>
      <c r="G2880" t="s">
        <v>10092</v>
      </c>
      <c r="H2880" t="s">
        <v>10113</v>
      </c>
      <c r="I2880" t="s">
        <v>10168</v>
      </c>
      <c r="J2880" t="s">
        <v>10212</v>
      </c>
      <c r="K2880" t="s">
        <v>10217</v>
      </c>
      <c r="M2880" t="s">
        <v>10260</v>
      </c>
      <c r="N2880" t="s">
        <v>10665</v>
      </c>
      <c r="P2880" t="s">
        <v>10751</v>
      </c>
      <c r="Q2880" t="s">
        <v>10773</v>
      </c>
      <c r="R2880" t="s">
        <v>10824</v>
      </c>
      <c r="T2880">
        <v>2640</v>
      </c>
      <c r="U2880">
        <v>220</v>
      </c>
      <c r="V2880">
        <v>33</v>
      </c>
      <c r="W2880">
        <v>1</v>
      </c>
      <c r="X2880">
        <v>0</v>
      </c>
      <c r="Z2880">
        <v>21.14</v>
      </c>
      <c r="AA2880">
        <v>40.773976</v>
      </c>
      <c r="AB2880">
        <v>-73.931045</v>
      </c>
      <c r="AD2880" t="s">
        <v>10839</v>
      </c>
      <c r="AG2880" t="s">
        <v>10858</v>
      </c>
      <c r="AH2880" t="s">
        <v>10861</v>
      </c>
      <c r="AI2880">
        <v>234</v>
      </c>
      <c r="AJ2880" t="s">
        <v>10214</v>
      </c>
      <c r="AL2880">
        <v>8.5</v>
      </c>
      <c r="AM2880" t="s">
        <v>10891</v>
      </c>
      <c r="AN2880" t="s">
        <v>10961</v>
      </c>
      <c r="AO2880" t="s">
        <v>11003</v>
      </c>
      <c r="AP2880" t="s">
        <v>11084</v>
      </c>
      <c r="AR2880" t="s">
        <v>11255</v>
      </c>
      <c r="AS2880" t="s">
        <v>11594</v>
      </c>
      <c r="AT2880" t="s">
        <v>11641</v>
      </c>
      <c r="AX2880" t="s">
        <v>10838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</row>
    <row r="2881" spans="1:59">
      <c r="A2881" s="1">
        <f>HYPERLINK("https://lsnyc.legalserver.org/matter/dynamic-profile/view/1906902","19-1906902")</f>
        <v>0</v>
      </c>
      <c r="B2881" t="s">
        <v>2439</v>
      </c>
      <c r="C2881" t="s">
        <v>7218</v>
      </c>
      <c r="D2881" t="s">
        <v>9925</v>
      </c>
      <c r="E2881" t="s">
        <v>10075</v>
      </c>
      <c r="F2881">
        <v>10009</v>
      </c>
      <c r="G2881" t="s">
        <v>10089</v>
      </c>
      <c r="H2881" t="s">
        <v>10113</v>
      </c>
      <c r="I2881" t="s">
        <v>10169</v>
      </c>
      <c r="J2881" t="s">
        <v>10209</v>
      </c>
      <c r="K2881" t="s">
        <v>10218</v>
      </c>
      <c r="L2881" t="s">
        <v>10138</v>
      </c>
      <c r="M2881" t="s">
        <v>10488</v>
      </c>
      <c r="N2881" t="s">
        <v>10657</v>
      </c>
      <c r="P2881" t="s">
        <v>10756</v>
      </c>
      <c r="Q2881" t="s">
        <v>10802</v>
      </c>
      <c r="R2881" t="s">
        <v>10821</v>
      </c>
      <c r="T2881">
        <v>8268</v>
      </c>
      <c r="U2881">
        <v>689</v>
      </c>
      <c r="V2881">
        <v>72</v>
      </c>
      <c r="W2881">
        <v>1</v>
      </c>
      <c r="X2881">
        <v>0</v>
      </c>
      <c r="Y2881" t="s">
        <v>10829</v>
      </c>
      <c r="Z2881">
        <v>66.2</v>
      </c>
      <c r="AA2881">
        <v>40.725969</v>
      </c>
      <c r="AB2881">
        <v>-73.972765</v>
      </c>
      <c r="AD2881" t="s">
        <v>10840</v>
      </c>
      <c r="AG2881" t="s">
        <v>10858</v>
      </c>
      <c r="AH2881" t="s">
        <v>10864</v>
      </c>
      <c r="AI2881">
        <v>236</v>
      </c>
      <c r="AJ2881" t="s">
        <v>10209</v>
      </c>
      <c r="AK2881" t="s">
        <v>10838</v>
      </c>
      <c r="AL2881">
        <v>0.75</v>
      </c>
      <c r="AM2881" t="s">
        <v>10886</v>
      </c>
      <c r="AN2881" t="s">
        <v>10910</v>
      </c>
      <c r="AO2881" t="s">
        <v>11021</v>
      </c>
      <c r="AP2881" t="s">
        <v>11048</v>
      </c>
      <c r="AQ2881" t="s">
        <v>11154</v>
      </c>
      <c r="AR2881" t="s">
        <v>11253</v>
      </c>
      <c r="AS2881" t="s">
        <v>9925</v>
      </c>
      <c r="AY2881" t="s">
        <v>10829</v>
      </c>
      <c r="AZ2881" t="s">
        <v>11708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</row>
    <row r="2882" spans="1:59">
      <c r="A2882" s="1">
        <f>HYPERLINK("https://lsnyc.legalserver.org/matter/dynamic-profile/view/1906903","19-1906903")</f>
        <v>0</v>
      </c>
      <c r="B2882" t="s">
        <v>2440</v>
      </c>
      <c r="C2882" t="s">
        <v>7219</v>
      </c>
      <c r="D2882" t="s">
        <v>9926</v>
      </c>
      <c r="E2882" t="s">
        <v>10075</v>
      </c>
      <c r="F2882">
        <v>10457</v>
      </c>
      <c r="G2882" t="s">
        <v>10090</v>
      </c>
      <c r="H2882" t="s">
        <v>10113</v>
      </c>
      <c r="I2882" t="s">
        <v>10168</v>
      </c>
      <c r="J2882" t="s">
        <v>10210</v>
      </c>
      <c r="K2882" t="s">
        <v>10218</v>
      </c>
      <c r="L2882" t="s">
        <v>10113</v>
      </c>
      <c r="M2882" t="s">
        <v>10588</v>
      </c>
      <c r="N2882" t="s">
        <v>10651</v>
      </c>
      <c r="P2882" t="s">
        <v>10749</v>
      </c>
      <c r="Q2882" t="s">
        <v>10765</v>
      </c>
      <c r="R2882" t="s">
        <v>10823</v>
      </c>
      <c r="T2882">
        <v>10296</v>
      </c>
      <c r="U2882">
        <v>858</v>
      </c>
      <c r="V2882">
        <v>45</v>
      </c>
      <c r="W2882">
        <v>1</v>
      </c>
      <c r="X2882">
        <v>0</v>
      </c>
      <c r="Y2882" t="s">
        <v>10829</v>
      </c>
      <c r="Z2882">
        <v>82.43000000000001</v>
      </c>
      <c r="AA2882">
        <v>40.847499</v>
      </c>
      <c r="AB2882">
        <v>-73.890885</v>
      </c>
      <c r="AD2882" t="s">
        <v>10839</v>
      </c>
      <c r="AG2882" t="s">
        <v>10858</v>
      </c>
      <c r="AH2882" t="s">
        <v>10861</v>
      </c>
      <c r="AI2882">
        <v>230</v>
      </c>
      <c r="AJ2882" t="s">
        <v>10210</v>
      </c>
      <c r="AK2882" t="s">
        <v>10882</v>
      </c>
      <c r="AL2882">
        <v>0.5</v>
      </c>
      <c r="AM2882" t="s">
        <v>10884</v>
      </c>
      <c r="AN2882" t="s">
        <v>10918</v>
      </c>
      <c r="AO2882" t="s">
        <v>11000</v>
      </c>
      <c r="AP2882" t="s">
        <v>11056</v>
      </c>
      <c r="AR2882" t="s">
        <v>11263</v>
      </c>
      <c r="AS2882" t="s">
        <v>9926</v>
      </c>
      <c r="AT2882" t="s">
        <v>11641</v>
      </c>
      <c r="AX2882" t="s">
        <v>10838</v>
      </c>
      <c r="AY2882" t="s">
        <v>10829</v>
      </c>
      <c r="AZ2882" t="s">
        <v>11681</v>
      </c>
      <c r="BA2882" t="s">
        <v>11741</v>
      </c>
      <c r="BB2882">
        <v>0</v>
      </c>
      <c r="BC2882">
        <v>0</v>
      </c>
      <c r="BD2882">
        <v>0</v>
      </c>
      <c r="BE2882">
        <v>0</v>
      </c>
      <c r="BF2882">
        <v>1</v>
      </c>
      <c r="BG2882">
        <v>0</v>
      </c>
    </row>
    <row r="2883" spans="1:59">
      <c r="A2883" s="1">
        <f>HYPERLINK("https://lsnyc.legalserver.org/matter/dynamic-profile/view/1906904","19-1906904")</f>
        <v>0</v>
      </c>
      <c r="B2883" t="s">
        <v>2441</v>
      </c>
      <c r="C2883" t="s">
        <v>7220</v>
      </c>
      <c r="D2883" t="s">
        <v>9925</v>
      </c>
      <c r="E2883" t="s">
        <v>10075</v>
      </c>
      <c r="F2883">
        <v>10033</v>
      </c>
      <c r="G2883" t="s">
        <v>10089</v>
      </c>
      <c r="H2883" t="s">
        <v>10113</v>
      </c>
      <c r="I2883" t="s">
        <v>10168</v>
      </c>
      <c r="J2883" t="s">
        <v>10209</v>
      </c>
      <c r="K2883" t="s">
        <v>10217</v>
      </c>
      <c r="M2883" t="s">
        <v>10459</v>
      </c>
      <c r="N2883" t="s">
        <v>10656</v>
      </c>
      <c r="P2883" t="s">
        <v>10751</v>
      </c>
      <c r="Q2883" t="s">
        <v>10780</v>
      </c>
      <c r="R2883" t="s">
        <v>10821</v>
      </c>
      <c r="T2883">
        <v>9480</v>
      </c>
      <c r="U2883">
        <v>790</v>
      </c>
      <c r="V2883">
        <v>38</v>
      </c>
      <c r="W2883">
        <v>2</v>
      </c>
      <c r="X2883">
        <v>1</v>
      </c>
      <c r="Z2883">
        <v>44.44</v>
      </c>
      <c r="AA2883">
        <v>40.848716</v>
      </c>
      <c r="AB2883">
        <v>-73.93090100000001</v>
      </c>
      <c r="AD2883" t="s">
        <v>10839</v>
      </c>
      <c r="AG2883" t="s">
        <v>10858</v>
      </c>
      <c r="AH2883" t="s">
        <v>10861</v>
      </c>
      <c r="AI2883">
        <v>234</v>
      </c>
      <c r="AJ2883" t="s">
        <v>10214</v>
      </c>
      <c r="AL2883">
        <v>16.43</v>
      </c>
      <c r="AM2883" t="s">
        <v>10887</v>
      </c>
      <c r="AN2883" t="s">
        <v>10937</v>
      </c>
      <c r="AO2883" t="s">
        <v>11019</v>
      </c>
      <c r="AP2883" t="s">
        <v>11074</v>
      </c>
      <c r="AR2883" t="s">
        <v>11274</v>
      </c>
      <c r="AS2883" t="s">
        <v>9925</v>
      </c>
      <c r="AT2883" t="s">
        <v>11641</v>
      </c>
      <c r="AX2883" t="s">
        <v>10837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</row>
    <row r="2884" spans="1:59">
      <c r="A2884" s="1">
        <f>HYPERLINK("https://lsnyc.legalserver.org/matter/dynamic-profile/view/1906905","19-1906905")</f>
        <v>0</v>
      </c>
      <c r="B2884" t="s">
        <v>2442</v>
      </c>
      <c r="C2884" t="s">
        <v>7221</v>
      </c>
      <c r="D2884" t="s">
        <v>9926</v>
      </c>
      <c r="E2884" t="s">
        <v>10075</v>
      </c>
      <c r="F2884">
        <v>10452</v>
      </c>
      <c r="G2884" t="s">
        <v>10091</v>
      </c>
      <c r="H2884" t="s">
        <v>10113</v>
      </c>
      <c r="I2884" t="s">
        <v>10168</v>
      </c>
      <c r="J2884" t="s">
        <v>10214</v>
      </c>
      <c r="K2884" t="s">
        <v>10217</v>
      </c>
      <c r="M2884" t="s">
        <v>10286</v>
      </c>
      <c r="N2884" t="s">
        <v>10671</v>
      </c>
      <c r="P2884" t="s">
        <v>10751</v>
      </c>
      <c r="Q2884" t="s">
        <v>10780</v>
      </c>
      <c r="R2884" t="s">
        <v>10821</v>
      </c>
      <c r="T2884">
        <v>3960</v>
      </c>
      <c r="U2884">
        <v>330</v>
      </c>
      <c r="V2884">
        <v>39</v>
      </c>
      <c r="W2884">
        <v>1</v>
      </c>
      <c r="X2884">
        <v>0</v>
      </c>
      <c r="Z2884">
        <v>31.71</v>
      </c>
      <c r="AA2884">
        <v>40.84229</v>
      </c>
      <c r="AB2884">
        <v>-73.922718</v>
      </c>
      <c r="AD2884" t="s">
        <v>10840</v>
      </c>
      <c r="AF2884" t="s">
        <v>10843</v>
      </c>
      <c r="AG2884" t="s">
        <v>10859</v>
      </c>
      <c r="AH2884" t="s">
        <v>10861</v>
      </c>
      <c r="AI2884">
        <v>234</v>
      </c>
      <c r="AJ2884" t="s">
        <v>10214</v>
      </c>
      <c r="AL2884">
        <v>0.5</v>
      </c>
      <c r="AM2884" t="s">
        <v>10884</v>
      </c>
      <c r="AN2884" t="s">
        <v>10929</v>
      </c>
      <c r="AO2884" t="s">
        <v>11013</v>
      </c>
      <c r="AP2884" t="s">
        <v>11055</v>
      </c>
      <c r="AR2884" t="s">
        <v>11279</v>
      </c>
      <c r="AS2884" t="s">
        <v>9926</v>
      </c>
      <c r="AT2884" t="s">
        <v>11642</v>
      </c>
      <c r="AX2884" t="s">
        <v>10838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</row>
    <row r="2885" spans="1:59">
      <c r="A2885" s="1">
        <f>HYPERLINK("https://lsnyc.legalserver.org/matter/dynamic-profile/view/1906906","19-1906906")</f>
        <v>0</v>
      </c>
      <c r="B2885" t="s">
        <v>2443</v>
      </c>
      <c r="C2885" t="s">
        <v>7222</v>
      </c>
      <c r="D2885" t="s">
        <v>9926</v>
      </c>
      <c r="E2885" t="s">
        <v>10075</v>
      </c>
      <c r="F2885">
        <v>10473</v>
      </c>
      <c r="G2885" t="s">
        <v>10093</v>
      </c>
      <c r="H2885" t="s">
        <v>10113</v>
      </c>
      <c r="I2885" t="s">
        <v>10168</v>
      </c>
      <c r="J2885" t="s">
        <v>10213</v>
      </c>
      <c r="K2885" t="s">
        <v>10217</v>
      </c>
      <c r="M2885" t="s">
        <v>10330</v>
      </c>
      <c r="N2885" t="s">
        <v>10710</v>
      </c>
      <c r="P2885" t="s">
        <v>10750</v>
      </c>
      <c r="Q2885" t="s">
        <v>10760</v>
      </c>
      <c r="R2885" t="s">
        <v>10825</v>
      </c>
      <c r="T2885">
        <v>16800</v>
      </c>
      <c r="U2885">
        <v>1400</v>
      </c>
      <c r="V2885">
        <v>78</v>
      </c>
      <c r="W2885">
        <v>1</v>
      </c>
      <c r="X2885">
        <v>0</v>
      </c>
      <c r="Z2885">
        <v>134.51</v>
      </c>
      <c r="AA2885">
        <v>40.81926</v>
      </c>
      <c r="AB2885">
        <v>-73.85178500000001</v>
      </c>
      <c r="AD2885" t="s">
        <v>10840</v>
      </c>
      <c r="AG2885" t="s">
        <v>10858</v>
      </c>
      <c r="AH2885" t="s">
        <v>10861</v>
      </c>
      <c r="AI2885">
        <v>234</v>
      </c>
      <c r="AJ2885" t="s">
        <v>10214</v>
      </c>
      <c r="AL2885">
        <v>2.75</v>
      </c>
      <c r="AM2885" t="s">
        <v>10884</v>
      </c>
      <c r="AN2885" t="s">
        <v>10908</v>
      </c>
      <c r="AO2885" t="s">
        <v>11001</v>
      </c>
      <c r="AP2885" t="s">
        <v>11046</v>
      </c>
      <c r="AR2885" t="s">
        <v>11300</v>
      </c>
      <c r="AS2885" t="s">
        <v>9926</v>
      </c>
      <c r="AT2885" t="s">
        <v>11642</v>
      </c>
      <c r="AX2885" t="s">
        <v>10838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</row>
    <row r="2886" spans="1:59">
      <c r="A2886" s="1">
        <f>HYPERLINK("https://lsnyc.legalserver.org/matter/dynamic-profile/view/1906907","19-1906907")</f>
        <v>0</v>
      </c>
      <c r="B2886" t="s">
        <v>2444</v>
      </c>
      <c r="C2886" t="s">
        <v>7223</v>
      </c>
      <c r="D2886" t="s">
        <v>9926</v>
      </c>
      <c r="E2886" t="s">
        <v>10075</v>
      </c>
      <c r="F2886">
        <v>10457</v>
      </c>
      <c r="G2886" t="s">
        <v>10090</v>
      </c>
      <c r="H2886" t="s">
        <v>10113</v>
      </c>
      <c r="I2886" t="s">
        <v>10169</v>
      </c>
      <c r="J2886" t="s">
        <v>10210</v>
      </c>
      <c r="K2886" t="s">
        <v>10218</v>
      </c>
      <c r="L2886" t="s">
        <v>10136</v>
      </c>
      <c r="M2886" t="s">
        <v>10588</v>
      </c>
      <c r="N2886" t="s">
        <v>10651</v>
      </c>
      <c r="P2886" t="s">
        <v>10749</v>
      </c>
      <c r="Q2886" t="s">
        <v>10765</v>
      </c>
      <c r="R2886" t="s">
        <v>10821</v>
      </c>
      <c r="T2886">
        <v>49200</v>
      </c>
      <c r="U2886">
        <v>4100</v>
      </c>
      <c r="V2886">
        <v>42</v>
      </c>
      <c r="W2886">
        <v>1</v>
      </c>
      <c r="X2886">
        <v>2</v>
      </c>
      <c r="Y2886" t="s">
        <v>10832</v>
      </c>
      <c r="Z2886">
        <v>230.66</v>
      </c>
      <c r="AA2886">
        <v>40.844471</v>
      </c>
      <c r="AB2886">
        <v>-73.90973700000001</v>
      </c>
      <c r="AD2886" t="s">
        <v>10839</v>
      </c>
      <c r="AG2886" t="s">
        <v>10858</v>
      </c>
      <c r="AH2886" t="s">
        <v>10861</v>
      </c>
      <c r="AI2886">
        <v>230</v>
      </c>
      <c r="AJ2886" t="s">
        <v>10210</v>
      </c>
      <c r="AK2886" t="s">
        <v>10882</v>
      </c>
      <c r="AL2886">
        <v>0.8</v>
      </c>
      <c r="AM2886" t="s">
        <v>10884</v>
      </c>
      <c r="AN2886" t="s">
        <v>10931</v>
      </c>
      <c r="AO2886" t="s">
        <v>11000</v>
      </c>
      <c r="AP2886" t="s">
        <v>11056</v>
      </c>
      <c r="AR2886" t="s">
        <v>11257</v>
      </c>
      <c r="AS2886" t="s">
        <v>9926</v>
      </c>
      <c r="AT2886" t="s">
        <v>11641</v>
      </c>
      <c r="AX2886" t="s">
        <v>10838</v>
      </c>
      <c r="AY2886" t="s">
        <v>10832</v>
      </c>
      <c r="AZ2886" t="s">
        <v>11687</v>
      </c>
      <c r="BA2886" t="s">
        <v>11738</v>
      </c>
      <c r="BB2886">
        <v>0</v>
      </c>
      <c r="BC2886">
        <v>0</v>
      </c>
      <c r="BD2886">
        <v>0</v>
      </c>
      <c r="BE2886">
        <v>0</v>
      </c>
      <c r="BF2886">
        <v>5</v>
      </c>
      <c r="BG2886">
        <v>0</v>
      </c>
    </row>
    <row r="2887" spans="1:59">
      <c r="A2887" s="1">
        <f>HYPERLINK("https://lsnyc.legalserver.org/matter/dynamic-profile/view/1906908","19-1906908")</f>
        <v>0</v>
      </c>
      <c r="B2887" t="s">
        <v>2445</v>
      </c>
      <c r="C2887" t="s">
        <v>7224</v>
      </c>
      <c r="D2887" t="s">
        <v>9925</v>
      </c>
      <c r="E2887" t="s">
        <v>10075</v>
      </c>
      <c r="F2887">
        <v>10026</v>
      </c>
      <c r="G2887" t="s">
        <v>10089</v>
      </c>
      <c r="H2887" t="s">
        <v>10113</v>
      </c>
      <c r="I2887" t="s">
        <v>10168</v>
      </c>
      <c r="J2887" t="s">
        <v>10209</v>
      </c>
      <c r="K2887" t="s">
        <v>10217</v>
      </c>
      <c r="M2887" t="s">
        <v>10332</v>
      </c>
      <c r="N2887" t="s">
        <v>10691</v>
      </c>
      <c r="P2887" t="s">
        <v>10754</v>
      </c>
      <c r="Q2887" t="s">
        <v>10775</v>
      </c>
      <c r="R2887" t="s">
        <v>10824</v>
      </c>
      <c r="T2887">
        <v>3678</v>
      </c>
      <c r="U2887">
        <v>306.5</v>
      </c>
      <c r="V2887">
        <v>62</v>
      </c>
      <c r="W2887">
        <v>1</v>
      </c>
      <c r="X2887">
        <v>0</v>
      </c>
      <c r="Z2887">
        <v>29.45</v>
      </c>
      <c r="AA2887">
        <v>40.804368</v>
      </c>
      <c r="AB2887">
        <v>-73.949828</v>
      </c>
      <c r="AC2887" t="s">
        <v>10837</v>
      </c>
      <c r="AD2887" t="s">
        <v>10840</v>
      </c>
      <c r="AG2887" t="s">
        <v>10858</v>
      </c>
      <c r="AH2887" t="s">
        <v>10871</v>
      </c>
      <c r="AI2887">
        <v>234</v>
      </c>
      <c r="AJ2887" t="s">
        <v>10214</v>
      </c>
      <c r="AL2887">
        <v>1.56</v>
      </c>
      <c r="AM2887" t="s">
        <v>10887</v>
      </c>
      <c r="AN2887" t="s">
        <v>10936</v>
      </c>
      <c r="AO2887" t="s">
        <v>11016</v>
      </c>
      <c r="AP2887" t="s">
        <v>11076</v>
      </c>
      <c r="AR2887" t="s">
        <v>11405</v>
      </c>
      <c r="AS2887" t="s">
        <v>9925</v>
      </c>
      <c r="AT2887" t="s">
        <v>11642</v>
      </c>
      <c r="AX2887" t="s">
        <v>10838</v>
      </c>
      <c r="BA2887" t="s">
        <v>11741</v>
      </c>
      <c r="BB2887">
        <v>0</v>
      </c>
      <c r="BC2887">
        <v>0</v>
      </c>
      <c r="BD2887">
        <v>0</v>
      </c>
      <c r="BE2887">
        <v>0</v>
      </c>
      <c r="BF2887">
        <v>1</v>
      </c>
      <c r="BG2887">
        <v>0</v>
      </c>
    </row>
    <row r="2888" spans="1:59">
      <c r="A2888" s="1">
        <f>HYPERLINK("https://lsnyc.legalserver.org/matter/dynamic-profile/view/1906909","19-1906909")</f>
        <v>0</v>
      </c>
      <c r="B2888" t="s">
        <v>2446</v>
      </c>
      <c r="C2888" t="s">
        <v>5775</v>
      </c>
      <c r="D2888" t="s">
        <v>9948</v>
      </c>
      <c r="E2888" t="s">
        <v>10075</v>
      </c>
      <c r="F2888">
        <v>11691</v>
      </c>
      <c r="G2888" t="s">
        <v>10092</v>
      </c>
      <c r="H2888" t="s">
        <v>10113</v>
      </c>
      <c r="I2888" t="s">
        <v>10168</v>
      </c>
      <c r="J2888" t="s">
        <v>10212</v>
      </c>
      <c r="K2888" t="s">
        <v>10218</v>
      </c>
      <c r="L2888" t="s">
        <v>10158</v>
      </c>
      <c r="M2888" t="s">
        <v>10325</v>
      </c>
      <c r="N2888" t="s">
        <v>10671</v>
      </c>
      <c r="P2888" t="s">
        <v>10757</v>
      </c>
      <c r="Q2888" t="s">
        <v>10789</v>
      </c>
      <c r="R2888" t="s">
        <v>10821</v>
      </c>
      <c r="T2888">
        <v>13560</v>
      </c>
      <c r="U2888">
        <v>1130</v>
      </c>
      <c r="V2888">
        <v>57</v>
      </c>
      <c r="W2888">
        <v>1</v>
      </c>
      <c r="X2888">
        <v>0</v>
      </c>
      <c r="Y2888" t="s">
        <v>10829</v>
      </c>
      <c r="Z2888">
        <v>108.57</v>
      </c>
      <c r="AA2888">
        <v>40.596354</v>
      </c>
      <c r="AB2888">
        <v>-73.76511499999999</v>
      </c>
      <c r="AD2888" t="s">
        <v>10822</v>
      </c>
      <c r="AG2888" t="s">
        <v>10858</v>
      </c>
      <c r="AH2888" t="s">
        <v>10861</v>
      </c>
      <c r="AI2888">
        <v>234</v>
      </c>
      <c r="AJ2888" t="s">
        <v>10214</v>
      </c>
      <c r="AK2888" t="s">
        <v>10838</v>
      </c>
      <c r="AL2888">
        <v>1.5</v>
      </c>
      <c r="AM2888" t="s">
        <v>10892</v>
      </c>
      <c r="AN2888" t="s">
        <v>10958</v>
      </c>
      <c r="AO2888" t="s">
        <v>11017</v>
      </c>
      <c r="AP2888" t="s">
        <v>11082</v>
      </c>
      <c r="AR2888" t="s">
        <v>11482</v>
      </c>
      <c r="AS2888" t="s">
        <v>11594</v>
      </c>
      <c r="AT2888" t="s">
        <v>10822</v>
      </c>
      <c r="AX2888" t="s">
        <v>10838</v>
      </c>
      <c r="AY2888" t="s">
        <v>10829</v>
      </c>
      <c r="AZ2888" t="s">
        <v>11703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</row>
    <row r="2889" spans="1:59">
      <c r="A2889" s="1">
        <f>HYPERLINK("https://lsnyc.legalserver.org/matter/dynamic-profile/view/1906910","19-1906910")</f>
        <v>0</v>
      </c>
      <c r="B2889" t="s">
        <v>2447</v>
      </c>
      <c r="C2889" t="s">
        <v>7225</v>
      </c>
      <c r="D2889" t="s">
        <v>9925</v>
      </c>
      <c r="E2889" t="s">
        <v>10075</v>
      </c>
      <c r="F2889">
        <v>10035</v>
      </c>
      <c r="G2889" t="s">
        <v>10089</v>
      </c>
      <c r="H2889" t="s">
        <v>10113</v>
      </c>
      <c r="I2889" t="s">
        <v>10169</v>
      </c>
      <c r="J2889" t="s">
        <v>10209</v>
      </c>
      <c r="K2889" t="s">
        <v>10217</v>
      </c>
      <c r="M2889" t="s">
        <v>10589</v>
      </c>
      <c r="N2889" t="s">
        <v>10650</v>
      </c>
      <c r="P2889" t="s">
        <v>10749</v>
      </c>
      <c r="Q2889" t="s">
        <v>10765</v>
      </c>
      <c r="R2889" t="s">
        <v>10821</v>
      </c>
      <c r="T2889">
        <v>3180</v>
      </c>
      <c r="U2889">
        <v>265</v>
      </c>
      <c r="V2889">
        <v>45</v>
      </c>
      <c r="W2889">
        <v>1</v>
      </c>
      <c r="X2889">
        <v>2</v>
      </c>
      <c r="Z2889">
        <v>14.91</v>
      </c>
      <c r="AA2889">
        <v>40.797017</v>
      </c>
      <c r="AB2889">
        <v>-73.93225099999999</v>
      </c>
      <c r="AD2889" t="s">
        <v>10839</v>
      </c>
      <c r="AF2889" t="s">
        <v>10842</v>
      </c>
      <c r="AG2889" t="s">
        <v>10859</v>
      </c>
      <c r="AH2889" t="s">
        <v>10862</v>
      </c>
      <c r="AI2889">
        <v>236</v>
      </c>
      <c r="AJ2889" t="s">
        <v>10209</v>
      </c>
      <c r="AL2889">
        <v>15.1</v>
      </c>
      <c r="AM2889" t="s">
        <v>10887</v>
      </c>
      <c r="AN2889" t="s">
        <v>10926</v>
      </c>
      <c r="AO2889" t="s">
        <v>11016</v>
      </c>
      <c r="AP2889" t="s">
        <v>11066</v>
      </c>
      <c r="AR2889" t="s">
        <v>11257</v>
      </c>
      <c r="AS2889" t="s">
        <v>9925</v>
      </c>
      <c r="AT2889" t="s">
        <v>11641</v>
      </c>
      <c r="AX2889" t="s">
        <v>10838</v>
      </c>
      <c r="BA2889" t="s">
        <v>11739</v>
      </c>
      <c r="BB2889">
        <v>0</v>
      </c>
      <c r="BC2889">
        <v>0</v>
      </c>
      <c r="BD2889">
        <v>0</v>
      </c>
      <c r="BE2889">
        <v>0</v>
      </c>
      <c r="BF2889">
        <v>4</v>
      </c>
      <c r="BG2889">
        <v>0</v>
      </c>
    </row>
    <row r="2890" spans="1:59">
      <c r="A2890" s="1">
        <f>HYPERLINK("https://lsnyc.legalserver.org/matter/dynamic-profile/view/1906911","19-1906911")</f>
        <v>0</v>
      </c>
      <c r="B2890" t="s">
        <v>2448</v>
      </c>
      <c r="C2890" t="s">
        <v>7226</v>
      </c>
      <c r="D2890" t="s">
        <v>9939</v>
      </c>
      <c r="E2890" t="s">
        <v>10075</v>
      </c>
      <c r="F2890">
        <v>11419</v>
      </c>
      <c r="G2890" t="s">
        <v>10092</v>
      </c>
      <c r="H2890" t="s">
        <v>10113</v>
      </c>
      <c r="I2890" t="s">
        <v>10168</v>
      </c>
      <c r="J2890" t="s">
        <v>10212</v>
      </c>
      <c r="K2890" t="s">
        <v>10217</v>
      </c>
      <c r="M2890" t="s">
        <v>10260</v>
      </c>
      <c r="N2890" t="s">
        <v>10665</v>
      </c>
      <c r="P2890" t="s">
        <v>10751</v>
      </c>
      <c r="Q2890" t="s">
        <v>10773</v>
      </c>
      <c r="R2890" t="s">
        <v>10828</v>
      </c>
      <c r="T2890">
        <v>0</v>
      </c>
      <c r="U2890">
        <v>0</v>
      </c>
      <c r="V2890">
        <v>37</v>
      </c>
      <c r="W2890">
        <v>1</v>
      </c>
      <c r="X2890">
        <v>0</v>
      </c>
      <c r="Z2890">
        <v>0</v>
      </c>
      <c r="AA2890">
        <v>40.690637</v>
      </c>
      <c r="AB2890">
        <v>-73.836502</v>
      </c>
      <c r="AD2890" t="s">
        <v>10839</v>
      </c>
      <c r="AG2890" t="s">
        <v>10858</v>
      </c>
      <c r="AH2890" t="s">
        <v>10861</v>
      </c>
      <c r="AI2890">
        <v>234</v>
      </c>
      <c r="AJ2890" t="s">
        <v>10214</v>
      </c>
      <c r="AL2890">
        <v>10.25</v>
      </c>
      <c r="AM2890" t="s">
        <v>10892</v>
      </c>
      <c r="AN2890" t="s">
        <v>10945</v>
      </c>
      <c r="AO2890" t="s">
        <v>11017</v>
      </c>
      <c r="AP2890" t="s">
        <v>11070</v>
      </c>
      <c r="AR2890" t="s">
        <v>11267</v>
      </c>
      <c r="AS2890" t="s">
        <v>11594</v>
      </c>
      <c r="AT2890" t="s">
        <v>11641</v>
      </c>
      <c r="AX2890" t="s">
        <v>10838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</row>
    <row r="2891" spans="1:59">
      <c r="A2891" s="1">
        <f>HYPERLINK("https://lsnyc.legalserver.org/matter/dynamic-profile/view/1906913","19-1906913")</f>
        <v>0</v>
      </c>
      <c r="B2891" t="s">
        <v>2449</v>
      </c>
      <c r="C2891" t="s">
        <v>7227</v>
      </c>
      <c r="D2891" t="s">
        <v>9928</v>
      </c>
      <c r="E2891" t="s">
        <v>10075</v>
      </c>
      <c r="F2891">
        <v>11234</v>
      </c>
      <c r="G2891" t="s">
        <v>10093</v>
      </c>
      <c r="H2891" t="s">
        <v>10129</v>
      </c>
      <c r="J2891" t="s">
        <v>10213</v>
      </c>
      <c r="K2891" t="s">
        <v>10218</v>
      </c>
      <c r="L2891" t="s">
        <v>10166</v>
      </c>
      <c r="M2891" t="s">
        <v>10252</v>
      </c>
      <c r="N2891" t="s">
        <v>10671</v>
      </c>
      <c r="P2891" t="s">
        <v>10749</v>
      </c>
      <c r="Q2891" t="s">
        <v>10765</v>
      </c>
      <c r="R2891" t="s">
        <v>10820</v>
      </c>
      <c r="T2891">
        <v>9600</v>
      </c>
      <c r="U2891">
        <v>800</v>
      </c>
      <c r="V2891">
        <v>58</v>
      </c>
      <c r="W2891">
        <v>2</v>
      </c>
      <c r="X2891">
        <v>0</v>
      </c>
      <c r="Y2891" t="s">
        <v>10829</v>
      </c>
      <c r="Z2891">
        <v>56.77</v>
      </c>
      <c r="AA2891">
        <v>40.616372</v>
      </c>
      <c r="AB2891">
        <v>-73.914511</v>
      </c>
      <c r="AD2891" t="s">
        <v>10840</v>
      </c>
      <c r="AG2891" t="s">
        <v>10858</v>
      </c>
      <c r="AH2891" t="s">
        <v>10868</v>
      </c>
      <c r="AI2891">
        <v>239</v>
      </c>
      <c r="AJ2891" t="s">
        <v>10213</v>
      </c>
      <c r="AK2891" t="s">
        <v>10838</v>
      </c>
      <c r="AL2891">
        <v>3.25</v>
      </c>
      <c r="AM2891" t="s">
        <v>10889</v>
      </c>
      <c r="AN2891" t="s">
        <v>10959</v>
      </c>
      <c r="AO2891" t="s">
        <v>11012</v>
      </c>
      <c r="AP2891" t="s">
        <v>11072</v>
      </c>
      <c r="AR2891" t="s">
        <v>11253</v>
      </c>
      <c r="AS2891" t="s">
        <v>11595</v>
      </c>
      <c r="AT2891" t="s">
        <v>11642</v>
      </c>
      <c r="AX2891" t="s">
        <v>10838</v>
      </c>
      <c r="AY2891" t="s">
        <v>10829</v>
      </c>
      <c r="AZ2891" t="s">
        <v>11681</v>
      </c>
      <c r="BA2891" t="s">
        <v>11742</v>
      </c>
      <c r="BB2891">
        <v>0</v>
      </c>
      <c r="BC2891">
        <v>0</v>
      </c>
      <c r="BD2891">
        <v>0</v>
      </c>
      <c r="BE2891">
        <v>0</v>
      </c>
      <c r="BF2891">
        <v>7</v>
      </c>
      <c r="BG2891">
        <v>0</v>
      </c>
    </row>
    <row r="2892" spans="1:59">
      <c r="A2892" s="1">
        <f>HYPERLINK("https://lsnyc.legalserver.org/matter/dynamic-profile/view/1906914","19-1906914")</f>
        <v>0</v>
      </c>
      <c r="B2892" t="s">
        <v>2450</v>
      </c>
      <c r="C2892" t="s">
        <v>7228</v>
      </c>
      <c r="D2892" t="s">
        <v>9926</v>
      </c>
      <c r="E2892" t="s">
        <v>10075</v>
      </c>
      <c r="F2892">
        <v>10463</v>
      </c>
      <c r="G2892" t="s">
        <v>10090</v>
      </c>
      <c r="H2892" t="s">
        <v>10113</v>
      </c>
      <c r="I2892" t="s">
        <v>10168</v>
      </c>
      <c r="J2892" t="s">
        <v>10210</v>
      </c>
      <c r="K2892" t="s">
        <v>10218</v>
      </c>
      <c r="L2892" t="s">
        <v>10159</v>
      </c>
      <c r="M2892" t="s">
        <v>10524</v>
      </c>
      <c r="N2892" t="s">
        <v>10690</v>
      </c>
      <c r="P2892" t="s">
        <v>10749</v>
      </c>
      <c r="Q2892" t="s">
        <v>10765</v>
      </c>
      <c r="R2892" t="s">
        <v>10825</v>
      </c>
      <c r="T2892">
        <v>9252</v>
      </c>
      <c r="U2892">
        <v>771</v>
      </c>
      <c r="V2892">
        <v>60</v>
      </c>
      <c r="W2892">
        <v>1</v>
      </c>
      <c r="X2892">
        <v>0</v>
      </c>
      <c r="Y2892" t="s">
        <v>10829</v>
      </c>
      <c r="Z2892">
        <v>74.08</v>
      </c>
      <c r="AA2892">
        <v>40.881962</v>
      </c>
      <c r="AB2892">
        <v>-73.92045899999999</v>
      </c>
      <c r="AC2892" t="s">
        <v>10837</v>
      </c>
      <c r="AD2892" t="s">
        <v>10840</v>
      </c>
      <c r="AG2892" t="s">
        <v>10858</v>
      </c>
      <c r="AH2892" t="s">
        <v>10861</v>
      </c>
      <c r="AI2892">
        <v>234</v>
      </c>
      <c r="AJ2892" t="s">
        <v>10214</v>
      </c>
      <c r="AK2892" t="s">
        <v>10838</v>
      </c>
      <c r="AL2892">
        <v>0.8</v>
      </c>
      <c r="AM2892" t="s">
        <v>10893</v>
      </c>
      <c r="AN2892" t="s">
        <v>10919</v>
      </c>
      <c r="AO2892" t="s">
        <v>11002</v>
      </c>
      <c r="AP2892" t="s">
        <v>11057</v>
      </c>
      <c r="AR2892" t="s">
        <v>11263</v>
      </c>
      <c r="AS2892" t="s">
        <v>9926</v>
      </c>
      <c r="AT2892" t="s">
        <v>11642</v>
      </c>
      <c r="AX2892" t="s">
        <v>10838</v>
      </c>
      <c r="AY2892" t="s">
        <v>10829</v>
      </c>
      <c r="AZ2892" t="s">
        <v>11681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</row>
    <row r="2893" spans="1:59">
      <c r="A2893" s="1">
        <f>HYPERLINK("https://lsnyc.legalserver.org/matter/dynamic-profile/view/1906915","19-1906915")</f>
        <v>0</v>
      </c>
      <c r="B2893" t="s">
        <v>2451</v>
      </c>
      <c r="C2893" t="s">
        <v>7229</v>
      </c>
      <c r="D2893" t="s">
        <v>9950</v>
      </c>
      <c r="E2893" t="s">
        <v>10075</v>
      </c>
      <c r="F2893">
        <v>11418</v>
      </c>
      <c r="G2893" t="s">
        <v>10092</v>
      </c>
      <c r="H2893" t="s">
        <v>10113</v>
      </c>
      <c r="I2893" t="s">
        <v>10168</v>
      </c>
      <c r="J2893" t="s">
        <v>10212</v>
      </c>
      <c r="K2893" t="s">
        <v>10217</v>
      </c>
      <c r="M2893" t="s">
        <v>10285</v>
      </c>
      <c r="N2893" t="s">
        <v>10695</v>
      </c>
      <c r="P2893" t="s">
        <v>10749</v>
      </c>
      <c r="Q2893" t="s">
        <v>10765</v>
      </c>
      <c r="R2893" t="s">
        <v>10828</v>
      </c>
      <c r="T2893">
        <v>40000</v>
      </c>
      <c r="U2893">
        <v>3333.33</v>
      </c>
      <c r="V2893">
        <v>37</v>
      </c>
      <c r="W2893">
        <v>2</v>
      </c>
      <c r="X2893">
        <v>1</v>
      </c>
      <c r="Z2893">
        <v>187.53</v>
      </c>
      <c r="AA2893">
        <v>40.695082</v>
      </c>
      <c r="AB2893">
        <v>-73.843018</v>
      </c>
      <c r="AD2893" t="s">
        <v>10839</v>
      </c>
      <c r="AF2893" t="s">
        <v>10843</v>
      </c>
      <c r="AG2893" t="s">
        <v>10859</v>
      </c>
      <c r="AH2893" t="s">
        <v>10862</v>
      </c>
      <c r="AI2893">
        <v>237</v>
      </c>
      <c r="AJ2893" t="s">
        <v>10212</v>
      </c>
      <c r="AL2893">
        <v>1.7</v>
      </c>
      <c r="AM2893" t="s">
        <v>10892</v>
      </c>
      <c r="AN2893" t="s">
        <v>10945</v>
      </c>
      <c r="AO2893" t="s">
        <v>11017</v>
      </c>
      <c r="AP2893" t="s">
        <v>11088</v>
      </c>
      <c r="AR2893" t="s">
        <v>11257</v>
      </c>
      <c r="AS2893" t="s">
        <v>11594</v>
      </c>
      <c r="BA2893" t="s">
        <v>11741</v>
      </c>
      <c r="BB2893">
        <v>0</v>
      </c>
      <c r="BC2893">
        <v>0</v>
      </c>
      <c r="BD2893">
        <v>0</v>
      </c>
      <c r="BE2893">
        <v>0</v>
      </c>
      <c r="BF2893">
        <v>1</v>
      </c>
      <c r="BG2893">
        <v>0</v>
      </c>
    </row>
    <row r="2894" spans="1:59">
      <c r="A2894" s="1">
        <f>HYPERLINK("https://lsnyc.legalserver.org/matter/dynamic-profile/view/1906916","19-1906916")</f>
        <v>0</v>
      </c>
      <c r="B2894" t="s">
        <v>2452</v>
      </c>
      <c r="C2894" t="s">
        <v>7230</v>
      </c>
      <c r="D2894" t="s">
        <v>9925</v>
      </c>
      <c r="E2894" t="s">
        <v>10075</v>
      </c>
      <c r="F2894">
        <v>10038</v>
      </c>
      <c r="G2894" t="s">
        <v>10089</v>
      </c>
      <c r="H2894" t="s">
        <v>10113</v>
      </c>
      <c r="I2894" t="s">
        <v>10181</v>
      </c>
      <c r="J2894" t="s">
        <v>10209</v>
      </c>
      <c r="K2894" t="s">
        <v>10217</v>
      </c>
      <c r="M2894" t="s">
        <v>10433</v>
      </c>
      <c r="N2894" t="s">
        <v>10703</v>
      </c>
      <c r="P2894" t="s">
        <v>10749</v>
      </c>
      <c r="Q2894" t="s">
        <v>10767</v>
      </c>
      <c r="R2894" t="s">
        <v>10827</v>
      </c>
      <c r="T2894">
        <v>12000</v>
      </c>
      <c r="U2894">
        <v>1000</v>
      </c>
      <c r="V2894">
        <v>73</v>
      </c>
      <c r="W2894">
        <v>2</v>
      </c>
      <c r="X2894">
        <v>0</v>
      </c>
      <c r="Z2894">
        <v>70.95999999999999</v>
      </c>
      <c r="AA2894">
        <v>40.711699</v>
      </c>
      <c r="AB2894">
        <v>-73.998136</v>
      </c>
      <c r="AD2894" t="s">
        <v>10839</v>
      </c>
      <c r="AG2894" t="s">
        <v>10858</v>
      </c>
      <c r="AH2894" t="s">
        <v>10862</v>
      </c>
      <c r="AI2894">
        <v>236</v>
      </c>
      <c r="AJ2894" t="s">
        <v>10209</v>
      </c>
      <c r="AL2894">
        <v>17.3</v>
      </c>
      <c r="AM2894" t="s">
        <v>10886</v>
      </c>
      <c r="AN2894" t="s">
        <v>10963</v>
      </c>
      <c r="AO2894" t="s">
        <v>11004</v>
      </c>
      <c r="AP2894" t="s">
        <v>11093</v>
      </c>
      <c r="AR2894" t="s">
        <v>11263</v>
      </c>
      <c r="AS2894" t="s">
        <v>9925</v>
      </c>
      <c r="BA2894" t="s">
        <v>11739</v>
      </c>
      <c r="BB2894">
        <v>0</v>
      </c>
      <c r="BC2894">
        <v>0</v>
      </c>
      <c r="BD2894">
        <v>0</v>
      </c>
      <c r="BE2894">
        <v>0</v>
      </c>
      <c r="BF2894">
        <v>4</v>
      </c>
      <c r="BG2894">
        <v>0</v>
      </c>
    </row>
    <row r="2895" spans="1:59">
      <c r="A2895" s="1">
        <f>HYPERLINK("https://lsnyc.legalserver.org/matter/dynamic-profile/view/1906917","19-1906917")</f>
        <v>0</v>
      </c>
      <c r="B2895" t="s">
        <v>2453</v>
      </c>
      <c r="C2895" t="s">
        <v>5583</v>
      </c>
      <c r="D2895" t="s">
        <v>9926</v>
      </c>
      <c r="E2895" t="s">
        <v>10075</v>
      </c>
      <c r="F2895">
        <v>10452</v>
      </c>
      <c r="G2895" t="s">
        <v>10090</v>
      </c>
      <c r="H2895" t="s">
        <v>10113</v>
      </c>
      <c r="I2895" t="s">
        <v>10169</v>
      </c>
      <c r="J2895" t="s">
        <v>10210</v>
      </c>
      <c r="K2895" t="s">
        <v>10218</v>
      </c>
      <c r="L2895" t="s">
        <v>10153</v>
      </c>
      <c r="M2895" t="s">
        <v>10590</v>
      </c>
      <c r="N2895" t="s">
        <v>10650</v>
      </c>
      <c r="P2895" t="s">
        <v>10749</v>
      </c>
      <c r="Q2895" t="s">
        <v>10765</v>
      </c>
      <c r="R2895" t="s">
        <v>10821</v>
      </c>
      <c r="T2895">
        <v>9876</v>
      </c>
      <c r="U2895">
        <v>823</v>
      </c>
      <c r="V2895">
        <v>77</v>
      </c>
      <c r="W2895">
        <v>1</v>
      </c>
      <c r="X2895">
        <v>0</v>
      </c>
      <c r="Y2895" t="s">
        <v>10830</v>
      </c>
      <c r="Z2895">
        <v>79.06999999999999</v>
      </c>
      <c r="AA2895">
        <v>40.836242</v>
      </c>
      <c r="AB2895">
        <v>-73.916808</v>
      </c>
      <c r="AD2895" t="s">
        <v>10839</v>
      </c>
      <c r="AG2895" t="s">
        <v>10858</v>
      </c>
      <c r="AH2895" t="s">
        <v>10862</v>
      </c>
      <c r="AI2895">
        <v>230</v>
      </c>
      <c r="AJ2895" t="s">
        <v>10210</v>
      </c>
      <c r="AK2895" t="s">
        <v>10838</v>
      </c>
      <c r="AL2895">
        <v>1.4</v>
      </c>
      <c r="AM2895" t="s">
        <v>10884</v>
      </c>
      <c r="AN2895" t="s">
        <v>10924</v>
      </c>
      <c r="AO2895" t="s">
        <v>11013</v>
      </c>
      <c r="AP2895" t="s">
        <v>11055</v>
      </c>
      <c r="AR2895" t="s">
        <v>11300</v>
      </c>
      <c r="AS2895" t="s">
        <v>9926</v>
      </c>
      <c r="AY2895" t="s">
        <v>10830</v>
      </c>
      <c r="AZ2895" t="s">
        <v>11690</v>
      </c>
      <c r="BA2895" t="s">
        <v>11740</v>
      </c>
      <c r="BB2895">
        <v>0</v>
      </c>
      <c r="BC2895">
        <v>0</v>
      </c>
      <c r="BD2895">
        <v>0</v>
      </c>
      <c r="BE2895">
        <v>0</v>
      </c>
      <c r="BF2895">
        <v>2</v>
      </c>
      <c r="BG2895">
        <v>0</v>
      </c>
    </row>
    <row r="2896" spans="1:59">
      <c r="A2896" s="1">
        <f>HYPERLINK("https://lsnyc.legalserver.org/matter/dynamic-profile/view/1906918","19-1906918")</f>
        <v>0</v>
      </c>
      <c r="B2896" t="s">
        <v>2454</v>
      </c>
      <c r="C2896" t="s">
        <v>7231</v>
      </c>
      <c r="D2896" t="s">
        <v>9926</v>
      </c>
      <c r="E2896" t="s">
        <v>10075</v>
      </c>
      <c r="F2896">
        <v>10457</v>
      </c>
      <c r="G2896" t="s">
        <v>10090</v>
      </c>
      <c r="H2896" t="s">
        <v>10113</v>
      </c>
      <c r="I2896" t="s">
        <v>10168</v>
      </c>
      <c r="J2896" t="s">
        <v>10210</v>
      </c>
      <c r="K2896" t="s">
        <v>10217</v>
      </c>
      <c r="M2896" t="s">
        <v>10261</v>
      </c>
      <c r="N2896" t="s">
        <v>10650</v>
      </c>
      <c r="P2896" t="s">
        <v>10749</v>
      </c>
      <c r="Q2896" t="s">
        <v>10765</v>
      </c>
      <c r="R2896" t="s">
        <v>10822</v>
      </c>
      <c r="T2896">
        <v>20100</v>
      </c>
      <c r="U2896">
        <v>1675</v>
      </c>
      <c r="V2896">
        <v>66</v>
      </c>
      <c r="W2896">
        <v>1</v>
      </c>
      <c r="X2896">
        <v>0</v>
      </c>
      <c r="Z2896">
        <v>160.93</v>
      </c>
      <c r="AA2896">
        <v>40.840783</v>
      </c>
      <c r="AB2896">
        <v>-73.911265</v>
      </c>
      <c r="AD2896" t="s">
        <v>10840</v>
      </c>
      <c r="AG2896" t="s">
        <v>10858</v>
      </c>
      <c r="AH2896" t="s">
        <v>10862</v>
      </c>
      <c r="AI2896">
        <v>230</v>
      </c>
      <c r="AJ2896" t="s">
        <v>10210</v>
      </c>
      <c r="AL2896">
        <v>0</v>
      </c>
      <c r="AM2896" t="s">
        <v>10884</v>
      </c>
      <c r="AN2896" t="s">
        <v>10929</v>
      </c>
      <c r="AO2896" t="s">
        <v>11000</v>
      </c>
      <c r="AP2896" t="s">
        <v>11055</v>
      </c>
      <c r="AR2896" t="s">
        <v>11296</v>
      </c>
      <c r="AS2896" t="s">
        <v>9926</v>
      </c>
      <c r="BA2896" t="s">
        <v>11741</v>
      </c>
      <c r="BB2896">
        <v>0</v>
      </c>
      <c r="BC2896">
        <v>0</v>
      </c>
      <c r="BD2896">
        <v>0</v>
      </c>
      <c r="BE2896">
        <v>0</v>
      </c>
      <c r="BF2896">
        <v>1</v>
      </c>
      <c r="BG2896">
        <v>0</v>
      </c>
    </row>
    <row r="2897" spans="1:59">
      <c r="A2897" s="1">
        <f>HYPERLINK("https://lsnyc.legalserver.org/matter/dynamic-profile/view/1906919","19-1906919")</f>
        <v>0</v>
      </c>
      <c r="B2897" t="s">
        <v>1458</v>
      </c>
      <c r="C2897" t="s">
        <v>6281</v>
      </c>
      <c r="D2897" t="s">
        <v>9926</v>
      </c>
      <c r="E2897" t="s">
        <v>10075</v>
      </c>
      <c r="F2897">
        <v>10460</v>
      </c>
      <c r="G2897" t="s">
        <v>10090</v>
      </c>
      <c r="H2897" t="s">
        <v>10147</v>
      </c>
      <c r="I2897" t="s">
        <v>10168</v>
      </c>
      <c r="J2897" t="s">
        <v>10210</v>
      </c>
      <c r="K2897" t="s">
        <v>10217</v>
      </c>
      <c r="M2897" t="s">
        <v>10367</v>
      </c>
      <c r="N2897" t="s">
        <v>10671</v>
      </c>
      <c r="P2897" t="s">
        <v>10751</v>
      </c>
      <c r="Q2897" t="s">
        <v>10761</v>
      </c>
      <c r="R2897" t="s">
        <v>10824</v>
      </c>
      <c r="T2897">
        <v>3720</v>
      </c>
      <c r="U2897">
        <v>310</v>
      </c>
      <c r="V2897">
        <v>26</v>
      </c>
      <c r="W2897">
        <v>1</v>
      </c>
      <c r="X2897">
        <v>2</v>
      </c>
      <c r="Z2897">
        <v>17.44</v>
      </c>
      <c r="AA2897">
        <v>40.842924</v>
      </c>
      <c r="AB2897">
        <v>-73.87930900000001</v>
      </c>
      <c r="AD2897" t="s">
        <v>10839</v>
      </c>
      <c r="AG2897" t="s">
        <v>10858</v>
      </c>
      <c r="AH2897" t="s">
        <v>10862</v>
      </c>
      <c r="AI2897">
        <v>230</v>
      </c>
      <c r="AJ2897" t="s">
        <v>10210</v>
      </c>
      <c r="AL2897">
        <v>0</v>
      </c>
      <c r="AM2897" t="s">
        <v>10884</v>
      </c>
      <c r="AN2897" t="s">
        <v>10908</v>
      </c>
      <c r="AO2897" t="s">
        <v>11001</v>
      </c>
      <c r="AP2897" t="s">
        <v>11056</v>
      </c>
      <c r="AR2897" t="s">
        <v>11255</v>
      </c>
      <c r="AS2897" t="s">
        <v>9926</v>
      </c>
      <c r="AT2897" t="s">
        <v>11641</v>
      </c>
      <c r="AX2897" t="s">
        <v>10838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</row>
    <row r="2898" spans="1:59">
      <c r="A2898" s="1">
        <f>HYPERLINK("https://lsnyc.legalserver.org/matter/dynamic-profile/view/1906921","19-1906921")</f>
        <v>0</v>
      </c>
      <c r="B2898" t="s">
        <v>1077</v>
      </c>
      <c r="C2898" t="s">
        <v>7232</v>
      </c>
      <c r="D2898" t="s">
        <v>9925</v>
      </c>
      <c r="E2898" t="s">
        <v>10075</v>
      </c>
      <c r="F2898">
        <v>10002</v>
      </c>
      <c r="G2898" t="s">
        <v>10089</v>
      </c>
      <c r="H2898" t="s">
        <v>10113</v>
      </c>
      <c r="I2898" t="s">
        <v>10169</v>
      </c>
      <c r="J2898" t="s">
        <v>10209</v>
      </c>
      <c r="K2898" t="s">
        <v>10217</v>
      </c>
      <c r="M2898" t="s">
        <v>10488</v>
      </c>
      <c r="N2898" t="s">
        <v>10649</v>
      </c>
      <c r="P2898" t="s">
        <v>10753</v>
      </c>
      <c r="Q2898" t="s">
        <v>10763</v>
      </c>
      <c r="R2898" t="s">
        <v>10821</v>
      </c>
      <c r="T2898">
        <v>2379</v>
      </c>
      <c r="U2898">
        <v>198.25</v>
      </c>
      <c r="V2898">
        <v>49</v>
      </c>
      <c r="W2898">
        <v>1</v>
      </c>
      <c r="X2898">
        <v>0</v>
      </c>
      <c r="Z2898">
        <v>19.05</v>
      </c>
      <c r="AA2898">
        <v>40.717382</v>
      </c>
      <c r="AB2898">
        <v>-73.983149</v>
      </c>
      <c r="AD2898" t="s">
        <v>10840</v>
      </c>
      <c r="AF2898" t="s">
        <v>10843</v>
      </c>
      <c r="AG2898" t="s">
        <v>10859</v>
      </c>
      <c r="AH2898" t="s">
        <v>10864</v>
      </c>
      <c r="AI2898">
        <v>236</v>
      </c>
      <c r="AJ2898" t="s">
        <v>10209</v>
      </c>
      <c r="AL2898">
        <v>4.5</v>
      </c>
      <c r="AM2898" t="s">
        <v>10891</v>
      </c>
      <c r="AN2898" t="s">
        <v>10963</v>
      </c>
      <c r="AO2898" t="s">
        <v>11004</v>
      </c>
      <c r="AP2898" t="s">
        <v>11093</v>
      </c>
      <c r="AQ2898" t="s">
        <v>11131</v>
      </c>
      <c r="AR2898" t="s">
        <v>11255</v>
      </c>
      <c r="AS2898" t="s">
        <v>9925</v>
      </c>
      <c r="BA2898" t="s">
        <v>11739</v>
      </c>
      <c r="BB2898">
        <v>0</v>
      </c>
      <c r="BC2898">
        <v>0</v>
      </c>
      <c r="BD2898">
        <v>0</v>
      </c>
      <c r="BE2898">
        <v>0</v>
      </c>
      <c r="BF2898">
        <v>4</v>
      </c>
      <c r="BG2898">
        <v>0</v>
      </c>
    </row>
    <row r="2899" spans="1:59">
      <c r="A2899" s="1">
        <f>HYPERLINK("https://lsnyc.legalserver.org/matter/dynamic-profile/view/1906922","19-1906922")</f>
        <v>0</v>
      </c>
      <c r="B2899" t="s">
        <v>2455</v>
      </c>
      <c r="C2899" t="s">
        <v>6999</v>
      </c>
      <c r="D2899" t="s">
        <v>9926</v>
      </c>
      <c r="E2899" t="s">
        <v>10075</v>
      </c>
      <c r="F2899">
        <v>10452</v>
      </c>
      <c r="G2899" t="s">
        <v>10090</v>
      </c>
      <c r="H2899" t="s">
        <v>10113</v>
      </c>
      <c r="I2899" t="s">
        <v>10169</v>
      </c>
      <c r="J2899" t="s">
        <v>10210</v>
      </c>
      <c r="K2899" t="s">
        <v>10217</v>
      </c>
      <c r="M2899" t="s">
        <v>10591</v>
      </c>
      <c r="N2899" t="s">
        <v>10650</v>
      </c>
      <c r="P2899" t="s">
        <v>10749</v>
      </c>
      <c r="Q2899" t="s">
        <v>10765</v>
      </c>
      <c r="R2899" t="s">
        <v>10821</v>
      </c>
      <c r="T2899">
        <v>10080</v>
      </c>
      <c r="U2899">
        <v>840</v>
      </c>
      <c r="V2899">
        <v>81</v>
      </c>
      <c r="W2899">
        <v>1</v>
      </c>
      <c r="X2899">
        <v>0</v>
      </c>
      <c r="Z2899">
        <v>80.7</v>
      </c>
      <c r="AA2899">
        <v>40.828115</v>
      </c>
      <c r="AB2899">
        <v>-73.923996</v>
      </c>
      <c r="AD2899" t="s">
        <v>10839</v>
      </c>
      <c r="AF2899" t="s">
        <v>10843</v>
      </c>
      <c r="AG2899" t="s">
        <v>10859</v>
      </c>
      <c r="AH2899" t="s">
        <v>10862</v>
      </c>
      <c r="AI2899">
        <v>230</v>
      </c>
      <c r="AJ2899" t="s">
        <v>10210</v>
      </c>
      <c r="AL2899">
        <v>0</v>
      </c>
      <c r="AM2899" t="s">
        <v>10884</v>
      </c>
      <c r="AN2899" t="s">
        <v>10924</v>
      </c>
      <c r="AO2899" t="s">
        <v>11013</v>
      </c>
      <c r="AP2899" t="s">
        <v>11066</v>
      </c>
      <c r="AR2899" t="s">
        <v>11268</v>
      </c>
      <c r="AS2899" t="s">
        <v>9926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</row>
    <row r="2900" spans="1:59">
      <c r="A2900" s="1">
        <f>HYPERLINK("https://lsnyc.legalserver.org/matter/dynamic-profile/view/1906923","19-1906923")</f>
        <v>0</v>
      </c>
      <c r="B2900" t="s">
        <v>2456</v>
      </c>
      <c r="C2900" t="s">
        <v>7233</v>
      </c>
      <c r="D2900" t="s">
        <v>9926</v>
      </c>
      <c r="E2900" t="s">
        <v>10075</v>
      </c>
      <c r="F2900">
        <v>10458</v>
      </c>
      <c r="G2900" t="s">
        <v>10090</v>
      </c>
      <c r="H2900" t="s">
        <v>10113</v>
      </c>
      <c r="I2900" t="s">
        <v>10169</v>
      </c>
      <c r="J2900" t="s">
        <v>10210</v>
      </c>
      <c r="K2900" t="s">
        <v>10217</v>
      </c>
      <c r="M2900" t="s">
        <v>10419</v>
      </c>
      <c r="N2900" t="s">
        <v>10666</v>
      </c>
      <c r="P2900" t="s">
        <v>10749</v>
      </c>
      <c r="Q2900" t="s">
        <v>10765</v>
      </c>
      <c r="R2900" t="s">
        <v>10823</v>
      </c>
      <c r="T2900">
        <v>1768</v>
      </c>
      <c r="U2900">
        <v>147.33</v>
      </c>
      <c r="V2900">
        <v>57</v>
      </c>
      <c r="W2900">
        <v>1</v>
      </c>
      <c r="X2900">
        <v>0</v>
      </c>
      <c r="Z2900">
        <v>14.16</v>
      </c>
      <c r="AA2900">
        <v>40.868297</v>
      </c>
      <c r="AB2900">
        <v>-73.89065100000001</v>
      </c>
      <c r="AD2900" t="s">
        <v>10839</v>
      </c>
      <c r="AF2900" t="s">
        <v>10843</v>
      </c>
      <c r="AG2900" t="s">
        <v>10859</v>
      </c>
      <c r="AH2900" t="s">
        <v>10861</v>
      </c>
      <c r="AI2900">
        <v>230</v>
      </c>
      <c r="AJ2900" t="s">
        <v>10210</v>
      </c>
      <c r="AL2900">
        <v>8.6</v>
      </c>
      <c r="AM2900" t="s">
        <v>10887</v>
      </c>
      <c r="AN2900" t="s">
        <v>10907</v>
      </c>
      <c r="AO2900" t="s">
        <v>11000</v>
      </c>
      <c r="AP2900" t="s">
        <v>11056</v>
      </c>
      <c r="AR2900" t="s">
        <v>11273</v>
      </c>
      <c r="AS2900" t="s">
        <v>9926</v>
      </c>
      <c r="AT2900" t="s">
        <v>11641</v>
      </c>
      <c r="AX2900" t="s">
        <v>10838</v>
      </c>
      <c r="BA2900" t="s">
        <v>11738</v>
      </c>
      <c r="BB2900">
        <v>0</v>
      </c>
      <c r="BC2900">
        <v>0</v>
      </c>
      <c r="BD2900">
        <v>0</v>
      </c>
      <c r="BE2900">
        <v>0</v>
      </c>
      <c r="BF2900">
        <v>5</v>
      </c>
      <c r="BG2900">
        <v>0</v>
      </c>
    </row>
    <row r="2901" spans="1:59">
      <c r="A2901" s="1">
        <f>HYPERLINK("https://lsnyc.legalserver.org/matter/dynamic-profile/view/1906925","19-1906925")</f>
        <v>0</v>
      </c>
      <c r="B2901" t="s">
        <v>2457</v>
      </c>
      <c r="C2901" t="s">
        <v>7234</v>
      </c>
      <c r="D2901" t="s">
        <v>9926</v>
      </c>
      <c r="E2901" t="s">
        <v>10075</v>
      </c>
      <c r="F2901">
        <v>10451</v>
      </c>
      <c r="G2901" t="s">
        <v>10090</v>
      </c>
      <c r="H2901" t="s">
        <v>10113</v>
      </c>
      <c r="I2901" t="s">
        <v>10168</v>
      </c>
      <c r="J2901" t="s">
        <v>10210</v>
      </c>
      <c r="K2901" t="s">
        <v>10218</v>
      </c>
      <c r="L2901" t="s">
        <v>10127</v>
      </c>
      <c r="M2901" t="s">
        <v>10419</v>
      </c>
      <c r="N2901" t="s">
        <v>10675</v>
      </c>
      <c r="P2901" t="s">
        <v>10749</v>
      </c>
      <c r="Q2901" t="s">
        <v>10765</v>
      </c>
      <c r="R2901" t="s">
        <v>10824</v>
      </c>
      <c r="T2901">
        <v>60000</v>
      </c>
      <c r="U2901">
        <v>5000</v>
      </c>
      <c r="V2901">
        <v>34</v>
      </c>
      <c r="W2901">
        <v>2</v>
      </c>
      <c r="X2901">
        <v>1</v>
      </c>
      <c r="Y2901" t="s">
        <v>10829</v>
      </c>
      <c r="Z2901">
        <v>281.29</v>
      </c>
      <c r="AA2901">
        <v>40.820094</v>
      </c>
      <c r="AB2901">
        <v>-73.922112</v>
      </c>
      <c r="AC2901" t="s">
        <v>10837</v>
      </c>
      <c r="AD2901" t="s">
        <v>10840</v>
      </c>
      <c r="AG2901" t="s">
        <v>10858</v>
      </c>
      <c r="AH2901" t="s">
        <v>10874</v>
      </c>
      <c r="AI2901">
        <v>230</v>
      </c>
      <c r="AJ2901" t="s">
        <v>10210</v>
      </c>
      <c r="AK2901" t="s">
        <v>10838</v>
      </c>
      <c r="AL2901">
        <v>2</v>
      </c>
      <c r="AM2901" t="s">
        <v>10884</v>
      </c>
      <c r="AN2901" t="s">
        <v>10924</v>
      </c>
      <c r="AO2901" t="s">
        <v>11013</v>
      </c>
      <c r="AP2901" t="s">
        <v>11062</v>
      </c>
      <c r="AR2901" t="s">
        <v>11257</v>
      </c>
      <c r="AS2901" t="s">
        <v>9926</v>
      </c>
      <c r="AY2901" t="s">
        <v>10829</v>
      </c>
      <c r="AZ2901" t="s">
        <v>11687</v>
      </c>
      <c r="BA2901" t="s">
        <v>11742</v>
      </c>
      <c r="BB2901">
        <v>0</v>
      </c>
      <c r="BC2901">
        <v>0</v>
      </c>
      <c r="BD2901">
        <v>0</v>
      </c>
      <c r="BE2901">
        <v>0</v>
      </c>
      <c r="BF2901">
        <v>7</v>
      </c>
      <c r="BG2901">
        <v>0</v>
      </c>
    </row>
    <row r="2902" spans="1:59">
      <c r="A2902" s="1">
        <f>HYPERLINK("https://lsnyc.legalserver.org/matter/dynamic-profile/view/1906926","19-1906926")</f>
        <v>0</v>
      </c>
      <c r="B2902" t="s">
        <v>2458</v>
      </c>
      <c r="C2902" t="s">
        <v>7235</v>
      </c>
      <c r="D2902" t="s">
        <v>9925</v>
      </c>
      <c r="E2902" t="s">
        <v>10075</v>
      </c>
      <c r="F2902">
        <v>10039</v>
      </c>
      <c r="G2902" t="s">
        <v>10089</v>
      </c>
      <c r="H2902" t="s">
        <v>10113</v>
      </c>
      <c r="I2902" t="s">
        <v>10168</v>
      </c>
      <c r="J2902" t="s">
        <v>10209</v>
      </c>
      <c r="K2902" t="s">
        <v>10217</v>
      </c>
      <c r="M2902" t="s">
        <v>10459</v>
      </c>
      <c r="N2902" t="s">
        <v>10691</v>
      </c>
      <c r="P2902" t="s">
        <v>10751</v>
      </c>
      <c r="Q2902" t="s">
        <v>10780</v>
      </c>
      <c r="R2902" t="s">
        <v>10823</v>
      </c>
      <c r="T2902">
        <v>1459.64</v>
      </c>
      <c r="U2902">
        <v>121.64</v>
      </c>
      <c r="V2902">
        <v>27</v>
      </c>
      <c r="W2902">
        <v>1</v>
      </c>
      <c r="X2902">
        <v>1</v>
      </c>
      <c r="Z2902">
        <v>8.630000000000001</v>
      </c>
      <c r="AA2902">
        <v>40.826562</v>
      </c>
      <c r="AB2902">
        <v>-73.93680000000001</v>
      </c>
      <c r="AD2902" t="s">
        <v>10839</v>
      </c>
      <c r="AG2902" t="s">
        <v>10858</v>
      </c>
      <c r="AH2902" t="s">
        <v>10861</v>
      </c>
      <c r="AI2902">
        <v>234</v>
      </c>
      <c r="AJ2902" t="s">
        <v>10214</v>
      </c>
      <c r="AL2902">
        <v>4.5</v>
      </c>
      <c r="AM2902" t="s">
        <v>10887</v>
      </c>
      <c r="AN2902" t="s">
        <v>10943</v>
      </c>
      <c r="AO2902" t="s">
        <v>11016</v>
      </c>
      <c r="AP2902" t="s">
        <v>11076</v>
      </c>
      <c r="AR2902" t="s">
        <v>11255</v>
      </c>
      <c r="AS2902" t="s">
        <v>9925</v>
      </c>
      <c r="AT2902" t="s">
        <v>11641</v>
      </c>
      <c r="AX2902" t="s">
        <v>10838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</row>
    <row r="2903" spans="1:59">
      <c r="A2903" s="1">
        <f>HYPERLINK("https://lsnyc.legalserver.org/matter/dynamic-profile/view/1906927","19-1906927")</f>
        <v>0</v>
      </c>
      <c r="B2903" t="s">
        <v>2313</v>
      </c>
      <c r="C2903" t="s">
        <v>7236</v>
      </c>
      <c r="D2903" t="s">
        <v>9936</v>
      </c>
      <c r="E2903" t="s">
        <v>10075</v>
      </c>
      <c r="F2903">
        <v>11106</v>
      </c>
      <c r="G2903" t="s">
        <v>10092</v>
      </c>
      <c r="H2903" t="s">
        <v>10113</v>
      </c>
      <c r="I2903" t="s">
        <v>10168</v>
      </c>
      <c r="J2903" t="s">
        <v>10212</v>
      </c>
      <c r="K2903" t="s">
        <v>10217</v>
      </c>
      <c r="M2903" t="s">
        <v>10491</v>
      </c>
      <c r="N2903" t="s">
        <v>10695</v>
      </c>
      <c r="P2903" t="s">
        <v>10749</v>
      </c>
      <c r="Q2903" t="s">
        <v>10767</v>
      </c>
      <c r="R2903" t="s">
        <v>10824</v>
      </c>
      <c r="T2903">
        <v>2379</v>
      </c>
      <c r="U2903">
        <v>198.25</v>
      </c>
      <c r="V2903">
        <v>39</v>
      </c>
      <c r="W2903">
        <v>1</v>
      </c>
      <c r="X2903">
        <v>3</v>
      </c>
      <c r="Z2903">
        <v>9.24</v>
      </c>
      <c r="AA2903">
        <v>40.763312</v>
      </c>
      <c r="AB2903">
        <v>-73.937248</v>
      </c>
      <c r="AD2903" t="s">
        <v>10839</v>
      </c>
      <c r="AG2903" t="s">
        <v>10858</v>
      </c>
      <c r="AH2903" t="s">
        <v>10862</v>
      </c>
      <c r="AI2903">
        <v>237</v>
      </c>
      <c r="AJ2903" t="s">
        <v>10212</v>
      </c>
      <c r="AL2903">
        <v>0.4</v>
      </c>
      <c r="AM2903" t="s">
        <v>10891</v>
      </c>
      <c r="AN2903" t="s">
        <v>10961</v>
      </c>
      <c r="AO2903" t="s">
        <v>11003</v>
      </c>
      <c r="AP2903" t="s">
        <v>11047</v>
      </c>
      <c r="AR2903" t="s">
        <v>11306</v>
      </c>
      <c r="AS2903" t="s">
        <v>11594</v>
      </c>
      <c r="AX2903" t="s">
        <v>10838</v>
      </c>
      <c r="BA2903" t="s">
        <v>11742</v>
      </c>
      <c r="BB2903">
        <v>0</v>
      </c>
      <c r="BC2903">
        <v>0</v>
      </c>
      <c r="BD2903">
        <v>0</v>
      </c>
      <c r="BE2903">
        <v>0</v>
      </c>
      <c r="BF2903">
        <v>7</v>
      </c>
      <c r="BG2903">
        <v>0</v>
      </c>
    </row>
    <row r="2904" spans="1:59">
      <c r="A2904" s="1">
        <f>HYPERLINK("https://lsnyc.legalserver.org/matter/dynamic-profile/view/1906928","19-1906928")</f>
        <v>0</v>
      </c>
      <c r="B2904" t="s">
        <v>2459</v>
      </c>
      <c r="C2904" t="s">
        <v>6999</v>
      </c>
      <c r="D2904" t="s">
        <v>9926</v>
      </c>
      <c r="E2904" t="s">
        <v>10075</v>
      </c>
      <c r="F2904">
        <v>10452</v>
      </c>
      <c r="G2904" t="s">
        <v>10090</v>
      </c>
      <c r="H2904" t="s">
        <v>10113</v>
      </c>
      <c r="I2904" t="s">
        <v>10169</v>
      </c>
      <c r="J2904" t="s">
        <v>10210</v>
      </c>
      <c r="K2904" t="s">
        <v>10217</v>
      </c>
      <c r="M2904" t="s">
        <v>10579</v>
      </c>
      <c r="N2904" t="s">
        <v>10650</v>
      </c>
      <c r="P2904" t="s">
        <v>10749</v>
      </c>
      <c r="Q2904" t="s">
        <v>10765</v>
      </c>
      <c r="R2904" t="s">
        <v>10821</v>
      </c>
      <c r="T2904">
        <v>9660</v>
      </c>
      <c r="U2904">
        <v>805</v>
      </c>
      <c r="V2904">
        <v>62</v>
      </c>
      <c r="W2904">
        <v>1</v>
      </c>
      <c r="X2904">
        <v>0</v>
      </c>
      <c r="Z2904">
        <v>77.34</v>
      </c>
      <c r="AA2904">
        <v>40.828115</v>
      </c>
      <c r="AB2904">
        <v>-73.923996</v>
      </c>
      <c r="AD2904" t="s">
        <v>10839</v>
      </c>
      <c r="AG2904" t="s">
        <v>10858</v>
      </c>
      <c r="AH2904" t="s">
        <v>10862</v>
      </c>
      <c r="AI2904">
        <v>230</v>
      </c>
      <c r="AJ2904" t="s">
        <v>10210</v>
      </c>
      <c r="AL2904">
        <v>0</v>
      </c>
      <c r="AM2904" t="s">
        <v>10884</v>
      </c>
      <c r="AN2904" t="s">
        <v>10924</v>
      </c>
      <c r="AO2904" t="s">
        <v>11013</v>
      </c>
      <c r="AP2904" t="s">
        <v>11066</v>
      </c>
      <c r="AR2904" t="s">
        <v>11268</v>
      </c>
      <c r="AS2904" t="s">
        <v>9926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</row>
    <row r="2905" spans="1:59">
      <c r="A2905" s="1">
        <f>HYPERLINK("https://lsnyc.legalserver.org/matter/dynamic-profile/view/1906931","19-1906931")</f>
        <v>0</v>
      </c>
      <c r="B2905" t="s">
        <v>2460</v>
      </c>
      <c r="C2905" t="s">
        <v>7237</v>
      </c>
      <c r="D2905" t="s">
        <v>9951</v>
      </c>
      <c r="E2905" t="s">
        <v>10075</v>
      </c>
      <c r="F2905">
        <v>11416</v>
      </c>
      <c r="G2905" t="s">
        <v>10092</v>
      </c>
      <c r="H2905" t="s">
        <v>10113</v>
      </c>
      <c r="I2905" t="s">
        <v>10168</v>
      </c>
      <c r="J2905" t="s">
        <v>10212</v>
      </c>
      <c r="K2905" t="s">
        <v>10218</v>
      </c>
      <c r="L2905" t="s">
        <v>10138</v>
      </c>
      <c r="M2905" t="s">
        <v>10360</v>
      </c>
      <c r="N2905" t="s">
        <v>10695</v>
      </c>
      <c r="P2905" t="s">
        <v>10749</v>
      </c>
      <c r="Q2905" t="s">
        <v>10765</v>
      </c>
      <c r="R2905" t="s">
        <v>10821</v>
      </c>
      <c r="T2905">
        <v>6888</v>
      </c>
      <c r="U2905">
        <v>574</v>
      </c>
      <c r="V2905">
        <v>46</v>
      </c>
      <c r="W2905">
        <v>1</v>
      </c>
      <c r="X2905">
        <v>1</v>
      </c>
      <c r="Y2905" t="s">
        <v>10829</v>
      </c>
      <c r="Z2905">
        <v>40.73</v>
      </c>
      <c r="AA2905">
        <v>40.690665</v>
      </c>
      <c r="AB2905">
        <v>-73.83879399999999</v>
      </c>
      <c r="AD2905" t="s">
        <v>10839</v>
      </c>
      <c r="AG2905" t="s">
        <v>10858</v>
      </c>
      <c r="AH2905" t="s">
        <v>10862</v>
      </c>
      <c r="AI2905">
        <v>237</v>
      </c>
      <c r="AJ2905" t="s">
        <v>10212</v>
      </c>
      <c r="AK2905" t="s">
        <v>10838</v>
      </c>
      <c r="AL2905">
        <v>1.65</v>
      </c>
      <c r="AM2905" t="s">
        <v>10892</v>
      </c>
      <c r="AN2905" t="s">
        <v>10945</v>
      </c>
      <c r="AO2905" t="s">
        <v>11017</v>
      </c>
      <c r="AP2905" t="s">
        <v>11070</v>
      </c>
      <c r="AR2905" t="s">
        <v>11306</v>
      </c>
      <c r="AS2905" t="s">
        <v>11594</v>
      </c>
      <c r="AX2905" t="s">
        <v>10838</v>
      </c>
      <c r="AY2905" t="s">
        <v>10829</v>
      </c>
      <c r="AZ2905" t="s">
        <v>11681</v>
      </c>
      <c r="BA2905" t="s">
        <v>11741</v>
      </c>
      <c r="BB2905">
        <v>0</v>
      </c>
      <c r="BC2905">
        <v>0</v>
      </c>
      <c r="BD2905">
        <v>0</v>
      </c>
      <c r="BE2905">
        <v>0</v>
      </c>
      <c r="BF2905">
        <v>1</v>
      </c>
      <c r="BG2905">
        <v>0</v>
      </c>
    </row>
    <row r="2906" spans="1:59">
      <c r="A2906" s="1">
        <f>HYPERLINK("https://lsnyc.legalserver.org/matter/dynamic-profile/view/1906932","19-1906932")</f>
        <v>0</v>
      </c>
      <c r="B2906" t="s">
        <v>2461</v>
      </c>
      <c r="C2906" t="s">
        <v>7238</v>
      </c>
      <c r="D2906" t="s">
        <v>9925</v>
      </c>
      <c r="E2906" t="s">
        <v>10075</v>
      </c>
      <c r="F2906">
        <v>10029</v>
      </c>
      <c r="G2906" t="s">
        <v>10089</v>
      </c>
      <c r="H2906" t="s">
        <v>10113</v>
      </c>
      <c r="I2906" t="s">
        <v>10181</v>
      </c>
      <c r="J2906" t="s">
        <v>10209</v>
      </c>
      <c r="K2906" t="s">
        <v>10217</v>
      </c>
      <c r="M2906" t="s">
        <v>10433</v>
      </c>
      <c r="N2906" t="s">
        <v>10703</v>
      </c>
      <c r="P2906" t="s">
        <v>10749</v>
      </c>
      <c r="Q2906" t="s">
        <v>10765</v>
      </c>
      <c r="R2906" t="s">
        <v>10827</v>
      </c>
      <c r="T2906">
        <v>4008</v>
      </c>
      <c r="U2906">
        <v>334</v>
      </c>
      <c r="V2906">
        <v>55</v>
      </c>
      <c r="W2906">
        <v>1</v>
      </c>
      <c r="X2906">
        <v>0</v>
      </c>
      <c r="Z2906">
        <v>32.09</v>
      </c>
      <c r="AA2906">
        <v>40.791362</v>
      </c>
      <c r="AB2906">
        <v>-73.942087</v>
      </c>
      <c r="AD2906" t="s">
        <v>10840</v>
      </c>
      <c r="AF2906" t="s">
        <v>10843</v>
      </c>
      <c r="AG2906" t="s">
        <v>10859</v>
      </c>
      <c r="AH2906" t="s">
        <v>10862</v>
      </c>
      <c r="AI2906">
        <v>236</v>
      </c>
      <c r="AJ2906" t="s">
        <v>10209</v>
      </c>
      <c r="AL2906">
        <v>11.2</v>
      </c>
      <c r="AM2906" t="s">
        <v>10887</v>
      </c>
      <c r="AN2906" t="s">
        <v>10926</v>
      </c>
      <c r="AO2906" t="s">
        <v>11013</v>
      </c>
      <c r="AP2906" t="s">
        <v>11066</v>
      </c>
      <c r="AR2906" t="s">
        <v>11298</v>
      </c>
      <c r="AS2906" t="s">
        <v>9925</v>
      </c>
      <c r="BA2906" t="s">
        <v>11738</v>
      </c>
      <c r="BB2906">
        <v>0</v>
      </c>
      <c r="BC2906">
        <v>0</v>
      </c>
      <c r="BD2906">
        <v>0</v>
      </c>
      <c r="BE2906">
        <v>0</v>
      </c>
      <c r="BF2906">
        <v>5</v>
      </c>
      <c r="BG2906">
        <v>0</v>
      </c>
    </row>
    <row r="2907" spans="1:59">
      <c r="A2907" s="1">
        <f>HYPERLINK("https://lsnyc.legalserver.org/matter/dynamic-profile/view/1906933","19-1906933")</f>
        <v>0</v>
      </c>
      <c r="B2907" t="s">
        <v>1706</v>
      </c>
      <c r="C2907" t="s">
        <v>6505</v>
      </c>
      <c r="D2907" t="s">
        <v>9926</v>
      </c>
      <c r="E2907" t="s">
        <v>10075</v>
      </c>
      <c r="F2907">
        <v>10459</v>
      </c>
      <c r="G2907" t="s">
        <v>10090</v>
      </c>
      <c r="H2907" t="s">
        <v>10147</v>
      </c>
      <c r="I2907" t="s">
        <v>10168</v>
      </c>
      <c r="J2907" t="s">
        <v>10210</v>
      </c>
      <c r="K2907" t="s">
        <v>10217</v>
      </c>
      <c r="M2907" t="s">
        <v>10367</v>
      </c>
      <c r="N2907" t="s">
        <v>10671</v>
      </c>
      <c r="P2907" t="s">
        <v>10751</v>
      </c>
      <c r="Q2907" t="s">
        <v>10761</v>
      </c>
      <c r="R2907" t="s">
        <v>10820</v>
      </c>
      <c r="T2907">
        <v>4848</v>
      </c>
      <c r="U2907">
        <v>404</v>
      </c>
      <c r="V2907">
        <v>32</v>
      </c>
      <c r="W2907">
        <v>1</v>
      </c>
      <c r="X2907">
        <v>1</v>
      </c>
      <c r="Z2907">
        <v>28.67</v>
      </c>
      <c r="AA2907">
        <v>40.820368</v>
      </c>
      <c r="AB2907">
        <v>-73.899748</v>
      </c>
      <c r="AD2907" t="s">
        <v>10839</v>
      </c>
      <c r="AG2907" t="s">
        <v>10858</v>
      </c>
      <c r="AH2907" t="s">
        <v>10862</v>
      </c>
      <c r="AI2907">
        <v>230</v>
      </c>
      <c r="AJ2907" t="s">
        <v>10210</v>
      </c>
      <c r="AL2907">
        <v>0</v>
      </c>
      <c r="AM2907" t="s">
        <v>10884</v>
      </c>
      <c r="AN2907" t="s">
        <v>10968</v>
      </c>
      <c r="AO2907" t="s">
        <v>11001</v>
      </c>
      <c r="AP2907" t="s">
        <v>11062</v>
      </c>
      <c r="AR2907" t="s">
        <v>11263</v>
      </c>
      <c r="AS2907" t="s">
        <v>9926</v>
      </c>
      <c r="AT2907" t="s">
        <v>11641</v>
      </c>
      <c r="AX2907" t="s">
        <v>10838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</row>
    <row r="2908" spans="1:59">
      <c r="A2908" s="1">
        <f>HYPERLINK("https://lsnyc.legalserver.org/matter/dynamic-profile/view/1906934","19-1906934")</f>
        <v>0</v>
      </c>
      <c r="B2908" t="s">
        <v>2462</v>
      </c>
      <c r="C2908" t="s">
        <v>7239</v>
      </c>
      <c r="D2908" t="s">
        <v>9954</v>
      </c>
      <c r="E2908" t="s">
        <v>10075</v>
      </c>
      <c r="F2908">
        <v>11372</v>
      </c>
      <c r="G2908" t="s">
        <v>10091</v>
      </c>
      <c r="H2908" t="s">
        <v>10113</v>
      </c>
      <c r="I2908" t="s">
        <v>10169</v>
      </c>
      <c r="J2908" t="s">
        <v>10211</v>
      </c>
      <c r="K2908" t="s">
        <v>10217</v>
      </c>
      <c r="M2908" t="s">
        <v>10307</v>
      </c>
      <c r="N2908" t="s">
        <v>10671</v>
      </c>
      <c r="P2908" t="s">
        <v>10752</v>
      </c>
      <c r="Q2908" t="s">
        <v>10762</v>
      </c>
      <c r="R2908" t="s">
        <v>10821</v>
      </c>
      <c r="T2908">
        <v>23400</v>
      </c>
      <c r="U2908">
        <v>1950</v>
      </c>
      <c r="V2908">
        <v>51</v>
      </c>
      <c r="W2908">
        <v>1</v>
      </c>
      <c r="X2908">
        <v>0</v>
      </c>
      <c r="Z2908">
        <v>187.35</v>
      </c>
      <c r="AA2908">
        <v>40.750467</v>
      </c>
      <c r="AB2908">
        <v>-73.879229</v>
      </c>
      <c r="AD2908" t="s">
        <v>10840</v>
      </c>
      <c r="AG2908" t="s">
        <v>10858</v>
      </c>
      <c r="AH2908" t="s">
        <v>10871</v>
      </c>
      <c r="AI2908">
        <v>234</v>
      </c>
      <c r="AJ2908" t="s">
        <v>10214</v>
      </c>
      <c r="AL2908">
        <v>1</v>
      </c>
      <c r="AM2908" t="s">
        <v>10885</v>
      </c>
      <c r="AN2908" t="s">
        <v>10909</v>
      </c>
      <c r="AO2908" t="s">
        <v>11014</v>
      </c>
      <c r="AP2908" t="s">
        <v>11053</v>
      </c>
      <c r="AR2908" t="s">
        <v>11257</v>
      </c>
      <c r="AS2908" t="s">
        <v>11594</v>
      </c>
      <c r="AT2908" t="s">
        <v>11642</v>
      </c>
      <c r="AX2908" t="s">
        <v>10838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</row>
    <row r="2909" spans="1:59">
      <c r="A2909" s="1">
        <f>HYPERLINK("https://lsnyc.legalserver.org/matter/dynamic-profile/view/1906935","19-1906935")</f>
        <v>0</v>
      </c>
      <c r="B2909" t="s">
        <v>2463</v>
      </c>
      <c r="C2909" t="s">
        <v>7240</v>
      </c>
      <c r="D2909" t="s">
        <v>9926</v>
      </c>
      <c r="E2909" t="s">
        <v>10075</v>
      </c>
      <c r="F2909">
        <v>10469</v>
      </c>
      <c r="G2909" t="s">
        <v>10090</v>
      </c>
      <c r="H2909" t="s">
        <v>10113</v>
      </c>
      <c r="I2909" t="s">
        <v>10168</v>
      </c>
      <c r="J2909" t="s">
        <v>10210</v>
      </c>
      <c r="K2909" t="s">
        <v>10217</v>
      </c>
      <c r="M2909" t="s">
        <v>10495</v>
      </c>
      <c r="N2909" t="s">
        <v>10658</v>
      </c>
      <c r="P2909" t="s">
        <v>10749</v>
      </c>
      <c r="Q2909" t="s">
        <v>10769</v>
      </c>
      <c r="R2909" t="s">
        <v>10824</v>
      </c>
      <c r="T2909">
        <v>104000</v>
      </c>
      <c r="U2909">
        <v>8666.67</v>
      </c>
      <c r="V2909">
        <v>48</v>
      </c>
      <c r="W2909">
        <v>3</v>
      </c>
      <c r="X2909">
        <v>0</v>
      </c>
      <c r="Z2909">
        <v>487.58</v>
      </c>
      <c r="AA2909">
        <v>40.874155</v>
      </c>
      <c r="AB2909">
        <v>-73.85066999999999</v>
      </c>
      <c r="AD2909" t="s">
        <v>10839</v>
      </c>
      <c r="AG2909" t="s">
        <v>10858</v>
      </c>
      <c r="AH2909" t="s">
        <v>10860</v>
      </c>
      <c r="AI2909">
        <v>230</v>
      </c>
      <c r="AJ2909" t="s">
        <v>10210</v>
      </c>
      <c r="AL2909">
        <v>3.5</v>
      </c>
      <c r="AM2909" t="s">
        <v>10893</v>
      </c>
      <c r="AN2909" t="s">
        <v>10956</v>
      </c>
      <c r="AO2909" t="s">
        <v>11010</v>
      </c>
      <c r="AP2909" t="s">
        <v>11085</v>
      </c>
      <c r="AQ2909" t="s">
        <v>11223</v>
      </c>
      <c r="AR2909" t="s">
        <v>11257</v>
      </c>
      <c r="AS2909" t="s">
        <v>9926</v>
      </c>
      <c r="AT2909" t="s">
        <v>11641</v>
      </c>
      <c r="AX2909" t="s">
        <v>10838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</row>
    <row r="2910" spans="1:59">
      <c r="A2910" s="1">
        <f>HYPERLINK("https://lsnyc.legalserver.org/matter/dynamic-profile/view/1906936","19-1906936")</f>
        <v>0</v>
      </c>
      <c r="B2910" t="s">
        <v>2464</v>
      </c>
      <c r="C2910" t="s">
        <v>7241</v>
      </c>
      <c r="D2910" t="s">
        <v>9926</v>
      </c>
      <c r="E2910" t="s">
        <v>10075</v>
      </c>
      <c r="F2910">
        <v>10451</v>
      </c>
      <c r="G2910" t="s">
        <v>10090</v>
      </c>
      <c r="H2910" t="s">
        <v>10113</v>
      </c>
      <c r="I2910" t="s">
        <v>10168</v>
      </c>
      <c r="J2910" t="s">
        <v>10210</v>
      </c>
      <c r="K2910" t="s">
        <v>10217</v>
      </c>
      <c r="M2910" t="s">
        <v>10372</v>
      </c>
      <c r="N2910" t="s">
        <v>10671</v>
      </c>
      <c r="P2910" t="s">
        <v>10750</v>
      </c>
      <c r="Q2910" t="s">
        <v>10778</v>
      </c>
      <c r="R2910" t="s">
        <v>10824</v>
      </c>
      <c r="T2910">
        <v>12540</v>
      </c>
      <c r="U2910">
        <v>1045</v>
      </c>
      <c r="V2910">
        <v>87</v>
      </c>
      <c r="W2910">
        <v>1</v>
      </c>
      <c r="X2910">
        <v>0</v>
      </c>
      <c r="Z2910">
        <v>100.4</v>
      </c>
      <c r="AA2910">
        <v>40.826306</v>
      </c>
      <c r="AB2910">
        <v>-73.915637</v>
      </c>
      <c r="AD2910" t="s">
        <v>10839</v>
      </c>
      <c r="AG2910" t="s">
        <v>10858</v>
      </c>
      <c r="AH2910" t="s">
        <v>10871</v>
      </c>
      <c r="AI2910">
        <v>234</v>
      </c>
      <c r="AJ2910" t="s">
        <v>10214</v>
      </c>
      <c r="AL2910">
        <v>0.85</v>
      </c>
      <c r="AM2910" t="s">
        <v>10884</v>
      </c>
      <c r="AN2910" t="s">
        <v>10918</v>
      </c>
      <c r="AO2910" t="s">
        <v>11001</v>
      </c>
      <c r="AP2910" t="s">
        <v>11062</v>
      </c>
      <c r="AR2910" t="s">
        <v>11316</v>
      </c>
      <c r="AS2910" t="s">
        <v>9926</v>
      </c>
      <c r="AT2910" t="s">
        <v>11641</v>
      </c>
      <c r="AX2910" t="s">
        <v>10838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</row>
    <row r="2911" spans="1:59">
      <c r="A2911" s="1">
        <f>HYPERLINK("https://lsnyc.legalserver.org/matter/dynamic-profile/view/1906937","19-1906937")</f>
        <v>0</v>
      </c>
      <c r="B2911" t="s">
        <v>2465</v>
      </c>
      <c r="C2911" t="s">
        <v>7242</v>
      </c>
      <c r="D2911" t="s">
        <v>10016</v>
      </c>
      <c r="E2911" t="s">
        <v>10075</v>
      </c>
      <c r="F2911">
        <v>11213</v>
      </c>
      <c r="G2911" t="s">
        <v>10093</v>
      </c>
      <c r="H2911" t="s">
        <v>10113</v>
      </c>
      <c r="I2911" t="s">
        <v>10168</v>
      </c>
      <c r="J2911" t="s">
        <v>10213</v>
      </c>
      <c r="K2911" t="s">
        <v>10218</v>
      </c>
      <c r="L2911" t="s">
        <v>10166</v>
      </c>
      <c r="M2911" t="s">
        <v>10317</v>
      </c>
      <c r="N2911" t="s">
        <v>10671</v>
      </c>
      <c r="P2911" t="s">
        <v>10751</v>
      </c>
      <c r="Q2911" t="s">
        <v>10776</v>
      </c>
      <c r="R2911" t="s">
        <v>10824</v>
      </c>
      <c r="T2911">
        <v>15236</v>
      </c>
      <c r="U2911">
        <v>1269.67</v>
      </c>
      <c r="V2911">
        <v>27</v>
      </c>
      <c r="W2911">
        <v>1</v>
      </c>
      <c r="X2911">
        <v>1</v>
      </c>
      <c r="Y2911" t="s">
        <v>10829</v>
      </c>
      <c r="Z2911">
        <v>90.09999999999999</v>
      </c>
      <c r="AA2911">
        <v>40.66833</v>
      </c>
      <c r="AB2911">
        <v>-73.933089</v>
      </c>
      <c r="AD2911" t="s">
        <v>10839</v>
      </c>
      <c r="AG2911" t="s">
        <v>10858</v>
      </c>
      <c r="AH2911" t="s">
        <v>10874</v>
      </c>
      <c r="AI2911">
        <v>234</v>
      </c>
      <c r="AJ2911" t="s">
        <v>10214</v>
      </c>
      <c r="AK2911" t="s">
        <v>10882</v>
      </c>
      <c r="AL2911">
        <v>5.6</v>
      </c>
      <c r="AM2911" t="s">
        <v>10888</v>
      </c>
      <c r="AN2911" t="s">
        <v>10912</v>
      </c>
      <c r="AO2911" t="s">
        <v>11005</v>
      </c>
      <c r="AP2911" t="s">
        <v>11061</v>
      </c>
      <c r="AR2911" t="s">
        <v>11262</v>
      </c>
      <c r="AS2911" t="s">
        <v>11595</v>
      </c>
      <c r="AT2911" t="s">
        <v>11641</v>
      </c>
      <c r="AX2911" t="s">
        <v>10838</v>
      </c>
      <c r="AY2911" t="s">
        <v>10829</v>
      </c>
      <c r="AZ2911" t="s">
        <v>11682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</row>
    <row r="2912" spans="1:59">
      <c r="A2912" s="1">
        <f>HYPERLINK("https://lsnyc.legalserver.org/matter/dynamic-profile/view/1906938","19-1906938")</f>
        <v>0</v>
      </c>
      <c r="B2912" t="s">
        <v>2466</v>
      </c>
      <c r="C2912" t="s">
        <v>7243</v>
      </c>
      <c r="D2912" t="s">
        <v>9938</v>
      </c>
      <c r="E2912" t="s">
        <v>10075</v>
      </c>
      <c r="F2912">
        <v>11345</v>
      </c>
      <c r="G2912" t="s">
        <v>10092</v>
      </c>
      <c r="H2912" t="s">
        <v>10113</v>
      </c>
      <c r="I2912" t="s">
        <v>10169</v>
      </c>
      <c r="J2912" t="s">
        <v>10212</v>
      </c>
      <c r="K2912" t="s">
        <v>10217</v>
      </c>
      <c r="M2912" t="s">
        <v>10486</v>
      </c>
      <c r="N2912" t="s">
        <v>10673</v>
      </c>
      <c r="P2912" t="s">
        <v>10753</v>
      </c>
      <c r="Q2912" t="s">
        <v>10763</v>
      </c>
      <c r="R2912" t="s">
        <v>10823</v>
      </c>
      <c r="T2912">
        <v>15600</v>
      </c>
      <c r="U2912">
        <v>1300</v>
      </c>
      <c r="V2912">
        <v>46</v>
      </c>
      <c r="W2912">
        <v>2</v>
      </c>
      <c r="X2912">
        <v>0</v>
      </c>
      <c r="Z2912">
        <v>92.25</v>
      </c>
      <c r="AA2912">
        <v>40.74318</v>
      </c>
      <c r="AB2912">
        <v>-73.921537</v>
      </c>
      <c r="AD2912" t="s">
        <v>10840</v>
      </c>
      <c r="AF2912" t="s">
        <v>10844</v>
      </c>
      <c r="AG2912" t="s">
        <v>10859</v>
      </c>
      <c r="AH2912" t="s">
        <v>10864</v>
      </c>
      <c r="AI2912">
        <v>237</v>
      </c>
      <c r="AJ2912" t="s">
        <v>10212</v>
      </c>
      <c r="AL2912">
        <v>3.17</v>
      </c>
      <c r="AQ2912" t="s">
        <v>11096</v>
      </c>
      <c r="AR2912" t="s">
        <v>11257</v>
      </c>
      <c r="AS2912" t="s">
        <v>11594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</row>
    <row r="2913" spans="1:59">
      <c r="A2913" s="1">
        <f>HYPERLINK("https://lsnyc.legalserver.org/matter/dynamic-profile/view/1906939","19-1906939")</f>
        <v>0</v>
      </c>
      <c r="B2913" t="s">
        <v>2467</v>
      </c>
      <c r="C2913" t="s">
        <v>7244</v>
      </c>
      <c r="D2913" t="s">
        <v>9925</v>
      </c>
      <c r="E2913" t="s">
        <v>10075</v>
      </c>
      <c r="F2913">
        <v>10002</v>
      </c>
      <c r="G2913" t="s">
        <v>10089</v>
      </c>
      <c r="H2913" t="s">
        <v>10113</v>
      </c>
      <c r="I2913" t="s">
        <v>10169</v>
      </c>
      <c r="J2913" t="s">
        <v>10209</v>
      </c>
      <c r="K2913" t="s">
        <v>10218</v>
      </c>
      <c r="L2913" t="s">
        <v>10108</v>
      </c>
      <c r="M2913" t="s">
        <v>10488</v>
      </c>
      <c r="N2913" t="s">
        <v>10649</v>
      </c>
      <c r="P2913" t="s">
        <v>10753</v>
      </c>
      <c r="Q2913" t="s">
        <v>10763</v>
      </c>
      <c r="R2913" t="s">
        <v>10821</v>
      </c>
      <c r="T2913">
        <v>10400</v>
      </c>
      <c r="U2913">
        <v>866.67</v>
      </c>
      <c r="V2913">
        <v>34</v>
      </c>
      <c r="W2913">
        <v>1</v>
      </c>
      <c r="X2913">
        <v>1</v>
      </c>
      <c r="Y2913" t="s">
        <v>10829</v>
      </c>
      <c r="Z2913">
        <v>61.5</v>
      </c>
      <c r="AA2913">
        <v>40.71233</v>
      </c>
      <c r="AB2913">
        <v>-73.982885</v>
      </c>
      <c r="AD2913" t="s">
        <v>10839</v>
      </c>
      <c r="AF2913" t="s">
        <v>10843</v>
      </c>
      <c r="AG2913" t="s">
        <v>10859</v>
      </c>
      <c r="AH2913" t="s">
        <v>10864</v>
      </c>
      <c r="AI2913">
        <v>236</v>
      </c>
      <c r="AJ2913" t="s">
        <v>10209</v>
      </c>
      <c r="AK2913" t="s">
        <v>10838</v>
      </c>
      <c r="AL2913">
        <v>1</v>
      </c>
      <c r="AM2913" t="s">
        <v>10886</v>
      </c>
      <c r="AN2913" t="s">
        <v>10963</v>
      </c>
      <c r="AO2913" t="s">
        <v>11004</v>
      </c>
      <c r="AP2913" t="s">
        <v>11048</v>
      </c>
      <c r="AQ2913" t="s">
        <v>11097</v>
      </c>
      <c r="AR2913" t="s">
        <v>11257</v>
      </c>
      <c r="AS2913" t="s">
        <v>9925</v>
      </c>
      <c r="AY2913" t="s">
        <v>10829</v>
      </c>
      <c r="AZ2913" t="s">
        <v>11709</v>
      </c>
      <c r="BA2913" t="s">
        <v>11741</v>
      </c>
      <c r="BB2913">
        <v>0</v>
      </c>
      <c r="BC2913">
        <v>0</v>
      </c>
      <c r="BD2913">
        <v>0</v>
      </c>
      <c r="BE2913">
        <v>0</v>
      </c>
      <c r="BF2913">
        <v>1</v>
      </c>
      <c r="BG2913">
        <v>0</v>
      </c>
    </row>
    <row r="2914" spans="1:59">
      <c r="A2914" s="1">
        <f>HYPERLINK("https://lsnyc.legalserver.org/matter/dynamic-profile/view/1906940","19-1906940")</f>
        <v>0</v>
      </c>
      <c r="B2914" t="s">
        <v>2468</v>
      </c>
      <c r="C2914" t="s">
        <v>7245</v>
      </c>
      <c r="D2914" t="s">
        <v>9925</v>
      </c>
      <c r="E2914" t="s">
        <v>10075</v>
      </c>
      <c r="F2914">
        <v>10032</v>
      </c>
      <c r="G2914" t="s">
        <v>10089</v>
      </c>
      <c r="H2914" t="s">
        <v>10113</v>
      </c>
      <c r="I2914" t="s">
        <v>10168</v>
      </c>
      <c r="J2914" t="s">
        <v>10209</v>
      </c>
      <c r="K2914" t="s">
        <v>10217</v>
      </c>
      <c r="M2914" t="s">
        <v>10301</v>
      </c>
      <c r="N2914" t="s">
        <v>10665</v>
      </c>
      <c r="P2914" t="s">
        <v>10751</v>
      </c>
      <c r="Q2914" t="s">
        <v>10773</v>
      </c>
      <c r="R2914" t="s">
        <v>10824</v>
      </c>
      <c r="T2914">
        <v>0</v>
      </c>
      <c r="U2914">
        <v>0</v>
      </c>
      <c r="V2914">
        <v>60</v>
      </c>
      <c r="W2914">
        <v>2</v>
      </c>
      <c r="X2914">
        <v>0</v>
      </c>
      <c r="Z2914">
        <v>0</v>
      </c>
      <c r="AA2914">
        <v>40.835456</v>
      </c>
      <c r="AB2914">
        <v>-73.947909</v>
      </c>
      <c r="AD2914" t="s">
        <v>10839</v>
      </c>
      <c r="AG2914" t="s">
        <v>10858</v>
      </c>
      <c r="AH2914" t="s">
        <v>10861</v>
      </c>
      <c r="AI2914">
        <v>234</v>
      </c>
      <c r="AJ2914" t="s">
        <v>10214</v>
      </c>
      <c r="AL2914">
        <v>8.25</v>
      </c>
      <c r="AM2914" t="s">
        <v>10887</v>
      </c>
      <c r="AN2914" t="s">
        <v>10943</v>
      </c>
      <c r="AO2914" t="s">
        <v>11019</v>
      </c>
      <c r="AP2914" t="s">
        <v>11073</v>
      </c>
      <c r="AQ2914" t="s">
        <v>11115</v>
      </c>
      <c r="AR2914" t="s">
        <v>11267</v>
      </c>
      <c r="AS2914" t="s">
        <v>9925</v>
      </c>
      <c r="AT2914" t="s">
        <v>11641</v>
      </c>
      <c r="AX2914" t="s">
        <v>10838</v>
      </c>
      <c r="BA2914" t="s">
        <v>11741</v>
      </c>
      <c r="BB2914">
        <v>0</v>
      </c>
      <c r="BC2914">
        <v>0</v>
      </c>
      <c r="BD2914">
        <v>0</v>
      </c>
      <c r="BE2914">
        <v>0</v>
      </c>
      <c r="BF2914">
        <v>1</v>
      </c>
      <c r="BG2914">
        <v>0</v>
      </c>
    </row>
    <row r="2915" spans="1:59">
      <c r="A2915" s="1">
        <f>HYPERLINK("https://lsnyc.legalserver.org/matter/dynamic-profile/view/1906941","19-1906941")</f>
        <v>0</v>
      </c>
      <c r="B2915" t="s">
        <v>2469</v>
      </c>
      <c r="C2915" t="s">
        <v>6999</v>
      </c>
      <c r="D2915" t="s">
        <v>9926</v>
      </c>
      <c r="E2915" t="s">
        <v>10075</v>
      </c>
      <c r="F2915">
        <v>10452</v>
      </c>
      <c r="G2915" t="s">
        <v>10090</v>
      </c>
      <c r="H2915" t="s">
        <v>10113</v>
      </c>
      <c r="I2915" t="s">
        <v>10169</v>
      </c>
      <c r="J2915" t="s">
        <v>10210</v>
      </c>
      <c r="K2915" t="s">
        <v>10217</v>
      </c>
      <c r="M2915" t="s">
        <v>10579</v>
      </c>
      <c r="N2915" t="s">
        <v>10650</v>
      </c>
      <c r="P2915" t="s">
        <v>10749</v>
      </c>
      <c r="Q2915" t="s">
        <v>10765</v>
      </c>
      <c r="R2915" t="s">
        <v>10821</v>
      </c>
      <c r="T2915">
        <v>9108</v>
      </c>
      <c r="U2915">
        <v>759</v>
      </c>
      <c r="V2915">
        <v>73</v>
      </c>
      <c r="W2915">
        <v>1</v>
      </c>
      <c r="X2915">
        <v>0</v>
      </c>
      <c r="Z2915">
        <v>72.92</v>
      </c>
      <c r="AA2915">
        <v>40.828115</v>
      </c>
      <c r="AB2915">
        <v>-73.923996</v>
      </c>
      <c r="AD2915" t="s">
        <v>10839</v>
      </c>
      <c r="AG2915" t="s">
        <v>10858</v>
      </c>
      <c r="AH2915" t="s">
        <v>10862</v>
      </c>
      <c r="AI2915">
        <v>230</v>
      </c>
      <c r="AJ2915" t="s">
        <v>10210</v>
      </c>
      <c r="AL2915">
        <v>0.8</v>
      </c>
      <c r="AM2915" t="s">
        <v>10884</v>
      </c>
      <c r="AN2915" t="s">
        <v>10924</v>
      </c>
      <c r="AO2915" t="s">
        <v>11013</v>
      </c>
      <c r="AP2915" t="s">
        <v>11066</v>
      </c>
      <c r="AR2915" t="s">
        <v>11274</v>
      </c>
      <c r="AS2915" t="s">
        <v>9926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</row>
    <row r="2916" spans="1:59">
      <c r="A2916" s="1">
        <f>HYPERLINK("https://lsnyc.legalserver.org/matter/dynamic-profile/view/1906942","19-1906942")</f>
        <v>0</v>
      </c>
      <c r="B2916" t="s">
        <v>2470</v>
      </c>
      <c r="C2916" t="s">
        <v>7246</v>
      </c>
      <c r="D2916" t="s">
        <v>9926</v>
      </c>
      <c r="E2916" t="s">
        <v>10075</v>
      </c>
      <c r="F2916">
        <v>10455</v>
      </c>
      <c r="G2916" t="s">
        <v>10090</v>
      </c>
      <c r="H2916" t="s">
        <v>10113</v>
      </c>
      <c r="I2916" t="s">
        <v>10168</v>
      </c>
      <c r="J2916" t="s">
        <v>10210</v>
      </c>
      <c r="K2916" t="s">
        <v>10218</v>
      </c>
      <c r="L2916" t="s">
        <v>10120</v>
      </c>
      <c r="M2916" t="s">
        <v>10281</v>
      </c>
      <c r="N2916" t="s">
        <v>10666</v>
      </c>
      <c r="P2916" t="s">
        <v>10749</v>
      </c>
      <c r="Q2916" t="s">
        <v>10765</v>
      </c>
      <c r="R2916" t="s">
        <v>10824</v>
      </c>
      <c r="T2916">
        <v>20360</v>
      </c>
      <c r="U2916">
        <v>1696.67</v>
      </c>
      <c r="V2916">
        <v>39</v>
      </c>
      <c r="W2916">
        <v>1</v>
      </c>
      <c r="X2916">
        <v>0</v>
      </c>
      <c r="Y2916" t="s">
        <v>10829</v>
      </c>
      <c r="Z2916">
        <v>163.01</v>
      </c>
      <c r="AA2916">
        <v>40.814443</v>
      </c>
      <c r="AB2916">
        <v>-73.918392</v>
      </c>
      <c r="AD2916" t="s">
        <v>10840</v>
      </c>
      <c r="AG2916" t="s">
        <v>10858</v>
      </c>
      <c r="AH2916" t="s">
        <v>10862</v>
      </c>
      <c r="AI2916">
        <v>230</v>
      </c>
      <c r="AJ2916" t="s">
        <v>10210</v>
      </c>
      <c r="AK2916" t="s">
        <v>10882</v>
      </c>
      <c r="AL2916">
        <v>2.5</v>
      </c>
      <c r="AM2916" t="s">
        <v>10884</v>
      </c>
      <c r="AN2916" t="s">
        <v>10924</v>
      </c>
      <c r="AO2916" t="s">
        <v>11013</v>
      </c>
      <c r="AP2916" t="s">
        <v>11066</v>
      </c>
      <c r="AR2916" t="s">
        <v>11281</v>
      </c>
      <c r="AS2916" t="s">
        <v>9926</v>
      </c>
      <c r="AT2916" t="s">
        <v>11642</v>
      </c>
      <c r="AX2916" t="s">
        <v>10838</v>
      </c>
      <c r="AY2916" t="s">
        <v>10829</v>
      </c>
      <c r="AZ2916" t="s">
        <v>11681</v>
      </c>
      <c r="BA2916" t="s">
        <v>11741</v>
      </c>
      <c r="BB2916">
        <v>0</v>
      </c>
      <c r="BC2916">
        <v>0</v>
      </c>
      <c r="BD2916">
        <v>0</v>
      </c>
      <c r="BE2916">
        <v>0</v>
      </c>
      <c r="BF2916">
        <v>1</v>
      </c>
      <c r="BG2916">
        <v>0</v>
      </c>
    </row>
    <row r="2917" spans="1:59">
      <c r="A2917" s="1">
        <f>HYPERLINK("https://lsnyc.legalserver.org/matter/dynamic-profile/view/1906943","19-1906943")</f>
        <v>0</v>
      </c>
      <c r="B2917" t="s">
        <v>2464</v>
      </c>
      <c r="C2917" t="s">
        <v>7241</v>
      </c>
      <c r="D2917" t="s">
        <v>9926</v>
      </c>
      <c r="E2917" t="s">
        <v>10075</v>
      </c>
      <c r="F2917">
        <v>10451</v>
      </c>
      <c r="G2917" t="s">
        <v>10093</v>
      </c>
      <c r="H2917" t="s">
        <v>10113</v>
      </c>
      <c r="I2917" t="s">
        <v>10168</v>
      </c>
      <c r="J2917" t="s">
        <v>10213</v>
      </c>
      <c r="K2917" t="s">
        <v>10217</v>
      </c>
      <c r="M2917" t="s">
        <v>10358</v>
      </c>
      <c r="N2917" t="s">
        <v>10671</v>
      </c>
      <c r="P2917" t="s">
        <v>10752</v>
      </c>
      <c r="Q2917" t="s">
        <v>10783</v>
      </c>
      <c r="R2917" t="s">
        <v>10824</v>
      </c>
      <c r="T2917">
        <v>12540</v>
      </c>
      <c r="U2917">
        <v>1045</v>
      </c>
      <c r="V2917">
        <v>87</v>
      </c>
      <c r="W2917">
        <v>1</v>
      </c>
      <c r="X2917">
        <v>0</v>
      </c>
      <c r="Z2917">
        <v>100.4</v>
      </c>
      <c r="AA2917">
        <v>40.826306</v>
      </c>
      <c r="AB2917">
        <v>-73.915637</v>
      </c>
      <c r="AD2917" t="s">
        <v>10839</v>
      </c>
      <c r="AG2917" t="s">
        <v>10858</v>
      </c>
      <c r="AH2917" t="s">
        <v>10871</v>
      </c>
      <c r="AI2917">
        <v>234</v>
      </c>
      <c r="AJ2917" t="s">
        <v>10214</v>
      </c>
      <c r="AL2917">
        <v>0.6</v>
      </c>
      <c r="AR2917" t="s">
        <v>11316</v>
      </c>
      <c r="AS2917" t="s">
        <v>9926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</row>
    <row r="2918" spans="1:59">
      <c r="A2918" s="1">
        <f>HYPERLINK("https://lsnyc.legalserver.org/matter/dynamic-profile/view/1906944","19-1906944")</f>
        <v>0</v>
      </c>
      <c r="B2918" t="s">
        <v>2471</v>
      </c>
      <c r="C2918" t="s">
        <v>7247</v>
      </c>
      <c r="D2918" t="s">
        <v>9988</v>
      </c>
      <c r="E2918" t="s">
        <v>10075</v>
      </c>
      <c r="F2918">
        <v>11693</v>
      </c>
      <c r="G2918" t="s">
        <v>10092</v>
      </c>
      <c r="H2918" t="s">
        <v>10113</v>
      </c>
      <c r="I2918" t="s">
        <v>10168</v>
      </c>
      <c r="J2918" t="s">
        <v>10212</v>
      </c>
      <c r="K2918" t="s">
        <v>10217</v>
      </c>
      <c r="M2918" t="s">
        <v>10366</v>
      </c>
      <c r="N2918" t="s">
        <v>10675</v>
      </c>
      <c r="P2918" t="s">
        <v>10749</v>
      </c>
      <c r="Q2918" t="s">
        <v>10806</v>
      </c>
      <c r="R2918" t="s">
        <v>10824</v>
      </c>
      <c r="T2918">
        <v>5832</v>
      </c>
      <c r="U2918">
        <v>486</v>
      </c>
      <c r="V2918">
        <v>43</v>
      </c>
      <c r="W2918">
        <v>1</v>
      </c>
      <c r="X2918">
        <v>0</v>
      </c>
      <c r="Z2918">
        <v>46.69</v>
      </c>
      <c r="AA2918">
        <v>40.589426</v>
      </c>
      <c r="AB2918">
        <v>-73.807076</v>
      </c>
      <c r="AC2918" t="s">
        <v>10837</v>
      </c>
      <c r="AD2918" t="s">
        <v>10840</v>
      </c>
      <c r="AG2918" t="s">
        <v>10858</v>
      </c>
      <c r="AH2918" t="s">
        <v>10867</v>
      </c>
      <c r="AI2918">
        <v>237</v>
      </c>
      <c r="AJ2918" t="s">
        <v>10212</v>
      </c>
      <c r="AL2918">
        <v>1.1</v>
      </c>
      <c r="AM2918" t="s">
        <v>10892</v>
      </c>
      <c r="AN2918" t="s">
        <v>10930</v>
      </c>
      <c r="AO2918" t="s">
        <v>11017</v>
      </c>
      <c r="AP2918" t="s">
        <v>11082</v>
      </c>
      <c r="AR2918" t="s">
        <v>10180</v>
      </c>
      <c r="AS2918" t="s">
        <v>11594</v>
      </c>
      <c r="AT2918" t="s">
        <v>11642</v>
      </c>
      <c r="AX2918" t="s">
        <v>10838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</row>
    <row r="2919" spans="1:59">
      <c r="A2919" s="1">
        <f>HYPERLINK("https://lsnyc.legalserver.org/matter/dynamic-profile/view/1906945","19-1906945")</f>
        <v>0</v>
      </c>
      <c r="B2919" t="s">
        <v>1060</v>
      </c>
      <c r="C2919" t="s">
        <v>5927</v>
      </c>
      <c r="D2919" t="s">
        <v>9926</v>
      </c>
      <c r="E2919" t="s">
        <v>10075</v>
      </c>
      <c r="F2919">
        <v>10472</v>
      </c>
      <c r="G2919" t="s">
        <v>10090</v>
      </c>
      <c r="H2919" t="s">
        <v>10113</v>
      </c>
      <c r="I2919" t="s">
        <v>10168</v>
      </c>
      <c r="J2919" t="s">
        <v>10210</v>
      </c>
      <c r="K2919" t="s">
        <v>10217</v>
      </c>
      <c r="M2919" t="s">
        <v>10401</v>
      </c>
      <c r="N2919" t="s">
        <v>10671</v>
      </c>
      <c r="P2919" t="s">
        <v>10751</v>
      </c>
      <c r="Q2919" t="s">
        <v>10761</v>
      </c>
      <c r="R2919" t="s">
        <v>10822</v>
      </c>
      <c r="T2919">
        <v>9300</v>
      </c>
      <c r="U2919">
        <v>775</v>
      </c>
      <c r="V2919">
        <v>42</v>
      </c>
      <c r="W2919">
        <v>1</v>
      </c>
      <c r="X2919">
        <v>0</v>
      </c>
      <c r="Z2919">
        <v>74.45999999999999</v>
      </c>
      <c r="AA2919">
        <v>40.824473</v>
      </c>
      <c r="AB2919">
        <v>-73.876895</v>
      </c>
      <c r="AD2919" t="s">
        <v>10839</v>
      </c>
      <c r="AG2919" t="s">
        <v>10858</v>
      </c>
      <c r="AH2919" t="s">
        <v>10861</v>
      </c>
      <c r="AI2919">
        <v>230</v>
      </c>
      <c r="AJ2919" t="s">
        <v>10210</v>
      </c>
      <c r="AL2919">
        <v>1</v>
      </c>
      <c r="AR2919" t="s">
        <v>11263</v>
      </c>
      <c r="AS2919" t="s">
        <v>9926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</row>
    <row r="2920" spans="1:59">
      <c r="A2920" s="1">
        <f>HYPERLINK("https://lsnyc.legalserver.org/matter/dynamic-profile/view/1906946","19-1906946")</f>
        <v>0</v>
      </c>
      <c r="B2920" t="s">
        <v>885</v>
      </c>
      <c r="C2920" t="s">
        <v>5640</v>
      </c>
      <c r="D2920" t="s">
        <v>9928</v>
      </c>
      <c r="E2920" t="s">
        <v>10075</v>
      </c>
      <c r="F2920">
        <v>11208</v>
      </c>
      <c r="G2920" t="s">
        <v>10093</v>
      </c>
      <c r="H2920" t="s">
        <v>10113</v>
      </c>
      <c r="I2920" t="s">
        <v>10169</v>
      </c>
      <c r="J2920" t="s">
        <v>10213</v>
      </c>
      <c r="K2920" t="s">
        <v>10217</v>
      </c>
      <c r="M2920" t="s">
        <v>10309</v>
      </c>
      <c r="N2920" t="s">
        <v>10649</v>
      </c>
      <c r="O2920" t="s">
        <v>10649</v>
      </c>
      <c r="P2920" t="s">
        <v>10753</v>
      </c>
      <c r="Q2920" t="s">
        <v>10763</v>
      </c>
      <c r="R2920" t="s">
        <v>10821</v>
      </c>
      <c r="T2920">
        <v>4200</v>
      </c>
      <c r="U2920">
        <v>350</v>
      </c>
      <c r="V2920">
        <v>33</v>
      </c>
      <c r="W2920">
        <v>1</v>
      </c>
      <c r="X2920">
        <v>0</v>
      </c>
      <c r="Z2920">
        <v>33.63</v>
      </c>
      <c r="AA2920">
        <v>40.670266</v>
      </c>
      <c r="AB2920">
        <v>-73.87960200000001</v>
      </c>
      <c r="AD2920" t="s">
        <v>10840</v>
      </c>
      <c r="AF2920" t="s">
        <v>10842</v>
      </c>
      <c r="AG2920" t="s">
        <v>10859</v>
      </c>
      <c r="AH2920" t="s">
        <v>10868</v>
      </c>
      <c r="AI2920">
        <v>239</v>
      </c>
      <c r="AJ2920" t="s">
        <v>10213</v>
      </c>
      <c r="AL2920">
        <v>0.5</v>
      </c>
      <c r="AM2920" t="s">
        <v>10889</v>
      </c>
      <c r="AN2920" t="s">
        <v>10946</v>
      </c>
      <c r="AO2920" t="s">
        <v>11011</v>
      </c>
      <c r="AP2920" t="s">
        <v>11060</v>
      </c>
      <c r="AR2920" t="s">
        <v>10180</v>
      </c>
      <c r="AS2920" t="s">
        <v>11595</v>
      </c>
      <c r="AT2920" t="s">
        <v>11642</v>
      </c>
      <c r="AX2920" t="s">
        <v>10837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</row>
    <row r="2921" spans="1:59">
      <c r="A2921" s="1">
        <f>HYPERLINK("https://lsnyc.legalserver.org/matter/dynamic-profile/view/1906947","19-1906947")</f>
        <v>0</v>
      </c>
      <c r="B2921" t="s">
        <v>2472</v>
      </c>
      <c r="C2921" t="s">
        <v>7248</v>
      </c>
      <c r="D2921" t="s">
        <v>9926</v>
      </c>
      <c r="E2921" t="s">
        <v>10075</v>
      </c>
      <c r="F2921">
        <v>10456</v>
      </c>
      <c r="G2921" t="s">
        <v>10090</v>
      </c>
      <c r="H2921" t="s">
        <v>10113</v>
      </c>
      <c r="I2921" t="s">
        <v>10168</v>
      </c>
      <c r="J2921" t="s">
        <v>10210</v>
      </c>
      <c r="K2921" t="s">
        <v>10217</v>
      </c>
      <c r="M2921" t="s">
        <v>10336</v>
      </c>
      <c r="N2921" t="s">
        <v>10671</v>
      </c>
      <c r="P2921" t="s">
        <v>10754</v>
      </c>
      <c r="Q2921" t="s">
        <v>10771</v>
      </c>
      <c r="R2921" t="s">
        <v>10824</v>
      </c>
      <c r="T2921">
        <v>1508</v>
      </c>
      <c r="U2921">
        <v>125.67</v>
      </c>
      <c r="V2921">
        <v>40</v>
      </c>
      <c r="W2921">
        <v>1</v>
      </c>
      <c r="X2921">
        <v>1</v>
      </c>
      <c r="Z2921">
        <v>8.92</v>
      </c>
      <c r="AA2921">
        <v>40.83377</v>
      </c>
      <c r="AB2921">
        <v>-73.90092199999999</v>
      </c>
      <c r="AD2921" t="s">
        <v>10839</v>
      </c>
      <c r="AG2921" t="s">
        <v>10858</v>
      </c>
      <c r="AH2921" t="s">
        <v>10871</v>
      </c>
      <c r="AI2921">
        <v>234</v>
      </c>
      <c r="AJ2921" t="s">
        <v>10214</v>
      </c>
      <c r="AL2921">
        <v>5.35</v>
      </c>
      <c r="AM2921" t="s">
        <v>10884</v>
      </c>
      <c r="AN2921" t="s">
        <v>10918</v>
      </c>
      <c r="AO2921" t="s">
        <v>11000</v>
      </c>
      <c r="AP2921" t="s">
        <v>11055</v>
      </c>
      <c r="AR2921" t="s">
        <v>11311</v>
      </c>
      <c r="AS2921" t="s">
        <v>9926</v>
      </c>
      <c r="AT2921" t="s">
        <v>11641</v>
      </c>
      <c r="AX2921" t="s">
        <v>10838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</row>
    <row r="2922" spans="1:59">
      <c r="A2922" s="1">
        <f>HYPERLINK("https://lsnyc.legalserver.org/matter/dynamic-profile/view/1906948","19-1906948")</f>
        <v>0</v>
      </c>
      <c r="B2922" t="s">
        <v>2473</v>
      </c>
      <c r="C2922" t="s">
        <v>7249</v>
      </c>
      <c r="D2922" t="s">
        <v>9928</v>
      </c>
      <c r="E2922" t="s">
        <v>10075</v>
      </c>
      <c r="F2922">
        <v>11226</v>
      </c>
      <c r="G2922" t="s">
        <v>10093</v>
      </c>
      <c r="H2922" t="s">
        <v>10113</v>
      </c>
      <c r="I2922" t="s">
        <v>10168</v>
      </c>
      <c r="J2922" t="s">
        <v>10213</v>
      </c>
      <c r="K2922" t="s">
        <v>10217</v>
      </c>
      <c r="M2922" t="s">
        <v>10304</v>
      </c>
      <c r="N2922" t="s">
        <v>10671</v>
      </c>
      <c r="P2922" t="s">
        <v>10749</v>
      </c>
      <c r="Q2922" t="s">
        <v>10791</v>
      </c>
      <c r="R2922" t="s">
        <v>10824</v>
      </c>
      <c r="T2922">
        <v>17424</v>
      </c>
      <c r="U2922">
        <v>1452</v>
      </c>
      <c r="V2922">
        <v>57</v>
      </c>
      <c r="W2922">
        <v>1</v>
      </c>
      <c r="X2922">
        <v>0</v>
      </c>
      <c r="Z2922">
        <v>139.5</v>
      </c>
      <c r="AA2922">
        <v>40.654079</v>
      </c>
      <c r="AB2922">
        <v>-73.956535</v>
      </c>
      <c r="AD2922" t="s">
        <v>10839</v>
      </c>
      <c r="AG2922" t="s">
        <v>10858</v>
      </c>
      <c r="AH2922" t="s">
        <v>10871</v>
      </c>
      <c r="AI2922">
        <v>234</v>
      </c>
      <c r="AJ2922" t="s">
        <v>10214</v>
      </c>
      <c r="AL2922">
        <v>1</v>
      </c>
      <c r="AM2922" t="s">
        <v>10888</v>
      </c>
      <c r="AN2922" t="s">
        <v>10912</v>
      </c>
      <c r="AO2922" t="s">
        <v>11008</v>
      </c>
      <c r="AP2922" t="s">
        <v>11050</v>
      </c>
      <c r="AR2922" t="s">
        <v>11287</v>
      </c>
      <c r="AS2922" t="s">
        <v>11595</v>
      </c>
      <c r="AT2922" t="s">
        <v>11641</v>
      </c>
      <c r="AX2922" t="s">
        <v>10838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</row>
    <row r="2923" spans="1:59">
      <c r="A2923" s="1">
        <f>HYPERLINK("https://lsnyc.legalserver.org/matter/dynamic-profile/view/1906950","19-1906950")</f>
        <v>0</v>
      </c>
      <c r="B2923" t="s">
        <v>2474</v>
      </c>
      <c r="C2923" t="s">
        <v>7250</v>
      </c>
      <c r="D2923" t="s">
        <v>9926</v>
      </c>
      <c r="E2923" t="s">
        <v>10075</v>
      </c>
      <c r="F2923">
        <v>10455</v>
      </c>
      <c r="G2923" t="s">
        <v>10090</v>
      </c>
      <c r="H2923" t="s">
        <v>10113</v>
      </c>
      <c r="I2923" t="s">
        <v>10168</v>
      </c>
      <c r="J2923" t="s">
        <v>10210</v>
      </c>
      <c r="K2923" t="s">
        <v>10217</v>
      </c>
      <c r="M2923" t="s">
        <v>10424</v>
      </c>
      <c r="N2923" t="s">
        <v>10673</v>
      </c>
      <c r="P2923" t="s">
        <v>10753</v>
      </c>
      <c r="Q2923" t="s">
        <v>10763</v>
      </c>
      <c r="R2923" t="s">
        <v>10827</v>
      </c>
      <c r="T2923">
        <v>20800</v>
      </c>
      <c r="U2923">
        <v>1733.33</v>
      </c>
      <c r="V2923">
        <v>33</v>
      </c>
      <c r="W2923">
        <v>2</v>
      </c>
      <c r="X2923">
        <v>3</v>
      </c>
      <c r="Z2923">
        <v>68.94</v>
      </c>
      <c r="AA2923">
        <v>40.812068</v>
      </c>
      <c r="AB2923">
        <v>-73.909864</v>
      </c>
      <c r="AD2923" t="s">
        <v>10839</v>
      </c>
      <c r="AF2923" t="s">
        <v>10842</v>
      </c>
      <c r="AG2923" t="s">
        <v>10859</v>
      </c>
      <c r="AH2923" t="s">
        <v>10864</v>
      </c>
      <c r="AI2923">
        <v>230</v>
      </c>
      <c r="AJ2923" t="s">
        <v>10210</v>
      </c>
      <c r="AL2923">
        <v>5.6</v>
      </c>
      <c r="AM2923" t="s">
        <v>10884</v>
      </c>
      <c r="AN2923" t="s">
        <v>10924</v>
      </c>
      <c r="AO2923" t="s">
        <v>11013</v>
      </c>
      <c r="AP2923" t="s">
        <v>11066</v>
      </c>
      <c r="AQ2923" t="s">
        <v>11224</v>
      </c>
      <c r="AR2923" t="s">
        <v>11262</v>
      </c>
      <c r="AS2923" t="s">
        <v>9926</v>
      </c>
      <c r="AT2923" t="s">
        <v>11641</v>
      </c>
      <c r="AV2923" t="s">
        <v>11656</v>
      </c>
      <c r="AW2923" t="s">
        <v>11645</v>
      </c>
      <c r="AX2923" t="s">
        <v>10838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</row>
    <row r="2924" spans="1:59">
      <c r="A2924" s="1">
        <f>HYPERLINK("https://lsnyc.legalserver.org/matter/dynamic-profile/view/1906951","19-1906951")</f>
        <v>0</v>
      </c>
      <c r="B2924" t="s">
        <v>2474</v>
      </c>
      <c r="C2924" t="s">
        <v>7250</v>
      </c>
      <c r="D2924" t="s">
        <v>9926</v>
      </c>
      <c r="E2924" t="s">
        <v>10075</v>
      </c>
      <c r="F2924">
        <v>10455</v>
      </c>
      <c r="G2924" t="s">
        <v>10090</v>
      </c>
      <c r="H2924" t="s">
        <v>10113</v>
      </c>
      <c r="I2924" t="s">
        <v>10168</v>
      </c>
      <c r="J2924" t="s">
        <v>10210</v>
      </c>
      <c r="K2924" t="s">
        <v>10217</v>
      </c>
      <c r="M2924" t="s">
        <v>10424</v>
      </c>
      <c r="N2924" t="s">
        <v>10673</v>
      </c>
      <c r="P2924" t="s">
        <v>10753</v>
      </c>
      <c r="Q2924" t="s">
        <v>10763</v>
      </c>
      <c r="R2924" t="s">
        <v>10827</v>
      </c>
      <c r="T2924">
        <v>20800</v>
      </c>
      <c r="U2924">
        <v>1733.33</v>
      </c>
      <c r="V2924">
        <v>33</v>
      </c>
      <c r="W2924">
        <v>2</v>
      </c>
      <c r="X2924">
        <v>3</v>
      </c>
      <c r="Z2924">
        <v>68.94</v>
      </c>
      <c r="AA2924">
        <v>40.812068</v>
      </c>
      <c r="AB2924">
        <v>-73.909864</v>
      </c>
      <c r="AD2924" t="s">
        <v>10839</v>
      </c>
      <c r="AF2924" t="s">
        <v>10842</v>
      </c>
      <c r="AG2924" t="s">
        <v>10858</v>
      </c>
      <c r="AH2924" t="s">
        <v>10864</v>
      </c>
      <c r="AI2924">
        <v>230</v>
      </c>
      <c r="AJ2924" t="s">
        <v>10210</v>
      </c>
      <c r="AL2924">
        <v>18.35</v>
      </c>
      <c r="AM2924" t="s">
        <v>10884</v>
      </c>
      <c r="AN2924" t="s">
        <v>10924</v>
      </c>
      <c r="AO2924" t="s">
        <v>11013</v>
      </c>
      <c r="AP2924" t="s">
        <v>11066</v>
      </c>
      <c r="AQ2924" t="s">
        <v>11142</v>
      </c>
      <c r="AR2924" t="s">
        <v>11262</v>
      </c>
      <c r="AS2924" t="s">
        <v>9926</v>
      </c>
      <c r="AT2924" t="s">
        <v>11641</v>
      </c>
      <c r="AV2924" t="s">
        <v>11656</v>
      </c>
      <c r="AW2924" t="s">
        <v>11645</v>
      </c>
      <c r="AX2924" t="s">
        <v>10838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</row>
    <row r="2925" spans="1:59">
      <c r="A2925" s="1">
        <f>HYPERLINK("https://lsnyc.legalserver.org/matter/dynamic-profile/view/1906954","19-1906954")</f>
        <v>0</v>
      </c>
      <c r="B2925" t="s">
        <v>2475</v>
      </c>
      <c r="C2925" t="s">
        <v>7251</v>
      </c>
      <c r="D2925" t="s">
        <v>9926</v>
      </c>
      <c r="E2925" t="s">
        <v>10075</v>
      </c>
      <c r="F2925">
        <v>10465</v>
      </c>
      <c r="G2925" t="s">
        <v>10090</v>
      </c>
      <c r="H2925" t="s">
        <v>10113</v>
      </c>
      <c r="I2925" t="s">
        <v>10168</v>
      </c>
      <c r="J2925" t="s">
        <v>10210</v>
      </c>
      <c r="K2925" t="s">
        <v>10218</v>
      </c>
      <c r="L2925" t="s">
        <v>10113</v>
      </c>
      <c r="M2925" t="s">
        <v>10455</v>
      </c>
      <c r="N2925" t="s">
        <v>10677</v>
      </c>
      <c r="P2925" t="s">
        <v>10756</v>
      </c>
      <c r="Q2925" t="s">
        <v>10787</v>
      </c>
      <c r="R2925" t="s">
        <v>10821</v>
      </c>
      <c r="T2925">
        <v>20400</v>
      </c>
      <c r="U2925">
        <v>1700</v>
      </c>
      <c r="V2925">
        <v>78</v>
      </c>
      <c r="W2925">
        <v>4</v>
      </c>
      <c r="X2925">
        <v>0</v>
      </c>
      <c r="Y2925" t="s">
        <v>10830</v>
      </c>
      <c r="Z2925">
        <v>79.22</v>
      </c>
      <c r="AA2925">
        <v>40.836247</v>
      </c>
      <c r="AB2925">
        <v>-73.81701200000001</v>
      </c>
      <c r="AD2925" t="s">
        <v>10840</v>
      </c>
      <c r="AF2925" t="s">
        <v>10843</v>
      </c>
      <c r="AG2925" t="s">
        <v>10859</v>
      </c>
      <c r="AH2925" t="s">
        <v>10872</v>
      </c>
      <c r="AI2925">
        <v>230</v>
      </c>
      <c r="AJ2925" t="s">
        <v>10210</v>
      </c>
      <c r="AK2925" t="s">
        <v>10838</v>
      </c>
      <c r="AL2925">
        <v>0.5</v>
      </c>
      <c r="AM2925" t="s">
        <v>10885</v>
      </c>
      <c r="AN2925" t="s">
        <v>10911</v>
      </c>
      <c r="AO2925" t="s">
        <v>11002</v>
      </c>
      <c r="AP2925" t="s">
        <v>11049</v>
      </c>
      <c r="AQ2925" t="s">
        <v>11149</v>
      </c>
      <c r="AR2925" t="s">
        <v>11379</v>
      </c>
      <c r="AS2925" t="s">
        <v>9926</v>
      </c>
      <c r="AT2925" t="s">
        <v>11642</v>
      </c>
      <c r="AX2925" t="s">
        <v>10838</v>
      </c>
      <c r="AY2925" t="s">
        <v>10830</v>
      </c>
      <c r="AZ2925" t="s">
        <v>11727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</row>
    <row r="2926" spans="1:59">
      <c r="A2926" s="1">
        <f>HYPERLINK("https://lsnyc.legalserver.org/matter/dynamic-profile/view/1906955","19-1906955")</f>
        <v>0</v>
      </c>
      <c r="B2926" t="s">
        <v>2476</v>
      </c>
      <c r="C2926" t="s">
        <v>6999</v>
      </c>
      <c r="D2926" t="s">
        <v>9926</v>
      </c>
      <c r="E2926" t="s">
        <v>10075</v>
      </c>
      <c r="F2926">
        <v>10452</v>
      </c>
      <c r="G2926" t="s">
        <v>10090</v>
      </c>
      <c r="H2926" t="s">
        <v>10113</v>
      </c>
      <c r="I2926" t="s">
        <v>10168</v>
      </c>
      <c r="J2926" t="s">
        <v>10210</v>
      </c>
      <c r="K2926" t="s">
        <v>10217</v>
      </c>
      <c r="M2926" t="s">
        <v>10579</v>
      </c>
      <c r="N2926" t="s">
        <v>10650</v>
      </c>
      <c r="P2926" t="s">
        <v>10749</v>
      </c>
      <c r="Q2926" t="s">
        <v>10765</v>
      </c>
      <c r="R2926" t="s">
        <v>10827</v>
      </c>
      <c r="T2926">
        <v>20569.08</v>
      </c>
      <c r="U2926">
        <v>1714.09</v>
      </c>
      <c r="V2926">
        <v>68</v>
      </c>
      <c r="W2926">
        <v>1</v>
      </c>
      <c r="X2926">
        <v>0</v>
      </c>
      <c r="Z2926">
        <v>164.68</v>
      </c>
      <c r="AA2926">
        <v>40.828115</v>
      </c>
      <c r="AB2926">
        <v>-73.923996</v>
      </c>
      <c r="AD2926" t="s">
        <v>10839</v>
      </c>
      <c r="AG2926" t="s">
        <v>10858</v>
      </c>
      <c r="AH2926" t="s">
        <v>10862</v>
      </c>
      <c r="AI2926">
        <v>230</v>
      </c>
      <c r="AJ2926" t="s">
        <v>10210</v>
      </c>
      <c r="AL2926">
        <v>0</v>
      </c>
      <c r="AM2926" t="s">
        <v>10884</v>
      </c>
      <c r="AN2926" t="s">
        <v>10924</v>
      </c>
      <c r="AO2926" t="s">
        <v>11013</v>
      </c>
      <c r="AP2926" t="s">
        <v>11066</v>
      </c>
      <c r="AR2926" t="s">
        <v>11355</v>
      </c>
      <c r="AS2926" t="s">
        <v>9926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</row>
    <row r="2927" spans="1:59">
      <c r="A2927" s="1">
        <f>HYPERLINK("https://lsnyc.legalserver.org/matter/dynamic-profile/view/1906957","19-1906957")</f>
        <v>0</v>
      </c>
      <c r="B2927" t="s">
        <v>2475</v>
      </c>
      <c r="C2927" t="s">
        <v>7251</v>
      </c>
      <c r="D2927" t="s">
        <v>9926</v>
      </c>
      <c r="E2927" t="s">
        <v>10075</v>
      </c>
      <c r="F2927">
        <v>10465</v>
      </c>
      <c r="G2927" t="s">
        <v>10090</v>
      </c>
      <c r="H2927" t="s">
        <v>10113</v>
      </c>
      <c r="I2927" t="s">
        <v>10168</v>
      </c>
      <c r="J2927" t="s">
        <v>10210</v>
      </c>
      <c r="K2927" t="s">
        <v>10218</v>
      </c>
      <c r="L2927" t="s">
        <v>10113</v>
      </c>
      <c r="M2927" t="s">
        <v>10455</v>
      </c>
      <c r="N2927" t="s">
        <v>10677</v>
      </c>
      <c r="P2927" t="s">
        <v>10756</v>
      </c>
      <c r="Q2927" t="s">
        <v>10787</v>
      </c>
      <c r="R2927" t="s">
        <v>10821</v>
      </c>
      <c r="T2927">
        <v>20400</v>
      </c>
      <c r="U2927">
        <v>1700</v>
      </c>
      <c r="V2927">
        <v>78</v>
      </c>
      <c r="W2927">
        <v>4</v>
      </c>
      <c r="X2927">
        <v>0</v>
      </c>
      <c r="Y2927" t="s">
        <v>10830</v>
      </c>
      <c r="Z2927">
        <v>79.22</v>
      </c>
      <c r="AA2927">
        <v>40.836247</v>
      </c>
      <c r="AB2927">
        <v>-73.81701200000001</v>
      </c>
      <c r="AD2927" t="s">
        <v>10840</v>
      </c>
      <c r="AF2927" t="s">
        <v>10843</v>
      </c>
      <c r="AG2927" t="s">
        <v>10859</v>
      </c>
      <c r="AH2927" t="s">
        <v>10872</v>
      </c>
      <c r="AI2927">
        <v>230</v>
      </c>
      <c r="AJ2927" t="s">
        <v>10210</v>
      </c>
      <c r="AK2927" t="s">
        <v>10838</v>
      </c>
      <c r="AL2927">
        <v>0.3</v>
      </c>
      <c r="AM2927" t="s">
        <v>10885</v>
      </c>
      <c r="AN2927" t="s">
        <v>10911</v>
      </c>
      <c r="AO2927" t="s">
        <v>11002</v>
      </c>
      <c r="AP2927" t="s">
        <v>11049</v>
      </c>
      <c r="AQ2927" t="s">
        <v>11225</v>
      </c>
      <c r="AR2927" t="s">
        <v>11379</v>
      </c>
      <c r="AS2927" t="s">
        <v>9926</v>
      </c>
      <c r="AT2927" t="s">
        <v>11642</v>
      </c>
      <c r="AX2927" t="s">
        <v>10838</v>
      </c>
      <c r="AY2927" t="s">
        <v>10830</v>
      </c>
      <c r="AZ2927" t="s">
        <v>11698</v>
      </c>
      <c r="BA2927" t="s">
        <v>11740</v>
      </c>
      <c r="BB2927">
        <v>0</v>
      </c>
      <c r="BC2927">
        <v>0</v>
      </c>
      <c r="BD2927">
        <v>0</v>
      </c>
      <c r="BE2927">
        <v>0</v>
      </c>
      <c r="BF2927">
        <v>2</v>
      </c>
      <c r="BG2927">
        <v>0</v>
      </c>
    </row>
    <row r="2928" spans="1:59">
      <c r="A2928" s="1">
        <f>HYPERLINK("https://lsnyc.legalserver.org/matter/dynamic-profile/view/1906960","19-1906960")</f>
        <v>0</v>
      </c>
      <c r="B2928" t="s">
        <v>2477</v>
      </c>
      <c r="C2928" t="s">
        <v>7252</v>
      </c>
      <c r="D2928" t="s">
        <v>9928</v>
      </c>
      <c r="E2928" t="s">
        <v>10075</v>
      </c>
      <c r="F2928">
        <v>11207</v>
      </c>
      <c r="G2928" t="s">
        <v>10093</v>
      </c>
      <c r="H2928" t="s">
        <v>10113</v>
      </c>
      <c r="I2928" t="s">
        <v>10168</v>
      </c>
      <c r="J2928" t="s">
        <v>10213</v>
      </c>
      <c r="K2928" t="s">
        <v>10218</v>
      </c>
      <c r="L2928" t="s">
        <v>10113</v>
      </c>
      <c r="M2928" t="s">
        <v>10564</v>
      </c>
      <c r="N2928" t="s">
        <v>10671</v>
      </c>
      <c r="P2928" t="s">
        <v>10749</v>
      </c>
      <c r="Q2928" t="s">
        <v>10765</v>
      </c>
      <c r="R2928" t="s">
        <v>10827</v>
      </c>
      <c r="T2928">
        <v>19572</v>
      </c>
      <c r="U2928">
        <v>1631</v>
      </c>
      <c r="V2928">
        <v>39</v>
      </c>
      <c r="W2928">
        <v>1</v>
      </c>
      <c r="X2928">
        <v>0</v>
      </c>
      <c r="Y2928" t="s">
        <v>10829</v>
      </c>
      <c r="Z2928">
        <v>156.7</v>
      </c>
      <c r="AA2928">
        <v>40.657963</v>
      </c>
      <c r="AB2928">
        <v>-73.88376100000001</v>
      </c>
      <c r="AC2928" t="s">
        <v>10837</v>
      </c>
      <c r="AD2928" t="s">
        <v>10822</v>
      </c>
      <c r="AG2928" t="s">
        <v>10858</v>
      </c>
      <c r="AH2928" t="s">
        <v>10861</v>
      </c>
      <c r="AI2928">
        <v>234</v>
      </c>
      <c r="AJ2928" t="s">
        <v>10214</v>
      </c>
      <c r="AK2928" t="s">
        <v>10837</v>
      </c>
      <c r="AL2928">
        <v>0.75</v>
      </c>
      <c r="AM2928" t="s">
        <v>10889</v>
      </c>
      <c r="AN2928" t="s">
        <v>10946</v>
      </c>
      <c r="AO2928" t="s">
        <v>11012</v>
      </c>
      <c r="AP2928" t="s">
        <v>11060</v>
      </c>
      <c r="AR2928" t="s">
        <v>11303</v>
      </c>
      <c r="AS2928" t="s">
        <v>11595</v>
      </c>
      <c r="AT2928" t="s">
        <v>11641</v>
      </c>
      <c r="AX2928" t="s">
        <v>10837</v>
      </c>
      <c r="AY2928" t="s">
        <v>10829</v>
      </c>
      <c r="AZ2928" t="s">
        <v>11697</v>
      </c>
      <c r="BA2928" t="s">
        <v>11741</v>
      </c>
      <c r="BB2928">
        <v>0</v>
      </c>
      <c r="BC2928">
        <v>0</v>
      </c>
      <c r="BD2928">
        <v>0</v>
      </c>
      <c r="BE2928">
        <v>0</v>
      </c>
      <c r="BF2928">
        <v>1</v>
      </c>
      <c r="BG2928">
        <v>0</v>
      </c>
    </row>
    <row r="2929" spans="1:59">
      <c r="A2929" s="1">
        <f>HYPERLINK("https://lsnyc.legalserver.org/matter/dynamic-profile/view/1906961","19-1906961")</f>
        <v>0</v>
      </c>
      <c r="B2929" t="s">
        <v>2478</v>
      </c>
      <c r="C2929" t="s">
        <v>7253</v>
      </c>
      <c r="D2929" t="s">
        <v>10000</v>
      </c>
      <c r="E2929" t="s">
        <v>10075</v>
      </c>
      <c r="F2929">
        <v>11413</v>
      </c>
      <c r="G2929" t="s">
        <v>10092</v>
      </c>
      <c r="H2929" t="s">
        <v>10113</v>
      </c>
      <c r="I2929" t="s">
        <v>10168</v>
      </c>
      <c r="J2929" t="s">
        <v>10212</v>
      </c>
      <c r="K2929" t="s">
        <v>10217</v>
      </c>
      <c r="M2929" t="s">
        <v>10484</v>
      </c>
      <c r="N2929" t="s">
        <v>10695</v>
      </c>
      <c r="P2929" t="s">
        <v>10749</v>
      </c>
      <c r="Q2929" t="s">
        <v>10765</v>
      </c>
      <c r="R2929" t="s">
        <v>10825</v>
      </c>
      <c r="T2929">
        <v>29280</v>
      </c>
      <c r="U2929">
        <v>2440</v>
      </c>
      <c r="V2929">
        <v>27</v>
      </c>
      <c r="W2929">
        <v>2</v>
      </c>
      <c r="X2929">
        <v>1</v>
      </c>
      <c r="Z2929">
        <v>137.27</v>
      </c>
      <c r="AA2929">
        <v>40.664352</v>
      </c>
      <c r="AB2929">
        <v>-73.745273</v>
      </c>
      <c r="AD2929" t="s">
        <v>10839</v>
      </c>
      <c r="AG2929" t="s">
        <v>10858</v>
      </c>
      <c r="AH2929" t="s">
        <v>10862</v>
      </c>
      <c r="AI2929">
        <v>237</v>
      </c>
      <c r="AJ2929" t="s">
        <v>10212</v>
      </c>
      <c r="AL2929">
        <v>1.33</v>
      </c>
      <c r="AM2929" t="s">
        <v>10892</v>
      </c>
      <c r="AN2929" t="s">
        <v>10930</v>
      </c>
      <c r="AO2929" t="s">
        <v>11017</v>
      </c>
      <c r="AP2929" t="s">
        <v>11082</v>
      </c>
      <c r="AR2929" t="s">
        <v>11276</v>
      </c>
      <c r="AS2929" t="s">
        <v>11594</v>
      </c>
      <c r="AX2929" t="s">
        <v>10838</v>
      </c>
      <c r="BA2929" t="s">
        <v>11742</v>
      </c>
      <c r="BB2929">
        <v>0</v>
      </c>
      <c r="BC2929">
        <v>0</v>
      </c>
      <c r="BD2929">
        <v>0</v>
      </c>
      <c r="BE2929">
        <v>0</v>
      </c>
      <c r="BF2929">
        <v>7</v>
      </c>
      <c r="BG2929">
        <v>0</v>
      </c>
    </row>
    <row r="2930" spans="1:59">
      <c r="A2930" s="1">
        <f>HYPERLINK("https://lsnyc.legalserver.org/matter/dynamic-profile/view/1906962","19-1906962")</f>
        <v>0</v>
      </c>
      <c r="B2930" t="s">
        <v>2479</v>
      </c>
      <c r="C2930" t="s">
        <v>7254</v>
      </c>
      <c r="D2930" t="s">
        <v>9928</v>
      </c>
      <c r="E2930" t="s">
        <v>10075</v>
      </c>
      <c r="F2930">
        <v>11208</v>
      </c>
      <c r="G2930" t="s">
        <v>10093</v>
      </c>
      <c r="H2930" t="s">
        <v>10113</v>
      </c>
      <c r="I2930" t="s">
        <v>10169</v>
      </c>
      <c r="J2930" t="s">
        <v>10213</v>
      </c>
      <c r="K2930" t="s">
        <v>10217</v>
      </c>
      <c r="M2930" t="s">
        <v>10563</v>
      </c>
      <c r="N2930" t="s">
        <v>10650</v>
      </c>
      <c r="P2930" t="s">
        <v>10749</v>
      </c>
      <c r="Q2930" t="s">
        <v>10765</v>
      </c>
      <c r="R2930" t="s">
        <v>10821</v>
      </c>
      <c r="T2930">
        <v>14556</v>
      </c>
      <c r="U2930">
        <v>1213</v>
      </c>
      <c r="V2930">
        <v>82</v>
      </c>
      <c r="W2930">
        <v>1</v>
      </c>
      <c r="X2930">
        <v>0</v>
      </c>
      <c r="Z2930">
        <v>116.54</v>
      </c>
      <c r="AA2930">
        <v>40.681223</v>
      </c>
      <c r="AB2930">
        <v>-73.88142499999999</v>
      </c>
      <c r="AD2930" t="s">
        <v>10839</v>
      </c>
      <c r="AG2930" t="s">
        <v>10858</v>
      </c>
      <c r="AH2930" t="s">
        <v>10862</v>
      </c>
      <c r="AI2930">
        <v>239</v>
      </c>
      <c r="AJ2930" t="s">
        <v>10213</v>
      </c>
      <c r="AL2930">
        <v>0</v>
      </c>
      <c r="AM2930" t="s">
        <v>10886</v>
      </c>
      <c r="AN2930" t="s">
        <v>10920</v>
      </c>
      <c r="AO2930" t="s">
        <v>11011</v>
      </c>
      <c r="AP2930" t="s">
        <v>11058</v>
      </c>
      <c r="AR2930" t="s">
        <v>10180</v>
      </c>
      <c r="AS2930" t="s">
        <v>11595</v>
      </c>
      <c r="BA2930" t="s">
        <v>11739</v>
      </c>
      <c r="BB2930">
        <v>0</v>
      </c>
      <c r="BC2930">
        <v>0</v>
      </c>
      <c r="BD2930">
        <v>0</v>
      </c>
      <c r="BE2930">
        <v>0</v>
      </c>
      <c r="BF2930">
        <v>4</v>
      </c>
      <c r="BG2930">
        <v>0</v>
      </c>
    </row>
    <row r="2931" spans="1:59">
      <c r="A2931" s="1">
        <f>HYPERLINK("https://lsnyc.legalserver.org/matter/dynamic-profile/view/1906964","19-1906964")</f>
        <v>0</v>
      </c>
      <c r="B2931" t="s">
        <v>1527</v>
      </c>
      <c r="C2931" t="s">
        <v>7255</v>
      </c>
      <c r="D2931" t="s">
        <v>9925</v>
      </c>
      <c r="E2931" t="s">
        <v>10075</v>
      </c>
      <c r="F2931">
        <v>10009</v>
      </c>
      <c r="G2931" t="s">
        <v>10093</v>
      </c>
      <c r="H2931" t="s">
        <v>10113</v>
      </c>
      <c r="I2931" t="s">
        <v>10168</v>
      </c>
      <c r="J2931" t="s">
        <v>10213</v>
      </c>
      <c r="K2931" t="s">
        <v>10218</v>
      </c>
      <c r="L2931" t="s">
        <v>10221</v>
      </c>
      <c r="M2931" t="s">
        <v>10352</v>
      </c>
      <c r="N2931" t="s">
        <v>10650</v>
      </c>
      <c r="P2931" t="s">
        <v>10749</v>
      </c>
      <c r="Q2931" t="s">
        <v>10765</v>
      </c>
      <c r="R2931" t="s">
        <v>10823</v>
      </c>
      <c r="T2931">
        <v>52932</v>
      </c>
      <c r="U2931">
        <v>4411</v>
      </c>
      <c r="V2931">
        <v>62</v>
      </c>
      <c r="W2931">
        <v>2</v>
      </c>
      <c r="X2931">
        <v>0</v>
      </c>
      <c r="Y2931" t="s">
        <v>10830</v>
      </c>
      <c r="Z2931">
        <v>313.02</v>
      </c>
      <c r="AA2931">
        <v>40.721811</v>
      </c>
      <c r="AB2931">
        <v>-73.981517</v>
      </c>
      <c r="AD2931" t="s">
        <v>10839</v>
      </c>
      <c r="AG2931" t="s">
        <v>10858</v>
      </c>
      <c r="AH2931" t="s">
        <v>10862</v>
      </c>
      <c r="AI2931">
        <v>239</v>
      </c>
      <c r="AJ2931" t="s">
        <v>10213</v>
      </c>
      <c r="AK2931" t="s">
        <v>10838</v>
      </c>
      <c r="AL2931">
        <v>42</v>
      </c>
      <c r="AR2931" t="s">
        <v>11328</v>
      </c>
      <c r="AS2931" t="s">
        <v>9925</v>
      </c>
      <c r="AY2931" t="s">
        <v>10830</v>
      </c>
      <c r="AZ2931" t="s">
        <v>11690</v>
      </c>
      <c r="BA2931" t="s">
        <v>11737</v>
      </c>
      <c r="BB2931">
        <v>0</v>
      </c>
      <c r="BC2931">
        <v>0</v>
      </c>
      <c r="BD2931">
        <v>0</v>
      </c>
      <c r="BE2931">
        <v>0</v>
      </c>
      <c r="BF2931">
        <v>3</v>
      </c>
      <c r="BG2931">
        <v>0</v>
      </c>
    </row>
    <row r="2932" spans="1:59">
      <c r="A2932" s="1">
        <f>HYPERLINK("https://lsnyc.legalserver.org/matter/dynamic-profile/view/1906965","19-1906965")</f>
        <v>0</v>
      </c>
      <c r="B2932" t="s">
        <v>2480</v>
      </c>
      <c r="C2932" t="s">
        <v>7256</v>
      </c>
      <c r="D2932" t="s">
        <v>9926</v>
      </c>
      <c r="E2932" t="s">
        <v>10075</v>
      </c>
      <c r="F2932">
        <v>10451</v>
      </c>
      <c r="G2932" t="s">
        <v>10090</v>
      </c>
      <c r="H2932" t="s">
        <v>10113</v>
      </c>
      <c r="I2932" t="s">
        <v>10168</v>
      </c>
      <c r="J2932" t="s">
        <v>10210</v>
      </c>
      <c r="K2932" t="s">
        <v>10217</v>
      </c>
      <c r="M2932" t="s">
        <v>10346</v>
      </c>
      <c r="N2932" t="s">
        <v>10677</v>
      </c>
      <c r="P2932" t="s">
        <v>10751</v>
      </c>
      <c r="Q2932" t="s">
        <v>10761</v>
      </c>
      <c r="R2932" t="s">
        <v>10821</v>
      </c>
      <c r="T2932">
        <v>13831.2</v>
      </c>
      <c r="U2932">
        <v>1152.6</v>
      </c>
      <c r="V2932">
        <v>62</v>
      </c>
      <c r="W2932">
        <v>1</v>
      </c>
      <c r="X2932">
        <v>0</v>
      </c>
      <c r="Z2932">
        <v>110.74</v>
      </c>
      <c r="AA2932">
        <v>40.818655</v>
      </c>
      <c r="AB2932">
        <v>-73.93012</v>
      </c>
      <c r="AD2932" t="s">
        <v>10839</v>
      </c>
      <c r="AG2932" t="s">
        <v>10858</v>
      </c>
      <c r="AH2932" t="s">
        <v>10861</v>
      </c>
      <c r="AI2932">
        <v>234</v>
      </c>
      <c r="AJ2932" t="s">
        <v>10214</v>
      </c>
      <c r="AL2932">
        <v>6.6</v>
      </c>
      <c r="AM2932" t="s">
        <v>10884</v>
      </c>
      <c r="AN2932" t="s">
        <v>10924</v>
      </c>
      <c r="AO2932" t="s">
        <v>11013</v>
      </c>
      <c r="AP2932" t="s">
        <v>11066</v>
      </c>
      <c r="AR2932" t="s">
        <v>11388</v>
      </c>
      <c r="AS2932" t="s">
        <v>9926</v>
      </c>
      <c r="AT2932" t="s">
        <v>11641</v>
      </c>
      <c r="AX2932" t="s">
        <v>10838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</row>
    <row r="2933" spans="1:59">
      <c r="A2933" s="1">
        <f>HYPERLINK("https://lsnyc.legalserver.org/matter/dynamic-profile/view/1906966","19-1906966")</f>
        <v>0</v>
      </c>
      <c r="B2933" t="s">
        <v>2481</v>
      </c>
      <c r="C2933" t="s">
        <v>7257</v>
      </c>
      <c r="D2933" t="s">
        <v>9938</v>
      </c>
      <c r="E2933" t="s">
        <v>10075</v>
      </c>
      <c r="F2933">
        <v>11433</v>
      </c>
      <c r="G2933" t="s">
        <v>10092</v>
      </c>
      <c r="H2933" t="s">
        <v>10113</v>
      </c>
      <c r="I2933" t="s">
        <v>10168</v>
      </c>
      <c r="J2933" t="s">
        <v>10212</v>
      </c>
      <c r="K2933" t="s">
        <v>10217</v>
      </c>
      <c r="M2933" t="s">
        <v>10416</v>
      </c>
      <c r="N2933" t="s">
        <v>10678</v>
      </c>
      <c r="P2933" t="s">
        <v>10749</v>
      </c>
      <c r="Q2933" t="s">
        <v>10769</v>
      </c>
      <c r="R2933" t="s">
        <v>10825</v>
      </c>
      <c r="T2933">
        <v>30000</v>
      </c>
      <c r="U2933">
        <v>2500</v>
      </c>
      <c r="V2933">
        <v>36</v>
      </c>
      <c r="W2933">
        <v>1</v>
      </c>
      <c r="X2933">
        <v>0</v>
      </c>
      <c r="Z2933">
        <v>240.19</v>
      </c>
      <c r="AA2933">
        <v>40.696233</v>
      </c>
      <c r="AB2933">
        <v>-73.77948499999999</v>
      </c>
      <c r="AD2933" t="s">
        <v>10839</v>
      </c>
      <c r="AF2933" t="s">
        <v>10843</v>
      </c>
      <c r="AG2933" t="s">
        <v>10859</v>
      </c>
      <c r="AH2933" t="s">
        <v>10861</v>
      </c>
      <c r="AI2933">
        <v>234</v>
      </c>
      <c r="AJ2933" t="s">
        <v>10214</v>
      </c>
      <c r="AL2933">
        <v>7.15</v>
      </c>
      <c r="AM2933" t="s">
        <v>10892</v>
      </c>
      <c r="AN2933" t="s">
        <v>10955</v>
      </c>
      <c r="AO2933" t="s">
        <v>11020</v>
      </c>
      <c r="AP2933" t="s">
        <v>11075</v>
      </c>
      <c r="AR2933" t="s">
        <v>11257</v>
      </c>
      <c r="AS2933" t="s">
        <v>11594</v>
      </c>
      <c r="AT2933" t="s">
        <v>11641</v>
      </c>
      <c r="AX2933" t="s">
        <v>10838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</row>
    <row r="2934" spans="1:59">
      <c r="A2934" s="1">
        <f>HYPERLINK("https://lsnyc.legalserver.org/matter/dynamic-profile/view/1906967","19-1906967")</f>
        <v>0</v>
      </c>
      <c r="B2934" t="s">
        <v>2475</v>
      </c>
      <c r="C2934" t="s">
        <v>7251</v>
      </c>
      <c r="D2934" t="s">
        <v>9926</v>
      </c>
      <c r="E2934" t="s">
        <v>10075</v>
      </c>
      <c r="F2934">
        <v>10465</v>
      </c>
      <c r="G2934" t="s">
        <v>10090</v>
      </c>
      <c r="H2934" t="s">
        <v>10113</v>
      </c>
      <c r="I2934" t="s">
        <v>10168</v>
      </c>
      <c r="J2934" t="s">
        <v>10210</v>
      </c>
      <c r="K2934" t="s">
        <v>10218</v>
      </c>
      <c r="L2934" t="s">
        <v>10113</v>
      </c>
      <c r="M2934" t="s">
        <v>10455</v>
      </c>
      <c r="N2934" t="s">
        <v>10677</v>
      </c>
      <c r="P2934" t="s">
        <v>10756</v>
      </c>
      <c r="Q2934" t="s">
        <v>10792</v>
      </c>
      <c r="R2934" t="s">
        <v>10821</v>
      </c>
      <c r="T2934">
        <v>20400</v>
      </c>
      <c r="U2934">
        <v>1700</v>
      </c>
      <c r="V2934">
        <v>78</v>
      </c>
      <c r="W2934">
        <v>4</v>
      </c>
      <c r="X2934">
        <v>0</v>
      </c>
      <c r="Y2934" t="s">
        <v>10830</v>
      </c>
      <c r="Z2934">
        <v>79.22</v>
      </c>
      <c r="AA2934">
        <v>40.836247</v>
      </c>
      <c r="AB2934">
        <v>-73.81701200000001</v>
      </c>
      <c r="AD2934" t="s">
        <v>10840</v>
      </c>
      <c r="AF2934" t="s">
        <v>10843</v>
      </c>
      <c r="AG2934" t="s">
        <v>10859</v>
      </c>
      <c r="AH2934" t="s">
        <v>10869</v>
      </c>
      <c r="AI2934">
        <v>230</v>
      </c>
      <c r="AJ2934" t="s">
        <v>10210</v>
      </c>
      <c r="AK2934" t="s">
        <v>10838</v>
      </c>
      <c r="AL2934">
        <v>0.4</v>
      </c>
      <c r="AM2934" t="s">
        <v>10885</v>
      </c>
      <c r="AN2934" t="s">
        <v>10911</v>
      </c>
      <c r="AO2934" t="s">
        <v>11002</v>
      </c>
      <c r="AP2934" t="s">
        <v>11049</v>
      </c>
      <c r="AR2934" t="s">
        <v>11379</v>
      </c>
      <c r="AS2934" t="s">
        <v>9926</v>
      </c>
      <c r="AT2934" t="s">
        <v>11642</v>
      </c>
      <c r="AX2934" t="s">
        <v>10838</v>
      </c>
      <c r="AY2934" t="s">
        <v>10830</v>
      </c>
      <c r="AZ2934" t="s">
        <v>11698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</row>
    <row r="2935" spans="1:59">
      <c r="A2935" s="1">
        <f>HYPERLINK("https://lsnyc.legalserver.org/matter/dynamic-profile/view/1906968","19-1906968")</f>
        <v>0</v>
      </c>
      <c r="B2935" t="s">
        <v>2482</v>
      </c>
      <c r="C2935" t="s">
        <v>7258</v>
      </c>
      <c r="D2935" t="s">
        <v>9925</v>
      </c>
      <c r="E2935" t="s">
        <v>10075</v>
      </c>
      <c r="F2935">
        <v>10035</v>
      </c>
      <c r="G2935" t="s">
        <v>10089</v>
      </c>
      <c r="H2935" t="s">
        <v>10111</v>
      </c>
      <c r="I2935" t="s">
        <v>10168</v>
      </c>
      <c r="J2935" t="s">
        <v>10209</v>
      </c>
      <c r="K2935" t="s">
        <v>10217</v>
      </c>
      <c r="M2935" t="s">
        <v>10488</v>
      </c>
      <c r="N2935" t="s">
        <v>10673</v>
      </c>
      <c r="P2935" t="s">
        <v>10753</v>
      </c>
      <c r="Q2935" t="s">
        <v>10763</v>
      </c>
      <c r="R2935" t="s">
        <v>10824</v>
      </c>
      <c r="T2935">
        <v>10000</v>
      </c>
      <c r="U2935">
        <v>833.33</v>
      </c>
      <c r="V2935">
        <v>40</v>
      </c>
      <c r="W2935">
        <v>1</v>
      </c>
      <c r="X2935">
        <v>0</v>
      </c>
      <c r="Z2935">
        <v>80.06</v>
      </c>
      <c r="AA2935">
        <v>40.807308</v>
      </c>
      <c r="AB2935">
        <v>-73.94068900000001</v>
      </c>
      <c r="AD2935" t="s">
        <v>10839</v>
      </c>
      <c r="AF2935" t="s">
        <v>10842</v>
      </c>
      <c r="AG2935" t="s">
        <v>10859</v>
      </c>
      <c r="AH2935" t="s">
        <v>10861</v>
      </c>
      <c r="AI2935">
        <v>234</v>
      </c>
      <c r="AJ2935" t="s">
        <v>10214</v>
      </c>
      <c r="AL2935">
        <v>3.2</v>
      </c>
      <c r="AM2935" t="s">
        <v>10887</v>
      </c>
      <c r="AN2935" t="s">
        <v>10936</v>
      </c>
      <c r="AO2935" t="s">
        <v>11016</v>
      </c>
      <c r="AP2935" t="s">
        <v>11076</v>
      </c>
      <c r="AR2935" t="s">
        <v>11257</v>
      </c>
      <c r="AS2935" t="s">
        <v>9925</v>
      </c>
      <c r="AT2935" t="s">
        <v>11641</v>
      </c>
      <c r="AX2935" t="s">
        <v>10838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</row>
    <row r="2936" spans="1:59">
      <c r="A2936" s="1">
        <f>HYPERLINK("https://lsnyc.legalserver.org/matter/dynamic-profile/view/1906969","19-1906969")</f>
        <v>0</v>
      </c>
      <c r="B2936" t="s">
        <v>2483</v>
      </c>
      <c r="C2936" t="s">
        <v>7259</v>
      </c>
      <c r="D2936" t="s">
        <v>9945</v>
      </c>
      <c r="E2936" t="s">
        <v>10075</v>
      </c>
      <c r="F2936">
        <v>11422</v>
      </c>
      <c r="G2936" t="s">
        <v>10092</v>
      </c>
      <c r="H2936" t="s">
        <v>10113</v>
      </c>
      <c r="I2936" t="s">
        <v>10168</v>
      </c>
      <c r="J2936" t="s">
        <v>10212</v>
      </c>
      <c r="K2936" t="s">
        <v>10217</v>
      </c>
      <c r="M2936" t="s">
        <v>10416</v>
      </c>
      <c r="N2936" t="s">
        <v>10678</v>
      </c>
      <c r="P2936" t="s">
        <v>10749</v>
      </c>
      <c r="Q2936" t="s">
        <v>10769</v>
      </c>
      <c r="R2936" t="s">
        <v>10824</v>
      </c>
      <c r="T2936">
        <v>91000</v>
      </c>
      <c r="U2936">
        <v>7583.33</v>
      </c>
      <c r="V2936">
        <v>45</v>
      </c>
      <c r="W2936">
        <v>1</v>
      </c>
      <c r="X2936">
        <v>1</v>
      </c>
      <c r="Z2936">
        <v>538.14</v>
      </c>
      <c r="AA2936">
        <v>40.675506</v>
      </c>
      <c r="AB2936">
        <v>-73.729978</v>
      </c>
      <c r="AD2936" t="s">
        <v>10840</v>
      </c>
      <c r="AG2936" t="s">
        <v>10858</v>
      </c>
      <c r="AH2936" t="s">
        <v>10861</v>
      </c>
      <c r="AI2936">
        <v>234</v>
      </c>
      <c r="AJ2936" t="s">
        <v>10214</v>
      </c>
      <c r="AL2936">
        <v>3.75</v>
      </c>
      <c r="AM2936" t="s">
        <v>10892</v>
      </c>
      <c r="AN2936" t="s">
        <v>10955</v>
      </c>
      <c r="AO2936" t="s">
        <v>11020</v>
      </c>
      <c r="AP2936" t="s">
        <v>11082</v>
      </c>
      <c r="AR2936" t="s">
        <v>11257</v>
      </c>
      <c r="AS2936" t="s">
        <v>11594</v>
      </c>
      <c r="AT2936" t="s">
        <v>11642</v>
      </c>
      <c r="AX2936" t="s">
        <v>10838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</row>
    <row r="2937" spans="1:59">
      <c r="A2937" s="1">
        <f>HYPERLINK("https://lsnyc.legalserver.org/matter/dynamic-profile/view/1906971","19-1906971")</f>
        <v>0</v>
      </c>
      <c r="B2937" t="s">
        <v>2475</v>
      </c>
      <c r="C2937" t="s">
        <v>7251</v>
      </c>
      <c r="D2937" t="s">
        <v>9926</v>
      </c>
      <c r="E2937" t="s">
        <v>10075</v>
      </c>
      <c r="F2937">
        <v>10465</v>
      </c>
      <c r="G2937" t="s">
        <v>10090</v>
      </c>
      <c r="H2937" t="s">
        <v>10113</v>
      </c>
      <c r="I2937" t="s">
        <v>10168</v>
      </c>
      <c r="J2937" t="s">
        <v>10210</v>
      </c>
      <c r="K2937" t="s">
        <v>10218</v>
      </c>
      <c r="L2937" t="s">
        <v>10113</v>
      </c>
      <c r="M2937" t="s">
        <v>10455</v>
      </c>
      <c r="N2937" t="s">
        <v>10677</v>
      </c>
      <c r="P2937" t="s">
        <v>10756</v>
      </c>
      <c r="Q2937" t="s">
        <v>10787</v>
      </c>
      <c r="R2937" t="s">
        <v>10821</v>
      </c>
      <c r="T2937">
        <v>20400</v>
      </c>
      <c r="U2937">
        <v>1700</v>
      </c>
      <c r="V2937">
        <v>78</v>
      </c>
      <c r="W2937">
        <v>4</v>
      </c>
      <c r="X2937">
        <v>0</v>
      </c>
      <c r="Y2937" t="s">
        <v>10830</v>
      </c>
      <c r="Z2937">
        <v>79.22</v>
      </c>
      <c r="AA2937">
        <v>40.836247</v>
      </c>
      <c r="AB2937">
        <v>-73.81701200000001</v>
      </c>
      <c r="AD2937" t="s">
        <v>10840</v>
      </c>
      <c r="AF2937" t="s">
        <v>10843</v>
      </c>
      <c r="AG2937" t="s">
        <v>10859</v>
      </c>
      <c r="AH2937" t="s">
        <v>10869</v>
      </c>
      <c r="AI2937">
        <v>230</v>
      </c>
      <c r="AJ2937" t="s">
        <v>10210</v>
      </c>
      <c r="AK2937" t="s">
        <v>10838</v>
      </c>
      <c r="AL2937">
        <v>0.4</v>
      </c>
      <c r="AM2937" t="s">
        <v>10885</v>
      </c>
      <c r="AN2937" t="s">
        <v>10911</v>
      </c>
      <c r="AO2937" t="s">
        <v>11002</v>
      </c>
      <c r="AP2937" t="s">
        <v>11049</v>
      </c>
      <c r="AQ2937" t="s">
        <v>11226</v>
      </c>
      <c r="AR2937" t="s">
        <v>11379</v>
      </c>
      <c r="AS2937" t="s">
        <v>9926</v>
      </c>
      <c r="AT2937" t="s">
        <v>11642</v>
      </c>
      <c r="AX2937" t="s">
        <v>10838</v>
      </c>
      <c r="AY2937" t="s">
        <v>10830</v>
      </c>
      <c r="AZ2937" t="s">
        <v>11698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</row>
    <row r="2938" spans="1:59">
      <c r="A2938" s="1">
        <f>HYPERLINK("https://lsnyc.legalserver.org/matter/dynamic-profile/view/1906972","19-1906972")</f>
        <v>0</v>
      </c>
      <c r="B2938" t="s">
        <v>2484</v>
      </c>
      <c r="C2938" t="s">
        <v>7260</v>
      </c>
      <c r="D2938" t="s">
        <v>9928</v>
      </c>
      <c r="E2938" t="s">
        <v>10075</v>
      </c>
      <c r="F2938">
        <v>11221</v>
      </c>
      <c r="G2938" t="s">
        <v>10093</v>
      </c>
      <c r="H2938" t="s">
        <v>10145</v>
      </c>
      <c r="I2938" t="s">
        <v>10168</v>
      </c>
      <c r="J2938" t="s">
        <v>10213</v>
      </c>
      <c r="K2938" t="s">
        <v>10217</v>
      </c>
      <c r="M2938" t="s">
        <v>10249</v>
      </c>
      <c r="N2938" t="s">
        <v>10720</v>
      </c>
      <c r="P2938" t="s">
        <v>10749</v>
      </c>
      <c r="Q2938" t="s">
        <v>10759</v>
      </c>
      <c r="R2938" t="s">
        <v>10824</v>
      </c>
      <c r="T2938">
        <v>29604</v>
      </c>
      <c r="U2938">
        <v>2467</v>
      </c>
      <c r="V2938">
        <v>74</v>
      </c>
      <c r="W2938">
        <v>1</v>
      </c>
      <c r="X2938">
        <v>0</v>
      </c>
      <c r="Z2938">
        <v>237.02</v>
      </c>
      <c r="AA2938">
        <v>40.693681</v>
      </c>
      <c r="AB2938">
        <v>-73.926523</v>
      </c>
      <c r="AD2938" t="s">
        <v>10839</v>
      </c>
      <c r="AG2938" t="s">
        <v>10858</v>
      </c>
      <c r="AH2938" t="s">
        <v>10860</v>
      </c>
      <c r="AI2938">
        <v>239</v>
      </c>
      <c r="AJ2938" t="s">
        <v>10213</v>
      </c>
      <c r="AL2938">
        <v>7.7</v>
      </c>
      <c r="AM2938" t="s">
        <v>10886</v>
      </c>
      <c r="AN2938" t="s">
        <v>10920</v>
      </c>
      <c r="AO2938" t="s">
        <v>11011</v>
      </c>
      <c r="AP2938" t="s">
        <v>11071</v>
      </c>
      <c r="AQ2938" t="s">
        <v>11098</v>
      </c>
      <c r="AR2938" t="s">
        <v>11345</v>
      </c>
      <c r="AS2938" t="s">
        <v>11595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</row>
    <row r="2939" spans="1:59">
      <c r="A2939" s="1">
        <f>HYPERLINK("https://lsnyc.legalserver.org/matter/dynamic-profile/view/1906973","19-1906973")</f>
        <v>0</v>
      </c>
      <c r="B2939" t="s">
        <v>2485</v>
      </c>
      <c r="C2939" t="s">
        <v>7261</v>
      </c>
      <c r="D2939" t="s">
        <v>9926</v>
      </c>
      <c r="E2939" t="s">
        <v>10075</v>
      </c>
      <c r="F2939">
        <v>10475</v>
      </c>
      <c r="G2939" t="s">
        <v>10090</v>
      </c>
      <c r="H2939" t="s">
        <v>10113</v>
      </c>
      <c r="I2939" t="s">
        <v>10168</v>
      </c>
      <c r="J2939" t="s">
        <v>10210</v>
      </c>
      <c r="K2939" t="s">
        <v>10218</v>
      </c>
      <c r="L2939" t="s">
        <v>10113</v>
      </c>
      <c r="M2939" t="s">
        <v>10455</v>
      </c>
      <c r="N2939" t="s">
        <v>10677</v>
      </c>
      <c r="P2939" t="s">
        <v>10756</v>
      </c>
      <c r="Q2939" t="s">
        <v>10792</v>
      </c>
      <c r="R2939" t="s">
        <v>10824</v>
      </c>
      <c r="T2939">
        <v>50400</v>
      </c>
      <c r="U2939">
        <v>4200</v>
      </c>
      <c r="V2939">
        <v>72</v>
      </c>
      <c r="W2939">
        <v>1</v>
      </c>
      <c r="X2939">
        <v>0</v>
      </c>
      <c r="Y2939" t="s">
        <v>10830</v>
      </c>
      <c r="Z2939">
        <v>403.52</v>
      </c>
      <c r="AA2939">
        <v>40.863195</v>
      </c>
      <c r="AB2939">
        <v>-73.82536399999999</v>
      </c>
      <c r="AD2939" t="s">
        <v>10839</v>
      </c>
      <c r="AG2939" t="s">
        <v>10858</v>
      </c>
      <c r="AH2939" t="s">
        <v>10869</v>
      </c>
      <c r="AI2939">
        <v>230</v>
      </c>
      <c r="AJ2939" t="s">
        <v>10210</v>
      </c>
      <c r="AK2939" t="s">
        <v>10838</v>
      </c>
      <c r="AL2939">
        <v>0.4</v>
      </c>
      <c r="AM2939" t="s">
        <v>10893</v>
      </c>
      <c r="AN2939" t="s">
        <v>10911</v>
      </c>
      <c r="AO2939" t="s">
        <v>11010</v>
      </c>
      <c r="AP2939" t="s">
        <v>11085</v>
      </c>
      <c r="AR2939" t="s">
        <v>11379</v>
      </c>
      <c r="AS2939" t="s">
        <v>9926</v>
      </c>
      <c r="AT2939" t="s">
        <v>11641</v>
      </c>
      <c r="AX2939" t="s">
        <v>10838</v>
      </c>
      <c r="AY2939" t="s">
        <v>10830</v>
      </c>
      <c r="AZ2939" t="s">
        <v>11698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</row>
    <row r="2940" spans="1:59">
      <c r="A2940" s="1">
        <f>HYPERLINK("https://lsnyc.legalserver.org/matter/dynamic-profile/view/1906974","19-1906974")</f>
        <v>0</v>
      </c>
      <c r="B2940" t="s">
        <v>2486</v>
      </c>
      <c r="C2940" t="s">
        <v>7262</v>
      </c>
      <c r="D2940" t="s">
        <v>9926</v>
      </c>
      <c r="E2940" t="s">
        <v>10075</v>
      </c>
      <c r="F2940">
        <v>10460</v>
      </c>
      <c r="G2940" t="s">
        <v>10090</v>
      </c>
      <c r="H2940" t="s">
        <v>10147</v>
      </c>
      <c r="I2940" t="s">
        <v>10168</v>
      </c>
      <c r="J2940" t="s">
        <v>10210</v>
      </c>
      <c r="K2940" t="s">
        <v>10217</v>
      </c>
      <c r="M2940" t="s">
        <v>10244</v>
      </c>
      <c r="N2940" t="s">
        <v>10650</v>
      </c>
      <c r="P2940" t="s">
        <v>10749</v>
      </c>
      <c r="Q2940" t="s">
        <v>10765</v>
      </c>
      <c r="R2940" t="s">
        <v>10824</v>
      </c>
      <c r="T2940">
        <v>17784</v>
      </c>
      <c r="U2940">
        <v>1482</v>
      </c>
      <c r="V2940">
        <v>33</v>
      </c>
      <c r="W2940">
        <v>1</v>
      </c>
      <c r="X2940">
        <v>0</v>
      </c>
      <c r="Z2940">
        <v>142.39</v>
      </c>
      <c r="AA2940">
        <v>40.842707</v>
      </c>
      <c r="AB2940">
        <v>-73.888566</v>
      </c>
      <c r="AD2940" t="s">
        <v>10839</v>
      </c>
      <c r="AG2940" t="s">
        <v>10858</v>
      </c>
      <c r="AH2940" t="s">
        <v>10862</v>
      </c>
      <c r="AI2940">
        <v>230</v>
      </c>
      <c r="AJ2940" t="s">
        <v>10210</v>
      </c>
      <c r="AL2940">
        <v>3.75</v>
      </c>
      <c r="AM2940" t="s">
        <v>10884</v>
      </c>
      <c r="AN2940" t="s">
        <v>10918</v>
      </c>
      <c r="AO2940" t="s">
        <v>11000</v>
      </c>
      <c r="AP2940" t="s">
        <v>11062</v>
      </c>
      <c r="AR2940" t="s">
        <v>11293</v>
      </c>
      <c r="AS2940" t="s">
        <v>9926</v>
      </c>
      <c r="AT2940" t="s">
        <v>11641</v>
      </c>
      <c r="AX2940" t="s">
        <v>10837</v>
      </c>
      <c r="BA2940" t="s">
        <v>11742</v>
      </c>
      <c r="BB2940">
        <v>0</v>
      </c>
      <c r="BC2940">
        <v>0</v>
      </c>
      <c r="BD2940">
        <v>0</v>
      </c>
      <c r="BE2940">
        <v>0</v>
      </c>
      <c r="BF2940">
        <v>7</v>
      </c>
      <c r="BG2940">
        <v>0</v>
      </c>
    </row>
    <row r="2941" spans="1:59">
      <c r="A2941" s="1">
        <f>HYPERLINK("https://lsnyc.legalserver.org/matter/dynamic-profile/view/1906975","19-1906975")</f>
        <v>0</v>
      </c>
      <c r="B2941" t="s">
        <v>2487</v>
      </c>
      <c r="C2941" t="s">
        <v>6937</v>
      </c>
      <c r="D2941" t="s">
        <v>9926</v>
      </c>
      <c r="E2941" t="s">
        <v>10075</v>
      </c>
      <c r="F2941">
        <v>10453</v>
      </c>
      <c r="G2941" t="s">
        <v>10090</v>
      </c>
      <c r="H2941" t="s">
        <v>10113</v>
      </c>
      <c r="I2941" t="s">
        <v>10168</v>
      </c>
      <c r="J2941" t="s">
        <v>10210</v>
      </c>
      <c r="K2941" t="s">
        <v>10217</v>
      </c>
      <c r="M2941" t="s">
        <v>10261</v>
      </c>
      <c r="N2941" t="s">
        <v>10650</v>
      </c>
      <c r="P2941" t="s">
        <v>10749</v>
      </c>
      <c r="Q2941" t="s">
        <v>10774</v>
      </c>
      <c r="R2941" t="s">
        <v>10824</v>
      </c>
      <c r="T2941">
        <v>9252</v>
      </c>
      <c r="U2941">
        <v>771</v>
      </c>
      <c r="V2941">
        <v>78</v>
      </c>
      <c r="W2941">
        <v>1</v>
      </c>
      <c r="X2941">
        <v>0</v>
      </c>
      <c r="Z2941">
        <v>74.08</v>
      </c>
      <c r="AA2941">
        <v>40.852195</v>
      </c>
      <c r="AB2941">
        <v>-73.922752</v>
      </c>
      <c r="AD2941" t="s">
        <v>10840</v>
      </c>
      <c r="AG2941" t="s">
        <v>10858</v>
      </c>
      <c r="AH2941" t="s">
        <v>10862</v>
      </c>
      <c r="AI2941">
        <v>230</v>
      </c>
      <c r="AJ2941" t="s">
        <v>10210</v>
      </c>
      <c r="AL2941">
        <v>1</v>
      </c>
      <c r="AM2941" t="s">
        <v>10887</v>
      </c>
      <c r="AN2941" t="s">
        <v>10929</v>
      </c>
      <c r="AO2941" t="s">
        <v>11013</v>
      </c>
      <c r="AP2941" t="s">
        <v>11055</v>
      </c>
      <c r="AR2941" t="s">
        <v>11263</v>
      </c>
      <c r="AS2941" t="s">
        <v>9926</v>
      </c>
      <c r="BA2941" t="s">
        <v>11741</v>
      </c>
      <c r="BB2941">
        <v>0</v>
      </c>
      <c r="BC2941">
        <v>0</v>
      </c>
      <c r="BD2941">
        <v>0</v>
      </c>
      <c r="BE2941">
        <v>0</v>
      </c>
      <c r="BF2941">
        <v>1</v>
      </c>
      <c r="BG2941">
        <v>0</v>
      </c>
    </row>
    <row r="2942" spans="1:59">
      <c r="A2942" s="1">
        <f>HYPERLINK("https://lsnyc.legalserver.org/matter/dynamic-profile/view/1906976","19-1906976")</f>
        <v>0</v>
      </c>
      <c r="B2942" t="s">
        <v>2488</v>
      </c>
      <c r="C2942" t="s">
        <v>7263</v>
      </c>
      <c r="D2942" t="s">
        <v>9963</v>
      </c>
      <c r="E2942" t="s">
        <v>10075</v>
      </c>
      <c r="F2942">
        <v>11385</v>
      </c>
      <c r="G2942" t="s">
        <v>10092</v>
      </c>
      <c r="H2942" t="s">
        <v>10113</v>
      </c>
      <c r="I2942" t="s">
        <v>10168</v>
      </c>
      <c r="J2942" t="s">
        <v>10212</v>
      </c>
      <c r="K2942" t="s">
        <v>10217</v>
      </c>
      <c r="M2942" t="s">
        <v>10410</v>
      </c>
      <c r="N2942" t="s">
        <v>10646</v>
      </c>
      <c r="P2942" t="s">
        <v>10749</v>
      </c>
      <c r="Q2942" t="s">
        <v>10765</v>
      </c>
      <c r="R2942" t="s">
        <v>10821</v>
      </c>
      <c r="T2942">
        <v>28560</v>
      </c>
      <c r="U2942">
        <v>2380</v>
      </c>
      <c r="V2942">
        <v>45</v>
      </c>
      <c r="W2942">
        <v>1</v>
      </c>
      <c r="X2942">
        <v>0</v>
      </c>
      <c r="Z2942">
        <v>228.66</v>
      </c>
      <c r="AA2942">
        <v>40.705191</v>
      </c>
      <c r="AB2942">
        <v>-73.875867</v>
      </c>
      <c r="AD2942" t="s">
        <v>10839</v>
      </c>
      <c r="AG2942" t="s">
        <v>10858</v>
      </c>
      <c r="AH2942" t="s">
        <v>10862</v>
      </c>
      <c r="AI2942">
        <v>237</v>
      </c>
      <c r="AJ2942" t="s">
        <v>10212</v>
      </c>
      <c r="AL2942">
        <v>1.03</v>
      </c>
      <c r="AM2942" t="s">
        <v>10890</v>
      </c>
      <c r="AN2942" t="s">
        <v>10952</v>
      </c>
      <c r="AO2942" t="s">
        <v>11024</v>
      </c>
      <c r="AP2942" t="s">
        <v>11077</v>
      </c>
      <c r="AR2942" t="s">
        <v>11257</v>
      </c>
      <c r="AS2942" t="s">
        <v>11594</v>
      </c>
      <c r="BA2942" t="s">
        <v>11742</v>
      </c>
      <c r="BB2942">
        <v>0</v>
      </c>
      <c r="BC2942">
        <v>0</v>
      </c>
      <c r="BD2942">
        <v>0</v>
      </c>
      <c r="BE2942">
        <v>0</v>
      </c>
      <c r="BF2942">
        <v>7</v>
      </c>
      <c r="BG2942">
        <v>0</v>
      </c>
    </row>
    <row r="2943" spans="1:59">
      <c r="A2943" s="1">
        <f>HYPERLINK("https://lsnyc.legalserver.org/matter/dynamic-profile/view/1906977","19-1906977")</f>
        <v>0</v>
      </c>
      <c r="B2943" t="s">
        <v>2489</v>
      </c>
      <c r="C2943" t="s">
        <v>7264</v>
      </c>
      <c r="D2943" t="s">
        <v>9925</v>
      </c>
      <c r="E2943" t="s">
        <v>10075</v>
      </c>
      <c r="F2943">
        <v>10037</v>
      </c>
      <c r="G2943" t="s">
        <v>10089</v>
      </c>
      <c r="H2943" t="s">
        <v>10113</v>
      </c>
      <c r="J2943" t="s">
        <v>10209</v>
      </c>
      <c r="K2943" t="s">
        <v>10217</v>
      </c>
      <c r="M2943" t="s">
        <v>10396</v>
      </c>
      <c r="N2943" t="s">
        <v>10657</v>
      </c>
      <c r="P2943" t="s">
        <v>10749</v>
      </c>
      <c r="Q2943" t="s">
        <v>10765</v>
      </c>
      <c r="R2943" t="s">
        <v>10824</v>
      </c>
      <c r="T2943">
        <v>10548</v>
      </c>
      <c r="U2943">
        <v>879</v>
      </c>
      <c r="V2943">
        <v>48</v>
      </c>
      <c r="W2943">
        <v>1</v>
      </c>
      <c r="X2943">
        <v>0</v>
      </c>
      <c r="Z2943">
        <v>84.45</v>
      </c>
      <c r="AA2943">
        <v>40.816884</v>
      </c>
      <c r="AB2943">
        <v>-73.936374</v>
      </c>
      <c r="AD2943" t="s">
        <v>10839</v>
      </c>
      <c r="AG2943" t="s">
        <v>10858</v>
      </c>
      <c r="AH2943" t="s">
        <v>10874</v>
      </c>
      <c r="AI2943">
        <v>239</v>
      </c>
      <c r="AJ2943" t="s">
        <v>10213</v>
      </c>
      <c r="AL2943">
        <v>11</v>
      </c>
      <c r="AM2943" t="s">
        <v>10887</v>
      </c>
      <c r="AN2943" t="s">
        <v>10936</v>
      </c>
      <c r="AO2943" t="s">
        <v>11016</v>
      </c>
      <c r="AP2943" t="s">
        <v>11076</v>
      </c>
      <c r="AQ2943" t="s">
        <v>11101</v>
      </c>
      <c r="AR2943" t="s">
        <v>11274</v>
      </c>
      <c r="AS2943" t="s">
        <v>9925</v>
      </c>
      <c r="AX2943" t="s">
        <v>10837</v>
      </c>
      <c r="BA2943" t="s">
        <v>11742</v>
      </c>
      <c r="BB2943">
        <v>0</v>
      </c>
      <c r="BC2943">
        <v>0</v>
      </c>
      <c r="BD2943">
        <v>0</v>
      </c>
      <c r="BE2943">
        <v>0</v>
      </c>
      <c r="BF2943">
        <v>7</v>
      </c>
      <c r="BG2943">
        <v>0</v>
      </c>
    </row>
    <row r="2944" spans="1:59">
      <c r="A2944" s="1">
        <f>HYPERLINK("https://lsnyc.legalserver.org/matter/dynamic-profile/view/1906978","19-1906978")</f>
        <v>0</v>
      </c>
      <c r="B2944" t="s">
        <v>2490</v>
      </c>
      <c r="C2944" t="s">
        <v>7265</v>
      </c>
      <c r="D2944" t="s">
        <v>9926</v>
      </c>
      <c r="E2944" t="s">
        <v>10075</v>
      </c>
      <c r="F2944">
        <v>10453</v>
      </c>
      <c r="G2944" t="s">
        <v>10090</v>
      </c>
      <c r="H2944" t="s">
        <v>10113</v>
      </c>
      <c r="I2944" t="s">
        <v>10169</v>
      </c>
      <c r="J2944" t="s">
        <v>10210</v>
      </c>
      <c r="K2944" t="s">
        <v>10218</v>
      </c>
      <c r="L2944" t="s">
        <v>10142</v>
      </c>
      <c r="M2944" t="s">
        <v>10262</v>
      </c>
      <c r="N2944" t="s">
        <v>10666</v>
      </c>
      <c r="P2944" t="s">
        <v>10749</v>
      </c>
      <c r="Q2944" t="s">
        <v>10765</v>
      </c>
      <c r="R2944" t="s">
        <v>10821</v>
      </c>
      <c r="T2944">
        <v>18200</v>
      </c>
      <c r="U2944">
        <v>1516.67</v>
      </c>
      <c r="V2944">
        <v>38</v>
      </c>
      <c r="W2944">
        <v>1</v>
      </c>
      <c r="X2944">
        <v>1</v>
      </c>
      <c r="Y2944" t="s">
        <v>10829</v>
      </c>
      <c r="Z2944">
        <v>107.63</v>
      </c>
      <c r="AA2944">
        <v>40.847489</v>
      </c>
      <c r="AB2944">
        <v>-73.91495</v>
      </c>
      <c r="AD2944" t="s">
        <v>10839</v>
      </c>
      <c r="AG2944" t="s">
        <v>10858</v>
      </c>
      <c r="AH2944" t="s">
        <v>10861</v>
      </c>
      <c r="AI2944">
        <v>230</v>
      </c>
      <c r="AJ2944" t="s">
        <v>10210</v>
      </c>
      <c r="AK2944" t="s">
        <v>10838</v>
      </c>
      <c r="AL2944">
        <v>0.5</v>
      </c>
      <c r="AM2944" t="s">
        <v>10884</v>
      </c>
      <c r="AN2944" t="s">
        <v>10929</v>
      </c>
      <c r="AO2944" t="s">
        <v>11013</v>
      </c>
      <c r="AP2944" t="s">
        <v>11045</v>
      </c>
      <c r="AR2944" t="s">
        <v>11257</v>
      </c>
      <c r="AS2944" t="s">
        <v>9926</v>
      </c>
      <c r="AT2944" t="s">
        <v>11641</v>
      </c>
      <c r="AX2944" t="s">
        <v>10838</v>
      </c>
      <c r="AY2944" t="s">
        <v>10829</v>
      </c>
      <c r="AZ2944" t="s">
        <v>11681</v>
      </c>
      <c r="BA2944" t="s">
        <v>11741</v>
      </c>
      <c r="BB2944">
        <v>0</v>
      </c>
      <c r="BC2944">
        <v>0</v>
      </c>
      <c r="BD2944">
        <v>0</v>
      </c>
      <c r="BE2944">
        <v>0</v>
      </c>
      <c r="BF2944">
        <v>1</v>
      </c>
      <c r="BG2944">
        <v>0</v>
      </c>
    </row>
    <row r="2945" spans="1:59">
      <c r="A2945" s="1">
        <f>HYPERLINK("https://lsnyc.legalserver.org/matter/dynamic-profile/view/1906979","19-1906979")</f>
        <v>0</v>
      </c>
      <c r="B2945" t="s">
        <v>2458</v>
      </c>
      <c r="C2945" t="s">
        <v>7266</v>
      </c>
      <c r="D2945" t="s">
        <v>9928</v>
      </c>
      <c r="E2945" t="s">
        <v>10075</v>
      </c>
      <c r="F2945">
        <v>11206</v>
      </c>
      <c r="G2945" t="s">
        <v>10093</v>
      </c>
      <c r="H2945" t="s">
        <v>10113</v>
      </c>
      <c r="I2945" t="s">
        <v>10168</v>
      </c>
      <c r="J2945" t="s">
        <v>10213</v>
      </c>
      <c r="K2945" t="s">
        <v>10217</v>
      </c>
      <c r="M2945" t="s">
        <v>10592</v>
      </c>
      <c r="N2945" t="s">
        <v>10664</v>
      </c>
      <c r="P2945" t="s">
        <v>10749</v>
      </c>
      <c r="Q2945" t="s">
        <v>10767</v>
      </c>
      <c r="R2945" t="s">
        <v>10824</v>
      </c>
      <c r="T2945">
        <v>2184</v>
      </c>
      <c r="U2945">
        <v>182</v>
      </c>
      <c r="V2945">
        <v>27</v>
      </c>
      <c r="W2945">
        <v>1</v>
      </c>
      <c r="X2945">
        <v>1</v>
      </c>
      <c r="Z2945">
        <v>12.92</v>
      </c>
      <c r="AA2945">
        <v>40.704352</v>
      </c>
      <c r="AB2945">
        <v>-73.940253</v>
      </c>
      <c r="AD2945" t="s">
        <v>10839</v>
      </c>
      <c r="AG2945" t="s">
        <v>10858</v>
      </c>
      <c r="AH2945" t="s">
        <v>10862</v>
      </c>
      <c r="AI2945">
        <v>239</v>
      </c>
      <c r="AJ2945" t="s">
        <v>10213</v>
      </c>
      <c r="AL2945">
        <v>6.45</v>
      </c>
      <c r="AM2945" t="s">
        <v>10886</v>
      </c>
      <c r="AN2945" t="s">
        <v>10942</v>
      </c>
      <c r="AO2945" t="s">
        <v>11011</v>
      </c>
      <c r="AP2945" t="s">
        <v>11071</v>
      </c>
      <c r="AR2945" t="s">
        <v>11255</v>
      </c>
      <c r="AS2945" t="s">
        <v>11595</v>
      </c>
      <c r="AT2945" t="s">
        <v>11641</v>
      </c>
      <c r="BA2945" t="s">
        <v>11738</v>
      </c>
      <c r="BB2945">
        <v>0</v>
      </c>
      <c r="BC2945">
        <v>0</v>
      </c>
      <c r="BD2945">
        <v>0</v>
      </c>
      <c r="BE2945">
        <v>0</v>
      </c>
      <c r="BF2945">
        <v>5</v>
      </c>
      <c r="BG2945">
        <v>0</v>
      </c>
    </row>
    <row r="2946" spans="1:59">
      <c r="A2946" s="1">
        <f>HYPERLINK("https://lsnyc.legalserver.org/matter/dynamic-profile/view/1906980","19-1906980")</f>
        <v>0</v>
      </c>
      <c r="B2946" t="s">
        <v>2458</v>
      </c>
      <c r="C2946" t="s">
        <v>7267</v>
      </c>
      <c r="D2946" t="s">
        <v>9938</v>
      </c>
      <c r="E2946" t="s">
        <v>10075</v>
      </c>
      <c r="F2946">
        <v>11434</v>
      </c>
      <c r="G2946" t="s">
        <v>10092</v>
      </c>
      <c r="H2946" t="s">
        <v>10113</v>
      </c>
      <c r="J2946" t="s">
        <v>10212</v>
      </c>
      <c r="K2946" t="s">
        <v>10217</v>
      </c>
      <c r="M2946" t="s">
        <v>10343</v>
      </c>
      <c r="N2946" t="s">
        <v>10695</v>
      </c>
      <c r="P2946" t="s">
        <v>10749</v>
      </c>
      <c r="Q2946" t="s">
        <v>10765</v>
      </c>
      <c r="R2946" t="s">
        <v>10824</v>
      </c>
      <c r="T2946">
        <v>16416</v>
      </c>
      <c r="U2946">
        <v>1368</v>
      </c>
      <c r="V2946">
        <v>27</v>
      </c>
      <c r="W2946">
        <v>1</v>
      </c>
      <c r="X2946">
        <v>0</v>
      </c>
      <c r="Z2946">
        <v>131.43</v>
      </c>
      <c r="AA2946">
        <v>40.681019</v>
      </c>
      <c r="AB2946">
        <v>-73.791192</v>
      </c>
      <c r="AD2946" t="s">
        <v>10839</v>
      </c>
      <c r="AG2946" t="s">
        <v>10858</v>
      </c>
      <c r="AH2946" t="s">
        <v>10862</v>
      </c>
      <c r="AI2946">
        <v>237</v>
      </c>
      <c r="AJ2946" t="s">
        <v>10212</v>
      </c>
      <c r="AL2946">
        <v>20.2</v>
      </c>
      <c r="AR2946" t="s">
        <v>11257</v>
      </c>
      <c r="AS2946" t="s">
        <v>11594</v>
      </c>
      <c r="AT2946" t="s">
        <v>11641</v>
      </c>
      <c r="AX2946" t="s">
        <v>10837</v>
      </c>
      <c r="BA2946" t="s">
        <v>11738</v>
      </c>
      <c r="BB2946">
        <v>0</v>
      </c>
      <c r="BC2946">
        <v>0</v>
      </c>
      <c r="BD2946">
        <v>0</v>
      </c>
      <c r="BE2946">
        <v>0</v>
      </c>
      <c r="BF2946">
        <v>5</v>
      </c>
      <c r="BG2946">
        <v>0</v>
      </c>
    </row>
    <row r="2947" spans="1:59">
      <c r="A2947" s="1">
        <f>HYPERLINK("https://lsnyc.legalserver.org/matter/dynamic-profile/view/1906981","19-1906981")</f>
        <v>0</v>
      </c>
      <c r="B2947" t="s">
        <v>2491</v>
      </c>
      <c r="C2947" t="s">
        <v>7268</v>
      </c>
      <c r="D2947" t="s">
        <v>9929</v>
      </c>
      <c r="E2947" t="s">
        <v>10075</v>
      </c>
      <c r="F2947">
        <v>10304</v>
      </c>
      <c r="G2947" t="s">
        <v>10088</v>
      </c>
      <c r="H2947" t="s">
        <v>10149</v>
      </c>
      <c r="I2947" t="s">
        <v>10168</v>
      </c>
      <c r="J2947" t="s">
        <v>10208</v>
      </c>
      <c r="K2947" t="s">
        <v>10217</v>
      </c>
      <c r="M2947" t="s">
        <v>10259</v>
      </c>
      <c r="N2947" t="s">
        <v>10650</v>
      </c>
      <c r="P2947" t="s">
        <v>10749</v>
      </c>
      <c r="Q2947" t="s">
        <v>10765</v>
      </c>
      <c r="R2947" t="s">
        <v>10824</v>
      </c>
      <c r="T2947">
        <v>24804</v>
      </c>
      <c r="U2947">
        <v>2067</v>
      </c>
      <c r="V2947">
        <v>68</v>
      </c>
      <c r="W2947">
        <v>2</v>
      </c>
      <c r="X2947">
        <v>2</v>
      </c>
      <c r="Z2947">
        <v>96.33</v>
      </c>
      <c r="AA2947">
        <v>40.631978</v>
      </c>
      <c r="AB2947">
        <v>-74.08569300000001</v>
      </c>
      <c r="AD2947" t="s">
        <v>10840</v>
      </c>
      <c r="AG2947" t="s">
        <v>10858</v>
      </c>
      <c r="AH2947" t="s">
        <v>10862</v>
      </c>
      <c r="AI2947">
        <v>285</v>
      </c>
      <c r="AJ2947" t="s">
        <v>10208</v>
      </c>
      <c r="AL2947">
        <v>1.45</v>
      </c>
      <c r="AM2947" t="s">
        <v>10883</v>
      </c>
      <c r="AN2947" t="s">
        <v>10913</v>
      </c>
      <c r="AO2947" t="s">
        <v>11006</v>
      </c>
      <c r="AP2947" t="s">
        <v>11051</v>
      </c>
      <c r="AR2947" t="s">
        <v>11269</v>
      </c>
      <c r="AS2947" t="s">
        <v>11593</v>
      </c>
      <c r="BA2947" t="s">
        <v>11740</v>
      </c>
      <c r="BB2947">
        <v>0</v>
      </c>
      <c r="BC2947">
        <v>0</v>
      </c>
      <c r="BD2947">
        <v>0</v>
      </c>
      <c r="BE2947">
        <v>0</v>
      </c>
      <c r="BF2947">
        <v>2</v>
      </c>
      <c r="BG2947">
        <v>0</v>
      </c>
    </row>
    <row r="2948" spans="1:59">
      <c r="A2948" s="1">
        <f>HYPERLINK("https://lsnyc.legalserver.org/matter/dynamic-profile/view/1906982","19-1906982")</f>
        <v>0</v>
      </c>
      <c r="B2948" t="s">
        <v>2492</v>
      </c>
      <c r="C2948" t="s">
        <v>7269</v>
      </c>
      <c r="D2948" t="s">
        <v>9926</v>
      </c>
      <c r="E2948" t="s">
        <v>10075</v>
      </c>
      <c r="F2948">
        <v>10452</v>
      </c>
      <c r="G2948" t="s">
        <v>10090</v>
      </c>
      <c r="H2948" t="s">
        <v>10113</v>
      </c>
      <c r="I2948" t="s">
        <v>10169</v>
      </c>
      <c r="J2948" t="s">
        <v>10210</v>
      </c>
      <c r="K2948" t="s">
        <v>10218</v>
      </c>
      <c r="L2948" t="s">
        <v>10153</v>
      </c>
      <c r="M2948" t="s">
        <v>10590</v>
      </c>
      <c r="N2948" t="s">
        <v>10650</v>
      </c>
      <c r="P2948" t="s">
        <v>10749</v>
      </c>
      <c r="Q2948" t="s">
        <v>10765</v>
      </c>
      <c r="R2948" t="s">
        <v>10821</v>
      </c>
      <c r="T2948">
        <v>8796</v>
      </c>
      <c r="U2948">
        <v>733</v>
      </c>
      <c r="V2948">
        <v>55</v>
      </c>
      <c r="W2948">
        <v>1</v>
      </c>
      <c r="X2948">
        <v>2</v>
      </c>
      <c r="Y2948" t="s">
        <v>10829</v>
      </c>
      <c r="Z2948">
        <v>41.24</v>
      </c>
      <c r="AA2948">
        <v>40.837665</v>
      </c>
      <c r="AB2948">
        <v>-73.921049</v>
      </c>
      <c r="AD2948" t="s">
        <v>10839</v>
      </c>
      <c r="AG2948" t="s">
        <v>10858</v>
      </c>
      <c r="AH2948" t="s">
        <v>10861</v>
      </c>
      <c r="AI2948">
        <v>230</v>
      </c>
      <c r="AJ2948" t="s">
        <v>10210</v>
      </c>
      <c r="AK2948" t="s">
        <v>10838</v>
      </c>
      <c r="AL2948">
        <v>1.4</v>
      </c>
      <c r="AM2948" t="s">
        <v>10884</v>
      </c>
      <c r="AN2948" t="s">
        <v>10924</v>
      </c>
      <c r="AO2948" t="s">
        <v>11013</v>
      </c>
      <c r="AP2948" t="s">
        <v>11055</v>
      </c>
      <c r="AR2948" t="s">
        <v>11263</v>
      </c>
      <c r="AS2948" t="s">
        <v>9926</v>
      </c>
      <c r="AY2948" t="s">
        <v>10829</v>
      </c>
      <c r="AZ2948" t="s">
        <v>11681</v>
      </c>
      <c r="BA2948" t="s">
        <v>11741</v>
      </c>
      <c r="BB2948">
        <v>0</v>
      </c>
      <c r="BC2948">
        <v>0</v>
      </c>
      <c r="BD2948">
        <v>0</v>
      </c>
      <c r="BE2948">
        <v>0</v>
      </c>
      <c r="BF2948">
        <v>1</v>
      </c>
      <c r="BG2948">
        <v>0</v>
      </c>
    </row>
    <row r="2949" spans="1:59">
      <c r="A2949" s="1">
        <f>HYPERLINK("https://lsnyc.legalserver.org/matter/dynamic-profile/view/1906983","19-1906983")</f>
        <v>0</v>
      </c>
      <c r="B2949" t="s">
        <v>2493</v>
      </c>
      <c r="C2949" t="s">
        <v>7270</v>
      </c>
      <c r="D2949" t="s">
        <v>9925</v>
      </c>
      <c r="E2949" t="s">
        <v>10075</v>
      </c>
      <c r="F2949">
        <v>10027</v>
      </c>
      <c r="G2949" t="s">
        <v>10089</v>
      </c>
      <c r="H2949" t="s">
        <v>10113</v>
      </c>
      <c r="J2949" t="s">
        <v>10209</v>
      </c>
      <c r="K2949" t="s">
        <v>10218</v>
      </c>
      <c r="L2949" t="s">
        <v>10155</v>
      </c>
      <c r="M2949" t="s">
        <v>10267</v>
      </c>
      <c r="N2949" t="s">
        <v>10715</v>
      </c>
      <c r="P2949" t="s">
        <v>10751</v>
      </c>
      <c r="Q2949" t="s">
        <v>10776</v>
      </c>
      <c r="R2949" t="s">
        <v>10825</v>
      </c>
      <c r="T2949">
        <v>17368</v>
      </c>
      <c r="U2949">
        <v>1447.33</v>
      </c>
      <c r="V2949">
        <v>36</v>
      </c>
      <c r="W2949">
        <v>2</v>
      </c>
      <c r="X2949">
        <v>3</v>
      </c>
      <c r="Y2949" t="s">
        <v>10833</v>
      </c>
      <c r="Z2949">
        <v>57.57</v>
      </c>
      <c r="AA2949">
        <v>40.806555</v>
      </c>
      <c r="AB2949">
        <v>-73.945286</v>
      </c>
      <c r="AD2949" t="s">
        <v>10839</v>
      </c>
      <c r="AG2949" t="s">
        <v>10858</v>
      </c>
      <c r="AH2949" t="s">
        <v>10874</v>
      </c>
      <c r="AI2949">
        <v>236</v>
      </c>
      <c r="AJ2949" t="s">
        <v>10209</v>
      </c>
      <c r="AK2949" t="s">
        <v>10838</v>
      </c>
      <c r="AL2949">
        <v>7</v>
      </c>
      <c r="AM2949" t="s">
        <v>10887</v>
      </c>
      <c r="AN2949" t="s">
        <v>10936</v>
      </c>
      <c r="AO2949" t="s">
        <v>11016</v>
      </c>
      <c r="AP2949" t="s">
        <v>11076</v>
      </c>
      <c r="AR2949" t="s">
        <v>11275</v>
      </c>
      <c r="AS2949" t="s">
        <v>9925</v>
      </c>
      <c r="AY2949" t="s">
        <v>10833</v>
      </c>
      <c r="AZ2949" t="s">
        <v>11710</v>
      </c>
      <c r="BB2949">
        <v>0</v>
      </c>
      <c r="BC2949">
        <v>0</v>
      </c>
      <c r="BD2949">
        <v>2931.84</v>
      </c>
      <c r="BE2949">
        <v>0</v>
      </c>
      <c r="BF2949">
        <v>0</v>
      </c>
      <c r="BG2949">
        <v>0</v>
      </c>
    </row>
    <row r="2950" spans="1:59">
      <c r="A2950" s="1">
        <f>HYPERLINK("https://lsnyc.legalserver.org/matter/dynamic-profile/view/1906984","19-1906984")</f>
        <v>0</v>
      </c>
      <c r="B2950" t="s">
        <v>2494</v>
      </c>
      <c r="C2950" t="s">
        <v>7271</v>
      </c>
      <c r="D2950" t="s">
        <v>9926</v>
      </c>
      <c r="E2950" t="s">
        <v>10075</v>
      </c>
      <c r="F2950">
        <v>10475</v>
      </c>
      <c r="G2950" t="s">
        <v>10090</v>
      </c>
      <c r="H2950" t="s">
        <v>10113</v>
      </c>
      <c r="I2950" t="s">
        <v>10168</v>
      </c>
      <c r="J2950" t="s">
        <v>10210</v>
      </c>
      <c r="K2950" t="s">
        <v>10218</v>
      </c>
      <c r="L2950" t="s">
        <v>10153</v>
      </c>
      <c r="M2950" t="s">
        <v>10590</v>
      </c>
      <c r="N2950" t="s">
        <v>10650</v>
      </c>
      <c r="P2950" t="s">
        <v>10749</v>
      </c>
      <c r="Q2950" t="s">
        <v>10765</v>
      </c>
      <c r="R2950" t="s">
        <v>10824</v>
      </c>
      <c r="T2950">
        <v>23340</v>
      </c>
      <c r="U2950">
        <v>1945</v>
      </c>
      <c r="V2950">
        <v>75</v>
      </c>
      <c r="W2950">
        <v>1</v>
      </c>
      <c r="X2950">
        <v>0</v>
      </c>
      <c r="Y2950" t="s">
        <v>10830</v>
      </c>
      <c r="Z2950">
        <v>186.87</v>
      </c>
      <c r="AA2950">
        <v>40.87206</v>
      </c>
      <c r="AB2950">
        <v>-73.832671</v>
      </c>
      <c r="AD2950" t="s">
        <v>10839</v>
      </c>
      <c r="AG2950" t="s">
        <v>10858</v>
      </c>
      <c r="AH2950" t="s">
        <v>10862</v>
      </c>
      <c r="AI2950">
        <v>230</v>
      </c>
      <c r="AJ2950" t="s">
        <v>10210</v>
      </c>
      <c r="AK2950" t="s">
        <v>10838</v>
      </c>
      <c r="AL2950">
        <v>1.4</v>
      </c>
      <c r="AM2950" t="s">
        <v>10893</v>
      </c>
      <c r="AN2950" t="s">
        <v>10911</v>
      </c>
      <c r="AO2950" t="s">
        <v>11010</v>
      </c>
      <c r="AP2950" t="s">
        <v>11085</v>
      </c>
      <c r="AR2950" t="s">
        <v>11345</v>
      </c>
      <c r="AS2950" t="s">
        <v>9926</v>
      </c>
      <c r="AY2950" t="s">
        <v>10830</v>
      </c>
      <c r="AZ2950" t="s">
        <v>11697</v>
      </c>
      <c r="BA2950" t="s">
        <v>11740</v>
      </c>
      <c r="BB2950">
        <v>0</v>
      </c>
      <c r="BC2950">
        <v>0</v>
      </c>
      <c r="BD2950">
        <v>0</v>
      </c>
      <c r="BE2950">
        <v>0</v>
      </c>
      <c r="BF2950">
        <v>2</v>
      </c>
      <c r="BG2950">
        <v>0</v>
      </c>
    </row>
    <row r="2951" spans="1:59">
      <c r="A2951" s="1">
        <f>HYPERLINK("https://lsnyc.legalserver.org/matter/dynamic-profile/view/1906985","19-1906985")</f>
        <v>0</v>
      </c>
      <c r="B2951" t="s">
        <v>2495</v>
      </c>
      <c r="C2951" t="s">
        <v>7272</v>
      </c>
      <c r="D2951" t="s">
        <v>9938</v>
      </c>
      <c r="E2951" t="s">
        <v>10075</v>
      </c>
      <c r="F2951">
        <v>11434</v>
      </c>
      <c r="G2951" t="s">
        <v>10092</v>
      </c>
      <c r="H2951" t="s">
        <v>10138</v>
      </c>
      <c r="I2951" t="s">
        <v>10169</v>
      </c>
      <c r="J2951" t="s">
        <v>10212</v>
      </c>
      <c r="K2951" t="s">
        <v>10217</v>
      </c>
      <c r="M2951" t="s">
        <v>10484</v>
      </c>
      <c r="N2951" t="s">
        <v>10693</v>
      </c>
      <c r="P2951" t="s">
        <v>10749</v>
      </c>
      <c r="Q2951" t="s">
        <v>10765</v>
      </c>
      <c r="R2951" t="s">
        <v>10821</v>
      </c>
      <c r="T2951">
        <v>57000</v>
      </c>
      <c r="U2951">
        <v>4750</v>
      </c>
      <c r="V2951">
        <v>60</v>
      </c>
      <c r="W2951">
        <v>4</v>
      </c>
      <c r="X2951">
        <v>3</v>
      </c>
      <c r="Z2951">
        <v>146.12</v>
      </c>
      <c r="AA2951">
        <v>40.687342</v>
      </c>
      <c r="AB2951">
        <v>-73.78917800000001</v>
      </c>
      <c r="AD2951" t="s">
        <v>10839</v>
      </c>
      <c r="AF2951" t="s">
        <v>10843</v>
      </c>
      <c r="AG2951" t="s">
        <v>10859</v>
      </c>
      <c r="AH2951" t="s">
        <v>10862</v>
      </c>
      <c r="AI2951">
        <v>237</v>
      </c>
      <c r="AJ2951" t="s">
        <v>10212</v>
      </c>
      <c r="AL2951">
        <v>12</v>
      </c>
      <c r="AM2951" t="s">
        <v>10892</v>
      </c>
      <c r="AN2951" t="s">
        <v>10951</v>
      </c>
      <c r="AO2951" t="s">
        <v>11017</v>
      </c>
      <c r="AP2951" t="s">
        <v>11070</v>
      </c>
      <c r="AR2951" t="s">
        <v>11257</v>
      </c>
      <c r="AS2951" t="s">
        <v>11594</v>
      </c>
      <c r="BA2951" t="s">
        <v>11742</v>
      </c>
      <c r="BB2951">
        <v>0</v>
      </c>
      <c r="BC2951">
        <v>0</v>
      </c>
      <c r="BD2951">
        <v>0</v>
      </c>
      <c r="BE2951">
        <v>0</v>
      </c>
      <c r="BF2951">
        <v>7</v>
      </c>
      <c r="BG2951">
        <v>0</v>
      </c>
    </row>
    <row r="2952" spans="1:59">
      <c r="A2952" s="1">
        <f>HYPERLINK("https://lsnyc.legalserver.org/matter/dynamic-profile/view/1906986","19-1906986")</f>
        <v>0</v>
      </c>
      <c r="B2952" t="s">
        <v>2496</v>
      </c>
      <c r="C2952" t="s">
        <v>7273</v>
      </c>
      <c r="D2952" t="s">
        <v>9925</v>
      </c>
      <c r="E2952" t="s">
        <v>10075</v>
      </c>
      <c r="F2952">
        <v>10033</v>
      </c>
      <c r="G2952" t="s">
        <v>10089</v>
      </c>
      <c r="H2952" t="s">
        <v>10113</v>
      </c>
      <c r="I2952" t="s">
        <v>10168</v>
      </c>
      <c r="J2952" t="s">
        <v>10209</v>
      </c>
      <c r="K2952" t="s">
        <v>10217</v>
      </c>
      <c r="M2952" t="s">
        <v>10529</v>
      </c>
      <c r="N2952" t="s">
        <v>10694</v>
      </c>
      <c r="P2952" t="s">
        <v>10751</v>
      </c>
      <c r="Q2952" t="s">
        <v>10780</v>
      </c>
      <c r="R2952" t="s">
        <v>10821</v>
      </c>
      <c r="T2952">
        <v>20800</v>
      </c>
      <c r="U2952">
        <v>1733.33</v>
      </c>
      <c r="V2952">
        <v>42</v>
      </c>
      <c r="W2952">
        <v>2</v>
      </c>
      <c r="X2952">
        <v>2</v>
      </c>
      <c r="Z2952">
        <v>80.78</v>
      </c>
      <c r="AA2952">
        <v>40.850632</v>
      </c>
      <c r="AB2952">
        <v>-73.939243</v>
      </c>
      <c r="AD2952" t="s">
        <v>10839</v>
      </c>
      <c r="AG2952" t="s">
        <v>10858</v>
      </c>
      <c r="AH2952" t="s">
        <v>10866</v>
      </c>
      <c r="AI2952">
        <v>236</v>
      </c>
      <c r="AJ2952" t="s">
        <v>10209</v>
      </c>
      <c r="AL2952">
        <v>0.7</v>
      </c>
      <c r="AM2952" t="s">
        <v>10887</v>
      </c>
      <c r="AN2952" t="s">
        <v>10943</v>
      </c>
      <c r="AO2952" t="s">
        <v>11019</v>
      </c>
      <c r="AP2952" t="s">
        <v>11074</v>
      </c>
      <c r="AR2952" t="s">
        <v>11257</v>
      </c>
      <c r="AS2952" t="s">
        <v>9925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</row>
    <row r="2953" spans="1:59">
      <c r="A2953" s="1">
        <f>HYPERLINK("https://lsnyc.legalserver.org/matter/dynamic-profile/view/1906987","19-1906987")</f>
        <v>0</v>
      </c>
      <c r="B2953" t="s">
        <v>2497</v>
      </c>
      <c r="C2953" t="s">
        <v>7274</v>
      </c>
      <c r="D2953" t="s">
        <v>9946</v>
      </c>
      <c r="E2953" t="s">
        <v>10075</v>
      </c>
      <c r="F2953">
        <v>11385</v>
      </c>
      <c r="G2953" t="s">
        <v>10092</v>
      </c>
      <c r="H2953" t="s">
        <v>10113</v>
      </c>
      <c r="J2953" t="s">
        <v>10212</v>
      </c>
      <c r="K2953" t="s">
        <v>10217</v>
      </c>
      <c r="M2953" t="s">
        <v>10484</v>
      </c>
      <c r="N2953" t="s">
        <v>10693</v>
      </c>
      <c r="P2953" t="s">
        <v>10749</v>
      </c>
      <c r="Q2953" t="s">
        <v>10765</v>
      </c>
      <c r="R2953" t="s">
        <v>10821</v>
      </c>
      <c r="T2953">
        <v>0</v>
      </c>
      <c r="U2953">
        <v>0</v>
      </c>
      <c r="V2953">
        <v>41</v>
      </c>
      <c r="W2953">
        <v>1</v>
      </c>
      <c r="X2953">
        <v>0</v>
      </c>
      <c r="Z2953">
        <v>0</v>
      </c>
      <c r="AA2953">
        <v>40.702652</v>
      </c>
      <c r="AB2953">
        <v>-73.895729</v>
      </c>
      <c r="AD2953" t="s">
        <v>10839</v>
      </c>
      <c r="AG2953" t="s">
        <v>10858</v>
      </c>
      <c r="AH2953" t="s">
        <v>10862</v>
      </c>
      <c r="AI2953">
        <v>237</v>
      </c>
      <c r="AJ2953" t="s">
        <v>10212</v>
      </c>
      <c r="AL2953">
        <v>24.8</v>
      </c>
      <c r="AM2953" t="s">
        <v>10890</v>
      </c>
      <c r="AN2953" t="s">
        <v>10961</v>
      </c>
      <c r="AO2953" t="s">
        <v>11024</v>
      </c>
      <c r="AP2953" t="s">
        <v>11077</v>
      </c>
      <c r="AR2953" t="s">
        <v>11267</v>
      </c>
      <c r="AS2953" t="s">
        <v>11594</v>
      </c>
      <c r="AT2953" t="s">
        <v>11641</v>
      </c>
      <c r="AX2953" t="s">
        <v>10838</v>
      </c>
      <c r="BA2953" t="s">
        <v>11738</v>
      </c>
      <c r="BB2953">
        <v>0</v>
      </c>
      <c r="BC2953">
        <v>0</v>
      </c>
      <c r="BD2953">
        <v>0</v>
      </c>
      <c r="BE2953">
        <v>0</v>
      </c>
      <c r="BF2953">
        <v>5</v>
      </c>
      <c r="BG2953">
        <v>0</v>
      </c>
    </row>
    <row r="2954" spans="1:59">
      <c r="A2954" s="1">
        <f>HYPERLINK("https://lsnyc.legalserver.org/matter/dynamic-profile/view/1906988","19-1906988")</f>
        <v>0</v>
      </c>
      <c r="B2954" t="s">
        <v>2498</v>
      </c>
      <c r="C2954" t="s">
        <v>7275</v>
      </c>
      <c r="D2954" t="s">
        <v>9925</v>
      </c>
      <c r="E2954" t="s">
        <v>10075</v>
      </c>
      <c r="F2954">
        <v>10026</v>
      </c>
      <c r="G2954" t="s">
        <v>10089</v>
      </c>
      <c r="H2954" t="s">
        <v>10113</v>
      </c>
      <c r="I2954" t="s">
        <v>10168</v>
      </c>
      <c r="J2954" t="s">
        <v>10209</v>
      </c>
      <c r="K2954" t="s">
        <v>10217</v>
      </c>
      <c r="M2954" t="s">
        <v>10381</v>
      </c>
      <c r="N2954" t="s">
        <v>10694</v>
      </c>
      <c r="P2954" t="s">
        <v>10751</v>
      </c>
      <c r="Q2954" t="s">
        <v>10780</v>
      </c>
      <c r="R2954" t="s">
        <v>10824</v>
      </c>
      <c r="T2954">
        <v>8796</v>
      </c>
      <c r="U2954">
        <v>733</v>
      </c>
      <c r="V2954">
        <v>31</v>
      </c>
      <c r="W2954">
        <v>2</v>
      </c>
      <c r="X2954">
        <v>2</v>
      </c>
      <c r="Z2954">
        <v>34.16</v>
      </c>
      <c r="AA2954">
        <v>40.798597</v>
      </c>
      <c r="AB2954">
        <v>-73.948427</v>
      </c>
      <c r="AD2954" t="s">
        <v>10839</v>
      </c>
      <c r="AG2954" t="s">
        <v>10858</v>
      </c>
      <c r="AH2954" t="s">
        <v>10866</v>
      </c>
      <c r="AI2954">
        <v>236</v>
      </c>
      <c r="AJ2954" t="s">
        <v>10209</v>
      </c>
      <c r="AL2954">
        <v>0.25</v>
      </c>
      <c r="AM2954" t="s">
        <v>10887</v>
      </c>
      <c r="AN2954" t="s">
        <v>10926</v>
      </c>
      <c r="AO2954" t="s">
        <v>11016</v>
      </c>
      <c r="AP2954" t="s">
        <v>11076</v>
      </c>
      <c r="AR2954" t="s">
        <v>11298</v>
      </c>
      <c r="AS2954" t="s">
        <v>9925</v>
      </c>
      <c r="AX2954" t="s">
        <v>10837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</row>
    <row r="2955" spans="1:59">
      <c r="A2955" s="1">
        <f>HYPERLINK("https://lsnyc.legalserver.org/matter/dynamic-profile/view/1906989","19-1906989")</f>
        <v>0</v>
      </c>
      <c r="B2955" t="s">
        <v>910</v>
      </c>
      <c r="C2955" t="s">
        <v>7276</v>
      </c>
      <c r="D2955" t="s">
        <v>9926</v>
      </c>
      <c r="E2955" t="s">
        <v>10075</v>
      </c>
      <c r="F2955">
        <v>10459</v>
      </c>
      <c r="G2955" t="s">
        <v>10090</v>
      </c>
      <c r="H2955" t="s">
        <v>10113</v>
      </c>
      <c r="I2955" t="s">
        <v>10168</v>
      </c>
      <c r="J2955" t="s">
        <v>10210</v>
      </c>
      <c r="K2955" t="s">
        <v>10218</v>
      </c>
      <c r="L2955" t="s">
        <v>10113</v>
      </c>
      <c r="M2955" t="s">
        <v>10455</v>
      </c>
      <c r="N2955" t="s">
        <v>10677</v>
      </c>
      <c r="P2955" t="s">
        <v>10756</v>
      </c>
      <c r="Q2955" t="s">
        <v>10787</v>
      </c>
      <c r="R2955" t="s">
        <v>10824</v>
      </c>
      <c r="T2955">
        <v>31224</v>
      </c>
      <c r="U2955">
        <v>2602</v>
      </c>
      <c r="V2955">
        <v>72</v>
      </c>
      <c r="W2955">
        <v>2</v>
      </c>
      <c r="X2955">
        <v>0</v>
      </c>
      <c r="Y2955" t="s">
        <v>10830</v>
      </c>
      <c r="Z2955">
        <v>184.65</v>
      </c>
      <c r="AA2955">
        <v>40.83109</v>
      </c>
      <c r="AB2955">
        <v>-73.89503499999999</v>
      </c>
      <c r="AD2955" t="s">
        <v>10840</v>
      </c>
      <c r="AG2955" t="s">
        <v>10858</v>
      </c>
      <c r="AH2955" t="s">
        <v>10869</v>
      </c>
      <c r="AI2955">
        <v>230</v>
      </c>
      <c r="AJ2955" t="s">
        <v>10210</v>
      </c>
      <c r="AK2955" t="s">
        <v>10838</v>
      </c>
      <c r="AL2955">
        <v>0.4</v>
      </c>
      <c r="AM2955" t="s">
        <v>10884</v>
      </c>
      <c r="AN2955" t="s">
        <v>10918</v>
      </c>
      <c r="AO2955" t="s">
        <v>11001</v>
      </c>
      <c r="AP2955" t="s">
        <v>11055</v>
      </c>
      <c r="AQ2955" t="s">
        <v>11149</v>
      </c>
      <c r="AR2955" t="s">
        <v>11270</v>
      </c>
      <c r="AS2955" t="s">
        <v>9926</v>
      </c>
      <c r="AT2955" t="s">
        <v>11642</v>
      </c>
      <c r="AX2955" t="s">
        <v>10838</v>
      </c>
      <c r="AY2955" t="s">
        <v>10830</v>
      </c>
      <c r="AZ2955" t="s">
        <v>11727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</row>
    <row r="2956" spans="1:59">
      <c r="A2956" s="1">
        <f>HYPERLINK("https://lsnyc.legalserver.org/matter/dynamic-profile/view/1906990","19-1906990")</f>
        <v>0</v>
      </c>
      <c r="B2956" t="s">
        <v>2499</v>
      </c>
      <c r="C2956" t="s">
        <v>7277</v>
      </c>
      <c r="D2956" t="s">
        <v>9938</v>
      </c>
      <c r="E2956" t="s">
        <v>10075</v>
      </c>
      <c r="F2956">
        <v>11433</v>
      </c>
      <c r="G2956" t="s">
        <v>10092</v>
      </c>
      <c r="H2956" t="s">
        <v>10113</v>
      </c>
      <c r="J2956" t="s">
        <v>10212</v>
      </c>
      <c r="K2956" t="s">
        <v>10217</v>
      </c>
      <c r="M2956" t="s">
        <v>10416</v>
      </c>
      <c r="N2956" t="s">
        <v>10678</v>
      </c>
      <c r="P2956" t="s">
        <v>10749</v>
      </c>
      <c r="Q2956" t="s">
        <v>10769</v>
      </c>
      <c r="R2956" t="s">
        <v>10824</v>
      </c>
      <c r="T2956">
        <v>74620.2</v>
      </c>
      <c r="U2956">
        <v>6218.35</v>
      </c>
      <c r="V2956">
        <v>50</v>
      </c>
      <c r="W2956">
        <v>2</v>
      </c>
      <c r="X2956">
        <v>0</v>
      </c>
      <c r="Z2956">
        <v>441.28</v>
      </c>
      <c r="AA2956">
        <v>40.701586</v>
      </c>
      <c r="AB2956">
        <v>-73.78205199999999</v>
      </c>
      <c r="AD2956" t="s">
        <v>10839</v>
      </c>
      <c r="AG2956" t="s">
        <v>10858</v>
      </c>
      <c r="AH2956" t="s">
        <v>10860</v>
      </c>
      <c r="AI2956">
        <v>237</v>
      </c>
      <c r="AJ2956" t="s">
        <v>10212</v>
      </c>
      <c r="AL2956">
        <v>7.3</v>
      </c>
      <c r="AR2956" t="s">
        <v>11257</v>
      </c>
      <c r="AS2956" t="s">
        <v>11594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</row>
    <row r="2957" spans="1:59">
      <c r="A2957" s="1">
        <f>HYPERLINK("https://lsnyc.legalserver.org/matter/dynamic-profile/view/1906991","19-1906991")</f>
        <v>0</v>
      </c>
      <c r="B2957" t="s">
        <v>2500</v>
      </c>
      <c r="C2957" t="s">
        <v>7278</v>
      </c>
      <c r="D2957" t="s">
        <v>9938</v>
      </c>
      <c r="E2957" t="s">
        <v>10075</v>
      </c>
      <c r="F2957">
        <v>11434</v>
      </c>
      <c r="G2957" t="s">
        <v>10092</v>
      </c>
      <c r="H2957" t="s">
        <v>10113</v>
      </c>
      <c r="I2957" t="s">
        <v>10168</v>
      </c>
      <c r="J2957" t="s">
        <v>10212</v>
      </c>
      <c r="K2957" t="s">
        <v>10217</v>
      </c>
      <c r="M2957" t="s">
        <v>10416</v>
      </c>
      <c r="N2957" t="s">
        <v>10678</v>
      </c>
      <c r="P2957" t="s">
        <v>10749</v>
      </c>
      <c r="Q2957" t="s">
        <v>10769</v>
      </c>
      <c r="R2957" t="s">
        <v>10824</v>
      </c>
      <c r="T2957">
        <v>34800</v>
      </c>
      <c r="U2957">
        <v>2900</v>
      </c>
      <c r="V2957">
        <v>74</v>
      </c>
      <c r="W2957">
        <v>2</v>
      </c>
      <c r="X2957">
        <v>0</v>
      </c>
      <c r="Z2957">
        <v>205.8</v>
      </c>
      <c r="AA2957">
        <v>40.678036</v>
      </c>
      <c r="AB2957">
        <v>-73.76119199999999</v>
      </c>
      <c r="AC2957" t="s">
        <v>10837</v>
      </c>
      <c r="AD2957" t="s">
        <v>10840</v>
      </c>
      <c r="AG2957" t="s">
        <v>10858</v>
      </c>
      <c r="AH2957" t="s">
        <v>10860</v>
      </c>
      <c r="AI2957">
        <v>237</v>
      </c>
      <c r="AJ2957" t="s">
        <v>10212</v>
      </c>
      <c r="AL2957">
        <v>7.45</v>
      </c>
      <c r="AM2957" t="s">
        <v>10892</v>
      </c>
      <c r="AN2957" t="s">
        <v>10951</v>
      </c>
      <c r="AO2957" t="s">
        <v>11017</v>
      </c>
      <c r="AP2957" t="s">
        <v>11075</v>
      </c>
      <c r="AR2957" t="s">
        <v>11270</v>
      </c>
      <c r="AS2957" t="s">
        <v>11594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</row>
    <row r="2958" spans="1:59">
      <c r="A2958" s="1">
        <f>HYPERLINK("https://lsnyc.legalserver.org/matter/dynamic-profile/view/1906992","19-1906992")</f>
        <v>0</v>
      </c>
      <c r="B2958" t="s">
        <v>2501</v>
      </c>
      <c r="C2958" t="s">
        <v>7279</v>
      </c>
      <c r="D2958" t="s">
        <v>9925</v>
      </c>
      <c r="E2958" t="s">
        <v>10075</v>
      </c>
      <c r="F2958">
        <v>10033</v>
      </c>
      <c r="G2958" t="s">
        <v>10089</v>
      </c>
      <c r="H2958" t="s">
        <v>10138</v>
      </c>
      <c r="I2958" t="s">
        <v>10169</v>
      </c>
      <c r="J2958" t="s">
        <v>10209</v>
      </c>
      <c r="K2958" t="s">
        <v>10218</v>
      </c>
      <c r="L2958" t="s">
        <v>10163</v>
      </c>
      <c r="M2958" t="s">
        <v>10389</v>
      </c>
      <c r="N2958" t="s">
        <v>10703</v>
      </c>
      <c r="P2958" t="s">
        <v>10749</v>
      </c>
      <c r="Q2958" t="s">
        <v>10765</v>
      </c>
      <c r="R2958" t="s">
        <v>10823</v>
      </c>
      <c r="T2958">
        <v>25998</v>
      </c>
      <c r="U2958">
        <v>2166.5</v>
      </c>
      <c r="V2958">
        <v>50</v>
      </c>
      <c r="W2958">
        <v>3</v>
      </c>
      <c r="X2958">
        <v>1</v>
      </c>
      <c r="Y2958" t="s">
        <v>10829</v>
      </c>
      <c r="Z2958">
        <v>100.96</v>
      </c>
      <c r="AA2958">
        <v>40.850864</v>
      </c>
      <c r="AB2958">
        <v>-73.930999</v>
      </c>
      <c r="AD2958" t="s">
        <v>10840</v>
      </c>
      <c r="AG2958" t="s">
        <v>10858</v>
      </c>
      <c r="AH2958" t="s">
        <v>10862</v>
      </c>
      <c r="AI2958">
        <v>236</v>
      </c>
      <c r="AJ2958" t="s">
        <v>10209</v>
      </c>
      <c r="AK2958" t="s">
        <v>10838</v>
      </c>
      <c r="AL2958">
        <v>0.5</v>
      </c>
      <c r="AM2958" t="s">
        <v>10887</v>
      </c>
      <c r="AN2958" t="s">
        <v>10937</v>
      </c>
      <c r="AO2958" t="s">
        <v>11019</v>
      </c>
      <c r="AP2958" t="s">
        <v>11074</v>
      </c>
      <c r="AR2958" t="s">
        <v>11343</v>
      </c>
      <c r="AS2958" t="s">
        <v>9925</v>
      </c>
      <c r="AT2958" t="s">
        <v>11642</v>
      </c>
      <c r="AX2958" t="s">
        <v>10838</v>
      </c>
      <c r="AY2958" t="s">
        <v>10829</v>
      </c>
      <c r="AZ2958" t="s">
        <v>11681</v>
      </c>
      <c r="BA2958" t="s">
        <v>11742</v>
      </c>
      <c r="BB2958">
        <v>0</v>
      </c>
      <c r="BC2958">
        <v>0</v>
      </c>
      <c r="BD2958">
        <v>0</v>
      </c>
      <c r="BE2958">
        <v>0</v>
      </c>
      <c r="BF2958">
        <v>7</v>
      </c>
      <c r="BG2958">
        <v>0</v>
      </c>
    </row>
    <row r="2959" spans="1:59">
      <c r="A2959" s="1">
        <f>HYPERLINK("https://lsnyc.legalserver.org/matter/dynamic-profile/view/1906993","19-1906993")</f>
        <v>0</v>
      </c>
      <c r="B2959" t="s">
        <v>2502</v>
      </c>
      <c r="C2959" t="s">
        <v>7280</v>
      </c>
      <c r="D2959" t="s">
        <v>9925</v>
      </c>
      <c r="E2959" t="s">
        <v>10075</v>
      </c>
      <c r="F2959">
        <v>10033</v>
      </c>
      <c r="G2959" t="s">
        <v>10089</v>
      </c>
      <c r="H2959" t="s">
        <v>10138</v>
      </c>
      <c r="I2959" t="s">
        <v>10169</v>
      </c>
      <c r="J2959" t="s">
        <v>10209</v>
      </c>
      <c r="K2959" t="s">
        <v>10217</v>
      </c>
      <c r="M2959" t="s">
        <v>10388</v>
      </c>
      <c r="N2959" t="s">
        <v>10703</v>
      </c>
      <c r="P2959" t="s">
        <v>10749</v>
      </c>
      <c r="Q2959" t="s">
        <v>10765</v>
      </c>
      <c r="R2959" t="s">
        <v>10821</v>
      </c>
      <c r="T2959">
        <v>18240</v>
      </c>
      <c r="U2959">
        <v>1520</v>
      </c>
      <c r="V2959">
        <v>69</v>
      </c>
      <c r="W2959">
        <v>2</v>
      </c>
      <c r="X2959">
        <v>0</v>
      </c>
      <c r="Z2959">
        <v>107.87</v>
      </c>
      <c r="AA2959">
        <v>40.847963</v>
      </c>
      <c r="AB2959">
        <v>-73.93510999999999</v>
      </c>
      <c r="AD2959" t="s">
        <v>10840</v>
      </c>
      <c r="AG2959" t="s">
        <v>10858</v>
      </c>
      <c r="AH2959" t="s">
        <v>10861</v>
      </c>
      <c r="AI2959">
        <v>236</v>
      </c>
      <c r="AJ2959" t="s">
        <v>10209</v>
      </c>
      <c r="AL2959">
        <v>2.15</v>
      </c>
      <c r="AM2959" t="s">
        <v>10887</v>
      </c>
      <c r="AN2959" t="s">
        <v>10937</v>
      </c>
      <c r="AO2959" t="s">
        <v>11019</v>
      </c>
      <c r="AP2959" t="s">
        <v>11074</v>
      </c>
      <c r="AR2959" t="s">
        <v>11300</v>
      </c>
      <c r="AS2959" t="s">
        <v>9925</v>
      </c>
      <c r="BA2959" t="s">
        <v>11741</v>
      </c>
      <c r="BB2959">
        <v>0</v>
      </c>
      <c r="BC2959">
        <v>0</v>
      </c>
      <c r="BD2959">
        <v>0</v>
      </c>
      <c r="BE2959">
        <v>0</v>
      </c>
      <c r="BF2959">
        <v>1</v>
      </c>
      <c r="BG2959">
        <v>0</v>
      </c>
    </row>
    <row r="2960" spans="1:59">
      <c r="A2960" s="1">
        <f>HYPERLINK("https://lsnyc.legalserver.org/matter/dynamic-profile/view/1906994","19-1906994")</f>
        <v>0</v>
      </c>
      <c r="B2960" t="s">
        <v>2503</v>
      </c>
      <c r="C2960" t="s">
        <v>7281</v>
      </c>
      <c r="D2960" t="s">
        <v>9981</v>
      </c>
      <c r="E2960" t="s">
        <v>10075</v>
      </c>
      <c r="F2960">
        <v>11378</v>
      </c>
      <c r="G2960" t="s">
        <v>10092</v>
      </c>
      <c r="H2960" t="s">
        <v>10138</v>
      </c>
      <c r="I2960" t="s">
        <v>10169</v>
      </c>
      <c r="J2960" t="s">
        <v>10212</v>
      </c>
      <c r="K2960" t="s">
        <v>10217</v>
      </c>
      <c r="M2960" t="s">
        <v>10318</v>
      </c>
      <c r="N2960" t="s">
        <v>10684</v>
      </c>
      <c r="P2960" t="s">
        <v>10751</v>
      </c>
      <c r="Q2960" t="s">
        <v>10786</v>
      </c>
      <c r="R2960" t="s">
        <v>10821</v>
      </c>
      <c r="T2960">
        <v>27040</v>
      </c>
      <c r="U2960">
        <v>2253.33</v>
      </c>
      <c r="V2960">
        <v>61</v>
      </c>
      <c r="W2960">
        <v>1</v>
      </c>
      <c r="X2960">
        <v>0</v>
      </c>
      <c r="Z2960">
        <v>216.49</v>
      </c>
      <c r="AA2960">
        <v>40.721234</v>
      </c>
      <c r="AB2960">
        <v>-73.904402</v>
      </c>
      <c r="AD2960" t="s">
        <v>10839</v>
      </c>
      <c r="AG2960" t="s">
        <v>10858</v>
      </c>
      <c r="AH2960" t="s">
        <v>10873</v>
      </c>
      <c r="AI2960">
        <v>237</v>
      </c>
      <c r="AJ2960" t="s">
        <v>10212</v>
      </c>
      <c r="AL2960">
        <v>1.75</v>
      </c>
      <c r="AM2960" t="s">
        <v>10890</v>
      </c>
      <c r="AN2960" t="s">
        <v>10961</v>
      </c>
      <c r="AO2960" t="s">
        <v>11024</v>
      </c>
      <c r="AP2960" t="s">
        <v>11077</v>
      </c>
      <c r="AR2960" t="s">
        <v>11257</v>
      </c>
      <c r="AS2960" t="s">
        <v>11594</v>
      </c>
      <c r="AT2960" t="s">
        <v>11641</v>
      </c>
      <c r="AX2960" t="s">
        <v>10838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</row>
    <row r="2961" spans="1:59">
      <c r="A2961" s="1">
        <f>HYPERLINK("https://lsnyc.legalserver.org/matter/dynamic-profile/view/1906995","19-1906995")</f>
        <v>0</v>
      </c>
      <c r="B2961" t="s">
        <v>384</v>
      </c>
      <c r="C2961" t="s">
        <v>5494</v>
      </c>
      <c r="D2961" t="s">
        <v>9928</v>
      </c>
      <c r="E2961" t="s">
        <v>10075</v>
      </c>
      <c r="F2961">
        <v>11226</v>
      </c>
      <c r="G2961" t="s">
        <v>10093</v>
      </c>
      <c r="H2961" t="s">
        <v>10138</v>
      </c>
      <c r="I2961" t="s">
        <v>10168</v>
      </c>
      <c r="J2961" t="s">
        <v>10213</v>
      </c>
      <c r="K2961" t="s">
        <v>10217</v>
      </c>
      <c r="M2961" t="s">
        <v>10592</v>
      </c>
      <c r="N2961" t="s">
        <v>10667</v>
      </c>
      <c r="P2961" t="s">
        <v>10749</v>
      </c>
      <c r="Q2961" t="s">
        <v>10765</v>
      </c>
      <c r="R2961" t="s">
        <v>10822</v>
      </c>
      <c r="T2961">
        <v>24000</v>
      </c>
      <c r="U2961">
        <v>2000</v>
      </c>
      <c r="V2961">
        <v>56</v>
      </c>
      <c r="W2961">
        <v>1</v>
      </c>
      <c r="X2961">
        <v>0</v>
      </c>
      <c r="Z2961">
        <v>192.15</v>
      </c>
      <c r="AA2961">
        <v>40.637114</v>
      </c>
      <c r="AB2961">
        <v>-73.959035</v>
      </c>
      <c r="AD2961" t="s">
        <v>10839</v>
      </c>
      <c r="AG2961" t="s">
        <v>10858</v>
      </c>
      <c r="AH2961" t="s">
        <v>10862</v>
      </c>
      <c r="AI2961">
        <v>239</v>
      </c>
      <c r="AJ2961" t="s">
        <v>10213</v>
      </c>
      <c r="AL2961">
        <v>8.550000000000001</v>
      </c>
      <c r="AM2961" t="s">
        <v>10888</v>
      </c>
      <c r="AN2961" t="s">
        <v>10932</v>
      </c>
      <c r="AO2961" t="s">
        <v>11008</v>
      </c>
      <c r="AP2961" t="s">
        <v>11050</v>
      </c>
      <c r="AR2961" t="s">
        <v>11276</v>
      </c>
      <c r="AS2961" t="s">
        <v>11595</v>
      </c>
      <c r="BA2961" t="s">
        <v>11742</v>
      </c>
      <c r="BB2961">
        <v>0</v>
      </c>
      <c r="BC2961">
        <v>0</v>
      </c>
      <c r="BD2961">
        <v>0</v>
      </c>
      <c r="BE2961">
        <v>0</v>
      </c>
      <c r="BF2961">
        <v>7</v>
      </c>
      <c r="BG2961">
        <v>0</v>
      </c>
    </row>
    <row r="2962" spans="1:59">
      <c r="A2962" s="1">
        <f>HYPERLINK("https://lsnyc.legalserver.org/matter/dynamic-profile/view/1906996","19-1906996")</f>
        <v>0</v>
      </c>
      <c r="B2962" t="s">
        <v>2504</v>
      </c>
      <c r="C2962" t="s">
        <v>7282</v>
      </c>
      <c r="D2962" t="s">
        <v>9928</v>
      </c>
      <c r="E2962" t="s">
        <v>10075</v>
      </c>
      <c r="F2962">
        <v>11221</v>
      </c>
      <c r="G2962" t="s">
        <v>10093</v>
      </c>
      <c r="H2962" t="s">
        <v>10138</v>
      </c>
      <c r="I2962" t="s">
        <v>10169</v>
      </c>
      <c r="J2962" t="s">
        <v>10213</v>
      </c>
      <c r="K2962" t="s">
        <v>10217</v>
      </c>
      <c r="M2962" t="s">
        <v>10467</v>
      </c>
      <c r="N2962" t="s">
        <v>10667</v>
      </c>
      <c r="P2962" t="s">
        <v>10749</v>
      </c>
      <c r="Q2962" t="s">
        <v>10765</v>
      </c>
      <c r="R2962" t="s">
        <v>10821</v>
      </c>
      <c r="T2962">
        <v>35292</v>
      </c>
      <c r="U2962">
        <v>2941</v>
      </c>
      <c r="V2962">
        <v>44</v>
      </c>
      <c r="W2962">
        <v>3</v>
      </c>
      <c r="X2962">
        <v>2</v>
      </c>
      <c r="Z2962">
        <v>116.98</v>
      </c>
      <c r="AA2962">
        <v>40.689902</v>
      </c>
      <c r="AB2962">
        <v>-73.91611</v>
      </c>
      <c r="AD2962" t="s">
        <v>10839</v>
      </c>
      <c r="AF2962" t="s">
        <v>10843</v>
      </c>
      <c r="AG2962" t="s">
        <v>10859</v>
      </c>
      <c r="AH2962" t="s">
        <v>10861</v>
      </c>
      <c r="AI2962">
        <v>239</v>
      </c>
      <c r="AJ2962" t="s">
        <v>10213</v>
      </c>
      <c r="AL2962">
        <v>11.6</v>
      </c>
      <c r="AM2962" t="s">
        <v>10889</v>
      </c>
      <c r="AN2962" t="s">
        <v>10920</v>
      </c>
      <c r="AO2962" t="s">
        <v>11011</v>
      </c>
      <c r="AP2962" t="s">
        <v>11071</v>
      </c>
      <c r="AR2962" t="s">
        <v>11298</v>
      </c>
      <c r="AS2962" t="s">
        <v>11595</v>
      </c>
      <c r="BA2962" t="s">
        <v>11742</v>
      </c>
      <c r="BB2962">
        <v>0</v>
      </c>
      <c r="BC2962">
        <v>0</v>
      </c>
      <c r="BD2962">
        <v>0</v>
      </c>
      <c r="BE2962">
        <v>0</v>
      </c>
      <c r="BF2962">
        <v>7</v>
      </c>
      <c r="BG2962">
        <v>0</v>
      </c>
    </row>
    <row r="2963" spans="1:59">
      <c r="A2963" s="1">
        <f>HYPERLINK("https://lsnyc.legalserver.org/matter/dynamic-profile/view/1906997","19-1906997")</f>
        <v>0</v>
      </c>
      <c r="B2963" t="s">
        <v>2505</v>
      </c>
      <c r="C2963" t="s">
        <v>7283</v>
      </c>
      <c r="D2963" t="s">
        <v>9953</v>
      </c>
      <c r="E2963" t="s">
        <v>10075</v>
      </c>
      <c r="F2963">
        <v>11104</v>
      </c>
      <c r="G2963" t="s">
        <v>10092</v>
      </c>
      <c r="H2963" t="s">
        <v>10096</v>
      </c>
      <c r="I2963" t="s">
        <v>10178</v>
      </c>
      <c r="J2963" t="s">
        <v>10212</v>
      </c>
      <c r="K2963" t="s">
        <v>10217</v>
      </c>
      <c r="M2963" t="s">
        <v>10232</v>
      </c>
      <c r="N2963" t="s">
        <v>10673</v>
      </c>
      <c r="P2963" t="s">
        <v>10753</v>
      </c>
      <c r="Q2963" t="s">
        <v>10763</v>
      </c>
      <c r="R2963" t="s">
        <v>10823</v>
      </c>
      <c r="T2963">
        <v>24000</v>
      </c>
      <c r="U2963">
        <v>2000</v>
      </c>
      <c r="V2963">
        <v>33</v>
      </c>
      <c r="W2963">
        <v>2</v>
      </c>
      <c r="X2963">
        <v>0</v>
      </c>
      <c r="Z2963">
        <v>141.93</v>
      </c>
      <c r="AA2963">
        <v>40.745103</v>
      </c>
      <c r="AB2963">
        <v>-73.918955</v>
      </c>
      <c r="AD2963" t="s">
        <v>10840</v>
      </c>
      <c r="AF2963" t="s">
        <v>10843</v>
      </c>
      <c r="AG2963" t="s">
        <v>10859</v>
      </c>
      <c r="AH2963" t="s">
        <v>10864</v>
      </c>
      <c r="AI2963">
        <v>237</v>
      </c>
      <c r="AJ2963" t="s">
        <v>10212</v>
      </c>
      <c r="AL2963">
        <v>8.869999999999999</v>
      </c>
      <c r="AM2963" t="s">
        <v>10885</v>
      </c>
      <c r="AN2963" t="s">
        <v>10961</v>
      </c>
      <c r="AO2963" t="s">
        <v>11003</v>
      </c>
      <c r="AP2963" t="s">
        <v>11047</v>
      </c>
      <c r="AQ2963" t="s">
        <v>11160</v>
      </c>
      <c r="AR2963" t="s">
        <v>11257</v>
      </c>
      <c r="AS2963" t="s">
        <v>11594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</row>
    <row r="2964" spans="1:59">
      <c r="A2964" s="1">
        <f>HYPERLINK("https://lsnyc.legalserver.org/matter/dynamic-profile/view/1906998","19-1906998")</f>
        <v>0</v>
      </c>
      <c r="B2964" t="s">
        <v>2506</v>
      </c>
      <c r="C2964" t="s">
        <v>6999</v>
      </c>
      <c r="D2964" t="s">
        <v>9926</v>
      </c>
      <c r="E2964" t="s">
        <v>10075</v>
      </c>
      <c r="F2964">
        <v>10452</v>
      </c>
      <c r="G2964" t="s">
        <v>10090</v>
      </c>
      <c r="H2964" t="s">
        <v>10138</v>
      </c>
      <c r="I2964" t="s">
        <v>10168</v>
      </c>
      <c r="J2964" t="s">
        <v>10210</v>
      </c>
      <c r="K2964" t="s">
        <v>10217</v>
      </c>
      <c r="M2964" t="s">
        <v>10579</v>
      </c>
      <c r="N2964" t="s">
        <v>10650</v>
      </c>
      <c r="P2964" t="s">
        <v>10749</v>
      </c>
      <c r="Q2964" t="s">
        <v>10765</v>
      </c>
      <c r="R2964" t="s">
        <v>10825</v>
      </c>
      <c r="T2964">
        <v>26000</v>
      </c>
      <c r="U2964">
        <v>2166.67</v>
      </c>
      <c r="V2964">
        <v>58</v>
      </c>
      <c r="W2964">
        <v>1</v>
      </c>
      <c r="X2964">
        <v>0</v>
      </c>
      <c r="Z2964">
        <v>208.17</v>
      </c>
      <c r="AA2964">
        <v>40.828115</v>
      </c>
      <c r="AB2964">
        <v>-73.923996</v>
      </c>
      <c r="AD2964" t="s">
        <v>10840</v>
      </c>
      <c r="AG2964" t="s">
        <v>10858</v>
      </c>
      <c r="AH2964" t="s">
        <v>10862</v>
      </c>
      <c r="AI2964">
        <v>230</v>
      </c>
      <c r="AJ2964" t="s">
        <v>10210</v>
      </c>
      <c r="AL2964">
        <v>0</v>
      </c>
      <c r="AM2964" t="s">
        <v>10884</v>
      </c>
      <c r="AN2964" t="s">
        <v>10924</v>
      </c>
      <c r="AO2964" t="s">
        <v>11013</v>
      </c>
      <c r="AP2964" t="s">
        <v>11066</v>
      </c>
      <c r="AR2964" t="s">
        <v>10180</v>
      </c>
      <c r="AS2964" t="s">
        <v>9926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</row>
    <row r="2965" spans="1:59">
      <c r="A2965" s="1">
        <f>HYPERLINK("https://lsnyc.legalserver.org/matter/dynamic-profile/view/1906999","19-1906999")</f>
        <v>0</v>
      </c>
      <c r="B2965" t="s">
        <v>2507</v>
      </c>
      <c r="C2965" t="s">
        <v>7284</v>
      </c>
      <c r="D2965" t="s">
        <v>9925</v>
      </c>
      <c r="E2965" t="s">
        <v>10075</v>
      </c>
      <c r="F2965">
        <v>10034</v>
      </c>
      <c r="G2965" t="s">
        <v>10089</v>
      </c>
      <c r="H2965" t="s">
        <v>10138</v>
      </c>
      <c r="I2965" t="s">
        <v>10168</v>
      </c>
      <c r="J2965" t="s">
        <v>10209</v>
      </c>
      <c r="K2965" t="s">
        <v>10217</v>
      </c>
      <c r="M2965" t="s">
        <v>10460</v>
      </c>
      <c r="N2965" t="s">
        <v>10650</v>
      </c>
      <c r="P2965" t="s">
        <v>10749</v>
      </c>
      <c r="Q2965" t="s">
        <v>10765</v>
      </c>
      <c r="R2965" t="s">
        <v>10821</v>
      </c>
      <c r="T2965">
        <v>0</v>
      </c>
      <c r="U2965">
        <v>0</v>
      </c>
      <c r="V2965">
        <v>59</v>
      </c>
      <c r="W2965">
        <v>1</v>
      </c>
      <c r="X2965">
        <v>0</v>
      </c>
      <c r="Z2965">
        <v>0</v>
      </c>
      <c r="AA2965">
        <v>40.86376</v>
      </c>
      <c r="AB2965">
        <v>-73.92365100000001</v>
      </c>
      <c r="AD2965" t="s">
        <v>10839</v>
      </c>
      <c r="AF2965" t="s">
        <v>10843</v>
      </c>
      <c r="AG2965" t="s">
        <v>10859</v>
      </c>
      <c r="AH2965" t="s">
        <v>10862</v>
      </c>
      <c r="AI2965">
        <v>236</v>
      </c>
      <c r="AJ2965" t="s">
        <v>10209</v>
      </c>
      <c r="AL2965">
        <v>2.9</v>
      </c>
      <c r="AM2965" t="s">
        <v>10887</v>
      </c>
      <c r="AN2965" t="s">
        <v>10937</v>
      </c>
      <c r="AO2965" t="s">
        <v>11019</v>
      </c>
      <c r="AP2965" t="s">
        <v>11074</v>
      </c>
      <c r="AR2965" t="s">
        <v>11267</v>
      </c>
      <c r="AS2965" t="s">
        <v>9925</v>
      </c>
      <c r="AT2965" t="s">
        <v>11641</v>
      </c>
      <c r="AX2965" t="s">
        <v>11678</v>
      </c>
      <c r="BA2965" t="s">
        <v>11742</v>
      </c>
      <c r="BB2965">
        <v>0</v>
      </c>
      <c r="BC2965">
        <v>0</v>
      </c>
      <c r="BD2965">
        <v>0</v>
      </c>
      <c r="BE2965">
        <v>0</v>
      </c>
      <c r="BF2965">
        <v>7</v>
      </c>
      <c r="BG2965">
        <v>0</v>
      </c>
    </row>
    <row r="2966" spans="1:59">
      <c r="A2966" s="1">
        <f>HYPERLINK("https://lsnyc.legalserver.org/matter/dynamic-profile/view/1907000","19-1907000")</f>
        <v>0</v>
      </c>
      <c r="B2966" t="s">
        <v>2508</v>
      </c>
      <c r="C2966" t="s">
        <v>7285</v>
      </c>
      <c r="D2966" t="s">
        <v>9925</v>
      </c>
      <c r="E2966" t="s">
        <v>10075</v>
      </c>
      <c r="F2966">
        <v>10036</v>
      </c>
      <c r="G2966" t="s">
        <v>10089</v>
      </c>
      <c r="H2966" t="s">
        <v>10138</v>
      </c>
      <c r="I2966" t="s">
        <v>10168</v>
      </c>
      <c r="J2966" t="s">
        <v>10209</v>
      </c>
      <c r="K2966" t="s">
        <v>10217</v>
      </c>
      <c r="M2966" t="s">
        <v>10575</v>
      </c>
      <c r="N2966" t="s">
        <v>10703</v>
      </c>
      <c r="P2966" t="s">
        <v>10749</v>
      </c>
      <c r="Q2966" t="s">
        <v>10765</v>
      </c>
      <c r="R2966" t="s">
        <v>10820</v>
      </c>
      <c r="T2966">
        <v>15336</v>
      </c>
      <c r="U2966">
        <v>1278</v>
      </c>
      <c r="V2966">
        <v>57</v>
      </c>
      <c r="W2966">
        <v>1</v>
      </c>
      <c r="X2966">
        <v>0</v>
      </c>
      <c r="Z2966">
        <v>122.79</v>
      </c>
      <c r="AA2966">
        <v>40.75899</v>
      </c>
      <c r="AB2966">
        <v>-73.99472400000001</v>
      </c>
      <c r="AD2966" t="s">
        <v>10840</v>
      </c>
      <c r="AG2966" t="s">
        <v>10858</v>
      </c>
      <c r="AH2966" t="s">
        <v>10862</v>
      </c>
      <c r="AI2966">
        <v>236</v>
      </c>
      <c r="AJ2966" t="s">
        <v>10209</v>
      </c>
      <c r="AL2966">
        <v>2.2</v>
      </c>
      <c r="AM2966" t="s">
        <v>10894</v>
      </c>
      <c r="AN2966" t="s">
        <v>10966</v>
      </c>
      <c r="AO2966" t="s">
        <v>11021</v>
      </c>
      <c r="AP2966" t="s">
        <v>11090</v>
      </c>
      <c r="AR2966" t="s">
        <v>11296</v>
      </c>
      <c r="AS2966" t="s">
        <v>9925</v>
      </c>
      <c r="AT2966" t="s">
        <v>11642</v>
      </c>
      <c r="AX2966" t="s">
        <v>10838</v>
      </c>
      <c r="BA2966" t="s">
        <v>11741</v>
      </c>
      <c r="BB2966">
        <v>0</v>
      </c>
      <c r="BC2966">
        <v>0</v>
      </c>
      <c r="BD2966">
        <v>0</v>
      </c>
      <c r="BE2966">
        <v>0</v>
      </c>
      <c r="BF2966">
        <v>1</v>
      </c>
      <c r="BG2966">
        <v>0</v>
      </c>
    </row>
    <row r="2967" spans="1:59">
      <c r="A2967" s="1">
        <f>HYPERLINK("https://lsnyc.legalserver.org/matter/dynamic-profile/view/1907001","19-1907001")</f>
        <v>0</v>
      </c>
      <c r="B2967" t="s">
        <v>1395</v>
      </c>
      <c r="C2967" t="s">
        <v>6219</v>
      </c>
      <c r="D2967" t="s">
        <v>9928</v>
      </c>
      <c r="E2967" t="s">
        <v>10075</v>
      </c>
      <c r="F2967">
        <v>11233</v>
      </c>
      <c r="G2967" t="s">
        <v>10088</v>
      </c>
      <c r="H2967" t="s">
        <v>10147</v>
      </c>
      <c r="I2967" t="s">
        <v>10169</v>
      </c>
      <c r="J2967" t="s">
        <v>10208</v>
      </c>
      <c r="K2967" t="s">
        <v>10217</v>
      </c>
      <c r="M2967" t="s">
        <v>10542</v>
      </c>
      <c r="N2967" t="s">
        <v>10729</v>
      </c>
      <c r="P2967" t="s">
        <v>10754</v>
      </c>
      <c r="Q2967" t="s">
        <v>10771</v>
      </c>
      <c r="R2967" t="s">
        <v>10821</v>
      </c>
      <c r="T2967">
        <v>17992</v>
      </c>
      <c r="U2967">
        <v>1499.33</v>
      </c>
      <c r="V2967">
        <v>31</v>
      </c>
      <c r="W2967">
        <v>1</v>
      </c>
      <c r="X2967">
        <v>1</v>
      </c>
      <c r="Z2967">
        <v>106.4</v>
      </c>
      <c r="AA2967">
        <v>40.681771</v>
      </c>
      <c r="AB2967">
        <v>-73.923737</v>
      </c>
      <c r="AD2967" t="s">
        <v>10839</v>
      </c>
      <c r="AF2967" t="s">
        <v>10842</v>
      </c>
      <c r="AG2967" t="s">
        <v>10859</v>
      </c>
      <c r="AH2967" t="s">
        <v>10861</v>
      </c>
      <c r="AI2967">
        <v>285</v>
      </c>
      <c r="AJ2967" t="s">
        <v>10208</v>
      </c>
      <c r="AL2967">
        <v>1.5</v>
      </c>
      <c r="AM2967" t="s">
        <v>10889</v>
      </c>
      <c r="AN2967" t="s">
        <v>10922</v>
      </c>
      <c r="AO2967" t="s">
        <v>11007</v>
      </c>
      <c r="AP2967" t="s">
        <v>11064</v>
      </c>
      <c r="AQ2967" t="s">
        <v>11102</v>
      </c>
      <c r="AR2967" t="s">
        <v>11383</v>
      </c>
      <c r="AS2967" t="s">
        <v>11595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</row>
    <row r="2968" spans="1:59">
      <c r="A2968" s="1">
        <f>HYPERLINK("https://lsnyc.legalserver.org/matter/dynamic-profile/view/1907002","19-1907002")</f>
        <v>0</v>
      </c>
      <c r="B2968" t="s">
        <v>1395</v>
      </c>
      <c r="C2968" t="s">
        <v>6219</v>
      </c>
      <c r="D2968" t="s">
        <v>9928</v>
      </c>
      <c r="E2968" t="s">
        <v>10075</v>
      </c>
      <c r="F2968">
        <v>11233</v>
      </c>
      <c r="G2968" t="s">
        <v>10088</v>
      </c>
      <c r="H2968" t="s">
        <v>10147</v>
      </c>
      <c r="I2968" t="s">
        <v>10169</v>
      </c>
      <c r="J2968" t="s">
        <v>10208</v>
      </c>
      <c r="K2968" t="s">
        <v>10217</v>
      </c>
      <c r="M2968" t="s">
        <v>10542</v>
      </c>
      <c r="N2968" t="s">
        <v>10729</v>
      </c>
      <c r="P2968" t="s">
        <v>10754</v>
      </c>
      <c r="Q2968" t="s">
        <v>10770</v>
      </c>
      <c r="R2968" t="s">
        <v>10821</v>
      </c>
      <c r="T2968">
        <v>17992</v>
      </c>
      <c r="U2968">
        <v>1499.33</v>
      </c>
      <c r="V2968">
        <v>31</v>
      </c>
      <c r="W2968">
        <v>1</v>
      </c>
      <c r="X2968">
        <v>1</v>
      </c>
      <c r="Z2968">
        <v>106.4</v>
      </c>
      <c r="AA2968">
        <v>40.681771</v>
      </c>
      <c r="AB2968">
        <v>-73.923737</v>
      </c>
      <c r="AD2968" t="s">
        <v>10839</v>
      </c>
      <c r="AF2968" t="s">
        <v>10842</v>
      </c>
      <c r="AG2968" t="s">
        <v>10859</v>
      </c>
      <c r="AH2968" t="s">
        <v>10861</v>
      </c>
      <c r="AI2968">
        <v>285</v>
      </c>
      <c r="AJ2968" t="s">
        <v>10208</v>
      </c>
      <c r="AL2968">
        <v>2</v>
      </c>
      <c r="AM2968" t="s">
        <v>10889</v>
      </c>
      <c r="AN2968" t="s">
        <v>10922</v>
      </c>
      <c r="AO2968" t="s">
        <v>11007</v>
      </c>
      <c r="AP2968" t="s">
        <v>11064</v>
      </c>
      <c r="AQ2968" t="s">
        <v>11111</v>
      </c>
      <c r="AR2968" t="s">
        <v>11383</v>
      </c>
      <c r="AS2968" t="s">
        <v>11595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</row>
    <row r="2969" spans="1:59">
      <c r="A2969" s="1">
        <f>HYPERLINK("https://lsnyc.legalserver.org/matter/dynamic-profile/view/1907003","19-1907003")</f>
        <v>0</v>
      </c>
      <c r="B2969" t="s">
        <v>2509</v>
      </c>
      <c r="C2969" t="s">
        <v>7286</v>
      </c>
      <c r="D2969" t="s">
        <v>9930</v>
      </c>
      <c r="E2969" t="s">
        <v>10075</v>
      </c>
      <c r="F2969">
        <v>11373</v>
      </c>
      <c r="G2969" t="s">
        <v>10092</v>
      </c>
      <c r="H2969" t="s">
        <v>10138</v>
      </c>
      <c r="I2969" t="s">
        <v>10169</v>
      </c>
      <c r="J2969" t="s">
        <v>10212</v>
      </c>
      <c r="K2969" t="s">
        <v>10217</v>
      </c>
      <c r="M2969" t="s">
        <v>10491</v>
      </c>
      <c r="N2969" t="s">
        <v>10693</v>
      </c>
      <c r="P2969" t="s">
        <v>10749</v>
      </c>
      <c r="Q2969" t="s">
        <v>10765</v>
      </c>
      <c r="R2969" t="s">
        <v>10821</v>
      </c>
      <c r="T2969">
        <v>28800</v>
      </c>
      <c r="U2969">
        <v>2400</v>
      </c>
      <c r="V2969">
        <v>65</v>
      </c>
      <c r="W2969">
        <v>3</v>
      </c>
      <c r="X2969">
        <v>0</v>
      </c>
      <c r="Z2969">
        <v>135.02</v>
      </c>
      <c r="AA2969">
        <v>40.736422</v>
      </c>
      <c r="AB2969">
        <v>-73.867999</v>
      </c>
      <c r="AD2969" t="s">
        <v>10840</v>
      </c>
      <c r="AG2969" t="s">
        <v>10858</v>
      </c>
      <c r="AH2969" t="s">
        <v>10862</v>
      </c>
      <c r="AI2969">
        <v>237</v>
      </c>
      <c r="AJ2969" t="s">
        <v>10212</v>
      </c>
      <c r="AL2969">
        <v>13.9</v>
      </c>
      <c r="AM2969" t="s">
        <v>10890</v>
      </c>
      <c r="AN2969" t="s">
        <v>10916</v>
      </c>
      <c r="AO2969" t="s">
        <v>11014</v>
      </c>
      <c r="AP2969" t="s">
        <v>11053</v>
      </c>
      <c r="AR2969" t="s">
        <v>11257</v>
      </c>
      <c r="AS2969" t="s">
        <v>11594</v>
      </c>
      <c r="BA2969" t="s">
        <v>11738</v>
      </c>
      <c r="BB2969">
        <v>0</v>
      </c>
      <c r="BC2969">
        <v>0</v>
      </c>
      <c r="BD2969">
        <v>0</v>
      </c>
      <c r="BE2969">
        <v>0</v>
      </c>
      <c r="BF2969">
        <v>5</v>
      </c>
      <c r="BG2969">
        <v>0</v>
      </c>
    </row>
    <row r="2970" spans="1:59">
      <c r="A2970" s="1">
        <f>HYPERLINK("https://lsnyc.legalserver.org/matter/dynamic-profile/view/1907004","19-1907004")</f>
        <v>0</v>
      </c>
      <c r="B2970" t="s">
        <v>2510</v>
      </c>
      <c r="C2970" t="s">
        <v>7287</v>
      </c>
      <c r="D2970" t="s">
        <v>9929</v>
      </c>
      <c r="E2970" t="s">
        <v>10075</v>
      </c>
      <c r="F2970">
        <v>10306</v>
      </c>
      <c r="G2970" t="s">
        <v>10088</v>
      </c>
      <c r="H2970" t="s">
        <v>10138</v>
      </c>
      <c r="I2970" t="s">
        <v>10168</v>
      </c>
      <c r="J2970" t="s">
        <v>10208</v>
      </c>
      <c r="K2970" t="s">
        <v>10217</v>
      </c>
      <c r="M2970" t="s">
        <v>10468</v>
      </c>
      <c r="N2970" t="s">
        <v>10661</v>
      </c>
      <c r="P2970" t="s">
        <v>10749</v>
      </c>
      <c r="Q2970" t="s">
        <v>10759</v>
      </c>
      <c r="R2970" t="s">
        <v>10820</v>
      </c>
      <c r="T2970">
        <v>14500</v>
      </c>
      <c r="U2970">
        <v>1208.33</v>
      </c>
      <c r="V2970">
        <v>60</v>
      </c>
      <c r="W2970">
        <v>2</v>
      </c>
      <c r="X2970">
        <v>0</v>
      </c>
      <c r="Z2970">
        <v>85.75</v>
      </c>
      <c r="AA2970">
        <v>40.573836</v>
      </c>
      <c r="AB2970">
        <v>-74.090157</v>
      </c>
      <c r="AD2970" t="s">
        <v>10840</v>
      </c>
      <c r="AG2970" t="s">
        <v>10858</v>
      </c>
      <c r="AH2970" t="s">
        <v>10860</v>
      </c>
      <c r="AI2970">
        <v>285</v>
      </c>
      <c r="AJ2970" t="s">
        <v>10208</v>
      </c>
      <c r="AL2970">
        <v>9.1</v>
      </c>
      <c r="AM2970" t="s">
        <v>10883</v>
      </c>
      <c r="AN2970" t="s">
        <v>10915</v>
      </c>
      <c r="AO2970" t="s">
        <v>10999</v>
      </c>
      <c r="AP2970" t="s">
        <v>11063</v>
      </c>
      <c r="AQ2970" t="s">
        <v>11227</v>
      </c>
      <c r="AR2970" t="s">
        <v>11257</v>
      </c>
      <c r="AS2970" t="s">
        <v>11593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</row>
    <row r="2971" spans="1:59">
      <c r="A2971" s="1">
        <f>HYPERLINK("https://lsnyc.legalserver.org/matter/dynamic-profile/view/1907005","19-1907005")</f>
        <v>0</v>
      </c>
      <c r="B2971" t="s">
        <v>2511</v>
      </c>
      <c r="C2971" t="s">
        <v>6937</v>
      </c>
      <c r="D2971" t="s">
        <v>9926</v>
      </c>
      <c r="E2971" t="s">
        <v>10075</v>
      </c>
      <c r="F2971">
        <v>10453</v>
      </c>
      <c r="G2971" t="s">
        <v>10091</v>
      </c>
      <c r="H2971" t="s">
        <v>10138</v>
      </c>
      <c r="I2971" t="s">
        <v>10168</v>
      </c>
      <c r="J2971" t="s">
        <v>10214</v>
      </c>
      <c r="K2971" t="s">
        <v>10217</v>
      </c>
      <c r="M2971" t="s">
        <v>10286</v>
      </c>
      <c r="N2971" t="s">
        <v>10671</v>
      </c>
      <c r="P2971" t="s">
        <v>10752</v>
      </c>
      <c r="Q2971" t="s">
        <v>10762</v>
      </c>
      <c r="R2971" t="s">
        <v>10825</v>
      </c>
      <c r="T2971">
        <v>15576</v>
      </c>
      <c r="U2971">
        <v>1298</v>
      </c>
      <c r="V2971">
        <v>31</v>
      </c>
      <c r="W2971">
        <v>1</v>
      </c>
      <c r="X2971">
        <v>1</v>
      </c>
      <c r="Z2971">
        <v>92.11</v>
      </c>
      <c r="AA2971">
        <v>40.852195</v>
      </c>
      <c r="AB2971">
        <v>-73.922752</v>
      </c>
      <c r="AD2971" t="s">
        <v>10839</v>
      </c>
      <c r="AG2971" t="s">
        <v>10858</v>
      </c>
      <c r="AH2971" t="s">
        <v>10861</v>
      </c>
      <c r="AI2971">
        <v>234</v>
      </c>
      <c r="AJ2971" t="s">
        <v>10214</v>
      </c>
      <c r="AL2971">
        <v>0.9</v>
      </c>
      <c r="AM2971" t="s">
        <v>10887</v>
      </c>
      <c r="AN2971" t="s">
        <v>10929</v>
      </c>
      <c r="AO2971" t="s">
        <v>11013</v>
      </c>
      <c r="AP2971" t="s">
        <v>11055</v>
      </c>
      <c r="AR2971" t="s">
        <v>11274</v>
      </c>
      <c r="AS2971" t="s">
        <v>9926</v>
      </c>
      <c r="AT2971" t="s">
        <v>11641</v>
      </c>
      <c r="AX2971" t="s">
        <v>10838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</row>
    <row r="2972" spans="1:59">
      <c r="A2972" s="1">
        <f>HYPERLINK("https://lsnyc.legalserver.org/matter/dynamic-profile/view/1907006","19-1907006")</f>
        <v>0</v>
      </c>
      <c r="B2972" t="s">
        <v>2512</v>
      </c>
      <c r="C2972" t="s">
        <v>7288</v>
      </c>
      <c r="D2972" t="s">
        <v>9926</v>
      </c>
      <c r="E2972" t="s">
        <v>10075</v>
      </c>
      <c r="F2972">
        <v>10468</v>
      </c>
      <c r="G2972" t="s">
        <v>10091</v>
      </c>
      <c r="H2972" t="s">
        <v>10138</v>
      </c>
      <c r="I2972" t="s">
        <v>10168</v>
      </c>
      <c r="J2972" t="s">
        <v>10214</v>
      </c>
      <c r="K2972" t="s">
        <v>10218</v>
      </c>
      <c r="L2972" t="s">
        <v>10153</v>
      </c>
      <c r="M2972" t="s">
        <v>10336</v>
      </c>
      <c r="N2972" t="s">
        <v>10671</v>
      </c>
      <c r="P2972" t="s">
        <v>10758</v>
      </c>
      <c r="Q2972" t="s">
        <v>10793</v>
      </c>
      <c r="R2972" t="s">
        <v>10821</v>
      </c>
      <c r="T2972">
        <v>18000</v>
      </c>
      <c r="U2972">
        <v>1500</v>
      </c>
      <c r="V2972">
        <v>43</v>
      </c>
      <c r="W2972">
        <v>1</v>
      </c>
      <c r="X2972">
        <v>0</v>
      </c>
      <c r="Y2972" t="s">
        <v>10829</v>
      </c>
      <c r="Z2972">
        <v>144.12</v>
      </c>
      <c r="AA2972">
        <v>40.868944</v>
      </c>
      <c r="AB2972">
        <v>-73.900204</v>
      </c>
      <c r="AD2972" t="s">
        <v>10839</v>
      </c>
      <c r="AG2972" t="s">
        <v>10858</v>
      </c>
      <c r="AH2972" t="s">
        <v>10871</v>
      </c>
      <c r="AI2972">
        <v>234</v>
      </c>
      <c r="AJ2972" t="s">
        <v>10214</v>
      </c>
      <c r="AK2972" t="s">
        <v>10882</v>
      </c>
      <c r="AL2972">
        <v>2.35</v>
      </c>
      <c r="AM2972" t="s">
        <v>10887</v>
      </c>
      <c r="AN2972" t="s">
        <v>10919</v>
      </c>
      <c r="AO2972" t="s">
        <v>11000</v>
      </c>
      <c r="AP2972" t="s">
        <v>11045</v>
      </c>
      <c r="AR2972" t="s">
        <v>11401</v>
      </c>
      <c r="AS2972" t="s">
        <v>9926</v>
      </c>
      <c r="AT2972" t="s">
        <v>11641</v>
      </c>
      <c r="AX2972" t="s">
        <v>10838</v>
      </c>
      <c r="AY2972" t="s">
        <v>10829</v>
      </c>
      <c r="AZ2972" t="s">
        <v>11714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</row>
    <row r="2973" spans="1:59">
      <c r="A2973" s="1">
        <f>HYPERLINK("https://lsnyc.legalserver.org/matter/dynamic-profile/view/1907007","19-1907007")</f>
        <v>0</v>
      </c>
      <c r="B2973" t="s">
        <v>2513</v>
      </c>
      <c r="C2973" t="s">
        <v>7289</v>
      </c>
      <c r="D2973" t="s">
        <v>10017</v>
      </c>
      <c r="E2973" t="s">
        <v>10075</v>
      </c>
      <c r="F2973">
        <v>13215</v>
      </c>
      <c r="G2973" t="s">
        <v>10093</v>
      </c>
      <c r="H2973" t="s">
        <v>10138</v>
      </c>
      <c r="I2973" t="s">
        <v>10168</v>
      </c>
      <c r="J2973" t="s">
        <v>10213</v>
      </c>
      <c r="K2973" t="s">
        <v>10218</v>
      </c>
      <c r="L2973" t="s">
        <v>10156</v>
      </c>
      <c r="M2973" t="s">
        <v>10330</v>
      </c>
      <c r="N2973" t="s">
        <v>10710</v>
      </c>
      <c r="P2973" t="s">
        <v>10750</v>
      </c>
      <c r="Q2973" t="s">
        <v>10760</v>
      </c>
      <c r="R2973" t="s">
        <v>10820</v>
      </c>
      <c r="T2973">
        <v>119540</v>
      </c>
      <c r="U2973">
        <v>9961.67</v>
      </c>
      <c r="V2973">
        <v>54</v>
      </c>
      <c r="W2973">
        <v>4</v>
      </c>
      <c r="X2973">
        <v>0</v>
      </c>
      <c r="Y2973" t="s">
        <v>10829</v>
      </c>
      <c r="Z2973">
        <v>464.23</v>
      </c>
      <c r="AA2973">
        <v>42.998591</v>
      </c>
      <c r="AB2973">
        <v>-76.171536</v>
      </c>
      <c r="AD2973" t="s">
        <v>10840</v>
      </c>
      <c r="AG2973" t="s">
        <v>10858</v>
      </c>
      <c r="AH2973" t="s">
        <v>10861</v>
      </c>
      <c r="AI2973">
        <v>234</v>
      </c>
      <c r="AJ2973" t="s">
        <v>10214</v>
      </c>
      <c r="AK2973" t="s">
        <v>10838</v>
      </c>
      <c r="AL2973">
        <v>6.75</v>
      </c>
      <c r="AM2973" t="s">
        <v>10903</v>
      </c>
      <c r="AN2973" t="s">
        <v>10986</v>
      </c>
      <c r="AO2973" t="s">
        <v>11039</v>
      </c>
      <c r="AR2973" t="s">
        <v>11328</v>
      </c>
      <c r="AS2973" t="s">
        <v>11619</v>
      </c>
      <c r="AT2973" t="s">
        <v>11642</v>
      </c>
      <c r="AX2973" t="s">
        <v>10838</v>
      </c>
      <c r="AY2973" t="s">
        <v>10829</v>
      </c>
      <c r="AZ2973" t="s">
        <v>11679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</row>
    <row r="2974" spans="1:59">
      <c r="A2974" s="1">
        <f>HYPERLINK("https://lsnyc.legalserver.org/matter/dynamic-profile/view/1907008","19-1907008")</f>
        <v>0</v>
      </c>
      <c r="B2974" t="s">
        <v>2514</v>
      </c>
      <c r="C2974" t="s">
        <v>7290</v>
      </c>
      <c r="D2974" t="s">
        <v>9946</v>
      </c>
      <c r="E2974" t="s">
        <v>10075</v>
      </c>
      <c r="F2974">
        <v>11385</v>
      </c>
      <c r="G2974" t="s">
        <v>10092</v>
      </c>
      <c r="H2974" t="s">
        <v>10138</v>
      </c>
      <c r="I2974" t="s">
        <v>10169</v>
      </c>
      <c r="J2974" t="s">
        <v>10212</v>
      </c>
      <c r="K2974" t="s">
        <v>10217</v>
      </c>
      <c r="M2974" t="s">
        <v>10335</v>
      </c>
      <c r="N2974" t="s">
        <v>10693</v>
      </c>
      <c r="P2974" t="s">
        <v>10749</v>
      </c>
      <c r="Q2974" t="s">
        <v>10765</v>
      </c>
      <c r="R2974" t="s">
        <v>10821</v>
      </c>
      <c r="T2974">
        <v>41600</v>
      </c>
      <c r="U2974">
        <v>3466.67</v>
      </c>
      <c r="V2974">
        <v>39</v>
      </c>
      <c r="W2974">
        <v>3</v>
      </c>
      <c r="X2974">
        <v>2</v>
      </c>
      <c r="Z2974">
        <v>137.89</v>
      </c>
      <c r="AA2974">
        <v>40.702294</v>
      </c>
      <c r="AB2974">
        <v>-73.90061799999999</v>
      </c>
      <c r="AD2974" t="s">
        <v>10840</v>
      </c>
      <c r="AG2974" t="s">
        <v>10858</v>
      </c>
      <c r="AH2974" t="s">
        <v>10862</v>
      </c>
      <c r="AI2974">
        <v>237</v>
      </c>
      <c r="AJ2974" t="s">
        <v>10212</v>
      </c>
      <c r="AL2974">
        <v>2.23</v>
      </c>
      <c r="AM2974" t="s">
        <v>10886</v>
      </c>
      <c r="AN2974" t="s">
        <v>10961</v>
      </c>
      <c r="AO2974" t="s">
        <v>11024</v>
      </c>
      <c r="AP2974" t="s">
        <v>11077</v>
      </c>
      <c r="AR2974" t="s">
        <v>11257</v>
      </c>
      <c r="AS2974" t="s">
        <v>11594</v>
      </c>
      <c r="BA2974" t="s">
        <v>11738</v>
      </c>
      <c r="BB2974">
        <v>0</v>
      </c>
      <c r="BC2974">
        <v>0</v>
      </c>
      <c r="BD2974">
        <v>0</v>
      </c>
      <c r="BE2974">
        <v>0</v>
      </c>
      <c r="BF2974">
        <v>5</v>
      </c>
      <c r="BG2974">
        <v>0</v>
      </c>
    </row>
    <row r="2975" spans="1:59">
      <c r="A2975" s="1">
        <f>HYPERLINK("https://lsnyc.legalserver.org/matter/dynamic-profile/view/1907009","19-1907009")</f>
        <v>0</v>
      </c>
      <c r="B2975" t="s">
        <v>2515</v>
      </c>
      <c r="C2975" t="s">
        <v>7291</v>
      </c>
      <c r="D2975" t="s">
        <v>9930</v>
      </c>
      <c r="E2975" t="s">
        <v>10075</v>
      </c>
      <c r="F2975">
        <v>11373</v>
      </c>
      <c r="G2975" t="s">
        <v>10092</v>
      </c>
      <c r="H2975" t="s">
        <v>10138</v>
      </c>
      <c r="I2975" t="s">
        <v>10169</v>
      </c>
      <c r="J2975" t="s">
        <v>10212</v>
      </c>
      <c r="K2975" t="s">
        <v>10218</v>
      </c>
      <c r="L2975" t="s">
        <v>10155</v>
      </c>
      <c r="M2975" t="s">
        <v>10318</v>
      </c>
      <c r="N2975" t="s">
        <v>10684</v>
      </c>
      <c r="P2975" t="s">
        <v>10751</v>
      </c>
      <c r="Q2975" t="s">
        <v>10786</v>
      </c>
      <c r="R2975" t="s">
        <v>10821</v>
      </c>
      <c r="T2975">
        <v>12506</v>
      </c>
      <c r="U2975">
        <v>1042.17</v>
      </c>
      <c r="V2975">
        <v>58</v>
      </c>
      <c r="W2975">
        <v>2</v>
      </c>
      <c r="X2975">
        <v>0</v>
      </c>
      <c r="Y2975" t="s">
        <v>10833</v>
      </c>
      <c r="Z2975">
        <v>73.95999999999999</v>
      </c>
      <c r="AA2975">
        <v>40.73793</v>
      </c>
      <c r="AB2975">
        <v>-73.86840100000001</v>
      </c>
      <c r="AD2975" t="s">
        <v>10839</v>
      </c>
      <c r="AF2975" t="s">
        <v>10843</v>
      </c>
      <c r="AG2975" t="s">
        <v>10859</v>
      </c>
      <c r="AH2975" t="s">
        <v>10873</v>
      </c>
      <c r="AI2975">
        <v>237</v>
      </c>
      <c r="AJ2975" t="s">
        <v>10212</v>
      </c>
      <c r="AK2975" t="s">
        <v>10838</v>
      </c>
      <c r="AL2975">
        <v>2.75</v>
      </c>
      <c r="AM2975" t="s">
        <v>10890</v>
      </c>
      <c r="AN2975" t="s">
        <v>10916</v>
      </c>
      <c r="AO2975" t="s">
        <v>11014</v>
      </c>
      <c r="AP2975" t="s">
        <v>11053</v>
      </c>
      <c r="AR2975" t="s">
        <v>11257</v>
      </c>
      <c r="AS2975" t="s">
        <v>11594</v>
      </c>
      <c r="AT2975" t="s">
        <v>11641</v>
      </c>
      <c r="AX2975" t="s">
        <v>10838</v>
      </c>
      <c r="AY2975" t="s">
        <v>10833</v>
      </c>
      <c r="AZ2975" t="s">
        <v>11693</v>
      </c>
      <c r="BB2975">
        <v>0</v>
      </c>
      <c r="BC2975">
        <v>0</v>
      </c>
      <c r="BD2975">
        <v>0</v>
      </c>
      <c r="BE2975">
        <v>234</v>
      </c>
      <c r="BF2975">
        <v>0</v>
      </c>
      <c r="BG2975">
        <v>0</v>
      </c>
    </row>
    <row r="2976" spans="1:59">
      <c r="A2976" s="1">
        <f>HYPERLINK("https://lsnyc.legalserver.org/matter/dynamic-profile/view/1907010","19-1907010")</f>
        <v>0</v>
      </c>
      <c r="B2976" t="s">
        <v>2179</v>
      </c>
      <c r="C2976" t="s">
        <v>6969</v>
      </c>
      <c r="D2976" t="s">
        <v>9925</v>
      </c>
      <c r="E2976" t="s">
        <v>10075</v>
      </c>
      <c r="F2976">
        <v>10021</v>
      </c>
      <c r="G2976" t="s">
        <v>10089</v>
      </c>
      <c r="H2976" t="s">
        <v>10138</v>
      </c>
      <c r="I2976" t="s">
        <v>10168</v>
      </c>
      <c r="J2976" t="s">
        <v>10209</v>
      </c>
      <c r="K2976" t="s">
        <v>10217</v>
      </c>
      <c r="M2976" t="s">
        <v>10388</v>
      </c>
      <c r="N2976" t="s">
        <v>10703</v>
      </c>
      <c r="P2976" t="s">
        <v>10749</v>
      </c>
      <c r="Q2976" t="s">
        <v>10765</v>
      </c>
      <c r="R2976" t="s">
        <v>10824</v>
      </c>
      <c r="T2976">
        <v>0</v>
      </c>
      <c r="U2976">
        <v>0</v>
      </c>
      <c r="V2976">
        <v>53</v>
      </c>
      <c r="W2976">
        <v>1</v>
      </c>
      <c r="X2976">
        <v>0</v>
      </c>
      <c r="Z2976">
        <v>0</v>
      </c>
      <c r="AA2976">
        <v>40.769214</v>
      </c>
      <c r="AB2976">
        <v>-73.95832900000001</v>
      </c>
      <c r="AD2976" t="s">
        <v>10839</v>
      </c>
      <c r="AG2976" t="s">
        <v>10858</v>
      </c>
      <c r="AH2976" t="s">
        <v>10862</v>
      </c>
      <c r="AI2976">
        <v>236</v>
      </c>
      <c r="AJ2976" t="s">
        <v>10209</v>
      </c>
      <c r="AL2976">
        <v>3</v>
      </c>
      <c r="AM2976" t="s">
        <v>10891</v>
      </c>
      <c r="AN2976" t="s">
        <v>10971</v>
      </c>
      <c r="AO2976" t="s">
        <v>11026</v>
      </c>
      <c r="AP2976" t="s">
        <v>11091</v>
      </c>
      <c r="AR2976" t="s">
        <v>11279</v>
      </c>
      <c r="AS2976" t="s">
        <v>9925</v>
      </c>
      <c r="BA2976" t="s">
        <v>11741</v>
      </c>
      <c r="BB2976">
        <v>0</v>
      </c>
      <c r="BC2976">
        <v>0</v>
      </c>
      <c r="BD2976">
        <v>0</v>
      </c>
      <c r="BE2976">
        <v>0</v>
      </c>
      <c r="BF2976">
        <v>1</v>
      </c>
      <c r="BG2976">
        <v>0</v>
      </c>
    </row>
    <row r="2977" spans="1:59">
      <c r="A2977" s="1">
        <f>HYPERLINK("https://lsnyc.legalserver.org/matter/dynamic-profile/view/1907011","19-1907011")</f>
        <v>0</v>
      </c>
      <c r="B2977" t="s">
        <v>2516</v>
      </c>
      <c r="C2977" t="s">
        <v>7292</v>
      </c>
      <c r="D2977" t="s">
        <v>9925</v>
      </c>
      <c r="E2977" t="s">
        <v>10075</v>
      </c>
      <c r="F2977">
        <v>10025</v>
      </c>
      <c r="G2977" t="s">
        <v>10089</v>
      </c>
      <c r="H2977" t="s">
        <v>10138</v>
      </c>
      <c r="I2977" t="s">
        <v>10168</v>
      </c>
      <c r="J2977" t="s">
        <v>10209</v>
      </c>
      <c r="K2977" t="s">
        <v>10217</v>
      </c>
      <c r="M2977" t="s">
        <v>10332</v>
      </c>
      <c r="N2977" t="s">
        <v>10691</v>
      </c>
      <c r="P2977" t="s">
        <v>10749</v>
      </c>
      <c r="Q2977" t="s">
        <v>10765</v>
      </c>
      <c r="R2977" t="s">
        <v>10823</v>
      </c>
      <c r="T2977">
        <v>9300</v>
      </c>
      <c r="U2977">
        <v>775</v>
      </c>
      <c r="V2977">
        <v>76</v>
      </c>
      <c r="W2977">
        <v>1</v>
      </c>
      <c r="X2977">
        <v>0</v>
      </c>
      <c r="Z2977">
        <v>74.45999999999999</v>
      </c>
      <c r="AA2977">
        <v>40.79507</v>
      </c>
      <c r="AB2977">
        <v>-73.970821</v>
      </c>
      <c r="AC2977" t="s">
        <v>10837</v>
      </c>
      <c r="AD2977" t="s">
        <v>10840</v>
      </c>
      <c r="AG2977" t="s">
        <v>10858</v>
      </c>
      <c r="AH2977" t="s">
        <v>10861</v>
      </c>
      <c r="AI2977">
        <v>234</v>
      </c>
      <c r="AJ2977" t="s">
        <v>10214</v>
      </c>
      <c r="AL2977">
        <v>1.1</v>
      </c>
      <c r="AM2977" t="s">
        <v>10894</v>
      </c>
      <c r="AN2977" t="s">
        <v>10953</v>
      </c>
      <c r="AO2977" t="s">
        <v>11019</v>
      </c>
      <c r="AP2977" t="s">
        <v>11073</v>
      </c>
      <c r="AR2977" t="s">
        <v>11300</v>
      </c>
      <c r="AS2977" t="s">
        <v>9925</v>
      </c>
      <c r="AT2977" t="s">
        <v>11642</v>
      </c>
      <c r="AX2977" t="s">
        <v>10838</v>
      </c>
      <c r="BA2977" t="s">
        <v>11741</v>
      </c>
      <c r="BB2977">
        <v>0</v>
      </c>
      <c r="BC2977">
        <v>0</v>
      </c>
      <c r="BD2977">
        <v>0</v>
      </c>
      <c r="BE2977">
        <v>0</v>
      </c>
      <c r="BF2977">
        <v>1</v>
      </c>
      <c r="BG2977">
        <v>0</v>
      </c>
    </row>
    <row r="2978" spans="1:59">
      <c r="A2978" s="1">
        <f>HYPERLINK("https://lsnyc.legalserver.org/matter/dynamic-profile/view/1907012","19-1907012")</f>
        <v>0</v>
      </c>
      <c r="B2978" t="s">
        <v>2517</v>
      </c>
      <c r="C2978" t="s">
        <v>7293</v>
      </c>
      <c r="D2978" t="s">
        <v>9928</v>
      </c>
      <c r="E2978" t="s">
        <v>10075</v>
      </c>
      <c r="F2978">
        <v>11226</v>
      </c>
      <c r="G2978" t="s">
        <v>10093</v>
      </c>
      <c r="H2978" t="s">
        <v>10138</v>
      </c>
      <c r="I2978" t="s">
        <v>10168</v>
      </c>
      <c r="J2978" t="s">
        <v>10213</v>
      </c>
      <c r="K2978" t="s">
        <v>10217</v>
      </c>
      <c r="M2978" t="s">
        <v>10467</v>
      </c>
      <c r="N2978" t="s">
        <v>10667</v>
      </c>
      <c r="P2978" t="s">
        <v>10749</v>
      </c>
      <c r="Q2978" t="s">
        <v>10765</v>
      </c>
      <c r="R2978" t="s">
        <v>10825</v>
      </c>
      <c r="T2978">
        <v>28777.84</v>
      </c>
      <c r="U2978">
        <v>2398.15</v>
      </c>
      <c r="V2978">
        <v>42</v>
      </c>
      <c r="W2978">
        <v>2</v>
      </c>
      <c r="X2978">
        <v>1</v>
      </c>
      <c r="Z2978">
        <v>134.92</v>
      </c>
      <c r="AA2978">
        <v>40.655981</v>
      </c>
      <c r="AB2978">
        <v>-73.959035</v>
      </c>
      <c r="AD2978" t="s">
        <v>10839</v>
      </c>
      <c r="AF2978" t="s">
        <v>10843</v>
      </c>
      <c r="AG2978" t="s">
        <v>10859</v>
      </c>
      <c r="AH2978" t="s">
        <v>10862</v>
      </c>
      <c r="AI2978">
        <v>239</v>
      </c>
      <c r="AJ2978" t="s">
        <v>10213</v>
      </c>
      <c r="AL2978">
        <v>3.6</v>
      </c>
      <c r="AM2978" t="s">
        <v>10888</v>
      </c>
      <c r="AN2978" t="s">
        <v>10912</v>
      </c>
      <c r="AO2978" t="s">
        <v>11008</v>
      </c>
      <c r="AP2978" t="s">
        <v>11050</v>
      </c>
      <c r="AR2978" t="s">
        <v>11262</v>
      </c>
      <c r="AS2978" t="s">
        <v>11595</v>
      </c>
      <c r="BA2978" t="s">
        <v>11742</v>
      </c>
      <c r="BB2978">
        <v>0</v>
      </c>
      <c r="BC2978">
        <v>0</v>
      </c>
      <c r="BD2978">
        <v>0</v>
      </c>
      <c r="BE2978">
        <v>0</v>
      </c>
      <c r="BF2978">
        <v>7</v>
      </c>
      <c r="BG2978">
        <v>0</v>
      </c>
    </row>
    <row r="2979" spans="1:59">
      <c r="A2979" s="1">
        <f>HYPERLINK("https://lsnyc.legalserver.org/matter/dynamic-profile/view/1907013","19-1907013")</f>
        <v>0</v>
      </c>
      <c r="B2979" t="s">
        <v>2518</v>
      </c>
      <c r="C2979" t="s">
        <v>7294</v>
      </c>
      <c r="D2979" t="s">
        <v>9925</v>
      </c>
      <c r="E2979" t="s">
        <v>10075</v>
      </c>
      <c r="F2979">
        <v>10001</v>
      </c>
      <c r="G2979" t="s">
        <v>10089</v>
      </c>
      <c r="H2979" t="s">
        <v>10138</v>
      </c>
      <c r="I2979" t="s">
        <v>10168</v>
      </c>
      <c r="J2979" t="s">
        <v>10209</v>
      </c>
      <c r="K2979" t="s">
        <v>10217</v>
      </c>
      <c r="M2979" t="s">
        <v>10388</v>
      </c>
      <c r="N2979" t="s">
        <v>10703</v>
      </c>
      <c r="P2979" t="s">
        <v>10749</v>
      </c>
      <c r="Q2979" t="s">
        <v>10767</v>
      </c>
      <c r="R2979" t="s">
        <v>10823</v>
      </c>
      <c r="T2979">
        <v>2340</v>
      </c>
      <c r="U2979">
        <v>195</v>
      </c>
      <c r="V2979">
        <v>42</v>
      </c>
      <c r="W2979">
        <v>1</v>
      </c>
      <c r="X2979">
        <v>0</v>
      </c>
      <c r="Z2979">
        <v>18.73</v>
      </c>
      <c r="AA2979">
        <v>40.748267</v>
      </c>
      <c r="AB2979">
        <v>-74.000962</v>
      </c>
      <c r="AD2979" t="s">
        <v>10839</v>
      </c>
      <c r="AG2979" t="s">
        <v>10858</v>
      </c>
      <c r="AH2979" t="s">
        <v>10862</v>
      </c>
      <c r="AI2979">
        <v>236</v>
      </c>
      <c r="AJ2979" t="s">
        <v>10209</v>
      </c>
      <c r="AL2979">
        <v>1.4</v>
      </c>
      <c r="AM2979" t="s">
        <v>10894</v>
      </c>
      <c r="AN2979" t="s">
        <v>10966</v>
      </c>
      <c r="AO2979" t="s">
        <v>11021</v>
      </c>
      <c r="AP2979" t="s">
        <v>11090</v>
      </c>
      <c r="AR2979" t="s">
        <v>11255</v>
      </c>
      <c r="AS2979" t="s">
        <v>9925</v>
      </c>
      <c r="AT2979" t="s">
        <v>11641</v>
      </c>
      <c r="AX2979" t="s">
        <v>10838</v>
      </c>
      <c r="BA2979" t="s">
        <v>11741</v>
      </c>
      <c r="BB2979">
        <v>0</v>
      </c>
      <c r="BC2979">
        <v>0</v>
      </c>
      <c r="BD2979">
        <v>0</v>
      </c>
      <c r="BE2979">
        <v>0</v>
      </c>
      <c r="BF2979">
        <v>1</v>
      </c>
      <c r="BG2979">
        <v>0</v>
      </c>
    </row>
    <row r="2980" spans="1:59">
      <c r="A2980" s="1">
        <f>HYPERLINK("https://lsnyc.legalserver.org/matter/dynamic-profile/view/1907014","19-1907014")</f>
        <v>0</v>
      </c>
      <c r="B2980" t="s">
        <v>2519</v>
      </c>
      <c r="C2980" t="s">
        <v>7295</v>
      </c>
      <c r="D2980" t="s">
        <v>9928</v>
      </c>
      <c r="E2980" t="s">
        <v>10075</v>
      </c>
      <c r="F2980">
        <v>11216</v>
      </c>
      <c r="G2980" t="s">
        <v>10093</v>
      </c>
      <c r="H2980" t="s">
        <v>10138</v>
      </c>
      <c r="I2980" t="s">
        <v>10168</v>
      </c>
      <c r="J2980" t="s">
        <v>10213</v>
      </c>
      <c r="K2980" t="s">
        <v>10217</v>
      </c>
      <c r="M2980" t="s">
        <v>10494</v>
      </c>
      <c r="N2980" t="s">
        <v>10667</v>
      </c>
      <c r="P2980" t="s">
        <v>10749</v>
      </c>
      <c r="Q2980" t="s">
        <v>10765</v>
      </c>
      <c r="R2980" t="s">
        <v>10824</v>
      </c>
      <c r="T2980">
        <v>39000</v>
      </c>
      <c r="U2980">
        <v>3250</v>
      </c>
      <c r="V2980">
        <v>55</v>
      </c>
      <c r="W2980">
        <v>1</v>
      </c>
      <c r="X2980">
        <v>0</v>
      </c>
      <c r="Z2980">
        <v>312.25</v>
      </c>
      <c r="AA2980">
        <v>40.681227</v>
      </c>
      <c r="AB2980">
        <v>-73.95443899999999</v>
      </c>
      <c r="AD2980" t="s">
        <v>10839</v>
      </c>
      <c r="AG2980" t="s">
        <v>10858</v>
      </c>
      <c r="AH2980" t="s">
        <v>10862</v>
      </c>
      <c r="AI2980">
        <v>239</v>
      </c>
      <c r="AJ2980" t="s">
        <v>10213</v>
      </c>
      <c r="AL2980">
        <v>6</v>
      </c>
      <c r="AM2980" t="s">
        <v>10889</v>
      </c>
      <c r="AN2980" t="s">
        <v>10923</v>
      </c>
      <c r="AO2980" t="s">
        <v>11007</v>
      </c>
      <c r="AP2980" t="s">
        <v>11052</v>
      </c>
      <c r="AQ2980" t="s">
        <v>11101</v>
      </c>
      <c r="AR2980" t="s">
        <v>11257</v>
      </c>
      <c r="AS2980" t="s">
        <v>11595</v>
      </c>
      <c r="BA2980" t="s">
        <v>11738</v>
      </c>
      <c r="BB2980">
        <v>0</v>
      </c>
      <c r="BC2980">
        <v>0</v>
      </c>
      <c r="BD2980">
        <v>0</v>
      </c>
      <c r="BE2980">
        <v>0</v>
      </c>
      <c r="BF2980">
        <v>5</v>
      </c>
      <c r="BG2980">
        <v>0</v>
      </c>
    </row>
    <row r="2981" spans="1:59">
      <c r="A2981" s="1">
        <f>HYPERLINK("https://lsnyc.legalserver.org/matter/dynamic-profile/view/1907015","19-1907015")</f>
        <v>0</v>
      </c>
      <c r="B2981" t="s">
        <v>2520</v>
      </c>
      <c r="C2981" t="s">
        <v>7296</v>
      </c>
      <c r="D2981" t="s">
        <v>9925</v>
      </c>
      <c r="E2981" t="s">
        <v>10075</v>
      </c>
      <c r="F2981">
        <v>10024</v>
      </c>
      <c r="G2981" t="s">
        <v>10089</v>
      </c>
      <c r="H2981" t="s">
        <v>10138</v>
      </c>
      <c r="I2981" t="s">
        <v>10168</v>
      </c>
      <c r="J2981" t="s">
        <v>10209</v>
      </c>
      <c r="K2981" t="s">
        <v>10217</v>
      </c>
      <c r="M2981" t="s">
        <v>10305</v>
      </c>
      <c r="N2981" t="s">
        <v>10691</v>
      </c>
      <c r="P2981" t="s">
        <v>10752</v>
      </c>
      <c r="Q2981" t="s">
        <v>10805</v>
      </c>
      <c r="R2981" t="s">
        <v>10824</v>
      </c>
      <c r="T2981">
        <v>15648</v>
      </c>
      <c r="U2981">
        <v>1304</v>
      </c>
      <c r="V2981">
        <v>46</v>
      </c>
      <c r="W2981">
        <v>1</v>
      </c>
      <c r="X2981">
        <v>0</v>
      </c>
      <c r="Z2981">
        <v>125.28</v>
      </c>
      <c r="AA2981">
        <v>40.788423</v>
      </c>
      <c r="AB2981">
        <v>-73.974046</v>
      </c>
      <c r="AD2981" t="s">
        <v>10839</v>
      </c>
      <c r="AG2981" t="s">
        <v>10858</v>
      </c>
      <c r="AH2981" t="s">
        <v>10863</v>
      </c>
      <c r="AI2981">
        <v>236</v>
      </c>
      <c r="AJ2981" t="s">
        <v>10209</v>
      </c>
      <c r="AL2981">
        <v>0</v>
      </c>
      <c r="AM2981" t="s">
        <v>10894</v>
      </c>
      <c r="AN2981" t="s">
        <v>10953</v>
      </c>
      <c r="AO2981" t="s">
        <v>11013</v>
      </c>
      <c r="AP2981" t="s">
        <v>11089</v>
      </c>
      <c r="AQ2981" t="s">
        <v>11155</v>
      </c>
      <c r="AR2981" t="s">
        <v>11296</v>
      </c>
      <c r="AS2981" t="s">
        <v>9925</v>
      </c>
      <c r="AT2981" t="s">
        <v>11641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</row>
    <row r="2982" spans="1:59">
      <c r="A2982" s="1">
        <f>HYPERLINK("https://lsnyc.legalserver.org/matter/dynamic-profile/view/1907016","19-1907016")</f>
        <v>0</v>
      </c>
      <c r="B2982" t="s">
        <v>2521</v>
      </c>
      <c r="C2982" t="s">
        <v>7297</v>
      </c>
      <c r="D2982" t="s">
        <v>9939</v>
      </c>
      <c r="E2982" t="s">
        <v>10075</v>
      </c>
      <c r="F2982">
        <v>11419</v>
      </c>
      <c r="G2982" t="s">
        <v>10092</v>
      </c>
      <c r="H2982" t="s">
        <v>10138</v>
      </c>
      <c r="I2982" t="s">
        <v>10168</v>
      </c>
      <c r="J2982" t="s">
        <v>10212</v>
      </c>
      <c r="K2982" t="s">
        <v>10217</v>
      </c>
      <c r="M2982" t="s">
        <v>10318</v>
      </c>
      <c r="N2982" t="s">
        <v>10684</v>
      </c>
      <c r="P2982" t="s">
        <v>10751</v>
      </c>
      <c r="Q2982" t="s">
        <v>10786</v>
      </c>
      <c r="R2982" t="s">
        <v>10827</v>
      </c>
      <c r="T2982">
        <v>5408</v>
      </c>
      <c r="U2982">
        <v>450.67</v>
      </c>
      <c r="V2982">
        <v>47</v>
      </c>
      <c r="W2982">
        <v>2</v>
      </c>
      <c r="X2982">
        <v>0</v>
      </c>
      <c r="Z2982">
        <v>31.98</v>
      </c>
      <c r="AA2982">
        <v>40.689813</v>
      </c>
      <c r="AB2982">
        <v>-73.817133</v>
      </c>
      <c r="AD2982" t="s">
        <v>10839</v>
      </c>
      <c r="AG2982" t="s">
        <v>10858</v>
      </c>
      <c r="AH2982" t="s">
        <v>10873</v>
      </c>
      <c r="AI2982">
        <v>237</v>
      </c>
      <c r="AJ2982" t="s">
        <v>10212</v>
      </c>
      <c r="AL2982">
        <v>2.5</v>
      </c>
      <c r="AM2982" t="s">
        <v>10892</v>
      </c>
      <c r="AN2982" t="s">
        <v>10944</v>
      </c>
      <c r="AO2982" t="s">
        <v>11017</v>
      </c>
      <c r="AP2982" t="s">
        <v>11070</v>
      </c>
      <c r="AR2982" t="s">
        <v>11257</v>
      </c>
      <c r="AS2982" t="s">
        <v>11594</v>
      </c>
      <c r="AT2982" t="s">
        <v>11641</v>
      </c>
      <c r="AX2982" t="s">
        <v>10838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</row>
    <row r="2983" spans="1:59">
      <c r="A2983" s="1">
        <f>HYPERLINK("https://lsnyc.legalserver.org/matter/dynamic-profile/view/1907017","19-1907017")</f>
        <v>0</v>
      </c>
      <c r="B2983" t="s">
        <v>2522</v>
      </c>
      <c r="C2983" t="s">
        <v>7298</v>
      </c>
      <c r="D2983" t="s">
        <v>9946</v>
      </c>
      <c r="E2983" t="s">
        <v>10075</v>
      </c>
      <c r="F2983">
        <v>11385</v>
      </c>
      <c r="G2983" t="s">
        <v>10092</v>
      </c>
      <c r="H2983" t="s">
        <v>10138</v>
      </c>
      <c r="I2983" t="s">
        <v>10168</v>
      </c>
      <c r="J2983" t="s">
        <v>10212</v>
      </c>
      <c r="K2983" t="s">
        <v>10218</v>
      </c>
      <c r="L2983" t="s">
        <v>10162</v>
      </c>
      <c r="M2983" t="s">
        <v>10360</v>
      </c>
      <c r="N2983" t="s">
        <v>10693</v>
      </c>
      <c r="P2983" t="s">
        <v>10749</v>
      </c>
      <c r="Q2983" t="s">
        <v>10765</v>
      </c>
      <c r="R2983" t="s">
        <v>10825</v>
      </c>
      <c r="T2983">
        <v>15600</v>
      </c>
      <c r="U2983">
        <v>1300</v>
      </c>
      <c r="V2983">
        <v>26</v>
      </c>
      <c r="W2983">
        <v>2</v>
      </c>
      <c r="X2983">
        <v>0</v>
      </c>
      <c r="Y2983" t="s">
        <v>10829</v>
      </c>
      <c r="Z2983">
        <v>92.25</v>
      </c>
      <c r="AA2983">
        <v>40.708721</v>
      </c>
      <c r="AB2983">
        <v>-73.91862500000001</v>
      </c>
      <c r="AD2983" t="s">
        <v>10839</v>
      </c>
      <c r="AG2983" t="s">
        <v>10858</v>
      </c>
      <c r="AH2983" t="s">
        <v>10862</v>
      </c>
      <c r="AI2983">
        <v>237</v>
      </c>
      <c r="AJ2983" t="s">
        <v>10212</v>
      </c>
      <c r="AK2983" t="s">
        <v>10838</v>
      </c>
      <c r="AL2983">
        <v>1.93</v>
      </c>
      <c r="AM2983" t="s">
        <v>10886</v>
      </c>
      <c r="AN2983" t="s">
        <v>10961</v>
      </c>
      <c r="AO2983" t="s">
        <v>11003</v>
      </c>
      <c r="AP2983" t="s">
        <v>11071</v>
      </c>
      <c r="AR2983" t="s">
        <v>11257</v>
      </c>
      <c r="AS2983" t="s">
        <v>11594</v>
      </c>
      <c r="AY2983" t="s">
        <v>10829</v>
      </c>
      <c r="AZ2983" t="s">
        <v>11681</v>
      </c>
      <c r="BA2983" t="s">
        <v>11741</v>
      </c>
      <c r="BB2983">
        <v>0</v>
      </c>
      <c r="BC2983">
        <v>0</v>
      </c>
      <c r="BD2983">
        <v>0</v>
      </c>
      <c r="BE2983">
        <v>0</v>
      </c>
      <c r="BF2983">
        <v>1</v>
      </c>
      <c r="BG2983">
        <v>0</v>
      </c>
    </row>
    <row r="2984" spans="1:59">
      <c r="A2984" s="1">
        <f>HYPERLINK("https://lsnyc.legalserver.org/matter/dynamic-profile/view/1907018","19-1907018")</f>
        <v>0</v>
      </c>
      <c r="B2984" t="s">
        <v>2523</v>
      </c>
      <c r="C2984" t="s">
        <v>7299</v>
      </c>
      <c r="D2984" t="s">
        <v>9950</v>
      </c>
      <c r="E2984" t="s">
        <v>10075</v>
      </c>
      <c r="F2984">
        <v>11418</v>
      </c>
      <c r="G2984" t="s">
        <v>10092</v>
      </c>
      <c r="H2984" t="s">
        <v>10146</v>
      </c>
      <c r="I2984" t="s">
        <v>10169</v>
      </c>
      <c r="J2984" t="s">
        <v>10212</v>
      </c>
      <c r="K2984" t="s">
        <v>10218</v>
      </c>
      <c r="L2984" t="s">
        <v>10100</v>
      </c>
      <c r="M2984" t="s">
        <v>10366</v>
      </c>
      <c r="N2984" t="s">
        <v>10675</v>
      </c>
      <c r="P2984" t="s">
        <v>10749</v>
      </c>
      <c r="Q2984" t="s">
        <v>10769</v>
      </c>
      <c r="R2984" t="s">
        <v>10823</v>
      </c>
      <c r="T2984">
        <v>26796</v>
      </c>
      <c r="U2984">
        <v>2233</v>
      </c>
      <c r="V2984">
        <v>65</v>
      </c>
      <c r="W2984">
        <v>3</v>
      </c>
      <c r="X2984">
        <v>2</v>
      </c>
      <c r="Y2984" t="s">
        <v>10829</v>
      </c>
      <c r="Z2984">
        <v>88.81999999999999</v>
      </c>
      <c r="AA2984">
        <v>40.696248</v>
      </c>
      <c r="AB2984">
        <v>-73.839502</v>
      </c>
      <c r="AC2984" t="s">
        <v>10837</v>
      </c>
      <c r="AD2984" t="s">
        <v>10839</v>
      </c>
      <c r="AG2984" t="s">
        <v>10858</v>
      </c>
      <c r="AH2984" t="s">
        <v>10860</v>
      </c>
      <c r="AI2984">
        <v>237</v>
      </c>
      <c r="AJ2984" t="s">
        <v>10212</v>
      </c>
      <c r="AK2984" t="s">
        <v>10838</v>
      </c>
      <c r="AL2984">
        <v>1.2</v>
      </c>
      <c r="AM2984" t="s">
        <v>10892</v>
      </c>
      <c r="AN2984" t="s">
        <v>10952</v>
      </c>
      <c r="AO2984" t="s">
        <v>11024</v>
      </c>
      <c r="AP2984" t="s">
        <v>11088</v>
      </c>
      <c r="AR2984" t="s">
        <v>11483</v>
      </c>
      <c r="AS2984" t="s">
        <v>11594</v>
      </c>
      <c r="AY2984" t="s">
        <v>10829</v>
      </c>
      <c r="AZ2984" t="s">
        <v>11681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</row>
    <row r="2985" spans="1:59">
      <c r="A2985" s="1">
        <f>HYPERLINK("https://lsnyc.legalserver.org/matter/dynamic-profile/view/1907019","19-1907019")</f>
        <v>0</v>
      </c>
      <c r="B2985" t="s">
        <v>660</v>
      </c>
      <c r="C2985" t="s">
        <v>7300</v>
      </c>
      <c r="D2985" t="s">
        <v>9925</v>
      </c>
      <c r="E2985" t="s">
        <v>10075</v>
      </c>
      <c r="F2985">
        <v>10035</v>
      </c>
      <c r="G2985" t="s">
        <v>10089</v>
      </c>
      <c r="H2985" t="s">
        <v>10138</v>
      </c>
      <c r="I2985" t="s">
        <v>10168</v>
      </c>
      <c r="J2985" t="s">
        <v>10209</v>
      </c>
      <c r="K2985" t="s">
        <v>10217</v>
      </c>
      <c r="M2985" t="s">
        <v>10472</v>
      </c>
      <c r="N2985" t="s">
        <v>10671</v>
      </c>
      <c r="P2985" t="s">
        <v>10751</v>
      </c>
      <c r="Q2985" t="s">
        <v>10761</v>
      </c>
      <c r="R2985" t="s">
        <v>10824</v>
      </c>
      <c r="T2985">
        <v>23184</v>
      </c>
      <c r="U2985">
        <v>1932</v>
      </c>
      <c r="V2985">
        <v>46</v>
      </c>
      <c r="W2985">
        <v>1</v>
      </c>
      <c r="X2985">
        <v>2</v>
      </c>
      <c r="Z2985">
        <v>108.69</v>
      </c>
      <c r="AA2985">
        <v>40.798476</v>
      </c>
      <c r="AB2985">
        <v>-73.933195</v>
      </c>
      <c r="AD2985" t="s">
        <v>10839</v>
      </c>
      <c r="AG2985" t="s">
        <v>10858</v>
      </c>
      <c r="AH2985" t="s">
        <v>10861</v>
      </c>
      <c r="AI2985">
        <v>234</v>
      </c>
      <c r="AJ2985" t="s">
        <v>10214</v>
      </c>
      <c r="AL2985">
        <v>1.75</v>
      </c>
      <c r="AM2985" t="s">
        <v>10887</v>
      </c>
      <c r="AN2985" t="s">
        <v>10926</v>
      </c>
      <c r="AO2985" t="s">
        <v>11016</v>
      </c>
      <c r="AP2985" t="s">
        <v>11066</v>
      </c>
      <c r="AR2985" t="s">
        <v>11484</v>
      </c>
      <c r="AS2985" t="s">
        <v>9925</v>
      </c>
      <c r="AT2985" t="s">
        <v>11641</v>
      </c>
      <c r="AX2985" t="s">
        <v>10838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</row>
    <row r="2986" spans="1:59">
      <c r="A2986" s="1">
        <f>HYPERLINK("https://lsnyc.legalserver.org/matter/dynamic-profile/view/1907020","19-1907020")</f>
        <v>0</v>
      </c>
      <c r="B2986" t="s">
        <v>2524</v>
      </c>
      <c r="C2986" t="s">
        <v>7301</v>
      </c>
      <c r="D2986" t="s">
        <v>9926</v>
      </c>
      <c r="E2986" t="s">
        <v>10075</v>
      </c>
      <c r="F2986">
        <v>10453</v>
      </c>
      <c r="G2986" t="s">
        <v>10090</v>
      </c>
      <c r="H2986" t="s">
        <v>10138</v>
      </c>
      <c r="I2986" t="s">
        <v>10169</v>
      </c>
      <c r="J2986" t="s">
        <v>10210</v>
      </c>
      <c r="K2986" t="s">
        <v>10217</v>
      </c>
      <c r="M2986" t="s">
        <v>10401</v>
      </c>
      <c r="N2986" t="s">
        <v>10688</v>
      </c>
      <c r="P2986" t="s">
        <v>10751</v>
      </c>
      <c r="Q2986" t="s">
        <v>10761</v>
      </c>
      <c r="R2986" t="s">
        <v>10821</v>
      </c>
      <c r="T2986">
        <v>20488</v>
      </c>
      <c r="U2986">
        <v>1707.33</v>
      </c>
      <c r="V2986">
        <v>29</v>
      </c>
      <c r="W2986">
        <v>3</v>
      </c>
      <c r="X2986">
        <v>8</v>
      </c>
      <c r="Z2986">
        <v>36.14</v>
      </c>
      <c r="AA2986">
        <v>40.859756</v>
      </c>
      <c r="AB2986">
        <v>-73.909758</v>
      </c>
      <c r="AD2986" t="s">
        <v>10839</v>
      </c>
      <c r="AF2986" t="s">
        <v>10847</v>
      </c>
      <c r="AG2986" t="s">
        <v>10858</v>
      </c>
      <c r="AH2986" t="s">
        <v>10874</v>
      </c>
      <c r="AI2986">
        <v>230</v>
      </c>
      <c r="AJ2986" t="s">
        <v>10210</v>
      </c>
      <c r="AL2986">
        <v>15.95</v>
      </c>
      <c r="AM2986" t="s">
        <v>10884</v>
      </c>
      <c r="AN2986" t="s">
        <v>10931</v>
      </c>
      <c r="AO2986" t="s">
        <v>11000</v>
      </c>
      <c r="AP2986" t="s">
        <v>11045</v>
      </c>
      <c r="AR2986" t="s">
        <v>11262</v>
      </c>
      <c r="AS2986" t="s">
        <v>9926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</row>
    <row r="2987" spans="1:59">
      <c r="A2987" s="1">
        <f>HYPERLINK("https://lsnyc.legalserver.org/matter/dynamic-profile/view/1907022","19-1907022")</f>
        <v>0</v>
      </c>
      <c r="B2987" t="s">
        <v>2525</v>
      </c>
      <c r="C2987" t="s">
        <v>7302</v>
      </c>
      <c r="D2987" t="s">
        <v>9936</v>
      </c>
      <c r="E2987" t="s">
        <v>10075</v>
      </c>
      <c r="F2987">
        <v>11102</v>
      </c>
      <c r="G2987" t="s">
        <v>10092</v>
      </c>
      <c r="H2987" t="s">
        <v>10138</v>
      </c>
      <c r="I2987" t="s">
        <v>10168</v>
      </c>
      <c r="J2987" t="s">
        <v>10212</v>
      </c>
      <c r="K2987" t="s">
        <v>10218</v>
      </c>
      <c r="L2987" t="s">
        <v>10098</v>
      </c>
      <c r="M2987" t="s">
        <v>10318</v>
      </c>
      <c r="N2987" t="s">
        <v>10684</v>
      </c>
      <c r="P2987" t="s">
        <v>10751</v>
      </c>
      <c r="Q2987" t="s">
        <v>10786</v>
      </c>
      <c r="R2987" t="s">
        <v>10821</v>
      </c>
      <c r="T2987">
        <v>15600</v>
      </c>
      <c r="U2987">
        <v>1300</v>
      </c>
      <c r="V2987">
        <v>59</v>
      </c>
      <c r="W2987">
        <v>1</v>
      </c>
      <c r="X2987">
        <v>0</v>
      </c>
      <c r="Y2987" t="s">
        <v>10833</v>
      </c>
      <c r="Z2987">
        <v>124.9</v>
      </c>
      <c r="AA2987">
        <v>0</v>
      </c>
      <c r="AB2987">
        <v>0</v>
      </c>
      <c r="AD2987" t="s">
        <v>10840</v>
      </c>
      <c r="AG2987" t="s">
        <v>10858</v>
      </c>
      <c r="AH2987" t="s">
        <v>10873</v>
      </c>
      <c r="AI2987">
        <v>237</v>
      </c>
      <c r="AJ2987" t="s">
        <v>10212</v>
      </c>
      <c r="AK2987" t="s">
        <v>10838</v>
      </c>
      <c r="AL2987">
        <v>2.5</v>
      </c>
      <c r="AR2987" t="s">
        <v>11257</v>
      </c>
      <c r="AS2987" t="s">
        <v>11594</v>
      </c>
      <c r="AT2987" t="s">
        <v>11642</v>
      </c>
      <c r="AX2987" t="s">
        <v>10838</v>
      </c>
      <c r="AY2987" t="s">
        <v>10833</v>
      </c>
      <c r="AZ2987" t="s">
        <v>11701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</row>
    <row r="2988" spans="1:59">
      <c r="A2988" s="1">
        <f>HYPERLINK("https://lsnyc.legalserver.org/matter/dynamic-profile/view/1907023","19-1907023")</f>
        <v>0</v>
      </c>
      <c r="B2988" t="s">
        <v>2526</v>
      </c>
      <c r="C2988" t="s">
        <v>7290</v>
      </c>
      <c r="D2988" t="s">
        <v>9946</v>
      </c>
      <c r="E2988" t="s">
        <v>10075</v>
      </c>
      <c r="F2988">
        <v>11385</v>
      </c>
      <c r="G2988" t="s">
        <v>10092</v>
      </c>
      <c r="H2988" t="s">
        <v>10138</v>
      </c>
      <c r="I2988" t="s">
        <v>10169</v>
      </c>
      <c r="J2988" t="s">
        <v>10212</v>
      </c>
      <c r="K2988" t="s">
        <v>10217</v>
      </c>
      <c r="M2988" t="s">
        <v>10342</v>
      </c>
      <c r="N2988" t="s">
        <v>10693</v>
      </c>
      <c r="P2988" t="s">
        <v>10749</v>
      </c>
      <c r="Q2988" t="s">
        <v>10765</v>
      </c>
      <c r="R2988" t="s">
        <v>10825</v>
      </c>
      <c r="T2988">
        <v>25000</v>
      </c>
      <c r="U2988">
        <v>2083.33</v>
      </c>
      <c r="V2988">
        <v>23</v>
      </c>
      <c r="W2988">
        <v>2</v>
      </c>
      <c r="X2988">
        <v>0</v>
      </c>
      <c r="Z2988">
        <v>147.84</v>
      </c>
      <c r="AA2988">
        <v>40.702294</v>
      </c>
      <c r="AB2988">
        <v>-73.90061799999999</v>
      </c>
      <c r="AD2988" t="s">
        <v>10840</v>
      </c>
      <c r="AG2988" t="s">
        <v>10858</v>
      </c>
      <c r="AH2988" t="s">
        <v>10862</v>
      </c>
      <c r="AI2988">
        <v>237</v>
      </c>
      <c r="AJ2988" t="s">
        <v>10212</v>
      </c>
      <c r="AL2988">
        <v>4.21</v>
      </c>
      <c r="AM2988" t="s">
        <v>10886</v>
      </c>
      <c r="AN2988" t="s">
        <v>10961</v>
      </c>
      <c r="AO2988" t="s">
        <v>11024</v>
      </c>
      <c r="AP2988" t="s">
        <v>11077</v>
      </c>
      <c r="AR2988" t="s">
        <v>11257</v>
      </c>
      <c r="AS2988" t="s">
        <v>11594</v>
      </c>
      <c r="BA2988" t="s">
        <v>11738</v>
      </c>
      <c r="BB2988">
        <v>0</v>
      </c>
      <c r="BC2988">
        <v>0</v>
      </c>
      <c r="BD2988">
        <v>0</v>
      </c>
      <c r="BE2988">
        <v>0</v>
      </c>
      <c r="BF2988">
        <v>5</v>
      </c>
      <c r="BG2988">
        <v>0</v>
      </c>
    </row>
    <row r="2989" spans="1:59">
      <c r="A2989" s="1">
        <f>HYPERLINK("https://lsnyc.legalserver.org/matter/dynamic-profile/view/1907024","19-1907024")</f>
        <v>0</v>
      </c>
      <c r="B2989" t="s">
        <v>2527</v>
      </c>
      <c r="C2989" t="s">
        <v>7303</v>
      </c>
      <c r="D2989" t="s">
        <v>9928</v>
      </c>
      <c r="E2989" t="s">
        <v>10075</v>
      </c>
      <c r="F2989">
        <v>11225</v>
      </c>
      <c r="G2989" t="s">
        <v>10093</v>
      </c>
      <c r="H2989" t="s">
        <v>10138</v>
      </c>
      <c r="I2989" t="s">
        <v>10168</v>
      </c>
      <c r="J2989" t="s">
        <v>10213</v>
      </c>
      <c r="K2989" t="s">
        <v>10218</v>
      </c>
      <c r="L2989" t="s">
        <v>10135</v>
      </c>
      <c r="M2989" t="s">
        <v>10439</v>
      </c>
      <c r="N2989" t="s">
        <v>10650</v>
      </c>
      <c r="P2989" t="s">
        <v>10749</v>
      </c>
      <c r="Q2989" t="s">
        <v>10765</v>
      </c>
      <c r="R2989" t="s">
        <v>10824</v>
      </c>
      <c r="T2989">
        <v>45500</v>
      </c>
      <c r="U2989">
        <v>3791.67</v>
      </c>
      <c r="V2989">
        <v>43</v>
      </c>
      <c r="W2989">
        <v>2</v>
      </c>
      <c r="X2989">
        <v>1</v>
      </c>
      <c r="Y2989" t="s">
        <v>10829</v>
      </c>
      <c r="Z2989">
        <v>213.31</v>
      </c>
      <c r="AA2989">
        <v>40.664851</v>
      </c>
      <c r="AB2989">
        <v>-73.96074400000001</v>
      </c>
      <c r="AD2989" t="s">
        <v>10839</v>
      </c>
      <c r="AG2989" t="s">
        <v>10858</v>
      </c>
      <c r="AH2989" t="s">
        <v>10862</v>
      </c>
      <c r="AI2989">
        <v>239</v>
      </c>
      <c r="AJ2989" t="s">
        <v>10213</v>
      </c>
      <c r="AK2989" t="s">
        <v>10882</v>
      </c>
      <c r="AL2989">
        <v>0.1</v>
      </c>
      <c r="AM2989" t="s">
        <v>10888</v>
      </c>
      <c r="AN2989" t="s">
        <v>10923</v>
      </c>
      <c r="AO2989" t="s">
        <v>11005</v>
      </c>
      <c r="AP2989" t="s">
        <v>11061</v>
      </c>
      <c r="AQ2989" t="s">
        <v>11101</v>
      </c>
      <c r="AR2989" t="s">
        <v>11257</v>
      </c>
      <c r="AS2989" t="s">
        <v>11595</v>
      </c>
      <c r="AT2989" t="s">
        <v>11641</v>
      </c>
      <c r="AY2989" t="s">
        <v>10829</v>
      </c>
      <c r="AZ2989" t="s">
        <v>11681</v>
      </c>
      <c r="BA2989" t="s">
        <v>11741</v>
      </c>
      <c r="BB2989">
        <v>0</v>
      </c>
      <c r="BC2989">
        <v>0</v>
      </c>
      <c r="BD2989">
        <v>0</v>
      </c>
      <c r="BE2989">
        <v>0</v>
      </c>
      <c r="BF2989">
        <v>1</v>
      </c>
      <c r="BG2989">
        <v>0</v>
      </c>
    </row>
    <row r="2990" spans="1:59">
      <c r="A2990" s="1">
        <f>HYPERLINK("https://lsnyc.legalserver.org/matter/dynamic-profile/view/1907025","19-1907025")</f>
        <v>0</v>
      </c>
      <c r="B2990" t="s">
        <v>275</v>
      </c>
      <c r="C2990" t="s">
        <v>5206</v>
      </c>
      <c r="D2990" t="s">
        <v>9928</v>
      </c>
      <c r="E2990" t="s">
        <v>10075</v>
      </c>
      <c r="F2990">
        <v>11225</v>
      </c>
      <c r="G2990" t="s">
        <v>10093</v>
      </c>
      <c r="H2990" t="s">
        <v>10138</v>
      </c>
      <c r="I2990" t="s">
        <v>10168</v>
      </c>
      <c r="J2990" t="s">
        <v>10213</v>
      </c>
      <c r="K2990" t="s">
        <v>10217</v>
      </c>
      <c r="M2990" t="s">
        <v>10563</v>
      </c>
      <c r="N2990" t="s">
        <v>10650</v>
      </c>
      <c r="P2990" t="s">
        <v>10749</v>
      </c>
      <c r="Q2990" t="s">
        <v>10765</v>
      </c>
      <c r="R2990" t="s">
        <v>10827</v>
      </c>
      <c r="T2990">
        <v>15000</v>
      </c>
      <c r="U2990">
        <v>1250</v>
      </c>
      <c r="V2990">
        <v>57</v>
      </c>
      <c r="W2990">
        <v>3</v>
      </c>
      <c r="X2990">
        <v>0</v>
      </c>
      <c r="Z2990">
        <v>70.31999999999999</v>
      </c>
      <c r="AA2990">
        <v>40.67049</v>
      </c>
      <c r="AB2990">
        <v>-73.959953</v>
      </c>
      <c r="AD2990" t="s">
        <v>10839</v>
      </c>
      <c r="AG2990" t="s">
        <v>10858</v>
      </c>
      <c r="AH2990" t="s">
        <v>10862</v>
      </c>
      <c r="AI2990">
        <v>239</v>
      </c>
      <c r="AJ2990" t="s">
        <v>10213</v>
      </c>
      <c r="AL2990">
        <v>33.5</v>
      </c>
      <c r="AM2990" t="s">
        <v>10888</v>
      </c>
      <c r="AN2990" t="s">
        <v>10923</v>
      </c>
      <c r="AO2990" t="s">
        <v>11008</v>
      </c>
      <c r="AP2990" t="s">
        <v>11061</v>
      </c>
      <c r="AR2990" t="s">
        <v>10180</v>
      </c>
      <c r="AS2990" t="s">
        <v>11595</v>
      </c>
      <c r="BA2990" t="s">
        <v>11738</v>
      </c>
      <c r="BB2990">
        <v>0</v>
      </c>
      <c r="BC2990">
        <v>0</v>
      </c>
      <c r="BD2990">
        <v>0</v>
      </c>
      <c r="BE2990">
        <v>0</v>
      </c>
      <c r="BF2990">
        <v>5</v>
      </c>
      <c r="BG2990">
        <v>0</v>
      </c>
    </row>
    <row r="2991" spans="1:59">
      <c r="A2991" s="1">
        <f>HYPERLINK("https://lsnyc.legalserver.org/matter/dynamic-profile/view/1907026","19-1907026")</f>
        <v>0</v>
      </c>
      <c r="B2991" t="s">
        <v>805</v>
      </c>
      <c r="C2991" t="s">
        <v>7304</v>
      </c>
      <c r="D2991" t="s">
        <v>9925</v>
      </c>
      <c r="E2991" t="s">
        <v>10075</v>
      </c>
      <c r="F2991">
        <v>10034</v>
      </c>
      <c r="G2991" t="s">
        <v>10089</v>
      </c>
      <c r="H2991" t="s">
        <v>10138</v>
      </c>
      <c r="I2991" t="s">
        <v>10169</v>
      </c>
      <c r="J2991" t="s">
        <v>10209</v>
      </c>
      <c r="K2991" t="s">
        <v>10217</v>
      </c>
      <c r="M2991" t="s">
        <v>10442</v>
      </c>
      <c r="N2991" t="s">
        <v>10650</v>
      </c>
      <c r="P2991" t="s">
        <v>10749</v>
      </c>
      <c r="Q2991" t="s">
        <v>10765</v>
      </c>
      <c r="R2991" t="s">
        <v>10821</v>
      </c>
      <c r="T2991">
        <v>19080</v>
      </c>
      <c r="U2991">
        <v>1590</v>
      </c>
      <c r="V2991">
        <v>62</v>
      </c>
      <c r="W2991">
        <v>2</v>
      </c>
      <c r="X2991">
        <v>1</v>
      </c>
      <c r="Z2991">
        <v>89.45</v>
      </c>
      <c r="AA2991">
        <v>40.867266</v>
      </c>
      <c r="AB2991">
        <v>-73.920698</v>
      </c>
      <c r="AD2991" t="s">
        <v>10840</v>
      </c>
      <c r="AG2991" t="s">
        <v>10858</v>
      </c>
      <c r="AH2991" t="s">
        <v>10861</v>
      </c>
      <c r="AI2991">
        <v>234</v>
      </c>
      <c r="AJ2991" t="s">
        <v>10214</v>
      </c>
      <c r="AL2991">
        <v>4.85</v>
      </c>
      <c r="AM2991" t="s">
        <v>10887</v>
      </c>
      <c r="AN2991" t="s">
        <v>10937</v>
      </c>
      <c r="AO2991" t="s">
        <v>11019</v>
      </c>
      <c r="AP2991" t="s">
        <v>11074</v>
      </c>
      <c r="AR2991" t="s">
        <v>11473</v>
      </c>
      <c r="AS2991" t="s">
        <v>9925</v>
      </c>
      <c r="AT2991" t="s">
        <v>11642</v>
      </c>
      <c r="AX2991" t="s">
        <v>10838</v>
      </c>
      <c r="BA2991" t="s">
        <v>11740</v>
      </c>
      <c r="BB2991">
        <v>0</v>
      </c>
      <c r="BC2991">
        <v>0</v>
      </c>
      <c r="BD2991">
        <v>0</v>
      </c>
      <c r="BE2991">
        <v>0</v>
      </c>
      <c r="BF2991">
        <v>2</v>
      </c>
      <c r="BG2991">
        <v>0</v>
      </c>
    </row>
    <row r="2992" spans="1:59">
      <c r="A2992" s="1">
        <f>HYPERLINK("https://lsnyc.legalserver.org/matter/dynamic-profile/view/1907027","19-1907027")</f>
        <v>0</v>
      </c>
      <c r="B2992" t="s">
        <v>1330</v>
      </c>
      <c r="C2992" t="s">
        <v>7305</v>
      </c>
      <c r="D2992" t="s">
        <v>9926</v>
      </c>
      <c r="E2992" t="s">
        <v>10075</v>
      </c>
      <c r="F2992">
        <v>10467</v>
      </c>
      <c r="G2992" t="s">
        <v>10090</v>
      </c>
      <c r="H2992" t="s">
        <v>10138</v>
      </c>
      <c r="I2992" t="s">
        <v>10168</v>
      </c>
      <c r="J2992" t="s">
        <v>10210</v>
      </c>
      <c r="K2992" t="s">
        <v>10217</v>
      </c>
      <c r="M2992" t="s">
        <v>10316</v>
      </c>
      <c r="N2992" t="s">
        <v>10651</v>
      </c>
      <c r="P2992" t="s">
        <v>10749</v>
      </c>
      <c r="Q2992" t="s">
        <v>10765</v>
      </c>
      <c r="R2992" t="s">
        <v>10824</v>
      </c>
      <c r="T2992">
        <v>21632</v>
      </c>
      <c r="U2992">
        <v>1802.67</v>
      </c>
      <c r="V2992">
        <v>45</v>
      </c>
      <c r="W2992">
        <v>1</v>
      </c>
      <c r="X2992">
        <v>3</v>
      </c>
      <c r="Z2992">
        <v>84.01000000000001</v>
      </c>
      <c r="AA2992">
        <v>40.882968</v>
      </c>
      <c r="AB2992">
        <v>-73.883838</v>
      </c>
      <c r="AD2992" t="s">
        <v>10839</v>
      </c>
      <c r="AG2992" t="s">
        <v>10858</v>
      </c>
      <c r="AH2992" t="s">
        <v>10862</v>
      </c>
      <c r="AI2992">
        <v>230</v>
      </c>
      <c r="AJ2992" t="s">
        <v>10210</v>
      </c>
      <c r="AL2992">
        <v>8.6</v>
      </c>
      <c r="AM2992" t="s">
        <v>10887</v>
      </c>
      <c r="AN2992" t="s">
        <v>10938</v>
      </c>
      <c r="AO2992" t="s">
        <v>11010</v>
      </c>
      <c r="AP2992" t="s">
        <v>11057</v>
      </c>
      <c r="AR2992" t="s">
        <v>11257</v>
      </c>
      <c r="AS2992" t="s">
        <v>9926</v>
      </c>
      <c r="BA2992" t="s">
        <v>11738</v>
      </c>
      <c r="BB2992">
        <v>0</v>
      </c>
      <c r="BC2992">
        <v>0</v>
      </c>
      <c r="BD2992">
        <v>0</v>
      </c>
      <c r="BE2992">
        <v>0</v>
      </c>
      <c r="BF2992">
        <v>5</v>
      </c>
      <c r="BG2992">
        <v>0</v>
      </c>
    </row>
    <row r="2993" spans="1:59">
      <c r="A2993" s="1">
        <f>HYPERLINK("https://lsnyc.legalserver.org/matter/dynamic-profile/view/1907028","19-1907028")</f>
        <v>0</v>
      </c>
      <c r="B2993" t="s">
        <v>2528</v>
      </c>
      <c r="C2993" t="s">
        <v>7306</v>
      </c>
      <c r="D2993" t="s">
        <v>9925</v>
      </c>
      <c r="E2993" t="s">
        <v>10075</v>
      </c>
      <c r="F2993">
        <v>10035</v>
      </c>
      <c r="G2993" t="s">
        <v>10089</v>
      </c>
      <c r="H2993" t="s">
        <v>10138</v>
      </c>
      <c r="I2993" t="s">
        <v>10168</v>
      </c>
      <c r="J2993" t="s">
        <v>10209</v>
      </c>
      <c r="K2993" t="s">
        <v>10218</v>
      </c>
      <c r="L2993" t="s">
        <v>10098</v>
      </c>
      <c r="M2993" t="s">
        <v>10578</v>
      </c>
      <c r="N2993" t="s">
        <v>10703</v>
      </c>
      <c r="P2993" t="s">
        <v>10749</v>
      </c>
      <c r="Q2993" t="s">
        <v>10774</v>
      </c>
      <c r="R2993" t="s">
        <v>10824</v>
      </c>
      <c r="T2993">
        <v>2548</v>
      </c>
      <c r="U2993">
        <v>212.33</v>
      </c>
      <c r="V2993">
        <v>36</v>
      </c>
      <c r="W2993">
        <v>2</v>
      </c>
      <c r="X2993">
        <v>0</v>
      </c>
      <c r="Y2993" t="s">
        <v>10829</v>
      </c>
      <c r="Z2993">
        <v>15.07</v>
      </c>
      <c r="AA2993">
        <v>40.801844</v>
      </c>
      <c r="AB2993">
        <v>-73.937915</v>
      </c>
      <c r="AD2993" t="s">
        <v>10839</v>
      </c>
      <c r="AG2993" t="s">
        <v>10858</v>
      </c>
      <c r="AH2993" t="s">
        <v>10862</v>
      </c>
      <c r="AI2993">
        <v>236</v>
      </c>
      <c r="AJ2993" t="s">
        <v>10209</v>
      </c>
      <c r="AK2993" t="s">
        <v>10838</v>
      </c>
      <c r="AL2993">
        <v>0.2</v>
      </c>
      <c r="AM2993" t="s">
        <v>10887</v>
      </c>
      <c r="AN2993" t="s">
        <v>10926</v>
      </c>
      <c r="AO2993" t="s">
        <v>11016</v>
      </c>
      <c r="AP2993" t="s">
        <v>11066</v>
      </c>
      <c r="AR2993" t="s">
        <v>11260</v>
      </c>
      <c r="AS2993" t="s">
        <v>9925</v>
      </c>
      <c r="AX2993" t="s">
        <v>10837</v>
      </c>
      <c r="AY2993" t="s">
        <v>10829</v>
      </c>
      <c r="AZ2993" t="s">
        <v>11681</v>
      </c>
      <c r="BA2993" t="s">
        <v>11741</v>
      </c>
      <c r="BB2993">
        <v>0</v>
      </c>
      <c r="BC2993">
        <v>0</v>
      </c>
      <c r="BD2993">
        <v>0</v>
      </c>
      <c r="BE2993">
        <v>0</v>
      </c>
      <c r="BF2993">
        <v>1</v>
      </c>
      <c r="BG2993">
        <v>0</v>
      </c>
    </row>
    <row r="2994" spans="1:59">
      <c r="A2994" s="1">
        <f>HYPERLINK("https://lsnyc.legalserver.org/matter/dynamic-profile/view/1907029","19-1907029")</f>
        <v>0</v>
      </c>
      <c r="B2994" t="s">
        <v>2529</v>
      </c>
      <c r="C2994" t="s">
        <v>7307</v>
      </c>
      <c r="D2994" t="s">
        <v>9939</v>
      </c>
      <c r="E2994" t="s">
        <v>10075</v>
      </c>
      <c r="F2994">
        <v>11419</v>
      </c>
      <c r="G2994" t="s">
        <v>10092</v>
      </c>
      <c r="H2994" t="s">
        <v>10138</v>
      </c>
      <c r="I2994" t="s">
        <v>10168</v>
      </c>
      <c r="J2994" t="s">
        <v>10212</v>
      </c>
      <c r="K2994" t="s">
        <v>10217</v>
      </c>
      <c r="M2994" t="s">
        <v>10318</v>
      </c>
      <c r="N2994" t="s">
        <v>10684</v>
      </c>
      <c r="P2994" t="s">
        <v>10751</v>
      </c>
      <c r="Q2994" t="s">
        <v>10786</v>
      </c>
      <c r="R2994" t="s">
        <v>10827</v>
      </c>
      <c r="T2994">
        <v>20956</v>
      </c>
      <c r="U2994">
        <v>1746.33</v>
      </c>
      <c r="V2994">
        <v>64</v>
      </c>
      <c r="W2994">
        <v>3</v>
      </c>
      <c r="X2994">
        <v>0</v>
      </c>
      <c r="Z2994">
        <v>98.25</v>
      </c>
      <c r="AA2994">
        <v>40.682326</v>
      </c>
      <c r="AB2994">
        <v>-73.831812</v>
      </c>
      <c r="AD2994" t="s">
        <v>10840</v>
      </c>
      <c r="AF2994" t="s">
        <v>10843</v>
      </c>
      <c r="AG2994" t="s">
        <v>10859</v>
      </c>
      <c r="AH2994" t="s">
        <v>10873</v>
      </c>
      <c r="AI2994">
        <v>237</v>
      </c>
      <c r="AJ2994" t="s">
        <v>10212</v>
      </c>
      <c r="AL2994">
        <v>1.75</v>
      </c>
      <c r="AM2994" t="s">
        <v>10892</v>
      </c>
      <c r="AN2994" t="s">
        <v>10930</v>
      </c>
      <c r="AO2994" t="s">
        <v>11017</v>
      </c>
      <c r="AP2994" t="s">
        <v>11070</v>
      </c>
      <c r="AR2994" t="s">
        <v>11257</v>
      </c>
      <c r="AS2994" t="s">
        <v>11594</v>
      </c>
      <c r="AT2994" t="s">
        <v>11642</v>
      </c>
      <c r="AX2994" t="s">
        <v>10838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</row>
    <row r="2995" spans="1:59">
      <c r="A2995" s="1">
        <f>HYPERLINK("https://lsnyc.legalserver.org/matter/dynamic-profile/view/1907030","19-1907030")</f>
        <v>0</v>
      </c>
      <c r="B2995" t="s">
        <v>2530</v>
      </c>
      <c r="C2995" t="s">
        <v>7308</v>
      </c>
      <c r="D2995" t="s">
        <v>9928</v>
      </c>
      <c r="E2995" t="s">
        <v>10075</v>
      </c>
      <c r="F2995">
        <v>11216</v>
      </c>
      <c r="G2995" t="s">
        <v>10093</v>
      </c>
      <c r="H2995" t="s">
        <v>10138</v>
      </c>
      <c r="I2995" t="s">
        <v>10168</v>
      </c>
      <c r="J2995" t="s">
        <v>10213</v>
      </c>
      <c r="K2995" t="s">
        <v>10217</v>
      </c>
      <c r="M2995" t="s">
        <v>10494</v>
      </c>
      <c r="N2995" t="s">
        <v>10667</v>
      </c>
      <c r="P2995" t="s">
        <v>10749</v>
      </c>
      <c r="Q2995" t="s">
        <v>10765</v>
      </c>
      <c r="R2995" t="s">
        <v>10824</v>
      </c>
      <c r="T2995">
        <v>9288</v>
      </c>
      <c r="U2995">
        <v>774</v>
      </c>
      <c r="V2995">
        <v>66</v>
      </c>
      <c r="W2995">
        <v>1</v>
      </c>
      <c r="X2995">
        <v>0</v>
      </c>
      <c r="Z2995">
        <v>74.36</v>
      </c>
      <c r="AA2995">
        <v>40.681167</v>
      </c>
      <c r="AB2995">
        <v>-73.95162500000001</v>
      </c>
      <c r="AD2995" t="s">
        <v>10840</v>
      </c>
      <c r="AF2995" t="s">
        <v>10843</v>
      </c>
      <c r="AG2995" t="s">
        <v>10859</v>
      </c>
      <c r="AH2995" t="s">
        <v>10862</v>
      </c>
      <c r="AI2995">
        <v>239</v>
      </c>
      <c r="AJ2995" t="s">
        <v>10213</v>
      </c>
      <c r="AL2995">
        <v>4.8</v>
      </c>
      <c r="AM2995" t="s">
        <v>10889</v>
      </c>
      <c r="AN2995" t="s">
        <v>10923</v>
      </c>
      <c r="AO2995" t="s">
        <v>11007</v>
      </c>
      <c r="AP2995" t="s">
        <v>11052</v>
      </c>
      <c r="AQ2995" t="s">
        <v>11101</v>
      </c>
      <c r="AR2995" t="s">
        <v>11274</v>
      </c>
      <c r="AS2995" t="s">
        <v>11595</v>
      </c>
      <c r="BA2995" t="s">
        <v>11738</v>
      </c>
      <c r="BB2995">
        <v>0</v>
      </c>
      <c r="BC2995">
        <v>0</v>
      </c>
      <c r="BD2995">
        <v>0</v>
      </c>
      <c r="BE2995">
        <v>0</v>
      </c>
      <c r="BF2995">
        <v>5</v>
      </c>
      <c r="BG2995">
        <v>0</v>
      </c>
    </row>
    <row r="2996" spans="1:59">
      <c r="A2996" s="1">
        <f>HYPERLINK("https://lsnyc.legalserver.org/matter/dynamic-profile/view/1907031","19-1907031")</f>
        <v>0</v>
      </c>
      <c r="B2996" t="s">
        <v>2531</v>
      </c>
      <c r="C2996" t="s">
        <v>7309</v>
      </c>
      <c r="D2996" t="s">
        <v>9926</v>
      </c>
      <c r="E2996" t="s">
        <v>10075</v>
      </c>
      <c r="F2996">
        <v>10457</v>
      </c>
      <c r="G2996" t="s">
        <v>10090</v>
      </c>
      <c r="H2996" t="s">
        <v>10138</v>
      </c>
      <c r="I2996" t="s">
        <v>10168</v>
      </c>
      <c r="J2996" t="s">
        <v>10210</v>
      </c>
      <c r="K2996" t="s">
        <v>10217</v>
      </c>
      <c r="M2996" t="s">
        <v>10303</v>
      </c>
      <c r="N2996" t="s">
        <v>10682</v>
      </c>
      <c r="P2996" t="s">
        <v>10751</v>
      </c>
      <c r="Q2996" t="s">
        <v>10761</v>
      </c>
      <c r="R2996" t="s">
        <v>10824</v>
      </c>
      <c r="T2996">
        <v>6000</v>
      </c>
      <c r="U2996">
        <v>500</v>
      </c>
      <c r="V2996">
        <v>59</v>
      </c>
      <c r="W2996">
        <v>1</v>
      </c>
      <c r="X2996">
        <v>0</v>
      </c>
      <c r="Z2996">
        <v>48.04</v>
      </c>
      <c r="AA2996">
        <v>40.853791</v>
      </c>
      <c r="AB2996">
        <v>-73.89463600000001</v>
      </c>
      <c r="AD2996" t="s">
        <v>10840</v>
      </c>
      <c r="AG2996" t="s">
        <v>10858</v>
      </c>
      <c r="AH2996" t="s">
        <v>10862</v>
      </c>
      <c r="AI2996">
        <v>230</v>
      </c>
      <c r="AJ2996" t="s">
        <v>10210</v>
      </c>
      <c r="AL2996">
        <v>3.65</v>
      </c>
      <c r="AM2996" t="s">
        <v>10884</v>
      </c>
      <c r="AN2996" t="s">
        <v>10931</v>
      </c>
      <c r="AO2996" t="s">
        <v>11000</v>
      </c>
      <c r="AP2996" t="s">
        <v>11056</v>
      </c>
      <c r="AR2996" t="s">
        <v>11257</v>
      </c>
      <c r="AS2996" t="s">
        <v>9926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</row>
    <row r="2997" spans="1:59">
      <c r="A2997" s="1">
        <f>HYPERLINK("https://lsnyc.legalserver.org/matter/dynamic-profile/view/1907032","19-1907032")</f>
        <v>0</v>
      </c>
      <c r="B2997" t="s">
        <v>2532</v>
      </c>
      <c r="C2997" t="s">
        <v>7310</v>
      </c>
      <c r="D2997" t="s">
        <v>9925</v>
      </c>
      <c r="E2997" t="s">
        <v>10075</v>
      </c>
      <c r="F2997">
        <v>10009</v>
      </c>
      <c r="G2997" t="s">
        <v>10089</v>
      </c>
      <c r="H2997" t="s">
        <v>10138</v>
      </c>
      <c r="I2997" t="s">
        <v>10168</v>
      </c>
      <c r="J2997" t="s">
        <v>10209</v>
      </c>
      <c r="K2997" t="s">
        <v>10217</v>
      </c>
      <c r="M2997" t="s">
        <v>10575</v>
      </c>
      <c r="N2997" t="s">
        <v>10703</v>
      </c>
      <c r="P2997" t="s">
        <v>10749</v>
      </c>
      <c r="Q2997" t="s">
        <v>10767</v>
      </c>
      <c r="R2997" t="s">
        <v>10824</v>
      </c>
      <c r="T2997">
        <v>4082</v>
      </c>
      <c r="U2997">
        <v>340.17</v>
      </c>
      <c r="V2997">
        <v>30</v>
      </c>
      <c r="W2997">
        <v>1</v>
      </c>
      <c r="X2997">
        <v>2</v>
      </c>
      <c r="Z2997">
        <v>19.14</v>
      </c>
      <c r="AA2997">
        <v>40.723735</v>
      </c>
      <c r="AB2997">
        <v>-73.979428</v>
      </c>
      <c r="AD2997" t="s">
        <v>10839</v>
      </c>
      <c r="AG2997" t="s">
        <v>10858</v>
      </c>
      <c r="AH2997" t="s">
        <v>10862</v>
      </c>
      <c r="AI2997">
        <v>236</v>
      </c>
      <c r="AJ2997" t="s">
        <v>10209</v>
      </c>
      <c r="AL2997">
        <v>0</v>
      </c>
      <c r="AM2997" t="s">
        <v>10891</v>
      </c>
      <c r="AN2997" t="s">
        <v>10910</v>
      </c>
      <c r="AO2997" t="s">
        <v>11021</v>
      </c>
      <c r="AP2997" t="s">
        <v>11048</v>
      </c>
      <c r="AR2997" t="s">
        <v>11292</v>
      </c>
      <c r="AS2997" t="s">
        <v>9925</v>
      </c>
      <c r="AT2997" t="s">
        <v>11641</v>
      </c>
      <c r="BA2997" t="s">
        <v>11741</v>
      </c>
      <c r="BB2997">
        <v>0</v>
      </c>
      <c r="BC2997">
        <v>0</v>
      </c>
      <c r="BD2997">
        <v>0</v>
      </c>
      <c r="BE2997">
        <v>0</v>
      </c>
      <c r="BF2997">
        <v>1</v>
      </c>
      <c r="BG2997">
        <v>0</v>
      </c>
    </row>
    <row r="2998" spans="1:59">
      <c r="A2998" s="1">
        <f>HYPERLINK("https://lsnyc.legalserver.org/matter/dynamic-profile/view/1907033","19-1907033")</f>
        <v>0</v>
      </c>
      <c r="B2998" t="s">
        <v>2533</v>
      </c>
      <c r="C2998" t="s">
        <v>7311</v>
      </c>
      <c r="D2998" t="s">
        <v>9926</v>
      </c>
      <c r="E2998" t="s">
        <v>10075</v>
      </c>
      <c r="F2998">
        <v>10473</v>
      </c>
      <c r="G2998" t="s">
        <v>10090</v>
      </c>
      <c r="H2998" t="s">
        <v>10138</v>
      </c>
      <c r="I2998" t="s">
        <v>10168</v>
      </c>
      <c r="J2998" t="s">
        <v>10210</v>
      </c>
      <c r="K2998" t="s">
        <v>10218</v>
      </c>
      <c r="L2998" t="s">
        <v>10166</v>
      </c>
      <c r="M2998" t="s">
        <v>10262</v>
      </c>
      <c r="N2998" t="s">
        <v>10666</v>
      </c>
      <c r="P2998" t="s">
        <v>10749</v>
      </c>
      <c r="Q2998" t="s">
        <v>10765</v>
      </c>
      <c r="R2998" t="s">
        <v>10824</v>
      </c>
      <c r="T2998">
        <v>20488</v>
      </c>
      <c r="U2998">
        <v>1707.33</v>
      </c>
      <c r="V2998">
        <v>55</v>
      </c>
      <c r="W2998">
        <v>1</v>
      </c>
      <c r="X2998">
        <v>0</v>
      </c>
      <c r="Y2998" t="s">
        <v>10829</v>
      </c>
      <c r="Z2998">
        <v>164.04</v>
      </c>
      <c r="AA2998">
        <v>40.820661</v>
      </c>
      <c r="AB2998">
        <v>-73.85375999999999</v>
      </c>
      <c r="AD2998" t="s">
        <v>10839</v>
      </c>
      <c r="AG2998" t="s">
        <v>10858</v>
      </c>
      <c r="AH2998" t="s">
        <v>10861</v>
      </c>
      <c r="AI2998">
        <v>230</v>
      </c>
      <c r="AJ2998" t="s">
        <v>10210</v>
      </c>
      <c r="AK2998" t="s">
        <v>10838</v>
      </c>
      <c r="AL2998">
        <v>2.1</v>
      </c>
      <c r="AM2998" t="s">
        <v>10884</v>
      </c>
      <c r="AN2998" t="s">
        <v>10908</v>
      </c>
      <c r="AO2998" t="s">
        <v>11001</v>
      </c>
      <c r="AP2998" t="s">
        <v>11046</v>
      </c>
      <c r="AR2998" t="s">
        <v>11257</v>
      </c>
      <c r="AS2998" t="s">
        <v>9926</v>
      </c>
      <c r="AT2998" t="s">
        <v>11641</v>
      </c>
      <c r="AX2998" t="s">
        <v>10838</v>
      </c>
      <c r="AY2998" t="s">
        <v>10829</v>
      </c>
      <c r="AZ2998" t="s">
        <v>11681</v>
      </c>
      <c r="BA2998" t="s">
        <v>11741</v>
      </c>
      <c r="BB2998">
        <v>0</v>
      </c>
      <c r="BC2998">
        <v>0</v>
      </c>
      <c r="BD2998">
        <v>0</v>
      </c>
      <c r="BE2998">
        <v>0</v>
      </c>
      <c r="BF2998">
        <v>1</v>
      </c>
      <c r="BG2998">
        <v>0</v>
      </c>
    </row>
    <row r="2999" spans="1:59">
      <c r="A2999" s="1">
        <f>HYPERLINK("https://lsnyc.legalserver.org/matter/dynamic-profile/view/1907034","19-1907034")</f>
        <v>0</v>
      </c>
      <c r="B2999" t="s">
        <v>2534</v>
      </c>
      <c r="C2999" t="s">
        <v>7312</v>
      </c>
      <c r="D2999" t="s">
        <v>9946</v>
      </c>
      <c r="E2999" t="s">
        <v>10075</v>
      </c>
      <c r="F2999">
        <v>11385</v>
      </c>
      <c r="G2999" t="s">
        <v>10092</v>
      </c>
      <c r="H2999" t="s">
        <v>10138</v>
      </c>
      <c r="I2999" t="s">
        <v>10168</v>
      </c>
      <c r="J2999" t="s">
        <v>10212</v>
      </c>
      <c r="K2999" t="s">
        <v>10217</v>
      </c>
      <c r="M2999" t="s">
        <v>10342</v>
      </c>
      <c r="N2999" t="s">
        <v>10693</v>
      </c>
      <c r="P2999" t="s">
        <v>10749</v>
      </c>
      <c r="Q2999" t="s">
        <v>10765</v>
      </c>
      <c r="R2999" t="s">
        <v>10825</v>
      </c>
      <c r="T2999">
        <v>30000</v>
      </c>
      <c r="U2999">
        <v>2500</v>
      </c>
      <c r="V2999">
        <v>45</v>
      </c>
      <c r="W2999">
        <v>2</v>
      </c>
      <c r="X2999">
        <v>1</v>
      </c>
      <c r="Z2999">
        <v>140.65</v>
      </c>
      <c r="AA2999">
        <v>40.711725</v>
      </c>
      <c r="AB2999">
        <v>-73.90146799999999</v>
      </c>
      <c r="AD2999" t="s">
        <v>10839</v>
      </c>
      <c r="AG2999" t="s">
        <v>10858</v>
      </c>
      <c r="AH2999" t="s">
        <v>10862</v>
      </c>
      <c r="AI2999">
        <v>237</v>
      </c>
      <c r="AJ2999" t="s">
        <v>10212</v>
      </c>
      <c r="AL2999">
        <v>6.31</v>
      </c>
      <c r="AR2999" t="s">
        <v>11257</v>
      </c>
      <c r="AS2999" t="s">
        <v>11594</v>
      </c>
      <c r="BA2999" t="s">
        <v>11738</v>
      </c>
      <c r="BB2999">
        <v>0</v>
      </c>
      <c r="BC2999">
        <v>0</v>
      </c>
      <c r="BD2999">
        <v>0</v>
      </c>
      <c r="BE2999">
        <v>0</v>
      </c>
      <c r="BF2999">
        <v>5</v>
      </c>
      <c r="BG2999">
        <v>0</v>
      </c>
    </row>
    <row r="3000" spans="1:59">
      <c r="A3000" s="1">
        <f>HYPERLINK("https://lsnyc.legalserver.org/matter/dynamic-profile/view/1907035","19-1907035")</f>
        <v>0</v>
      </c>
      <c r="B3000" t="s">
        <v>2535</v>
      </c>
      <c r="C3000" t="s">
        <v>7313</v>
      </c>
      <c r="D3000" t="s">
        <v>9926</v>
      </c>
      <c r="E3000" t="s">
        <v>10075</v>
      </c>
      <c r="F3000">
        <v>10467</v>
      </c>
      <c r="G3000" t="s">
        <v>10090</v>
      </c>
      <c r="H3000" t="s">
        <v>10138</v>
      </c>
      <c r="I3000" t="s">
        <v>10168</v>
      </c>
      <c r="J3000" t="s">
        <v>10210</v>
      </c>
      <c r="K3000" t="s">
        <v>10218</v>
      </c>
      <c r="L3000" t="s">
        <v>10158</v>
      </c>
      <c r="M3000" t="s">
        <v>10593</v>
      </c>
      <c r="N3000" t="s">
        <v>10677</v>
      </c>
      <c r="P3000" t="s">
        <v>10751</v>
      </c>
      <c r="Q3000" t="s">
        <v>10761</v>
      </c>
      <c r="R3000" t="s">
        <v>10823</v>
      </c>
      <c r="T3000">
        <v>13200</v>
      </c>
      <c r="U3000">
        <v>1100</v>
      </c>
      <c r="V3000">
        <v>62</v>
      </c>
      <c r="W3000">
        <v>1</v>
      </c>
      <c r="X3000">
        <v>0</v>
      </c>
      <c r="Y3000" t="s">
        <v>10834</v>
      </c>
      <c r="Z3000">
        <v>105.68</v>
      </c>
      <c r="AA3000">
        <v>40.864405</v>
      </c>
      <c r="AB3000">
        <v>-73.865145</v>
      </c>
      <c r="AD3000" t="s">
        <v>10840</v>
      </c>
      <c r="AG3000" t="s">
        <v>10858</v>
      </c>
      <c r="AH3000" t="s">
        <v>10861</v>
      </c>
      <c r="AI3000">
        <v>234</v>
      </c>
      <c r="AJ3000" t="s">
        <v>10214</v>
      </c>
      <c r="AK3000" t="s">
        <v>10838</v>
      </c>
      <c r="AL3000">
        <v>14.5</v>
      </c>
      <c r="AM3000" t="s">
        <v>10885</v>
      </c>
      <c r="AN3000" t="s">
        <v>10938</v>
      </c>
      <c r="AO3000" t="s">
        <v>11002</v>
      </c>
      <c r="AP3000" t="s">
        <v>11056</v>
      </c>
      <c r="AR3000" t="s">
        <v>11485</v>
      </c>
      <c r="AS3000" t="s">
        <v>9926</v>
      </c>
      <c r="AT3000" t="s">
        <v>11642</v>
      </c>
      <c r="AX3000" t="s">
        <v>10838</v>
      </c>
      <c r="AY3000" t="s">
        <v>10834</v>
      </c>
      <c r="AZ3000" t="s">
        <v>11701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</row>
    <row r="3001" spans="1:59">
      <c r="A3001" s="1">
        <f>HYPERLINK("https://lsnyc.legalserver.org/matter/dynamic-profile/view/1907036","19-1907036")</f>
        <v>0</v>
      </c>
      <c r="B3001" t="s">
        <v>2536</v>
      </c>
      <c r="C3001" t="s">
        <v>7314</v>
      </c>
      <c r="D3001" t="s">
        <v>9928</v>
      </c>
      <c r="E3001" t="s">
        <v>10075</v>
      </c>
      <c r="F3001">
        <v>11230</v>
      </c>
      <c r="G3001" t="s">
        <v>10093</v>
      </c>
      <c r="H3001" t="s">
        <v>10138</v>
      </c>
      <c r="I3001" t="s">
        <v>10168</v>
      </c>
      <c r="J3001" t="s">
        <v>10213</v>
      </c>
      <c r="K3001" t="s">
        <v>10217</v>
      </c>
      <c r="M3001" t="s">
        <v>10521</v>
      </c>
      <c r="N3001" t="s">
        <v>10732</v>
      </c>
      <c r="P3001" t="s">
        <v>10754</v>
      </c>
      <c r="Q3001" t="s">
        <v>10775</v>
      </c>
      <c r="R3001" t="s">
        <v>10820</v>
      </c>
      <c r="T3001">
        <v>19200</v>
      </c>
      <c r="U3001">
        <v>1600</v>
      </c>
      <c r="V3001">
        <v>26</v>
      </c>
      <c r="W3001">
        <v>1</v>
      </c>
      <c r="X3001">
        <v>0</v>
      </c>
      <c r="Z3001">
        <v>153.72</v>
      </c>
      <c r="AA3001">
        <v>40.612044</v>
      </c>
      <c r="AB3001">
        <v>-73.96942300000001</v>
      </c>
      <c r="AD3001" t="s">
        <v>10839</v>
      </c>
      <c r="AG3001" t="s">
        <v>10858</v>
      </c>
      <c r="AH3001" t="s">
        <v>10875</v>
      </c>
      <c r="AI3001">
        <v>239</v>
      </c>
      <c r="AJ3001" t="s">
        <v>10213</v>
      </c>
      <c r="AL3001">
        <v>0</v>
      </c>
      <c r="AM3001" t="s">
        <v>10894</v>
      </c>
      <c r="AN3001" t="s">
        <v>10947</v>
      </c>
      <c r="AO3001" t="s">
        <v>11023</v>
      </c>
      <c r="AP3001" t="s">
        <v>11079</v>
      </c>
      <c r="AR3001" t="s">
        <v>11257</v>
      </c>
      <c r="AS3001" t="s">
        <v>11595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</row>
    <row r="3002" spans="1:59">
      <c r="A3002" s="1">
        <f>HYPERLINK("https://lsnyc.legalserver.org/matter/dynamic-profile/view/1907037","19-1907037")</f>
        <v>0</v>
      </c>
      <c r="B3002" t="s">
        <v>951</v>
      </c>
      <c r="C3002" t="s">
        <v>7315</v>
      </c>
      <c r="D3002" t="s">
        <v>9978</v>
      </c>
      <c r="E3002" t="s">
        <v>10075</v>
      </c>
      <c r="F3002">
        <v>11420</v>
      </c>
      <c r="G3002" t="s">
        <v>10092</v>
      </c>
      <c r="H3002" t="s">
        <v>10113</v>
      </c>
      <c r="I3002" t="s">
        <v>10168</v>
      </c>
      <c r="J3002" t="s">
        <v>10212</v>
      </c>
      <c r="K3002" t="s">
        <v>10217</v>
      </c>
      <c r="M3002" t="s">
        <v>10366</v>
      </c>
      <c r="N3002" t="s">
        <v>10678</v>
      </c>
      <c r="P3002" t="s">
        <v>10749</v>
      </c>
      <c r="Q3002" t="s">
        <v>10806</v>
      </c>
      <c r="R3002" t="s">
        <v>10824</v>
      </c>
      <c r="T3002">
        <v>50892</v>
      </c>
      <c r="U3002">
        <v>4241</v>
      </c>
      <c r="V3002">
        <v>69</v>
      </c>
      <c r="W3002">
        <v>5</v>
      </c>
      <c r="X3002">
        <v>0</v>
      </c>
      <c r="Z3002">
        <v>168.68</v>
      </c>
      <c r="AA3002">
        <v>40.668001</v>
      </c>
      <c r="AB3002">
        <v>-73.803262</v>
      </c>
      <c r="AD3002" t="s">
        <v>10839</v>
      </c>
      <c r="AG3002" t="s">
        <v>10858</v>
      </c>
      <c r="AH3002" t="s">
        <v>10860</v>
      </c>
      <c r="AI3002">
        <v>237</v>
      </c>
      <c r="AJ3002" t="s">
        <v>10212</v>
      </c>
      <c r="AL3002">
        <v>1</v>
      </c>
      <c r="AM3002" t="s">
        <v>10892</v>
      </c>
      <c r="AN3002" t="s">
        <v>10930</v>
      </c>
      <c r="AO3002" t="s">
        <v>11017</v>
      </c>
      <c r="AP3002" t="s">
        <v>11070</v>
      </c>
      <c r="AQ3002" t="s">
        <v>11228</v>
      </c>
      <c r="AR3002" t="s">
        <v>11486</v>
      </c>
      <c r="AS3002" t="s">
        <v>11594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</row>
    <row r="3003" spans="1:59">
      <c r="A3003" s="1">
        <f>HYPERLINK("https://lsnyc.legalserver.org/matter/dynamic-profile/view/1907039","19-1907039")</f>
        <v>0</v>
      </c>
      <c r="B3003" t="s">
        <v>2537</v>
      </c>
      <c r="C3003" t="s">
        <v>7316</v>
      </c>
      <c r="D3003" t="s">
        <v>9928</v>
      </c>
      <c r="E3003" t="s">
        <v>10075</v>
      </c>
      <c r="F3003">
        <v>11216</v>
      </c>
      <c r="G3003" t="s">
        <v>10093</v>
      </c>
      <c r="H3003" t="s">
        <v>10138</v>
      </c>
      <c r="I3003" t="s">
        <v>10168</v>
      </c>
      <c r="J3003" t="s">
        <v>10213</v>
      </c>
      <c r="K3003" t="s">
        <v>10217</v>
      </c>
      <c r="M3003" t="s">
        <v>10494</v>
      </c>
      <c r="N3003" t="s">
        <v>10667</v>
      </c>
      <c r="P3003" t="s">
        <v>10749</v>
      </c>
      <c r="Q3003" t="s">
        <v>10765</v>
      </c>
      <c r="R3003" t="s">
        <v>10824</v>
      </c>
      <c r="T3003">
        <v>14172</v>
      </c>
      <c r="U3003">
        <v>1181</v>
      </c>
      <c r="V3003">
        <v>41</v>
      </c>
      <c r="W3003">
        <v>1</v>
      </c>
      <c r="X3003">
        <v>0</v>
      </c>
      <c r="Z3003">
        <v>113.47</v>
      </c>
      <c r="AA3003">
        <v>40.673393</v>
      </c>
      <c r="AB3003">
        <v>-73.953869</v>
      </c>
      <c r="AD3003" t="s">
        <v>10839</v>
      </c>
      <c r="AG3003" t="s">
        <v>10858</v>
      </c>
      <c r="AH3003" t="s">
        <v>10861</v>
      </c>
      <c r="AI3003">
        <v>239</v>
      </c>
      <c r="AJ3003" t="s">
        <v>10213</v>
      </c>
      <c r="AL3003">
        <v>4</v>
      </c>
      <c r="AM3003" t="s">
        <v>10888</v>
      </c>
      <c r="AN3003" t="s">
        <v>10923</v>
      </c>
      <c r="AO3003" t="s">
        <v>11007</v>
      </c>
      <c r="AP3003" t="s">
        <v>11052</v>
      </c>
      <c r="AR3003" t="s">
        <v>11298</v>
      </c>
      <c r="AS3003" t="s">
        <v>11595</v>
      </c>
      <c r="BA3003" t="s">
        <v>11742</v>
      </c>
      <c r="BB3003">
        <v>0</v>
      </c>
      <c r="BC3003">
        <v>0</v>
      </c>
      <c r="BD3003">
        <v>0</v>
      </c>
      <c r="BE3003">
        <v>0</v>
      </c>
      <c r="BF3003">
        <v>7</v>
      </c>
      <c r="BG3003">
        <v>0</v>
      </c>
    </row>
    <row r="3004" spans="1:59">
      <c r="A3004" s="1">
        <f>HYPERLINK("https://lsnyc.legalserver.org/matter/dynamic-profile/view/1907041","19-1907041")</f>
        <v>0</v>
      </c>
      <c r="B3004" t="s">
        <v>1330</v>
      </c>
      <c r="C3004" t="s">
        <v>7305</v>
      </c>
      <c r="D3004" t="s">
        <v>9926</v>
      </c>
      <c r="E3004" t="s">
        <v>10075</v>
      </c>
      <c r="F3004">
        <v>10467</v>
      </c>
      <c r="G3004" t="s">
        <v>10090</v>
      </c>
      <c r="H3004" t="s">
        <v>10138</v>
      </c>
      <c r="I3004" t="s">
        <v>10168</v>
      </c>
      <c r="J3004" t="s">
        <v>10210</v>
      </c>
      <c r="K3004" t="s">
        <v>10217</v>
      </c>
      <c r="M3004" t="s">
        <v>10316</v>
      </c>
      <c r="N3004" t="s">
        <v>10671</v>
      </c>
      <c r="P3004" t="s">
        <v>10751</v>
      </c>
      <c r="Q3004" t="s">
        <v>10761</v>
      </c>
      <c r="R3004" t="s">
        <v>10824</v>
      </c>
      <c r="T3004">
        <v>21632</v>
      </c>
      <c r="U3004">
        <v>1802.67</v>
      </c>
      <c r="V3004">
        <v>45</v>
      </c>
      <c r="W3004">
        <v>1</v>
      </c>
      <c r="X3004">
        <v>3</v>
      </c>
      <c r="Z3004">
        <v>84.01000000000001</v>
      </c>
      <c r="AA3004">
        <v>40.882968</v>
      </c>
      <c r="AB3004">
        <v>-73.883838</v>
      </c>
      <c r="AD3004" t="s">
        <v>10839</v>
      </c>
      <c r="AG3004" t="s">
        <v>10858</v>
      </c>
      <c r="AH3004" t="s">
        <v>10862</v>
      </c>
      <c r="AI3004">
        <v>230</v>
      </c>
      <c r="AJ3004" t="s">
        <v>10210</v>
      </c>
      <c r="AL3004">
        <v>0.5</v>
      </c>
      <c r="AM3004" t="s">
        <v>10887</v>
      </c>
      <c r="AN3004" t="s">
        <v>10938</v>
      </c>
      <c r="AO3004" t="s">
        <v>11010</v>
      </c>
      <c r="AP3004" t="s">
        <v>11057</v>
      </c>
      <c r="AR3004" t="s">
        <v>11257</v>
      </c>
      <c r="AS3004" t="s">
        <v>9926</v>
      </c>
      <c r="BA3004" t="s">
        <v>11738</v>
      </c>
      <c r="BB3004">
        <v>0</v>
      </c>
      <c r="BC3004">
        <v>0</v>
      </c>
      <c r="BD3004">
        <v>0</v>
      </c>
      <c r="BE3004">
        <v>0</v>
      </c>
      <c r="BF3004">
        <v>5</v>
      </c>
      <c r="BG3004">
        <v>0</v>
      </c>
    </row>
    <row r="3005" spans="1:59">
      <c r="A3005" s="1">
        <f>HYPERLINK("https://lsnyc.legalserver.org/matter/dynamic-profile/view/1907042","19-1907042")</f>
        <v>0</v>
      </c>
      <c r="B3005" t="s">
        <v>2538</v>
      </c>
      <c r="C3005" t="s">
        <v>7317</v>
      </c>
      <c r="D3005" t="s">
        <v>9929</v>
      </c>
      <c r="E3005" t="s">
        <v>10075</v>
      </c>
      <c r="F3005">
        <v>10302</v>
      </c>
      <c r="G3005" t="s">
        <v>10093</v>
      </c>
      <c r="H3005" t="s">
        <v>10138</v>
      </c>
      <c r="I3005" t="s">
        <v>10168</v>
      </c>
      <c r="J3005" t="s">
        <v>10213</v>
      </c>
      <c r="K3005" t="s">
        <v>10218</v>
      </c>
      <c r="L3005" t="s">
        <v>10152</v>
      </c>
      <c r="M3005" t="s">
        <v>10315</v>
      </c>
      <c r="N3005" t="s">
        <v>10686</v>
      </c>
      <c r="P3005" t="s">
        <v>10750</v>
      </c>
      <c r="Q3005" t="s">
        <v>10778</v>
      </c>
      <c r="R3005" t="s">
        <v>10820</v>
      </c>
      <c r="T3005">
        <v>32400</v>
      </c>
      <c r="U3005">
        <v>2700</v>
      </c>
      <c r="V3005">
        <v>69</v>
      </c>
      <c r="W3005">
        <v>2</v>
      </c>
      <c r="X3005">
        <v>0</v>
      </c>
      <c r="Y3005" t="s">
        <v>10829</v>
      </c>
      <c r="Z3005">
        <v>191.6</v>
      </c>
      <c r="AA3005">
        <v>40.622252</v>
      </c>
      <c r="AB3005">
        <v>-74.131659</v>
      </c>
      <c r="AD3005" t="s">
        <v>10840</v>
      </c>
      <c r="AG3005" t="s">
        <v>10858</v>
      </c>
      <c r="AH3005" t="s">
        <v>10861</v>
      </c>
      <c r="AI3005">
        <v>234</v>
      </c>
      <c r="AJ3005" t="s">
        <v>10214</v>
      </c>
      <c r="AK3005" t="s">
        <v>10838</v>
      </c>
      <c r="AL3005">
        <v>4.95</v>
      </c>
      <c r="AM3005" t="s">
        <v>10883</v>
      </c>
      <c r="AN3005" t="s">
        <v>10913</v>
      </c>
      <c r="AO3005" t="s">
        <v>10999</v>
      </c>
      <c r="AP3005" t="s">
        <v>11051</v>
      </c>
      <c r="AR3005" t="s">
        <v>11268</v>
      </c>
      <c r="AS3005" t="s">
        <v>11593</v>
      </c>
      <c r="AT3005" t="s">
        <v>11642</v>
      </c>
      <c r="AY3005" t="s">
        <v>10829</v>
      </c>
      <c r="AZ3005" t="s">
        <v>11679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</row>
    <row r="3006" spans="1:59">
      <c r="A3006" s="1">
        <f>HYPERLINK("https://lsnyc.legalserver.org/matter/dynamic-profile/view/1907043","19-1907043")</f>
        <v>0</v>
      </c>
      <c r="B3006" t="s">
        <v>2539</v>
      </c>
      <c r="C3006" t="s">
        <v>7318</v>
      </c>
      <c r="D3006" t="s">
        <v>9925</v>
      </c>
      <c r="E3006" t="s">
        <v>10075</v>
      </c>
      <c r="F3006">
        <v>10029</v>
      </c>
      <c r="G3006" t="s">
        <v>10089</v>
      </c>
      <c r="H3006" t="s">
        <v>10138</v>
      </c>
      <c r="I3006" t="s">
        <v>10168</v>
      </c>
      <c r="J3006" t="s">
        <v>10209</v>
      </c>
      <c r="K3006" t="s">
        <v>10217</v>
      </c>
      <c r="M3006" t="s">
        <v>10388</v>
      </c>
      <c r="N3006" t="s">
        <v>10703</v>
      </c>
      <c r="P3006" t="s">
        <v>10749</v>
      </c>
      <c r="Q3006" t="s">
        <v>10765</v>
      </c>
      <c r="R3006" t="s">
        <v>10820</v>
      </c>
      <c r="T3006">
        <v>70700</v>
      </c>
      <c r="U3006">
        <v>5891.67</v>
      </c>
      <c r="V3006">
        <v>36</v>
      </c>
      <c r="W3006">
        <v>2</v>
      </c>
      <c r="X3006">
        <v>0</v>
      </c>
      <c r="Z3006">
        <v>418.1</v>
      </c>
      <c r="AA3006">
        <v>40.79753</v>
      </c>
      <c r="AB3006">
        <v>-73.938428</v>
      </c>
      <c r="AD3006" t="s">
        <v>10840</v>
      </c>
      <c r="AF3006" t="s">
        <v>10846</v>
      </c>
      <c r="AG3006" t="s">
        <v>10859</v>
      </c>
      <c r="AH3006" t="s">
        <v>10862</v>
      </c>
      <c r="AI3006">
        <v>236</v>
      </c>
      <c r="AJ3006" t="s">
        <v>10209</v>
      </c>
      <c r="AL3006">
        <v>1</v>
      </c>
      <c r="AM3006" t="s">
        <v>10887</v>
      </c>
      <c r="AN3006" t="s">
        <v>10926</v>
      </c>
      <c r="AO3006" t="s">
        <v>11013</v>
      </c>
      <c r="AP3006" t="s">
        <v>11066</v>
      </c>
      <c r="AR3006" t="s">
        <v>11343</v>
      </c>
      <c r="AS3006" t="s">
        <v>9925</v>
      </c>
      <c r="BA3006" t="s">
        <v>11741</v>
      </c>
      <c r="BB3006">
        <v>0</v>
      </c>
      <c r="BC3006">
        <v>0</v>
      </c>
      <c r="BD3006">
        <v>0</v>
      </c>
      <c r="BE3006">
        <v>0</v>
      </c>
      <c r="BF3006">
        <v>1</v>
      </c>
      <c r="BG3006">
        <v>0</v>
      </c>
    </row>
    <row r="3007" spans="1:59">
      <c r="A3007" s="1">
        <f>HYPERLINK("https://lsnyc.legalserver.org/matter/dynamic-profile/view/1907044","19-1907044")</f>
        <v>0</v>
      </c>
      <c r="B3007" t="s">
        <v>2530</v>
      </c>
      <c r="C3007" t="s">
        <v>7308</v>
      </c>
      <c r="D3007" t="s">
        <v>9928</v>
      </c>
      <c r="E3007" t="s">
        <v>10075</v>
      </c>
      <c r="F3007">
        <v>11216</v>
      </c>
      <c r="G3007" t="s">
        <v>10093</v>
      </c>
      <c r="H3007" t="s">
        <v>10138</v>
      </c>
      <c r="I3007" t="s">
        <v>10168</v>
      </c>
      <c r="J3007" t="s">
        <v>10213</v>
      </c>
      <c r="K3007" t="s">
        <v>10217</v>
      </c>
      <c r="M3007" t="s">
        <v>10494</v>
      </c>
      <c r="N3007" t="s">
        <v>10668</v>
      </c>
      <c r="P3007" t="s">
        <v>10751</v>
      </c>
      <c r="Q3007" t="s">
        <v>10761</v>
      </c>
      <c r="R3007" t="s">
        <v>10824</v>
      </c>
      <c r="T3007">
        <v>9288</v>
      </c>
      <c r="U3007">
        <v>774</v>
      </c>
      <c r="V3007">
        <v>66</v>
      </c>
      <c r="W3007">
        <v>1</v>
      </c>
      <c r="X3007">
        <v>0</v>
      </c>
      <c r="Z3007">
        <v>74.36</v>
      </c>
      <c r="AA3007">
        <v>40.681167</v>
      </c>
      <c r="AB3007">
        <v>-73.95162500000001</v>
      </c>
      <c r="AD3007" t="s">
        <v>10840</v>
      </c>
      <c r="AF3007" t="s">
        <v>10843</v>
      </c>
      <c r="AG3007" t="s">
        <v>10859</v>
      </c>
      <c r="AH3007" t="s">
        <v>10862</v>
      </c>
      <c r="AI3007">
        <v>239</v>
      </c>
      <c r="AJ3007" t="s">
        <v>10213</v>
      </c>
      <c r="AL3007">
        <v>1</v>
      </c>
      <c r="AM3007" t="s">
        <v>10889</v>
      </c>
      <c r="AN3007" t="s">
        <v>10923</v>
      </c>
      <c r="AO3007" t="s">
        <v>11007</v>
      </c>
      <c r="AP3007" t="s">
        <v>11052</v>
      </c>
      <c r="AR3007" t="s">
        <v>11274</v>
      </c>
      <c r="AS3007" t="s">
        <v>11595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</row>
    <row r="3008" spans="1:59">
      <c r="A3008" s="1">
        <f>HYPERLINK("https://lsnyc.legalserver.org/matter/dynamic-profile/view/1907045","19-1907045")</f>
        <v>0</v>
      </c>
      <c r="B3008" t="s">
        <v>2540</v>
      </c>
      <c r="C3008" t="s">
        <v>7319</v>
      </c>
      <c r="D3008" t="s">
        <v>9926</v>
      </c>
      <c r="E3008" t="s">
        <v>10075</v>
      </c>
      <c r="F3008">
        <v>10459</v>
      </c>
      <c r="G3008" t="s">
        <v>10090</v>
      </c>
      <c r="H3008" t="s">
        <v>10138</v>
      </c>
      <c r="I3008" t="s">
        <v>10168</v>
      </c>
      <c r="J3008" t="s">
        <v>10210</v>
      </c>
      <c r="K3008" t="s">
        <v>10218</v>
      </c>
      <c r="L3008" t="s">
        <v>10154</v>
      </c>
      <c r="M3008" t="s">
        <v>10262</v>
      </c>
      <c r="N3008" t="s">
        <v>10666</v>
      </c>
      <c r="P3008" t="s">
        <v>10749</v>
      </c>
      <c r="Q3008" t="s">
        <v>10765</v>
      </c>
      <c r="R3008" t="s">
        <v>10823</v>
      </c>
      <c r="T3008">
        <v>43504</v>
      </c>
      <c r="U3008">
        <v>3625.33</v>
      </c>
      <c r="V3008">
        <v>45</v>
      </c>
      <c r="W3008">
        <v>1</v>
      </c>
      <c r="X3008">
        <v>3</v>
      </c>
      <c r="Y3008" t="s">
        <v>10829</v>
      </c>
      <c r="Z3008">
        <v>168.95</v>
      </c>
      <c r="AA3008">
        <v>40.823117</v>
      </c>
      <c r="AB3008">
        <v>-73.896529</v>
      </c>
      <c r="AD3008" t="s">
        <v>10839</v>
      </c>
      <c r="AG3008" t="s">
        <v>10858</v>
      </c>
      <c r="AH3008" t="s">
        <v>10861</v>
      </c>
      <c r="AI3008">
        <v>230</v>
      </c>
      <c r="AJ3008" t="s">
        <v>10210</v>
      </c>
      <c r="AK3008" t="s">
        <v>10838</v>
      </c>
      <c r="AL3008">
        <v>0.8</v>
      </c>
      <c r="AM3008" t="s">
        <v>10884</v>
      </c>
      <c r="AN3008" t="s">
        <v>10968</v>
      </c>
      <c r="AO3008" t="s">
        <v>11001</v>
      </c>
      <c r="AP3008" t="s">
        <v>11062</v>
      </c>
      <c r="AR3008" t="s">
        <v>11295</v>
      </c>
      <c r="AS3008" t="s">
        <v>9926</v>
      </c>
      <c r="AT3008" t="s">
        <v>11641</v>
      </c>
      <c r="AX3008" t="s">
        <v>10838</v>
      </c>
      <c r="AY3008" t="s">
        <v>10829</v>
      </c>
      <c r="AZ3008" t="s">
        <v>11681</v>
      </c>
      <c r="BA3008" t="s">
        <v>11741</v>
      </c>
      <c r="BB3008">
        <v>0</v>
      </c>
      <c r="BC3008">
        <v>0</v>
      </c>
      <c r="BD3008">
        <v>0</v>
      </c>
      <c r="BE3008">
        <v>0</v>
      </c>
      <c r="BF3008">
        <v>1</v>
      </c>
      <c r="BG3008">
        <v>0</v>
      </c>
    </row>
    <row r="3009" spans="1:59">
      <c r="A3009" s="1">
        <f>HYPERLINK("https://lsnyc.legalserver.org/matter/dynamic-profile/view/1907047","19-1907047")</f>
        <v>0</v>
      </c>
      <c r="B3009" t="s">
        <v>2541</v>
      </c>
      <c r="C3009" t="s">
        <v>7320</v>
      </c>
      <c r="D3009" t="s">
        <v>9938</v>
      </c>
      <c r="E3009" t="s">
        <v>10075</v>
      </c>
      <c r="F3009">
        <v>11434</v>
      </c>
      <c r="G3009" t="s">
        <v>10092</v>
      </c>
      <c r="H3009" t="s">
        <v>10138</v>
      </c>
      <c r="I3009" t="s">
        <v>10168</v>
      </c>
      <c r="J3009" t="s">
        <v>10212</v>
      </c>
      <c r="K3009" t="s">
        <v>10217</v>
      </c>
      <c r="M3009" t="s">
        <v>10594</v>
      </c>
      <c r="N3009" t="s">
        <v>10693</v>
      </c>
      <c r="P3009" t="s">
        <v>10749</v>
      </c>
      <c r="Q3009" t="s">
        <v>10765</v>
      </c>
      <c r="R3009" t="s">
        <v>10824</v>
      </c>
      <c r="T3009">
        <v>57600</v>
      </c>
      <c r="U3009">
        <v>4800</v>
      </c>
      <c r="V3009">
        <v>63</v>
      </c>
      <c r="W3009">
        <v>3</v>
      </c>
      <c r="X3009">
        <v>1</v>
      </c>
      <c r="Z3009">
        <v>223.69</v>
      </c>
      <c r="AA3009">
        <v>40.67879</v>
      </c>
      <c r="AB3009">
        <v>-73.77413199999999</v>
      </c>
      <c r="AD3009" t="s">
        <v>10839</v>
      </c>
      <c r="AG3009" t="s">
        <v>10858</v>
      </c>
      <c r="AH3009" t="s">
        <v>10862</v>
      </c>
      <c r="AI3009">
        <v>237</v>
      </c>
      <c r="AJ3009" t="s">
        <v>10212</v>
      </c>
      <c r="AL3009">
        <v>20</v>
      </c>
      <c r="AM3009" t="s">
        <v>10892</v>
      </c>
      <c r="AN3009" t="s">
        <v>10951</v>
      </c>
      <c r="AO3009" t="s">
        <v>11017</v>
      </c>
      <c r="AP3009" t="s">
        <v>11070</v>
      </c>
      <c r="AR3009" t="s">
        <v>11257</v>
      </c>
      <c r="AS3009" t="s">
        <v>11594</v>
      </c>
      <c r="BA3009" t="s">
        <v>11741</v>
      </c>
      <c r="BB3009">
        <v>0</v>
      </c>
      <c r="BC3009">
        <v>0</v>
      </c>
      <c r="BD3009">
        <v>0</v>
      </c>
      <c r="BE3009">
        <v>0</v>
      </c>
      <c r="BF3009">
        <v>1</v>
      </c>
      <c r="BG3009">
        <v>0</v>
      </c>
    </row>
    <row r="3010" spans="1:59">
      <c r="A3010" s="1">
        <f>HYPERLINK("https://lsnyc.legalserver.org/matter/dynamic-profile/view/1907048","19-1907048")</f>
        <v>0</v>
      </c>
      <c r="B3010" t="s">
        <v>2542</v>
      </c>
      <c r="C3010" t="s">
        <v>7321</v>
      </c>
      <c r="D3010" t="s">
        <v>9928</v>
      </c>
      <c r="E3010" t="s">
        <v>10075</v>
      </c>
      <c r="F3010">
        <v>11216</v>
      </c>
      <c r="G3010" t="s">
        <v>10093</v>
      </c>
      <c r="H3010" t="s">
        <v>10138</v>
      </c>
      <c r="I3010" t="s">
        <v>10168</v>
      </c>
      <c r="J3010" t="s">
        <v>10213</v>
      </c>
      <c r="K3010" t="s">
        <v>10217</v>
      </c>
      <c r="M3010" t="s">
        <v>10494</v>
      </c>
      <c r="N3010" t="s">
        <v>10667</v>
      </c>
      <c r="P3010" t="s">
        <v>10749</v>
      </c>
      <c r="Q3010" t="s">
        <v>10765</v>
      </c>
      <c r="R3010" t="s">
        <v>10824</v>
      </c>
      <c r="T3010">
        <v>4628</v>
      </c>
      <c r="U3010">
        <v>385.67</v>
      </c>
      <c r="V3010">
        <v>53</v>
      </c>
      <c r="W3010">
        <v>1</v>
      </c>
      <c r="X3010">
        <v>0</v>
      </c>
      <c r="Z3010">
        <v>37.05</v>
      </c>
      <c r="AA3010">
        <v>40.683575</v>
      </c>
      <c r="AB3010">
        <v>-73.944225</v>
      </c>
      <c r="AD3010" t="s">
        <v>10839</v>
      </c>
      <c r="AG3010" t="s">
        <v>10858</v>
      </c>
      <c r="AH3010" t="s">
        <v>10862</v>
      </c>
      <c r="AI3010">
        <v>239</v>
      </c>
      <c r="AJ3010" t="s">
        <v>10213</v>
      </c>
      <c r="AL3010">
        <v>9.6</v>
      </c>
      <c r="AM3010" t="s">
        <v>10889</v>
      </c>
      <c r="AN3010" t="s">
        <v>10914</v>
      </c>
      <c r="AO3010" t="s">
        <v>11007</v>
      </c>
      <c r="AP3010" t="s">
        <v>11052</v>
      </c>
      <c r="AQ3010" t="s">
        <v>11101</v>
      </c>
      <c r="AR3010" t="s">
        <v>11255</v>
      </c>
      <c r="AS3010" t="s">
        <v>11595</v>
      </c>
      <c r="BA3010" t="s">
        <v>11738</v>
      </c>
      <c r="BB3010">
        <v>0</v>
      </c>
      <c r="BC3010">
        <v>0</v>
      </c>
      <c r="BD3010">
        <v>0</v>
      </c>
      <c r="BE3010">
        <v>0</v>
      </c>
      <c r="BF3010">
        <v>5</v>
      </c>
      <c r="BG3010">
        <v>0</v>
      </c>
    </row>
    <row r="3011" spans="1:59">
      <c r="A3011" s="1">
        <f>HYPERLINK("https://lsnyc.legalserver.org/matter/dynamic-profile/view/1907049","19-1907049")</f>
        <v>0</v>
      </c>
      <c r="B3011" t="s">
        <v>2543</v>
      </c>
      <c r="C3011" t="s">
        <v>7322</v>
      </c>
      <c r="D3011" t="s">
        <v>9926</v>
      </c>
      <c r="E3011" t="s">
        <v>10075</v>
      </c>
      <c r="F3011">
        <v>10455</v>
      </c>
      <c r="G3011" t="s">
        <v>10090</v>
      </c>
      <c r="H3011" t="s">
        <v>10147</v>
      </c>
      <c r="I3011" t="s">
        <v>10168</v>
      </c>
      <c r="J3011" t="s">
        <v>10210</v>
      </c>
      <c r="K3011" t="s">
        <v>10217</v>
      </c>
      <c r="M3011" t="s">
        <v>10316</v>
      </c>
      <c r="N3011" t="s">
        <v>10666</v>
      </c>
      <c r="P3011" t="s">
        <v>10749</v>
      </c>
      <c r="Q3011" t="s">
        <v>10765</v>
      </c>
      <c r="R3011" t="s">
        <v>10821</v>
      </c>
      <c r="T3011">
        <v>25998</v>
      </c>
      <c r="U3011">
        <v>2166.5</v>
      </c>
      <c r="V3011">
        <v>37</v>
      </c>
      <c r="W3011">
        <v>1</v>
      </c>
      <c r="X3011">
        <v>1</v>
      </c>
      <c r="Z3011">
        <v>153.74</v>
      </c>
      <c r="AA3011">
        <v>40.812668</v>
      </c>
      <c r="AB3011">
        <v>-73.901174</v>
      </c>
      <c r="AD3011" t="s">
        <v>10839</v>
      </c>
      <c r="AG3011" t="s">
        <v>10858</v>
      </c>
      <c r="AH3011" t="s">
        <v>10862</v>
      </c>
      <c r="AI3011">
        <v>230</v>
      </c>
      <c r="AJ3011" t="s">
        <v>10210</v>
      </c>
      <c r="AL3011">
        <v>16.4</v>
      </c>
      <c r="AR3011" t="s">
        <v>11257</v>
      </c>
      <c r="AS3011" t="s">
        <v>9926</v>
      </c>
      <c r="AT3011" t="s">
        <v>11641</v>
      </c>
      <c r="AX3011" t="s">
        <v>10838</v>
      </c>
      <c r="BA3011" t="s">
        <v>11738</v>
      </c>
      <c r="BB3011">
        <v>0</v>
      </c>
      <c r="BC3011">
        <v>0</v>
      </c>
      <c r="BD3011">
        <v>0</v>
      </c>
      <c r="BE3011">
        <v>0</v>
      </c>
      <c r="BF3011">
        <v>5</v>
      </c>
      <c r="BG3011">
        <v>0</v>
      </c>
    </row>
    <row r="3012" spans="1:59">
      <c r="A3012" s="1">
        <f>HYPERLINK("https://lsnyc.legalserver.org/matter/dynamic-profile/view/1907050","19-1907050")</f>
        <v>0</v>
      </c>
      <c r="B3012" t="s">
        <v>2544</v>
      </c>
      <c r="C3012" t="s">
        <v>7323</v>
      </c>
      <c r="D3012" t="s">
        <v>9925</v>
      </c>
      <c r="E3012" t="s">
        <v>10075</v>
      </c>
      <c r="F3012">
        <v>10035</v>
      </c>
      <c r="G3012" t="s">
        <v>10089</v>
      </c>
      <c r="H3012" t="s">
        <v>10138</v>
      </c>
      <c r="I3012" t="s">
        <v>10168</v>
      </c>
      <c r="J3012" t="s">
        <v>10209</v>
      </c>
      <c r="K3012" t="s">
        <v>10217</v>
      </c>
      <c r="M3012" t="s">
        <v>10389</v>
      </c>
      <c r="N3012" t="s">
        <v>10703</v>
      </c>
      <c r="P3012" t="s">
        <v>10749</v>
      </c>
      <c r="Q3012" t="s">
        <v>10765</v>
      </c>
      <c r="R3012" t="s">
        <v>10821</v>
      </c>
      <c r="T3012">
        <v>22300</v>
      </c>
      <c r="U3012">
        <v>1858.33</v>
      </c>
      <c r="V3012">
        <v>60</v>
      </c>
      <c r="W3012">
        <v>2</v>
      </c>
      <c r="X3012">
        <v>0</v>
      </c>
      <c r="Z3012">
        <v>131.87</v>
      </c>
      <c r="AA3012">
        <v>40.80048</v>
      </c>
      <c r="AB3012">
        <v>-73.940529</v>
      </c>
      <c r="AD3012" t="s">
        <v>10839</v>
      </c>
      <c r="AG3012" t="s">
        <v>10858</v>
      </c>
      <c r="AH3012" t="s">
        <v>10861</v>
      </c>
      <c r="AI3012">
        <v>236</v>
      </c>
      <c r="AJ3012" t="s">
        <v>10209</v>
      </c>
      <c r="AL3012">
        <v>0</v>
      </c>
      <c r="AM3012" t="s">
        <v>10887</v>
      </c>
      <c r="AN3012" t="s">
        <v>10926</v>
      </c>
      <c r="AO3012" t="s">
        <v>11016</v>
      </c>
      <c r="AP3012" t="s">
        <v>11076</v>
      </c>
      <c r="AR3012" t="s">
        <v>11487</v>
      </c>
      <c r="AS3012" t="s">
        <v>9925</v>
      </c>
      <c r="BA3012" t="s">
        <v>11741</v>
      </c>
      <c r="BB3012">
        <v>0</v>
      </c>
      <c r="BC3012">
        <v>0</v>
      </c>
      <c r="BD3012">
        <v>0</v>
      </c>
      <c r="BE3012">
        <v>0</v>
      </c>
      <c r="BF3012">
        <v>1</v>
      </c>
      <c r="BG3012">
        <v>0</v>
      </c>
    </row>
    <row r="3013" spans="1:59">
      <c r="A3013" s="1">
        <f>HYPERLINK("https://lsnyc.legalserver.org/matter/dynamic-profile/view/1907051","19-1907051")</f>
        <v>0</v>
      </c>
      <c r="B3013" t="s">
        <v>2545</v>
      </c>
      <c r="C3013" t="s">
        <v>7324</v>
      </c>
      <c r="D3013" t="s">
        <v>9926</v>
      </c>
      <c r="E3013" t="s">
        <v>10075</v>
      </c>
      <c r="F3013">
        <v>10458</v>
      </c>
      <c r="G3013" t="s">
        <v>10090</v>
      </c>
      <c r="H3013" t="s">
        <v>10138</v>
      </c>
      <c r="I3013" t="s">
        <v>10168</v>
      </c>
      <c r="J3013" t="s">
        <v>10210</v>
      </c>
      <c r="K3013" t="s">
        <v>10218</v>
      </c>
      <c r="L3013" t="s">
        <v>10151</v>
      </c>
      <c r="M3013" t="s">
        <v>10262</v>
      </c>
      <c r="N3013" t="s">
        <v>10646</v>
      </c>
      <c r="P3013" t="s">
        <v>10749</v>
      </c>
      <c r="Q3013" t="s">
        <v>10765</v>
      </c>
      <c r="R3013" t="s">
        <v>10823</v>
      </c>
      <c r="T3013">
        <v>35360</v>
      </c>
      <c r="U3013">
        <v>2946.67</v>
      </c>
      <c r="V3013">
        <v>36</v>
      </c>
      <c r="W3013">
        <v>1</v>
      </c>
      <c r="X3013">
        <v>0</v>
      </c>
      <c r="Y3013" t="s">
        <v>10829</v>
      </c>
      <c r="Z3013">
        <v>283.11</v>
      </c>
      <c r="AA3013">
        <v>40.866596</v>
      </c>
      <c r="AB3013">
        <v>-73.88841600000001</v>
      </c>
      <c r="AD3013" t="s">
        <v>10840</v>
      </c>
      <c r="AG3013" t="s">
        <v>10858</v>
      </c>
      <c r="AH3013" t="s">
        <v>10861</v>
      </c>
      <c r="AI3013">
        <v>230</v>
      </c>
      <c r="AJ3013" t="s">
        <v>10210</v>
      </c>
      <c r="AK3013" t="s">
        <v>10838</v>
      </c>
      <c r="AL3013">
        <v>0.5</v>
      </c>
      <c r="AM3013" t="s">
        <v>10887</v>
      </c>
      <c r="AN3013" t="s">
        <v>10907</v>
      </c>
      <c r="AO3013" t="s">
        <v>11000</v>
      </c>
      <c r="AP3013" t="s">
        <v>11056</v>
      </c>
      <c r="AR3013" t="s">
        <v>11257</v>
      </c>
      <c r="AS3013" t="s">
        <v>9926</v>
      </c>
      <c r="AT3013" t="s">
        <v>11642</v>
      </c>
      <c r="AX3013" t="s">
        <v>10838</v>
      </c>
      <c r="AY3013" t="s">
        <v>10829</v>
      </c>
      <c r="AZ3013" t="s">
        <v>11681</v>
      </c>
      <c r="BA3013" t="s">
        <v>11741</v>
      </c>
      <c r="BB3013">
        <v>0</v>
      </c>
      <c r="BC3013">
        <v>0</v>
      </c>
      <c r="BD3013">
        <v>0</v>
      </c>
      <c r="BE3013">
        <v>0</v>
      </c>
      <c r="BF3013">
        <v>1</v>
      </c>
      <c r="BG3013">
        <v>0</v>
      </c>
    </row>
    <row r="3014" spans="1:59">
      <c r="A3014" s="1">
        <f>HYPERLINK("https://lsnyc.legalserver.org/matter/dynamic-profile/view/1907052","19-1907052")</f>
        <v>0</v>
      </c>
      <c r="B3014" t="s">
        <v>389</v>
      </c>
      <c r="C3014" t="s">
        <v>7325</v>
      </c>
      <c r="D3014" t="s">
        <v>9925</v>
      </c>
      <c r="E3014" t="s">
        <v>10075</v>
      </c>
      <c r="F3014">
        <v>10032</v>
      </c>
      <c r="G3014" t="s">
        <v>10089</v>
      </c>
      <c r="H3014" t="s">
        <v>10138</v>
      </c>
      <c r="I3014" t="s">
        <v>10168</v>
      </c>
      <c r="J3014" t="s">
        <v>10209</v>
      </c>
      <c r="K3014" t="s">
        <v>10217</v>
      </c>
      <c r="M3014" t="s">
        <v>10460</v>
      </c>
      <c r="N3014" t="s">
        <v>10650</v>
      </c>
      <c r="P3014" t="s">
        <v>10749</v>
      </c>
      <c r="Q3014" t="s">
        <v>10765</v>
      </c>
      <c r="R3014" t="s">
        <v>10821</v>
      </c>
      <c r="T3014">
        <v>0</v>
      </c>
      <c r="U3014">
        <v>0</v>
      </c>
      <c r="V3014">
        <v>44</v>
      </c>
      <c r="W3014">
        <v>1</v>
      </c>
      <c r="X3014">
        <v>0</v>
      </c>
      <c r="Z3014">
        <v>0</v>
      </c>
      <c r="AA3014">
        <v>40.843584</v>
      </c>
      <c r="AB3014">
        <v>-73.93957</v>
      </c>
      <c r="AD3014" t="s">
        <v>10839</v>
      </c>
      <c r="AG3014" t="s">
        <v>10858</v>
      </c>
      <c r="AH3014" t="s">
        <v>10862</v>
      </c>
      <c r="AI3014">
        <v>236</v>
      </c>
      <c r="AJ3014" t="s">
        <v>10209</v>
      </c>
      <c r="AL3014">
        <v>2</v>
      </c>
      <c r="AM3014" t="s">
        <v>10887</v>
      </c>
      <c r="AN3014" t="s">
        <v>10943</v>
      </c>
      <c r="AO3014" t="s">
        <v>11019</v>
      </c>
      <c r="AP3014" t="s">
        <v>11074</v>
      </c>
      <c r="AR3014" t="s">
        <v>11267</v>
      </c>
      <c r="AS3014" t="s">
        <v>9925</v>
      </c>
      <c r="AT3014" t="s">
        <v>11641</v>
      </c>
      <c r="AX3014" t="s">
        <v>11678</v>
      </c>
      <c r="BA3014" t="s">
        <v>11742</v>
      </c>
      <c r="BB3014">
        <v>0</v>
      </c>
      <c r="BC3014">
        <v>0</v>
      </c>
      <c r="BD3014">
        <v>0</v>
      </c>
      <c r="BE3014">
        <v>0</v>
      </c>
      <c r="BF3014">
        <v>7</v>
      </c>
      <c r="BG3014">
        <v>0</v>
      </c>
    </row>
    <row r="3015" spans="1:59">
      <c r="A3015" s="1">
        <f>HYPERLINK("https://lsnyc.legalserver.org/matter/dynamic-profile/view/1907053","19-1907053")</f>
        <v>0</v>
      </c>
      <c r="B3015" t="s">
        <v>2543</v>
      </c>
      <c r="C3015" t="s">
        <v>7322</v>
      </c>
      <c r="D3015" t="s">
        <v>9926</v>
      </c>
      <c r="E3015" t="s">
        <v>10075</v>
      </c>
      <c r="F3015">
        <v>10455</v>
      </c>
      <c r="G3015" t="s">
        <v>10090</v>
      </c>
      <c r="H3015" t="s">
        <v>10147</v>
      </c>
      <c r="I3015" t="s">
        <v>10168</v>
      </c>
      <c r="J3015" t="s">
        <v>10210</v>
      </c>
      <c r="K3015" t="s">
        <v>10217</v>
      </c>
      <c r="M3015" t="s">
        <v>10316</v>
      </c>
      <c r="N3015" t="s">
        <v>10671</v>
      </c>
      <c r="P3015" t="s">
        <v>10751</v>
      </c>
      <c r="Q3015" t="s">
        <v>10761</v>
      </c>
      <c r="R3015" t="s">
        <v>10821</v>
      </c>
      <c r="T3015">
        <v>25988</v>
      </c>
      <c r="U3015">
        <v>2165.67</v>
      </c>
      <c r="V3015">
        <v>37</v>
      </c>
      <c r="W3015">
        <v>1</v>
      </c>
      <c r="X3015">
        <v>1</v>
      </c>
      <c r="Z3015">
        <v>153.68</v>
      </c>
      <c r="AA3015">
        <v>40.812668</v>
      </c>
      <c r="AB3015">
        <v>-73.901174</v>
      </c>
      <c r="AD3015" t="s">
        <v>10839</v>
      </c>
      <c r="AG3015" t="s">
        <v>10858</v>
      </c>
      <c r="AH3015" t="s">
        <v>10862</v>
      </c>
      <c r="AI3015">
        <v>230</v>
      </c>
      <c r="AJ3015" t="s">
        <v>10210</v>
      </c>
      <c r="AL3015">
        <v>3.35</v>
      </c>
      <c r="AR3015" t="s">
        <v>11257</v>
      </c>
      <c r="AS3015" t="s">
        <v>9926</v>
      </c>
      <c r="AT3015" t="s">
        <v>11641</v>
      </c>
      <c r="AX3015" t="s">
        <v>10838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</row>
    <row r="3016" spans="1:59">
      <c r="A3016" s="1">
        <f>HYPERLINK("https://lsnyc.legalserver.org/matter/dynamic-profile/view/1907054","19-1907054")</f>
        <v>0</v>
      </c>
      <c r="B3016" t="s">
        <v>2546</v>
      </c>
      <c r="C3016" t="s">
        <v>7326</v>
      </c>
      <c r="D3016" t="s">
        <v>9925</v>
      </c>
      <c r="E3016" t="s">
        <v>10075</v>
      </c>
      <c r="F3016">
        <v>10037</v>
      </c>
      <c r="G3016" t="s">
        <v>10089</v>
      </c>
      <c r="H3016" t="s">
        <v>10138</v>
      </c>
      <c r="I3016" t="s">
        <v>10168</v>
      </c>
      <c r="J3016" t="s">
        <v>10209</v>
      </c>
      <c r="K3016" t="s">
        <v>10217</v>
      </c>
      <c r="M3016" t="s">
        <v>10341</v>
      </c>
      <c r="N3016" t="s">
        <v>10703</v>
      </c>
      <c r="P3016" t="s">
        <v>10749</v>
      </c>
      <c r="Q3016" t="s">
        <v>10767</v>
      </c>
      <c r="R3016" t="s">
        <v>10824</v>
      </c>
      <c r="T3016">
        <v>20436</v>
      </c>
      <c r="U3016">
        <v>1703</v>
      </c>
      <c r="V3016">
        <v>74</v>
      </c>
      <c r="W3016">
        <v>2</v>
      </c>
      <c r="X3016">
        <v>0</v>
      </c>
      <c r="Z3016">
        <v>120.85</v>
      </c>
      <c r="AA3016">
        <v>40.810539</v>
      </c>
      <c r="AB3016">
        <v>-73.936831</v>
      </c>
      <c r="AD3016" t="s">
        <v>10839</v>
      </c>
      <c r="AG3016" t="s">
        <v>10858</v>
      </c>
      <c r="AH3016" t="s">
        <v>10862</v>
      </c>
      <c r="AI3016">
        <v>236</v>
      </c>
      <c r="AJ3016" t="s">
        <v>10209</v>
      </c>
      <c r="AL3016">
        <v>9.4</v>
      </c>
      <c r="AM3016" t="s">
        <v>10887</v>
      </c>
      <c r="AN3016" t="s">
        <v>10936</v>
      </c>
      <c r="AO3016" t="s">
        <v>11016</v>
      </c>
      <c r="AP3016" t="s">
        <v>11076</v>
      </c>
      <c r="AR3016" t="s">
        <v>11328</v>
      </c>
      <c r="AS3016" t="s">
        <v>9925</v>
      </c>
      <c r="AT3016" t="s">
        <v>11641</v>
      </c>
      <c r="AX3016" t="s">
        <v>10838</v>
      </c>
      <c r="BA3016" t="s">
        <v>11739</v>
      </c>
      <c r="BB3016">
        <v>0</v>
      </c>
      <c r="BC3016">
        <v>0</v>
      </c>
      <c r="BD3016">
        <v>0</v>
      </c>
      <c r="BE3016">
        <v>0</v>
      </c>
      <c r="BF3016">
        <v>4</v>
      </c>
      <c r="BG3016">
        <v>0</v>
      </c>
    </row>
    <row r="3017" spans="1:59">
      <c r="A3017" s="1">
        <f>HYPERLINK("https://lsnyc.legalserver.org/matter/dynamic-profile/view/1907055","19-1907055")</f>
        <v>0</v>
      </c>
      <c r="B3017" t="s">
        <v>2547</v>
      </c>
      <c r="C3017" t="s">
        <v>7327</v>
      </c>
      <c r="D3017" t="s">
        <v>9928</v>
      </c>
      <c r="E3017" t="s">
        <v>10075</v>
      </c>
      <c r="F3017">
        <v>11226</v>
      </c>
      <c r="G3017" t="s">
        <v>10093</v>
      </c>
      <c r="H3017" t="s">
        <v>10138</v>
      </c>
      <c r="I3017" t="s">
        <v>10168</v>
      </c>
      <c r="J3017" t="s">
        <v>10213</v>
      </c>
      <c r="K3017" t="s">
        <v>10217</v>
      </c>
      <c r="M3017" t="s">
        <v>10592</v>
      </c>
      <c r="N3017" t="s">
        <v>10667</v>
      </c>
      <c r="P3017" t="s">
        <v>10749</v>
      </c>
      <c r="Q3017" t="s">
        <v>10765</v>
      </c>
      <c r="R3017" t="s">
        <v>10825</v>
      </c>
      <c r="T3017">
        <v>34476</v>
      </c>
      <c r="U3017">
        <v>2873</v>
      </c>
      <c r="V3017">
        <v>44</v>
      </c>
      <c r="W3017">
        <v>4</v>
      </c>
      <c r="X3017">
        <v>1</v>
      </c>
      <c r="Z3017">
        <v>114.27</v>
      </c>
      <c r="AA3017">
        <v>40.646256</v>
      </c>
      <c r="AB3017">
        <v>-73.96215100000001</v>
      </c>
      <c r="AD3017" t="s">
        <v>10840</v>
      </c>
      <c r="AG3017" t="s">
        <v>10858</v>
      </c>
      <c r="AH3017" t="s">
        <v>10862</v>
      </c>
      <c r="AI3017">
        <v>239</v>
      </c>
      <c r="AJ3017" t="s">
        <v>10213</v>
      </c>
      <c r="AL3017">
        <v>7.3</v>
      </c>
      <c r="AM3017" t="s">
        <v>10888</v>
      </c>
      <c r="AN3017" t="s">
        <v>10932</v>
      </c>
      <c r="AO3017" t="s">
        <v>11008</v>
      </c>
      <c r="AP3017" t="s">
        <v>11050</v>
      </c>
      <c r="AR3017" t="s">
        <v>11257</v>
      </c>
      <c r="AS3017" t="s">
        <v>11595</v>
      </c>
      <c r="BA3017" t="s">
        <v>11742</v>
      </c>
      <c r="BB3017">
        <v>0</v>
      </c>
      <c r="BC3017">
        <v>0</v>
      </c>
      <c r="BD3017">
        <v>0</v>
      </c>
      <c r="BE3017">
        <v>0</v>
      </c>
      <c r="BF3017">
        <v>7</v>
      </c>
      <c r="BG3017">
        <v>0</v>
      </c>
    </row>
    <row r="3018" spans="1:59">
      <c r="A3018" s="1">
        <f>HYPERLINK("https://lsnyc.legalserver.org/matter/dynamic-profile/view/1907056","19-1907056")</f>
        <v>0</v>
      </c>
      <c r="B3018" t="s">
        <v>2548</v>
      </c>
      <c r="C3018" t="s">
        <v>7328</v>
      </c>
      <c r="D3018" t="s">
        <v>9925</v>
      </c>
      <c r="E3018" t="s">
        <v>10075</v>
      </c>
      <c r="F3018">
        <v>10029</v>
      </c>
      <c r="G3018" t="s">
        <v>10089</v>
      </c>
      <c r="H3018" t="s">
        <v>10138</v>
      </c>
      <c r="I3018" t="s">
        <v>10168</v>
      </c>
      <c r="J3018" t="s">
        <v>10209</v>
      </c>
      <c r="K3018" t="s">
        <v>10217</v>
      </c>
      <c r="M3018" t="s">
        <v>10270</v>
      </c>
      <c r="N3018" t="s">
        <v>10691</v>
      </c>
      <c r="P3018" t="s">
        <v>10754</v>
      </c>
      <c r="Q3018" t="s">
        <v>10775</v>
      </c>
      <c r="R3018" t="s">
        <v>10823</v>
      </c>
      <c r="T3018">
        <v>7056</v>
      </c>
      <c r="U3018">
        <v>588</v>
      </c>
      <c r="V3018">
        <v>38</v>
      </c>
      <c r="W3018">
        <v>2</v>
      </c>
      <c r="X3018">
        <v>2</v>
      </c>
      <c r="Z3018">
        <v>27.4</v>
      </c>
      <c r="AA3018">
        <v>40.799468</v>
      </c>
      <c r="AB3018">
        <v>-73.946958</v>
      </c>
      <c r="AD3018" t="s">
        <v>10839</v>
      </c>
      <c r="AG3018" t="s">
        <v>10858</v>
      </c>
      <c r="AH3018" t="s">
        <v>10861</v>
      </c>
      <c r="AI3018">
        <v>234</v>
      </c>
      <c r="AJ3018" t="s">
        <v>10214</v>
      </c>
      <c r="AL3018">
        <v>1</v>
      </c>
      <c r="AM3018" t="s">
        <v>10887</v>
      </c>
      <c r="AN3018" t="s">
        <v>10926</v>
      </c>
      <c r="AO3018" t="s">
        <v>11016</v>
      </c>
      <c r="AP3018" t="s">
        <v>11076</v>
      </c>
      <c r="AR3018" t="s">
        <v>11322</v>
      </c>
      <c r="AS3018" t="s">
        <v>9925</v>
      </c>
      <c r="AT3018" t="s">
        <v>11641</v>
      </c>
      <c r="AX3018" t="s">
        <v>10838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</row>
    <row r="3019" spans="1:59">
      <c r="A3019" s="1">
        <f>HYPERLINK("https://lsnyc.legalserver.org/matter/dynamic-profile/view/1907057","19-1907057")</f>
        <v>0</v>
      </c>
      <c r="B3019" t="s">
        <v>2549</v>
      </c>
      <c r="C3019" t="s">
        <v>7329</v>
      </c>
      <c r="D3019" t="s">
        <v>9925</v>
      </c>
      <c r="E3019" t="s">
        <v>10075</v>
      </c>
      <c r="F3019">
        <v>10031</v>
      </c>
      <c r="G3019" t="s">
        <v>10091</v>
      </c>
      <c r="H3019" t="s">
        <v>10138</v>
      </c>
      <c r="I3019" t="s">
        <v>10169</v>
      </c>
      <c r="J3019" t="s">
        <v>10214</v>
      </c>
      <c r="K3019" t="s">
        <v>10217</v>
      </c>
      <c r="M3019" t="s">
        <v>10286</v>
      </c>
      <c r="N3019" t="s">
        <v>10671</v>
      </c>
      <c r="P3019" t="s">
        <v>10751</v>
      </c>
      <c r="Q3019" t="s">
        <v>10768</v>
      </c>
      <c r="R3019" t="s">
        <v>10821</v>
      </c>
      <c r="T3019">
        <v>0</v>
      </c>
      <c r="U3019">
        <v>0</v>
      </c>
      <c r="V3019">
        <v>55</v>
      </c>
      <c r="W3019">
        <v>1</v>
      </c>
      <c r="X3019">
        <v>0</v>
      </c>
      <c r="Z3019">
        <v>0</v>
      </c>
      <c r="AA3019">
        <v>40.825578</v>
      </c>
      <c r="AB3019">
        <v>-73.947715</v>
      </c>
      <c r="AD3019" t="s">
        <v>10839</v>
      </c>
      <c r="AF3019" t="s">
        <v>10843</v>
      </c>
      <c r="AG3019" t="s">
        <v>10859</v>
      </c>
      <c r="AH3019" t="s">
        <v>10871</v>
      </c>
      <c r="AI3019">
        <v>234</v>
      </c>
      <c r="AJ3019" t="s">
        <v>10214</v>
      </c>
      <c r="AL3019">
        <v>1</v>
      </c>
      <c r="AM3019" t="s">
        <v>10887</v>
      </c>
      <c r="AN3019" t="s">
        <v>10943</v>
      </c>
      <c r="AO3019" t="s">
        <v>11019</v>
      </c>
      <c r="AP3019" t="s">
        <v>11073</v>
      </c>
      <c r="AR3019" t="s">
        <v>11267</v>
      </c>
      <c r="AS3019" t="s">
        <v>9925</v>
      </c>
      <c r="AT3019" t="s">
        <v>11641</v>
      </c>
      <c r="AX3019" t="s">
        <v>10838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</row>
    <row r="3020" spans="1:59">
      <c r="A3020" s="1">
        <f>HYPERLINK("https://lsnyc.legalserver.org/matter/dynamic-profile/view/1907058","19-1907058")</f>
        <v>0</v>
      </c>
      <c r="B3020" t="s">
        <v>2550</v>
      </c>
      <c r="C3020" t="s">
        <v>6975</v>
      </c>
      <c r="D3020" t="s">
        <v>9926</v>
      </c>
      <c r="E3020" t="s">
        <v>10075</v>
      </c>
      <c r="F3020">
        <v>10473</v>
      </c>
      <c r="G3020" t="s">
        <v>10090</v>
      </c>
      <c r="H3020" t="s">
        <v>10096</v>
      </c>
      <c r="I3020" t="s">
        <v>10168</v>
      </c>
      <c r="J3020" t="s">
        <v>10210</v>
      </c>
      <c r="K3020" t="s">
        <v>10217</v>
      </c>
      <c r="M3020" t="s">
        <v>10579</v>
      </c>
      <c r="N3020" t="s">
        <v>10650</v>
      </c>
      <c r="P3020" t="s">
        <v>10749</v>
      </c>
      <c r="Q3020" t="s">
        <v>10765</v>
      </c>
      <c r="R3020" t="s">
        <v>10824</v>
      </c>
      <c r="T3020">
        <v>9600</v>
      </c>
      <c r="U3020">
        <v>800</v>
      </c>
      <c r="V3020">
        <v>50</v>
      </c>
      <c r="W3020">
        <v>1</v>
      </c>
      <c r="X3020">
        <v>0</v>
      </c>
      <c r="Z3020">
        <v>76.86</v>
      </c>
      <c r="AA3020">
        <v>40.818515</v>
      </c>
      <c r="AB3020">
        <v>-73.861582</v>
      </c>
      <c r="AD3020" t="s">
        <v>10839</v>
      </c>
      <c r="AG3020" t="s">
        <v>10858</v>
      </c>
      <c r="AH3020" t="s">
        <v>10862</v>
      </c>
      <c r="AI3020">
        <v>230</v>
      </c>
      <c r="AJ3020" t="s">
        <v>10210</v>
      </c>
      <c r="AL3020">
        <v>5</v>
      </c>
      <c r="AM3020" t="s">
        <v>10884</v>
      </c>
      <c r="AN3020" t="s">
        <v>10968</v>
      </c>
      <c r="AO3020" t="s">
        <v>11002</v>
      </c>
      <c r="AP3020" t="s">
        <v>11046</v>
      </c>
      <c r="AR3020" t="s">
        <v>11263</v>
      </c>
      <c r="AS3020" t="s">
        <v>9926</v>
      </c>
      <c r="BA3020" t="s">
        <v>11738</v>
      </c>
      <c r="BB3020">
        <v>0</v>
      </c>
      <c r="BC3020">
        <v>0</v>
      </c>
      <c r="BD3020">
        <v>0</v>
      </c>
      <c r="BE3020">
        <v>0</v>
      </c>
      <c r="BF3020">
        <v>5</v>
      </c>
      <c r="BG3020">
        <v>0</v>
      </c>
    </row>
    <row r="3021" spans="1:59">
      <c r="A3021" s="1">
        <f>HYPERLINK("https://lsnyc.legalserver.org/matter/dynamic-profile/view/1907060","19-1907060")</f>
        <v>0</v>
      </c>
      <c r="B3021" t="s">
        <v>2551</v>
      </c>
      <c r="C3021" t="s">
        <v>7330</v>
      </c>
      <c r="D3021" t="s">
        <v>9946</v>
      </c>
      <c r="E3021" t="s">
        <v>10075</v>
      </c>
      <c r="F3021">
        <v>11385</v>
      </c>
      <c r="G3021" t="s">
        <v>10092</v>
      </c>
      <c r="H3021" t="s">
        <v>10138</v>
      </c>
      <c r="I3021" t="s">
        <v>10168</v>
      </c>
      <c r="J3021" t="s">
        <v>10212</v>
      </c>
      <c r="K3021" t="s">
        <v>10217</v>
      </c>
      <c r="M3021" t="s">
        <v>10329</v>
      </c>
      <c r="N3021" t="s">
        <v>10650</v>
      </c>
      <c r="P3021" t="s">
        <v>10749</v>
      </c>
      <c r="Q3021" t="s">
        <v>10765</v>
      </c>
      <c r="R3021" t="s">
        <v>10823</v>
      </c>
      <c r="T3021">
        <v>1690</v>
      </c>
      <c r="U3021">
        <v>140.83</v>
      </c>
      <c r="V3021">
        <v>51</v>
      </c>
      <c r="W3021">
        <v>5</v>
      </c>
      <c r="X3021">
        <v>0</v>
      </c>
      <c r="Z3021">
        <v>5.6</v>
      </c>
      <c r="AA3021">
        <v>40.69821</v>
      </c>
      <c r="AB3021">
        <v>-73.900496</v>
      </c>
      <c r="AD3021" t="s">
        <v>10839</v>
      </c>
      <c r="AG3021" t="s">
        <v>10858</v>
      </c>
      <c r="AH3021" t="s">
        <v>10862</v>
      </c>
      <c r="AI3021">
        <v>237</v>
      </c>
      <c r="AJ3021" t="s">
        <v>10212</v>
      </c>
      <c r="AL3021">
        <v>3.35</v>
      </c>
      <c r="AM3021" t="s">
        <v>10886</v>
      </c>
      <c r="AN3021" t="s">
        <v>10945</v>
      </c>
      <c r="AO3021" t="s">
        <v>11003</v>
      </c>
      <c r="AP3021" t="s">
        <v>11071</v>
      </c>
      <c r="AQ3021" t="s">
        <v>11120</v>
      </c>
      <c r="AR3021" t="s">
        <v>11273</v>
      </c>
      <c r="AS3021" t="s">
        <v>11594</v>
      </c>
      <c r="AT3021" t="s">
        <v>11641</v>
      </c>
      <c r="BA3021" t="s">
        <v>11740</v>
      </c>
      <c r="BB3021">
        <v>0</v>
      </c>
      <c r="BC3021">
        <v>0</v>
      </c>
      <c r="BD3021">
        <v>0</v>
      </c>
      <c r="BE3021">
        <v>0</v>
      </c>
      <c r="BF3021">
        <v>2</v>
      </c>
      <c r="BG3021">
        <v>0</v>
      </c>
    </row>
    <row r="3022" spans="1:59">
      <c r="A3022" s="1">
        <f>HYPERLINK("https://lsnyc.legalserver.org/matter/dynamic-profile/view/1907061","19-1907061")</f>
        <v>0</v>
      </c>
      <c r="B3022" t="s">
        <v>466</v>
      </c>
      <c r="C3022" t="s">
        <v>7331</v>
      </c>
      <c r="D3022" t="s">
        <v>9925</v>
      </c>
      <c r="E3022" t="s">
        <v>10075</v>
      </c>
      <c r="F3022">
        <v>10030</v>
      </c>
      <c r="G3022" t="s">
        <v>10089</v>
      </c>
      <c r="H3022" t="s">
        <v>10138</v>
      </c>
      <c r="I3022" t="s">
        <v>10168</v>
      </c>
      <c r="J3022" t="s">
        <v>10209</v>
      </c>
      <c r="K3022" t="s">
        <v>10217</v>
      </c>
      <c r="M3022" t="s">
        <v>10388</v>
      </c>
      <c r="N3022" t="s">
        <v>10703</v>
      </c>
      <c r="P3022" t="s">
        <v>10749</v>
      </c>
      <c r="Q3022" t="s">
        <v>10765</v>
      </c>
      <c r="R3022" t="s">
        <v>10824</v>
      </c>
      <c r="T3022">
        <v>20800</v>
      </c>
      <c r="U3022">
        <v>1733.33</v>
      </c>
      <c r="V3022">
        <v>48</v>
      </c>
      <c r="W3022">
        <v>1</v>
      </c>
      <c r="X3022">
        <v>0</v>
      </c>
      <c r="Z3022">
        <v>166.53</v>
      </c>
      <c r="AA3022">
        <v>40.815765</v>
      </c>
      <c r="AB3022">
        <v>-73.947693</v>
      </c>
      <c r="AD3022" t="s">
        <v>10840</v>
      </c>
      <c r="AG3022" t="s">
        <v>10858</v>
      </c>
      <c r="AH3022" t="s">
        <v>10862</v>
      </c>
      <c r="AI3022">
        <v>236</v>
      </c>
      <c r="AJ3022" t="s">
        <v>10209</v>
      </c>
      <c r="AL3022">
        <v>1.3</v>
      </c>
      <c r="AM3022" t="s">
        <v>10887</v>
      </c>
      <c r="AN3022" t="s">
        <v>10936</v>
      </c>
      <c r="AO3022" t="s">
        <v>11016</v>
      </c>
      <c r="AP3022" t="s">
        <v>11076</v>
      </c>
      <c r="AR3022" t="s">
        <v>11257</v>
      </c>
      <c r="AS3022" t="s">
        <v>9925</v>
      </c>
      <c r="AT3022" t="s">
        <v>11642</v>
      </c>
      <c r="AX3022" t="s">
        <v>10838</v>
      </c>
      <c r="BA3022" t="s">
        <v>11741</v>
      </c>
      <c r="BB3022">
        <v>0</v>
      </c>
      <c r="BC3022">
        <v>0</v>
      </c>
      <c r="BD3022">
        <v>0</v>
      </c>
      <c r="BE3022">
        <v>0</v>
      </c>
      <c r="BF3022">
        <v>1</v>
      </c>
      <c r="BG3022">
        <v>0</v>
      </c>
    </row>
    <row r="3023" spans="1:59">
      <c r="A3023" s="1">
        <f>HYPERLINK("https://lsnyc.legalserver.org/matter/dynamic-profile/view/1907062","19-1907062")</f>
        <v>0</v>
      </c>
      <c r="B3023" t="s">
        <v>2552</v>
      </c>
      <c r="C3023" t="s">
        <v>7332</v>
      </c>
      <c r="D3023" t="s">
        <v>9925</v>
      </c>
      <c r="E3023" t="s">
        <v>10075</v>
      </c>
      <c r="F3023">
        <v>10001</v>
      </c>
      <c r="G3023" t="s">
        <v>10089</v>
      </c>
      <c r="H3023" t="s">
        <v>10138</v>
      </c>
      <c r="I3023" t="s">
        <v>10168</v>
      </c>
      <c r="J3023" t="s">
        <v>10209</v>
      </c>
      <c r="K3023" t="s">
        <v>10217</v>
      </c>
      <c r="M3023" t="s">
        <v>10389</v>
      </c>
      <c r="N3023" t="s">
        <v>10703</v>
      </c>
      <c r="P3023" t="s">
        <v>10749</v>
      </c>
      <c r="Q3023" t="s">
        <v>10765</v>
      </c>
      <c r="R3023" t="s">
        <v>10822</v>
      </c>
      <c r="T3023">
        <v>35000</v>
      </c>
      <c r="U3023">
        <v>2916.67</v>
      </c>
      <c r="V3023">
        <v>55</v>
      </c>
      <c r="W3023">
        <v>1</v>
      </c>
      <c r="X3023">
        <v>0</v>
      </c>
      <c r="Z3023">
        <v>280.22</v>
      </c>
      <c r="AA3023">
        <v>40.754123</v>
      </c>
      <c r="AB3023">
        <v>-73.99717099999999</v>
      </c>
      <c r="AD3023" t="s">
        <v>10839</v>
      </c>
      <c r="AG3023" t="s">
        <v>10858</v>
      </c>
      <c r="AH3023" t="s">
        <v>10862</v>
      </c>
      <c r="AI3023">
        <v>236</v>
      </c>
      <c r="AJ3023" t="s">
        <v>10209</v>
      </c>
      <c r="AL3023">
        <v>0</v>
      </c>
      <c r="AM3023" t="s">
        <v>10894</v>
      </c>
      <c r="AN3023" t="s">
        <v>10966</v>
      </c>
      <c r="AO3023" t="s">
        <v>11021</v>
      </c>
      <c r="AP3023" t="s">
        <v>11090</v>
      </c>
      <c r="AR3023" t="s">
        <v>11257</v>
      </c>
      <c r="AS3023" t="s">
        <v>9925</v>
      </c>
      <c r="BA3023" t="s">
        <v>11741</v>
      </c>
      <c r="BB3023">
        <v>0</v>
      </c>
      <c r="BC3023">
        <v>0</v>
      </c>
      <c r="BD3023">
        <v>0</v>
      </c>
      <c r="BE3023">
        <v>0</v>
      </c>
      <c r="BF3023">
        <v>1</v>
      </c>
      <c r="BG3023">
        <v>0</v>
      </c>
    </row>
    <row r="3024" spans="1:59">
      <c r="A3024" s="1">
        <f>HYPERLINK("https://lsnyc.legalserver.org/matter/dynamic-profile/view/1907063","19-1907063")</f>
        <v>0</v>
      </c>
      <c r="B3024" t="s">
        <v>972</v>
      </c>
      <c r="C3024" t="s">
        <v>7333</v>
      </c>
      <c r="D3024" t="s">
        <v>9928</v>
      </c>
      <c r="E3024" t="s">
        <v>10075</v>
      </c>
      <c r="F3024">
        <v>11213</v>
      </c>
      <c r="G3024" t="s">
        <v>10093</v>
      </c>
      <c r="H3024" t="s">
        <v>10138</v>
      </c>
      <c r="I3024" t="s">
        <v>10168</v>
      </c>
      <c r="J3024" t="s">
        <v>10213</v>
      </c>
      <c r="K3024" t="s">
        <v>10217</v>
      </c>
      <c r="M3024" t="s">
        <v>10263</v>
      </c>
      <c r="N3024" t="s">
        <v>10650</v>
      </c>
      <c r="P3024" t="s">
        <v>10749</v>
      </c>
      <c r="Q3024" t="s">
        <v>10765</v>
      </c>
      <c r="R3024" t="s">
        <v>10825</v>
      </c>
      <c r="T3024">
        <v>141900</v>
      </c>
      <c r="U3024">
        <v>11825</v>
      </c>
      <c r="V3024">
        <v>39</v>
      </c>
      <c r="W3024">
        <v>2</v>
      </c>
      <c r="X3024">
        <v>0</v>
      </c>
      <c r="Z3024">
        <v>839.15</v>
      </c>
      <c r="AA3024">
        <v>40.668755</v>
      </c>
      <c r="AB3024">
        <v>-73.93391200000001</v>
      </c>
      <c r="AD3024" t="s">
        <v>10839</v>
      </c>
      <c r="AG3024" t="s">
        <v>10858</v>
      </c>
      <c r="AH3024" t="s">
        <v>10862</v>
      </c>
      <c r="AI3024">
        <v>239</v>
      </c>
      <c r="AJ3024" t="s">
        <v>10213</v>
      </c>
      <c r="AL3024">
        <v>1.4</v>
      </c>
      <c r="AM3024" t="s">
        <v>10888</v>
      </c>
      <c r="AN3024" t="s">
        <v>10912</v>
      </c>
      <c r="AO3024" t="s">
        <v>11005</v>
      </c>
      <c r="AP3024" t="s">
        <v>11061</v>
      </c>
      <c r="AR3024" t="s">
        <v>11257</v>
      </c>
      <c r="AS3024" t="s">
        <v>11595</v>
      </c>
      <c r="AX3024" t="s">
        <v>10837</v>
      </c>
      <c r="BA3024" t="s">
        <v>11737</v>
      </c>
      <c r="BB3024">
        <v>0</v>
      </c>
      <c r="BC3024">
        <v>0</v>
      </c>
      <c r="BD3024">
        <v>0</v>
      </c>
      <c r="BE3024">
        <v>0</v>
      </c>
      <c r="BF3024">
        <v>3</v>
      </c>
      <c r="BG3024">
        <v>0</v>
      </c>
    </row>
    <row r="3025" spans="1:59">
      <c r="A3025" s="1">
        <f>HYPERLINK("https://lsnyc.legalserver.org/matter/dynamic-profile/view/1907064","19-1907064")</f>
        <v>0</v>
      </c>
      <c r="B3025" t="s">
        <v>2553</v>
      </c>
      <c r="C3025" t="s">
        <v>7334</v>
      </c>
      <c r="D3025" t="s">
        <v>9926</v>
      </c>
      <c r="E3025" t="s">
        <v>10075</v>
      </c>
      <c r="F3025">
        <v>10472</v>
      </c>
      <c r="G3025" t="s">
        <v>10090</v>
      </c>
      <c r="H3025" t="s">
        <v>10138</v>
      </c>
      <c r="I3025" t="s">
        <v>10168</v>
      </c>
      <c r="J3025" t="s">
        <v>10210</v>
      </c>
      <c r="K3025" t="s">
        <v>10218</v>
      </c>
      <c r="L3025" t="s">
        <v>10161</v>
      </c>
      <c r="M3025" t="s">
        <v>10234</v>
      </c>
      <c r="N3025" t="s">
        <v>10650</v>
      </c>
      <c r="P3025" t="s">
        <v>10749</v>
      </c>
      <c r="Q3025" t="s">
        <v>10765</v>
      </c>
      <c r="R3025" t="s">
        <v>10824</v>
      </c>
      <c r="T3025">
        <v>31000</v>
      </c>
      <c r="U3025">
        <v>2583.33</v>
      </c>
      <c r="V3025">
        <v>48</v>
      </c>
      <c r="W3025">
        <v>1</v>
      </c>
      <c r="X3025">
        <v>0</v>
      </c>
      <c r="Y3025" t="s">
        <v>10829</v>
      </c>
      <c r="Z3025">
        <v>248.2</v>
      </c>
      <c r="AA3025">
        <v>40.826921</v>
      </c>
      <c r="AB3025">
        <v>-73.877546</v>
      </c>
      <c r="AD3025" t="s">
        <v>10839</v>
      </c>
      <c r="AG3025" t="s">
        <v>10858</v>
      </c>
      <c r="AH3025" t="s">
        <v>10862</v>
      </c>
      <c r="AI3025">
        <v>230</v>
      </c>
      <c r="AJ3025" t="s">
        <v>10210</v>
      </c>
      <c r="AK3025" t="s">
        <v>10838</v>
      </c>
      <c r="AL3025">
        <v>1</v>
      </c>
      <c r="AM3025" t="s">
        <v>10884</v>
      </c>
      <c r="AN3025" t="s">
        <v>10968</v>
      </c>
      <c r="AO3025" t="s">
        <v>11001</v>
      </c>
      <c r="AP3025" t="s">
        <v>11046</v>
      </c>
      <c r="AR3025" t="s">
        <v>11257</v>
      </c>
      <c r="AS3025" t="s">
        <v>9926</v>
      </c>
      <c r="AY3025" t="s">
        <v>10829</v>
      </c>
      <c r="AZ3025" t="s">
        <v>11681</v>
      </c>
      <c r="BA3025" t="s">
        <v>11741</v>
      </c>
      <c r="BB3025">
        <v>0</v>
      </c>
      <c r="BC3025">
        <v>0</v>
      </c>
      <c r="BD3025">
        <v>0</v>
      </c>
      <c r="BE3025">
        <v>0</v>
      </c>
      <c r="BF3025">
        <v>1</v>
      </c>
      <c r="BG3025">
        <v>0</v>
      </c>
    </row>
    <row r="3026" spans="1:59">
      <c r="A3026" s="1">
        <f>HYPERLINK("https://lsnyc.legalserver.org/matter/dynamic-profile/view/1907065","19-1907065")</f>
        <v>0</v>
      </c>
      <c r="B3026" t="s">
        <v>2554</v>
      </c>
      <c r="C3026" t="s">
        <v>7335</v>
      </c>
      <c r="D3026" t="s">
        <v>9928</v>
      </c>
      <c r="E3026" t="s">
        <v>10075</v>
      </c>
      <c r="F3026">
        <v>11211</v>
      </c>
      <c r="G3026" t="s">
        <v>10093</v>
      </c>
      <c r="H3026" t="s">
        <v>10138</v>
      </c>
      <c r="I3026" t="s">
        <v>10168</v>
      </c>
      <c r="J3026" t="s">
        <v>10213</v>
      </c>
      <c r="K3026" t="s">
        <v>10218</v>
      </c>
      <c r="L3026" t="s">
        <v>10145</v>
      </c>
      <c r="M3026" t="s">
        <v>10457</v>
      </c>
      <c r="N3026" t="s">
        <v>10662</v>
      </c>
      <c r="P3026" t="s">
        <v>10749</v>
      </c>
      <c r="Q3026" t="s">
        <v>10765</v>
      </c>
      <c r="R3026" t="s">
        <v>10824</v>
      </c>
      <c r="T3026">
        <v>18000</v>
      </c>
      <c r="U3026">
        <v>1500</v>
      </c>
      <c r="V3026">
        <v>29</v>
      </c>
      <c r="W3026">
        <v>1</v>
      </c>
      <c r="X3026">
        <v>0</v>
      </c>
      <c r="Y3026" t="s">
        <v>10829</v>
      </c>
      <c r="Z3026">
        <v>144.12</v>
      </c>
      <c r="AA3026">
        <v>40.712997</v>
      </c>
      <c r="AB3026">
        <v>-73.93899</v>
      </c>
      <c r="AD3026" t="s">
        <v>10839</v>
      </c>
      <c r="AG3026" t="s">
        <v>10858</v>
      </c>
      <c r="AH3026" t="s">
        <v>10861</v>
      </c>
      <c r="AI3026">
        <v>234</v>
      </c>
      <c r="AJ3026" t="s">
        <v>10214</v>
      </c>
      <c r="AK3026" t="s">
        <v>10838</v>
      </c>
      <c r="AL3026">
        <v>1</v>
      </c>
      <c r="AM3026" t="s">
        <v>10891</v>
      </c>
      <c r="AN3026" t="s">
        <v>10942</v>
      </c>
      <c r="AO3026" t="s">
        <v>11011</v>
      </c>
      <c r="AP3026" t="s">
        <v>11071</v>
      </c>
      <c r="AR3026" t="s">
        <v>11257</v>
      </c>
      <c r="AS3026" t="s">
        <v>11595</v>
      </c>
      <c r="AT3026" t="s">
        <v>11641</v>
      </c>
      <c r="AX3026" t="s">
        <v>10837</v>
      </c>
      <c r="AY3026" t="s">
        <v>10829</v>
      </c>
      <c r="AZ3026" t="s">
        <v>11681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</row>
    <row r="3027" spans="1:59">
      <c r="A3027" s="1">
        <f>HYPERLINK("https://lsnyc.legalserver.org/matter/dynamic-profile/view/1907066","19-1907066")</f>
        <v>0</v>
      </c>
      <c r="B3027" t="s">
        <v>2555</v>
      </c>
      <c r="C3027" t="s">
        <v>7336</v>
      </c>
      <c r="D3027" t="s">
        <v>9925</v>
      </c>
      <c r="E3027" t="s">
        <v>10075</v>
      </c>
      <c r="F3027">
        <v>10034</v>
      </c>
      <c r="G3027" t="s">
        <v>10089</v>
      </c>
      <c r="H3027" t="s">
        <v>10138</v>
      </c>
      <c r="I3027" t="s">
        <v>10169</v>
      </c>
      <c r="J3027" t="s">
        <v>10209</v>
      </c>
      <c r="K3027" t="s">
        <v>10217</v>
      </c>
      <c r="M3027" t="s">
        <v>10442</v>
      </c>
      <c r="N3027" t="s">
        <v>10650</v>
      </c>
      <c r="P3027" t="s">
        <v>10749</v>
      </c>
      <c r="Q3027" t="s">
        <v>10765</v>
      </c>
      <c r="R3027" t="s">
        <v>10821</v>
      </c>
      <c r="T3027">
        <v>20400</v>
      </c>
      <c r="U3027">
        <v>1700</v>
      </c>
      <c r="V3027">
        <v>64</v>
      </c>
      <c r="W3027">
        <v>1</v>
      </c>
      <c r="X3027">
        <v>0</v>
      </c>
      <c r="Z3027">
        <v>163.33</v>
      </c>
      <c r="AA3027">
        <v>40.86633</v>
      </c>
      <c r="AB3027">
        <v>-73.93021299999999</v>
      </c>
      <c r="AD3027" t="s">
        <v>10839</v>
      </c>
      <c r="AG3027" t="s">
        <v>10858</v>
      </c>
      <c r="AH3027" t="s">
        <v>10862</v>
      </c>
      <c r="AI3027">
        <v>236</v>
      </c>
      <c r="AJ3027" t="s">
        <v>10209</v>
      </c>
      <c r="AL3027">
        <v>4.1</v>
      </c>
      <c r="AM3027" t="s">
        <v>10887</v>
      </c>
      <c r="AN3027" t="s">
        <v>10937</v>
      </c>
      <c r="AO3027" t="s">
        <v>11019</v>
      </c>
      <c r="AP3027" t="s">
        <v>11074</v>
      </c>
      <c r="AR3027" t="s">
        <v>11268</v>
      </c>
      <c r="AS3027" t="s">
        <v>9925</v>
      </c>
      <c r="AX3027" t="s">
        <v>10838</v>
      </c>
      <c r="BA3027" t="s">
        <v>11740</v>
      </c>
      <c r="BB3027">
        <v>0</v>
      </c>
      <c r="BC3027">
        <v>0</v>
      </c>
      <c r="BD3027">
        <v>0</v>
      </c>
      <c r="BE3027">
        <v>0</v>
      </c>
      <c r="BF3027">
        <v>2</v>
      </c>
      <c r="BG3027">
        <v>0</v>
      </c>
    </row>
    <row r="3028" spans="1:59">
      <c r="A3028" s="1">
        <f>HYPERLINK("https://lsnyc.legalserver.org/matter/dynamic-profile/view/1907067","19-1907067")</f>
        <v>0</v>
      </c>
      <c r="B3028" t="s">
        <v>590</v>
      </c>
      <c r="C3028" t="s">
        <v>7337</v>
      </c>
      <c r="D3028" t="s">
        <v>9925</v>
      </c>
      <c r="E3028" t="s">
        <v>10075</v>
      </c>
      <c r="F3028">
        <v>10026</v>
      </c>
      <c r="G3028" t="s">
        <v>10089</v>
      </c>
      <c r="H3028" t="s">
        <v>10138</v>
      </c>
      <c r="I3028" t="s">
        <v>10168</v>
      </c>
      <c r="J3028" t="s">
        <v>10209</v>
      </c>
      <c r="K3028" t="s">
        <v>10218</v>
      </c>
      <c r="L3028" t="s">
        <v>10142</v>
      </c>
      <c r="M3028" t="s">
        <v>10453</v>
      </c>
      <c r="N3028" t="s">
        <v>10691</v>
      </c>
      <c r="P3028" t="s">
        <v>10751</v>
      </c>
      <c r="Q3028" t="s">
        <v>10776</v>
      </c>
      <c r="R3028" t="s">
        <v>10824</v>
      </c>
      <c r="T3028">
        <v>22320</v>
      </c>
      <c r="U3028">
        <v>1860</v>
      </c>
      <c r="V3028">
        <v>66</v>
      </c>
      <c r="W3028">
        <v>1</v>
      </c>
      <c r="X3028">
        <v>0</v>
      </c>
      <c r="Y3028" t="s">
        <v>10830</v>
      </c>
      <c r="Z3028">
        <v>178.7</v>
      </c>
      <c r="AA3028">
        <v>40.801307</v>
      </c>
      <c r="AB3028">
        <v>-73.954379</v>
      </c>
      <c r="AC3028" t="s">
        <v>10837</v>
      </c>
      <c r="AD3028" t="s">
        <v>10840</v>
      </c>
      <c r="AG3028" t="s">
        <v>10858</v>
      </c>
      <c r="AH3028" t="s">
        <v>10862</v>
      </c>
      <c r="AI3028">
        <v>236</v>
      </c>
      <c r="AJ3028" t="s">
        <v>10209</v>
      </c>
      <c r="AK3028" t="s">
        <v>10882</v>
      </c>
      <c r="AL3028">
        <v>0.1</v>
      </c>
      <c r="AM3028" t="s">
        <v>10887</v>
      </c>
      <c r="AN3028" t="s">
        <v>10936</v>
      </c>
      <c r="AO3028" t="s">
        <v>11016</v>
      </c>
      <c r="AP3028" t="s">
        <v>11076</v>
      </c>
      <c r="AQ3028" t="s">
        <v>11105</v>
      </c>
      <c r="AR3028" t="s">
        <v>11253</v>
      </c>
      <c r="AS3028" t="s">
        <v>9925</v>
      </c>
      <c r="AY3028" t="s">
        <v>10830</v>
      </c>
      <c r="AZ3028" t="s">
        <v>11688</v>
      </c>
      <c r="BA3028" t="s">
        <v>11740</v>
      </c>
      <c r="BB3028">
        <v>0</v>
      </c>
      <c r="BC3028">
        <v>0</v>
      </c>
      <c r="BD3028">
        <v>0</v>
      </c>
      <c r="BE3028">
        <v>0</v>
      </c>
      <c r="BF3028">
        <v>2</v>
      </c>
      <c r="BG3028">
        <v>0</v>
      </c>
    </row>
    <row r="3029" spans="1:59">
      <c r="A3029" s="1">
        <f>HYPERLINK("https://lsnyc.legalserver.org/matter/dynamic-profile/view/1907069","19-1907069")</f>
        <v>0</v>
      </c>
      <c r="B3029" t="s">
        <v>2556</v>
      </c>
      <c r="C3029" t="s">
        <v>7338</v>
      </c>
      <c r="D3029" t="s">
        <v>9926</v>
      </c>
      <c r="E3029" t="s">
        <v>10075</v>
      </c>
      <c r="F3029">
        <v>10460</v>
      </c>
      <c r="G3029" t="s">
        <v>10090</v>
      </c>
      <c r="H3029" t="s">
        <v>10138</v>
      </c>
      <c r="I3029" t="s">
        <v>10168</v>
      </c>
      <c r="J3029" t="s">
        <v>10210</v>
      </c>
      <c r="K3029" t="s">
        <v>10218</v>
      </c>
      <c r="L3029" t="s">
        <v>10141</v>
      </c>
      <c r="M3029" t="s">
        <v>10262</v>
      </c>
      <c r="N3029" t="s">
        <v>10666</v>
      </c>
      <c r="P3029" t="s">
        <v>10749</v>
      </c>
      <c r="Q3029" t="s">
        <v>10765</v>
      </c>
      <c r="R3029" t="s">
        <v>10823</v>
      </c>
      <c r="T3029">
        <v>13092</v>
      </c>
      <c r="U3029">
        <v>1091</v>
      </c>
      <c r="V3029">
        <v>54</v>
      </c>
      <c r="W3029">
        <v>1</v>
      </c>
      <c r="X3029">
        <v>1</v>
      </c>
      <c r="Y3029" t="s">
        <v>10829</v>
      </c>
      <c r="Z3029">
        <v>77.42</v>
      </c>
      <c r="AA3029">
        <v>40.836446</v>
      </c>
      <c r="AB3029">
        <v>-73.86458</v>
      </c>
      <c r="AD3029" t="s">
        <v>10839</v>
      </c>
      <c r="AG3029" t="s">
        <v>10858</v>
      </c>
      <c r="AH3029" t="s">
        <v>10861</v>
      </c>
      <c r="AI3029">
        <v>230</v>
      </c>
      <c r="AJ3029" t="s">
        <v>10210</v>
      </c>
      <c r="AK3029" t="s">
        <v>10838</v>
      </c>
      <c r="AL3029">
        <v>1</v>
      </c>
      <c r="AM3029" t="s">
        <v>10884</v>
      </c>
      <c r="AN3029" t="s">
        <v>10908</v>
      </c>
      <c r="AO3029" t="s">
        <v>11001</v>
      </c>
      <c r="AP3029" t="s">
        <v>11046</v>
      </c>
      <c r="AR3029" t="s">
        <v>11488</v>
      </c>
      <c r="AS3029" t="s">
        <v>9926</v>
      </c>
      <c r="AT3029" t="s">
        <v>11641</v>
      </c>
      <c r="AX3029" t="s">
        <v>10838</v>
      </c>
      <c r="AY3029" t="s">
        <v>10829</v>
      </c>
      <c r="AZ3029" t="s">
        <v>11681</v>
      </c>
      <c r="BA3029" t="s">
        <v>11741</v>
      </c>
      <c r="BB3029">
        <v>0</v>
      </c>
      <c r="BC3029">
        <v>0</v>
      </c>
      <c r="BD3029">
        <v>0</v>
      </c>
      <c r="BE3029">
        <v>0</v>
      </c>
      <c r="BF3029">
        <v>1</v>
      </c>
      <c r="BG3029">
        <v>0</v>
      </c>
    </row>
    <row r="3030" spans="1:59">
      <c r="A3030" s="1">
        <f>HYPERLINK("https://lsnyc.legalserver.org/matter/dynamic-profile/view/1907070","19-1907070")</f>
        <v>0</v>
      </c>
      <c r="B3030" t="s">
        <v>2557</v>
      </c>
      <c r="C3030" t="s">
        <v>7339</v>
      </c>
      <c r="D3030" t="s">
        <v>9928</v>
      </c>
      <c r="E3030" t="s">
        <v>10075</v>
      </c>
      <c r="F3030">
        <v>11207</v>
      </c>
      <c r="G3030" t="s">
        <v>10093</v>
      </c>
      <c r="H3030" t="s">
        <v>10098</v>
      </c>
      <c r="I3030" t="s">
        <v>10168</v>
      </c>
      <c r="J3030" t="s">
        <v>10213</v>
      </c>
      <c r="K3030" t="s">
        <v>10217</v>
      </c>
      <c r="M3030" t="s">
        <v>10238</v>
      </c>
      <c r="N3030" t="s">
        <v>10720</v>
      </c>
      <c r="P3030" t="s">
        <v>10749</v>
      </c>
      <c r="Q3030" t="s">
        <v>10759</v>
      </c>
      <c r="R3030" t="s">
        <v>10824</v>
      </c>
      <c r="T3030">
        <v>36688</v>
      </c>
      <c r="U3030">
        <v>3057.33</v>
      </c>
      <c r="V3030">
        <v>42</v>
      </c>
      <c r="W3030">
        <v>1</v>
      </c>
      <c r="X3030">
        <v>2</v>
      </c>
      <c r="Z3030">
        <v>172</v>
      </c>
      <c r="AA3030">
        <v>40.659592</v>
      </c>
      <c r="AB3030">
        <v>-73.89389</v>
      </c>
      <c r="AC3030" t="s">
        <v>10838</v>
      </c>
      <c r="AD3030" t="s">
        <v>10839</v>
      </c>
      <c r="AG3030" t="s">
        <v>10858</v>
      </c>
      <c r="AH3030" t="s">
        <v>10860</v>
      </c>
      <c r="AI3030">
        <v>239</v>
      </c>
      <c r="AJ3030" t="s">
        <v>10213</v>
      </c>
      <c r="AL3030">
        <v>12.2</v>
      </c>
      <c r="AM3030" t="s">
        <v>10889</v>
      </c>
      <c r="AN3030" t="s">
        <v>10946</v>
      </c>
      <c r="AO3030" t="s">
        <v>11012</v>
      </c>
      <c r="AP3030" t="s">
        <v>11060</v>
      </c>
      <c r="AQ3030" t="s">
        <v>11098</v>
      </c>
      <c r="AR3030" t="s">
        <v>11489</v>
      </c>
      <c r="AS3030" t="s">
        <v>11595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</row>
    <row r="3031" spans="1:59">
      <c r="A3031" s="1">
        <f>HYPERLINK("https://lsnyc.legalserver.org/matter/dynamic-profile/view/1907071","19-1907071")</f>
        <v>0</v>
      </c>
      <c r="B3031" t="s">
        <v>2558</v>
      </c>
      <c r="C3031" t="s">
        <v>7340</v>
      </c>
      <c r="D3031" t="s">
        <v>9925</v>
      </c>
      <c r="E3031" t="s">
        <v>10075</v>
      </c>
      <c r="F3031">
        <v>10032</v>
      </c>
      <c r="G3031" t="s">
        <v>10089</v>
      </c>
      <c r="H3031" t="s">
        <v>10138</v>
      </c>
      <c r="I3031" t="s">
        <v>10169</v>
      </c>
      <c r="J3031" t="s">
        <v>10209</v>
      </c>
      <c r="K3031" t="s">
        <v>10217</v>
      </c>
      <c r="M3031" t="s">
        <v>10442</v>
      </c>
      <c r="N3031" t="s">
        <v>10650</v>
      </c>
      <c r="P3031" t="s">
        <v>10749</v>
      </c>
      <c r="Q3031" t="s">
        <v>10765</v>
      </c>
      <c r="R3031" t="s">
        <v>10821</v>
      </c>
      <c r="T3031">
        <v>23400</v>
      </c>
      <c r="U3031">
        <v>1950</v>
      </c>
      <c r="V3031">
        <v>45</v>
      </c>
      <c r="W3031">
        <v>3</v>
      </c>
      <c r="X3031">
        <v>0</v>
      </c>
      <c r="Z3031">
        <v>109.7</v>
      </c>
      <c r="AA3031">
        <v>40.83893</v>
      </c>
      <c r="AB3031">
        <v>-73.942159</v>
      </c>
      <c r="AD3031" t="s">
        <v>10839</v>
      </c>
      <c r="AF3031" t="s">
        <v>10843</v>
      </c>
      <c r="AG3031" t="s">
        <v>10859</v>
      </c>
      <c r="AH3031" t="s">
        <v>10862</v>
      </c>
      <c r="AI3031">
        <v>236</v>
      </c>
      <c r="AJ3031" t="s">
        <v>10209</v>
      </c>
      <c r="AL3031">
        <v>6.3</v>
      </c>
      <c r="AM3031" t="s">
        <v>10887</v>
      </c>
      <c r="AN3031" t="s">
        <v>10943</v>
      </c>
      <c r="AO3031" t="s">
        <v>11019</v>
      </c>
      <c r="AP3031" t="s">
        <v>11073</v>
      </c>
      <c r="AR3031" t="s">
        <v>11257</v>
      </c>
      <c r="AS3031" t="s">
        <v>9925</v>
      </c>
      <c r="AT3031" t="s">
        <v>11641</v>
      </c>
      <c r="AX3031" t="s">
        <v>10838</v>
      </c>
      <c r="BA3031" t="s">
        <v>11737</v>
      </c>
      <c r="BB3031">
        <v>0</v>
      </c>
      <c r="BC3031">
        <v>0</v>
      </c>
      <c r="BD3031">
        <v>0</v>
      </c>
      <c r="BE3031">
        <v>0</v>
      </c>
      <c r="BF3031">
        <v>3</v>
      </c>
      <c r="BG3031">
        <v>0</v>
      </c>
    </row>
    <row r="3032" spans="1:59">
      <c r="A3032" s="1">
        <f>HYPERLINK("https://lsnyc.legalserver.org/matter/dynamic-profile/view/1907072","19-1907072")</f>
        <v>0</v>
      </c>
      <c r="B3032" t="s">
        <v>2559</v>
      </c>
      <c r="C3032" t="s">
        <v>7341</v>
      </c>
      <c r="D3032" t="s">
        <v>9925</v>
      </c>
      <c r="E3032" t="s">
        <v>10075</v>
      </c>
      <c r="F3032">
        <v>10034</v>
      </c>
      <c r="G3032" t="s">
        <v>10089</v>
      </c>
      <c r="H3032" t="s">
        <v>10138</v>
      </c>
      <c r="I3032" t="s">
        <v>10169</v>
      </c>
      <c r="J3032" t="s">
        <v>10209</v>
      </c>
      <c r="K3032" t="s">
        <v>10217</v>
      </c>
      <c r="M3032" t="s">
        <v>10442</v>
      </c>
      <c r="N3032" t="s">
        <v>10650</v>
      </c>
      <c r="P3032" t="s">
        <v>10749</v>
      </c>
      <c r="Q3032" t="s">
        <v>10765</v>
      </c>
      <c r="R3032" t="s">
        <v>10821</v>
      </c>
      <c r="T3032">
        <v>2580</v>
      </c>
      <c r="U3032">
        <v>215</v>
      </c>
      <c r="V3032">
        <v>58</v>
      </c>
      <c r="W3032">
        <v>1</v>
      </c>
      <c r="X3032">
        <v>0</v>
      </c>
      <c r="Z3032">
        <v>20.66</v>
      </c>
      <c r="AA3032">
        <v>40.864164</v>
      </c>
      <c r="AB3032">
        <v>-73.920818</v>
      </c>
      <c r="AD3032" t="s">
        <v>10839</v>
      </c>
      <c r="AG3032" t="s">
        <v>10858</v>
      </c>
      <c r="AH3032" t="s">
        <v>10862</v>
      </c>
      <c r="AI3032">
        <v>236</v>
      </c>
      <c r="AJ3032" t="s">
        <v>10209</v>
      </c>
      <c r="AL3032">
        <v>0.1</v>
      </c>
      <c r="AM3032" t="s">
        <v>10887</v>
      </c>
      <c r="AN3032" t="s">
        <v>10937</v>
      </c>
      <c r="AO3032" t="s">
        <v>11019</v>
      </c>
      <c r="AP3032" t="s">
        <v>11074</v>
      </c>
      <c r="AR3032" t="s">
        <v>11263</v>
      </c>
      <c r="AS3032" t="s">
        <v>9925</v>
      </c>
      <c r="AT3032" t="s">
        <v>11641</v>
      </c>
      <c r="AX3032" t="s">
        <v>10838</v>
      </c>
      <c r="BA3032" t="s">
        <v>11739</v>
      </c>
      <c r="BB3032">
        <v>0</v>
      </c>
      <c r="BC3032">
        <v>0</v>
      </c>
      <c r="BD3032">
        <v>0</v>
      </c>
      <c r="BE3032">
        <v>0</v>
      </c>
      <c r="BF3032">
        <v>4</v>
      </c>
      <c r="BG3032">
        <v>0</v>
      </c>
    </row>
    <row r="3033" spans="1:59">
      <c r="A3033" s="1">
        <f>HYPERLINK("https://lsnyc.legalserver.org/matter/dynamic-profile/view/1907074","19-1907074")</f>
        <v>0</v>
      </c>
      <c r="B3033" t="s">
        <v>2559</v>
      </c>
      <c r="C3033" t="s">
        <v>7341</v>
      </c>
      <c r="D3033" t="s">
        <v>9925</v>
      </c>
      <c r="E3033" t="s">
        <v>10075</v>
      </c>
      <c r="F3033">
        <v>10034</v>
      </c>
      <c r="G3033" t="s">
        <v>10089</v>
      </c>
      <c r="H3033" t="s">
        <v>10138</v>
      </c>
      <c r="I3033" t="s">
        <v>10169</v>
      </c>
      <c r="J3033" t="s">
        <v>10209</v>
      </c>
      <c r="K3033" t="s">
        <v>10217</v>
      </c>
      <c r="M3033" t="s">
        <v>10442</v>
      </c>
      <c r="N3033" t="s">
        <v>10650</v>
      </c>
      <c r="P3033" t="s">
        <v>10749</v>
      </c>
      <c r="Q3033" t="s">
        <v>10765</v>
      </c>
      <c r="R3033" t="s">
        <v>10821</v>
      </c>
      <c r="T3033">
        <v>2580</v>
      </c>
      <c r="U3033">
        <v>215</v>
      </c>
      <c r="V3033">
        <v>58</v>
      </c>
      <c r="W3033">
        <v>1</v>
      </c>
      <c r="X3033">
        <v>0</v>
      </c>
      <c r="Z3033">
        <v>20.66</v>
      </c>
      <c r="AA3033">
        <v>40.864164</v>
      </c>
      <c r="AB3033">
        <v>-73.920818</v>
      </c>
      <c r="AD3033" t="s">
        <v>10839</v>
      </c>
      <c r="AG3033" t="s">
        <v>10858</v>
      </c>
      <c r="AH3033" t="s">
        <v>10862</v>
      </c>
      <c r="AI3033">
        <v>236</v>
      </c>
      <c r="AJ3033" t="s">
        <v>10209</v>
      </c>
      <c r="AL3033">
        <v>0.1</v>
      </c>
      <c r="AM3033" t="s">
        <v>10887</v>
      </c>
      <c r="AN3033" t="s">
        <v>10937</v>
      </c>
      <c r="AO3033" t="s">
        <v>11019</v>
      </c>
      <c r="AP3033" t="s">
        <v>11074</v>
      </c>
      <c r="AR3033" t="s">
        <v>11263</v>
      </c>
      <c r="AS3033" t="s">
        <v>9925</v>
      </c>
      <c r="AT3033" t="s">
        <v>11641</v>
      </c>
      <c r="AX3033" t="s">
        <v>10838</v>
      </c>
      <c r="BA3033" t="s">
        <v>11739</v>
      </c>
      <c r="BB3033">
        <v>0</v>
      </c>
      <c r="BC3033">
        <v>0</v>
      </c>
      <c r="BD3033">
        <v>0</v>
      </c>
      <c r="BE3033">
        <v>0</v>
      </c>
      <c r="BF3033">
        <v>4</v>
      </c>
      <c r="BG3033">
        <v>0</v>
      </c>
    </row>
    <row r="3034" spans="1:59">
      <c r="A3034" s="1">
        <f>HYPERLINK("https://lsnyc.legalserver.org/matter/dynamic-profile/view/1907075","19-1907075")</f>
        <v>0</v>
      </c>
      <c r="B3034" t="s">
        <v>1611</v>
      </c>
      <c r="C3034" t="s">
        <v>7342</v>
      </c>
      <c r="D3034" t="s">
        <v>9930</v>
      </c>
      <c r="E3034" t="s">
        <v>10075</v>
      </c>
      <c r="F3034">
        <v>11373</v>
      </c>
      <c r="G3034" t="s">
        <v>10091</v>
      </c>
      <c r="H3034" t="s">
        <v>10138</v>
      </c>
      <c r="I3034" t="s">
        <v>10168</v>
      </c>
      <c r="J3034" t="s">
        <v>10214</v>
      </c>
      <c r="K3034" t="s">
        <v>10217</v>
      </c>
      <c r="M3034" t="s">
        <v>10286</v>
      </c>
      <c r="N3034" t="s">
        <v>10671</v>
      </c>
      <c r="P3034" t="s">
        <v>10754</v>
      </c>
      <c r="Q3034" t="s">
        <v>10777</v>
      </c>
      <c r="R3034" t="s">
        <v>10827</v>
      </c>
      <c r="T3034">
        <v>41600</v>
      </c>
      <c r="U3034">
        <v>3466.67</v>
      </c>
      <c r="V3034">
        <v>39</v>
      </c>
      <c r="W3034">
        <v>2</v>
      </c>
      <c r="X3034">
        <v>1</v>
      </c>
      <c r="Z3034">
        <v>195.03</v>
      </c>
      <c r="AA3034">
        <v>40.733596</v>
      </c>
      <c r="AB3034">
        <v>-73.874573</v>
      </c>
      <c r="AD3034" t="s">
        <v>10840</v>
      </c>
      <c r="AF3034" t="s">
        <v>10845</v>
      </c>
      <c r="AG3034" t="s">
        <v>10859</v>
      </c>
      <c r="AH3034" t="s">
        <v>10861</v>
      </c>
      <c r="AI3034">
        <v>234</v>
      </c>
      <c r="AJ3034" t="s">
        <v>10214</v>
      </c>
      <c r="AL3034">
        <v>1.95</v>
      </c>
      <c r="AM3034" t="s">
        <v>10890</v>
      </c>
      <c r="AN3034" t="s">
        <v>10916</v>
      </c>
      <c r="AO3034" t="s">
        <v>11009</v>
      </c>
      <c r="AP3034" t="s">
        <v>11053</v>
      </c>
      <c r="AR3034" t="s">
        <v>11257</v>
      </c>
      <c r="AS3034" t="s">
        <v>11594</v>
      </c>
      <c r="AT3034" t="s">
        <v>11642</v>
      </c>
      <c r="AX3034" t="s">
        <v>10838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</row>
    <row r="3035" spans="1:59">
      <c r="A3035" s="1">
        <f>HYPERLINK("https://lsnyc.legalserver.org/matter/dynamic-profile/view/1907076","19-1907076")</f>
        <v>0</v>
      </c>
      <c r="B3035" t="s">
        <v>1801</v>
      </c>
      <c r="C3035" t="s">
        <v>6595</v>
      </c>
      <c r="D3035" t="s">
        <v>9928</v>
      </c>
      <c r="E3035" t="s">
        <v>10075</v>
      </c>
      <c r="F3035">
        <v>11226</v>
      </c>
      <c r="G3035" t="s">
        <v>10093</v>
      </c>
      <c r="H3035" t="s">
        <v>10138</v>
      </c>
      <c r="I3035" t="s">
        <v>10168</v>
      </c>
      <c r="J3035" t="s">
        <v>10213</v>
      </c>
      <c r="K3035" t="s">
        <v>10217</v>
      </c>
      <c r="M3035" t="s">
        <v>10264</v>
      </c>
      <c r="N3035" t="s">
        <v>10644</v>
      </c>
      <c r="P3035" t="s">
        <v>10751</v>
      </c>
      <c r="Q3035" t="s">
        <v>10761</v>
      </c>
      <c r="R3035" t="s">
        <v>10822</v>
      </c>
      <c r="T3035">
        <v>11904</v>
      </c>
      <c r="U3035">
        <v>992</v>
      </c>
      <c r="V3035">
        <v>91</v>
      </c>
      <c r="W3035">
        <v>1</v>
      </c>
      <c r="X3035">
        <v>0</v>
      </c>
      <c r="Z3035">
        <v>95.31</v>
      </c>
      <c r="AA3035">
        <v>40.652492</v>
      </c>
      <c r="AB3035">
        <v>-73.95706</v>
      </c>
      <c r="AD3035" t="s">
        <v>10822</v>
      </c>
      <c r="AG3035" t="s">
        <v>10858</v>
      </c>
      <c r="AH3035" t="s">
        <v>10862</v>
      </c>
      <c r="AI3035">
        <v>239</v>
      </c>
      <c r="AJ3035" t="s">
        <v>10213</v>
      </c>
      <c r="AL3035">
        <v>1.1</v>
      </c>
      <c r="AM3035" t="s">
        <v>10888</v>
      </c>
      <c r="AN3035" t="s">
        <v>10912</v>
      </c>
      <c r="AO3035" t="s">
        <v>11008</v>
      </c>
      <c r="AP3035" t="s">
        <v>11050</v>
      </c>
      <c r="AR3035" t="s">
        <v>11253</v>
      </c>
      <c r="AS3035" t="s">
        <v>11595</v>
      </c>
      <c r="BA3035" t="s">
        <v>11742</v>
      </c>
      <c r="BB3035">
        <v>0</v>
      </c>
      <c r="BC3035">
        <v>0</v>
      </c>
      <c r="BD3035">
        <v>0</v>
      </c>
      <c r="BE3035">
        <v>0</v>
      </c>
      <c r="BF3035">
        <v>7</v>
      </c>
      <c r="BG3035">
        <v>0</v>
      </c>
    </row>
    <row r="3036" spans="1:59">
      <c r="A3036" s="1">
        <f>HYPERLINK("https://lsnyc.legalserver.org/matter/dynamic-profile/view/1907078","19-1907078")</f>
        <v>0</v>
      </c>
      <c r="B3036" t="s">
        <v>2560</v>
      </c>
      <c r="C3036" t="s">
        <v>7343</v>
      </c>
      <c r="D3036" t="s">
        <v>9928</v>
      </c>
      <c r="E3036" t="s">
        <v>10075</v>
      </c>
      <c r="F3036">
        <v>11238</v>
      </c>
      <c r="G3036" t="s">
        <v>10091</v>
      </c>
      <c r="H3036" t="s">
        <v>10138</v>
      </c>
      <c r="I3036" t="s">
        <v>10168</v>
      </c>
      <c r="J3036" t="s">
        <v>10214</v>
      </c>
      <c r="K3036" t="s">
        <v>10217</v>
      </c>
      <c r="M3036" t="s">
        <v>10286</v>
      </c>
      <c r="N3036" t="s">
        <v>10671</v>
      </c>
      <c r="P3036" t="s">
        <v>10752</v>
      </c>
      <c r="Q3036" t="s">
        <v>10762</v>
      </c>
      <c r="R3036" t="s">
        <v>10824</v>
      </c>
      <c r="T3036">
        <v>18468</v>
      </c>
      <c r="U3036">
        <v>1539</v>
      </c>
      <c r="V3036">
        <v>69</v>
      </c>
      <c r="W3036">
        <v>1</v>
      </c>
      <c r="X3036">
        <v>0</v>
      </c>
      <c r="Z3036">
        <v>147.86</v>
      </c>
      <c r="AA3036">
        <v>40.674274</v>
      </c>
      <c r="AB3036">
        <v>-73.963328</v>
      </c>
      <c r="AD3036" t="s">
        <v>10840</v>
      </c>
      <c r="AG3036" t="s">
        <v>10858</v>
      </c>
      <c r="AH3036" t="s">
        <v>10861</v>
      </c>
      <c r="AI3036">
        <v>234</v>
      </c>
      <c r="AJ3036" t="s">
        <v>10214</v>
      </c>
      <c r="AL3036">
        <v>0.5</v>
      </c>
      <c r="AM3036" t="s">
        <v>10888</v>
      </c>
      <c r="AN3036" t="s">
        <v>10923</v>
      </c>
      <c r="AO3036" t="s">
        <v>11005</v>
      </c>
      <c r="AP3036" t="s">
        <v>11061</v>
      </c>
      <c r="AR3036" t="s">
        <v>11345</v>
      </c>
      <c r="AS3036" t="s">
        <v>11595</v>
      </c>
      <c r="AT3036" t="s">
        <v>11642</v>
      </c>
      <c r="AX3036" t="s">
        <v>10838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</row>
    <row r="3037" spans="1:59">
      <c r="A3037" s="1">
        <f>HYPERLINK("https://lsnyc.legalserver.org/matter/dynamic-profile/view/1907079","19-1907079")</f>
        <v>0</v>
      </c>
      <c r="B3037" t="s">
        <v>2561</v>
      </c>
      <c r="C3037" t="s">
        <v>7344</v>
      </c>
      <c r="D3037" t="s">
        <v>9928</v>
      </c>
      <c r="E3037" t="s">
        <v>10075</v>
      </c>
      <c r="F3037">
        <v>11225</v>
      </c>
      <c r="G3037" t="s">
        <v>10093</v>
      </c>
      <c r="H3037" t="s">
        <v>10138</v>
      </c>
      <c r="I3037" t="s">
        <v>10168</v>
      </c>
      <c r="J3037" t="s">
        <v>10213</v>
      </c>
      <c r="K3037" t="s">
        <v>10217</v>
      </c>
      <c r="M3037" t="s">
        <v>10531</v>
      </c>
      <c r="N3037" t="s">
        <v>10667</v>
      </c>
      <c r="P3037" t="s">
        <v>10749</v>
      </c>
      <c r="Q3037" t="s">
        <v>10765</v>
      </c>
      <c r="R3037" t="s">
        <v>10824</v>
      </c>
      <c r="T3037">
        <v>15348</v>
      </c>
      <c r="U3037">
        <v>1279</v>
      </c>
      <c r="V3037">
        <v>52</v>
      </c>
      <c r="W3037">
        <v>1</v>
      </c>
      <c r="X3037">
        <v>1</v>
      </c>
      <c r="Z3037">
        <v>90.76000000000001</v>
      </c>
      <c r="AA3037">
        <v>40.660436</v>
      </c>
      <c r="AB3037">
        <v>-73.960319</v>
      </c>
      <c r="AD3037" t="s">
        <v>10839</v>
      </c>
      <c r="AG3037" t="s">
        <v>10858</v>
      </c>
      <c r="AH3037" t="s">
        <v>10861</v>
      </c>
      <c r="AI3037">
        <v>239</v>
      </c>
      <c r="AJ3037" t="s">
        <v>10213</v>
      </c>
      <c r="AL3037">
        <v>23.1</v>
      </c>
      <c r="AM3037" t="s">
        <v>10888</v>
      </c>
      <c r="AN3037" t="s">
        <v>10912</v>
      </c>
      <c r="AO3037" t="s">
        <v>11005</v>
      </c>
      <c r="AP3037" t="s">
        <v>11050</v>
      </c>
      <c r="AR3037" t="s">
        <v>11298</v>
      </c>
      <c r="AS3037" t="s">
        <v>11595</v>
      </c>
      <c r="BA3037" t="s">
        <v>11738</v>
      </c>
      <c r="BB3037">
        <v>0</v>
      </c>
      <c r="BC3037">
        <v>0</v>
      </c>
      <c r="BD3037">
        <v>0</v>
      </c>
      <c r="BE3037">
        <v>0</v>
      </c>
      <c r="BF3037">
        <v>5</v>
      </c>
      <c r="BG3037">
        <v>0</v>
      </c>
    </row>
    <row r="3038" spans="1:59">
      <c r="A3038" s="1">
        <f>HYPERLINK("https://lsnyc.legalserver.org/matter/dynamic-profile/view/1907080","19-1907080")</f>
        <v>0</v>
      </c>
      <c r="B3038" t="s">
        <v>2562</v>
      </c>
      <c r="C3038" t="s">
        <v>7345</v>
      </c>
      <c r="D3038" t="s">
        <v>9928</v>
      </c>
      <c r="E3038" t="s">
        <v>10075</v>
      </c>
      <c r="F3038">
        <v>11208</v>
      </c>
      <c r="G3038" t="s">
        <v>10093</v>
      </c>
      <c r="H3038" t="s">
        <v>10138</v>
      </c>
      <c r="I3038" t="s">
        <v>10177</v>
      </c>
      <c r="J3038" t="s">
        <v>10213</v>
      </c>
      <c r="K3038" t="s">
        <v>10218</v>
      </c>
      <c r="L3038" t="s">
        <v>10166</v>
      </c>
      <c r="M3038" t="s">
        <v>10457</v>
      </c>
      <c r="N3038" t="s">
        <v>10698</v>
      </c>
      <c r="P3038" t="s">
        <v>10751</v>
      </c>
      <c r="Q3038" t="s">
        <v>10761</v>
      </c>
      <c r="R3038" t="s">
        <v>10824</v>
      </c>
      <c r="T3038">
        <v>4888</v>
      </c>
      <c r="U3038">
        <v>407.33</v>
      </c>
      <c r="V3038">
        <v>57</v>
      </c>
      <c r="W3038">
        <v>1</v>
      </c>
      <c r="X3038">
        <v>0</v>
      </c>
      <c r="Y3038" t="s">
        <v>10829</v>
      </c>
      <c r="Z3038">
        <v>39.14</v>
      </c>
      <c r="AA3038">
        <v>40.671717</v>
      </c>
      <c r="AB3038">
        <v>-73.87785599999999</v>
      </c>
      <c r="AD3038" t="s">
        <v>10840</v>
      </c>
      <c r="AF3038" t="s">
        <v>10842</v>
      </c>
      <c r="AG3038" t="s">
        <v>10859</v>
      </c>
      <c r="AH3038" t="s">
        <v>10861</v>
      </c>
      <c r="AI3038">
        <v>234</v>
      </c>
      <c r="AJ3038" t="s">
        <v>10214</v>
      </c>
      <c r="AK3038" t="s">
        <v>10838</v>
      </c>
      <c r="AL3038">
        <v>8.5</v>
      </c>
      <c r="AM3038" t="s">
        <v>10889</v>
      </c>
      <c r="AN3038" t="s">
        <v>10946</v>
      </c>
      <c r="AO3038" t="s">
        <v>11012</v>
      </c>
      <c r="AP3038" t="s">
        <v>11060</v>
      </c>
      <c r="AR3038" t="s">
        <v>11490</v>
      </c>
      <c r="AS3038" t="s">
        <v>11595</v>
      </c>
      <c r="AT3038" t="s">
        <v>11642</v>
      </c>
      <c r="AX3038" t="s">
        <v>10838</v>
      </c>
      <c r="AY3038" t="s">
        <v>10829</v>
      </c>
      <c r="AZ3038" t="s">
        <v>11682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</row>
    <row r="3039" spans="1:59">
      <c r="A3039" s="1">
        <f>HYPERLINK("https://lsnyc.legalserver.org/matter/dynamic-profile/view/1907083","19-1907083")</f>
        <v>0</v>
      </c>
      <c r="B3039" t="s">
        <v>2550</v>
      </c>
      <c r="C3039" t="s">
        <v>6975</v>
      </c>
      <c r="D3039" t="s">
        <v>9926</v>
      </c>
      <c r="E3039" t="s">
        <v>10075</v>
      </c>
      <c r="F3039">
        <v>10473</v>
      </c>
      <c r="G3039" t="s">
        <v>10090</v>
      </c>
      <c r="H3039" t="s">
        <v>10138</v>
      </c>
      <c r="I3039" t="s">
        <v>10168</v>
      </c>
      <c r="J3039" t="s">
        <v>10210</v>
      </c>
      <c r="K3039" t="s">
        <v>10218</v>
      </c>
      <c r="L3039" t="s">
        <v>10158</v>
      </c>
      <c r="M3039" t="s">
        <v>10579</v>
      </c>
      <c r="N3039" t="s">
        <v>10650</v>
      </c>
      <c r="P3039" t="s">
        <v>10749</v>
      </c>
      <c r="Q3039" t="s">
        <v>10765</v>
      </c>
      <c r="R3039" t="s">
        <v>10824</v>
      </c>
      <c r="T3039">
        <v>9600</v>
      </c>
      <c r="U3039">
        <v>800</v>
      </c>
      <c r="V3039">
        <v>50</v>
      </c>
      <c r="W3039">
        <v>1</v>
      </c>
      <c r="X3039">
        <v>0</v>
      </c>
      <c r="Y3039" t="s">
        <v>10836</v>
      </c>
      <c r="Z3039">
        <v>76.86</v>
      </c>
      <c r="AA3039">
        <v>40.818515</v>
      </c>
      <c r="AB3039">
        <v>-73.861582</v>
      </c>
      <c r="AD3039" t="s">
        <v>10839</v>
      </c>
      <c r="AG3039" t="s">
        <v>10858</v>
      </c>
      <c r="AH3039" t="s">
        <v>10862</v>
      </c>
      <c r="AI3039">
        <v>230</v>
      </c>
      <c r="AJ3039" t="s">
        <v>10210</v>
      </c>
      <c r="AK3039" t="s">
        <v>10838</v>
      </c>
      <c r="AL3039">
        <v>46.3</v>
      </c>
      <c r="AM3039" t="s">
        <v>10884</v>
      </c>
      <c r="AN3039" t="s">
        <v>10968</v>
      </c>
      <c r="AO3039" t="s">
        <v>11002</v>
      </c>
      <c r="AP3039" t="s">
        <v>11046</v>
      </c>
      <c r="AR3039" t="s">
        <v>11263</v>
      </c>
      <c r="AS3039" t="s">
        <v>9926</v>
      </c>
      <c r="AY3039" t="s">
        <v>10836</v>
      </c>
      <c r="AZ3039" t="s">
        <v>11687</v>
      </c>
      <c r="BA3039" t="s">
        <v>11738</v>
      </c>
      <c r="BB3039">
        <v>0</v>
      </c>
      <c r="BC3039">
        <v>0</v>
      </c>
      <c r="BD3039">
        <v>0</v>
      </c>
      <c r="BE3039">
        <v>0</v>
      </c>
      <c r="BF3039">
        <v>5</v>
      </c>
      <c r="BG3039">
        <v>0</v>
      </c>
    </row>
    <row r="3040" spans="1:59">
      <c r="A3040" s="1">
        <f>HYPERLINK("https://lsnyc.legalserver.org/matter/dynamic-profile/view/1907084","19-1907084")</f>
        <v>0</v>
      </c>
      <c r="B3040" t="s">
        <v>2563</v>
      </c>
      <c r="C3040" t="s">
        <v>7346</v>
      </c>
      <c r="D3040" t="s">
        <v>9938</v>
      </c>
      <c r="E3040" t="s">
        <v>10075</v>
      </c>
      <c r="F3040">
        <v>11433</v>
      </c>
      <c r="G3040" t="s">
        <v>10092</v>
      </c>
      <c r="H3040" t="s">
        <v>10138</v>
      </c>
      <c r="I3040" t="s">
        <v>10169</v>
      </c>
      <c r="J3040" t="s">
        <v>10212</v>
      </c>
      <c r="K3040" t="s">
        <v>10217</v>
      </c>
      <c r="M3040" t="s">
        <v>10413</v>
      </c>
      <c r="N3040" t="s">
        <v>10709</v>
      </c>
      <c r="P3040" t="s">
        <v>10753</v>
      </c>
      <c r="Q3040" t="s">
        <v>10763</v>
      </c>
      <c r="R3040" t="s">
        <v>10821</v>
      </c>
      <c r="T3040">
        <v>0</v>
      </c>
      <c r="U3040">
        <v>0</v>
      </c>
      <c r="V3040">
        <v>32</v>
      </c>
      <c r="W3040">
        <v>2</v>
      </c>
      <c r="X3040">
        <v>2</v>
      </c>
      <c r="Z3040">
        <v>0</v>
      </c>
      <c r="AA3040">
        <v>40.691228</v>
      </c>
      <c r="AB3040">
        <v>-73.79636499999999</v>
      </c>
      <c r="AD3040" t="s">
        <v>10839</v>
      </c>
      <c r="AF3040" t="s">
        <v>10846</v>
      </c>
      <c r="AG3040" t="s">
        <v>10859</v>
      </c>
      <c r="AH3040" t="s">
        <v>10861</v>
      </c>
      <c r="AI3040">
        <v>237</v>
      </c>
      <c r="AJ3040" t="s">
        <v>10212</v>
      </c>
      <c r="AL3040">
        <v>6.5</v>
      </c>
      <c r="AM3040" t="s">
        <v>10892</v>
      </c>
      <c r="AN3040" t="s">
        <v>10951</v>
      </c>
      <c r="AO3040" t="s">
        <v>11017</v>
      </c>
      <c r="AP3040" t="s">
        <v>11070</v>
      </c>
      <c r="AR3040" t="s">
        <v>11267</v>
      </c>
      <c r="AS3040" t="s">
        <v>11594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</row>
    <row r="3041" spans="1:59">
      <c r="A3041" s="1">
        <f>HYPERLINK("https://lsnyc.legalserver.org/matter/dynamic-profile/view/1907085","19-1907085")</f>
        <v>0</v>
      </c>
      <c r="B3041" t="s">
        <v>2564</v>
      </c>
      <c r="C3041" t="s">
        <v>7347</v>
      </c>
      <c r="D3041" t="s">
        <v>9926</v>
      </c>
      <c r="E3041" t="s">
        <v>10075</v>
      </c>
      <c r="F3041">
        <v>10453</v>
      </c>
      <c r="G3041" t="s">
        <v>10090</v>
      </c>
      <c r="H3041" t="s">
        <v>10138</v>
      </c>
      <c r="I3041" t="s">
        <v>10168</v>
      </c>
      <c r="J3041" t="s">
        <v>10210</v>
      </c>
      <c r="K3041" t="s">
        <v>10218</v>
      </c>
      <c r="L3041" t="s">
        <v>10161</v>
      </c>
      <c r="M3041" t="s">
        <v>10234</v>
      </c>
      <c r="N3041" t="s">
        <v>10650</v>
      </c>
      <c r="P3041" t="s">
        <v>10749</v>
      </c>
      <c r="Q3041" t="s">
        <v>10765</v>
      </c>
      <c r="R3041" t="s">
        <v>10821</v>
      </c>
      <c r="T3041">
        <v>10536</v>
      </c>
      <c r="U3041">
        <v>878</v>
      </c>
      <c r="V3041">
        <v>61</v>
      </c>
      <c r="W3041">
        <v>2</v>
      </c>
      <c r="X3041">
        <v>2</v>
      </c>
      <c r="Y3041" t="s">
        <v>10829</v>
      </c>
      <c r="Z3041">
        <v>40.92</v>
      </c>
      <c r="AA3041">
        <v>40.855301</v>
      </c>
      <c r="AB3041">
        <v>-73.90984899999999</v>
      </c>
      <c r="AD3041" t="s">
        <v>10839</v>
      </c>
      <c r="AG3041" t="s">
        <v>10858</v>
      </c>
      <c r="AH3041" t="s">
        <v>10862</v>
      </c>
      <c r="AI3041">
        <v>230</v>
      </c>
      <c r="AJ3041" t="s">
        <v>10210</v>
      </c>
      <c r="AK3041" t="s">
        <v>10838</v>
      </c>
      <c r="AL3041">
        <v>1</v>
      </c>
      <c r="AM3041" t="s">
        <v>10884</v>
      </c>
      <c r="AN3041" t="s">
        <v>10931</v>
      </c>
      <c r="AO3041" t="s">
        <v>11000</v>
      </c>
      <c r="AP3041" t="s">
        <v>11045</v>
      </c>
      <c r="AR3041" t="s">
        <v>11296</v>
      </c>
      <c r="AS3041" t="s">
        <v>9926</v>
      </c>
      <c r="AY3041" t="s">
        <v>10829</v>
      </c>
      <c r="AZ3041" t="s">
        <v>11681</v>
      </c>
      <c r="BA3041" t="s">
        <v>11741</v>
      </c>
      <c r="BB3041">
        <v>0</v>
      </c>
      <c r="BC3041">
        <v>0</v>
      </c>
      <c r="BD3041">
        <v>0</v>
      </c>
      <c r="BE3041">
        <v>0</v>
      </c>
      <c r="BF3041">
        <v>1</v>
      </c>
      <c r="BG3041">
        <v>0</v>
      </c>
    </row>
    <row r="3042" spans="1:59">
      <c r="A3042" s="1">
        <f>HYPERLINK("https://lsnyc.legalserver.org/matter/dynamic-profile/view/1907086","19-1907086")</f>
        <v>0</v>
      </c>
      <c r="B3042" t="s">
        <v>2565</v>
      </c>
      <c r="C3042" t="s">
        <v>7348</v>
      </c>
      <c r="D3042" t="s">
        <v>9926</v>
      </c>
      <c r="E3042" t="s">
        <v>10075</v>
      </c>
      <c r="F3042">
        <v>10469</v>
      </c>
      <c r="G3042" t="s">
        <v>10090</v>
      </c>
      <c r="H3042" t="s">
        <v>10138</v>
      </c>
      <c r="I3042" t="s">
        <v>10168</v>
      </c>
      <c r="J3042" t="s">
        <v>10210</v>
      </c>
      <c r="K3042" t="s">
        <v>10217</v>
      </c>
      <c r="M3042" t="s">
        <v>10595</v>
      </c>
      <c r="N3042" t="s">
        <v>10683</v>
      </c>
      <c r="P3042" t="s">
        <v>10754</v>
      </c>
      <c r="Q3042" t="s">
        <v>10775</v>
      </c>
      <c r="R3042" t="s">
        <v>10824</v>
      </c>
      <c r="T3042">
        <v>8400</v>
      </c>
      <c r="U3042">
        <v>700</v>
      </c>
      <c r="V3042">
        <v>37</v>
      </c>
      <c r="W3042">
        <v>1</v>
      </c>
      <c r="X3042">
        <v>1</v>
      </c>
      <c r="Z3042">
        <v>49.67</v>
      </c>
      <c r="AA3042">
        <v>40.870175</v>
      </c>
      <c r="AB3042">
        <v>-73.858332</v>
      </c>
      <c r="AD3042" t="s">
        <v>10839</v>
      </c>
      <c r="AG3042" t="s">
        <v>10858</v>
      </c>
      <c r="AH3042" t="s">
        <v>10865</v>
      </c>
      <c r="AI3042">
        <v>230</v>
      </c>
      <c r="AJ3042" t="s">
        <v>10210</v>
      </c>
      <c r="AL3042">
        <v>1.25</v>
      </c>
      <c r="AM3042" t="s">
        <v>10893</v>
      </c>
      <c r="AN3042" t="s">
        <v>10956</v>
      </c>
      <c r="AO3042" t="s">
        <v>11010</v>
      </c>
      <c r="AP3042" t="s">
        <v>11085</v>
      </c>
      <c r="AR3042" t="s">
        <v>11255</v>
      </c>
      <c r="AS3042" t="s">
        <v>9926</v>
      </c>
      <c r="AT3042" t="s">
        <v>11641</v>
      </c>
      <c r="AV3042" t="s">
        <v>11656</v>
      </c>
      <c r="AW3042" t="s">
        <v>11645</v>
      </c>
      <c r="AX3042" t="s">
        <v>10838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</row>
    <row r="3043" spans="1:59">
      <c r="A3043" s="1">
        <f>HYPERLINK("https://lsnyc.legalserver.org/matter/dynamic-profile/view/1907088","19-1907088")</f>
        <v>0</v>
      </c>
      <c r="B3043" t="s">
        <v>2566</v>
      </c>
      <c r="C3043" t="s">
        <v>7349</v>
      </c>
      <c r="D3043" t="s">
        <v>9938</v>
      </c>
      <c r="E3043" t="s">
        <v>10075</v>
      </c>
      <c r="F3043">
        <v>11434</v>
      </c>
      <c r="G3043" t="s">
        <v>10092</v>
      </c>
      <c r="H3043" t="s">
        <v>10138</v>
      </c>
      <c r="I3043" t="s">
        <v>10168</v>
      </c>
      <c r="J3043" t="s">
        <v>10212</v>
      </c>
      <c r="K3043" t="s">
        <v>10217</v>
      </c>
      <c r="M3043" t="s">
        <v>10343</v>
      </c>
      <c r="N3043" t="s">
        <v>10688</v>
      </c>
      <c r="P3043" t="s">
        <v>10749</v>
      </c>
      <c r="Q3043" t="s">
        <v>10774</v>
      </c>
      <c r="R3043" t="s">
        <v>10824</v>
      </c>
      <c r="T3043">
        <v>19812</v>
      </c>
      <c r="U3043">
        <v>1651</v>
      </c>
      <c r="V3043">
        <v>66</v>
      </c>
      <c r="W3043">
        <v>1</v>
      </c>
      <c r="X3043">
        <v>0</v>
      </c>
      <c r="Z3043">
        <v>158.62</v>
      </c>
      <c r="AA3043">
        <v>40.676391</v>
      </c>
      <c r="AB3043">
        <v>-73.77752700000001</v>
      </c>
      <c r="AD3043" t="s">
        <v>10839</v>
      </c>
      <c r="AG3043" t="s">
        <v>10858</v>
      </c>
      <c r="AH3043" t="s">
        <v>10861</v>
      </c>
      <c r="AI3043">
        <v>237</v>
      </c>
      <c r="AJ3043" t="s">
        <v>10212</v>
      </c>
      <c r="AL3043">
        <v>5.45</v>
      </c>
      <c r="AM3043" t="s">
        <v>10892</v>
      </c>
      <c r="AN3043" t="s">
        <v>10951</v>
      </c>
      <c r="AO3043" t="s">
        <v>11017</v>
      </c>
      <c r="AP3043" t="s">
        <v>11070</v>
      </c>
      <c r="AR3043" t="s">
        <v>11268</v>
      </c>
      <c r="AS3043" t="s">
        <v>11594</v>
      </c>
      <c r="AT3043" t="s">
        <v>11641</v>
      </c>
      <c r="AX3043" t="s">
        <v>10838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</row>
    <row r="3044" spans="1:59">
      <c r="A3044" s="1">
        <f>HYPERLINK("https://lsnyc.legalserver.org/matter/dynamic-profile/view/1907089","19-1907089")</f>
        <v>0</v>
      </c>
      <c r="B3044" t="s">
        <v>2567</v>
      </c>
      <c r="C3044" t="s">
        <v>6590</v>
      </c>
      <c r="D3044" t="s">
        <v>9926</v>
      </c>
      <c r="E3044" t="s">
        <v>10075</v>
      </c>
      <c r="F3044">
        <v>10474</v>
      </c>
      <c r="G3044" t="s">
        <v>10090</v>
      </c>
      <c r="H3044" t="s">
        <v>10147</v>
      </c>
      <c r="I3044" t="s">
        <v>10168</v>
      </c>
      <c r="J3044" t="s">
        <v>10210</v>
      </c>
      <c r="K3044" t="s">
        <v>10217</v>
      </c>
      <c r="M3044" t="s">
        <v>10234</v>
      </c>
      <c r="N3044" t="s">
        <v>10650</v>
      </c>
      <c r="P3044" t="s">
        <v>10749</v>
      </c>
      <c r="Q3044" t="s">
        <v>10765</v>
      </c>
      <c r="R3044" t="s">
        <v>10821</v>
      </c>
      <c r="T3044">
        <v>4548</v>
      </c>
      <c r="U3044">
        <v>379</v>
      </c>
      <c r="V3044">
        <v>48</v>
      </c>
      <c r="W3044">
        <v>1</v>
      </c>
      <c r="X3044">
        <v>0</v>
      </c>
      <c r="Z3044">
        <v>36.41</v>
      </c>
      <c r="AA3044">
        <v>40.816635</v>
      </c>
      <c r="AB3044">
        <v>-73.886374</v>
      </c>
      <c r="AD3044" t="s">
        <v>10839</v>
      </c>
      <c r="AG3044" t="s">
        <v>10858</v>
      </c>
      <c r="AH3044" t="s">
        <v>10862</v>
      </c>
      <c r="AI3044">
        <v>230</v>
      </c>
      <c r="AJ3044" t="s">
        <v>10210</v>
      </c>
      <c r="AL3044">
        <v>0</v>
      </c>
      <c r="AM3044" t="s">
        <v>10884</v>
      </c>
      <c r="AN3044" t="s">
        <v>10924</v>
      </c>
      <c r="AO3044" t="s">
        <v>11001</v>
      </c>
      <c r="AP3044" t="s">
        <v>11062</v>
      </c>
      <c r="AR3044" t="s">
        <v>10180</v>
      </c>
      <c r="AS3044" t="s">
        <v>9926</v>
      </c>
      <c r="AT3044" t="s">
        <v>11641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</row>
    <row r="3045" spans="1:59">
      <c r="A3045" s="1">
        <f>HYPERLINK("https://lsnyc.legalserver.org/matter/dynamic-profile/view/1907090","19-1907090")</f>
        <v>0</v>
      </c>
      <c r="B3045" t="s">
        <v>794</v>
      </c>
      <c r="C3045" t="s">
        <v>7350</v>
      </c>
      <c r="D3045" t="s">
        <v>9926</v>
      </c>
      <c r="E3045" t="s">
        <v>10075</v>
      </c>
      <c r="F3045">
        <v>10468</v>
      </c>
      <c r="G3045" t="s">
        <v>10090</v>
      </c>
      <c r="H3045" t="s">
        <v>10138</v>
      </c>
      <c r="I3045" t="s">
        <v>10169</v>
      </c>
      <c r="J3045" t="s">
        <v>10210</v>
      </c>
      <c r="K3045" t="s">
        <v>10218</v>
      </c>
      <c r="L3045" t="s">
        <v>10161</v>
      </c>
      <c r="M3045" t="s">
        <v>10234</v>
      </c>
      <c r="N3045" t="s">
        <v>10650</v>
      </c>
      <c r="P3045" t="s">
        <v>10749</v>
      </c>
      <c r="Q3045" t="s">
        <v>10765</v>
      </c>
      <c r="R3045" t="s">
        <v>10821</v>
      </c>
      <c r="T3045">
        <v>29120</v>
      </c>
      <c r="U3045">
        <v>2426.67</v>
      </c>
      <c r="V3045">
        <v>64</v>
      </c>
      <c r="W3045">
        <v>2</v>
      </c>
      <c r="X3045">
        <v>0</v>
      </c>
      <c r="Y3045" t="s">
        <v>10829</v>
      </c>
      <c r="Z3045">
        <v>172.21</v>
      </c>
      <c r="AA3045">
        <v>40.870073</v>
      </c>
      <c r="AB3045">
        <v>-73.891936</v>
      </c>
      <c r="AD3045" t="s">
        <v>10839</v>
      </c>
      <c r="AF3045" t="s">
        <v>10843</v>
      </c>
      <c r="AG3045" t="s">
        <v>10859</v>
      </c>
      <c r="AH3045" t="s">
        <v>10862</v>
      </c>
      <c r="AI3045">
        <v>230</v>
      </c>
      <c r="AJ3045" t="s">
        <v>10210</v>
      </c>
      <c r="AK3045" t="s">
        <v>10838</v>
      </c>
      <c r="AL3045">
        <v>1</v>
      </c>
      <c r="AM3045" t="s">
        <v>10887</v>
      </c>
      <c r="AN3045" t="s">
        <v>10907</v>
      </c>
      <c r="AO3045" t="s">
        <v>11000</v>
      </c>
      <c r="AP3045" t="s">
        <v>11045</v>
      </c>
      <c r="AR3045" t="s">
        <v>11343</v>
      </c>
      <c r="AS3045" t="s">
        <v>9926</v>
      </c>
      <c r="AY3045" t="s">
        <v>10829</v>
      </c>
      <c r="AZ3045" t="s">
        <v>11681</v>
      </c>
      <c r="BA3045" t="s">
        <v>11741</v>
      </c>
      <c r="BB3045">
        <v>0</v>
      </c>
      <c r="BC3045">
        <v>0</v>
      </c>
      <c r="BD3045">
        <v>0</v>
      </c>
      <c r="BE3045">
        <v>0</v>
      </c>
      <c r="BF3045">
        <v>1</v>
      </c>
      <c r="BG3045">
        <v>0</v>
      </c>
    </row>
    <row r="3046" spans="1:59">
      <c r="A3046" s="1">
        <f>HYPERLINK("https://lsnyc.legalserver.org/matter/dynamic-profile/view/1907092","19-1907092")</f>
        <v>0</v>
      </c>
      <c r="B3046" t="s">
        <v>2568</v>
      </c>
      <c r="C3046" t="s">
        <v>7351</v>
      </c>
      <c r="D3046" t="s">
        <v>9925</v>
      </c>
      <c r="E3046" t="s">
        <v>10075</v>
      </c>
      <c r="F3046">
        <v>10027</v>
      </c>
      <c r="G3046" t="s">
        <v>10089</v>
      </c>
      <c r="H3046" t="s">
        <v>10138</v>
      </c>
      <c r="I3046" t="s">
        <v>10168</v>
      </c>
      <c r="J3046" t="s">
        <v>10209</v>
      </c>
      <c r="K3046" t="s">
        <v>10218</v>
      </c>
      <c r="L3046" t="s">
        <v>10142</v>
      </c>
      <c r="M3046" t="s">
        <v>10453</v>
      </c>
      <c r="N3046" t="s">
        <v>10691</v>
      </c>
      <c r="P3046" t="s">
        <v>10751</v>
      </c>
      <c r="Q3046" t="s">
        <v>10776</v>
      </c>
      <c r="R3046" t="s">
        <v>10824</v>
      </c>
      <c r="T3046">
        <v>49000</v>
      </c>
      <c r="U3046">
        <v>4083.33</v>
      </c>
      <c r="V3046">
        <v>43</v>
      </c>
      <c r="W3046">
        <v>2</v>
      </c>
      <c r="X3046">
        <v>2</v>
      </c>
      <c r="Y3046" t="s">
        <v>10830</v>
      </c>
      <c r="Z3046">
        <v>190.29</v>
      </c>
      <c r="AA3046">
        <v>40.810406</v>
      </c>
      <c r="AB3046">
        <v>-73.954328</v>
      </c>
      <c r="AD3046" t="s">
        <v>10839</v>
      </c>
      <c r="AG3046" t="s">
        <v>10858</v>
      </c>
      <c r="AH3046" t="s">
        <v>10862</v>
      </c>
      <c r="AI3046">
        <v>236</v>
      </c>
      <c r="AJ3046" t="s">
        <v>10209</v>
      </c>
      <c r="AK3046" t="s">
        <v>10882</v>
      </c>
      <c r="AL3046">
        <v>0.1</v>
      </c>
      <c r="AM3046" t="s">
        <v>10887</v>
      </c>
      <c r="AN3046" t="s">
        <v>10936</v>
      </c>
      <c r="AO3046" t="s">
        <v>11016</v>
      </c>
      <c r="AP3046" t="s">
        <v>11076</v>
      </c>
      <c r="AR3046" t="s">
        <v>11257</v>
      </c>
      <c r="AS3046" t="s">
        <v>9925</v>
      </c>
      <c r="AY3046" t="s">
        <v>10830</v>
      </c>
      <c r="AZ3046" t="s">
        <v>11688</v>
      </c>
      <c r="BA3046" t="s">
        <v>11740</v>
      </c>
      <c r="BB3046">
        <v>0</v>
      </c>
      <c r="BC3046">
        <v>0</v>
      </c>
      <c r="BD3046">
        <v>0</v>
      </c>
      <c r="BE3046">
        <v>0</v>
      </c>
      <c r="BF3046">
        <v>2</v>
      </c>
      <c r="BG3046">
        <v>0</v>
      </c>
    </row>
    <row r="3047" spans="1:59">
      <c r="A3047" s="1">
        <f>HYPERLINK("https://lsnyc.legalserver.org/matter/dynamic-profile/view/1907093","19-1907093")</f>
        <v>0</v>
      </c>
      <c r="B3047" t="s">
        <v>2569</v>
      </c>
      <c r="C3047" t="s">
        <v>6590</v>
      </c>
      <c r="D3047" t="s">
        <v>9926</v>
      </c>
      <c r="E3047" t="s">
        <v>10075</v>
      </c>
      <c r="F3047">
        <v>10474</v>
      </c>
      <c r="G3047" t="s">
        <v>10090</v>
      </c>
      <c r="H3047" t="s">
        <v>10147</v>
      </c>
      <c r="I3047" t="s">
        <v>10169</v>
      </c>
      <c r="J3047" t="s">
        <v>10210</v>
      </c>
      <c r="K3047" t="s">
        <v>10217</v>
      </c>
      <c r="M3047" t="s">
        <v>10234</v>
      </c>
      <c r="N3047" t="s">
        <v>10650</v>
      </c>
      <c r="P3047" t="s">
        <v>10749</v>
      </c>
      <c r="Q3047" t="s">
        <v>10765</v>
      </c>
      <c r="R3047" t="s">
        <v>10821</v>
      </c>
      <c r="T3047">
        <v>9240</v>
      </c>
      <c r="U3047">
        <v>770</v>
      </c>
      <c r="V3047">
        <v>70</v>
      </c>
      <c r="W3047">
        <v>1</v>
      </c>
      <c r="X3047">
        <v>0</v>
      </c>
      <c r="Z3047">
        <v>73.98</v>
      </c>
      <c r="AA3047">
        <v>40.816635</v>
      </c>
      <c r="AB3047">
        <v>-73.886374</v>
      </c>
      <c r="AD3047" t="s">
        <v>10839</v>
      </c>
      <c r="AG3047" t="s">
        <v>10858</v>
      </c>
      <c r="AH3047" t="s">
        <v>10862</v>
      </c>
      <c r="AI3047">
        <v>230</v>
      </c>
      <c r="AJ3047" t="s">
        <v>10210</v>
      </c>
      <c r="AL3047">
        <v>0</v>
      </c>
      <c r="AM3047" t="s">
        <v>10884</v>
      </c>
      <c r="AN3047" t="s">
        <v>10924</v>
      </c>
      <c r="AO3047" t="s">
        <v>11001</v>
      </c>
      <c r="AP3047" t="s">
        <v>11062</v>
      </c>
      <c r="AR3047" t="s">
        <v>11263</v>
      </c>
      <c r="AS3047" t="s">
        <v>9926</v>
      </c>
      <c r="AT3047" t="s">
        <v>11641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</row>
    <row r="3048" spans="1:59">
      <c r="A3048" s="1">
        <f>HYPERLINK("https://lsnyc.legalserver.org/matter/dynamic-profile/view/1907094","19-1907094")</f>
        <v>0</v>
      </c>
      <c r="B3048" t="s">
        <v>303</v>
      </c>
      <c r="C3048" t="s">
        <v>7352</v>
      </c>
      <c r="D3048" t="s">
        <v>9926</v>
      </c>
      <c r="E3048" t="s">
        <v>10075</v>
      </c>
      <c r="F3048">
        <v>10469</v>
      </c>
      <c r="G3048" t="s">
        <v>10090</v>
      </c>
      <c r="H3048" t="s">
        <v>10138</v>
      </c>
      <c r="J3048" t="s">
        <v>10210</v>
      </c>
      <c r="K3048" t="s">
        <v>10218</v>
      </c>
      <c r="L3048" t="s">
        <v>10149</v>
      </c>
      <c r="M3048" t="s">
        <v>10333</v>
      </c>
      <c r="N3048" t="s">
        <v>10683</v>
      </c>
      <c r="P3048" t="s">
        <v>10751</v>
      </c>
      <c r="Q3048" t="s">
        <v>10761</v>
      </c>
      <c r="R3048" t="s">
        <v>10824</v>
      </c>
      <c r="T3048">
        <v>7200</v>
      </c>
      <c r="U3048">
        <v>600</v>
      </c>
      <c r="V3048">
        <v>28</v>
      </c>
      <c r="W3048">
        <v>1</v>
      </c>
      <c r="X3048">
        <v>1</v>
      </c>
      <c r="Y3048" t="s">
        <v>10830</v>
      </c>
      <c r="Z3048">
        <v>42.58</v>
      </c>
      <c r="AA3048">
        <v>40.876256</v>
      </c>
      <c r="AB3048">
        <v>-73.850599</v>
      </c>
      <c r="AD3048" t="s">
        <v>10839</v>
      </c>
      <c r="AG3048" t="s">
        <v>10858</v>
      </c>
      <c r="AH3048" t="s">
        <v>10874</v>
      </c>
      <c r="AI3048">
        <v>230</v>
      </c>
      <c r="AJ3048" t="s">
        <v>10210</v>
      </c>
      <c r="AK3048" t="s">
        <v>10882</v>
      </c>
      <c r="AL3048">
        <v>3.8</v>
      </c>
      <c r="AM3048" t="s">
        <v>10893</v>
      </c>
      <c r="AN3048" t="s">
        <v>10956</v>
      </c>
      <c r="AO3048" t="s">
        <v>11010</v>
      </c>
      <c r="AP3048" t="s">
        <v>11085</v>
      </c>
      <c r="AR3048" t="s">
        <v>11257</v>
      </c>
      <c r="AS3048" t="s">
        <v>9926</v>
      </c>
      <c r="AY3048" t="s">
        <v>10830</v>
      </c>
      <c r="AZ3048" t="s">
        <v>11701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</row>
    <row r="3049" spans="1:59">
      <c r="A3049" s="1">
        <f>HYPERLINK("https://lsnyc.legalserver.org/matter/dynamic-profile/view/1907095","19-1907095")</f>
        <v>0</v>
      </c>
      <c r="B3049" t="s">
        <v>2570</v>
      </c>
      <c r="C3049" t="s">
        <v>6590</v>
      </c>
      <c r="D3049" t="s">
        <v>9926</v>
      </c>
      <c r="E3049" t="s">
        <v>10075</v>
      </c>
      <c r="F3049">
        <v>10474</v>
      </c>
      <c r="G3049" t="s">
        <v>10090</v>
      </c>
      <c r="H3049" t="s">
        <v>10121</v>
      </c>
      <c r="I3049" t="s">
        <v>10169</v>
      </c>
      <c r="J3049" t="s">
        <v>10210</v>
      </c>
      <c r="K3049" t="s">
        <v>10217</v>
      </c>
      <c r="M3049" t="s">
        <v>10234</v>
      </c>
      <c r="N3049" t="s">
        <v>10650</v>
      </c>
      <c r="P3049" t="s">
        <v>10749</v>
      </c>
      <c r="Q3049" t="s">
        <v>10765</v>
      </c>
      <c r="R3049" t="s">
        <v>10821</v>
      </c>
      <c r="T3049">
        <v>57200</v>
      </c>
      <c r="U3049">
        <v>4766.67</v>
      </c>
      <c r="V3049">
        <v>52</v>
      </c>
      <c r="W3049">
        <v>4</v>
      </c>
      <c r="X3049">
        <v>1</v>
      </c>
      <c r="Z3049">
        <v>189.59</v>
      </c>
      <c r="AA3049">
        <v>40.816635</v>
      </c>
      <c r="AB3049">
        <v>-73.886374</v>
      </c>
      <c r="AD3049" t="s">
        <v>10840</v>
      </c>
      <c r="AF3049" t="s">
        <v>10843</v>
      </c>
      <c r="AG3049" t="s">
        <v>10859</v>
      </c>
      <c r="AH3049" t="s">
        <v>10862</v>
      </c>
      <c r="AI3049">
        <v>230</v>
      </c>
      <c r="AJ3049" t="s">
        <v>10210</v>
      </c>
      <c r="AL3049">
        <v>0</v>
      </c>
      <c r="AM3049" t="s">
        <v>10884</v>
      </c>
      <c r="AN3049" t="s">
        <v>10924</v>
      </c>
      <c r="AO3049" t="s">
        <v>11001</v>
      </c>
      <c r="AP3049" t="s">
        <v>11062</v>
      </c>
      <c r="AR3049" t="s">
        <v>11280</v>
      </c>
      <c r="AS3049" t="s">
        <v>9926</v>
      </c>
      <c r="AT3049" t="s">
        <v>11642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</row>
    <row r="3050" spans="1:59">
      <c r="A3050" s="1">
        <f>HYPERLINK("https://lsnyc.legalserver.org/matter/dynamic-profile/view/1907096","19-1907096")</f>
        <v>0</v>
      </c>
      <c r="B3050" t="s">
        <v>2571</v>
      </c>
      <c r="C3050" t="s">
        <v>7108</v>
      </c>
      <c r="D3050" t="s">
        <v>9928</v>
      </c>
      <c r="E3050" t="s">
        <v>10075</v>
      </c>
      <c r="F3050">
        <v>11226</v>
      </c>
      <c r="G3050" t="s">
        <v>10093</v>
      </c>
      <c r="H3050" t="s">
        <v>10138</v>
      </c>
      <c r="I3050" t="s">
        <v>10168</v>
      </c>
      <c r="J3050" t="s">
        <v>10213</v>
      </c>
      <c r="K3050" t="s">
        <v>10217</v>
      </c>
      <c r="M3050" t="s">
        <v>10264</v>
      </c>
      <c r="N3050" t="s">
        <v>10644</v>
      </c>
      <c r="P3050" t="s">
        <v>10751</v>
      </c>
      <c r="Q3050" t="s">
        <v>10761</v>
      </c>
      <c r="R3050" t="s">
        <v>10822</v>
      </c>
      <c r="T3050">
        <v>10488</v>
      </c>
      <c r="U3050">
        <v>874</v>
      </c>
      <c r="V3050">
        <v>60</v>
      </c>
      <c r="W3050">
        <v>2</v>
      </c>
      <c r="X3050">
        <v>0</v>
      </c>
      <c r="Z3050">
        <v>62.02</v>
      </c>
      <c r="AA3050">
        <v>40.655065</v>
      </c>
      <c r="AB3050">
        <v>-73.951504</v>
      </c>
      <c r="AD3050" t="s">
        <v>10822</v>
      </c>
      <c r="AG3050" t="s">
        <v>10858</v>
      </c>
      <c r="AH3050" t="s">
        <v>10862</v>
      </c>
      <c r="AI3050">
        <v>239</v>
      </c>
      <c r="AJ3050" t="s">
        <v>10213</v>
      </c>
      <c r="AL3050">
        <v>0</v>
      </c>
      <c r="AM3050" t="s">
        <v>10888</v>
      </c>
      <c r="AN3050" t="s">
        <v>10912</v>
      </c>
      <c r="AO3050" t="s">
        <v>11005</v>
      </c>
      <c r="AP3050" t="s">
        <v>11050</v>
      </c>
      <c r="AR3050" t="s">
        <v>11274</v>
      </c>
      <c r="AS3050" t="s">
        <v>11595</v>
      </c>
      <c r="BA3050" t="s">
        <v>11742</v>
      </c>
      <c r="BB3050">
        <v>0</v>
      </c>
      <c r="BC3050">
        <v>0</v>
      </c>
      <c r="BD3050">
        <v>0</v>
      </c>
      <c r="BE3050">
        <v>0</v>
      </c>
      <c r="BF3050">
        <v>7</v>
      </c>
      <c r="BG3050">
        <v>0</v>
      </c>
    </row>
    <row r="3051" spans="1:59">
      <c r="A3051" s="1">
        <f>HYPERLINK("https://lsnyc.legalserver.org/matter/dynamic-profile/view/1907097","19-1907097")</f>
        <v>0</v>
      </c>
      <c r="B3051" t="s">
        <v>1968</v>
      </c>
      <c r="C3051" t="s">
        <v>7353</v>
      </c>
      <c r="D3051" t="s">
        <v>9926</v>
      </c>
      <c r="E3051" t="s">
        <v>10075</v>
      </c>
      <c r="F3051">
        <v>10452</v>
      </c>
      <c r="G3051" t="s">
        <v>10090</v>
      </c>
      <c r="H3051" t="s">
        <v>10138</v>
      </c>
      <c r="I3051" t="s">
        <v>10169</v>
      </c>
      <c r="J3051" t="s">
        <v>10210</v>
      </c>
      <c r="K3051" t="s">
        <v>10218</v>
      </c>
      <c r="L3051" t="s">
        <v>10100</v>
      </c>
      <c r="M3051" t="s">
        <v>10262</v>
      </c>
      <c r="N3051" t="s">
        <v>10666</v>
      </c>
      <c r="P3051" t="s">
        <v>10749</v>
      </c>
      <c r="Q3051" t="s">
        <v>10765</v>
      </c>
      <c r="R3051" t="s">
        <v>10823</v>
      </c>
      <c r="T3051">
        <v>8400</v>
      </c>
      <c r="U3051">
        <v>700</v>
      </c>
      <c r="V3051">
        <v>61</v>
      </c>
      <c r="W3051">
        <v>1</v>
      </c>
      <c r="X3051">
        <v>0</v>
      </c>
      <c r="Y3051" t="s">
        <v>10829</v>
      </c>
      <c r="Z3051">
        <v>67.25</v>
      </c>
      <c r="AA3051">
        <v>40.838572</v>
      </c>
      <c r="AB3051">
        <v>-73.91495399999999</v>
      </c>
      <c r="AD3051" t="s">
        <v>10839</v>
      </c>
      <c r="AG3051" t="s">
        <v>10858</v>
      </c>
      <c r="AH3051" t="s">
        <v>10861</v>
      </c>
      <c r="AI3051">
        <v>230</v>
      </c>
      <c r="AJ3051" t="s">
        <v>10210</v>
      </c>
      <c r="AK3051" t="s">
        <v>10838</v>
      </c>
      <c r="AL3051">
        <v>0.5</v>
      </c>
      <c r="AM3051" t="s">
        <v>10884</v>
      </c>
      <c r="AN3051" t="s">
        <v>10929</v>
      </c>
      <c r="AO3051" t="s">
        <v>11013</v>
      </c>
      <c r="AP3051" t="s">
        <v>11055</v>
      </c>
      <c r="AR3051" t="s">
        <v>11263</v>
      </c>
      <c r="AS3051" t="s">
        <v>9926</v>
      </c>
      <c r="AT3051" t="s">
        <v>11641</v>
      </c>
      <c r="AX3051" t="s">
        <v>10838</v>
      </c>
      <c r="AY3051" t="s">
        <v>10829</v>
      </c>
      <c r="AZ3051" t="s">
        <v>11681</v>
      </c>
      <c r="BA3051" t="s">
        <v>11741</v>
      </c>
      <c r="BB3051">
        <v>0</v>
      </c>
      <c r="BC3051">
        <v>0</v>
      </c>
      <c r="BD3051">
        <v>0</v>
      </c>
      <c r="BE3051">
        <v>0</v>
      </c>
      <c r="BF3051">
        <v>1</v>
      </c>
      <c r="BG3051">
        <v>0</v>
      </c>
    </row>
    <row r="3052" spans="1:59">
      <c r="A3052" s="1">
        <f>HYPERLINK("https://lsnyc.legalserver.org/matter/dynamic-profile/view/1907098","19-1907098")</f>
        <v>0</v>
      </c>
      <c r="B3052" t="s">
        <v>2572</v>
      </c>
      <c r="C3052" t="s">
        <v>6590</v>
      </c>
      <c r="D3052" t="s">
        <v>9926</v>
      </c>
      <c r="E3052" t="s">
        <v>10075</v>
      </c>
      <c r="F3052">
        <v>10474</v>
      </c>
      <c r="G3052" t="s">
        <v>10090</v>
      </c>
      <c r="H3052" t="s">
        <v>10130</v>
      </c>
      <c r="I3052" t="s">
        <v>10168</v>
      </c>
      <c r="J3052" t="s">
        <v>10210</v>
      </c>
      <c r="K3052" t="s">
        <v>10217</v>
      </c>
      <c r="M3052" t="s">
        <v>10234</v>
      </c>
      <c r="N3052" t="s">
        <v>10650</v>
      </c>
      <c r="P3052" t="s">
        <v>10749</v>
      </c>
      <c r="Q3052" t="s">
        <v>10765</v>
      </c>
      <c r="R3052" t="s">
        <v>10824</v>
      </c>
      <c r="T3052">
        <v>11700</v>
      </c>
      <c r="U3052">
        <v>975</v>
      </c>
      <c r="V3052">
        <v>60</v>
      </c>
      <c r="W3052">
        <v>1</v>
      </c>
      <c r="X3052">
        <v>0</v>
      </c>
      <c r="Z3052">
        <v>93.67</v>
      </c>
      <c r="AA3052">
        <v>40.816635</v>
      </c>
      <c r="AB3052">
        <v>-73.886374</v>
      </c>
      <c r="AD3052" t="s">
        <v>10840</v>
      </c>
      <c r="AG3052" t="s">
        <v>10858</v>
      </c>
      <c r="AH3052" t="s">
        <v>10862</v>
      </c>
      <c r="AI3052">
        <v>230</v>
      </c>
      <c r="AJ3052" t="s">
        <v>10210</v>
      </c>
      <c r="AL3052">
        <v>0</v>
      </c>
      <c r="AM3052" t="s">
        <v>10884</v>
      </c>
      <c r="AN3052" t="s">
        <v>10924</v>
      </c>
      <c r="AO3052" t="s">
        <v>11001</v>
      </c>
      <c r="AP3052" t="s">
        <v>11062</v>
      </c>
      <c r="AR3052" t="s">
        <v>11254</v>
      </c>
      <c r="AS3052" t="s">
        <v>9926</v>
      </c>
      <c r="AT3052" t="s">
        <v>11642</v>
      </c>
      <c r="BA3052" t="s">
        <v>11738</v>
      </c>
      <c r="BB3052">
        <v>0</v>
      </c>
      <c r="BC3052">
        <v>0</v>
      </c>
      <c r="BD3052">
        <v>0</v>
      </c>
      <c r="BE3052">
        <v>0</v>
      </c>
      <c r="BF3052">
        <v>5</v>
      </c>
      <c r="BG3052">
        <v>0</v>
      </c>
    </row>
    <row r="3053" spans="1:59">
      <c r="A3053" s="1">
        <f>HYPERLINK("https://lsnyc.legalserver.org/matter/dynamic-profile/view/1907099","19-1907099")</f>
        <v>0</v>
      </c>
      <c r="B3053" t="s">
        <v>2573</v>
      </c>
      <c r="C3053" t="s">
        <v>7354</v>
      </c>
      <c r="D3053" t="s">
        <v>9938</v>
      </c>
      <c r="E3053" t="s">
        <v>10075</v>
      </c>
      <c r="F3053">
        <v>11432</v>
      </c>
      <c r="G3053" t="s">
        <v>10089</v>
      </c>
      <c r="H3053" t="s">
        <v>10138</v>
      </c>
      <c r="I3053" t="s">
        <v>10168</v>
      </c>
      <c r="J3053" t="s">
        <v>10209</v>
      </c>
      <c r="K3053" t="s">
        <v>10217</v>
      </c>
      <c r="M3053" t="s">
        <v>10529</v>
      </c>
      <c r="N3053" t="s">
        <v>10675</v>
      </c>
      <c r="P3053" t="s">
        <v>10751</v>
      </c>
      <c r="Q3053" t="s">
        <v>10768</v>
      </c>
      <c r="R3053" t="s">
        <v>10821</v>
      </c>
      <c r="T3053">
        <v>84000</v>
      </c>
      <c r="U3053">
        <v>7000</v>
      </c>
      <c r="V3053">
        <v>38</v>
      </c>
      <c r="W3053">
        <v>2</v>
      </c>
      <c r="X3053">
        <v>1</v>
      </c>
      <c r="Z3053">
        <v>393.81</v>
      </c>
      <c r="AA3053">
        <v>40.715452</v>
      </c>
      <c r="AB3053">
        <v>-73.79191</v>
      </c>
      <c r="AC3053" t="s">
        <v>10837</v>
      </c>
      <c r="AD3053" t="s">
        <v>10840</v>
      </c>
      <c r="AG3053" t="s">
        <v>10858</v>
      </c>
      <c r="AH3053" t="s">
        <v>10862</v>
      </c>
      <c r="AI3053">
        <v>239</v>
      </c>
      <c r="AJ3053" t="s">
        <v>10213</v>
      </c>
      <c r="AL3053">
        <v>0.2</v>
      </c>
      <c r="AR3053" t="s">
        <v>11303</v>
      </c>
      <c r="AS3053" t="s">
        <v>11594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</row>
    <row r="3054" spans="1:59">
      <c r="A3054" s="1">
        <f>HYPERLINK("https://lsnyc.legalserver.org/matter/dynamic-profile/view/1907100","19-1907100")</f>
        <v>0</v>
      </c>
      <c r="B3054" t="s">
        <v>2574</v>
      </c>
      <c r="C3054" t="s">
        <v>5356</v>
      </c>
      <c r="D3054" t="s">
        <v>9926</v>
      </c>
      <c r="E3054" t="s">
        <v>10075</v>
      </c>
      <c r="F3054">
        <v>10457</v>
      </c>
      <c r="G3054" t="s">
        <v>10090</v>
      </c>
      <c r="H3054" t="s">
        <v>10138</v>
      </c>
      <c r="I3054" t="s">
        <v>10168</v>
      </c>
      <c r="J3054" t="s">
        <v>10210</v>
      </c>
      <c r="K3054" t="s">
        <v>10218</v>
      </c>
      <c r="L3054" t="s">
        <v>10161</v>
      </c>
      <c r="M3054" t="s">
        <v>10234</v>
      </c>
      <c r="N3054" t="s">
        <v>10650</v>
      </c>
      <c r="P3054" t="s">
        <v>10749</v>
      </c>
      <c r="Q3054" t="s">
        <v>10765</v>
      </c>
      <c r="R3054" t="s">
        <v>10824</v>
      </c>
      <c r="T3054">
        <v>52000</v>
      </c>
      <c r="U3054">
        <v>4333.33</v>
      </c>
      <c r="V3054">
        <v>48</v>
      </c>
      <c r="W3054">
        <v>1</v>
      </c>
      <c r="X3054">
        <v>0</v>
      </c>
      <c r="Y3054" t="s">
        <v>10829</v>
      </c>
      <c r="Z3054">
        <v>416.33</v>
      </c>
      <c r="AA3054">
        <v>40.849045</v>
      </c>
      <c r="AB3054">
        <v>-73.900535</v>
      </c>
      <c r="AD3054" t="s">
        <v>10839</v>
      </c>
      <c r="AG3054" t="s">
        <v>10858</v>
      </c>
      <c r="AH3054" t="s">
        <v>10862</v>
      </c>
      <c r="AI3054">
        <v>230</v>
      </c>
      <c r="AJ3054" t="s">
        <v>10210</v>
      </c>
      <c r="AK3054" t="s">
        <v>10838</v>
      </c>
      <c r="AL3054">
        <v>1</v>
      </c>
      <c r="AM3054" t="s">
        <v>10884</v>
      </c>
      <c r="AN3054" t="s">
        <v>10931</v>
      </c>
      <c r="AO3054" t="s">
        <v>11000</v>
      </c>
      <c r="AP3054" t="s">
        <v>11056</v>
      </c>
      <c r="AR3054" t="s">
        <v>11257</v>
      </c>
      <c r="AS3054" t="s">
        <v>9926</v>
      </c>
      <c r="AY3054" t="s">
        <v>10829</v>
      </c>
      <c r="AZ3054" t="s">
        <v>11681</v>
      </c>
      <c r="BA3054" t="s">
        <v>11741</v>
      </c>
      <c r="BB3054">
        <v>0</v>
      </c>
      <c r="BC3054">
        <v>0</v>
      </c>
      <c r="BD3054">
        <v>0</v>
      </c>
      <c r="BE3054">
        <v>0</v>
      </c>
      <c r="BF3054">
        <v>1</v>
      </c>
      <c r="BG3054">
        <v>0</v>
      </c>
    </row>
    <row r="3055" spans="1:59">
      <c r="A3055" s="1">
        <f>HYPERLINK("https://lsnyc.legalserver.org/matter/dynamic-profile/view/1907101","19-1907101")</f>
        <v>0</v>
      </c>
      <c r="B3055" t="s">
        <v>2575</v>
      </c>
      <c r="C3055" t="s">
        <v>6590</v>
      </c>
      <c r="D3055" t="s">
        <v>9926</v>
      </c>
      <c r="E3055" t="s">
        <v>10075</v>
      </c>
      <c r="F3055">
        <v>10474</v>
      </c>
      <c r="G3055" t="s">
        <v>10090</v>
      </c>
      <c r="H3055" t="s">
        <v>10130</v>
      </c>
      <c r="I3055" t="s">
        <v>10169</v>
      </c>
      <c r="J3055" t="s">
        <v>10210</v>
      </c>
      <c r="K3055" t="s">
        <v>10217</v>
      </c>
      <c r="M3055" t="s">
        <v>10234</v>
      </c>
      <c r="N3055" t="s">
        <v>10671</v>
      </c>
      <c r="P3055" t="s">
        <v>10749</v>
      </c>
      <c r="Q3055" t="s">
        <v>10765</v>
      </c>
      <c r="R3055" t="s">
        <v>10821</v>
      </c>
      <c r="T3055">
        <v>0</v>
      </c>
      <c r="U3055">
        <v>0</v>
      </c>
      <c r="V3055">
        <v>41</v>
      </c>
      <c r="W3055">
        <v>2</v>
      </c>
      <c r="X3055">
        <v>3</v>
      </c>
      <c r="Z3055">
        <v>0</v>
      </c>
      <c r="AA3055">
        <v>40.816635</v>
      </c>
      <c r="AB3055">
        <v>-73.886374</v>
      </c>
      <c r="AD3055" t="s">
        <v>10839</v>
      </c>
      <c r="AF3055" t="s">
        <v>10843</v>
      </c>
      <c r="AG3055" t="s">
        <v>10859</v>
      </c>
      <c r="AH3055" t="s">
        <v>10862</v>
      </c>
      <c r="AI3055">
        <v>230</v>
      </c>
      <c r="AJ3055" t="s">
        <v>10210</v>
      </c>
      <c r="AL3055">
        <v>0</v>
      </c>
      <c r="AM3055" t="s">
        <v>10884</v>
      </c>
      <c r="AN3055" t="s">
        <v>10924</v>
      </c>
      <c r="AO3055" t="s">
        <v>11001</v>
      </c>
      <c r="AP3055" t="s">
        <v>11062</v>
      </c>
      <c r="AR3055" t="s">
        <v>11266</v>
      </c>
      <c r="AS3055" t="s">
        <v>9926</v>
      </c>
      <c r="AT3055" t="s">
        <v>11641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</row>
    <row r="3056" spans="1:59">
      <c r="A3056" s="1">
        <f>HYPERLINK("https://lsnyc.legalserver.org/matter/dynamic-profile/view/1907102","19-1907102")</f>
        <v>0</v>
      </c>
      <c r="B3056" t="s">
        <v>2576</v>
      </c>
      <c r="C3056" t="s">
        <v>7355</v>
      </c>
      <c r="D3056" t="s">
        <v>9925</v>
      </c>
      <c r="E3056" t="s">
        <v>10075</v>
      </c>
      <c r="F3056">
        <v>10039</v>
      </c>
      <c r="G3056" t="s">
        <v>10089</v>
      </c>
      <c r="H3056" t="s">
        <v>10138</v>
      </c>
      <c r="I3056" t="s">
        <v>10168</v>
      </c>
      <c r="J3056" t="s">
        <v>10209</v>
      </c>
      <c r="K3056" t="s">
        <v>10217</v>
      </c>
      <c r="M3056" t="s">
        <v>10459</v>
      </c>
      <c r="N3056" t="s">
        <v>10656</v>
      </c>
      <c r="P3056" t="s">
        <v>10751</v>
      </c>
      <c r="Q3056" t="s">
        <v>10768</v>
      </c>
      <c r="R3056" t="s">
        <v>10824</v>
      </c>
      <c r="T3056">
        <v>21852</v>
      </c>
      <c r="U3056">
        <v>1821</v>
      </c>
      <c r="V3056">
        <v>19</v>
      </c>
      <c r="W3056">
        <v>1</v>
      </c>
      <c r="X3056">
        <v>0</v>
      </c>
      <c r="Z3056">
        <v>174.96</v>
      </c>
      <c r="AA3056">
        <v>40.823484</v>
      </c>
      <c r="AB3056">
        <v>-73.936395</v>
      </c>
      <c r="AD3056" t="s">
        <v>10839</v>
      </c>
      <c r="AG3056" t="s">
        <v>10858</v>
      </c>
      <c r="AH3056" t="s">
        <v>10871</v>
      </c>
      <c r="AI3056">
        <v>234</v>
      </c>
      <c r="AJ3056" t="s">
        <v>10214</v>
      </c>
      <c r="AL3056">
        <v>10.7</v>
      </c>
      <c r="AM3056" t="s">
        <v>10887</v>
      </c>
      <c r="AN3056" t="s">
        <v>10943</v>
      </c>
      <c r="AO3056" t="s">
        <v>11016</v>
      </c>
      <c r="AP3056" t="s">
        <v>11076</v>
      </c>
      <c r="AR3056" t="s">
        <v>11254</v>
      </c>
      <c r="AS3056" t="s">
        <v>9925</v>
      </c>
      <c r="AT3056" t="s">
        <v>11641</v>
      </c>
      <c r="AX3056" t="s">
        <v>10838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</row>
    <row r="3057" spans="1:59">
      <c r="A3057" s="1">
        <f>HYPERLINK("https://lsnyc.legalserver.org/matter/dynamic-profile/view/1907103","19-1907103")</f>
        <v>0</v>
      </c>
      <c r="B3057" t="s">
        <v>2577</v>
      </c>
      <c r="C3057" t="s">
        <v>7356</v>
      </c>
      <c r="D3057" t="s">
        <v>9926</v>
      </c>
      <c r="E3057" t="s">
        <v>10075</v>
      </c>
      <c r="F3057">
        <v>10472</v>
      </c>
      <c r="G3057" t="s">
        <v>10090</v>
      </c>
      <c r="H3057" t="s">
        <v>10138</v>
      </c>
      <c r="I3057" t="s">
        <v>10168</v>
      </c>
      <c r="J3057" t="s">
        <v>10210</v>
      </c>
      <c r="K3057" t="s">
        <v>10218</v>
      </c>
      <c r="L3057" t="s">
        <v>10151</v>
      </c>
      <c r="M3057" t="s">
        <v>10262</v>
      </c>
      <c r="N3057" t="s">
        <v>10666</v>
      </c>
      <c r="P3057" t="s">
        <v>10749</v>
      </c>
      <c r="Q3057" t="s">
        <v>10765</v>
      </c>
      <c r="R3057" t="s">
        <v>10821</v>
      </c>
      <c r="T3057">
        <v>40520</v>
      </c>
      <c r="U3057">
        <v>3376.67</v>
      </c>
      <c r="V3057">
        <v>42</v>
      </c>
      <c r="W3057">
        <v>1</v>
      </c>
      <c r="X3057">
        <v>2</v>
      </c>
      <c r="Y3057" t="s">
        <v>10829</v>
      </c>
      <c r="Z3057">
        <v>189.97</v>
      </c>
      <c r="AA3057">
        <v>40.824473</v>
      </c>
      <c r="AB3057">
        <v>-73.876895</v>
      </c>
      <c r="AD3057" t="s">
        <v>10839</v>
      </c>
      <c r="AG3057" t="s">
        <v>10858</v>
      </c>
      <c r="AH3057" t="s">
        <v>10861</v>
      </c>
      <c r="AI3057">
        <v>230</v>
      </c>
      <c r="AJ3057" t="s">
        <v>10210</v>
      </c>
      <c r="AK3057" t="s">
        <v>10882</v>
      </c>
      <c r="AL3057">
        <v>0.5</v>
      </c>
      <c r="AM3057" t="s">
        <v>10884</v>
      </c>
      <c r="AN3057" t="s">
        <v>10968</v>
      </c>
      <c r="AO3057" t="s">
        <v>11001</v>
      </c>
      <c r="AP3057" t="s">
        <v>11046</v>
      </c>
      <c r="AR3057" t="s">
        <v>11295</v>
      </c>
      <c r="AS3057" t="s">
        <v>9926</v>
      </c>
      <c r="AT3057" t="s">
        <v>11641</v>
      </c>
      <c r="AX3057" t="s">
        <v>10838</v>
      </c>
      <c r="AY3057" t="s">
        <v>10829</v>
      </c>
      <c r="AZ3057" t="s">
        <v>11681</v>
      </c>
      <c r="BA3057" t="s">
        <v>11741</v>
      </c>
      <c r="BB3057">
        <v>0</v>
      </c>
      <c r="BC3057">
        <v>0</v>
      </c>
      <c r="BD3057">
        <v>0</v>
      </c>
      <c r="BE3057">
        <v>0</v>
      </c>
      <c r="BF3057">
        <v>1</v>
      </c>
      <c r="BG3057">
        <v>0</v>
      </c>
    </row>
    <row r="3058" spans="1:59">
      <c r="A3058" s="1">
        <f>HYPERLINK("https://lsnyc.legalserver.org/matter/dynamic-profile/view/1907104","19-1907104")</f>
        <v>0</v>
      </c>
      <c r="B3058" t="s">
        <v>2125</v>
      </c>
      <c r="C3058" t="s">
        <v>7357</v>
      </c>
      <c r="D3058" t="s">
        <v>9929</v>
      </c>
      <c r="E3058" t="s">
        <v>10075</v>
      </c>
      <c r="F3058">
        <v>10310</v>
      </c>
      <c r="G3058" t="s">
        <v>10088</v>
      </c>
      <c r="H3058" t="s">
        <v>10129</v>
      </c>
      <c r="I3058" t="s">
        <v>10168</v>
      </c>
      <c r="J3058" t="s">
        <v>10208</v>
      </c>
      <c r="K3058" t="s">
        <v>10218</v>
      </c>
      <c r="L3058" t="s">
        <v>10160</v>
      </c>
      <c r="M3058" t="s">
        <v>10259</v>
      </c>
      <c r="N3058" t="s">
        <v>10654</v>
      </c>
      <c r="P3058" t="s">
        <v>10749</v>
      </c>
      <c r="Q3058" t="s">
        <v>10767</v>
      </c>
      <c r="R3058" t="s">
        <v>10821</v>
      </c>
      <c r="T3058">
        <v>2366</v>
      </c>
      <c r="U3058">
        <v>197.17</v>
      </c>
      <c r="V3058">
        <v>47</v>
      </c>
      <c r="W3058">
        <v>1</v>
      </c>
      <c r="X3058">
        <v>0</v>
      </c>
      <c r="Y3058" t="s">
        <v>10830</v>
      </c>
      <c r="Z3058">
        <v>18.94</v>
      </c>
      <c r="AA3058">
        <v>40.635126</v>
      </c>
      <c r="AB3058">
        <v>-74.118915</v>
      </c>
      <c r="AD3058" t="s">
        <v>10839</v>
      </c>
      <c r="AG3058" t="s">
        <v>10858</v>
      </c>
      <c r="AH3058" t="s">
        <v>10861</v>
      </c>
      <c r="AI3058">
        <v>285</v>
      </c>
      <c r="AJ3058" t="s">
        <v>10208</v>
      </c>
      <c r="AK3058" t="s">
        <v>10838</v>
      </c>
      <c r="AL3058">
        <v>2.3</v>
      </c>
      <c r="AM3058" t="s">
        <v>10883</v>
      </c>
      <c r="AN3058" t="s">
        <v>10913</v>
      </c>
      <c r="AO3058" t="s">
        <v>11006</v>
      </c>
      <c r="AP3058" t="s">
        <v>11051</v>
      </c>
      <c r="AR3058" t="s">
        <v>11255</v>
      </c>
      <c r="AS3058" t="s">
        <v>11593</v>
      </c>
      <c r="AY3058" t="s">
        <v>10830</v>
      </c>
      <c r="AZ3058" t="s">
        <v>11681</v>
      </c>
      <c r="BA3058" t="s">
        <v>11740</v>
      </c>
      <c r="BB3058">
        <v>0</v>
      </c>
      <c r="BC3058">
        <v>0</v>
      </c>
      <c r="BD3058">
        <v>0</v>
      </c>
      <c r="BE3058">
        <v>0</v>
      </c>
      <c r="BF3058">
        <v>2</v>
      </c>
      <c r="BG3058">
        <v>0</v>
      </c>
    </row>
    <row r="3059" spans="1:59">
      <c r="A3059" s="1">
        <f>HYPERLINK("https://lsnyc.legalserver.org/matter/dynamic-profile/view/1907105","19-1907105")</f>
        <v>0</v>
      </c>
      <c r="B3059" t="s">
        <v>2578</v>
      </c>
      <c r="C3059" t="s">
        <v>7358</v>
      </c>
      <c r="D3059" t="s">
        <v>9926</v>
      </c>
      <c r="E3059" t="s">
        <v>10075</v>
      </c>
      <c r="F3059">
        <v>10456</v>
      </c>
      <c r="G3059" t="s">
        <v>10090</v>
      </c>
      <c r="H3059" t="s">
        <v>10138</v>
      </c>
      <c r="I3059" t="s">
        <v>10169</v>
      </c>
      <c r="J3059" t="s">
        <v>10210</v>
      </c>
      <c r="K3059" t="s">
        <v>10217</v>
      </c>
      <c r="M3059" t="s">
        <v>10424</v>
      </c>
      <c r="N3059" t="s">
        <v>10673</v>
      </c>
      <c r="P3059" t="s">
        <v>10753</v>
      </c>
      <c r="Q3059" t="s">
        <v>10763</v>
      </c>
      <c r="R3059" t="s">
        <v>10821</v>
      </c>
      <c r="T3059">
        <v>0</v>
      </c>
      <c r="U3059">
        <v>0</v>
      </c>
      <c r="V3059">
        <v>28</v>
      </c>
      <c r="W3059">
        <v>1</v>
      </c>
      <c r="X3059">
        <v>3</v>
      </c>
      <c r="Z3059">
        <v>0</v>
      </c>
      <c r="AA3059">
        <v>40.834514</v>
      </c>
      <c r="AB3059">
        <v>-73.90353899999999</v>
      </c>
      <c r="AD3059" t="s">
        <v>10839</v>
      </c>
      <c r="AF3059" t="s">
        <v>10842</v>
      </c>
      <c r="AG3059" t="s">
        <v>10859</v>
      </c>
      <c r="AH3059" t="s">
        <v>10864</v>
      </c>
      <c r="AI3059">
        <v>230</v>
      </c>
      <c r="AJ3059" t="s">
        <v>10210</v>
      </c>
      <c r="AL3059">
        <v>3.75</v>
      </c>
      <c r="AM3059" t="s">
        <v>10884</v>
      </c>
      <c r="AN3059" t="s">
        <v>10918</v>
      </c>
      <c r="AO3059" t="s">
        <v>11000</v>
      </c>
      <c r="AP3059" t="s">
        <v>11055</v>
      </c>
      <c r="AQ3059" t="s">
        <v>11119</v>
      </c>
      <c r="AR3059" t="s">
        <v>11267</v>
      </c>
      <c r="AS3059" t="s">
        <v>9926</v>
      </c>
      <c r="AT3059" t="s">
        <v>11641</v>
      </c>
      <c r="AV3059" t="s">
        <v>11656</v>
      </c>
      <c r="AW3059" t="s">
        <v>11645</v>
      </c>
      <c r="AX3059" t="s">
        <v>10838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</row>
    <row r="3060" spans="1:59">
      <c r="A3060" s="1">
        <f>HYPERLINK("https://lsnyc.legalserver.org/matter/dynamic-profile/view/1907106","19-1907106")</f>
        <v>0</v>
      </c>
      <c r="B3060" t="s">
        <v>2579</v>
      </c>
      <c r="C3060" t="s">
        <v>6155</v>
      </c>
      <c r="D3060" t="s">
        <v>9928</v>
      </c>
      <c r="E3060" t="s">
        <v>10075</v>
      </c>
      <c r="F3060">
        <v>11230</v>
      </c>
      <c r="G3060" t="s">
        <v>10093</v>
      </c>
      <c r="H3060" t="s">
        <v>10138</v>
      </c>
      <c r="I3060" t="s">
        <v>10168</v>
      </c>
      <c r="J3060" t="s">
        <v>10213</v>
      </c>
      <c r="K3060" t="s">
        <v>10217</v>
      </c>
      <c r="M3060" t="s">
        <v>10425</v>
      </c>
      <c r="N3060" t="s">
        <v>10664</v>
      </c>
      <c r="P3060" t="s">
        <v>10749</v>
      </c>
      <c r="Q3060" t="s">
        <v>10765</v>
      </c>
      <c r="R3060" t="s">
        <v>10820</v>
      </c>
      <c r="T3060">
        <v>17113.94</v>
      </c>
      <c r="U3060">
        <v>1426.16</v>
      </c>
      <c r="V3060">
        <v>63</v>
      </c>
      <c r="W3060">
        <v>3</v>
      </c>
      <c r="X3060">
        <v>0</v>
      </c>
      <c r="Z3060">
        <v>80.23</v>
      </c>
      <c r="AA3060">
        <v>40.629745</v>
      </c>
      <c r="AB3060">
        <v>-73.95802999999999</v>
      </c>
      <c r="AD3060" t="s">
        <v>10840</v>
      </c>
      <c r="AG3060" t="s">
        <v>10858</v>
      </c>
      <c r="AH3060" t="s">
        <v>10862</v>
      </c>
      <c r="AI3060">
        <v>239</v>
      </c>
      <c r="AJ3060" t="s">
        <v>10213</v>
      </c>
      <c r="AL3060">
        <v>3.4</v>
      </c>
      <c r="AM3060" t="s">
        <v>10888</v>
      </c>
      <c r="AN3060" t="s">
        <v>10932</v>
      </c>
      <c r="AO3060" t="s">
        <v>11008</v>
      </c>
      <c r="AP3060" t="s">
        <v>11065</v>
      </c>
      <c r="AR3060" t="s">
        <v>11257</v>
      </c>
      <c r="AS3060" t="s">
        <v>11595</v>
      </c>
      <c r="BA3060" t="s">
        <v>11738</v>
      </c>
      <c r="BB3060">
        <v>0</v>
      </c>
      <c r="BC3060">
        <v>0</v>
      </c>
      <c r="BD3060">
        <v>0</v>
      </c>
      <c r="BE3060">
        <v>0</v>
      </c>
      <c r="BF3060">
        <v>5</v>
      </c>
      <c r="BG3060">
        <v>0</v>
      </c>
    </row>
    <row r="3061" spans="1:59">
      <c r="A3061" s="1">
        <f>HYPERLINK("https://lsnyc.legalserver.org/matter/dynamic-profile/view/1907107","19-1907107")</f>
        <v>0</v>
      </c>
      <c r="B3061" t="s">
        <v>2580</v>
      </c>
      <c r="C3061" t="s">
        <v>7359</v>
      </c>
      <c r="D3061" t="s">
        <v>9926</v>
      </c>
      <c r="E3061" t="s">
        <v>10075</v>
      </c>
      <c r="F3061">
        <v>10453</v>
      </c>
      <c r="G3061" t="s">
        <v>10090</v>
      </c>
      <c r="H3061" t="s">
        <v>10138</v>
      </c>
      <c r="J3061" t="s">
        <v>10210</v>
      </c>
      <c r="K3061" t="s">
        <v>10217</v>
      </c>
      <c r="M3061" t="s">
        <v>10362</v>
      </c>
      <c r="N3061" t="s">
        <v>10666</v>
      </c>
      <c r="P3061" t="s">
        <v>10749</v>
      </c>
      <c r="Q3061" t="s">
        <v>10765</v>
      </c>
      <c r="R3061" t="s">
        <v>10823</v>
      </c>
      <c r="T3061">
        <v>70200</v>
      </c>
      <c r="U3061">
        <v>5850</v>
      </c>
      <c r="V3061">
        <v>34</v>
      </c>
      <c r="W3061">
        <v>4</v>
      </c>
      <c r="X3061">
        <v>1</v>
      </c>
      <c r="Z3061">
        <v>232.68</v>
      </c>
      <c r="AA3061">
        <v>40.854516</v>
      </c>
      <c r="AB3061">
        <v>-73.915496</v>
      </c>
      <c r="AD3061" t="s">
        <v>10839</v>
      </c>
      <c r="AG3061" t="s">
        <v>10858</v>
      </c>
      <c r="AH3061" t="s">
        <v>10862</v>
      </c>
      <c r="AI3061">
        <v>230</v>
      </c>
      <c r="AJ3061" t="s">
        <v>10210</v>
      </c>
      <c r="AL3061">
        <v>18.6</v>
      </c>
      <c r="AM3061" t="s">
        <v>10884</v>
      </c>
      <c r="AN3061" t="s">
        <v>10931</v>
      </c>
      <c r="AO3061" t="s">
        <v>11000</v>
      </c>
      <c r="AP3061" t="s">
        <v>11045</v>
      </c>
      <c r="AR3061" t="s">
        <v>11257</v>
      </c>
      <c r="AS3061" t="s">
        <v>9926</v>
      </c>
      <c r="BA3061" t="s">
        <v>11738</v>
      </c>
      <c r="BB3061">
        <v>0</v>
      </c>
      <c r="BC3061">
        <v>0</v>
      </c>
      <c r="BD3061">
        <v>0</v>
      </c>
      <c r="BE3061">
        <v>0</v>
      </c>
      <c r="BF3061">
        <v>5</v>
      </c>
      <c r="BG3061">
        <v>0</v>
      </c>
    </row>
    <row r="3062" spans="1:59">
      <c r="A3062" s="1">
        <f>HYPERLINK("https://lsnyc.legalserver.org/matter/dynamic-profile/view/1907108","19-1907108")</f>
        <v>0</v>
      </c>
      <c r="B3062" t="s">
        <v>2581</v>
      </c>
      <c r="C3062" t="s">
        <v>7360</v>
      </c>
      <c r="D3062" t="s">
        <v>9926</v>
      </c>
      <c r="E3062" t="s">
        <v>10075</v>
      </c>
      <c r="F3062">
        <v>10452</v>
      </c>
      <c r="G3062" t="s">
        <v>10090</v>
      </c>
      <c r="H3062" t="s">
        <v>10138</v>
      </c>
      <c r="I3062" t="s">
        <v>10168</v>
      </c>
      <c r="J3062" t="s">
        <v>10210</v>
      </c>
      <c r="K3062" t="s">
        <v>10218</v>
      </c>
      <c r="L3062" t="s">
        <v>10155</v>
      </c>
      <c r="M3062" t="s">
        <v>10593</v>
      </c>
      <c r="N3062" t="s">
        <v>10682</v>
      </c>
      <c r="P3062" t="s">
        <v>10751</v>
      </c>
      <c r="Q3062" t="s">
        <v>10761</v>
      </c>
      <c r="R3062" t="s">
        <v>10821</v>
      </c>
      <c r="T3062">
        <v>15600</v>
      </c>
      <c r="U3062">
        <v>1300</v>
      </c>
      <c r="V3062">
        <v>35</v>
      </c>
      <c r="W3062">
        <v>1</v>
      </c>
      <c r="X3062">
        <v>2</v>
      </c>
      <c r="Y3062" t="s">
        <v>10834</v>
      </c>
      <c r="Z3062">
        <v>73.14</v>
      </c>
      <c r="AA3062">
        <v>40.842493</v>
      </c>
      <c r="AB3062">
        <v>-73.914694</v>
      </c>
      <c r="AD3062" t="s">
        <v>10839</v>
      </c>
      <c r="AG3062" t="s">
        <v>10858</v>
      </c>
      <c r="AH3062" t="s">
        <v>10861</v>
      </c>
      <c r="AI3062">
        <v>234</v>
      </c>
      <c r="AJ3062" t="s">
        <v>10214</v>
      </c>
      <c r="AK3062" t="s">
        <v>10838</v>
      </c>
      <c r="AL3062">
        <v>8.75</v>
      </c>
      <c r="AM3062" t="s">
        <v>10884</v>
      </c>
      <c r="AN3062" t="s">
        <v>10929</v>
      </c>
      <c r="AO3062" t="s">
        <v>11013</v>
      </c>
      <c r="AP3062" t="s">
        <v>11045</v>
      </c>
      <c r="AR3062" t="s">
        <v>11257</v>
      </c>
      <c r="AS3062" t="s">
        <v>9926</v>
      </c>
      <c r="AT3062" t="s">
        <v>11641</v>
      </c>
      <c r="AX3062" t="s">
        <v>10838</v>
      </c>
      <c r="AY3062" t="s">
        <v>10834</v>
      </c>
      <c r="AZ3062" t="s">
        <v>11701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</row>
    <row r="3063" spans="1:59">
      <c r="A3063" s="1">
        <f>HYPERLINK("https://lsnyc.legalserver.org/matter/dynamic-profile/view/1907109","19-1907109")</f>
        <v>0</v>
      </c>
      <c r="B3063" t="s">
        <v>2582</v>
      </c>
      <c r="C3063" t="s">
        <v>7361</v>
      </c>
      <c r="D3063" t="s">
        <v>9926</v>
      </c>
      <c r="E3063" t="s">
        <v>10075</v>
      </c>
      <c r="F3063">
        <v>10468</v>
      </c>
      <c r="G3063" t="s">
        <v>10090</v>
      </c>
      <c r="H3063" t="s">
        <v>10138</v>
      </c>
      <c r="I3063" t="s">
        <v>10168</v>
      </c>
      <c r="J3063" t="s">
        <v>10210</v>
      </c>
      <c r="K3063" t="s">
        <v>10218</v>
      </c>
      <c r="L3063" t="s">
        <v>10161</v>
      </c>
      <c r="M3063" t="s">
        <v>10234</v>
      </c>
      <c r="N3063" t="s">
        <v>10650</v>
      </c>
      <c r="P3063" t="s">
        <v>10749</v>
      </c>
      <c r="Q3063" t="s">
        <v>10765</v>
      </c>
      <c r="R3063" t="s">
        <v>10822</v>
      </c>
      <c r="T3063">
        <v>2197</v>
      </c>
      <c r="U3063">
        <v>183.08</v>
      </c>
      <c r="V3063">
        <v>21</v>
      </c>
      <c r="W3063">
        <v>1</v>
      </c>
      <c r="X3063">
        <v>0</v>
      </c>
      <c r="Y3063" t="s">
        <v>10830</v>
      </c>
      <c r="Z3063">
        <v>17.59</v>
      </c>
      <c r="AA3063">
        <v>40.859977</v>
      </c>
      <c r="AB3063">
        <v>-73.904808</v>
      </c>
      <c r="AD3063" t="s">
        <v>10822</v>
      </c>
      <c r="AG3063" t="s">
        <v>10858</v>
      </c>
      <c r="AH3063" t="s">
        <v>10862</v>
      </c>
      <c r="AI3063">
        <v>230</v>
      </c>
      <c r="AJ3063" t="s">
        <v>10210</v>
      </c>
      <c r="AK3063" t="s">
        <v>10838</v>
      </c>
      <c r="AL3063">
        <v>1</v>
      </c>
      <c r="AM3063" t="s">
        <v>10884</v>
      </c>
      <c r="AN3063" t="s">
        <v>10931</v>
      </c>
      <c r="AO3063" t="s">
        <v>11000</v>
      </c>
      <c r="AP3063" t="s">
        <v>11045</v>
      </c>
      <c r="AR3063" t="s">
        <v>11273</v>
      </c>
      <c r="AS3063" t="s">
        <v>9926</v>
      </c>
      <c r="AY3063" t="s">
        <v>10830</v>
      </c>
      <c r="AZ3063" t="s">
        <v>11690</v>
      </c>
      <c r="BA3063" t="s">
        <v>11740</v>
      </c>
      <c r="BB3063">
        <v>0</v>
      </c>
      <c r="BC3063">
        <v>0</v>
      </c>
      <c r="BD3063">
        <v>0</v>
      </c>
      <c r="BE3063">
        <v>0</v>
      </c>
      <c r="BF3063">
        <v>2</v>
      </c>
      <c r="BG3063">
        <v>0</v>
      </c>
    </row>
    <row r="3064" spans="1:59">
      <c r="A3064" s="1">
        <f>HYPERLINK("https://lsnyc.legalserver.org/matter/dynamic-profile/view/1907111","19-1907111")</f>
        <v>0</v>
      </c>
      <c r="B3064" t="s">
        <v>1353</v>
      </c>
      <c r="C3064" t="s">
        <v>7362</v>
      </c>
      <c r="D3064" t="s">
        <v>9926</v>
      </c>
      <c r="E3064" t="s">
        <v>10075</v>
      </c>
      <c r="F3064">
        <v>10456</v>
      </c>
      <c r="G3064" t="s">
        <v>10090</v>
      </c>
      <c r="H3064" t="s">
        <v>10138</v>
      </c>
      <c r="I3064" t="s">
        <v>10168</v>
      </c>
      <c r="J3064" t="s">
        <v>10210</v>
      </c>
      <c r="K3064" t="s">
        <v>10218</v>
      </c>
      <c r="L3064" t="s">
        <v>10160</v>
      </c>
      <c r="M3064" t="s">
        <v>10262</v>
      </c>
      <c r="N3064" t="s">
        <v>10666</v>
      </c>
      <c r="P3064" t="s">
        <v>10749</v>
      </c>
      <c r="Q3064" t="s">
        <v>10765</v>
      </c>
      <c r="R3064" t="s">
        <v>10824</v>
      </c>
      <c r="T3064">
        <v>11040</v>
      </c>
      <c r="U3064">
        <v>920</v>
      </c>
      <c r="V3064">
        <v>54</v>
      </c>
      <c r="W3064">
        <v>2</v>
      </c>
      <c r="X3064">
        <v>0</v>
      </c>
      <c r="Y3064" t="s">
        <v>10829</v>
      </c>
      <c r="Z3064">
        <v>65.29000000000001</v>
      </c>
      <c r="AA3064">
        <v>40.819987</v>
      </c>
      <c r="AB3064">
        <v>-73.903256</v>
      </c>
      <c r="AD3064" t="s">
        <v>10839</v>
      </c>
      <c r="AG3064" t="s">
        <v>10858</v>
      </c>
      <c r="AH3064" t="s">
        <v>10861</v>
      </c>
      <c r="AI3064">
        <v>230</v>
      </c>
      <c r="AJ3064" t="s">
        <v>10210</v>
      </c>
      <c r="AK3064" t="s">
        <v>10882</v>
      </c>
      <c r="AL3064">
        <v>0.5</v>
      </c>
      <c r="AM3064" t="s">
        <v>10884</v>
      </c>
      <c r="AN3064" t="s">
        <v>10918</v>
      </c>
      <c r="AO3064" t="s">
        <v>11001</v>
      </c>
      <c r="AP3064" t="s">
        <v>11062</v>
      </c>
      <c r="AR3064" t="s">
        <v>11401</v>
      </c>
      <c r="AS3064" t="s">
        <v>9926</v>
      </c>
      <c r="AT3064" t="s">
        <v>11641</v>
      </c>
      <c r="AX3064" t="s">
        <v>10838</v>
      </c>
      <c r="AY3064" t="s">
        <v>10829</v>
      </c>
      <c r="AZ3064" t="s">
        <v>11681</v>
      </c>
      <c r="BA3064" t="s">
        <v>11741</v>
      </c>
      <c r="BB3064">
        <v>0</v>
      </c>
      <c r="BC3064">
        <v>0</v>
      </c>
      <c r="BD3064">
        <v>0</v>
      </c>
      <c r="BE3064">
        <v>0</v>
      </c>
      <c r="BF3064">
        <v>1</v>
      </c>
      <c r="BG3064">
        <v>0</v>
      </c>
    </row>
    <row r="3065" spans="1:59">
      <c r="A3065" s="1">
        <f>HYPERLINK("https://lsnyc.legalserver.org/matter/dynamic-profile/view/1907112","19-1907112")</f>
        <v>0</v>
      </c>
      <c r="B3065" t="s">
        <v>2583</v>
      </c>
      <c r="C3065" t="s">
        <v>7363</v>
      </c>
      <c r="D3065" t="s">
        <v>9929</v>
      </c>
      <c r="E3065" t="s">
        <v>10075</v>
      </c>
      <c r="F3065">
        <v>10309</v>
      </c>
      <c r="G3065" t="s">
        <v>10093</v>
      </c>
      <c r="H3065" t="s">
        <v>10138</v>
      </c>
      <c r="I3065" t="s">
        <v>10168</v>
      </c>
      <c r="J3065" t="s">
        <v>10213</v>
      </c>
      <c r="K3065" t="s">
        <v>10218</v>
      </c>
      <c r="L3065" t="s">
        <v>10127</v>
      </c>
      <c r="M3065" t="s">
        <v>10437</v>
      </c>
      <c r="N3065" t="s">
        <v>10675</v>
      </c>
      <c r="P3065" t="s">
        <v>10749</v>
      </c>
      <c r="Q3065" t="s">
        <v>10791</v>
      </c>
      <c r="R3065" t="s">
        <v>10824</v>
      </c>
      <c r="T3065">
        <v>52800</v>
      </c>
      <c r="U3065">
        <v>4400</v>
      </c>
      <c r="V3065">
        <v>58</v>
      </c>
      <c r="W3065">
        <v>1</v>
      </c>
      <c r="X3065">
        <v>0</v>
      </c>
      <c r="Y3065" t="s">
        <v>10829</v>
      </c>
      <c r="Z3065">
        <v>422.74</v>
      </c>
      <c r="AA3065">
        <v>40.545891</v>
      </c>
      <c r="AB3065">
        <v>-74.21765000000001</v>
      </c>
      <c r="AC3065" t="s">
        <v>10837</v>
      </c>
      <c r="AD3065" t="s">
        <v>10839</v>
      </c>
      <c r="AG3065" t="s">
        <v>10858</v>
      </c>
      <c r="AH3065" t="s">
        <v>10862</v>
      </c>
      <c r="AI3065">
        <v>239</v>
      </c>
      <c r="AJ3065" t="s">
        <v>10213</v>
      </c>
      <c r="AK3065" t="s">
        <v>10838</v>
      </c>
      <c r="AL3065">
        <v>1.25</v>
      </c>
      <c r="AM3065" t="s">
        <v>10883</v>
      </c>
      <c r="AN3065" t="s">
        <v>10906</v>
      </c>
      <c r="AO3065" t="s">
        <v>10999</v>
      </c>
      <c r="AP3065" t="s">
        <v>11044</v>
      </c>
      <c r="AR3065" t="s">
        <v>11491</v>
      </c>
      <c r="AS3065" t="s">
        <v>11593</v>
      </c>
      <c r="AY3065" t="s">
        <v>10829</v>
      </c>
      <c r="AZ3065" t="s">
        <v>11681</v>
      </c>
      <c r="BA3065" t="s">
        <v>11741</v>
      </c>
      <c r="BB3065">
        <v>0</v>
      </c>
      <c r="BC3065">
        <v>0</v>
      </c>
      <c r="BD3065">
        <v>0</v>
      </c>
      <c r="BE3065">
        <v>0</v>
      </c>
      <c r="BF3065">
        <v>1</v>
      </c>
      <c r="BG3065">
        <v>0</v>
      </c>
    </row>
    <row r="3066" spans="1:59">
      <c r="A3066" s="1">
        <f>HYPERLINK("https://lsnyc.legalserver.org/matter/dynamic-profile/view/1907113","19-1907113")</f>
        <v>0</v>
      </c>
      <c r="B3066" t="s">
        <v>2584</v>
      </c>
      <c r="C3066" t="s">
        <v>7364</v>
      </c>
      <c r="D3066" t="s">
        <v>9925</v>
      </c>
      <c r="E3066" t="s">
        <v>10075</v>
      </c>
      <c r="F3066">
        <v>10026</v>
      </c>
      <c r="G3066" t="s">
        <v>10089</v>
      </c>
      <c r="H3066" t="s">
        <v>10138</v>
      </c>
      <c r="I3066" t="s">
        <v>10168</v>
      </c>
      <c r="J3066" t="s">
        <v>10209</v>
      </c>
      <c r="K3066" t="s">
        <v>10217</v>
      </c>
      <c r="M3066" t="s">
        <v>10453</v>
      </c>
      <c r="N3066" t="s">
        <v>10691</v>
      </c>
      <c r="P3066" t="s">
        <v>10751</v>
      </c>
      <c r="Q3066" t="s">
        <v>10776</v>
      </c>
      <c r="R3066" t="s">
        <v>10822</v>
      </c>
      <c r="T3066">
        <v>23400</v>
      </c>
      <c r="U3066">
        <v>1950</v>
      </c>
      <c r="V3066">
        <v>42</v>
      </c>
      <c r="W3066">
        <v>1</v>
      </c>
      <c r="X3066">
        <v>0</v>
      </c>
      <c r="Z3066">
        <v>187.35</v>
      </c>
      <c r="AA3066">
        <v>40.805089</v>
      </c>
      <c r="AB3066">
        <v>-73.954301</v>
      </c>
      <c r="AD3066" t="s">
        <v>10839</v>
      </c>
      <c r="AG3066" t="s">
        <v>10858</v>
      </c>
      <c r="AH3066" t="s">
        <v>10862</v>
      </c>
      <c r="AI3066">
        <v>236</v>
      </c>
      <c r="AJ3066" t="s">
        <v>10209</v>
      </c>
      <c r="AL3066">
        <v>0</v>
      </c>
      <c r="AM3066" t="s">
        <v>10887</v>
      </c>
      <c r="AN3066" t="s">
        <v>10936</v>
      </c>
      <c r="AO3066" t="s">
        <v>11016</v>
      </c>
      <c r="AP3066" t="s">
        <v>11076</v>
      </c>
      <c r="AR3066" t="s">
        <v>11293</v>
      </c>
      <c r="AS3066" t="s">
        <v>9925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</row>
    <row r="3067" spans="1:59">
      <c r="A3067" s="1">
        <f>HYPERLINK("https://lsnyc.legalserver.org/matter/dynamic-profile/view/1907114","19-1907114")</f>
        <v>0</v>
      </c>
      <c r="B3067" t="s">
        <v>2585</v>
      </c>
      <c r="C3067" t="s">
        <v>7365</v>
      </c>
      <c r="D3067" t="s">
        <v>9926</v>
      </c>
      <c r="E3067" t="s">
        <v>10075</v>
      </c>
      <c r="F3067">
        <v>10460</v>
      </c>
      <c r="G3067" t="s">
        <v>10090</v>
      </c>
      <c r="H3067" t="s">
        <v>10138</v>
      </c>
      <c r="I3067" t="s">
        <v>10169</v>
      </c>
      <c r="J3067" t="s">
        <v>10210</v>
      </c>
      <c r="K3067" t="s">
        <v>10217</v>
      </c>
      <c r="M3067" t="s">
        <v>10296</v>
      </c>
      <c r="N3067" t="s">
        <v>10673</v>
      </c>
      <c r="P3067" t="s">
        <v>10753</v>
      </c>
      <c r="Q3067" t="s">
        <v>10763</v>
      </c>
      <c r="R3067" t="s">
        <v>10821</v>
      </c>
      <c r="T3067">
        <v>0</v>
      </c>
      <c r="U3067">
        <v>0</v>
      </c>
      <c r="V3067">
        <v>33</v>
      </c>
      <c r="W3067">
        <v>1</v>
      </c>
      <c r="X3067">
        <v>3</v>
      </c>
      <c r="Z3067">
        <v>0</v>
      </c>
      <c r="AA3067">
        <v>40.84005</v>
      </c>
      <c r="AB3067">
        <v>-73.86597500000001</v>
      </c>
      <c r="AD3067" t="s">
        <v>10839</v>
      </c>
      <c r="AF3067" t="s">
        <v>10852</v>
      </c>
      <c r="AG3067" t="s">
        <v>10859</v>
      </c>
      <c r="AH3067" t="s">
        <v>10864</v>
      </c>
      <c r="AI3067">
        <v>230</v>
      </c>
      <c r="AJ3067" t="s">
        <v>10210</v>
      </c>
      <c r="AL3067">
        <v>4.75</v>
      </c>
      <c r="AM3067" t="s">
        <v>10884</v>
      </c>
      <c r="AN3067" t="s">
        <v>10908</v>
      </c>
      <c r="AO3067" t="s">
        <v>11001</v>
      </c>
      <c r="AP3067" t="s">
        <v>11046</v>
      </c>
      <c r="AQ3067" t="s">
        <v>11119</v>
      </c>
      <c r="AR3067" t="s">
        <v>11267</v>
      </c>
      <c r="AS3067" t="s">
        <v>9926</v>
      </c>
      <c r="AT3067" t="s">
        <v>11641</v>
      </c>
      <c r="AV3067" t="s">
        <v>11656</v>
      </c>
      <c r="AW3067" t="s">
        <v>11645</v>
      </c>
      <c r="AX3067" t="s">
        <v>10838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</row>
    <row r="3068" spans="1:59">
      <c r="A3068" s="1">
        <f>HYPERLINK("https://lsnyc.legalserver.org/matter/dynamic-profile/view/1907115","19-1907115")</f>
        <v>0</v>
      </c>
      <c r="B3068" t="s">
        <v>1699</v>
      </c>
      <c r="C3068" t="s">
        <v>6499</v>
      </c>
      <c r="D3068" t="s">
        <v>9926</v>
      </c>
      <c r="E3068" t="s">
        <v>10075</v>
      </c>
      <c r="F3068">
        <v>10463</v>
      </c>
      <c r="G3068" t="s">
        <v>10090</v>
      </c>
      <c r="H3068" t="s">
        <v>10138</v>
      </c>
      <c r="I3068" t="s">
        <v>10168</v>
      </c>
      <c r="J3068" t="s">
        <v>10210</v>
      </c>
      <c r="K3068" t="s">
        <v>10217</v>
      </c>
      <c r="M3068" t="s">
        <v>10287</v>
      </c>
      <c r="N3068" t="s">
        <v>10671</v>
      </c>
      <c r="P3068" t="s">
        <v>10751</v>
      </c>
      <c r="Q3068" t="s">
        <v>10761</v>
      </c>
      <c r="R3068" t="s">
        <v>10821</v>
      </c>
      <c r="T3068">
        <v>27756</v>
      </c>
      <c r="U3068">
        <v>2313</v>
      </c>
      <c r="V3068">
        <v>39</v>
      </c>
      <c r="W3068">
        <v>2</v>
      </c>
      <c r="X3068">
        <v>3</v>
      </c>
      <c r="Z3068">
        <v>92</v>
      </c>
      <c r="AA3068">
        <v>40.885166</v>
      </c>
      <c r="AB3068">
        <v>-73.89983700000001</v>
      </c>
      <c r="AD3068" t="s">
        <v>10840</v>
      </c>
      <c r="AG3068" t="s">
        <v>10858</v>
      </c>
      <c r="AH3068" t="s">
        <v>10862</v>
      </c>
      <c r="AI3068">
        <v>230</v>
      </c>
      <c r="AJ3068" t="s">
        <v>10210</v>
      </c>
      <c r="AL3068">
        <v>1.75</v>
      </c>
      <c r="AM3068" t="s">
        <v>10887</v>
      </c>
      <c r="AN3068" t="s">
        <v>10919</v>
      </c>
      <c r="AO3068" t="s">
        <v>11002</v>
      </c>
      <c r="AP3068" t="s">
        <v>11057</v>
      </c>
      <c r="AR3068" t="s">
        <v>11338</v>
      </c>
      <c r="AS3068" t="s">
        <v>9926</v>
      </c>
      <c r="AT3068" t="s">
        <v>11642</v>
      </c>
      <c r="AX3068" t="s">
        <v>10838</v>
      </c>
      <c r="BA3068" t="s">
        <v>11737</v>
      </c>
      <c r="BB3068">
        <v>0</v>
      </c>
      <c r="BC3068">
        <v>0</v>
      </c>
      <c r="BD3068">
        <v>0</v>
      </c>
      <c r="BE3068">
        <v>0</v>
      </c>
      <c r="BF3068">
        <v>3</v>
      </c>
      <c r="BG3068">
        <v>0</v>
      </c>
    </row>
    <row r="3069" spans="1:59">
      <c r="A3069" s="1">
        <f>HYPERLINK("https://lsnyc.legalserver.org/matter/dynamic-profile/view/1907117","19-1907117")</f>
        <v>0</v>
      </c>
      <c r="B3069" t="s">
        <v>2586</v>
      </c>
      <c r="C3069" t="s">
        <v>7366</v>
      </c>
      <c r="D3069" t="s">
        <v>9926</v>
      </c>
      <c r="E3069" t="s">
        <v>10075</v>
      </c>
      <c r="F3069">
        <v>10456</v>
      </c>
      <c r="G3069" t="s">
        <v>10090</v>
      </c>
      <c r="H3069" t="s">
        <v>10138</v>
      </c>
      <c r="I3069" t="s">
        <v>10168</v>
      </c>
      <c r="J3069" t="s">
        <v>10210</v>
      </c>
      <c r="K3069" t="s">
        <v>10218</v>
      </c>
      <c r="L3069" t="s">
        <v>10160</v>
      </c>
      <c r="M3069" t="s">
        <v>10262</v>
      </c>
      <c r="N3069" t="s">
        <v>10666</v>
      </c>
      <c r="P3069" t="s">
        <v>10749</v>
      </c>
      <c r="Q3069" t="s">
        <v>10765</v>
      </c>
      <c r="R3069" t="s">
        <v>10821</v>
      </c>
      <c r="T3069">
        <v>26000</v>
      </c>
      <c r="U3069">
        <v>2166.67</v>
      </c>
      <c r="V3069">
        <v>28</v>
      </c>
      <c r="W3069">
        <v>1</v>
      </c>
      <c r="X3069">
        <v>3</v>
      </c>
      <c r="Y3069" t="s">
        <v>10829</v>
      </c>
      <c r="Z3069">
        <v>100.97</v>
      </c>
      <c r="AA3069">
        <v>40.833982</v>
      </c>
      <c r="AB3069">
        <v>-73.904613</v>
      </c>
      <c r="AD3069" t="s">
        <v>10839</v>
      </c>
      <c r="AG3069" t="s">
        <v>10858</v>
      </c>
      <c r="AH3069" t="s">
        <v>10861</v>
      </c>
      <c r="AI3069">
        <v>230</v>
      </c>
      <c r="AJ3069" t="s">
        <v>10210</v>
      </c>
      <c r="AK3069" t="s">
        <v>10838</v>
      </c>
      <c r="AL3069">
        <v>0.5</v>
      </c>
      <c r="AM3069" t="s">
        <v>10884</v>
      </c>
      <c r="AN3069" t="s">
        <v>10918</v>
      </c>
      <c r="AO3069" t="s">
        <v>11000</v>
      </c>
      <c r="AP3069" t="s">
        <v>11055</v>
      </c>
      <c r="AR3069" t="s">
        <v>11335</v>
      </c>
      <c r="AS3069" t="s">
        <v>9926</v>
      </c>
      <c r="AT3069" t="s">
        <v>11641</v>
      </c>
      <c r="AX3069" t="s">
        <v>10838</v>
      </c>
      <c r="AY3069" t="s">
        <v>10829</v>
      </c>
      <c r="AZ3069" t="s">
        <v>11681</v>
      </c>
      <c r="BA3069" t="s">
        <v>11741</v>
      </c>
      <c r="BB3069">
        <v>0</v>
      </c>
      <c r="BC3069">
        <v>0</v>
      </c>
      <c r="BD3069">
        <v>0</v>
      </c>
      <c r="BE3069">
        <v>0</v>
      </c>
      <c r="BF3069">
        <v>1</v>
      </c>
      <c r="BG3069">
        <v>0</v>
      </c>
    </row>
    <row r="3070" spans="1:59">
      <c r="A3070" s="1">
        <f>HYPERLINK("https://lsnyc.legalserver.org/matter/dynamic-profile/view/1907118","19-1907118")</f>
        <v>0</v>
      </c>
      <c r="B3070" t="s">
        <v>2587</v>
      </c>
      <c r="C3070" t="s">
        <v>7367</v>
      </c>
      <c r="D3070" t="s">
        <v>9928</v>
      </c>
      <c r="E3070" t="s">
        <v>10075</v>
      </c>
      <c r="F3070">
        <v>11230</v>
      </c>
      <c r="G3070" t="s">
        <v>10093</v>
      </c>
      <c r="H3070" t="s">
        <v>10138</v>
      </c>
      <c r="I3070" t="s">
        <v>10168</v>
      </c>
      <c r="J3070" t="s">
        <v>10213</v>
      </c>
      <c r="K3070" t="s">
        <v>10217</v>
      </c>
      <c r="M3070" t="s">
        <v>10358</v>
      </c>
      <c r="N3070" t="s">
        <v>10644</v>
      </c>
      <c r="P3070" t="s">
        <v>10752</v>
      </c>
      <c r="Q3070" t="s">
        <v>10805</v>
      </c>
      <c r="R3070" t="s">
        <v>10821</v>
      </c>
      <c r="T3070">
        <v>57192</v>
      </c>
      <c r="U3070">
        <v>4766</v>
      </c>
      <c r="V3070">
        <v>71</v>
      </c>
      <c r="W3070">
        <v>3</v>
      </c>
      <c r="X3070">
        <v>0</v>
      </c>
      <c r="Z3070">
        <v>268.13</v>
      </c>
      <c r="AA3070">
        <v>40.635515</v>
      </c>
      <c r="AB3070">
        <v>-73.95866700000001</v>
      </c>
      <c r="AC3070" t="s">
        <v>10837</v>
      </c>
      <c r="AD3070" t="s">
        <v>10840</v>
      </c>
      <c r="AG3070" t="s">
        <v>10858</v>
      </c>
      <c r="AH3070" t="s">
        <v>10862</v>
      </c>
      <c r="AI3070">
        <v>239</v>
      </c>
      <c r="AJ3070" t="s">
        <v>10213</v>
      </c>
      <c r="AL3070">
        <v>1.5</v>
      </c>
      <c r="AM3070" t="s">
        <v>10888</v>
      </c>
      <c r="AN3070" t="s">
        <v>10932</v>
      </c>
      <c r="AO3070" t="s">
        <v>11008</v>
      </c>
      <c r="AP3070" t="s">
        <v>11065</v>
      </c>
      <c r="AR3070" t="s">
        <v>11363</v>
      </c>
      <c r="AS3070" t="s">
        <v>11595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</row>
    <row r="3071" spans="1:59">
      <c r="A3071" s="1">
        <f>HYPERLINK("https://lsnyc.legalserver.org/matter/dynamic-profile/view/1907119","19-1907119")</f>
        <v>0</v>
      </c>
      <c r="B3071" t="s">
        <v>1135</v>
      </c>
      <c r="C3071" t="s">
        <v>7368</v>
      </c>
      <c r="D3071" t="s">
        <v>9929</v>
      </c>
      <c r="E3071" t="s">
        <v>10075</v>
      </c>
      <c r="F3071">
        <v>10303</v>
      </c>
      <c r="G3071" t="s">
        <v>10093</v>
      </c>
      <c r="H3071" t="s">
        <v>10138</v>
      </c>
      <c r="I3071" t="s">
        <v>10168</v>
      </c>
      <c r="J3071" t="s">
        <v>10213</v>
      </c>
      <c r="K3071" t="s">
        <v>10218</v>
      </c>
      <c r="L3071" t="s">
        <v>10127</v>
      </c>
      <c r="M3071" t="s">
        <v>10437</v>
      </c>
      <c r="N3071" t="s">
        <v>10675</v>
      </c>
      <c r="P3071" t="s">
        <v>10756</v>
      </c>
      <c r="Q3071" t="s">
        <v>10802</v>
      </c>
      <c r="R3071" t="s">
        <v>10824</v>
      </c>
      <c r="T3071">
        <v>27756</v>
      </c>
      <c r="U3071">
        <v>2313</v>
      </c>
      <c r="V3071">
        <v>56</v>
      </c>
      <c r="W3071">
        <v>2</v>
      </c>
      <c r="X3071">
        <v>2</v>
      </c>
      <c r="Y3071" t="s">
        <v>10829</v>
      </c>
      <c r="Z3071">
        <v>107.79</v>
      </c>
      <c r="AA3071">
        <v>40.637574</v>
      </c>
      <c r="AB3071">
        <v>-74.164767</v>
      </c>
      <c r="AC3071" t="s">
        <v>10837</v>
      </c>
      <c r="AD3071" t="s">
        <v>10839</v>
      </c>
      <c r="AG3071" t="s">
        <v>10858</v>
      </c>
      <c r="AH3071" t="s">
        <v>10862</v>
      </c>
      <c r="AI3071">
        <v>239</v>
      </c>
      <c r="AJ3071" t="s">
        <v>10213</v>
      </c>
      <c r="AK3071" t="s">
        <v>10838</v>
      </c>
      <c r="AL3071">
        <v>1</v>
      </c>
      <c r="AM3071" t="s">
        <v>10883</v>
      </c>
      <c r="AN3071" t="s">
        <v>10928</v>
      </c>
      <c r="AO3071" t="s">
        <v>11006</v>
      </c>
      <c r="AP3071" t="s">
        <v>11051</v>
      </c>
      <c r="AR3071" t="s">
        <v>11492</v>
      </c>
      <c r="AS3071" t="s">
        <v>11593</v>
      </c>
      <c r="AY3071" t="s">
        <v>10829</v>
      </c>
      <c r="AZ3071" t="s">
        <v>11708</v>
      </c>
      <c r="BA3071" t="s">
        <v>11741</v>
      </c>
      <c r="BB3071">
        <v>0</v>
      </c>
      <c r="BC3071">
        <v>0</v>
      </c>
      <c r="BD3071">
        <v>0</v>
      </c>
      <c r="BE3071">
        <v>0</v>
      </c>
      <c r="BF3071">
        <v>1</v>
      </c>
      <c r="BG3071">
        <v>0</v>
      </c>
    </row>
    <row r="3072" spans="1:59">
      <c r="A3072" s="1">
        <f>HYPERLINK("https://lsnyc.legalserver.org/matter/dynamic-profile/view/1907120","19-1907120")</f>
        <v>0</v>
      </c>
      <c r="B3072" t="s">
        <v>2588</v>
      </c>
      <c r="C3072" t="s">
        <v>7369</v>
      </c>
      <c r="D3072" t="s">
        <v>9932</v>
      </c>
      <c r="E3072" t="s">
        <v>10075</v>
      </c>
      <c r="F3072">
        <v>11368</v>
      </c>
      <c r="G3072" t="s">
        <v>10092</v>
      </c>
      <c r="H3072" t="s">
        <v>10150</v>
      </c>
      <c r="I3072" t="s">
        <v>10168</v>
      </c>
      <c r="J3072" t="s">
        <v>10212</v>
      </c>
      <c r="K3072" t="s">
        <v>10217</v>
      </c>
      <c r="M3072" t="s">
        <v>10566</v>
      </c>
      <c r="N3072" t="s">
        <v>10650</v>
      </c>
      <c r="P3072" t="s">
        <v>10749</v>
      </c>
      <c r="Q3072" t="s">
        <v>10765</v>
      </c>
      <c r="R3072" t="s">
        <v>10824</v>
      </c>
      <c r="T3072">
        <v>30000</v>
      </c>
      <c r="U3072">
        <v>2500</v>
      </c>
      <c r="V3072">
        <v>69</v>
      </c>
      <c r="W3072">
        <v>1</v>
      </c>
      <c r="X3072">
        <v>0</v>
      </c>
      <c r="Z3072">
        <v>240.19</v>
      </c>
      <c r="AA3072">
        <v>40.736906</v>
      </c>
      <c r="AB3072">
        <v>-73.861374</v>
      </c>
      <c r="AD3072" t="s">
        <v>10839</v>
      </c>
      <c r="AG3072" t="s">
        <v>10858</v>
      </c>
      <c r="AH3072" t="s">
        <v>10862</v>
      </c>
      <c r="AI3072">
        <v>237</v>
      </c>
      <c r="AJ3072" t="s">
        <v>10212</v>
      </c>
      <c r="AL3072">
        <v>20.65</v>
      </c>
      <c r="AM3072" t="s">
        <v>10885</v>
      </c>
      <c r="AN3072" t="s">
        <v>10916</v>
      </c>
      <c r="AO3072" t="s">
        <v>11014</v>
      </c>
      <c r="AP3072" t="s">
        <v>11068</v>
      </c>
      <c r="AR3072" t="s">
        <v>11345</v>
      </c>
      <c r="AS3072" t="s">
        <v>11594</v>
      </c>
      <c r="AX3072" t="s">
        <v>10838</v>
      </c>
      <c r="BA3072" t="s">
        <v>11738</v>
      </c>
      <c r="BB3072">
        <v>0</v>
      </c>
      <c r="BC3072">
        <v>0</v>
      </c>
      <c r="BD3072">
        <v>0</v>
      </c>
      <c r="BE3072">
        <v>0</v>
      </c>
      <c r="BF3072">
        <v>5</v>
      </c>
      <c r="BG3072">
        <v>0</v>
      </c>
    </row>
    <row r="3073" spans="1:59">
      <c r="A3073" s="1">
        <f>HYPERLINK("https://lsnyc.legalserver.org/matter/dynamic-profile/view/1907121","19-1907121")</f>
        <v>0</v>
      </c>
      <c r="B3073" t="s">
        <v>2588</v>
      </c>
      <c r="C3073" t="s">
        <v>7369</v>
      </c>
      <c r="D3073" t="s">
        <v>9932</v>
      </c>
      <c r="E3073" t="s">
        <v>10075</v>
      </c>
      <c r="F3073">
        <v>11368</v>
      </c>
      <c r="G3073" t="s">
        <v>10092</v>
      </c>
      <c r="H3073" t="s">
        <v>10150</v>
      </c>
      <c r="I3073" t="s">
        <v>10168</v>
      </c>
      <c r="J3073" t="s">
        <v>10212</v>
      </c>
      <c r="K3073" t="s">
        <v>10217</v>
      </c>
      <c r="M3073" t="s">
        <v>10365</v>
      </c>
      <c r="N3073" t="s">
        <v>10650</v>
      </c>
      <c r="P3073" t="s">
        <v>10749</v>
      </c>
      <c r="Q3073" t="s">
        <v>10765</v>
      </c>
      <c r="R3073" t="s">
        <v>10824</v>
      </c>
      <c r="T3073">
        <v>30000</v>
      </c>
      <c r="U3073">
        <v>2500</v>
      </c>
      <c r="V3073">
        <v>69</v>
      </c>
      <c r="W3073">
        <v>1</v>
      </c>
      <c r="X3073">
        <v>0</v>
      </c>
      <c r="Z3073">
        <v>240.19</v>
      </c>
      <c r="AA3073">
        <v>40.736906</v>
      </c>
      <c r="AB3073">
        <v>-73.861374</v>
      </c>
      <c r="AD3073" t="s">
        <v>10839</v>
      </c>
      <c r="AG3073" t="s">
        <v>10858</v>
      </c>
      <c r="AH3073" t="s">
        <v>10862</v>
      </c>
      <c r="AI3073">
        <v>237</v>
      </c>
      <c r="AJ3073" t="s">
        <v>10212</v>
      </c>
      <c r="AL3073">
        <v>1.05</v>
      </c>
      <c r="AM3073" t="s">
        <v>10885</v>
      </c>
      <c r="AN3073" t="s">
        <v>10916</v>
      </c>
      <c r="AO3073" t="s">
        <v>11014</v>
      </c>
      <c r="AP3073" t="s">
        <v>11068</v>
      </c>
      <c r="AR3073" t="s">
        <v>11345</v>
      </c>
      <c r="AS3073" t="s">
        <v>11594</v>
      </c>
      <c r="AT3073" t="s">
        <v>11641</v>
      </c>
      <c r="AX3073" t="s">
        <v>10838</v>
      </c>
      <c r="BA3073" t="s">
        <v>11739</v>
      </c>
      <c r="BB3073">
        <v>0</v>
      </c>
      <c r="BC3073">
        <v>0</v>
      </c>
      <c r="BD3073">
        <v>0</v>
      </c>
      <c r="BE3073">
        <v>0</v>
      </c>
      <c r="BF3073">
        <v>4</v>
      </c>
      <c r="BG3073">
        <v>0</v>
      </c>
    </row>
    <row r="3074" spans="1:59">
      <c r="A3074" s="1">
        <f>HYPERLINK("https://lsnyc.legalserver.org/matter/dynamic-profile/view/1907122","19-1907122")</f>
        <v>0</v>
      </c>
      <c r="B3074" t="s">
        <v>317</v>
      </c>
      <c r="C3074" t="s">
        <v>7370</v>
      </c>
      <c r="D3074" t="s">
        <v>9936</v>
      </c>
      <c r="E3074" t="s">
        <v>10075</v>
      </c>
      <c r="F3074">
        <v>11103</v>
      </c>
      <c r="G3074" t="s">
        <v>10092</v>
      </c>
      <c r="H3074" t="s">
        <v>10150</v>
      </c>
      <c r="I3074" t="s">
        <v>10168</v>
      </c>
      <c r="J3074" t="s">
        <v>10212</v>
      </c>
      <c r="K3074" t="s">
        <v>10217</v>
      </c>
      <c r="M3074" t="s">
        <v>10258</v>
      </c>
      <c r="N3074" t="s">
        <v>10650</v>
      </c>
      <c r="P3074" t="s">
        <v>10749</v>
      </c>
      <c r="Q3074" t="s">
        <v>10765</v>
      </c>
      <c r="R3074" t="s">
        <v>10822</v>
      </c>
      <c r="T3074">
        <v>25000</v>
      </c>
      <c r="U3074">
        <v>2083.33</v>
      </c>
      <c r="V3074">
        <v>51</v>
      </c>
      <c r="W3074">
        <v>2</v>
      </c>
      <c r="X3074">
        <v>1</v>
      </c>
      <c r="Z3074">
        <v>117.21</v>
      </c>
      <c r="AA3074">
        <v>40.762023</v>
      </c>
      <c r="AB3074">
        <v>-73.911603</v>
      </c>
      <c r="AD3074" t="s">
        <v>10840</v>
      </c>
      <c r="AF3074" t="s">
        <v>10843</v>
      </c>
      <c r="AG3074" t="s">
        <v>10858</v>
      </c>
      <c r="AH3074" t="s">
        <v>10862</v>
      </c>
      <c r="AI3074">
        <v>237</v>
      </c>
      <c r="AJ3074" t="s">
        <v>10212</v>
      </c>
      <c r="AL3074">
        <v>0.7</v>
      </c>
      <c r="AM3074" t="s">
        <v>10885</v>
      </c>
      <c r="AN3074" t="s">
        <v>10954</v>
      </c>
      <c r="AO3074" t="s">
        <v>11003</v>
      </c>
      <c r="AP3074" t="s">
        <v>11084</v>
      </c>
      <c r="AQ3074" t="s">
        <v>11147</v>
      </c>
      <c r="AR3074" t="s">
        <v>11257</v>
      </c>
      <c r="AS3074" t="s">
        <v>11594</v>
      </c>
      <c r="AT3074" t="s">
        <v>11642</v>
      </c>
      <c r="BA3074" t="s">
        <v>11739</v>
      </c>
      <c r="BB3074">
        <v>0</v>
      </c>
      <c r="BC3074">
        <v>0</v>
      </c>
      <c r="BD3074">
        <v>0</v>
      </c>
      <c r="BE3074">
        <v>0</v>
      </c>
      <c r="BF3074">
        <v>4</v>
      </c>
      <c r="BG3074">
        <v>0</v>
      </c>
    </row>
    <row r="3075" spans="1:59">
      <c r="A3075" s="1">
        <f>HYPERLINK("https://lsnyc.legalserver.org/matter/dynamic-profile/view/1907123","19-1907123")</f>
        <v>0</v>
      </c>
      <c r="B3075" t="s">
        <v>2589</v>
      </c>
      <c r="C3075" t="s">
        <v>7371</v>
      </c>
      <c r="D3075" t="s">
        <v>9926</v>
      </c>
      <c r="E3075" t="s">
        <v>10075</v>
      </c>
      <c r="F3075">
        <v>10452</v>
      </c>
      <c r="G3075" t="s">
        <v>10090</v>
      </c>
      <c r="H3075" t="s">
        <v>10150</v>
      </c>
      <c r="I3075" t="s">
        <v>10169</v>
      </c>
      <c r="J3075" t="s">
        <v>10210</v>
      </c>
      <c r="K3075" t="s">
        <v>10217</v>
      </c>
      <c r="M3075" t="s">
        <v>10540</v>
      </c>
      <c r="N3075" t="s">
        <v>10727</v>
      </c>
      <c r="P3075" t="s">
        <v>10753</v>
      </c>
      <c r="Q3075" t="s">
        <v>10809</v>
      </c>
      <c r="R3075" t="s">
        <v>10821</v>
      </c>
      <c r="T3075">
        <v>29676</v>
      </c>
      <c r="U3075">
        <v>2473</v>
      </c>
      <c r="V3075">
        <v>92</v>
      </c>
      <c r="W3075">
        <v>2</v>
      </c>
      <c r="X3075">
        <v>0</v>
      </c>
      <c r="Z3075">
        <v>175.49</v>
      </c>
      <c r="AA3075">
        <v>40.834507</v>
      </c>
      <c r="AB3075">
        <v>-73.921125</v>
      </c>
      <c r="AD3075" t="s">
        <v>10839</v>
      </c>
      <c r="AG3075" t="s">
        <v>10858</v>
      </c>
      <c r="AH3075" t="s">
        <v>10862</v>
      </c>
      <c r="AI3075">
        <v>230</v>
      </c>
      <c r="AJ3075" t="s">
        <v>10210</v>
      </c>
      <c r="AK3075" t="s">
        <v>10837</v>
      </c>
      <c r="AL3075">
        <v>0.5</v>
      </c>
      <c r="AM3075" t="s">
        <v>10884</v>
      </c>
      <c r="AN3075" t="s">
        <v>10924</v>
      </c>
      <c r="AO3075" t="s">
        <v>11013</v>
      </c>
      <c r="AP3075" t="s">
        <v>11055</v>
      </c>
      <c r="AQ3075" t="s">
        <v>11180</v>
      </c>
      <c r="AR3075" t="s">
        <v>11393</v>
      </c>
      <c r="AS3075" t="s">
        <v>9926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</row>
    <row r="3076" spans="1:59">
      <c r="A3076" s="1">
        <f>HYPERLINK("https://lsnyc.legalserver.org/matter/dynamic-profile/view/1907124","19-1907124")</f>
        <v>0</v>
      </c>
      <c r="B3076" t="s">
        <v>2590</v>
      </c>
      <c r="C3076" t="s">
        <v>7372</v>
      </c>
      <c r="D3076" t="s">
        <v>9926</v>
      </c>
      <c r="E3076" t="s">
        <v>10075</v>
      </c>
      <c r="F3076">
        <v>10466</v>
      </c>
      <c r="G3076" t="s">
        <v>10090</v>
      </c>
      <c r="H3076" t="s">
        <v>10127</v>
      </c>
      <c r="I3076" t="s">
        <v>10168</v>
      </c>
      <c r="J3076" t="s">
        <v>10210</v>
      </c>
      <c r="K3076" t="s">
        <v>10217</v>
      </c>
      <c r="M3076" t="s">
        <v>10287</v>
      </c>
      <c r="N3076" t="s">
        <v>10677</v>
      </c>
      <c r="P3076" t="s">
        <v>10751</v>
      </c>
      <c r="Q3076" t="s">
        <v>10761</v>
      </c>
      <c r="R3076" t="s">
        <v>10824</v>
      </c>
      <c r="T3076">
        <v>9252</v>
      </c>
      <c r="U3076">
        <v>771</v>
      </c>
      <c r="V3076">
        <v>63</v>
      </c>
      <c r="W3076">
        <v>1</v>
      </c>
      <c r="X3076">
        <v>0</v>
      </c>
      <c r="Z3076">
        <v>74.08</v>
      </c>
      <c r="AA3076">
        <v>40.893337</v>
      </c>
      <c r="AB3076">
        <v>-73.856708</v>
      </c>
      <c r="AD3076" t="s">
        <v>10840</v>
      </c>
      <c r="AF3076" t="s">
        <v>10843</v>
      </c>
      <c r="AG3076" t="s">
        <v>10859</v>
      </c>
      <c r="AH3076" t="s">
        <v>10862</v>
      </c>
      <c r="AI3076">
        <v>230</v>
      </c>
      <c r="AJ3076" t="s">
        <v>10210</v>
      </c>
      <c r="AL3076">
        <v>10</v>
      </c>
      <c r="AM3076" t="s">
        <v>10893</v>
      </c>
      <c r="AN3076" t="s">
        <v>10919</v>
      </c>
      <c r="AO3076" t="s">
        <v>11010</v>
      </c>
      <c r="AP3076" t="s">
        <v>11057</v>
      </c>
      <c r="AR3076" t="s">
        <v>11344</v>
      </c>
      <c r="AS3076" t="s">
        <v>9926</v>
      </c>
      <c r="BA3076" t="s">
        <v>11737</v>
      </c>
      <c r="BB3076">
        <v>0</v>
      </c>
      <c r="BC3076">
        <v>0</v>
      </c>
      <c r="BD3076">
        <v>0</v>
      </c>
      <c r="BE3076">
        <v>0</v>
      </c>
      <c r="BF3076">
        <v>3</v>
      </c>
      <c r="BG3076">
        <v>0</v>
      </c>
    </row>
    <row r="3077" spans="1:59">
      <c r="A3077" s="1">
        <f>HYPERLINK("https://lsnyc.legalserver.org/matter/dynamic-profile/view/1907125","19-1907125")</f>
        <v>0</v>
      </c>
      <c r="B3077" t="s">
        <v>2591</v>
      </c>
      <c r="C3077" t="s">
        <v>7373</v>
      </c>
      <c r="D3077" t="s">
        <v>9926</v>
      </c>
      <c r="E3077" t="s">
        <v>10075</v>
      </c>
      <c r="F3077">
        <v>10457</v>
      </c>
      <c r="G3077" t="s">
        <v>10090</v>
      </c>
      <c r="H3077" t="s">
        <v>10127</v>
      </c>
      <c r="I3077" t="s">
        <v>10168</v>
      </c>
      <c r="J3077" t="s">
        <v>10210</v>
      </c>
      <c r="K3077" t="s">
        <v>10217</v>
      </c>
      <c r="M3077" t="s">
        <v>10419</v>
      </c>
      <c r="N3077" t="s">
        <v>10651</v>
      </c>
      <c r="P3077" t="s">
        <v>10749</v>
      </c>
      <c r="Q3077" t="s">
        <v>10765</v>
      </c>
      <c r="R3077" t="s">
        <v>10823</v>
      </c>
      <c r="T3077">
        <v>13000</v>
      </c>
      <c r="U3077">
        <v>1083.33</v>
      </c>
      <c r="V3077">
        <v>20</v>
      </c>
      <c r="W3077">
        <v>1</v>
      </c>
      <c r="X3077">
        <v>0</v>
      </c>
      <c r="Z3077">
        <v>104.08</v>
      </c>
      <c r="AA3077">
        <v>40.851806</v>
      </c>
      <c r="AB3077">
        <v>-73.90358000000001</v>
      </c>
      <c r="AD3077" t="s">
        <v>10839</v>
      </c>
      <c r="AG3077" t="s">
        <v>10858</v>
      </c>
      <c r="AH3077" t="s">
        <v>10861</v>
      </c>
      <c r="AI3077">
        <v>230</v>
      </c>
      <c r="AJ3077" t="s">
        <v>10210</v>
      </c>
      <c r="AL3077">
        <v>8</v>
      </c>
      <c r="AM3077" t="s">
        <v>10884</v>
      </c>
      <c r="AN3077" t="s">
        <v>10931</v>
      </c>
      <c r="AO3077" t="s">
        <v>11000</v>
      </c>
      <c r="AP3077" t="s">
        <v>11056</v>
      </c>
      <c r="AR3077" t="s">
        <v>11257</v>
      </c>
      <c r="AS3077" t="s">
        <v>9926</v>
      </c>
      <c r="AT3077" t="s">
        <v>11641</v>
      </c>
      <c r="AX3077" t="s">
        <v>10838</v>
      </c>
      <c r="BA3077" t="s">
        <v>11738</v>
      </c>
      <c r="BB3077">
        <v>0</v>
      </c>
      <c r="BC3077">
        <v>0</v>
      </c>
      <c r="BD3077">
        <v>0</v>
      </c>
      <c r="BE3077">
        <v>0</v>
      </c>
      <c r="BF3077">
        <v>5</v>
      </c>
      <c r="BG3077">
        <v>0</v>
      </c>
    </row>
    <row r="3078" spans="1:59">
      <c r="A3078" s="1">
        <f>HYPERLINK("https://lsnyc.legalserver.org/matter/dynamic-profile/view/1907126","19-1907126")</f>
        <v>0</v>
      </c>
      <c r="B3078" t="s">
        <v>2592</v>
      </c>
      <c r="C3078" t="s">
        <v>7374</v>
      </c>
      <c r="D3078" t="s">
        <v>9926</v>
      </c>
      <c r="E3078" t="s">
        <v>10075</v>
      </c>
      <c r="F3078">
        <v>10455</v>
      </c>
      <c r="G3078" t="s">
        <v>10090</v>
      </c>
      <c r="H3078" t="s">
        <v>10127</v>
      </c>
      <c r="I3078" t="s">
        <v>10168</v>
      </c>
      <c r="J3078" t="s">
        <v>10210</v>
      </c>
      <c r="K3078" t="s">
        <v>10217</v>
      </c>
      <c r="M3078" t="s">
        <v>10548</v>
      </c>
      <c r="N3078" t="s">
        <v>10677</v>
      </c>
      <c r="P3078" t="s">
        <v>10757</v>
      </c>
      <c r="Q3078" t="s">
        <v>10808</v>
      </c>
      <c r="R3078" t="s">
        <v>10821</v>
      </c>
      <c r="T3078">
        <v>10980</v>
      </c>
      <c r="U3078">
        <v>915</v>
      </c>
      <c r="V3078">
        <v>77</v>
      </c>
      <c r="W3078">
        <v>1</v>
      </c>
      <c r="X3078">
        <v>0</v>
      </c>
      <c r="Z3078">
        <v>87.91</v>
      </c>
      <c r="AA3078">
        <v>40.813175</v>
      </c>
      <c r="AB3078">
        <v>-73.910191</v>
      </c>
      <c r="AD3078" t="s">
        <v>10839</v>
      </c>
      <c r="AG3078" t="s">
        <v>10858</v>
      </c>
      <c r="AH3078" t="s">
        <v>10874</v>
      </c>
      <c r="AI3078">
        <v>230</v>
      </c>
      <c r="AJ3078" t="s">
        <v>10210</v>
      </c>
      <c r="AL3078">
        <v>4</v>
      </c>
      <c r="AM3078" t="s">
        <v>10884</v>
      </c>
      <c r="AN3078" t="s">
        <v>10924</v>
      </c>
      <c r="AO3078" t="s">
        <v>11013</v>
      </c>
      <c r="AP3078" t="s">
        <v>11066</v>
      </c>
      <c r="AQ3078" t="s">
        <v>11174</v>
      </c>
      <c r="AR3078" t="s">
        <v>11316</v>
      </c>
      <c r="AS3078" t="s">
        <v>9926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</row>
    <row r="3079" spans="1:59">
      <c r="A3079" s="1">
        <f>HYPERLINK("https://lsnyc.legalserver.org/matter/dynamic-profile/view/1907127","19-1907127")</f>
        <v>0</v>
      </c>
      <c r="B3079" t="s">
        <v>2593</v>
      </c>
      <c r="C3079" t="s">
        <v>7375</v>
      </c>
      <c r="D3079" t="s">
        <v>9928</v>
      </c>
      <c r="E3079" t="s">
        <v>10075</v>
      </c>
      <c r="F3079">
        <v>11213</v>
      </c>
      <c r="G3079" t="s">
        <v>10093</v>
      </c>
      <c r="H3079" t="s">
        <v>10127</v>
      </c>
      <c r="I3079" t="s">
        <v>10168</v>
      </c>
      <c r="J3079" t="s">
        <v>10213</v>
      </c>
      <c r="K3079" t="s">
        <v>10217</v>
      </c>
      <c r="M3079" t="s">
        <v>10467</v>
      </c>
      <c r="N3079" t="s">
        <v>10664</v>
      </c>
      <c r="P3079" t="s">
        <v>10749</v>
      </c>
      <c r="Q3079" t="s">
        <v>10765</v>
      </c>
      <c r="R3079" t="s">
        <v>10824</v>
      </c>
      <c r="T3079">
        <v>3600</v>
      </c>
      <c r="U3079">
        <v>300</v>
      </c>
      <c r="V3079">
        <v>75</v>
      </c>
      <c r="W3079">
        <v>1</v>
      </c>
      <c r="X3079">
        <v>0</v>
      </c>
      <c r="Z3079">
        <v>28.82</v>
      </c>
      <c r="AA3079">
        <v>40.672756</v>
      </c>
      <c r="AB3079">
        <v>-73.943164</v>
      </c>
      <c r="AD3079" t="s">
        <v>10840</v>
      </c>
      <c r="AG3079" t="s">
        <v>10858</v>
      </c>
      <c r="AH3079" t="s">
        <v>10862</v>
      </c>
      <c r="AI3079">
        <v>239</v>
      </c>
      <c r="AJ3079" t="s">
        <v>10213</v>
      </c>
      <c r="AL3079">
        <v>5.6</v>
      </c>
      <c r="AM3079" t="s">
        <v>10888</v>
      </c>
      <c r="AN3079" t="s">
        <v>10912</v>
      </c>
      <c r="AO3079" t="s">
        <v>11007</v>
      </c>
      <c r="AP3079" t="s">
        <v>11052</v>
      </c>
      <c r="AR3079" t="s">
        <v>11274</v>
      </c>
      <c r="AS3079" t="s">
        <v>11595</v>
      </c>
      <c r="BA3079" t="s">
        <v>11740</v>
      </c>
      <c r="BB3079">
        <v>0</v>
      </c>
      <c r="BC3079">
        <v>0</v>
      </c>
      <c r="BD3079">
        <v>0</v>
      </c>
      <c r="BE3079">
        <v>0</v>
      </c>
      <c r="BF3079">
        <v>2</v>
      </c>
      <c r="BG3079">
        <v>0</v>
      </c>
    </row>
    <row r="3080" spans="1:59">
      <c r="A3080" s="1">
        <f>HYPERLINK("https://lsnyc.legalserver.org/matter/dynamic-profile/view/1907128","19-1907128")</f>
        <v>0</v>
      </c>
      <c r="B3080" t="s">
        <v>2591</v>
      </c>
      <c r="C3080" t="s">
        <v>7373</v>
      </c>
      <c r="D3080" t="s">
        <v>9926</v>
      </c>
      <c r="E3080" t="s">
        <v>10075</v>
      </c>
      <c r="F3080">
        <v>10457</v>
      </c>
      <c r="G3080" t="s">
        <v>10090</v>
      </c>
      <c r="H3080" t="s">
        <v>10127</v>
      </c>
      <c r="I3080" t="s">
        <v>10168</v>
      </c>
      <c r="J3080" t="s">
        <v>10210</v>
      </c>
      <c r="K3080" t="s">
        <v>10217</v>
      </c>
      <c r="M3080" t="s">
        <v>10283</v>
      </c>
      <c r="N3080" t="s">
        <v>10671</v>
      </c>
      <c r="P3080" t="s">
        <v>10751</v>
      </c>
      <c r="Q3080" t="s">
        <v>10761</v>
      </c>
      <c r="R3080" t="s">
        <v>10823</v>
      </c>
      <c r="T3080">
        <v>13000</v>
      </c>
      <c r="U3080">
        <v>1083.33</v>
      </c>
      <c r="V3080">
        <v>20</v>
      </c>
      <c r="W3080">
        <v>1</v>
      </c>
      <c r="X3080">
        <v>0</v>
      </c>
      <c r="Z3080">
        <v>104.08</v>
      </c>
      <c r="AA3080">
        <v>40.851806</v>
      </c>
      <c r="AB3080">
        <v>-73.90358000000001</v>
      </c>
      <c r="AD3080" t="s">
        <v>10839</v>
      </c>
      <c r="AG3080" t="s">
        <v>10858</v>
      </c>
      <c r="AH3080" t="s">
        <v>10861</v>
      </c>
      <c r="AI3080">
        <v>230</v>
      </c>
      <c r="AJ3080" t="s">
        <v>10210</v>
      </c>
      <c r="AL3080">
        <v>0.1</v>
      </c>
      <c r="AM3080" t="s">
        <v>10884</v>
      </c>
      <c r="AN3080" t="s">
        <v>10931</v>
      </c>
      <c r="AO3080" t="s">
        <v>11000</v>
      </c>
      <c r="AP3080" t="s">
        <v>11056</v>
      </c>
      <c r="AR3080" t="s">
        <v>11257</v>
      </c>
      <c r="AS3080" t="s">
        <v>9926</v>
      </c>
      <c r="AT3080" t="s">
        <v>11641</v>
      </c>
      <c r="AX3080" t="s">
        <v>10838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</row>
    <row r="3081" spans="1:59">
      <c r="A3081" s="1">
        <f>HYPERLINK("https://lsnyc.legalserver.org/matter/dynamic-profile/view/1907129","19-1907129")</f>
        <v>0</v>
      </c>
      <c r="B3081" t="s">
        <v>2594</v>
      </c>
      <c r="C3081" t="s">
        <v>7376</v>
      </c>
      <c r="D3081" t="s">
        <v>9926</v>
      </c>
      <c r="E3081" t="s">
        <v>10075</v>
      </c>
      <c r="F3081">
        <v>10462</v>
      </c>
      <c r="G3081" t="s">
        <v>10090</v>
      </c>
      <c r="H3081" t="s">
        <v>10127</v>
      </c>
      <c r="I3081" t="s">
        <v>10169</v>
      </c>
      <c r="J3081" t="s">
        <v>10210</v>
      </c>
      <c r="K3081" t="s">
        <v>10217</v>
      </c>
      <c r="M3081" t="s">
        <v>10419</v>
      </c>
      <c r="N3081" t="s">
        <v>10651</v>
      </c>
      <c r="P3081" t="s">
        <v>10749</v>
      </c>
      <c r="Q3081" t="s">
        <v>10765</v>
      </c>
      <c r="R3081" t="s">
        <v>10823</v>
      </c>
      <c r="T3081">
        <v>9600</v>
      </c>
      <c r="U3081">
        <v>800</v>
      </c>
      <c r="V3081">
        <v>72</v>
      </c>
      <c r="W3081">
        <v>1</v>
      </c>
      <c r="X3081">
        <v>0</v>
      </c>
      <c r="Z3081">
        <v>76.86</v>
      </c>
      <c r="AA3081">
        <v>40.834253</v>
      </c>
      <c r="AB3081">
        <v>-73.856471</v>
      </c>
      <c r="AD3081" t="s">
        <v>10839</v>
      </c>
      <c r="AG3081" t="s">
        <v>10858</v>
      </c>
      <c r="AH3081" t="s">
        <v>10861</v>
      </c>
      <c r="AI3081">
        <v>230</v>
      </c>
      <c r="AJ3081" t="s">
        <v>10210</v>
      </c>
      <c r="AL3081">
        <v>4</v>
      </c>
      <c r="AM3081" t="s">
        <v>10885</v>
      </c>
      <c r="AN3081" t="s">
        <v>10908</v>
      </c>
      <c r="AO3081" t="s">
        <v>11002</v>
      </c>
      <c r="AP3081" t="s">
        <v>11046</v>
      </c>
      <c r="AR3081" t="s">
        <v>11300</v>
      </c>
      <c r="AS3081" t="s">
        <v>9926</v>
      </c>
      <c r="AT3081" t="s">
        <v>11641</v>
      </c>
      <c r="AX3081" t="s">
        <v>10838</v>
      </c>
      <c r="BA3081" t="s">
        <v>11738</v>
      </c>
      <c r="BB3081">
        <v>0</v>
      </c>
      <c r="BC3081">
        <v>0</v>
      </c>
      <c r="BD3081">
        <v>0</v>
      </c>
      <c r="BE3081">
        <v>0</v>
      </c>
      <c r="BF3081">
        <v>5</v>
      </c>
      <c r="BG3081">
        <v>0</v>
      </c>
    </row>
    <row r="3082" spans="1:59">
      <c r="A3082" s="1">
        <f>HYPERLINK("https://lsnyc.legalserver.org/matter/dynamic-profile/view/1907130","19-1907130")</f>
        <v>0</v>
      </c>
      <c r="B3082" t="s">
        <v>2595</v>
      </c>
      <c r="C3082" t="s">
        <v>7377</v>
      </c>
      <c r="D3082" t="s">
        <v>9938</v>
      </c>
      <c r="E3082" t="s">
        <v>10075</v>
      </c>
      <c r="F3082">
        <v>11433</v>
      </c>
      <c r="G3082" t="s">
        <v>10093</v>
      </c>
      <c r="H3082" t="s">
        <v>10127</v>
      </c>
      <c r="I3082" t="s">
        <v>10168</v>
      </c>
      <c r="J3082" t="s">
        <v>10213</v>
      </c>
      <c r="K3082" t="s">
        <v>10218</v>
      </c>
      <c r="L3082" t="s">
        <v>10152</v>
      </c>
      <c r="M3082" t="s">
        <v>10437</v>
      </c>
      <c r="N3082" t="s">
        <v>10644</v>
      </c>
      <c r="P3082" t="s">
        <v>10756</v>
      </c>
      <c r="Q3082" t="s">
        <v>10792</v>
      </c>
      <c r="R3082" t="s">
        <v>10824</v>
      </c>
      <c r="T3082">
        <v>54312</v>
      </c>
      <c r="U3082">
        <v>4526</v>
      </c>
      <c r="V3082">
        <v>73</v>
      </c>
      <c r="W3082">
        <v>2</v>
      </c>
      <c r="X3082">
        <v>0</v>
      </c>
      <c r="Y3082" t="s">
        <v>10830</v>
      </c>
      <c r="Z3082">
        <v>321.18</v>
      </c>
      <c r="AA3082">
        <v>40.690959</v>
      </c>
      <c r="AB3082">
        <v>-73.792125</v>
      </c>
      <c r="AC3082" t="s">
        <v>10837</v>
      </c>
      <c r="AD3082" t="s">
        <v>10840</v>
      </c>
      <c r="AG3082" t="s">
        <v>10858</v>
      </c>
      <c r="AH3082" t="s">
        <v>10860</v>
      </c>
      <c r="AI3082">
        <v>239</v>
      </c>
      <c r="AJ3082" t="s">
        <v>10213</v>
      </c>
      <c r="AK3082" t="s">
        <v>10838</v>
      </c>
      <c r="AL3082">
        <v>0.75</v>
      </c>
      <c r="AM3082" t="s">
        <v>10892</v>
      </c>
      <c r="AN3082" t="s">
        <v>10951</v>
      </c>
      <c r="AO3082" t="s">
        <v>11017</v>
      </c>
      <c r="AP3082" t="s">
        <v>11070</v>
      </c>
      <c r="AR3082" t="s">
        <v>11493</v>
      </c>
      <c r="AS3082" t="s">
        <v>11594</v>
      </c>
      <c r="AY3082" t="s">
        <v>10830</v>
      </c>
      <c r="AZ3082" t="s">
        <v>11698</v>
      </c>
      <c r="BA3082" t="s">
        <v>11740</v>
      </c>
      <c r="BB3082">
        <v>0</v>
      </c>
      <c r="BC3082">
        <v>0</v>
      </c>
      <c r="BD3082">
        <v>0</v>
      </c>
      <c r="BE3082">
        <v>0</v>
      </c>
      <c r="BF3082">
        <v>2</v>
      </c>
      <c r="BG3082">
        <v>0</v>
      </c>
    </row>
    <row r="3083" spans="1:59">
      <c r="A3083" s="1">
        <f>HYPERLINK("https://lsnyc.legalserver.org/matter/dynamic-profile/view/1907131","19-1907131")</f>
        <v>0</v>
      </c>
      <c r="B3083" t="s">
        <v>2596</v>
      </c>
      <c r="C3083" t="s">
        <v>7378</v>
      </c>
      <c r="D3083" t="s">
        <v>9926</v>
      </c>
      <c r="E3083" t="s">
        <v>10075</v>
      </c>
      <c r="F3083">
        <v>10465</v>
      </c>
      <c r="G3083" t="s">
        <v>10090</v>
      </c>
      <c r="H3083" t="s">
        <v>10127</v>
      </c>
      <c r="I3083" t="s">
        <v>10168</v>
      </c>
      <c r="J3083" t="s">
        <v>10210</v>
      </c>
      <c r="K3083" t="s">
        <v>10217</v>
      </c>
      <c r="M3083" t="s">
        <v>10407</v>
      </c>
      <c r="N3083" t="s">
        <v>10688</v>
      </c>
      <c r="P3083" t="s">
        <v>10755</v>
      </c>
      <c r="Q3083" t="s">
        <v>10772</v>
      </c>
      <c r="R3083" t="s">
        <v>10821</v>
      </c>
      <c r="T3083">
        <v>24400</v>
      </c>
      <c r="U3083">
        <v>2033.33</v>
      </c>
      <c r="V3083">
        <v>8</v>
      </c>
      <c r="W3083">
        <v>1</v>
      </c>
      <c r="X3083">
        <v>2</v>
      </c>
      <c r="Z3083">
        <v>114.39</v>
      </c>
      <c r="AA3083">
        <v>40.829848</v>
      </c>
      <c r="AB3083">
        <v>-73.821563</v>
      </c>
      <c r="AD3083" t="s">
        <v>10840</v>
      </c>
      <c r="AG3083" t="s">
        <v>10858</v>
      </c>
      <c r="AH3083" t="s">
        <v>10877</v>
      </c>
      <c r="AI3083">
        <v>230</v>
      </c>
      <c r="AJ3083" t="s">
        <v>10210</v>
      </c>
      <c r="AL3083">
        <v>1.5</v>
      </c>
      <c r="AM3083" t="s">
        <v>10885</v>
      </c>
      <c r="AN3083" t="s">
        <v>10911</v>
      </c>
      <c r="AO3083" t="s">
        <v>11002</v>
      </c>
      <c r="AP3083" t="s">
        <v>11049</v>
      </c>
      <c r="AR3083" t="s">
        <v>11295</v>
      </c>
      <c r="AS3083" t="s">
        <v>9926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</row>
    <row r="3084" spans="1:59">
      <c r="A3084" s="1">
        <f>HYPERLINK("https://lsnyc.legalserver.org/matter/dynamic-profile/view/1907132","19-1907132")</f>
        <v>0</v>
      </c>
      <c r="B3084" t="s">
        <v>2597</v>
      </c>
      <c r="C3084" t="s">
        <v>7379</v>
      </c>
      <c r="D3084" t="s">
        <v>9928</v>
      </c>
      <c r="E3084" t="s">
        <v>10075</v>
      </c>
      <c r="F3084">
        <v>11224</v>
      </c>
      <c r="G3084" t="s">
        <v>10093</v>
      </c>
      <c r="H3084" t="s">
        <v>10127</v>
      </c>
      <c r="I3084" t="s">
        <v>10168</v>
      </c>
      <c r="J3084" t="s">
        <v>10213</v>
      </c>
      <c r="K3084" t="s">
        <v>10217</v>
      </c>
      <c r="M3084" t="s">
        <v>10280</v>
      </c>
      <c r="N3084" t="s">
        <v>10656</v>
      </c>
      <c r="P3084" t="s">
        <v>10751</v>
      </c>
      <c r="Q3084" t="s">
        <v>10768</v>
      </c>
      <c r="R3084" t="s">
        <v>10822</v>
      </c>
      <c r="T3084">
        <v>0</v>
      </c>
      <c r="U3084">
        <v>0</v>
      </c>
      <c r="V3084">
        <v>42</v>
      </c>
      <c r="W3084">
        <v>1</v>
      </c>
      <c r="X3084">
        <v>0</v>
      </c>
      <c r="Z3084">
        <v>0</v>
      </c>
      <c r="AA3084">
        <v>40.574855</v>
      </c>
      <c r="AB3084">
        <v>-73.99026000000001</v>
      </c>
      <c r="AD3084" t="s">
        <v>10840</v>
      </c>
      <c r="AG3084" t="s">
        <v>10858</v>
      </c>
      <c r="AH3084" t="s">
        <v>10861</v>
      </c>
      <c r="AI3084">
        <v>234</v>
      </c>
      <c r="AJ3084" t="s">
        <v>10214</v>
      </c>
      <c r="AL3084">
        <v>3.5</v>
      </c>
      <c r="AM3084" t="s">
        <v>10889</v>
      </c>
      <c r="AN3084" t="s">
        <v>10960</v>
      </c>
      <c r="AO3084" t="s">
        <v>11006</v>
      </c>
      <c r="AP3084" t="s">
        <v>11087</v>
      </c>
      <c r="AR3084" t="s">
        <v>11279</v>
      </c>
      <c r="AS3084" t="s">
        <v>11595</v>
      </c>
      <c r="AT3084" t="s">
        <v>11642</v>
      </c>
      <c r="AX3084" t="s">
        <v>10838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</row>
    <row r="3085" spans="1:59">
      <c r="A3085" s="1">
        <f>HYPERLINK("https://lsnyc.legalserver.org/matter/dynamic-profile/view/1907133","19-1907133")</f>
        <v>0</v>
      </c>
      <c r="B3085" t="s">
        <v>2598</v>
      </c>
      <c r="C3085" t="s">
        <v>7380</v>
      </c>
      <c r="D3085" t="s">
        <v>9948</v>
      </c>
      <c r="E3085" t="s">
        <v>10075</v>
      </c>
      <c r="F3085">
        <v>11691</v>
      </c>
      <c r="G3085" t="s">
        <v>10092</v>
      </c>
      <c r="H3085" t="s">
        <v>10127</v>
      </c>
      <c r="I3085" t="s">
        <v>10168</v>
      </c>
      <c r="J3085" t="s">
        <v>10212</v>
      </c>
      <c r="K3085" t="s">
        <v>10217</v>
      </c>
      <c r="M3085" t="s">
        <v>10258</v>
      </c>
      <c r="N3085" t="s">
        <v>10671</v>
      </c>
      <c r="P3085" t="s">
        <v>10749</v>
      </c>
      <c r="Q3085" t="s">
        <v>10765</v>
      </c>
      <c r="R3085" t="s">
        <v>10824</v>
      </c>
      <c r="T3085">
        <v>20904</v>
      </c>
      <c r="U3085">
        <v>1742</v>
      </c>
      <c r="V3085">
        <v>54</v>
      </c>
      <c r="W3085">
        <v>5</v>
      </c>
      <c r="X3085">
        <v>2</v>
      </c>
      <c r="Z3085">
        <v>53.59</v>
      </c>
      <c r="AA3085">
        <v>40.60886</v>
      </c>
      <c r="AB3085">
        <v>-73.753417</v>
      </c>
      <c r="AD3085" t="s">
        <v>10839</v>
      </c>
      <c r="AG3085" t="s">
        <v>10858</v>
      </c>
      <c r="AH3085" t="s">
        <v>10861</v>
      </c>
      <c r="AI3085">
        <v>234</v>
      </c>
      <c r="AJ3085" t="s">
        <v>10214</v>
      </c>
      <c r="AL3085">
        <v>1.25</v>
      </c>
      <c r="AM3085" t="s">
        <v>10892</v>
      </c>
      <c r="AN3085" t="s">
        <v>10930</v>
      </c>
      <c r="AO3085" t="s">
        <v>11017</v>
      </c>
      <c r="AP3085" t="s">
        <v>11082</v>
      </c>
      <c r="AR3085" t="s">
        <v>11338</v>
      </c>
      <c r="AS3085" t="s">
        <v>11594</v>
      </c>
      <c r="AT3085" t="s">
        <v>11641</v>
      </c>
      <c r="AX3085" t="s">
        <v>10837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</row>
    <row r="3086" spans="1:59">
      <c r="A3086" s="1">
        <f>HYPERLINK("https://lsnyc.legalserver.org/matter/dynamic-profile/view/1907134","19-1907134")</f>
        <v>0</v>
      </c>
      <c r="B3086" t="s">
        <v>2594</v>
      </c>
      <c r="C3086" t="s">
        <v>7376</v>
      </c>
      <c r="D3086" t="s">
        <v>9926</v>
      </c>
      <c r="E3086" t="s">
        <v>10075</v>
      </c>
      <c r="F3086">
        <v>10462</v>
      </c>
      <c r="G3086" t="s">
        <v>10090</v>
      </c>
      <c r="H3086" t="s">
        <v>10127</v>
      </c>
      <c r="I3086" t="s">
        <v>10169</v>
      </c>
      <c r="J3086" t="s">
        <v>10210</v>
      </c>
      <c r="K3086" t="s">
        <v>10217</v>
      </c>
      <c r="M3086" t="s">
        <v>10283</v>
      </c>
      <c r="N3086" t="s">
        <v>10677</v>
      </c>
      <c r="P3086" t="s">
        <v>10751</v>
      </c>
      <c r="Q3086" t="s">
        <v>10761</v>
      </c>
      <c r="R3086" t="s">
        <v>10823</v>
      </c>
      <c r="T3086">
        <v>9600</v>
      </c>
      <c r="U3086">
        <v>800</v>
      </c>
      <c r="V3086">
        <v>72</v>
      </c>
      <c r="W3086">
        <v>1</v>
      </c>
      <c r="X3086">
        <v>0</v>
      </c>
      <c r="Z3086">
        <v>76.86</v>
      </c>
      <c r="AA3086">
        <v>40.834253</v>
      </c>
      <c r="AB3086">
        <v>-73.856471</v>
      </c>
      <c r="AD3086" t="s">
        <v>10839</v>
      </c>
      <c r="AG3086" t="s">
        <v>10858</v>
      </c>
      <c r="AH3086" t="s">
        <v>10861</v>
      </c>
      <c r="AI3086">
        <v>230</v>
      </c>
      <c r="AJ3086" t="s">
        <v>10210</v>
      </c>
      <c r="AL3086">
        <v>0</v>
      </c>
      <c r="AM3086" t="s">
        <v>10885</v>
      </c>
      <c r="AN3086" t="s">
        <v>10908</v>
      </c>
      <c r="AO3086" t="s">
        <v>11002</v>
      </c>
      <c r="AP3086" t="s">
        <v>11046</v>
      </c>
      <c r="AR3086" t="s">
        <v>11300</v>
      </c>
      <c r="AS3086" t="s">
        <v>9926</v>
      </c>
      <c r="AT3086" t="s">
        <v>11641</v>
      </c>
      <c r="AX3086" t="s">
        <v>10838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</row>
    <row r="3087" spans="1:59">
      <c r="A3087" s="1">
        <f>HYPERLINK("https://lsnyc.legalserver.org/matter/dynamic-profile/view/1907135","19-1907135")</f>
        <v>0</v>
      </c>
      <c r="B3087" t="s">
        <v>2599</v>
      </c>
      <c r="C3087" t="s">
        <v>7381</v>
      </c>
      <c r="D3087" t="s">
        <v>9928</v>
      </c>
      <c r="E3087" t="s">
        <v>10075</v>
      </c>
      <c r="F3087">
        <v>11239</v>
      </c>
      <c r="G3087" t="s">
        <v>10093</v>
      </c>
      <c r="H3087" t="s">
        <v>10127</v>
      </c>
      <c r="I3087" t="s">
        <v>10168</v>
      </c>
      <c r="J3087" t="s">
        <v>10213</v>
      </c>
      <c r="K3087" t="s">
        <v>10217</v>
      </c>
      <c r="M3087" t="s">
        <v>10437</v>
      </c>
      <c r="N3087" t="s">
        <v>10656</v>
      </c>
      <c r="P3087" t="s">
        <v>10751</v>
      </c>
      <c r="Q3087" t="s">
        <v>10780</v>
      </c>
      <c r="R3087" t="s">
        <v>10824</v>
      </c>
      <c r="T3087">
        <v>0</v>
      </c>
      <c r="U3087">
        <v>0</v>
      </c>
      <c r="V3087">
        <v>42</v>
      </c>
      <c r="W3087">
        <v>2</v>
      </c>
      <c r="X3087">
        <v>2</v>
      </c>
      <c r="Z3087">
        <v>0</v>
      </c>
      <c r="AA3087">
        <v>40.644904</v>
      </c>
      <c r="AB3087">
        <v>-73.88155399999999</v>
      </c>
      <c r="AD3087" t="s">
        <v>10840</v>
      </c>
      <c r="AG3087" t="s">
        <v>10858</v>
      </c>
      <c r="AH3087" t="s">
        <v>10861</v>
      </c>
      <c r="AI3087">
        <v>234</v>
      </c>
      <c r="AJ3087" t="s">
        <v>10214</v>
      </c>
      <c r="AL3087">
        <v>3.25</v>
      </c>
      <c r="AM3087" t="s">
        <v>10889</v>
      </c>
      <c r="AN3087" t="s">
        <v>10946</v>
      </c>
      <c r="AO3087" t="s">
        <v>11012</v>
      </c>
      <c r="AP3087" t="s">
        <v>11060</v>
      </c>
      <c r="AR3087" t="s">
        <v>11279</v>
      </c>
      <c r="AS3087" t="s">
        <v>11595</v>
      </c>
      <c r="AT3087" t="s">
        <v>11642</v>
      </c>
      <c r="AX3087" t="s">
        <v>10838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</row>
    <row r="3088" spans="1:59">
      <c r="A3088" s="1">
        <f>HYPERLINK("https://lsnyc.legalserver.org/matter/dynamic-profile/view/1907136","19-1907136")</f>
        <v>0</v>
      </c>
      <c r="B3088" t="s">
        <v>2600</v>
      </c>
      <c r="C3088" t="s">
        <v>7382</v>
      </c>
      <c r="D3088" t="s">
        <v>9926</v>
      </c>
      <c r="E3088" t="s">
        <v>10075</v>
      </c>
      <c r="F3088">
        <v>10452</v>
      </c>
      <c r="G3088" t="s">
        <v>10090</v>
      </c>
      <c r="H3088" t="s">
        <v>10127</v>
      </c>
      <c r="I3088" t="s">
        <v>10168</v>
      </c>
      <c r="J3088" t="s">
        <v>10210</v>
      </c>
      <c r="K3088" t="s">
        <v>10217</v>
      </c>
      <c r="M3088" t="s">
        <v>10596</v>
      </c>
      <c r="N3088" t="s">
        <v>10688</v>
      </c>
      <c r="P3088" t="s">
        <v>10751</v>
      </c>
      <c r="Q3088" t="s">
        <v>10761</v>
      </c>
      <c r="R3088" t="s">
        <v>10821</v>
      </c>
      <c r="S3088" t="s">
        <v>10821</v>
      </c>
      <c r="T3088">
        <v>19500</v>
      </c>
      <c r="U3088">
        <v>1625</v>
      </c>
      <c r="V3088">
        <v>35</v>
      </c>
      <c r="W3088">
        <v>1</v>
      </c>
      <c r="X3088">
        <v>3</v>
      </c>
      <c r="Z3088">
        <v>75.73</v>
      </c>
      <c r="AA3088">
        <v>40.838447</v>
      </c>
      <c r="AB3088">
        <v>-73.91646299999999</v>
      </c>
      <c r="AD3088" t="s">
        <v>10839</v>
      </c>
      <c r="AG3088" t="s">
        <v>10858</v>
      </c>
      <c r="AH3088" t="s">
        <v>10874</v>
      </c>
      <c r="AI3088">
        <v>234</v>
      </c>
      <c r="AJ3088" t="s">
        <v>10214</v>
      </c>
      <c r="AL3088">
        <v>14.95</v>
      </c>
      <c r="AM3088" t="s">
        <v>10884</v>
      </c>
      <c r="AN3088" t="s">
        <v>10924</v>
      </c>
      <c r="AO3088" t="s">
        <v>11013</v>
      </c>
      <c r="AP3088" t="s">
        <v>11055</v>
      </c>
      <c r="AR3088" t="s">
        <v>11262</v>
      </c>
      <c r="AS3088" t="s">
        <v>9926</v>
      </c>
      <c r="AT3088" t="s">
        <v>11641</v>
      </c>
      <c r="AX3088" t="s">
        <v>10838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</row>
    <row r="3089" spans="1:59">
      <c r="A3089" s="1">
        <f>HYPERLINK("https://lsnyc.legalserver.org/matter/dynamic-profile/view/1907137","19-1907137")</f>
        <v>0</v>
      </c>
      <c r="B3089" t="s">
        <v>2561</v>
      </c>
      <c r="C3089" t="s">
        <v>7383</v>
      </c>
      <c r="D3089" t="s">
        <v>9926</v>
      </c>
      <c r="E3089" t="s">
        <v>10075</v>
      </c>
      <c r="F3089">
        <v>10460</v>
      </c>
      <c r="G3089" t="s">
        <v>10091</v>
      </c>
      <c r="H3089" t="s">
        <v>10127</v>
      </c>
      <c r="I3089" t="s">
        <v>10168</v>
      </c>
      <c r="J3089" t="s">
        <v>10214</v>
      </c>
      <c r="K3089" t="s">
        <v>10217</v>
      </c>
      <c r="M3089" t="s">
        <v>10286</v>
      </c>
      <c r="N3089" t="s">
        <v>10671</v>
      </c>
      <c r="P3089" t="s">
        <v>10751</v>
      </c>
      <c r="Q3089" t="s">
        <v>10780</v>
      </c>
      <c r="R3089" t="s">
        <v>10821</v>
      </c>
      <c r="T3089">
        <v>0</v>
      </c>
      <c r="U3089">
        <v>0</v>
      </c>
      <c r="V3089">
        <v>52</v>
      </c>
      <c r="W3089">
        <v>1</v>
      </c>
      <c r="X3089">
        <v>0</v>
      </c>
      <c r="Z3089">
        <v>0</v>
      </c>
      <c r="AA3089">
        <v>40.846276</v>
      </c>
      <c r="AB3089">
        <v>-73.885425</v>
      </c>
      <c r="AD3089" t="s">
        <v>10840</v>
      </c>
      <c r="AG3089" t="s">
        <v>10858</v>
      </c>
      <c r="AH3089" t="s">
        <v>10861</v>
      </c>
      <c r="AI3089">
        <v>234</v>
      </c>
      <c r="AJ3089" t="s">
        <v>10214</v>
      </c>
      <c r="AL3089">
        <v>1</v>
      </c>
      <c r="AM3089" t="s">
        <v>10884</v>
      </c>
      <c r="AN3089" t="s">
        <v>10918</v>
      </c>
      <c r="AO3089" t="s">
        <v>11000</v>
      </c>
      <c r="AP3089" t="s">
        <v>11056</v>
      </c>
      <c r="AR3089" t="s">
        <v>11267</v>
      </c>
      <c r="AS3089" t="s">
        <v>9926</v>
      </c>
      <c r="AT3089" t="s">
        <v>11642</v>
      </c>
      <c r="AX3089" t="s">
        <v>10838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</row>
    <row r="3090" spans="1:59">
      <c r="A3090" s="1">
        <f>HYPERLINK("https://lsnyc.legalserver.org/matter/dynamic-profile/view/1907138","19-1907138")</f>
        <v>0</v>
      </c>
      <c r="B3090" t="s">
        <v>2601</v>
      </c>
      <c r="C3090" t="s">
        <v>7384</v>
      </c>
      <c r="D3090" t="s">
        <v>9938</v>
      </c>
      <c r="E3090" t="s">
        <v>10075</v>
      </c>
      <c r="F3090">
        <v>11435</v>
      </c>
      <c r="G3090" t="s">
        <v>10092</v>
      </c>
      <c r="H3090" t="s">
        <v>10127</v>
      </c>
      <c r="I3090" t="s">
        <v>10168</v>
      </c>
      <c r="J3090" t="s">
        <v>10212</v>
      </c>
      <c r="K3090" t="s">
        <v>10218</v>
      </c>
      <c r="L3090" t="s">
        <v>10161</v>
      </c>
      <c r="M3090" t="s">
        <v>10343</v>
      </c>
      <c r="N3090" t="s">
        <v>10695</v>
      </c>
      <c r="P3090" t="s">
        <v>10749</v>
      </c>
      <c r="Q3090" t="s">
        <v>10765</v>
      </c>
      <c r="R3090" t="s">
        <v>10824</v>
      </c>
      <c r="T3090">
        <v>78000</v>
      </c>
      <c r="U3090">
        <v>6500</v>
      </c>
      <c r="V3090">
        <v>58</v>
      </c>
      <c r="W3090">
        <v>4</v>
      </c>
      <c r="X3090">
        <v>4</v>
      </c>
      <c r="Y3090" t="s">
        <v>10829</v>
      </c>
      <c r="Z3090">
        <v>179.6</v>
      </c>
      <c r="AA3090">
        <v>40.692644</v>
      </c>
      <c r="AB3090">
        <v>-73.806583</v>
      </c>
      <c r="AD3090" t="s">
        <v>10839</v>
      </c>
      <c r="AG3090" t="s">
        <v>10858</v>
      </c>
      <c r="AH3090" t="s">
        <v>10862</v>
      </c>
      <c r="AI3090">
        <v>237</v>
      </c>
      <c r="AJ3090" t="s">
        <v>10212</v>
      </c>
      <c r="AK3090" t="s">
        <v>10838</v>
      </c>
      <c r="AL3090">
        <v>1.6</v>
      </c>
      <c r="AM3090" t="s">
        <v>10892</v>
      </c>
      <c r="AN3090" t="s">
        <v>10951</v>
      </c>
      <c r="AO3090" t="s">
        <v>11017</v>
      </c>
      <c r="AP3090" t="s">
        <v>11070</v>
      </c>
      <c r="AR3090" t="s">
        <v>11257</v>
      </c>
      <c r="AS3090" t="s">
        <v>11594</v>
      </c>
      <c r="AT3090" t="s">
        <v>11641</v>
      </c>
      <c r="AY3090" t="s">
        <v>10829</v>
      </c>
      <c r="AZ3090" t="s">
        <v>11681</v>
      </c>
      <c r="BA3090" t="s">
        <v>11741</v>
      </c>
      <c r="BB3090">
        <v>0</v>
      </c>
      <c r="BC3090">
        <v>0</v>
      </c>
      <c r="BD3090">
        <v>0</v>
      </c>
      <c r="BE3090">
        <v>0</v>
      </c>
      <c r="BF3090">
        <v>1</v>
      </c>
      <c r="BG3090">
        <v>0</v>
      </c>
    </row>
    <row r="3091" spans="1:59">
      <c r="A3091" s="1">
        <f>HYPERLINK("https://lsnyc.legalserver.org/matter/dynamic-profile/view/1907139","19-1907139")</f>
        <v>0</v>
      </c>
      <c r="B3091" t="s">
        <v>2602</v>
      </c>
      <c r="C3091" t="s">
        <v>7385</v>
      </c>
      <c r="D3091" t="s">
        <v>9928</v>
      </c>
      <c r="E3091" t="s">
        <v>10075</v>
      </c>
      <c r="F3091">
        <v>11212</v>
      </c>
      <c r="G3091" t="s">
        <v>10093</v>
      </c>
      <c r="H3091" t="s">
        <v>10127</v>
      </c>
      <c r="I3091" t="s">
        <v>10168</v>
      </c>
      <c r="J3091" t="s">
        <v>10213</v>
      </c>
      <c r="K3091" t="s">
        <v>10217</v>
      </c>
      <c r="M3091" t="s">
        <v>10289</v>
      </c>
      <c r="N3091" t="s">
        <v>10671</v>
      </c>
      <c r="P3091" t="s">
        <v>10751</v>
      </c>
      <c r="Q3091" t="s">
        <v>10761</v>
      </c>
      <c r="R3091" t="s">
        <v>10824</v>
      </c>
      <c r="T3091">
        <v>10056</v>
      </c>
      <c r="U3091">
        <v>838</v>
      </c>
      <c r="V3091">
        <v>39</v>
      </c>
      <c r="W3091">
        <v>1</v>
      </c>
      <c r="X3091">
        <v>1</v>
      </c>
      <c r="Z3091">
        <v>59.47</v>
      </c>
      <c r="AA3091">
        <v>40.658036</v>
      </c>
      <c r="AB3091">
        <v>-73.90494099999999</v>
      </c>
      <c r="AD3091" t="s">
        <v>10839</v>
      </c>
      <c r="AG3091" t="s">
        <v>10858</v>
      </c>
      <c r="AH3091" t="s">
        <v>10861</v>
      </c>
      <c r="AI3091">
        <v>234</v>
      </c>
      <c r="AJ3091" t="s">
        <v>10214</v>
      </c>
      <c r="AL3091">
        <v>5.2</v>
      </c>
      <c r="AM3091" t="s">
        <v>10889</v>
      </c>
      <c r="AN3091" t="s">
        <v>10946</v>
      </c>
      <c r="AO3091" t="s">
        <v>11012</v>
      </c>
      <c r="AP3091" t="s">
        <v>11060</v>
      </c>
      <c r="AR3091" t="s">
        <v>11338</v>
      </c>
      <c r="AS3091" t="s">
        <v>11595</v>
      </c>
      <c r="AT3091" t="s">
        <v>11641</v>
      </c>
      <c r="AX3091" t="s">
        <v>10838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</row>
    <row r="3092" spans="1:59">
      <c r="A3092" s="1">
        <f>HYPERLINK("https://lsnyc.legalserver.org/matter/dynamic-profile/view/1907140","19-1907140")</f>
        <v>0</v>
      </c>
      <c r="B3092" t="s">
        <v>2603</v>
      </c>
      <c r="C3092" t="s">
        <v>7386</v>
      </c>
      <c r="D3092" t="s">
        <v>9928</v>
      </c>
      <c r="E3092" t="s">
        <v>10075</v>
      </c>
      <c r="F3092">
        <v>11238</v>
      </c>
      <c r="G3092" t="s">
        <v>10093</v>
      </c>
      <c r="H3092" t="s">
        <v>10127</v>
      </c>
      <c r="I3092" t="s">
        <v>10168</v>
      </c>
      <c r="J3092" t="s">
        <v>10213</v>
      </c>
      <c r="K3092" t="s">
        <v>10217</v>
      </c>
      <c r="M3092" t="s">
        <v>10358</v>
      </c>
      <c r="N3092" t="s">
        <v>10646</v>
      </c>
      <c r="P3092" t="s">
        <v>10752</v>
      </c>
      <c r="Q3092" t="s">
        <v>10783</v>
      </c>
      <c r="R3092" t="s">
        <v>10824</v>
      </c>
      <c r="T3092">
        <v>40000</v>
      </c>
      <c r="U3092">
        <v>3333.33</v>
      </c>
      <c r="V3092">
        <v>67</v>
      </c>
      <c r="W3092">
        <v>1</v>
      </c>
      <c r="X3092">
        <v>0</v>
      </c>
      <c r="Z3092">
        <v>320.26</v>
      </c>
      <c r="AA3092">
        <v>40.676716</v>
      </c>
      <c r="AB3092">
        <v>-73.970066</v>
      </c>
      <c r="AD3092" t="s">
        <v>10839</v>
      </c>
      <c r="AG3092" t="s">
        <v>10858</v>
      </c>
      <c r="AH3092" t="s">
        <v>10861</v>
      </c>
      <c r="AI3092">
        <v>234</v>
      </c>
      <c r="AJ3092" t="s">
        <v>10214</v>
      </c>
      <c r="AL3092">
        <v>1.35</v>
      </c>
      <c r="AM3092" t="s">
        <v>10888</v>
      </c>
      <c r="AN3092" t="s">
        <v>10917</v>
      </c>
      <c r="AO3092" t="s">
        <v>11005</v>
      </c>
      <c r="AP3092" t="s">
        <v>11061</v>
      </c>
      <c r="AQ3092" t="s">
        <v>11184</v>
      </c>
      <c r="AR3092" t="s">
        <v>11257</v>
      </c>
      <c r="AS3092" t="s">
        <v>11595</v>
      </c>
      <c r="AT3092" t="s">
        <v>11641</v>
      </c>
      <c r="AX3092" t="s">
        <v>10838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</row>
    <row r="3093" spans="1:59">
      <c r="A3093" s="1">
        <f>HYPERLINK("https://lsnyc.legalserver.org/matter/dynamic-profile/view/1907141","19-1907141")</f>
        <v>0</v>
      </c>
      <c r="B3093" t="s">
        <v>2604</v>
      </c>
      <c r="C3093" t="s">
        <v>7387</v>
      </c>
      <c r="D3093" t="s">
        <v>9926</v>
      </c>
      <c r="E3093" t="s">
        <v>10075</v>
      </c>
      <c r="F3093">
        <v>10454</v>
      </c>
      <c r="G3093" t="s">
        <v>10090</v>
      </c>
      <c r="H3093" t="s">
        <v>10127</v>
      </c>
      <c r="J3093" t="s">
        <v>10210</v>
      </c>
      <c r="K3093" t="s">
        <v>10217</v>
      </c>
      <c r="M3093" t="s">
        <v>10412</v>
      </c>
      <c r="N3093" t="s">
        <v>10679</v>
      </c>
      <c r="P3093" t="s">
        <v>10753</v>
      </c>
      <c r="Q3093" t="s">
        <v>10763</v>
      </c>
      <c r="R3093" t="s">
        <v>10823</v>
      </c>
      <c r="T3093">
        <v>0</v>
      </c>
      <c r="U3093">
        <v>0</v>
      </c>
      <c r="V3093">
        <v>16</v>
      </c>
      <c r="W3093">
        <v>3</v>
      </c>
      <c r="X3093">
        <v>2</v>
      </c>
      <c r="Z3093">
        <v>0</v>
      </c>
      <c r="AA3093">
        <v>40.806395</v>
      </c>
      <c r="AB3093">
        <v>-73.918048</v>
      </c>
      <c r="AD3093" t="s">
        <v>10839</v>
      </c>
      <c r="AF3093" t="s">
        <v>10842</v>
      </c>
      <c r="AG3093" t="s">
        <v>10859</v>
      </c>
      <c r="AH3093" t="s">
        <v>10865</v>
      </c>
      <c r="AI3093">
        <v>230</v>
      </c>
      <c r="AJ3093" t="s">
        <v>10210</v>
      </c>
      <c r="AL3093">
        <v>2</v>
      </c>
      <c r="AM3093" t="s">
        <v>10884</v>
      </c>
      <c r="AN3093" t="s">
        <v>10924</v>
      </c>
      <c r="AO3093" t="s">
        <v>11013</v>
      </c>
      <c r="AP3093" t="s">
        <v>11066</v>
      </c>
      <c r="AQ3093" t="s">
        <v>11109</v>
      </c>
      <c r="AR3093" t="s">
        <v>11267</v>
      </c>
      <c r="AS3093" t="s">
        <v>9926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</row>
    <row r="3094" spans="1:59">
      <c r="A3094" s="1">
        <f>HYPERLINK("https://lsnyc.legalserver.org/matter/dynamic-profile/view/1907143","19-1907143")</f>
        <v>0</v>
      </c>
      <c r="B3094" t="s">
        <v>2605</v>
      </c>
      <c r="C3094" t="s">
        <v>7388</v>
      </c>
      <c r="D3094" t="s">
        <v>9928</v>
      </c>
      <c r="E3094" t="s">
        <v>10075</v>
      </c>
      <c r="F3094">
        <v>11239</v>
      </c>
      <c r="G3094" t="s">
        <v>10093</v>
      </c>
      <c r="H3094" t="s">
        <v>10127</v>
      </c>
      <c r="I3094" t="s">
        <v>10168</v>
      </c>
      <c r="J3094" t="s">
        <v>10213</v>
      </c>
      <c r="K3094" t="s">
        <v>10218</v>
      </c>
      <c r="L3094" t="s">
        <v>10160</v>
      </c>
      <c r="M3094" t="s">
        <v>10289</v>
      </c>
      <c r="N3094" t="s">
        <v>10671</v>
      </c>
      <c r="P3094" t="s">
        <v>10751</v>
      </c>
      <c r="Q3094" t="s">
        <v>10786</v>
      </c>
      <c r="R3094" t="s">
        <v>10822</v>
      </c>
      <c r="T3094">
        <v>27300</v>
      </c>
      <c r="U3094">
        <v>2275</v>
      </c>
      <c r="V3094">
        <v>47</v>
      </c>
      <c r="W3094">
        <v>3</v>
      </c>
      <c r="X3094">
        <v>0</v>
      </c>
      <c r="Y3094" t="s">
        <v>10829</v>
      </c>
      <c r="Z3094">
        <v>127.99</v>
      </c>
      <c r="AA3094">
        <v>40.652586</v>
      </c>
      <c r="AB3094">
        <v>-73.883887</v>
      </c>
      <c r="AD3094" t="s">
        <v>10839</v>
      </c>
      <c r="AG3094" t="s">
        <v>10858</v>
      </c>
      <c r="AH3094" t="s">
        <v>10861</v>
      </c>
      <c r="AI3094">
        <v>234</v>
      </c>
      <c r="AJ3094" t="s">
        <v>10214</v>
      </c>
      <c r="AK3094" t="s">
        <v>10838</v>
      </c>
      <c r="AL3094">
        <v>4.5</v>
      </c>
      <c r="AM3094" t="s">
        <v>10889</v>
      </c>
      <c r="AN3094" t="s">
        <v>10946</v>
      </c>
      <c r="AO3094" t="s">
        <v>11012</v>
      </c>
      <c r="AP3094" t="s">
        <v>11060</v>
      </c>
      <c r="AR3094" t="s">
        <v>11443</v>
      </c>
      <c r="AS3094" t="s">
        <v>11595</v>
      </c>
      <c r="AT3094" t="s">
        <v>11641</v>
      </c>
      <c r="AX3094" t="s">
        <v>11678</v>
      </c>
      <c r="AY3094" t="s">
        <v>10829</v>
      </c>
      <c r="AZ3094" t="s">
        <v>11682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</row>
    <row r="3095" spans="1:59">
      <c r="A3095" s="1">
        <f>HYPERLINK("https://lsnyc.legalserver.org/matter/dynamic-profile/view/1907144","19-1907144")</f>
        <v>0</v>
      </c>
      <c r="B3095" t="s">
        <v>2606</v>
      </c>
      <c r="C3095" t="s">
        <v>7389</v>
      </c>
      <c r="D3095" t="s">
        <v>9939</v>
      </c>
      <c r="E3095" t="s">
        <v>10075</v>
      </c>
      <c r="F3095">
        <v>11419</v>
      </c>
      <c r="G3095" t="s">
        <v>10092</v>
      </c>
      <c r="H3095" t="s">
        <v>10127</v>
      </c>
      <c r="I3095" t="s">
        <v>10168</v>
      </c>
      <c r="J3095" t="s">
        <v>10212</v>
      </c>
      <c r="K3095" t="s">
        <v>10217</v>
      </c>
      <c r="M3095" t="s">
        <v>10318</v>
      </c>
      <c r="N3095" t="s">
        <v>10684</v>
      </c>
      <c r="P3095" t="s">
        <v>10751</v>
      </c>
      <c r="Q3095" t="s">
        <v>10786</v>
      </c>
      <c r="R3095" t="s">
        <v>10827</v>
      </c>
      <c r="T3095">
        <v>0</v>
      </c>
      <c r="U3095">
        <v>0</v>
      </c>
      <c r="V3095">
        <v>74</v>
      </c>
      <c r="W3095">
        <v>1</v>
      </c>
      <c r="X3095">
        <v>0</v>
      </c>
      <c r="Z3095">
        <v>0</v>
      </c>
      <c r="AA3095">
        <v>40.687747</v>
      </c>
      <c r="AB3095">
        <v>-73.823359</v>
      </c>
      <c r="AD3095" t="s">
        <v>10839</v>
      </c>
      <c r="AF3095" t="s">
        <v>10843</v>
      </c>
      <c r="AG3095" t="s">
        <v>10859</v>
      </c>
      <c r="AH3095" t="s">
        <v>10873</v>
      </c>
      <c r="AI3095">
        <v>237</v>
      </c>
      <c r="AJ3095" t="s">
        <v>10212</v>
      </c>
      <c r="AL3095">
        <v>1.75</v>
      </c>
      <c r="AM3095" t="s">
        <v>10892</v>
      </c>
      <c r="AN3095" t="s">
        <v>10944</v>
      </c>
      <c r="AO3095" t="s">
        <v>11017</v>
      </c>
      <c r="AP3095" t="s">
        <v>11070</v>
      </c>
      <c r="AR3095" t="s">
        <v>11267</v>
      </c>
      <c r="AS3095" t="s">
        <v>11594</v>
      </c>
      <c r="AT3095" t="s">
        <v>11641</v>
      </c>
      <c r="AX3095" t="s">
        <v>10838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</row>
    <row r="3096" spans="1:59">
      <c r="A3096" s="1">
        <f>HYPERLINK("https://lsnyc.legalserver.org/matter/dynamic-profile/view/1907146","19-1907146")</f>
        <v>0</v>
      </c>
      <c r="B3096" t="s">
        <v>2251</v>
      </c>
      <c r="C3096" t="s">
        <v>7037</v>
      </c>
      <c r="D3096" t="s">
        <v>9926</v>
      </c>
      <c r="E3096" t="s">
        <v>10075</v>
      </c>
      <c r="F3096">
        <v>10467</v>
      </c>
      <c r="G3096" t="s">
        <v>10090</v>
      </c>
      <c r="H3096" t="s">
        <v>10127</v>
      </c>
      <c r="I3096" t="s">
        <v>10168</v>
      </c>
      <c r="J3096" t="s">
        <v>10210</v>
      </c>
      <c r="K3096" t="s">
        <v>10217</v>
      </c>
      <c r="M3096" t="s">
        <v>10418</v>
      </c>
      <c r="N3096" t="s">
        <v>10651</v>
      </c>
      <c r="P3096" t="s">
        <v>10749</v>
      </c>
      <c r="Q3096" t="s">
        <v>10765</v>
      </c>
      <c r="R3096" t="s">
        <v>10823</v>
      </c>
      <c r="T3096">
        <v>1872</v>
      </c>
      <c r="U3096">
        <v>156</v>
      </c>
      <c r="V3096">
        <v>51</v>
      </c>
      <c r="W3096">
        <v>1</v>
      </c>
      <c r="X3096">
        <v>0</v>
      </c>
      <c r="Z3096">
        <v>14.99</v>
      </c>
      <c r="AA3096">
        <v>40.881895</v>
      </c>
      <c r="AB3096">
        <v>-73.859526</v>
      </c>
      <c r="AD3096" t="s">
        <v>10840</v>
      </c>
      <c r="AG3096" t="s">
        <v>10858</v>
      </c>
      <c r="AH3096" t="s">
        <v>10861</v>
      </c>
      <c r="AI3096">
        <v>230</v>
      </c>
      <c r="AJ3096" t="s">
        <v>10210</v>
      </c>
      <c r="AL3096">
        <v>6.45</v>
      </c>
      <c r="AM3096" t="s">
        <v>10893</v>
      </c>
      <c r="AN3096" t="s">
        <v>10956</v>
      </c>
      <c r="AO3096" t="s">
        <v>11010</v>
      </c>
      <c r="AP3096" t="s">
        <v>11085</v>
      </c>
      <c r="AR3096" t="s">
        <v>11255</v>
      </c>
      <c r="AS3096" t="s">
        <v>9926</v>
      </c>
      <c r="AT3096" t="s">
        <v>11642</v>
      </c>
      <c r="AX3096" t="s">
        <v>10838</v>
      </c>
      <c r="BA3096" t="s">
        <v>11738</v>
      </c>
      <c r="BB3096">
        <v>0</v>
      </c>
      <c r="BC3096">
        <v>0</v>
      </c>
      <c r="BD3096">
        <v>0</v>
      </c>
      <c r="BE3096">
        <v>0</v>
      </c>
      <c r="BF3096">
        <v>5</v>
      </c>
      <c r="BG3096">
        <v>0</v>
      </c>
    </row>
    <row r="3097" spans="1:59">
      <c r="A3097" s="1">
        <f>HYPERLINK("https://lsnyc.legalserver.org/matter/dynamic-profile/view/1907147","19-1907147")</f>
        <v>0</v>
      </c>
      <c r="B3097" t="s">
        <v>171</v>
      </c>
      <c r="C3097" t="s">
        <v>7390</v>
      </c>
      <c r="D3097" t="s">
        <v>9925</v>
      </c>
      <c r="E3097" t="s">
        <v>10075</v>
      </c>
      <c r="F3097">
        <v>10009</v>
      </c>
      <c r="G3097" t="s">
        <v>10089</v>
      </c>
      <c r="H3097" t="s">
        <v>10127</v>
      </c>
      <c r="I3097" t="s">
        <v>10169</v>
      </c>
      <c r="J3097" t="s">
        <v>10209</v>
      </c>
      <c r="K3097" t="s">
        <v>10217</v>
      </c>
      <c r="M3097" t="s">
        <v>10288</v>
      </c>
      <c r="N3097" t="s">
        <v>10665</v>
      </c>
      <c r="P3097" t="s">
        <v>10750</v>
      </c>
      <c r="Q3097" t="s">
        <v>10760</v>
      </c>
      <c r="R3097" t="s">
        <v>10821</v>
      </c>
      <c r="T3097">
        <v>630</v>
      </c>
      <c r="U3097">
        <v>52.5</v>
      </c>
      <c r="V3097">
        <v>55</v>
      </c>
      <c r="W3097">
        <v>1</v>
      </c>
      <c r="X3097">
        <v>0</v>
      </c>
      <c r="Z3097">
        <v>5.04</v>
      </c>
      <c r="AA3097">
        <v>40.722046</v>
      </c>
      <c r="AB3097">
        <v>-73.978208</v>
      </c>
      <c r="AD3097" t="s">
        <v>10840</v>
      </c>
      <c r="AF3097" t="s">
        <v>10843</v>
      </c>
      <c r="AG3097" t="s">
        <v>10859</v>
      </c>
      <c r="AH3097" t="s">
        <v>10861</v>
      </c>
      <c r="AI3097">
        <v>234</v>
      </c>
      <c r="AJ3097" t="s">
        <v>10214</v>
      </c>
      <c r="AL3097">
        <v>6.55</v>
      </c>
      <c r="AM3097" t="s">
        <v>10891</v>
      </c>
      <c r="AN3097" t="s">
        <v>10910</v>
      </c>
      <c r="AO3097" t="s">
        <v>11004</v>
      </c>
      <c r="AP3097" t="s">
        <v>11048</v>
      </c>
      <c r="AR3097" t="s">
        <v>11257</v>
      </c>
      <c r="AS3097" t="s">
        <v>9925</v>
      </c>
      <c r="AT3097" t="s">
        <v>11642</v>
      </c>
      <c r="AX3097" t="s">
        <v>10838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</row>
    <row r="3098" spans="1:59">
      <c r="A3098" s="1">
        <f>HYPERLINK("https://lsnyc.legalserver.org/matter/dynamic-profile/view/1907148","19-1907148")</f>
        <v>0</v>
      </c>
      <c r="B3098" t="s">
        <v>1466</v>
      </c>
      <c r="C3098" t="s">
        <v>7391</v>
      </c>
      <c r="D3098" t="s">
        <v>9938</v>
      </c>
      <c r="E3098" t="s">
        <v>10075</v>
      </c>
      <c r="F3098">
        <v>11436</v>
      </c>
      <c r="G3098" t="s">
        <v>10092</v>
      </c>
      <c r="H3098" t="s">
        <v>10127</v>
      </c>
      <c r="I3098" t="s">
        <v>10168</v>
      </c>
      <c r="J3098" t="s">
        <v>10212</v>
      </c>
      <c r="K3098" t="s">
        <v>10217</v>
      </c>
      <c r="M3098" t="s">
        <v>10318</v>
      </c>
      <c r="N3098" t="s">
        <v>10684</v>
      </c>
      <c r="P3098" t="s">
        <v>10751</v>
      </c>
      <c r="Q3098" t="s">
        <v>10786</v>
      </c>
      <c r="R3098" t="s">
        <v>10827</v>
      </c>
      <c r="T3098">
        <v>46454.4</v>
      </c>
      <c r="U3098">
        <v>3871.2</v>
      </c>
      <c r="V3098">
        <v>34</v>
      </c>
      <c r="W3098">
        <v>2</v>
      </c>
      <c r="X3098">
        <v>4</v>
      </c>
      <c r="Z3098">
        <v>134.3</v>
      </c>
      <c r="AA3098">
        <v>40.667632</v>
      </c>
      <c r="AB3098">
        <v>-73.790007</v>
      </c>
      <c r="AD3098" t="s">
        <v>10839</v>
      </c>
      <c r="AG3098" t="s">
        <v>10858</v>
      </c>
      <c r="AH3098" t="s">
        <v>10873</v>
      </c>
      <c r="AI3098">
        <v>237</v>
      </c>
      <c r="AJ3098" t="s">
        <v>10212</v>
      </c>
      <c r="AL3098">
        <v>1.75</v>
      </c>
      <c r="AM3098" t="s">
        <v>10892</v>
      </c>
      <c r="AN3098" t="s">
        <v>10951</v>
      </c>
      <c r="AO3098" t="s">
        <v>11017</v>
      </c>
      <c r="AP3098" t="s">
        <v>11070</v>
      </c>
      <c r="AR3098" t="s">
        <v>11406</v>
      </c>
      <c r="AS3098" t="s">
        <v>11594</v>
      </c>
      <c r="AT3098" t="s">
        <v>11641</v>
      </c>
      <c r="AX3098" t="s">
        <v>10838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</row>
    <row r="3099" spans="1:59">
      <c r="A3099" s="1">
        <f>HYPERLINK("https://lsnyc.legalserver.org/matter/dynamic-profile/view/1907149","19-1907149")</f>
        <v>0</v>
      </c>
      <c r="B3099" t="s">
        <v>2607</v>
      </c>
      <c r="C3099" t="s">
        <v>7392</v>
      </c>
      <c r="D3099" t="s">
        <v>9973</v>
      </c>
      <c r="E3099" t="s">
        <v>10075</v>
      </c>
      <c r="F3099">
        <v>10701</v>
      </c>
      <c r="G3099" t="s">
        <v>10090</v>
      </c>
      <c r="H3099" t="s">
        <v>10127</v>
      </c>
      <c r="I3099" t="s">
        <v>10168</v>
      </c>
      <c r="J3099" t="s">
        <v>10210</v>
      </c>
      <c r="K3099" t="s">
        <v>10218</v>
      </c>
      <c r="L3099" t="s">
        <v>10127</v>
      </c>
      <c r="M3099" t="s">
        <v>10548</v>
      </c>
      <c r="N3099" t="s">
        <v>10728</v>
      </c>
      <c r="P3099" t="s">
        <v>10751</v>
      </c>
      <c r="Q3099" t="s">
        <v>10803</v>
      </c>
      <c r="R3099" t="s">
        <v>10824</v>
      </c>
      <c r="T3099">
        <v>1680</v>
      </c>
      <c r="U3099">
        <v>140</v>
      </c>
      <c r="V3099">
        <v>25</v>
      </c>
      <c r="W3099">
        <v>1</v>
      </c>
      <c r="X3099">
        <v>0</v>
      </c>
      <c r="Y3099" t="s">
        <v>10829</v>
      </c>
      <c r="Z3099">
        <v>13.45</v>
      </c>
      <c r="AA3099">
        <v>40.929103</v>
      </c>
      <c r="AB3099">
        <v>-73.890064</v>
      </c>
      <c r="AC3099" t="s">
        <v>10837</v>
      </c>
      <c r="AD3099" t="s">
        <v>10822</v>
      </c>
      <c r="AG3099" t="s">
        <v>10858</v>
      </c>
      <c r="AH3099" t="s">
        <v>10874</v>
      </c>
      <c r="AI3099">
        <v>230</v>
      </c>
      <c r="AJ3099" t="s">
        <v>10210</v>
      </c>
      <c r="AK3099" t="s">
        <v>10838</v>
      </c>
      <c r="AL3099">
        <v>0.25</v>
      </c>
      <c r="AM3099" t="s">
        <v>10893</v>
      </c>
      <c r="AN3099" t="s">
        <v>10987</v>
      </c>
      <c r="AO3099" t="s">
        <v>11036</v>
      </c>
      <c r="AR3099" t="s">
        <v>11302</v>
      </c>
      <c r="AS3099" t="s">
        <v>11604</v>
      </c>
      <c r="AT3099" t="s">
        <v>11642</v>
      </c>
      <c r="AY3099" t="s">
        <v>10829</v>
      </c>
      <c r="AZ3099" t="s">
        <v>11728</v>
      </c>
      <c r="BA3099" t="s">
        <v>11741</v>
      </c>
      <c r="BB3099">
        <v>0</v>
      </c>
      <c r="BC3099">
        <v>0</v>
      </c>
      <c r="BD3099">
        <v>0</v>
      </c>
      <c r="BE3099">
        <v>0</v>
      </c>
      <c r="BF3099">
        <v>1</v>
      </c>
      <c r="BG3099">
        <v>0</v>
      </c>
    </row>
    <row r="3100" spans="1:59">
      <c r="A3100" s="1">
        <f>HYPERLINK("https://lsnyc.legalserver.org/matter/dynamic-profile/view/1907150","19-1907150")</f>
        <v>0</v>
      </c>
      <c r="B3100" t="s">
        <v>2608</v>
      </c>
      <c r="C3100" t="s">
        <v>7393</v>
      </c>
      <c r="D3100" t="s">
        <v>9926</v>
      </c>
      <c r="E3100" t="s">
        <v>10075</v>
      </c>
      <c r="F3100">
        <v>10459</v>
      </c>
      <c r="G3100" t="s">
        <v>10090</v>
      </c>
      <c r="H3100" t="s">
        <v>10127</v>
      </c>
      <c r="I3100" t="s">
        <v>10168</v>
      </c>
      <c r="J3100" t="s">
        <v>10210</v>
      </c>
      <c r="K3100" t="s">
        <v>10218</v>
      </c>
      <c r="L3100" t="s">
        <v>10108</v>
      </c>
      <c r="M3100" t="s">
        <v>10463</v>
      </c>
      <c r="N3100" t="s">
        <v>10671</v>
      </c>
      <c r="P3100" t="s">
        <v>10749</v>
      </c>
      <c r="Q3100" t="s">
        <v>10765</v>
      </c>
      <c r="R3100" t="s">
        <v>10824</v>
      </c>
      <c r="T3100">
        <v>14544</v>
      </c>
      <c r="U3100">
        <v>1212</v>
      </c>
      <c r="V3100">
        <v>67</v>
      </c>
      <c r="W3100">
        <v>1</v>
      </c>
      <c r="X3100">
        <v>0</v>
      </c>
      <c r="Y3100" t="s">
        <v>10829</v>
      </c>
      <c r="Z3100">
        <v>116.45</v>
      </c>
      <c r="AA3100">
        <v>40.828812</v>
      </c>
      <c r="AB3100">
        <v>-73.894008</v>
      </c>
      <c r="AD3100" t="s">
        <v>10839</v>
      </c>
      <c r="AG3100" t="s">
        <v>10858</v>
      </c>
      <c r="AH3100" t="s">
        <v>10861</v>
      </c>
      <c r="AI3100">
        <v>234</v>
      </c>
      <c r="AJ3100" t="s">
        <v>10214</v>
      </c>
      <c r="AK3100" t="s">
        <v>10838</v>
      </c>
      <c r="AL3100">
        <v>1.1</v>
      </c>
      <c r="AM3100" t="s">
        <v>10884</v>
      </c>
      <c r="AN3100" t="s">
        <v>10968</v>
      </c>
      <c r="AO3100" t="s">
        <v>11001</v>
      </c>
      <c r="AP3100" t="s">
        <v>11062</v>
      </c>
      <c r="AR3100" t="s">
        <v>11365</v>
      </c>
      <c r="AS3100" t="s">
        <v>9926</v>
      </c>
      <c r="AT3100" t="s">
        <v>11641</v>
      </c>
      <c r="AX3100" t="s">
        <v>10838</v>
      </c>
      <c r="AY3100" t="s">
        <v>10829</v>
      </c>
      <c r="AZ3100" t="s">
        <v>11681</v>
      </c>
      <c r="BA3100" t="s">
        <v>11741</v>
      </c>
      <c r="BB3100">
        <v>0</v>
      </c>
      <c r="BC3100">
        <v>0</v>
      </c>
      <c r="BD3100">
        <v>0</v>
      </c>
      <c r="BE3100">
        <v>0</v>
      </c>
      <c r="BF3100">
        <v>1</v>
      </c>
      <c r="BG3100">
        <v>0</v>
      </c>
    </row>
    <row r="3101" spans="1:59">
      <c r="A3101" s="1">
        <f>HYPERLINK("https://lsnyc.legalserver.org/matter/dynamic-profile/view/1907151","19-1907151")</f>
        <v>0</v>
      </c>
      <c r="B3101" t="s">
        <v>2609</v>
      </c>
      <c r="C3101" t="s">
        <v>7394</v>
      </c>
      <c r="D3101" t="s">
        <v>9928</v>
      </c>
      <c r="E3101" t="s">
        <v>10075</v>
      </c>
      <c r="F3101">
        <v>11232</v>
      </c>
      <c r="G3101" t="s">
        <v>10093</v>
      </c>
      <c r="H3101" t="s">
        <v>10127</v>
      </c>
      <c r="I3101" t="s">
        <v>10168</v>
      </c>
      <c r="J3101" t="s">
        <v>10213</v>
      </c>
      <c r="K3101" t="s">
        <v>10217</v>
      </c>
      <c r="M3101" t="s">
        <v>10280</v>
      </c>
      <c r="N3101" t="s">
        <v>10656</v>
      </c>
      <c r="P3101" t="s">
        <v>10751</v>
      </c>
      <c r="Q3101" t="s">
        <v>10780</v>
      </c>
      <c r="R3101" t="s">
        <v>10823</v>
      </c>
      <c r="T3101">
        <v>0</v>
      </c>
      <c r="U3101">
        <v>0</v>
      </c>
      <c r="V3101">
        <v>39</v>
      </c>
      <c r="W3101">
        <v>1</v>
      </c>
      <c r="X3101">
        <v>0</v>
      </c>
      <c r="Z3101">
        <v>0</v>
      </c>
      <c r="AA3101">
        <v>40.662472</v>
      </c>
      <c r="AB3101">
        <v>-73.997135</v>
      </c>
      <c r="AD3101" t="s">
        <v>10840</v>
      </c>
      <c r="AG3101" t="s">
        <v>10858</v>
      </c>
      <c r="AH3101" t="s">
        <v>10861</v>
      </c>
      <c r="AI3101">
        <v>234</v>
      </c>
      <c r="AJ3101" t="s">
        <v>10214</v>
      </c>
      <c r="AL3101">
        <v>3</v>
      </c>
      <c r="AM3101" t="s">
        <v>10886</v>
      </c>
      <c r="AN3101" t="s">
        <v>10921</v>
      </c>
      <c r="AO3101" t="s">
        <v>11007</v>
      </c>
      <c r="AP3101" t="s">
        <v>11069</v>
      </c>
      <c r="AR3101" t="s">
        <v>11267</v>
      </c>
      <c r="AS3101" t="s">
        <v>11595</v>
      </c>
      <c r="AT3101" t="s">
        <v>11641</v>
      </c>
      <c r="AX3101" t="s">
        <v>10838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</row>
    <row r="3102" spans="1:59">
      <c r="A3102" s="1">
        <f>HYPERLINK("https://lsnyc.legalserver.org/matter/dynamic-profile/view/1907152","19-1907152")</f>
        <v>0</v>
      </c>
      <c r="B3102" t="s">
        <v>2610</v>
      </c>
      <c r="C3102" t="s">
        <v>7387</v>
      </c>
      <c r="D3102" t="s">
        <v>9926</v>
      </c>
      <c r="E3102" t="s">
        <v>10075</v>
      </c>
      <c r="F3102">
        <v>10454</v>
      </c>
      <c r="G3102" t="s">
        <v>10090</v>
      </c>
      <c r="H3102" t="s">
        <v>10127</v>
      </c>
      <c r="J3102" t="s">
        <v>10210</v>
      </c>
      <c r="K3102" t="s">
        <v>10217</v>
      </c>
      <c r="M3102" t="s">
        <v>10412</v>
      </c>
      <c r="N3102" t="s">
        <v>10679</v>
      </c>
      <c r="P3102" t="s">
        <v>10753</v>
      </c>
      <c r="Q3102" t="s">
        <v>10763</v>
      </c>
      <c r="R3102" t="s">
        <v>10823</v>
      </c>
      <c r="T3102">
        <v>0</v>
      </c>
      <c r="U3102">
        <v>0</v>
      </c>
      <c r="V3102">
        <v>18</v>
      </c>
      <c r="W3102">
        <v>3</v>
      </c>
      <c r="X3102">
        <v>2</v>
      </c>
      <c r="Z3102">
        <v>0</v>
      </c>
      <c r="AA3102">
        <v>40.806395</v>
      </c>
      <c r="AB3102">
        <v>-73.918048</v>
      </c>
      <c r="AD3102" t="s">
        <v>10839</v>
      </c>
      <c r="AF3102" t="s">
        <v>10842</v>
      </c>
      <c r="AG3102" t="s">
        <v>10859</v>
      </c>
      <c r="AH3102" t="s">
        <v>10865</v>
      </c>
      <c r="AI3102">
        <v>230</v>
      </c>
      <c r="AJ3102" t="s">
        <v>10210</v>
      </c>
      <c r="AL3102">
        <v>2</v>
      </c>
      <c r="AM3102" t="s">
        <v>10884</v>
      </c>
      <c r="AN3102" t="s">
        <v>10924</v>
      </c>
      <c r="AO3102" t="s">
        <v>11013</v>
      </c>
      <c r="AP3102" t="s">
        <v>11066</v>
      </c>
      <c r="AQ3102" t="s">
        <v>11109</v>
      </c>
      <c r="AR3102" t="s">
        <v>11267</v>
      </c>
      <c r="AS3102" t="s">
        <v>9926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</row>
    <row r="3103" spans="1:59">
      <c r="A3103" s="1">
        <f>HYPERLINK("https://lsnyc.legalserver.org/matter/dynamic-profile/view/1907153","19-1907153")</f>
        <v>0</v>
      </c>
      <c r="B3103" t="s">
        <v>2611</v>
      </c>
      <c r="C3103" t="s">
        <v>7395</v>
      </c>
      <c r="D3103" t="s">
        <v>9928</v>
      </c>
      <c r="E3103" t="s">
        <v>10075</v>
      </c>
      <c r="F3103">
        <v>11225</v>
      </c>
      <c r="G3103" t="s">
        <v>10093</v>
      </c>
      <c r="H3103" t="s">
        <v>10127</v>
      </c>
      <c r="I3103" t="s">
        <v>10168</v>
      </c>
      <c r="J3103" t="s">
        <v>10213</v>
      </c>
      <c r="K3103" t="s">
        <v>10218</v>
      </c>
      <c r="L3103" t="s">
        <v>10127</v>
      </c>
      <c r="M3103" t="s">
        <v>10437</v>
      </c>
      <c r="N3103" t="s">
        <v>10644</v>
      </c>
      <c r="P3103" t="s">
        <v>10751</v>
      </c>
      <c r="Q3103" t="s">
        <v>10803</v>
      </c>
      <c r="R3103" t="s">
        <v>10824</v>
      </c>
      <c r="T3103">
        <v>16800</v>
      </c>
      <c r="U3103">
        <v>1400</v>
      </c>
      <c r="V3103">
        <v>64</v>
      </c>
      <c r="W3103">
        <v>3</v>
      </c>
      <c r="X3103">
        <v>0</v>
      </c>
      <c r="Y3103" t="s">
        <v>10829</v>
      </c>
      <c r="Z3103">
        <v>78.76000000000001</v>
      </c>
      <c r="AA3103">
        <v>40.661237</v>
      </c>
      <c r="AB3103">
        <v>-73.946659</v>
      </c>
      <c r="AD3103" t="s">
        <v>10840</v>
      </c>
      <c r="AG3103" t="s">
        <v>10858</v>
      </c>
      <c r="AH3103" t="s">
        <v>10862</v>
      </c>
      <c r="AI3103">
        <v>239</v>
      </c>
      <c r="AJ3103" t="s">
        <v>10213</v>
      </c>
      <c r="AK3103" t="s">
        <v>10838</v>
      </c>
      <c r="AL3103">
        <v>1</v>
      </c>
      <c r="AM3103" t="s">
        <v>10888</v>
      </c>
      <c r="AN3103" t="s">
        <v>10912</v>
      </c>
      <c r="AO3103" t="s">
        <v>11005</v>
      </c>
      <c r="AP3103" t="s">
        <v>11050</v>
      </c>
      <c r="AR3103" t="s">
        <v>11328</v>
      </c>
      <c r="AS3103" t="s">
        <v>11595</v>
      </c>
      <c r="AY3103" t="s">
        <v>10829</v>
      </c>
      <c r="AZ3103" t="s">
        <v>11682</v>
      </c>
      <c r="BA3103" t="s">
        <v>11741</v>
      </c>
      <c r="BB3103">
        <v>0</v>
      </c>
      <c r="BC3103">
        <v>0</v>
      </c>
      <c r="BD3103">
        <v>0</v>
      </c>
      <c r="BE3103">
        <v>0</v>
      </c>
      <c r="BF3103">
        <v>1</v>
      </c>
      <c r="BG3103">
        <v>0</v>
      </c>
    </row>
    <row r="3104" spans="1:59">
      <c r="A3104" s="1">
        <f>HYPERLINK("https://lsnyc.legalserver.org/matter/dynamic-profile/view/1907154","19-1907154")</f>
        <v>0</v>
      </c>
      <c r="B3104" t="s">
        <v>2612</v>
      </c>
      <c r="C3104" t="s">
        <v>7396</v>
      </c>
      <c r="D3104" t="s">
        <v>9926</v>
      </c>
      <c r="E3104" t="s">
        <v>10075</v>
      </c>
      <c r="F3104">
        <v>10457</v>
      </c>
      <c r="G3104" t="s">
        <v>10090</v>
      </c>
      <c r="H3104" t="s">
        <v>10127</v>
      </c>
      <c r="I3104" t="s">
        <v>10169</v>
      </c>
      <c r="J3104" t="s">
        <v>10210</v>
      </c>
      <c r="K3104" t="s">
        <v>10217</v>
      </c>
      <c r="M3104" t="s">
        <v>10549</v>
      </c>
      <c r="N3104" t="s">
        <v>10671</v>
      </c>
      <c r="P3104" t="s">
        <v>10757</v>
      </c>
      <c r="Q3104" t="s">
        <v>10789</v>
      </c>
      <c r="R3104" t="s">
        <v>10821</v>
      </c>
      <c r="T3104">
        <v>3000</v>
      </c>
      <c r="U3104">
        <v>250</v>
      </c>
      <c r="V3104">
        <v>37</v>
      </c>
      <c r="W3104">
        <v>1</v>
      </c>
      <c r="X3104">
        <v>5</v>
      </c>
      <c r="Z3104">
        <v>8.67</v>
      </c>
      <c r="AA3104">
        <v>40.85248</v>
      </c>
      <c r="AB3104">
        <v>-73.9025</v>
      </c>
      <c r="AD3104" t="s">
        <v>10839</v>
      </c>
      <c r="AG3104" t="s">
        <v>10858</v>
      </c>
      <c r="AH3104" t="s">
        <v>10861</v>
      </c>
      <c r="AI3104">
        <v>234</v>
      </c>
      <c r="AJ3104" t="s">
        <v>10214</v>
      </c>
      <c r="AL3104">
        <v>11.95</v>
      </c>
      <c r="AM3104" t="s">
        <v>10884</v>
      </c>
      <c r="AN3104" t="s">
        <v>10931</v>
      </c>
      <c r="AO3104" t="s">
        <v>11000</v>
      </c>
      <c r="AP3104" t="s">
        <v>11056</v>
      </c>
      <c r="AR3104" t="s">
        <v>11344</v>
      </c>
      <c r="AS3104" t="s">
        <v>9926</v>
      </c>
      <c r="AT3104" t="s">
        <v>11641</v>
      </c>
      <c r="AX3104" t="s">
        <v>10838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</row>
    <row r="3105" spans="1:59">
      <c r="A3105" s="1">
        <f>HYPERLINK("https://lsnyc.legalserver.org/matter/dynamic-profile/view/1907155","19-1907155")</f>
        <v>0</v>
      </c>
      <c r="B3105" t="s">
        <v>1460</v>
      </c>
      <c r="C3105" t="s">
        <v>6283</v>
      </c>
      <c r="D3105" t="s">
        <v>9926</v>
      </c>
      <c r="E3105" t="s">
        <v>10075</v>
      </c>
      <c r="F3105">
        <v>10459</v>
      </c>
      <c r="G3105" t="s">
        <v>10090</v>
      </c>
      <c r="H3105" t="s">
        <v>10127</v>
      </c>
      <c r="I3105" t="s">
        <v>10168</v>
      </c>
      <c r="J3105" t="s">
        <v>10210</v>
      </c>
      <c r="K3105" t="s">
        <v>10217</v>
      </c>
      <c r="M3105" t="s">
        <v>10283</v>
      </c>
      <c r="N3105" t="s">
        <v>10688</v>
      </c>
      <c r="P3105" t="s">
        <v>10757</v>
      </c>
      <c r="Q3105" t="s">
        <v>10797</v>
      </c>
      <c r="R3105" t="s">
        <v>10824</v>
      </c>
      <c r="T3105">
        <v>11124</v>
      </c>
      <c r="U3105">
        <v>927</v>
      </c>
      <c r="V3105">
        <v>56</v>
      </c>
      <c r="W3105">
        <v>4</v>
      </c>
      <c r="X3105">
        <v>0</v>
      </c>
      <c r="Z3105">
        <v>43.2</v>
      </c>
      <c r="AA3105">
        <v>40.823662</v>
      </c>
      <c r="AB3105">
        <v>-73.89009799999999</v>
      </c>
      <c r="AD3105" t="s">
        <v>10840</v>
      </c>
      <c r="AG3105" t="s">
        <v>10858</v>
      </c>
      <c r="AH3105" t="s">
        <v>10874</v>
      </c>
      <c r="AI3105">
        <v>230</v>
      </c>
      <c r="AJ3105" t="s">
        <v>10210</v>
      </c>
      <c r="AL3105">
        <v>9.4</v>
      </c>
      <c r="AM3105" t="s">
        <v>10884</v>
      </c>
      <c r="AN3105" t="s">
        <v>10968</v>
      </c>
      <c r="AO3105" t="s">
        <v>11001</v>
      </c>
      <c r="AP3105" t="s">
        <v>11062</v>
      </c>
      <c r="AR3105" t="s">
        <v>11494</v>
      </c>
      <c r="AS3105" t="s">
        <v>9926</v>
      </c>
      <c r="AT3105" t="s">
        <v>11642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</row>
    <row r="3106" spans="1:59">
      <c r="A3106" s="1">
        <f>HYPERLINK("https://lsnyc.legalserver.org/matter/dynamic-profile/view/1907156","19-1907156")</f>
        <v>0</v>
      </c>
      <c r="B3106" t="s">
        <v>2613</v>
      </c>
      <c r="C3106" t="s">
        <v>7397</v>
      </c>
      <c r="D3106" t="s">
        <v>10018</v>
      </c>
      <c r="E3106" t="s">
        <v>10075</v>
      </c>
      <c r="F3106">
        <v>10550</v>
      </c>
      <c r="G3106" t="s">
        <v>10090</v>
      </c>
      <c r="H3106" t="s">
        <v>10127</v>
      </c>
      <c r="I3106" t="s">
        <v>10168</v>
      </c>
      <c r="J3106" t="s">
        <v>10210</v>
      </c>
      <c r="K3106" t="s">
        <v>10218</v>
      </c>
      <c r="L3106" t="s">
        <v>10127</v>
      </c>
      <c r="M3106" t="s">
        <v>10548</v>
      </c>
      <c r="N3106" t="s">
        <v>10690</v>
      </c>
      <c r="P3106" t="s">
        <v>10751</v>
      </c>
      <c r="Q3106" t="s">
        <v>10803</v>
      </c>
      <c r="R3106" t="s">
        <v>10824</v>
      </c>
      <c r="T3106">
        <v>35280</v>
      </c>
      <c r="U3106">
        <v>2940</v>
      </c>
      <c r="V3106">
        <v>48</v>
      </c>
      <c r="W3106">
        <v>4</v>
      </c>
      <c r="X3106">
        <v>0</v>
      </c>
      <c r="Y3106" t="s">
        <v>10829</v>
      </c>
      <c r="Z3106">
        <v>137.01</v>
      </c>
      <c r="AA3106">
        <v>40.912843</v>
      </c>
      <c r="AB3106">
        <v>-73.844369</v>
      </c>
      <c r="AC3106" t="s">
        <v>10837</v>
      </c>
      <c r="AD3106" t="s">
        <v>10822</v>
      </c>
      <c r="AG3106" t="s">
        <v>10858</v>
      </c>
      <c r="AH3106" t="s">
        <v>10874</v>
      </c>
      <c r="AI3106">
        <v>230</v>
      </c>
      <c r="AJ3106" t="s">
        <v>10210</v>
      </c>
      <c r="AK3106" t="s">
        <v>10838</v>
      </c>
      <c r="AL3106">
        <v>0.25</v>
      </c>
      <c r="AM3106" t="s">
        <v>10893</v>
      </c>
      <c r="AN3106" t="s">
        <v>10988</v>
      </c>
      <c r="AO3106" t="s">
        <v>11010</v>
      </c>
      <c r="AR3106" t="s">
        <v>11495</v>
      </c>
      <c r="AS3106" t="s">
        <v>11604</v>
      </c>
      <c r="AY3106" t="s">
        <v>10829</v>
      </c>
      <c r="AZ3106" t="s">
        <v>11682</v>
      </c>
      <c r="BA3106" t="s">
        <v>11741</v>
      </c>
      <c r="BB3106">
        <v>0</v>
      </c>
      <c r="BC3106">
        <v>0</v>
      </c>
      <c r="BD3106">
        <v>0</v>
      </c>
      <c r="BE3106">
        <v>0</v>
      </c>
      <c r="BF3106">
        <v>1</v>
      </c>
      <c r="BG3106">
        <v>0</v>
      </c>
    </row>
    <row r="3107" spans="1:59">
      <c r="A3107" s="1">
        <f>HYPERLINK("https://lsnyc.legalserver.org/matter/dynamic-profile/view/1907157","19-1907157")</f>
        <v>0</v>
      </c>
      <c r="B3107" t="s">
        <v>2614</v>
      </c>
      <c r="C3107" t="s">
        <v>7398</v>
      </c>
      <c r="D3107" t="s">
        <v>9928</v>
      </c>
      <c r="E3107" t="s">
        <v>10075</v>
      </c>
      <c r="F3107">
        <v>11207</v>
      </c>
      <c r="G3107" t="s">
        <v>10093</v>
      </c>
      <c r="H3107" t="s">
        <v>10127</v>
      </c>
      <c r="J3107" t="s">
        <v>10213</v>
      </c>
      <c r="K3107" t="s">
        <v>10217</v>
      </c>
      <c r="M3107" t="s">
        <v>10356</v>
      </c>
      <c r="N3107" t="s">
        <v>10673</v>
      </c>
      <c r="P3107" t="s">
        <v>10753</v>
      </c>
      <c r="Q3107" t="s">
        <v>10763</v>
      </c>
      <c r="R3107" t="s">
        <v>10824</v>
      </c>
      <c r="T3107">
        <v>31200</v>
      </c>
      <c r="U3107">
        <v>2600</v>
      </c>
      <c r="V3107">
        <v>39</v>
      </c>
      <c r="W3107">
        <v>2</v>
      </c>
      <c r="X3107">
        <v>2</v>
      </c>
      <c r="Z3107">
        <v>121.17</v>
      </c>
      <c r="AA3107">
        <v>40.665448</v>
      </c>
      <c r="AB3107">
        <v>-73.887331</v>
      </c>
      <c r="AD3107" t="s">
        <v>10840</v>
      </c>
      <c r="AF3107" t="s">
        <v>10843</v>
      </c>
      <c r="AG3107" t="s">
        <v>10859</v>
      </c>
      <c r="AH3107" t="s">
        <v>10864</v>
      </c>
      <c r="AI3107">
        <v>239</v>
      </c>
      <c r="AJ3107" t="s">
        <v>10213</v>
      </c>
      <c r="AL3107">
        <v>2.6</v>
      </c>
      <c r="AM3107" t="s">
        <v>10889</v>
      </c>
      <c r="AN3107" t="s">
        <v>10946</v>
      </c>
      <c r="AO3107" t="s">
        <v>11012</v>
      </c>
      <c r="AP3107" t="s">
        <v>11060</v>
      </c>
      <c r="AQ3107" t="s">
        <v>11097</v>
      </c>
      <c r="AR3107" t="s">
        <v>11257</v>
      </c>
      <c r="AS3107" t="s">
        <v>11595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</row>
    <row r="3108" spans="1:59">
      <c r="A3108" s="1">
        <f>HYPERLINK("https://lsnyc.legalserver.org/matter/dynamic-profile/view/1907159","19-1907159")</f>
        <v>0</v>
      </c>
      <c r="B3108" t="s">
        <v>2615</v>
      </c>
      <c r="C3108" t="s">
        <v>7399</v>
      </c>
      <c r="D3108" t="s">
        <v>9926</v>
      </c>
      <c r="E3108" t="s">
        <v>10075</v>
      </c>
      <c r="F3108">
        <v>10472</v>
      </c>
      <c r="G3108" t="s">
        <v>10090</v>
      </c>
      <c r="H3108" t="s">
        <v>10127</v>
      </c>
      <c r="I3108" t="s">
        <v>10169</v>
      </c>
      <c r="J3108" t="s">
        <v>10210</v>
      </c>
      <c r="K3108" t="s">
        <v>10217</v>
      </c>
      <c r="M3108" t="s">
        <v>10512</v>
      </c>
      <c r="N3108" t="s">
        <v>10673</v>
      </c>
      <c r="P3108" t="s">
        <v>10753</v>
      </c>
      <c r="Q3108" t="s">
        <v>10763</v>
      </c>
      <c r="R3108" t="s">
        <v>10821</v>
      </c>
      <c r="T3108">
        <v>0</v>
      </c>
      <c r="U3108">
        <v>0</v>
      </c>
      <c r="V3108">
        <v>27</v>
      </c>
      <c r="W3108">
        <v>1</v>
      </c>
      <c r="X3108">
        <v>1</v>
      </c>
      <c r="Z3108">
        <v>0</v>
      </c>
      <c r="AA3108">
        <v>40.830147</v>
      </c>
      <c r="AB3108">
        <v>-73.881664</v>
      </c>
      <c r="AD3108" t="s">
        <v>10839</v>
      </c>
      <c r="AF3108" t="s">
        <v>10844</v>
      </c>
      <c r="AG3108" t="s">
        <v>10859</v>
      </c>
      <c r="AH3108" t="s">
        <v>10864</v>
      </c>
      <c r="AI3108">
        <v>230</v>
      </c>
      <c r="AJ3108" t="s">
        <v>10210</v>
      </c>
      <c r="AL3108">
        <v>1.25</v>
      </c>
      <c r="AM3108" t="s">
        <v>10884</v>
      </c>
      <c r="AN3108" t="s">
        <v>10968</v>
      </c>
      <c r="AO3108" t="s">
        <v>11001</v>
      </c>
      <c r="AP3108" t="s">
        <v>11062</v>
      </c>
      <c r="AQ3108" t="s">
        <v>11119</v>
      </c>
      <c r="AR3108" t="s">
        <v>11267</v>
      </c>
      <c r="AS3108" t="s">
        <v>9926</v>
      </c>
      <c r="AT3108" t="s">
        <v>11641</v>
      </c>
      <c r="AV3108" t="s">
        <v>11656</v>
      </c>
      <c r="AW3108" t="s">
        <v>11645</v>
      </c>
      <c r="AX3108" t="s">
        <v>10838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</row>
    <row r="3109" spans="1:59">
      <c r="A3109" s="1">
        <f>HYPERLINK("https://lsnyc.legalserver.org/matter/dynamic-profile/view/1907160","19-1907160")</f>
        <v>0</v>
      </c>
      <c r="B3109" t="s">
        <v>2607</v>
      </c>
      <c r="C3109" t="s">
        <v>7392</v>
      </c>
      <c r="D3109" t="s">
        <v>9973</v>
      </c>
      <c r="E3109" t="s">
        <v>10075</v>
      </c>
      <c r="F3109">
        <v>10701</v>
      </c>
      <c r="G3109" t="s">
        <v>10090</v>
      </c>
      <c r="H3109" t="s">
        <v>10127</v>
      </c>
      <c r="I3109" t="s">
        <v>10168</v>
      </c>
      <c r="J3109" t="s">
        <v>10210</v>
      </c>
      <c r="K3109" t="s">
        <v>10218</v>
      </c>
      <c r="L3109" t="s">
        <v>10155</v>
      </c>
      <c r="M3109" t="s">
        <v>10334</v>
      </c>
      <c r="N3109" t="s">
        <v>10675</v>
      </c>
      <c r="P3109" t="s">
        <v>10752</v>
      </c>
      <c r="Q3109" t="s">
        <v>10805</v>
      </c>
      <c r="R3109" t="s">
        <v>10824</v>
      </c>
      <c r="T3109">
        <v>1680</v>
      </c>
      <c r="U3109">
        <v>140</v>
      </c>
      <c r="V3109">
        <v>25</v>
      </c>
      <c r="W3109">
        <v>1</v>
      </c>
      <c r="X3109">
        <v>0</v>
      </c>
      <c r="Y3109" t="s">
        <v>10830</v>
      </c>
      <c r="Z3109">
        <v>13.45</v>
      </c>
      <c r="AA3109">
        <v>40.929103</v>
      </c>
      <c r="AB3109">
        <v>-73.890064</v>
      </c>
      <c r="AC3109" t="s">
        <v>10837</v>
      </c>
      <c r="AD3109" t="s">
        <v>10822</v>
      </c>
      <c r="AG3109" t="s">
        <v>10858</v>
      </c>
      <c r="AH3109" t="s">
        <v>10874</v>
      </c>
      <c r="AI3109">
        <v>230</v>
      </c>
      <c r="AJ3109" t="s">
        <v>10210</v>
      </c>
      <c r="AK3109" t="s">
        <v>10838</v>
      </c>
      <c r="AL3109">
        <v>1.5</v>
      </c>
      <c r="AM3109" t="s">
        <v>10893</v>
      </c>
      <c r="AN3109" t="s">
        <v>10987</v>
      </c>
      <c r="AO3109" t="s">
        <v>11036</v>
      </c>
      <c r="AR3109" t="s">
        <v>11302</v>
      </c>
      <c r="AS3109" t="s">
        <v>11604</v>
      </c>
      <c r="AT3109" t="s">
        <v>11642</v>
      </c>
      <c r="AX3109" t="s">
        <v>10838</v>
      </c>
      <c r="AY3109" t="s">
        <v>10830</v>
      </c>
      <c r="AZ3109" t="s">
        <v>11680</v>
      </c>
      <c r="BA3109" t="s">
        <v>11740</v>
      </c>
      <c r="BB3109">
        <v>0</v>
      </c>
      <c r="BC3109">
        <v>0</v>
      </c>
      <c r="BD3109">
        <v>0</v>
      </c>
      <c r="BE3109">
        <v>0</v>
      </c>
      <c r="BF3109">
        <v>2</v>
      </c>
      <c r="BG3109">
        <v>0</v>
      </c>
    </row>
    <row r="3110" spans="1:59">
      <c r="A3110" s="1">
        <f>HYPERLINK("https://lsnyc.legalserver.org/matter/dynamic-profile/view/1907161","19-1907161")</f>
        <v>0</v>
      </c>
      <c r="B3110" t="s">
        <v>2616</v>
      </c>
      <c r="C3110" t="s">
        <v>7400</v>
      </c>
      <c r="D3110" t="s">
        <v>9965</v>
      </c>
      <c r="E3110" t="s">
        <v>10075</v>
      </c>
      <c r="F3110">
        <v>11101</v>
      </c>
      <c r="G3110" t="s">
        <v>10092</v>
      </c>
      <c r="H3110" t="s">
        <v>10127</v>
      </c>
      <c r="I3110" t="s">
        <v>10168</v>
      </c>
      <c r="J3110" t="s">
        <v>10212</v>
      </c>
      <c r="K3110" t="s">
        <v>10218</v>
      </c>
      <c r="L3110" t="s">
        <v>10167</v>
      </c>
      <c r="M3110" t="s">
        <v>10258</v>
      </c>
      <c r="N3110" t="s">
        <v>10650</v>
      </c>
      <c r="P3110" t="s">
        <v>10749</v>
      </c>
      <c r="Q3110" t="s">
        <v>10765</v>
      </c>
      <c r="R3110" t="s">
        <v>10822</v>
      </c>
      <c r="T3110">
        <v>3600</v>
      </c>
      <c r="U3110">
        <v>300</v>
      </c>
      <c r="V3110">
        <v>57</v>
      </c>
      <c r="W3110">
        <v>1</v>
      </c>
      <c r="X3110">
        <v>0</v>
      </c>
      <c r="Y3110" t="s">
        <v>10829</v>
      </c>
      <c r="Z3110">
        <v>28.82</v>
      </c>
      <c r="AA3110">
        <v>40.754529</v>
      </c>
      <c r="AB3110">
        <v>-73.91834900000001</v>
      </c>
      <c r="AD3110" t="s">
        <v>10840</v>
      </c>
      <c r="AF3110" t="s">
        <v>10842</v>
      </c>
      <c r="AG3110" t="s">
        <v>10859</v>
      </c>
      <c r="AH3110" t="s">
        <v>10861</v>
      </c>
      <c r="AI3110">
        <v>234</v>
      </c>
      <c r="AJ3110" t="s">
        <v>10214</v>
      </c>
      <c r="AK3110" t="s">
        <v>10838</v>
      </c>
      <c r="AL3110">
        <v>1.95</v>
      </c>
      <c r="AM3110" t="s">
        <v>10885</v>
      </c>
      <c r="AN3110" t="s">
        <v>10935</v>
      </c>
      <c r="AO3110" t="s">
        <v>11003</v>
      </c>
      <c r="AP3110" t="s">
        <v>11047</v>
      </c>
      <c r="AR3110" t="s">
        <v>11257</v>
      </c>
      <c r="AS3110" t="s">
        <v>11594</v>
      </c>
      <c r="AT3110" t="s">
        <v>11642</v>
      </c>
      <c r="AX3110" t="s">
        <v>10838</v>
      </c>
      <c r="AY3110" t="s">
        <v>10829</v>
      </c>
      <c r="AZ3110" t="s">
        <v>11681</v>
      </c>
      <c r="BA3110" t="s">
        <v>11741</v>
      </c>
      <c r="BB3110">
        <v>0</v>
      </c>
      <c r="BC3110">
        <v>0</v>
      </c>
      <c r="BD3110">
        <v>0</v>
      </c>
      <c r="BE3110">
        <v>0</v>
      </c>
      <c r="BF3110">
        <v>1</v>
      </c>
      <c r="BG3110">
        <v>0</v>
      </c>
    </row>
    <row r="3111" spans="1:59">
      <c r="A3111" s="1">
        <f>HYPERLINK("https://lsnyc.legalserver.org/matter/dynamic-profile/view/1907162","19-1907162")</f>
        <v>0</v>
      </c>
      <c r="B3111" t="s">
        <v>2617</v>
      </c>
      <c r="C3111" t="s">
        <v>7401</v>
      </c>
      <c r="D3111" t="s">
        <v>10019</v>
      </c>
      <c r="E3111" t="s">
        <v>10076</v>
      </c>
      <c r="F3111">
        <v>7305</v>
      </c>
      <c r="G3111" t="s">
        <v>10089</v>
      </c>
      <c r="H3111" t="s">
        <v>10127</v>
      </c>
      <c r="I3111" t="s">
        <v>10168</v>
      </c>
      <c r="J3111" t="s">
        <v>10209</v>
      </c>
      <c r="K3111" t="s">
        <v>10217</v>
      </c>
      <c r="M3111" t="s">
        <v>10288</v>
      </c>
      <c r="N3111" t="s">
        <v>10665</v>
      </c>
      <c r="P3111" t="s">
        <v>10750</v>
      </c>
      <c r="Q3111" t="s">
        <v>10779</v>
      </c>
      <c r="R3111" t="s">
        <v>10824</v>
      </c>
      <c r="T3111">
        <v>0</v>
      </c>
      <c r="U3111">
        <v>0</v>
      </c>
      <c r="V3111">
        <v>64</v>
      </c>
      <c r="W3111">
        <v>1</v>
      </c>
      <c r="X3111">
        <v>0</v>
      </c>
      <c r="Z3111">
        <v>0</v>
      </c>
      <c r="AA3111">
        <v>40.698679</v>
      </c>
      <c r="AB3111">
        <v>-74.086326</v>
      </c>
      <c r="AD3111" t="s">
        <v>10840</v>
      </c>
      <c r="AG3111" t="s">
        <v>10858</v>
      </c>
      <c r="AH3111" t="s">
        <v>10861</v>
      </c>
      <c r="AI3111">
        <v>234</v>
      </c>
      <c r="AJ3111" t="s">
        <v>10214</v>
      </c>
      <c r="AL3111">
        <v>1.7</v>
      </c>
      <c r="AR3111" t="s">
        <v>11267</v>
      </c>
      <c r="AS3111" t="s">
        <v>11620</v>
      </c>
      <c r="AT3111" t="s">
        <v>11642</v>
      </c>
      <c r="AX3111" t="s">
        <v>10838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</row>
    <row r="3112" spans="1:59">
      <c r="A3112" s="1">
        <f>HYPERLINK("https://lsnyc.legalserver.org/matter/dynamic-profile/view/1907163","19-1907163")</f>
        <v>0</v>
      </c>
      <c r="B3112" t="s">
        <v>1468</v>
      </c>
      <c r="C3112" t="s">
        <v>7402</v>
      </c>
      <c r="D3112" t="s">
        <v>9926</v>
      </c>
      <c r="E3112" t="s">
        <v>10075</v>
      </c>
      <c r="F3112">
        <v>10451</v>
      </c>
      <c r="G3112" t="s">
        <v>10090</v>
      </c>
      <c r="H3112" t="s">
        <v>10127</v>
      </c>
      <c r="I3112" t="s">
        <v>10168</v>
      </c>
      <c r="J3112" t="s">
        <v>10210</v>
      </c>
      <c r="K3112" t="s">
        <v>10217</v>
      </c>
      <c r="M3112" t="s">
        <v>10596</v>
      </c>
      <c r="N3112" t="s">
        <v>10705</v>
      </c>
      <c r="P3112" t="s">
        <v>10751</v>
      </c>
      <c r="Q3112" t="s">
        <v>10761</v>
      </c>
      <c r="R3112" t="s">
        <v>10824</v>
      </c>
      <c r="T3112">
        <v>5200</v>
      </c>
      <c r="U3112">
        <v>433.33</v>
      </c>
      <c r="V3112">
        <v>29</v>
      </c>
      <c r="W3112">
        <v>1</v>
      </c>
      <c r="X3112">
        <v>1</v>
      </c>
      <c r="Z3112">
        <v>30.75</v>
      </c>
      <c r="AA3112">
        <v>40.814675</v>
      </c>
      <c r="AB3112">
        <v>-73.922044</v>
      </c>
      <c r="AD3112" t="s">
        <v>10839</v>
      </c>
      <c r="AF3112" t="s">
        <v>10846</v>
      </c>
      <c r="AG3112" t="s">
        <v>10859</v>
      </c>
      <c r="AH3112" t="s">
        <v>10864</v>
      </c>
      <c r="AI3112">
        <v>230</v>
      </c>
      <c r="AJ3112" t="s">
        <v>10210</v>
      </c>
      <c r="AK3112" t="s">
        <v>10837</v>
      </c>
      <c r="AL3112">
        <v>13.6</v>
      </c>
      <c r="AM3112" t="s">
        <v>10884</v>
      </c>
      <c r="AN3112" t="s">
        <v>10924</v>
      </c>
      <c r="AO3112" t="s">
        <v>11013</v>
      </c>
      <c r="AP3112" t="s">
        <v>11066</v>
      </c>
      <c r="AQ3112" t="s">
        <v>11135</v>
      </c>
      <c r="AR3112" t="s">
        <v>10180</v>
      </c>
      <c r="AS3112" t="s">
        <v>9926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</row>
    <row r="3113" spans="1:59">
      <c r="A3113" s="1">
        <f>HYPERLINK("https://lsnyc.legalserver.org/matter/dynamic-profile/view/1907164","19-1907164")</f>
        <v>0</v>
      </c>
      <c r="B3113" t="s">
        <v>2618</v>
      </c>
      <c r="C3113" t="s">
        <v>7403</v>
      </c>
      <c r="D3113" t="s">
        <v>9925</v>
      </c>
      <c r="E3113" t="s">
        <v>10075</v>
      </c>
      <c r="F3113">
        <v>10014</v>
      </c>
      <c r="G3113" t="s">
        <v>10089</v>
      </c>
      <c r="H3113" t="s">
        <v>10127</v>
      </c>
      <c r="I3113" t="s">
        <v>10168</v>
      </c>
      <c r="J3113" t="s">
        <v>10209</v>
      </c>
      <c r="K3113" t="s">
        <v>10218</v>
      </c>
      <c r="L3113" t="s">
        <v>10158</v>
      </c>
      <c r="M3113" t="s">
        <v>10506</v>
      </c>
      <c r="N3113" t="s">
        <v>10694</v>
      </c>
      <c r="P3113" t="s">
        <v>10751</v>
      </c>
      <c r="Q3113" t="s">
        <v>10780</v>
      </c>
      <c r="R3113" t="s">
        <v>10820</v>
      </c>
      <c r="T3113">
        <v>3600</v>
      </c>
      <c r="U3113">
        <v>300</v>
      </c>
      <c r="V3113">
        <v>59</v>
      </c>
      <c r="W3113">
        <v>1</v>
      </c>
      <c r="X3113">
        <v>0</v>
      </c>
      <c r="Y3113" t="s">
        <v>10830</v>
      </c>
      <c r="Z3113">
        <v>28.82</v>
      </c>
      <c r="AA3113">
        <v>40.729468</v>
      </c>
      <c r="AB3113">
        <v>-74.003865</v>
      </c>
      <c r="AD3113" t="s">
        <v>10839</v>
      </c>
      <c r="AG3113" t="s">
        <v>10858</v>
      </c>
      <c r="AH3113" t="s">
        <v>10866</v>
      </c>
      <c r="AI3113">
        <v>236</v>
      </c>
      <c r="AJ3113" t="s">
        <v>10209</v>
      </c>
      <c r="AK3113" t="s">
        <v>10838</v>
      </c>
      <c r="AL3113">
        <v>3.95</v>
      </c>
      <c r="AM3113" t="s">
        <v>10894</v>
      </c>
      <c r="AN3113" t="s">
        <v>10950</v>
      </c>
      <c r="AO3113" t="s">
        <v>11021</v>
      </c>
      <c r="AP3113" t="s">
        <v>11090</v>
      </c>
      <c r="AR3113" t="s">
        <v>11255</v>
      </c>
      <c r="AS3113" t="s">
        <v>9925</v>
      </c>
      <c r="AX3113" t="s">
        <v>10838</v>
      </c>
      <c r="AY3113" t="s">
        <v>10830</v>
      </c>
      <c r="AZ3113" t="s">
        <v>11682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</row>
    <row r="3114" spans="1:59">
      <c r="A3114" s="1">
        <f>HYPERLINK("https://lsnyc.legalserver.org/matter/dynamic-profile/view/1907165","19-1907165")</f>
        <v>0</v>
      </c>
      <c r="B3114" t="s">
        <v>2619</v>
      </c>
      <c r="C3114" t="s">
        <v>7404</v>
      </c>
      <c r="D3114" t="s">
        <v>9928</v>
      </c>
      <c r="E3114" t="s">
        <v>10075</v>
      </c>
      <c r="F3114">
        <v>11206</v>
      </c>
      <c r="G3114" t="s">
        <v>10093</v>
      </c>
      <c r="H3114" t="s">
        <v>10127</v>
      </c>
      <c r="I3114" t="s">
        <v>10168</v>
      </c>
      <c r="J3114" t="s">
        <v>10213</v>
      </c>
      <c r="K3114" t="s">
        <v>10217</v>
      </c>
      <c r="M3114" t="s">
        <v>10280</v>
      </c>
      <c r="N3114" t="s">
        <v>10671</v>
      </c>
      <c r="P3114" t="s">
        <v>10751</v>
      </c>
      <c r="Q3114" t="s">
        <v>10780</v>
      </c>
      <c r="R3114" t="s">
        <v>10821</v>
      </c>
      <c r="T3114">
        <v>3480</v>
      </c>
      <c r="U3114">
        <v>290</v>
      </c>
      <c r="V3114">
        <v>45</v>
      </c>
      <c r="W3114">
        <v>1</v>
      </c>
      <c r="X3114">
        <v>1</v>
      </c>
      <c r="Z3114">
        <v>20.58</v>
      </c>
      <c r="AA3114">
        <v>40.703006</v>
      </c>
      <c r="AB3114">
        <v>-73.938315</v>
      </c>
      <c r="AD3114" t="s">
        <v>10839</v>
      </c>
      <c r="AG3114" t="s">
        <v>10858</v>
      </c>
      <c r="AH3114" t="s">
        <v>10861</v>
      </c>
      <c r="AI3114">
        <v>234</v>
      </c>
      <c r="AJ3114" t="s">
        <v>10214</v>
      </c>
      <c r="AL3114">
        <v>1</v>
      </c>
      <c r="AM3114" t="s">
        <v>10886</v>
      </c>
      <c r="AN3114" t="s">
        <v>10942</v>
      </c>
      <c r="AO3114" t="s">
        <v>11011</v>
      </c>
      <c r="AP3114" t="s">
        <v>11071</v>
      </c>
      <c r="AR3114" t="s">
        <v>11292</v>
      </c>
      <c r="AS3114" t="s">
        <v>11595</v>
      </c>
      <c r="AT3114" t="s">
        <v>11641</v>
      </c>
      <c r="AX3114" t="s">
        <v>10838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</row>
    <row r="3115" spans="1:59">
      <c r="A3115" s="1">
        <f>HYPERLINK("https://lsnyc.legalserver.org/matter/dynamic-profile/view/1907166","19-1907166")</f>
        <v>0</v>
      </c>
      <c r="B3115" t="s">
        <v>2620</v>
      </c>
      <c r="C3115" t="s">
        <v>7405</v>
      </c>
      <c r="D3115" t="s">
        <v>9954</v>
      </c>
      <c r="E3115" t="s">
        <v>10075</v>
      </c>
      <c r="F3115">
        <v>11372</v>
      </c>
      <c r="G3115" t="s">
        <v>10092</v>
      </c>
      <c r="H3115" t="s">
        <v>10127</v>
      </c>
      <c r="I3115" t="s">
        <v>10169</v>
      </c>
      <c r="J3115" t="s">
        <v>10212</v>
      </c>
      <c r="K3115" t="s">
        <v>10217</v>
      </c>
      <c r="M3115" t="s">
        <v>10502</v>
      </c>
      <c r="N3115" t="s">
        <v>10671</v>
      </c>
      <c r="P3115" t="s">
        <v>10755</v>
      </c>
      <c r="Q3115" t="s">
        <v>10817</v>
      </c>
      <c r="R3115" t="s">
        <v>10821</v>
      </c>
      <c r="T3115">
        <v>49400</v>
      </c>
      <c r="U3115">
        <v>4116.67</v>
      </c>
      <c r="V3115">
        <v>18</v>
      </c>
      <c r="W3115">
        <v>4</v>
      </c>
      <c r="X3115">
        <v>3</v>
      </c>
      <c r="Z3115">
        <v>126.63</v>
      </c>
      <c r="AA3115">
        <v>40.757152</v>
      </c>
      <c r="AB3115">
        <v>-73.872435</v>
      </c>
      <c r="AD3115" t="s">
        <v>10840</v>
      </c>
      <c r="AF3115" t="s">
        <v>10843</v>
      </c>
      <c r="AG3115" t="s">
        <v>10859</v>
      </c>
      <c r="AH3115" t="s">
        <v>10861</v>
      </c>
      <c r="AI3115">
        <v>234</v>
      </c>
      <c r="AJ3115" t="s">
        <v>10214</v>
      </c>
      <c r="AL3115">
        <v>65.75</v>
      </c>
      <c r="AM3115" t="s">
        <v>10885</v>
      </c>
      <c r="AN3115" t="s">
        <v>10916</v>
      </c>
      <c r="AO3115" t="s">
        <v>11014</v>
      </c>
      <c r="AP3115" t="s">
        <v>11068</v>
      </c>
      <c r="AR3115" t="s">
        <v>11272</v>
      </c>
      <c r="AS3115" t="s">
        <v>11594</v>
      </c>
      <c r="AT3115" t="s">
        <v>11642</v>
      </c>
      <c r="AX3115" t="s">
        <v>10838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</row>
    <row r="3116" spans="1:59">
      <c r="A3116" s="1">
        <f>HYPERLINK("https://lsnyc.legalserver.org/matter/dynamic-profile/view/1907167","19-1907167")</f>
        <v>0</v>
      </c>
      <c r="B3116" t="s">
        <v>2621</v>
      </c>
      <c r="C3116" t="s">
        <v>7406</v>
      </c>
      <c r="D3116" t="s">
        <v>9926</v>
      </c>
      <c r="E3116" t="s">
        <v>10075</v>
      </c>
      <c r="F3116">
        <v>10458</v>
      </c>
      <c r="G3116" t="s">
        <v>10093</v>
      </c>
      <c r="H3116" t="s">
        <v>10127</v>
      </c>
      <c r="I3116" t="s">
        <v>10168</v>
      </c>
      <c r="J3116" t="s">
        <v>10213</v>
      </c>
      <c r="K3116" t="s">
        <v>10218</v>
      </c>
      <c r="L3116" t="s">
        <v>10166</v>
      </c>
      <c r="M3116" t="s">
        <v>10457</v>
      </c>
      <c r="N3116" t="s">
        <v>10698</v>
      </c>
      <c r="P3116" t="s">
        <v>10751</v>
      </c>
      <c r="Q3116" t="s">
        <v>10768</v>
      </c>
      <c r="R3116" t="s">
        <v>10821</v>
      </c>
      <c r="T3116">
        <v>10536</v>
      </c>
      <c r="U3116">
        <v>878</v>
      </c>
      <c r="V3116">
        <v>57</v>
      </c>
      <c r="W3116">
        <v>1</v>
      </c>
      <c r="X3116">
        <v>0</v>
      </c>
      <c r="Y3116" t="s">
        <v>10829</v>
      </c>
      <c r="Z3116">
        <v>84.36</v>
      </c>
      <c r="AA3116">
        <v>40.859009</v>
      </c>
      <c r="AB3116">
        <v>-73.887654</v>
      </c>
      <c r="AD3116" t="s">
        <v>10840</v>
      </c>
      <c r="AG3116" t="s">
        <v>10858</v>
      </c>
      <c r="AH3116" t="s">
        <v>10868</v>
      </c>
      <c r="AI3116">
        <v>239</v>
      </c>
      <c r="AJ3116" t="s">
        <v>10213</v>
      </c>
      <c r="AK3116" t="s">
        <v>10838</v>
      </c>
      <c r="AL3116">
        <v>4</v>
      </c>
      <c r="AM3116" t="s">
        <v>10884</v>
      </c>
      <c r="AN3116" t="s">
        <v>10907</v>
      </c>
      <c r="AO3116" t="s">
        <v>11002</v>
      </c>
      <c r="AP3116" t="s">
        <v>11056</v>
      </c>
      <c r="AR3116" t="s">
        <v>11331</v>
      </c>
      <c r="AS3116" t="s">
        <v>9926</v>
      </c>
      <c r="AT3116" t="s">
        <v>11642</v>
      </c>
      <c r="AX3116" t="s">
        <v>10838</v>
      </c>
      <c r="AY3116" t="s">
        <v>10829</v>
      </c>
      <c r="AZ3116" t="s">
        <v>11682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</row>
    <row r="3117" spans="1:59">
      <c r="A3117" s="1">
        <f>HYPERLINK("https://lsnyc.legalserver.org/matter/dynamic-profile/view/1907168","19-1907168")</f>
        <v>0</v>
      </c>
      <c r="B3117" t="s">
        <v>2622</v>
      </c>
      <c r="C3117" t="s">
        <v>7407</v>
      </c>
      <c r="D3117" t="s">
        <v>9928</v>
      </c>
      <c r="E3117" t="s">
        <v>10075</v>
      </c>
      <c r="F3117">
        <v>11215</v>
      </c>
      <c r="G3117" t="s">
        <v>10093</v>
      </c>
      <c r="H3117" t="s">
        <v>10127</v>
      </c>
      <c r="I3117" t="s">
        <v>10169</v>
      </c>
      <c r="J3117" t="s">
        <v>10213</v>
      </c>
      <c r="K3117" t="s">
        <v>10218</v>
      </c>
      <c r="L3117" t="s">
        <v>10116</v>
      </c>
      <c r="M3117" t="s">
        <v>10289</v>
      </c>
      <c r="N3117" t="s">
        <v>10671</v>
      </c>
      <c r="P3117" t="s">
        <v>10757</v>
      </c>
      <c r="Q3117" t="s">
        <v>10815</v>
      </c>
      <c r="R3117" t="s">
        <v>10823</v>
      </c>
      <c r="T3117">
        <v>13752</v>
      </c>
      <c r="U3117">
        <v>1146</v>
      </c>
      <c r="V3117">
        <v>78</v>
      </c>
      <c r="W3117">
        <v>2</v>
      </c>
      <c r="X3117">
        <v>0</v>
      </c>
      <c r="Y3117" t="s">
        <v>10829</v>
      </c>
      <c r="Z3117">
        <v>81.31999999999999</v>
      </c>
      <c r="AA3117">
        <v>40.659123</v>
      </c>
      <c r="AB3117">
        <v>-73.99008499999999</v>
      </c>
      <c r="AD3117" t="s">
        <v>10839</v>
      </c>
      <c r="AG3117" t="s">
        <v>10858</v>
      </c>
      <c r="AH3117" t="s">
        <v>10861</v>
      </c>
      <c r="AI3117">
        <v>234</v>
      </c>
      <c r="AJ3117" t="s">
        <v>10214</v>
      </c>
      <c r="AK3117" t="s">
        <v>10838</v>
      </c>
      <c r="AL3117">
        <v>4.55</v>
      </c>
      <c r="AM3117" t="s">
        <v>10886</v>
      </c>
      <c r="AN3117" t="s">
        <v>10921</v>
      </c>
      <c r="AO3117" t="s">
        <v>11008</v>
      </c>
      <c r="AP3117" t="s">
        <v>11069</v>
      </c>
      <c r="AR3117" t="s">
        <v>11274</v>
      </c>
      <c r="AS3117" t="s">
        <v>11595</v>
      </c>
      <c r="AT3117" t="s">
        <v>11641</v>
      </c>
      <c r="AX3117" t="s">
        <v>10838</v>
      </c>
      <c r="AY3117" t="s">
        <v>10829</v>
      </c>
      <c r="AZ3117" t="s">
        <v>11703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</row>
    <row r="3118" spans="1:59">
      <c r="A3118" s="1">
        <f>HYPERLINK("https://lsnyc.legalserver.org/matter/dynamic-profile/view/1907170","19-1907170")</f>
        <v>0</v>
      </c>
      <c r="B3118" t="s">
        <v>2623</v>
      </c>
      <c r="C3118" t="s">
        <v>7408</v>
      </c>
      <c r="D3118" t="s">
        <v>9926</v>
      </c>
      <c r="E3118" t="s">
        <v>10075</v>
      </c>
      <c r="F3118">
        <v>10453</v>
      </c>
      <c r="G3118" t="s">
        <v>10090</v>
      </c>
      <c r="H3118" t="s">
        <v>10127</v>
      </c>
      <c r="I3118" t="s">
        <v>10168</v>
      </c>
      <c r="J3118" t="s">
        <v>10210</v>
      </c>
      <c r="K3118" t="s">
        <v>10218</v>
      </c>
      <c r="L3118" t="s">
        <v>10127</v>
      </c>
      <c r="M3118" t="s">
        <v>10548</v>
      </c>
      <c r="N3118" t="s">
        <v>10737</v>
      </c>
      <c r="P3118" t="s">
        <v>10749</v>
      </c>
      <c r="Q3118" t="s">
        <v>10765</v>
      </c>
      <c r="R3118" t="s">
        <v>10824</v>
      </c>
      <c r="T3118">
        <v>0</v>
      </c>
      <c r="U3118">
        <v>0</v>
      </c>
      <c r="V3118">
        <v>58</v>
      </c>
      <c r="W3118">
        <v>1</v>
      </c>
      <c r="X3118">
        <v>0</v>
      </c>
      <c r="Y3118" t="s">
        <v>10829</v>
      </c>
      <c r="Z3118">
        <v>0</v>
      </c>
      <c r="AA3118">
        <v>40.853945</v>
      </c>
      <c r="AB3118">
        <v>-73.906375</v>
      </c>
      <c r="AC3118" t="s">
        <v>10837</v>
      </c>
      <c r="AD3118" t="s">
        <v>10840</v>
      </c>
      <c r="AG3118" t="s">
        <v>10858</v>
      </c>
      <c r="AH3118" t="s">
        <v>10874</v>
      </c>
      <c r="AI3118">
        <v>230</v>
      </c>
      <c r="AJ3118" t="s">
        <v>10210</v>
      </c>
      <c r="AK3118" t="s">
        <v>10838</v>
      </c>
      <c r="AL3118">
        <v>0.2</v>
      </c>
      <c r="AM3118" t="s">
        <v>10884</v>
      </c>
      <c r="AN3118" t="s">
        <v>10931</v>
      </c>
      <c r="AO3118" t="s">
        <v>11000</v>
      </c>
      <c r="AP3118" t="s">
        <v>11045</v>
      </c>
      <c r="AQ3118" t="s">
        <v>11101</v>
      </c>
      <c r="AR3118" t="s">
        <v>11267</v>
      </c>
      <c r="AS3118" t="s">
        <v>9926</v>
      </c>
      <c r="AY3118" t="s">
        <v>10829</v>
      </c>
      <c r="AZ3118" t="s">
        <v>11681</v>
      </c>
      <c r="BA3118" t="s">
        <v>11741</v>
      </c>
      <c r="BB3118">
        <v>0</v>
      </c>
      <c r="BC3118">
        <v>0</v>
      </c>
      <c r="BD3118">
        <v>0</v>
      </c>
      <c r="BE3118">
        <v>0</v>
      </c>
      <c r="BF3118">
        <v>1</v>
      </c>
      <c r="BG3118">
        <v>0</v>
      </c>
    </row>
    <row r="3119" spans="1:59">
      <c r="A3119" s="1">
        <f>HYPERLINK("https://lsnyc.legalserver.org/matter/dynamic-profile/view/1907171","19-1907171")</f>
        <v>0</v>
      </c>
      <c r="B3119" t="s">
        <v>2624</v>
      </c>
      <c r="C3119" t="s">
        <v>7409</v>
      </c>
      <c r="D3119" t="s">
        <v>9925</v>
      </c>
      <c r="E3119" t="s">
        <v>10075</v>
      </c>
      <c r="F3119">
        <v>10016</v>
      </c>
      <c r="G3119" t="s">
        <v>10089</v>
      </c>
      <c r="H3119" t="s">
        <v>10127</v>
      </c>
      <c r="I3119" t="s">
        <v>10168</v>
      </c>
      <c r="J3119" t="s">
        <v>10209</v>
      </c>
      <c r="K3119" t="s">
        <v>10217</v>
      </c>
      <c r="M3119" t="s">
        <v>10270</v>
      </c>
      <c r="N3119" t="s">
        <v>10721</v>
      </c>
      <c r="P3119" t="s">
        <v>10754</v>
      </c>
      <c r="Q3119" t="s">
        <v>10777</v>
      </c>
      <c r="R3119" t="s">
        <v>10821</v>
      </c>
      <c r="T3119">
        <v>35000</v>
      </c>
      <c r="U3119">
        <v>2916.67</v>
      </c>
      <c r="V3119">
        <v>50</v>
      </c>
      <c r="W3119">
        <v>1</v>
      </c>
      <c r="X3119">
        <v>2</v>
      </c>
      <c r="Z3119">
        <v>164.09</v>
      </c>
      <c r="AA3119">
        <v>40.748066</v>
      </c>
      <c r="AB3119">
        <v>-73.97286200000001</v>
      </c>
      <c r="AD3119" t="s">
        <v>10839</v>
      </c>
      <c r="AG3119" t="s">
        <v>10858</v>
      </c>
      <c r="AH3119" t="s">
        <v>10865</v>
      </c>
      <c r="AI3119">
        <v>236</v>
      </c>
      <c r="AJ3119" t="s">
        <v>10209</v>
      </c>
      <c r="AK3119" t="s">
        <v>10837</v>
      </c>
      <c r="AL3119">
        <v>9.75</v>
      </c>
      <c r="AM3119" t="s">
        <v>10891</v>
      </c>
      <c r="AN3119" t="s">
        <v>10910</v>
      </c>
      <c r="AO3119" t="s">
        <v>11026</v>
      </c>
      <c r="AP3119" t="s">
        <v>11091</v>
      </c>
      <c r="AQ3119" t="s">
        <v>11128</v>
      </c>
      <c r="AR3119" t="s">
        <v>11257</v>
      </c>
      <c r="AS3119" t="s">
        <v>9925</v>
      </c>
      <c r="AT3119" t="s">
        <v>11641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</row>
    <row r="3120" spans="1:59">
      <c r="A3120" s="1">
        <f>HYPERLINK("https://lsnyc.legalserver.org/matter/dynamic-profile/view/1907172","19-1907172")</f>
        <v>0</v>
      </c>
      <c r="B3120" t="s">
        <v>2625</v>
      </c>
      <c r="C3120" t="s">
        <v>7410</v>
      </c>
      <c r="D3120" t="s">
        <v>9925</v>
      </c>
      <c r="E3120" t="s">
        <v>10075</v>
      </c>
      <c r="F3120">
        <v>10026</v>
      </c>
      <c r="G3120" t="s">
        <v>10089</v>
      </c>
      <c r="H3120" t="s">
        <v>10127</v>
      </c>
      <c r="I3120" t="s">
        <v>10168</v>
      </c>
      <c r="J3120" t="s">
        <v>10209</v>
      </c>
      <c r="K3120" t="s">
        <v>10217</v>
      </c>
      <c r="M3120" t="s">
        <v>10394</v>
      </c>
      <c r="N3120" t="s">
        <v>10691</v>
      </c>
      <c r="P3120" t="s">
        <v>10751</v>
      </c>
      <c r="Q3120" t="s">
        <v>10776</v>
      </c>
      <c r="R3120" t="s">
        <v>10823</v>
      </c>
      <c r="T3120">
        <v>0</v>
      </c>
      <c r="U3120">
        <v>0</v>
      </c>
      <c r="V3120">
        <v>41</v>
      </c>
      <c r="W3120">
        <v>1</v>
      </c>
      <c r="X3120">
        <v>0</v>
      </c>
      <c r="Z3120">
        <v>0</v>
      </c>
      <c r="AA3120">
        <v>40.80201</v>
      </c>
      <c r="AB3120">
        <v>-73.945984</v>
      </c>
      <c r="AD3120" t="s">
        <v>10839</v>
      </c>
      <c r="AG3120" t="s">
        <v>10858</v>
      </c>
      <c r="AH3120" t="s">
        <v>10874</v>
      </c>
      <c r="AI3120">
        <v>236</v>
      </c>
      <c r="AJ3120" t="s">
        <v>10209</v>
      </c>
      <c r="AL3120">
        <v>4.2</v>
      </c>
      <c r="AM3120" t="s">
        <v>10887</v>
      </c>
      <c r="AN3120" t="s">
        <v>10936</v>
      </c>
      <c r="AO3120" t="s">
        <v>11016</v>
      </c>
      <c r="AP3120" t="s">
        <v>11076</v>
      </c>
      <c r="AR3120" t="s">
        <v>11267</v>
      </c>
      <c r="AS3120" t="s">
        <v>9925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</row>
    <row r="3121" spans="1:59">
      <c r="A3121" s="1">
        <f>HYPERLINK("https://lsnyc.legalserver.org/matter/dynamic-profile/view/1907173","19-1907173")</f>
        <v>0</v>
      </c>
      <c r="B3121" t="s">
        <v>1550</v>
      </c>
      <c r="C3121" t="s">
        <v>6369</v>
      </c>
      <c r="D3121" t="s">
        <v>9926</v>
      </c>
      <c r="E3121" t="s">
        <v>10075</v>
      </c>
      <c r="F3121">
        <v>10462</v>
      </c>
      <c r="G3121" t="s">
        <v>10090</v>
      </c>
      <c r="H3121" t="s">
        <v>10127</v>
      </c>
      <c r="I3121" t="s">
        <v>10168</v>
      </c>
      <c r="J3121" t="s">
        <v>10210</v>
      </c>
      <c r="K3121" t="s">
        <v>10218</v>
      </c>
      <c r="L3121" t="s">
        <v>10142</v>
      </c>
      <c r="M3121" t="s">
        <v>10406</v>
      </c>
      <c r="N3121" t="s">
        <v>10704</v>
      </c>
      <c r="P3121" t="s">
        <v>10751</v>
      </c>
      <c r="Q3121" t="s">
        <v>10786</v>
      </c>
      <c r="R3121" t="s">
        <v>10824</v>
      </c>
      <c r="T3121">
        <v>0</v>
      </c>
      <c r="U3121">
        <v>0</v>
      </c>
      <c r="V3121">
        <v>46</v>
      </c>
      <c r="W3121">
        <v>1</v>
      </c>
      <c r="X3121">
        <v>0</v>
      </c>
      <c r="Y3121" t="s">
        <v>10831</v>
      </c>
      <c r="Z3121">
        <v>0</v>
      </c>
      <c r="AA3121">
        <v>40.855232</v>
      </c>
      <c r="AB3121">
        <v>-73.864097</v>
      </c>
      <c r="AD3121" t="s">
        <v>10840</v>
      </c>
      <c r="AG3121" t="s">
        <v>10858</v>
      </c>
      <c r="AH3121" t="s">
        <v>10874</v>
      </c>
      <c r="AI3121">
        <v>230</v>
      </c>
      <c r="AJ3121" t="s">
        <v>10210</v>
      </c>
      <c r="AK3121" t="s">
        <v>10882</v>
      </c>
      <c r="AL3121">
        <v>1.05</v>
      </c>
      <c r="AR3121" t="s">
        <v>11267</v>
      </c>
      <c r="AS3121" t="s">
        <v>9926</v>
      </c>
      <c r="AY3121" t="s">
        <v>10831</v>
      </c>
      <c r="AZ3121" t="s">
        <v>11693</v>
      </c>
      <c r="BB3121">
        <v>0</v>
      </c>
      <c r="BC3121">
        <v>0</v>
      </c>
      <c r="BD3121">
        <v>0</v>
      </c>
      <c r="BE3121">
        <v>192</v>
      </c>
      <c r="BF3121">
        <v>0</v>
      </c>
      <c r="BG3121">
        <v>0</v>
      </c>
    </row>
    <row r="3122" spans="1:59">
      <c r="A3122" s="1">
        <f>HYPERLINK("https://lsnyc.legalserver.org/matter/dynamic-profile/view/1907174","19-1907174")</f>
        <v>0</v>
      </c>
      <c r="B3122" t="s">
        <v>2626</v>
      </c>
      <c r="C3122" t="s">
        <v>7411</v>
      </c>
      <c r="D3122" t="s">
        <v>9928</v>
      </c>
      <c r="E3122" t="s">
        <v>10075</v>
      </c>
      <c r="F3122">
        <v>11213</v>
      </c>
      <c r="G3122" t="s">
        <v>10093</v>
      </c>
      <c r="H3122" t="s">
        <v>10149</v>
      </c>
      <c r="I3122" t="s">
        <v>10168</v>
      </c>
      <c r="J3122" t="s">
        <v>10213</v>
      </c>
      <c r="K3122" t="s">
        <v>10217</v>
      </c>
      <c r="M3122" t="s">
        <v>10470</v>
      </c>
      <c r="N3122" t="s">
        <v>10653</v>
      </c>
      <c r="P3122" t="s">
        <v>10749</v>
      </c>
      <c r="Q3122" t="s">
        <v>10759</v>
      </c>
      <c r="R3122" t="s">
        <v>10824</v>
      </c>
      <c r="T3122">
        <v>56000</v>
      </c>
      <c r="U3122">
        <v>4666.67</v>
      </c>
      <c r="V3122">
        <v>63</v>
      </c>
      <c r="W3122">
        <v>1</v>
      </c>
      <c r="X3122">
        <v>0</v>
      </c>
      <c r="Z3122">
        <v>448.36</v>
      </c>
      <c r="AA3122">
        <v>40.675302</v>
      </c>
      <c r="AB3122">
        <v>-73.939699</v>
      </c>
      <c r="AC3122" t="s">
        <v>10838</v>
      </c>
      <c r="AD3122" t="s">
        <v>10839</v>
      </c>
      <c r="AG3122" t="s">
        <v>10858</v>
      </c>
      <c r="AH3122" t="s">
        <v>10860</v>
      </c>
      <c r="AI3122">
        <v>239</v>
      </c>
      <c r="AJ3122" t="s">
        <v>10213</v>
      </c>
      <c r="AL3122">
        <v>4.95</v>
      </c>
      <c r="AM3122" t="s">
        <v>10888</v>
      </c>
      <c r="AN3122" t="s">
        <v>10914</v>
      </c>
      <c r="AO3122" t="s">
        <v>11007</v>
      </c>
      <c r="AP3122" t="s">
        <v>11052</v>
      </c>
      <c r="AQ3122" t="s">
        <v>11098</v>
      </c>
      <c r="AR3122" t="s">
        <v>11257</v>
      </c>
      <c r="AS3122" t="s">
        <v>11595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</row>
    <row r="3123" spans="1:59">
      <c r="A3123" s="1">
        <f>HYPERLINK("https://lsnyc.legalserver.org/matter/dynamic-profile/view/1907175","19-1907175")</f>
        <v>0</v>
      </c>
      <c r="B3123" t="s">
        <v>2627</v>
      </c>
      <c r="C3123" t="s">
        <v>7412</v>
      </c>
      <c r="D3123" t="s">
        <v>9997</v>
      </c>
      <c r="E3123" t="s">
        <v>10075</v>
      </c>
      <c r="F3123">
        <v>11414</v>
      </c>
      <c r="G3123" t="s">
        <v>10092</v>
      </c>
      <c r="H3123" t="s">
        <v>10127</v>
      </c>
      <c r="I3123" t="s">
        <v>10168</v>
      </c>
      <c r="J3123" t="s">
        <v>10212</v>
      </c>
      <c r="K3123" t="s">
        <v>10217</v>
      </c>
      <c r="M3123" t="s">
        <v>10325</v>
      </c>
      <c r="N3123" t="s">
        <v>10671</v>
      </c>
      <c r="P3123" t="s">
        <v>10751</v>
      </c>
      <c r="Q3123" t="s">
        <v>10786</v>
      </c>
      <c r="R3123" t="s">
        <v>10821</v>
      </c>
      <c r="T3123">
        <v>7956</v>
      </c>
      <c r="U3123">
        <v>663</v>
      </c>
      <c r="V3123">
        <v>35</v>
      </c>
      <c r="W3123">
        <v>1</v>
      </c>
      <c r="X3123">
        <v>3</v>
      </c>
      <c r="Z3123">
        <v>30.9</v>
      </c>
      <c r="AA3123">
        <v>40.669755</v>
      </c>
      <c r="AB3123">
        <v>-73.849825</v>
      </c>
      <c r="AD3123" t="s">
        <v>10839</v>
      </c>
      <c r="AG3123" t="s">
        <v>10858</v>
      </c>
      <c r="AH3123" t="s">
        <v>10861</v>
      </c>
      <c r="AI3123">
        <v>234</v>
      </c>
      <c r="AJ3123" t="s">
        <v>10214</v>
      </c>
      <c r="AL3123">
        <v>10.88</v>
      </c>
      <c r="AM3123" t="s">
        <v>10889</v>
      </c>
      <c r="AN3123" t="s">
        <v>10958</v>
      </c>
      <c r="AO3123" t="s">
        <v>11024</v>
      </c>
      <c r="AP3123" t="s">
        <v>11088</v>
      </c>
      <c r="AR3123" t="s">
        <v>11385</v>
      </c>
      <c r="AS3123" t="s">
        <v>11594</v>
      </c>
      <c r="AT3123" t="s">
        <v>11641</v>
      </c>
      <c r="AX3123" t="s">
        <v>10838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</row>
    <row r="3124" spans="1:59">
      <c r="A3124" s="1">
        <f>HYPERLINK("https://lsnyc.legalserver.org/matter/dynamic-profile/view/1907176","19-1907176")</f>
        <v>0</v>
      </c>
      <c r="B3124" t="s">
        <v>2628</v>
      </c>
      <c r="C3124" t="s">
        <v>7413</v>
      </c>
      <c r="D3124" t="s">
        <v>9929</v>
      </c>
      <c r="E3124" t="s">
        <v>10075</v>
      </c>
      <c r="F3124">
        <v>10314</v>
      </c>
      <c r="G3124" t="s">
        <v>10093</v>
      </c>
      <c r="H3124" t="s">
        <v>10127</v>
      </c>
      <c r="I3124" t="s">
        <v>10168</v>
      </c>
      <c r="J3124" t="s">
        <v>10213</v>
      </c>
      <c r="K3124" t="s">
        <v>10218</v>
      </c>
      <c r="L3124" t="s">
        <v>10098</v>
      </c>
      <c r="M3124" t="s">
        <v>10289</v>
      </c>
      <c r="N3124" t="s">
        <v>10671</v>
      </c>
      <c r="P3124" t="s">
        <v>10757</v>
      </c>
      <c r="Q3124" t="s">
        <v>10789</v>
      </c>
      <c r="R3124" t="s">
        <v>10827</v>
      </c>
      <c r="T3124">
        <v>20364</v>
      </c>
      <c r="U3124">
        <v>1697</v>
      </c>
      <c r="V3124">
        <v>55</v>
      </c>
      <c r="W3124">
        <v>3</v>
      </c>
      <c r="X3124">
        <v>0</v>
      </c>
      <c r="Y3124" t="s">
        <v>10833</v>
      </c>
      <c r="Z3124">
        <v>95.47</v>
      </c>
      <c r="AA3124">
        <v>40.6145</v>
      </c>
      <c r="AB3124">
        <v>-74.12210399999999</v>
      </c>
      <c r="AD3124" t="s">
        <v>10840</v>
      </c>
      <c r="AF3124" t="s">
        <v>10843</v>
      </c>
      <c r="AG3124" t="s">
        <v>10859</v>
      </c>
      <c r="AH3124" t="s">
        <v>10871</v>
      </c>
      <c r="AI3124">
        <v>234</v>
      </c>
      <c r="AJ3124" t="s">
        <v>10214</v>
      </c>
      <c r="AK3124" t="s">
        <v>10838</v>
      </c>
      <c r="AL3124">
        <v>3.9</v>
      </c>
      <c r="AM3124" t="s">
        <v>10883</v>
      </c>
      <c r="AN3124" t="s">
        <v>10928</v>
      </c>
      <c r="AO3124" t="s">
        <v>10999</v>
      </c>
      <c r="AP3124" t="s">
        <v>11063</v>
      </c>
      <c r="AR3124" t="s">
        <v>11290</v>
      </c>
      <c r="AS3124" t="s">
        <v>11593</v>
      </c>
      <c r="AT3124" t="s">
        <v>11642</v>
      </c>
      <c r="AX3124" t="s">
        <v>10838</v>
      </c>
      <c r="AY3124" t="s">
        <v>10833</v>
      </c>
      <c r="AZ3124" t="s">
        <v>11716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</row>
    <row r="3125" spans="1:59">
      <c r="A3125" s="1">
        <f>HYPERLINK("https://lsnyc.legalserver.org/matter/dynamic-profile/view/1907178","19-1907178")</f>
        <v>0</v>
      </c>
      <c r="B3125" t="s">
        <v>2629</v>
      </c>
      <c r="C3125" t="s">
        <v>7414</v>
      </c>
      <c r="D3125" t="s">
        <v>9928</v>
      </c>
      <c r="E3125" t="s">
        <v>10075</v>
      </c>
      <c r="F3125">
        <v>11207</v>
      </c>
      <c r="G3125" t="s">
        <v>10093</v>
      </c>
      <c r="H3125" t="s">
        <v>10127</v>
      </c>
      <c r="I3125" t="s">
        <v>10168</v>
      </c>
      <c r="J3125" t="s">
        <v>10213</v>
      </c>
      <c r="K3125" t="s">
        <v>10218</v>
      </c>
      <c r="L3125" t="s">
        <v>10127</v>
      </c>
      <c r="M3125" t="s">
        <v>10437</v>
      </c>
      <c r="N3125" t="s">
        <v>10644</v>
      </c>
      <c r="P3125" t="s">
        <v>10757</v>
      </c>
      <c r="Q3125" t="s">
        <v>10815</v>
      </c>
      <c r="R3125" t="s">
        <v>10824</v>
      </c>
      <c r="T3125">
        <v>73200</v>
      </c>
      <c r="U3125">
        <v>6100</v>
      </c>
      <c r="V3125">
        <v>79</v>
      </c>
      <c r="W3125">
        <v>2</v>
      </c>
      <c r="X3125">
        <v>0</v>
      </c>
      <c r="Y3125" t="s">
        <v>10829</v>
      </c>
      <c r="Z3125">
        <v>432.88</v>
      </c>
      <c r="AA3125">
        <v>40.675905</v>
      </c>
      <c r="AB3125">
        <v>-73.89094799999999</v>
      </c>
      <c r="AC3125" t="s">
        <v>10837</v>
      </c>
      <c r="AD3125" t="s">
        <v>10840</v>
      </c>
      <c r="AG3125" t="s">
        <v>10858</v>
      </c>
      <c r="AH3125" t="s">
        <v>10862</v>
      </c>
      <c r="AI3125">
        <v>239</v>
      </c>
      <c r="AJ3125" t="s">
        <v>10213</v>
      </c>
      <c r="AK3125" t="s">
        <v>10838</v>
      </c>
      <c r="AL3125">
        <v>0.75</v>
      </c>
      <c r="AM3125" t="s">
        <v>10886</v>
      </c>
      <c r="AN3125" t="s">
        <v>10922</v>
      </c>
      <c r="AO3125" t="s">
        <v>11011</v>
      </c>
      <c r="AP3125" t="s">
        <v>11058</v>
      </c>
      <c r="AQ3125" t="s">
        <v>11229</v>
      </c>
      <c r="AR3125" t="s">
        <v>11496</v>
      </c>
      <c r="AS3125" t="s">
        <v>11595</v>
      </c>
      <c r="AY3125" t="s">
        <v>10829</v>
      </c>
      <c r="AZ3125" t="s">
        <v>11703</v>
      </c>
      <c r="BA3125" t="s">
        <v>11741</v>
      </c>
      <c r="BB3125">
        <v>0</v>
      </c>
      <c r="BC3125">
        <v>0</v>
      </c>
      <c r="BD3125">
        <v>0</v>
      </c>
      <c r="BE3125">
        <v>0</v>
      </c>
      <c r="BF3125">
        <v>1</v>
      </c>
      <c r="BG3125">
        <v>0</v>
      </c>
    </row>
    <row r="3126" spans="1:59">
      <c r="A3126" s="1">
        <f>HYPERLINK("https://lsnyc.legalserver.org/matter/dynamic-profile/view/1907179","19-1907179")</f>
        <v>0</v>
      </c>
      <c r="B3126" t="s">
        <v>235</v>
      </c>
      <c r="C3126" t="s">
        <v>5166</v>
      </c>
      <c r="D3126" t="s">
        <v>9946</v>
      </c>
      <c r="E3126" t="s">
        <v>10075</v>
      </c>
      <c r="F3126">
        <v>11385</v>
      </c>
      <c r="G3126" t="s">
        <v>10092</v>
      </c>
      <c r="H3126" t="s">
        <v>10113</v>
      </c>
      <c r="I3126" t="s">
        <v>10169</v>
      </c>
      <c r="J3126" t="s">
        <v>10212</v>
      </c>
      <c r="K3126" t="s">
        <v>10217</v>
      </c>
      <c r="M3126" t="s">
        <v>10343</v>
      </c>
      <c r="N3126" t="s">
        <v>10695</v>
      </c>
      <c r="P3126" t="s">
        <v>10749</v>
      </c>
      <c r="Q3126" t="s">
        <v>10765</v>
      </c>
      <c r="R3126" t="s">
        <v>10821</v>
      </c>
      <c r="T3126">
        <v>31200</v>
      </c>
      <c r="U3126">
        <v>2600</v>
      </c>
      <c r="V3126">
        <v>49</v>
      </c>
      <c r="W3126">
        <v>1</v>
      </c>
      <c r="X3126">
        <v>0</v>
      </c>
      <c r="Z3126">
        <v>249.8</v>
      </c>
      <c r="AA3126">
        <v>40.702723</v>
      </c>
      <c r="AB3126">
        <v>-73.90925799999999</v>
      </c>
      <c r="AD3126" t="s">
        <v>10839</v>
      </c>
      <c r="AF3126" t="s">
        <v>10843</v>
      </c>
      <c r="AG3126" t="s">
        <v>10859</v>
      </c>
      <c r="AH3126" t="s">
        <v>10862</v>
      </c>
      <c r="AI3126">
        <v>237</v>
      </c>
      <c r="AJ3126" t="s">
        <v>10212</v>
      </c>
      <c r="AL3126">
        <v>8.449999999999999</v>
      </c>
      <c r="AM3126" t="s">
        <v>10886</v>
      </c>
      <c r="AN3126" t="s">
        <v>10945</v>
      </c>
      <c r="AO3126" t="s">
        <v>11003</v>
      </c>
      <c r="AP3126" t="s">
        <v>11071</v>
      </c>
      <c r="AR3126" t="s">
        <v>11257</v>
      </c>
      <c r="AS3126" t="s">
        <v>11594</v>
      </c>
      <c r="BA3126" t="s">
        <v>11740</v>
      </c>
      <c r="BB3126">
        <v>0</v>
      </c>
      <c r="BC3126">
        <v>0</v>
      </c>
      <c r="BD3126">
        <v>0</v>
      </c>
      <c r="BE3126">
        <v>0</v>
      </c>
      <c r="BF3126">
        <v>2</v>
      </c>
      <c r="BG3126">
        <v>0</v>
      </c>
    </row>
    <row r="3127" spans="1:59">
      <c r="A3127" s="1">
        <f>HYPERLINK("https://lsnyc.legalserver.org/matter/dynamic-profile/view/1907181","19-1907181")</f>
        <v>0</v>
      </c>
      <c r="B3127" t="s">
        <v>2630</v>
      </c>
      <c r="C3127" t="s">
        <v>7415</v>
      </c>
      <c r="D3127" t="s">
        <v>9926</v>
      </c>
      <c r="E3127" t="s">
        <v>10075</v>
      </c>
      <c r="F3127">
        <v>10472</v>
      </c>
      <c r="G3127" t="s">
        <v>10090</v>
      </c>
      <c r="H3127" t="s">
        <v>10127</v>
      </c>
      <c r="I3127" t="s">
        <v>10169</v>
      </c>
      <c r="J3127" t="s">
        <v>10210</v>
      </c>
      <c r="K3127" t="s">
        <v>10217</v>
      </c>
      <c r="M3127" t="s">
        <v>10438</v>
      </c>
      <c r="N3127" t="s">
        <v>10665</v>
      </c>
      <c r="P3127" t="s">
        <v>10750</v>
      </c>
      <c r="Q3127" t="s">
        <v>10779</v>
      </c>
      <c r="R3127" t="s">
        <v>10821</v>
      </c>
      <c r="T3127">
        <v>9000</v>
      </c>
      <c r="U3127">
        <v>750</v>
      </c>
      <c r="V3127">
        <v>46</v>
      </c>
      <c r="W3127">
        <v>1</v>
      </c>
      <c r="X3127">
        <v>0</v>
      </c>
      <c r="Z3127">
        <v>72.06</v>
      </c>
      <c r="AA3127">
        <v>40.831649</v>
      </c>
      <c r="AB3127">
        <v>-73.86255800000001</v>
      </c>
      <c r="AD3127" t="s">
        <v>10840</v>
      </c>
      <c r="AF3127" t="s">
        <v>10843</v>
      </c>
      <c r="AG3127" t="s">
        <v>10859</v>
      </c>
      <c r="AH3127" t="s">
        <v>10861</v>
      </c>
      <c r="AI3127">
        <v>234</v>
      </c>
      <c r="AJ3127" t="s">
        <v>10214</v>
      </c>
      <c r="AL3127">
        <v>12.5</v>
      </c>
      <c r="AM3127" t="s">
        <v>10884</v>
      </c>
      <c r="AN3127" t="s">
        <v>10908</v>
      </c>
      <c r="AO3127" t="s">
        <v>11001</v>
      </c>
      <c r="AP3127" t="s">
        <v>11046</v>
      </c>
      <c r="AR3127" t="s">
        <v>11256</v>
      </c>
      <c r="AS3127" t="s">
        <v>9926</v>
      </c>
      <c r="AT3127" t="s">
        <v>11642</v>
      </c>
      <c r="AX3127" t="s">
        <v>10838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</row>
    <row r="3128" spans="1:59">
      <c r="A3128" s="1">
        <f>HYPERLINK("https://lsnyc.legalserver.org/matter/dynamic-profile/view/1907182","19-1907182")</f>
        <v>0</v>
      </c>
      <c r="B3128" t="s">
        <v>2631</v>
      </c>
      <c r="C3128" t="s">
        <v>5039</v>
      </c>
      <c r="D3128" t="s">
        <v>9929</v>
      </c>
      <c r="E3128" t="s">
        <v>10075</v>
      </c>
      <c r="F3128">
        <v>10301</v>
      </c>
      <c r="G3128" t="s">
        <v>10088</v>
      </c>
      <c r="H3128" t="s">
        <v>10140</v>
      </c>
      <c r="I3128" t="s">
        <v>10168</v>
      </c>
      <c r="J3128" t="s">
        <v>10208</v>
      </c>
      <c r="K3128" t="s">
        <v>10217</v>
      </c>
      <c r="M3128" t="s">
        <v>10254</v>
      </c>
      <c r="N3128" t="s">
        <v>10650</v>
      </c>
      <c r="P3128" t="s">
        <v>10749</v>
      </c>
      <c r="Q3128" t="s">
        <v>10774</v>
      </c>
      <c r="R3128" t="s">
        <v>10824</v>
      </c>
      <c r="T3128">
        <v>9252</v>
      </c>
      <c r="U3128">
        <v>771</v>
      </c>
      <c r="V3128">
        <v>60</v>
      </c>
      <c r="W3128">
        <v>1</v>
      </c>
      <c r="X3128">
        <v>0</v>
      </c>
      <c r="Z3128">
        <v>74.08</v>
      </c>
      <c r="AA3128">
        <v>40.646254</v>
      </c>
      <c r="AB3128">
        <v>-74.080727</v>
      </c>
      <c r="AD3128" t="s">
        <v>10839</v>
      </c>
      <c r="AG3128" t="s">
        <v>10858</v>
      </c>
      <c r="AH3128" t="s">
        <v>10862</v>
      </c>
      <c r="AI3128">
        <v>285</v>
      </c>
      <c r="AJ3128" t="s">
        <v>10208</v>
      </c>
      <c r="AL3128">
        <v>6.35</v>
      </c>
      <c r="AM3128" t="s">
        <v>10883</v>
      </c>
      <c r="AN3128" t="s">
        <v>10913</v>
      </c>
      <c r="AO3128" t="s">
        <v>11006</v>
      </c>
      <c r="AP3128" t="s">
        <v>11051</v>
      </c>
      <c r="AR3128" t="s">
        <v>11298</v>
      </c>
      <c r="AS3128" t="s">
        <v>11593</v>
      </c>
      <c r="AT3128" t="s">
        <v>11641</v>
      </c>
      <c r="BA3128" t="s">
        <v>11738</v>
      </c>
      <c r="BB3128">
        <v>0</v>
      </c>
      <c r="BC3128">
        <v>0</v>
      </c>
      <c r="BD3128">
        <v>0</v>
      </c>
      <c r="BE3128">
        <v>0</v>
      </c>
      <c r="BF3128">
        <v>5</v>
      </c>
      <c r="BG3128">
        <v>0</v>
      </c>
    </row>
    <row r="3129" spans="1:59">
      <c r="A3129" s="1">
        <f>HYPERLINK("https://lsnyc.legalserver.org/matter/dynamic-profile/view/1907183","19-1907183")</f>
        <v>0</v>
      </c>
      <c r="B3129" t="s">
        <v>2632</v>
      </c>
      <c r="C3129" t="s">
        <v>7416</v>
      </c>
      <c r="D3129" t="s">
        <v>9926</v>
      </c>
      <c r="E3129" t="s">
        <v>10075</v>
      </c>
      <c r="F3129">
        <v>10463</v>
      </c>
      <c r="G3129" t="s">
        <v>10091</v>
      </c>
      <c r="H3129" t="s">
        <v>10127</v>
      </c>
      <c r="I3129" t="s">
        <v>10169</v>
      </c>
      <c r="J3129" t="s">
        <v>10214</v>
      </c>
      <c r="K3129" t="s">
        <v>10217</v>
      </c>
      <c r="M3129" t="s">
        <v>10286</v>
      </c>
      <c r="N3129" t="s">
        <v>10671</v>
      </c>
      <c r="P3129" t="s">
        <v>10751</v>
      </c>
      <c r="Q3129" t="s">
        <v>10780</v>
      </c>
      <c r="R3129" t="s">
        <v>10823</v>
      </c>
      <c r="T3129">
        <v>0</v>
      </c>
      <c r="U3129">
        <v>0</v>
      </c>
      <c r="V3129">
        <v>83</v>
      </c>
      <c r="W3129">
        <v>1</v>
      </c>
      <c r="X3129">
        <v>0</v>
      </c>
      <c r="Z3129">
        <v>0</v>
      </c>
      <c r="AA3129">
        <v>40.873187</v>
      </c>
      <c r="AB3129">
        <v>-73.90521</v>
      </c>
      <c r="AD3129" t="s">
        <v>10839</v>
      </c>
      <c r="AF3129" t="s">
        <v>10843</v>
      </c>
      <c r="AG3129" t="s">
        <v>10859</v>
      </c>
      <c r="AH3129" t="s">
        <v>10861</v>
      </c>
      <c r="AI3129">
        <v>234</v>
      </c>
      <c r="AJ3129" t="s">
        <v>10214</v>
      </c>
      <c r="AL3129">
        <v>1</v>
      </c>
      <c r="AM3129" t="s">
        <v>10887</v>
      </c>
      <c r="AN3129" t="s">
        <v>10907</v>
      </c>
      <c r="AO3129" t="s">
        <v>11000</v>
      </c>
      <c r="AP3129" t="s">
        <v>11045</v>
      </c>
      <c r="AR3129" t="s">
        <v>11279</v>
      </c>
      <c r="AS3129" t="s">
        <v>9926</v>
      </c>
      <c r="AT3129" t="s">
        <v>11641</v>
      </c>
      <c r="AX3129" t="s">
        <v>10838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</row>
    <row r="3130" spans="1:59">
      <c r="A3130" s="1">
        <f>HYPERLINK("https://lsnyc.legalserver.org/matter/dynamic-profile/view/1907184","19-1907184")</f>
        <v>0</v>
      </c>
      <c r="B3130" t="s">
        <v>2633</v>
      </c>
      <c r="C3130" t="s">
        <v>7417</v>
      </c>
      <c r="D3130" t="s">
        <v>9926</v>
      </c>
      <c r="E3130" t="s">
        <v>10075</v>
      </c>
      <c r="F3130">
        <v>10467</v>
      </c>
      <c r="G3130" t="s">
        <v>10090</v>
      </c>
      <c r="H3130" t="s">
        <v>10127</v>
      </c>
      <c r="I3130" t="s">
        <v>10168</v>
      </c>
      <c r="J3130" t="s">
        <v>10210</v>
      </c>
      <c r="K3130" t="s">
        <v>10217</v>
      </c>
      <c r="M3130" t="s">
        <v>10279</v>
      </c>
      <c r="N3130" t="s">
        <v>10651</v>
      </c>
      <c r="P3130" t="s">
        <v>10749</v>
      </c>
      <c r="Q3130" t="s">
        <v>10765</v>
      </c>
      <c r="R3130" t="s">
        <v>10824</v>
      </c>
      <c r="T3130">
        <v>2184</v>
      </c>
      <c r="U3130">
        <v>182</v>
      </c>
      <c r="V3130">
        <v>56</v>
      </c>
      <c r="W3130">
        <v>2</v>
      </c>
      <c r="X3130">
        <v>0</v>
      </c>
      <c r="Z3130">
        <v>12.92</v>
      </c>
      <c r="AA3130">
        <v>40.862629</v>
      </c>
      <c r="AB3130">
        <v>-73.86963299999999</v>
      </c>
      <c r="AC3130" t="s">
        <v>10837</v>
      </c>
      <c r="AD3130" t="s">
        <v>10839</v>
      </c>
      <c r="AG3130" t="s">
        <v>10858</v>
      </c>
      <c r="AH3130" t="s">
        <v>10861</v>
      </c>
      <c r="AI3130">
        <v>234</v>
      </c>
      <c r="AJ3130" t="s">
        <v>10214</v>
      </c>
      <c r="AL3130">
        <v>3.2</v>
      </c>
      <c r="AM3130" t="s">
        <v>10885</v>
      </c>
      <c r="AN3130" t="s">
        <v>10938</v>
      </c>
      <c r="AO3130" t="s">
        <v>11002</v>
      </c>
      <c r="AP3130" t="s">
        <v>11056</v>
      </c>
      <c r="AR3130" t="s">
        <v>11344</v>
      </c>
      <c r="AS3130" t="s">
        <v>9926</v>
      </c>
      <c r="AT3130" t="s">
        <v>11641</v>
      </c>
      <c r="AX3130" t="s">
        <v>10838</v>
      </c>
      <c r="BA3130" t="s">
        <v>11738</v>
      </c>
      <c r="BB3130">
        <v>0</v>
      </c>
      <c r="BC3130">
        <v>0</v>
      </c>
      <c r="BD3130">
        <v>0</v>
      </c>
      <c r="BE3130">
        <v>0</v>
      </c>
      <c r="BF3130">
        <v>5</v>
      </c>
      <c r="BG3130">
        <v>0</v>
      </c>
    </row>
    <row r="3131" spans="1:59">
      <c r="A3131" s="1">
        <f>HYPERLINK("https://lsnyc.legalserver.org/matter/dynamic-profile/view/1907185","19-1907185")</f>
        <v>0</v>
      </c>
      <c r="B3131" t="s">
        <v>2634</v>
      </c>
      <c r="C3131" t="s">
        <v>7418</v>
      </c>
      <c r="D3131" t="s">
        <v>9925</v>
      </c>
      <c r="E3131" t="s">
        <v>10075</v>
      </c>
      <c r="F3131">
        <v>10002</v>
      </c>
      <c r="G3131" t="s">
        <v>10089</v>
      </c>
      <c r="H3131" t="s">
        <v>10127</v>
      </c>
      <c r="I3131" t="s">
        <v>10169</v>
      </c>
      <c r="J3131" t="s">
        <v>10209</v>
      </c>
      <c r="K3131" t="s">
        <v>10217</v>
      </c>
      <c r="M3131" t="s">
        <v>10266</v>
      </c>
      <c r="N3131" t="s">
        <v>10649</v>
      </c>
      <c r="P3131" t="s">
        <v>10753</v>
      </c>
      <c r="Q3131" t="s">
        <v>10763</v>
      </c>
      <c r="R3131" t="s">
        <v>10823</v>
      </c>
      <c r="T3131">
        <v>10344</v>
      </c>
      <c r="U3131">
        <v>862</v>
      </c>
      <c r="V3131">
        <v>61</v>
      </c>
      <c r="W3131">
        <v>3</v>
      </c>
      <c r="X3131">
        <v>0</v>
      </c>
      <c r="Z3131">
        <v>48.5</v>
      </c>
      <c r="AA3131">
        <v>40.717801</v>
      </c>
      <c r="AB3131">
        <v>-73.97906</v>
      </c>
      <c r="AD3131" t="s">
        <v>10840</v>
      </c>
      <c r="AF3131" t="s">
        <v>10843</v>
      </c>
      <c r="AG3131" t="s">
        <v>10859</v>
      </c>
      <c r="AH3131" t="s">
        <v>10864</v>
      </c>
      <c r="AI3131">
        <v>236</v>
      </c>
      <c r="AJ3131" t="s">
        <v>10209</v>
      </c>
      <c r="AL3131">
        <v>2.35</v>
      </c>
      <c r="AQ3131" t="s">
        <v>11230</v>
      </c>
      <c r="AR3131" t="s">
        <v>11268</v>
      </c>
      <c r="AS3131" t="s">
        <v>9925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</row>
    <row r="3132" spans="1:59">
      <c r="A3132" s="1">
        <f>HYPERLINK("https://lsnyc.legalserver.org/matter/dynamic-profile/view/1907186","19-1907186")</f>
        <v>0</v>
      </c>
      <c r="B3132" t="s">
        <v>2635</v>
      </c>
      <c r="C3132" t="s">
        <v>6937</v>
      </c>
      <c r="D3132" t="s">
        <v>9926</v>
      </c>
      <c r="E3132" t="s">
        <v>10075</v>
      </c>
      <c r="F3132">
        <v>10453</v>
      </c>
      <c r="G3132" t="s">
        <v>10090</v>
      </c>
      <c r="H3132" t="s">
        <v>10127</v>
      </c>
      <c r="I3132" t="s">
        <v>10168</v>
      </c>
      <c r="J3132" t="s">
        <v>10210</v>
      </c>
      <c r="K3132" t="s">
        <v>10217</v>
      </c>
      <c r="M3132" t="s">
        <v>10407</v>
      </c>
      <c r="N3132" t="s">
        <v>10671</v>
      </c>
      <c r="P3132" t="s">
        <v>10754</v>
      </c>
      <c r="Q3132" t="s">
        <v>10771</v>
      </c>
      <c r="R3132" t="s">
        <v>10824</v>
      </c>
      <c r="T3132">
        <v>7560</v>
      </c>
      <c r="U3132">
        <v>630</v>
      </c>
      <c r="V3132">
        <v>53</v>
      </c>
      <c r="W3132">
        <v>1</v>
      </c>
      <c r="X3132">
        <v>1</v>
      </c>
      <c r="Z3132">
        <v>44.71</v>
      </c>
      <c r="AA3132">
        <v>40.852195</v>
      </c>
      <c r="AB3132">
        <v>-73.922752</v>
      </c>
      <c r="AD3132" t="s">
        <v>10839</v>
      </c>
      <c r="AG3132" t="s">
        <v>10858</v>
      </c>
      <c r="AH3132" t="s">
        <v>10861</v>
      </c>
      <c r="AI3132">
        <v>234</v>
      </c>
      <c r="AJ3132" t="s">
        <v>10214</v>
      </c>
      <c r="AL3132">
        <v>2.3</v>
      </c>
      <c r="AM3132" t="s">
        <v>10887</v>
      </c>
      <c r="AN3132" t="s">
        <v>10929</v>
      </c>
      <c r="AO3132" t="s">
        <v>11013</v>
      </c>
      <c r="AP3132" t="s">
        <v>11055</v>
      </c>
      <c r="AR3132" t="s">
        <v>11274</v>
      </c>
      <c r="AS3132" t="s">
        <v>9926</v>
      </c>
      <c r="AT3132" t="s">
        <v>11641</v>
      </c>
      <c r="AX3132" t="s">
        <v>10838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</row>
    <row r="3133" spans="1:59">
      <c r="A3133" s="1">
        <f>HYPERLINK("https://lsnyc.legalserver.org/matter/dynamic-profile/view/1907187","19-1907187")</f>
        <v>0</v>
      </c>
      <c r="B3133" t="s">
        <v>2636</v>
      </c>
      <c r="C3133" t="s">
        <v>7419</v>
      </c>
      <c r="D3133" t="s">
        <v>9926</v>
      </c>
      <c r="E3133" t="s">
        <v>10075</v>
      </c>
      <c r="F3133">
        <v>10459</v>
      </c>
      <c r="G3133" t="s">
        <v>10090</v>
      </c>
      <c r="H3133" t="s">
        <v>10127</v>
      </c>
      <c r="I3133" t="s">
        <v>10169</v>
      </c>
      <c r="J3133" t="s">
        <v>10210</v>
      </c>
      <c r="K3133" t="s">
        <v>10217</v>
      </c>
      <c r="M3133" t="s">
        <v>10519</v>
      </c>
      <c r="N3133" t="s">
        <v>10723</v>
      </c>
      <c r="P3133" t="s">
        <v>10753</v>
      </c>
      <c r="Q3133" t="s">
        <v>10809</v>
      </c>
      <c r="R3133" t="s">
        <v>10821</v>
      </c>
      <c r="T3133">
        <v>5200</v>
      </c>
      <c r="U3133">
        <v>433.33</v>
      </c>
      <c r="V3133">
        <v>23</v>
      </c>
      <c r="W3133">
        <v>1</v>
      </c>
      <c r="X3133">
        <v>1</v>
      </c>
      <c r="Z3133">
        <v>30.75</v>
      </c>
      <c r="AA3133">
        <v>40.831288</v>
      </c>
      <c r="AB3133">
        <v>-73.887863</v>
      </c>
      <c r="AD3133" t="s">
        <v>10839</v>
      </c>
      <c r="AF3133" t="s">
        <v>10842</v>
      </c>
      <c r="AG3133" t="s">
        <v>10859</v>
      </c>
      <c r="AH3133" t="s">
        <v>10864</v>
      </c>
      <c r="AI3133">
        <v>230</v>
      </c>
      <c r="AJ3133" t="s">
        <v>10210</v>
      </c>
      <c r="AL3133">
        <v>1.5</v>
      </c>
      <c r="AM3133" t="s">
        <v>10884</v>
      </c>
      <c r="AN3133" t="s">
        <v>10968</v>
      </c>
      <c r="AO3133" t="s">
        <v>11001</v>
      </c>
      <c r="AP3133" t="s">
        <v>11062</v>
      </c>
      <c r="AQ3133" t="s">
        <v>11180</v>
      </c>
      <c r="AR3133" t="s">
        <v>11257</v>
      </c>
      <c r="AS3133" t="s">
        <v>9926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</row>
    <row r="3134" spans="1:59">
      <c r="A3134" s="1">
        <f>HYPERLINK("https://lsnyc.legalserver.org/matter/dynamic-profile/view/1907188","19-1907188")</f>
        <v>0</v>
      </c>
      <c r="B3134" t="s">
        <v>2637</v>
      </c>
      <c r="C3134" t="s">
        <v>7420</v>
      </c>
      <c r="D3134" t="s">
        <v>9938</v>
      </c>
      <c r="E3134" t="s">
        <v>10075</v>
      </c>
      <c r="F3134">
        <v>11432</v>
      </c>
      <c r="G3134" t="s">
        <v>10092</v>
      </c>
      <c r="H3134" t="s">
        <v>10127</v>
      </c>
      <c r="I3134" t="s">
        <v>10179</v>
      </c>
      <c r="J3134" t="s">
        <v>10212</v>
      </c>
      <c r="K3134" t="s">
        <v>10217</v>
      </c>
      <c r="M3134" t="s">
        <v>10374</v>
      </c>
      <c r="N3134" t="s">
        <v>10674</v>
      </c>
      <c r="O3134" t="s">
        <v>10699</v>
      </c>
      <c r="P3134" t="s">
        <v>10754</v>
      </c>
      <c r="Q3134" t="s">
        <v>10775</v>
      </c>
      <c r="R3134" t="s">
        <v>10828</v>
      </c>
      <c r="T3134">
        <v>16800</v>
      </c>
      <c r="U3134">
        <v>1400</v>
      </c>
      <c r="V3134">
        <v>40</v>
      </c>
      <c r="W3134">
        <v>2</v>
      </c>
      <c r="X3134">
        <v>3</v>
      </c>
      <c r="Z3134">
        <v>55.68</v>
      </c>
      <c r="AA3134">
        <v>40.710088</v>
      </c>
      <c r="AB3134">
        <v>-73.787085</v>
      </c>
      <c r="AD3134" t="s">
        <v>10839</v>
      </c>
      <c r="AF3134" t="s">
        <v>10843</v>
      </c>
      <c r="AG3134" t="s">
        <v>10859</v>
      </c>
      <c r="AH3134" t="s">
        <v>10865</v>
      </c>
      <c r="AI3134">
        <v>237</v>
      </c>
      <c r="AJ3134" t="s">
        <v>10212</v>
      </c>
      <c r="AL3134">
        <v>1.2</v>
      </c>
      <c r="AM3134" t="s">
        <v>10892</v>
      </c>
      <c r="AN3134" t="s">
        <v>10955</v>
      </c>
      <c r="AO3134" t="s">
        <v>11020</v>
      </c>
      <c r="AP3134" t="s">
        <v>11075</v>
      </c>
      <c r="AR3134" t="s">
        <v>11257</v>
      </c>
      <c r="AS3134" t="s">
        <v>11594</v>
      </c>
      <c r="AT3134" t="s">
        <v>11641</v>
      </c>
      <c r="AX3134" t="s">
        <v>10838</v>
      </c>
      <c r="BA3134" t="s">
        <v>11738</v>
      </c>
      <c r="BB3134">
        <v>0</v>
      </c>
      <c r="BC3134">
        <v>0</v>
      </c>
      <c r="BD3134">
        <v>0</v>
      </c>
      <c r="BE3134">
        <v>0</v>
      </c>
      <c r="BF3134">
        <v>5</v>
      </c>
      <c r="BG3134">
        <v>0</v>
      </c>
    </row>
    <row r="3135" spans="1:59">
      <c r="A3135" s="1">
        <f>HYPERLINK("https://lsnyc.legalserver.org/matter/dynamic-profile/view/1907189","19-1907189")</f>
        <v>0</v>
      </c>
      <c r="B3135" t="s">
        <v>2638</v>
      </c>
      <c r="C3135" t="s">
        <v>6236</v>
      </c>
      <c r="D3135" t="s">
        <v>9926</v>
      </c>
      <c r="E3135" t="s">
        <v>10075</v>
      </c>
      <c r="F3135">
        <v>10452</v>
      </c>
      <c r="G3135" t="s">
        <v>10090</v>
      </c>
      <c r="H3135" t="s">
        <v>10127</v>
      </c>
      <c r="I3135" t="s">
        <v>10168</v>
      </c>
      <c r="J3135" t="s">
        <v>10215</v>
      </c>
      <c r="K3135" t="s">
        <v>10217</v>
      </c>
      <c r="M3135" t="s">
        <v>10597</v>
      </c>
      <c r="N3135" t="s">
        <v>10671</v>
      </c>
      <c r="P3135" t="s">
        <v>10757</v>
      </c>
      <c r="Q3135" t="s">
        <v>10789</v>
      </c>
      <c r="R3135" t="s">
        <v>10825</v>
      </c>
      <c r="T3135">
        <v>20400</v>
      </c>
      <c r="U3135">
        <v>1700</v>
      </c>
      <c r="V3135">
        <v>53</v>
      </c>
      <c r="W3135">
        <v>1</v>
      </c>
      <c r="X3135">
        <v>0</v>
      </c>
      <c r="Z3135">
        <v>163.33</v>
      </c>
      <c r="AA3135">
        <v>40.832781</v>
      </c>
      <c r="AB3135">
        <v>-73.928279</v>
      </c>
      <c r="AD3135" t="s">
        <v>10839</v>
      </c>
      <c r="AG3135" t="s">
        <v>10858</v>
      </c>
      <c r="AH3135" t="s">
        <v>10861</v>
      </c>
      <c r="AI3135">
        <v>234</v>
      </c>
      <c r="AJ3135" t="s">
        <v>10214</v>
      </c>
      <c r="AL3135">
        <v>6.95</v>
      </c>
      <c r="AM3135" t="s">
        <v>10884</v>
      </c>
      <c r="AN3135" t="s">
        <v>10924</v>
      </c>
      <c r="AO3135" t="s">
        <v>11013</v>
      </c>
      <c r="AP3135" t="s">
        <v>11066</v>
      </c>
      <c r="AR3135" t="s">
        <v>11298</v>
      </c>
      <c r="AS3135" t="s">
        <v>9926</v>
      </c>
      <c r="AT3135" t="s">
        <v>11641</v>
      </c>
      <c r="AX3135" t="s">
        <v>10838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</row>
    <row r="3136" spans="1:59">
      <c r="A3136" s="1">
        <f>HYPERLINK("https://lsnyc.legalserver.org/matter/dynamic-profile/view/1907190","19-1907190")</f>
        <v>0</v>
      </c>
      <c r="B3136" t="s">
        <v>2639</v>
      </c>
      <c r="C3136" t="s">
        <v>7421</v>
      </c>
      <c r="D3136" t="s">
        <v>9928</v>
      </c>
      <c r="E3136" t="s">
        <v>10075</v>
      </c>
      <c r="F3136">
        <v>11221</v>
      </c>
      <c r="G3136" t="s">
        <v>10093</v>
      </c>
      <c r="H3136" t="s">
        <v>10127</v>
      </c>
      <c r="I3136" t="s">
        <v>10168</v>
      </c>
      <c r="J3136" t="s">
        <v>10213</v>
      </c>
      <c r="K3136" t="s">
        <v>10218</v>
      </c>
      <c r="L3136" t="s">
        <v>10156</v>
      </c>
      <c r="M3136" t="s">
        <v>10293</v>
      </c>
      <c r="N3136" t="s">
        <v>10644</v>
      </c>
      <c r="P3136" t="s">
        <v>10749</v>
      </c>
      <c r="Q3136" t="s">
        <v>10765</v>
      </c>
      <c r="R3136" t="s">
        <v>10824</v>
      </c>
      <c r="T3136">
        <v>29172</v>
      </c>
      <c r="U3136">
        <v>2431</v>
      </c>
      <c r="V3136">
        <v>72</v>
      </c>
      <c r="W3136">
        <v>1</v>
      </c>
      <c r="X3136">
        <v>0</v>
      </c>
      <c r="Y3136" t="s">
        <v>10830</v>
      </c>
      <c r="Z3136">
        <v>233.56</v>
      </c>
      <c r="AA3136">
        <v>40.690931</v>
      </c>
      <c r="AB3136">
        <v>-73.937318</v>
      </c>
      <c r="AD3136" t="s">
        <v>10839</v>
      </c>
      <c r="AG3136" t="s">
        <v>10858</v>
      </c>
      <c r="AH3136" t="s">
        <v>10869</v>
      </c>
      <c r="AI3136">
        <v>239</v>
      </c>
      <c r="AJ3136" t="s">
        <v>10213</v>
      </c>
      <c r="AK3136" t="s">
        <v>10838</v>
      </c>
      <c r="AL3136">
        <v>4.5</v>
      </c>
      <c r="AM3136" t="s">
        <v>10889</v>
      </c>
      <c r="AN3136" t="s">
        <v>10914</v>
      </c>
      <c r="AO3136" t="s">
        <v>11007</v>
      </c>
      <c r="AP3136" t="s">
        <v>11052</v>
      </c>
      <c r="AR3136" t="s">
        <v>11379</v>
      </c>
      <c r="AS3136" t="s">
        <v>11595</v>
      </c>
      <c r="AT3136" t="s">
        <v>11641</v>
      </c>
      <c r="AV3136" t="s">
        <v>11656</v>
      </c>
      <c r="AW3136" t="s">
        <v>11645</v>
      </c>
      <c r="AX3136" t="s">
        <v>10838</v>
      </c>
      <c r="AY3136" t="s">
        <v>10830</v>
      </c>
      <c r="AZ3136" t="s">
        <v>11681</v>
      </c>
      <c r="BA3136" t="s">
        <v>11740</v>
      </c>
      <c r="BB3136">
        <v>0</v>
      </c>
      <c r="BC3136">
        <v>0</v>
      </c>
      <c r="BD3136">
        <v>0</v>
      </c>
      <c r="BE3136">
        <v>0</v>
      </c>
      <c r="BF3136">
        <v>2</v>
      </c>
      <c r="BG3136">
        <v>0</v>
      </c>
    </row>
    <row r="3137" spans="1:59">
      <c r="A3137" s="1">
        <f>HYPERLINK("https://lsnyc.legalserver.org/matter/dynamic-profile/view/1907191","19-1907191")</f>
        <v>0</v>
      </c>
      <c r="B3137" t="s">
        <v>2640</v>
      </c>
      <c r="C3137" t="s">
        <v>7422</v>
      </c>
      <c r="D3137" t="s">
        <v>9925</v>
      </c>
      <c r="E3137" t="s">
        <v>10075</v>
      </c>
      <c r="F3137">
        <v>10026</v>
      </c>
      <c r="G3137" t="s">
        <v>10089</v>
      </c>
      <c r="H3137" t="s">
        <v>10127</v>
      </c>
      <c r="I3137" t="s">
        <v>10168</v>
      </c>
      <c r="J3137" t="s">
        <v>10209</v>
      </c>
      <c r="K3137" t="s">
        <v>10217</v>
      </c>
      <c r="M3137" t="s">
        <v>10302</v>
      </c>
      <c r="N3137" t="s">
        <v>10681</v>
      </c>
      <c r="P3137" t="s">
        <v>10754</v>
      </c>
      <c r="Q3137" t="s">
        <v>10777</v>
      </c>
      <c r="R3137" t="s">
        <v>10820</v>
      </c>
      <c r="T3137">
        <v>3666</v>
      </c>
      <c r="U3137">
        <v>305.5</v>
      </c>
      <c r="V3137">
        <v>31</v>
      </c>
      <c r="W3137">
        <v>1</v>
      </c>
      <c r="X3137">
        <v>1</v>
      </c>
      <c r="Z3137">
        <v>21.68</v>
      </c>
      <c r="AA3137">
        <v>40.806932</v>
      </c>
      <c r="AB3137">
        <v>-73.956856</v>
      </c>
      <c r="AD3137" t="s">
        <v>10839</v>
      </c>
      <c r="AG3137" t="s">
        <v>10858</v>
      </c>
      <c r="AH3137" t="s">
        <v>10865</v>
      </c>
      <c r="AI3137">
        <v>236</v>
      </c>
      <c r="AJ3137" t="s">
        <v>10209</v>
      </c>
      <c r="AL3137">
        <v>5.1</v>
      </c>
      <c r="AM3137" t="s">
        <v>10887</v>
      </c>
      <c r="AN3137" t="s">
        <v>10936</v>
      </c>
      <c r="AO3137" t="s">
        <v>11016</v>
      </c>
      <c r="AP3137" t="s">
        <v>11076</v>
      </c>
      <c r="AQ3137" t="s">
        <v>11128</v>
      </c>
      <c r="AR3137" t="s">
        <v>11306</v>
      </c>
      <c r="AS3137" t="s">
        <v>9925</v>
      </c>
      <c r="AT3137" t="s">
        <v>11641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</row>
    <row r="3138" spans="1:59">
      <c r="A3138" s="1">
        <f>HYPERLINK("https://lsnyc.legalserver.org/matter/dynamic-profile/view/1907192","19-1907192")</f>
        <v>0</v>
      </c>
      <c r="B3138" t="s">
        <v>2641</v>
      </c>
      <c r="C3138" t="s">
        <v>7423</v>
      </c>
      <c r="D3138" t="s">
        <v>9926</v>
      </c>
      <c r="E3138" t="s">
        <v>10075</v>
      </c>
      <c r="F3138">
        <v>10462</v>
      </c>
      <c r="G3138" t="s">
        <v>10090</v>
      </c>
      <c r="H3138" t="s">
        <v>10127</v>
      </c>
      <c r="I3138" t="s">
        <v>10168</v>
      </c>
      <c r="J3138" t="s">
        <v>10210</v>
      </c>
      <c r="K3138" t="s">
        <v>10217</v>
      </c>
      <c r="M3138" t="s">
        <v>10438</v>
      </c>
      <c r="N3138" t="s">
        <v>10665</v>
      </c>
      <c r="P3138" t="s">
        <v>10750</v>
      </c>
      <c r="Q3138" t="s">
        <v>10799</v>
      </c>
      <c r="R3138" t="s">
        <v>10820</v>
      </c>
      <c r="T3138">
        <v>11040</v>
      </c>
      <c r="U3138">
        <v>920</v>
      </c>
      <c r="V3138">
        <v>60</v>
      </c>
      <c r="W3138">
        <v>3</v>
      </c>
      <c r="X3138">
        <v>0</v>
      </c>
      <c r="Z3138">
        <v>51.76</v>
      </c>
      <c r="AA3138">
        <v>40.846025</v>
      </c>
      <c r="AB3138">
        <v>-73.859452</v>
      </c>
      <c r="AD3138" t="s">
        <v>10839</v>
      </c>
      <c r="AG3138" t="s">
        <v>10858</v>
      </c>
      <c r="AH3138" t="s">
        <v>10876</v>
      </c>
      <c r="AI3138">
        <v>230</v>
      </c>
      <c r="AJ3138" t="s">
        <v>10210</v>
      </c>
      <c r="AL3138">
        <v>11.35</v>
      </c>
      <c r="AM3138" t="s">
        <v>10885</v>
      </c>
      <c r="AN3138" t="s">
        <v>10938</v>
      </c>
      <c r="AO3138" t="s">
        <v>11000</v>
      </c>
      <c r="AP3138" t="s">
        <v>11049</v>
      </c>
      <c r="AQ3138" t="s">
        <v>11169</v>
      </c>
      <c r="AR3138" t="s">
        <v>11254</v>
      </c>
      <c r="AS3138" t="s">
        <v>9926</v>
      </c>
      <c r="AT3138" t="s">
        <v>11641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</row>
    <row r="3139" spans="1:59">
      <c r="A3139" s="1">
        <f>HYPERLINK("https://lsnyc.legalserver.org/matter/dynamic-profile/view/1907194","19-1907194")</f>
        <v>0</v>
      </c>
      <c r="B3139" t="s">
        <v>2642</v>
      </c>
      <c r="C3139" t="s">
        <v>7424</v>
      </c>
      <c r="D3139" t="s">
        <v>9928</v>
      </c>
      <c r="E3139" t="s">
        <v>10075</v>
      </c>
      <c r="F3139">
        <v>11216</v>
      </c>
      <c r="G3139" t="s">
        <v>10093</v>
      </c>
      <c r="H3139" t="s">
        <v>10127</v>
      </c>
      <c r="I3139" t="s">
        <v>10169</v>
      </c>
      <c r="J3139" t="s">
        <v>10213</v>
      </c>
      <c r="K3139" t="s">
        <v>10217</v>
      </c>
      <c r="M3139" t="s">
        <v>10464</v>
      </c>
      <c r="N3139" t="s">
        <v>10738</v>
      </c>
      <c r="P3139" t="s">
        <v>10755</v>
      </c>
      <c r="Q3139" t="s">
        <v>10772</v>
      </c>
      <c r="R3139" t="s">
        <v>10823</v>
      </c>
      <c r="T3139">
        <v>0</v>
      </c>
      <c r="U3139">
        <v>0</v>
      </c>
      <c r="V3139">
        <v>9</v>
      </c>
      <c r="W3139">
        <v>1</v>
      </c>
      <c r="X3139">
        <v>1</v>
      </c>
      <c r="Z3139">
        <v>0</v>
      </c>
      <c r="AA3139">
        <v>40.677529</v>
      </c>
      <c r="AB3139">
        <v>-73.951002</v>
      </c>
      <c r="AD3139" t="s">
        <v>10840</v>
      </c>
      <c r="AF3139" t="s">
        <v>10854</v>
      </c>
      <c r="AG3139" t="s">
        <v>10859</v>
      </c>
      <c r="AH3139" t="s">
        <v>10877</v>
      </c>
      <c r="AI3139">
        <v>239</v>
      </c>
      <c r="AJ3139" t="s">
        <v>10213</v>
      </c>
      <c r="AL3139">
        <v>16.95</v>
      </c>
      <c r="AM3139" t="s">
        <v>10889</v>
      </c>
      <c r="AN3139" t="s">
        <v>10923</v>
      </c>
      <c r="AO3139" t="s">
        <v>11007</v>
      </c>
      <c r="AP3139" t="s">
        <v>11052</v>
      </c>
      <c r="AR3139" t="s">
        <v>11267</v>
      </c>
      <c r="AS3139" t="s">
        <v>11595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</row>
    <row r="3140" spans="1:59">
      <c r="A3140" s="1">
        <f>HYPERLINK("https://lsnyc.legalserver.org/matter/dynamic-profile/view/1907195","19-1907195")</f>
        <v>0</v>
      </c>
      <c r="B3140" t="s">
        <v>2643</v>
      </c>
      <c r="C3140" t="s">
        <v>7425</v>
      </c>
      <c r="D3140" t="s">
        <v>9928</v>
      </c>
      <c r="E3140" t="s">
        <v>10075</v>
      </c>
      <c r="F3140">
        <v>11226</v>
      </c>
      <c r="G3140" t="s">
        <v>10093</v>
      </c>
      <c r="H3140" t="s">
        <v>10127</v>
      </c>
      <c r="I3140" t="s">
        <v>10168</v>
      </c>
      <c r="J3140" t="s">
        <v>10213</v>
      </c>
      <c r="K3140" t="s">
        <v>10218</v>
      </c>
      <c r="L3140" t="s">
        <v>10141</v>
      </c>
      <c r="M3140" t="s">
        <v>10443</v>
      </c>
      <c r="N3140" t="s">
        <v>10644</v>
      </c>
      <c r="P3140" t="s">
        <v>10756</v>
      </c>
      <c r="Q3140" t="s">
        <v>10802</v>
      </c>
      <c r="R3140" t="s">
        <v>10824</v>
      </c>
      <c r="T3140">
        <v>5496.24</v>
      </c>
      <c r="U3140">
        <v>458.02</v>
      </c>
      <c r="V3140">
        <v>80</v>
      </c>
      <c r="W3140">
        <v>1</v>
      </c>
      <c r="X3140">
        <v>0</v>
      </c>
      <c r="Y3140" t="s">
        <v>10830</v>
      </c>
      <c r="Z3140">
        <v>44.01</v>
      </c>
      <c r="AA3140">
        <v>40.652365</v>
      </c>
      <c r="AB3140">
        <v>-73.96439599999999</v>
      </c>
      <c r="AD3140" t="s">
        <v>10839</v>
      </c>
      <c r="AG3140" t="s">
        <v>10858</v>
      </c>
      <c r="AH3140" t="s">
        <v>10869</v>
      </c>
      <c r="AI3140">
        <v>239</v>
      </c>
      <c r="AJ3140" t="s">
        <v>10213</v>
      </c>
      <c r="AK3140" t="s">
        <v>10838</v>
      </c>
      <c r="AL3140">
        <v>2.25</v>
      </c>
      <c r="AM3140" t="s">
        <v>10888</v>
      </c>
      <c r="AN3140" t="s">
        <v>10932</v>
      </c>
      <c r="AO3140" t="s">
        <v>11008</v>
      </c>
      <c r="AP3140" t="s">
        <v>11050</v>
      </c>
      <c r="AR3140" t="s">
        <v>11274</v>
      </c>
      <c r="AS3140" t="s">
        <v>11595</v>
      </c>
      <c r="AT3140" t="s">
        <v>11641</v>
      </c>
      <c r="AW3140" t="s">
        <v>11645</v>
      </c>
      <c r="AY3140" t="s">
        <v>10830</v>
      </c>
      <c r="AZ3140" t="s">
        <v>11715</v>
      </c>
      <c r="BA3140" t="s">
        <v>11740</v>
      </c>
      <c r="BB3140">
        <v>0</v>
      </c>
      <c r="BC3140">
        <v>0</v>
      </c>
      <c r="BD3140">
        <v>0</v>
      </c>
      <c r="BE3140">
        <v>0</v>
      </c>
      <c r="BF3140">
        <v>2</v>
      </c>
      <c r="BG3140">
        <v>0</v>
      </c>
    </row>
    <row r="3141" spans="1:59">
      <c r="A3141" s="1">
        <f>HYPERLINK("https://lsnyc.legalserver.org/matter/dynamic-profile/view/1907196","19-1907196")</f>
        <v>0</v>
      </c>
      <c r="B3141" t="s">
        <v>2278</v>
      </c>
      <c r="C3141" t="s">
        <v>7426</v>
      </c>
      <c r="D3141" t="s">
        <v>9928</v>
      </c>
      <c r="E3141" t="s">
        <v>10075</v>
      </c>
      <c r="F3141">
        <v>11220</v>
      </c>
      <c r="G3141" t="s">
        <v>10093</v>
      </c>
      <c r="H3141" t="s">
        <v>10127</v>
      </c>
      <c r="I3141" t="s">
        <v>10169</v>
      </c>
      <c r="J3141" t="s">
        <v>10213</v>
      </c>
      <c r="K3141" t="s">
        <v>10218</v>
      </c>
      <c r="L3141" t="s">
        <v>10155</v>
      </c>
      <c r="M3141" t="s">
        <v>10390</v>
      </c>
      <c r="N3141" t="s">
        <v>10644</v>
      </c>
      <c r="P3141" t="s">
        <v>10749</v>
      </c>
      <c r="Q3141" t="s">
        <v>10791</v>
      </c>
      <c r="R3141" t="s">
        <v>10821</v>
      </c>
      <c r="T3141">
        <v>22080</v>
      </c>
      <c r="U3141">
        <v>1840</v>
      </c>
      <c r="V3141">
        <v>69</v>
      </c>
      <c r="W3141">
        <v>1</v>
      </c>
      <c r="X3141">
        <v>0</v>
      </c>
      <c r="Y3141" t="s">
        <v>10830</v>
      </c>
      <c r="Z3141">
        <v>176.78</v>
      </c>
      <c r="AA3141">
        <v>40.648163</v>
      </c>
      <c r="AB3141">
        <v>-74.01131100000001</v>
      </c>
      <c r="AD3141" t="s">
        <v>10839</v>
      </c>
      <c r="AG3141" t="s">
        <v>10858</v>
      </c>
      <c r="AH3141" t="s">
        <v>10869</v>
      </c>
      <c r="AI3141">
        <v>239</v>
      </c>
      <c r="AJ3141" t="s">
        <v>10213</v>
      </c>
      <c r="AK3141" t="s">
        <v>10838</v>
      </c>
      <c r="AL3141">
        <v>2.5</v>
      </c>
      <c r="AM3141" t="s">
        <v>10886</v>
      </c>
      <c r="AN3141" t="s">
        <v>10921</v>
      </c>
      <c r="AO3141" t="s">
        <v>11007</v>
      </c>
      <c r="AP3141" t="s">
        <v>11069</v>
      </c>
      <c r="AR3141" t="s">
        <v>11379</v>
      </c>
      <c r="AS3141" t="s">
        <v>11595</v>
      </c>
      <c r="AT3141" t="s">
        <v>11641</v>
      </c>
      <c r="AV3141" t="s">
        <v>11656</v>
      </c>
      <c r="AW3141" t="s">
        <v>11645</v>
      </c>
      <c r="AX3141" t="s">
        <v>10838</v>
      </c>
      <c r="AY3141" t="s">
        <v>10830</v>
      </c>
      <c r="AZ3141" t="s">
        <v>11697</v>
      </c>
      <c r="BA3141" t="s">
        <v>11742</v>
      </c>
      <c r="BB3141">
        <v>0</v>
      </c>
      <c r="BC3141">
        <v>0</v>
      </c>
      <c r="BD3141">
        <v>0</v>
      </c>
      <c r="BE3141">
        <v>0</v>
      </c>
      <c r="BF3141">
        <v>7</v>
      </c>
      <c r="BG3141">
        <v>0</v>
      </c>
    </row>
    <row r="3142" spans="1:59">
      <c r="A3142" s="1">
        <f>HYPERLINK("https://lsnyc.legalserver.org/matter/dynamic-profile/view/1907197","19-1907197")</f>
        <v>0</v>
      </c>
      <c r="B3142" t="s">
        <v>2644</v>
      </c>
      <c r="C3142" t="s">
        <v>7427</v>
      </c>
      <c r="D3142" t="s">
        <v>9928</v>
      </c>
      <c r="E3142" t="s">
        <v>10075</v>
      </c>
      <c r="F3142">
        <v>11228</v>
      </c>
      <c r="G3142" t="s">
        <v>10093</v>
      </c>
      <c r="H3142" t="s">
        <v>10127</v>
      </c>
      <c r="I3142" t="s">
        <v>10168</v>
      </c>
      <c r="J3142" t="s">
        <v>10213</v>
      </c>
      <c r="K3142" t="s">
        <v>10218</v>
      </c>
      <c r="L3142" t="s">
        <v>10108</v>
      </c>
      <c r="M3142" t="s">
        <v>10436</v>
      </c>
      <c r="N3142" t="s">
        <v>10710</v>
      </c>
      <c r="P3142" t="s">
        <v>10750</v>
      </c>
      <c r="Q3142" t="s">
        <v>10760</v>
      </c>
      <c r="R3142" t="s">
        <v>10820</v>
      </c>
      <c r="T3142">
        <v>0</v>
      </c>
      <c r="U3142">
        <v>0</v>
      </c>
      <c r="V3142">
        <v>47</v>
      </c>
      <c r="W3142">
        <v>1</v>
      </c>
      <c r="X3142">
        <v>0</v>
      </c>
      <c r="Y3142" t="s">
        <v>10829</v>
      </c>
      <c r="Z3142">
        <v>0</v>
      </c>
      <c r="AA3142">
        <v>40.622794</v>
      </c>
      <c r="AB3142">
        <v>-74.008793</v>
      </c>
      <c r="AD3142" t="s">
        <v>10839</v>
      </c>
      <c r="AG3142" t="s">
        <v>10858</v>
      </c>
      <c r="AH3142" t="s">
        <v>10861</v>
      </c>
      <c r="AI3142">
        <v>234</v>
      </c>
      <c r="AJ3142" t="s">
        <v>10214</v>
      </c>
      <c r="AK3142" t="s">
        <v>10838</v>
      </c>
      <c r="AL3142">
        <v>0.5</v>
      </c>
      <c r="AM3142" t="s">
        <v>10883</v>
      </c>
      <c r="AN3142" t="s">
        <v>10974</v>
      </c>
      <c r="AO3142" t="s">
        <v>11023</v>
      </c>
      <c r="AP3142" t="s">
        <v>11086</v>
      </c>
      <c r="AR3142" t="s">
        <v>11279</v>
      </c>
      <c r="AS3142" t="s">
        <v>11595</v>
      </c>
      <c r="AT3142" t="s">
        <v>11641</v>
      </c>
      <c r="AX3142" t="s">
        <v>10838</v>
      </c>
      <c r="AY3142" t="s">
        <v>10829</v>
      </c>
      <c r="AZ3142" t="s">
        <v>11679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</row>
    <row r="3143" spans="1:59">
      <c r="A3143" s="1">
        <f>HYPERLINK("https://lsnyc.legalserver.org/matter/dynamic-profile/view/1907198","19-1907198")</f>
        <v>0</v>
      </c>
      <c r="B3143" t="s">
        <v>2509</v>
      </c>
      <c r="C3143" t="s">
        <v>7428</v>
      </c>
      <c r="D3143" t="s">
        <v>9925</v>
      </c>
      <c r="E3143" t="s">
        <v>10075</v>
      </c>
      <c r="F3143">
        <v>10001</v>
      </c>
      <c r="G3143" t="s">
        <v>10089</v>
      </c>
      <c r="H3143" t="s">
        <v>10127</v>
      </c>
      <c r="I3143" t="s">
        <v>10168</v>
      </c>
      <c r="J3143" t="s">
        <v>10209</v>
      </c>
      <c r="K3143" t="s">
        <v>10218</v>
      </c>
      <c r="L3143" t="s">
        <v>10155</v>
      </c>
      <c r="M3143" t="s">
        <v>10472</v>
      </c>
      <c r="N3143" t="s">
        <v>10671</v>
      </c>
      <c r="P3143" t="s">
        <v>10751</v>
      </c>
      <c r="Q3143" t="s">
        <v>10761</v>
      </c>
      <c r="R3143" t="s">
        <v>10825</v>
      </c>
      <c r="T3143">
        <v>9828</v>
      </c>
      <c r="U3143">
        <v>819</v>
      </c>
      <c r="V3143">
        <v>65</v>
      </c>
      <c r="W3143">
        <v>1</v>
      </c>
      <c r="X3143">
        <v>0</v>
      </c>
      <c r="Y3143" t="s">
        <v>10829</v>
      </c>
      <c r="Z3143">
        <v>78.69</v>
      </c>
      <c r="AA3143">
        <v>40.7503</v>
      </c>
      <c r="AB3143">
        <v>-73.99634500000001</v>
      </c>
      <c r="AD3143" t="s">
        <v>10840</v>
      </c>
      <c r="AG3143" t="s">
        <v>10858</v>
      </c>
      <c r="AH3143" t="s">
        <v>10861</v>
      </c>
      <c r="AI3143">
        <v>234</v>
      </c>
      <c r="AJ3143" t="s">
        <v>10214</v>
      </c>
      <c r="AK3143" t="s">
        <v>10838</v>
      </c>
      <c r="AL3143">
        <v>4.25</v>
      </c>
      <c r="AM3143" t="s">
        <v>10894</v>
      </c>
      <c r="AN3143" t="s">
        <v>10966</v>
      </c>
      <c r="AO3143" t="s">
        <v>11021</v>
      </c>
      <c r="AP3143" t="s">
        <v>11090</v>
      </c>
      <c r="AR3143" t="s">
        <v>11452</v>
      </c>
      <c r="AS3143" t="s">
        <v>9925</v>
      </c>
      <c r="AT3143" t="s">
        <v>11642</v>
      </c>
      <c r="AX3143" t="s">
        <v>10838</v>
      </c>
      <c r="AY3143" t="s">
        <v>10829</v>
      </c>
      <c r="AZ3143" t="s">
        <v>11682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</row>
    <row r="3144" spans="1:59">
      <c r="A3144" s="1">
        <f>HYPERLINK("https://lsnyc.legalserver.org/matter/dynamic-profile/view/1907199","19-1907199")</f>
        <v>0</v>
      </c>
      <c r="B3144" t="s">
        <v>2645</v>
      </c>
      <c r="C3144" t="s">
        <v>7429</v>
      </c>
      <c r="D3144" t="s">
        <v>9926</v>
      </c>
      <c r="E3144" t="s">
        <v>10075</v>
      </c>
      <c r="F3144">
        <v>10462</v>
      </c>
      <c r="G3144" t="s">
        <v>10090</v>
      </c>
      <c r="H3144" t="s">
        <v>10127</v>
      </c>
      <c r="I3144" t="s">
        <v>10169</v>
      </c>
      <c r="J3144" t="s">
        <v>10210</v>
      </c>
      <c r="K3144" t="s">
        <v>10217</v>
      </c>
      <c r="M3144" t="s">
        <v>10596</v>
      </c>
      <c r="N3144" t="s">
        <v>10677</v>
      </c>
      <c r="P3144" t="s">
        <v>10757</v>
      </c>
      <c r="Q3144" t="s">
        <v>10797</v>
      </c>
      <c r="R3144" t="s">
        <v>10823</v>
      </c>
      <c r="T3144">
        <v>10296</v>
      </c>
      <c r="U3144">
        <v>858</v>
      </c>
      <c r="V3144">
        <v>64</v>
      </c>
      <c r="W3144">
        <v>1</v>
      </c>
      <c r="X3144">
        <v>0</v>
      </c>
      <c r="Z3144">
        <v>82.43000000000001</v>
      </c>
      <c r="AA3144">
        <v>40.853411</v>
      </c>
      <c r="AB3144">
        <v>-73.865482</v>
      </c>
      <c r="AD3144" t="s">
        <v>10839</v>
      </c>
      <c r="AG3144" t="s">
        <v>10858</v>
      </c>
      <c r="AH3144" t="s">
        <v>10861</v>
      </c>
      <c r="AI3144">
        <v>234</v>
      </c>
      <c r="AJ3144" t="s">
        <v>10214</v>
      </c>
      <c r="AL3144">
        <v>24.1</v>
      </c>
      <c r="AM3144" t="s">
        <v>10885</v>
      </c>
      <c r="AN3144" t="s">
        <v>10938</v>
      </c>
      <c r="AO3144" t="s">
        <v>11002</v>
      </c>
      <c r="AP3144" t="s">
        <v>11049</v>
      </c>
      <c r="AR3144" t="s">
        <v>11274</v>
      </c>
      <c r="AS3144" t="s">
        <v>9926</v>
      </c>
      <c r="AT3144" t="s">
        <v>11641</v>
      </c>
      <c r="AX3144" t="s">
        <v>10838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</row>
    <row r="3145" spans="1:59">
      <c r="A3145" s="1">
        <f>HYPERLINK("https://lsnyc.legalserver.org/matter/dynamic-profile/view/1907200","19-1907200")</f>
        <v>0</v>
      </c>
      <c r="B3145" t="s">
        <v>2646</v>
      </c>
      <c r="C3145" t="s">
        <v>7430</v>
      </c>
      <c r="D3145" t="s">
        <v>9928</v>
      </c>
      <c r="E3145" t="s">
        <v>10075</v>
      </c>
      <c r="F3145">
        <v>11207</v>
      </c>
      <c r="G3145" t="s">
        <v>10093</v>
      </c>
      <c r="H3145" t="s">
        <v>10151</v>
      </c>
      <c r="I3145" t="s">
        <v>10168</v>
      </c>
      <c r="J3145" t="s">
        <v>10213</v>
      </c>
      <c r="K3145" t="s">
        <v>10218</v>
      </c>
      <c r="L3145" t="s">
        <v>10166</v>
      </c>
      <c r="M3145" t="s">
        <v>10443</v>
      </c>
      <c r="N3145" t="s">
        <v>10644</v>
      </c>
      <c r="P3145" t="s">
        <v>10749</v>
      </c>
      <c r="Q3145" t="s">
        <v>10765</v>
      </c>
      <c r="R3145" t="s">
        <v>10824</v>
      </c>
      <c r="T3145">
        <v>21934.28</v>
      </c>
      <c r="U3145">
        <v>1827.86</v>
      </c>
      <c r="V3145">
        <v>86</v>
      </c>
      <c r="W3145">
        <v>2</v>
      </c>
      <c r="X3145">
        <v>0</v>
      </c>
      <c r="Y3145" t="s">
        <v>10829</v>
      </c>
      <c r="Z3145">
        <v>129.71</v>
      </c>
      <c r="AA3145">
        <v>40.68309</v>
      </c>
      <c r="AB3145">
        <v>-73.907551</v>
      </c>
      <c r="AD3145" t="s">
        <v>10840</v>
      </c>
      <c r="AG3145" t="s">
        <v>10858</v>
      </c>
      <c r="AH3145" t="s">
        <v>10869</v>
      </c>
      <c r="AI3145">
        <v>239</v>
      </c>
      <c r="AJ3145" t="s">
        <v>10213</v>
      </c>
      <c r="AK3145" t="s">
        <v>10838</v>
      </c>
      <c r="AL3145">
        <v>14</v>
      </c>
      <c r="AM3145" t="s">
        <v>10889</v>
      </c>
      <c r="AN3145" t="s">
        <v>10922</v>
      </c>
      <c r="AO3145" t="s">
        <v>11011</v>
      </c>
      <c r="AP3145" t="s">
        <v>11058</v>
      </c>
      <c r="AR3145" t="s">
        <v>11379</v>
      </c>
      <c r="AS3145" t="s">
        <v>11595</v>
      </c>
      <c r="AY3145" t="s">
        <v>10829</v>
      </c>
      <c r="AZ3145" t="s">
        <v>11681</v>
      </c>
      <c r="BA3145" t="s">
        <v>11740</v>
      </c>
      <c r="BB3145">
        <v>0</v>
      </c>
      <c r="BC3145">
        <v>0</v>
      </c>
      <c r="BD3145">
        <v>0</v>
      </c>
      <c r="BE3145">
        <v>0</v>
      </c>
      <c r="BF3145">
        <v>2</v>
      </c>
      <c r="BG3145">
        <v>0</v>
      </c>
    </row>
    <row r="3146" spans="1:59">
      <c r="A3146" s="1">
        <f>HYPERLINK("https://lsnyc.legalserver.org/matter/dynamic-profile/view/1907201","19-1907201")</f>
        <v>0</v>
      </c>
      <c r="B3146" t="s">
        <v>2647</v>
      </c>
      <c r="C3146" t="s">
        <v>7431</v>
      </c>
      <c r="D3146" t="s">
        <v>9926</v>
      </c>
      <c r="E3146" t="s">
        <v>10075</v>
      </c>
      <c r="F3146">
        <v>10468</v>
      </c>
      <c r="G3146" t="s">
        <v>10090</v>
      </c>
      <c r="H3146" t="s">
        <v>10127</v>
      </c>
      <c r="I3146" t="s">
        <v>10169</v>
      </c>
      <c r="J3146" t="s">
        <v>10210</v>
      </c>
      <c r="K3146" t="s">
        <v>10217</v>
      </c>
      <c r="M3146" t="s">
        <v>10412</v>
      </c>
      <c r="N3146" t="s">
        <v>10673</v>
      </c>
      <c r="P3146" t="s">
        <v>10753</v>
      </c>
      <c r="Q3146" t="s">
        <v>10763</v>
      </c>
      <c r="R3146" t="s">
        <v>10821</v>
      </c>
      <c r="T3146">
        <v>0</v>
      </c>
      <c r="U3146">
        <v>0</v>
      </c>
      <c r="V3146">
        <v>26</v>
      </c>
      <c r="W3146">
        <v>1</v>
      </c>
      <c r="X3146">
        <v>2</v>
      </c>
      <c r="Z3146">
        <v>0</v>
      </c>
      <c r="AA3146">
        <v>40.867054</v>
      </c>
      <c r="AB3146">
        <v>-73.89816</v>
      </c>
      <c r="AD3146" t="s">
        <v>10839</v>
      </c>
      <c r="AF3146" t="s">
        <v>10846</v>
      </c>
      <c r="AG3146" t="s">
        <v>10859</v>
      </c>
      <c r="AH3146" t="s">
        <v>10864</v>
      </c>
      <c r="AI3146">
        <v>230</v>
      </c>
      <c r="AJ3146" t="s">
        <v>10210</v>
      </c>
      <c r="AL3146">
        <v>2.8</v>
      </c>
      <c r="AM3146" t="s">
        <v>10887</v>
      </c>
      <c r="AN3146" t="s">
        <v>10907</v>
      </c>
      <c r="AO3146" t="s">
        <v>11000</v>
      </c>
      <c r="AP3146" t="s">
        <v>11045</v>
      </c>
      <c r="AQ3146" t="s">
        <v>11119</v>
      </c>
      <c r="AR3146" t="s">
        <v>11267</v>
      </c>
      <c r="AS3146" t="s">
        <v>9926</v>
      </c>
      <c r="AT3146" t="s">
        <v>11641</v>
      </c>
      <c r="AV3146" t="s">
        <v>11656</v>
      </c>
      <c r="AW3146" t="s">
        <v>11645</v>
      </c>
      <c r="AX3146" t="s">
        <v>10838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</row>
    <row r="3147" spans="1:59">
      <c r="A3147" s="1">
        <f>HYPERLINK("https://lsnyc.legalserver.org/matter/dynamic-profile/view/1907202","19-1907202")</f>
        <v>0</v>
      </c>
      <c r="B3147" t="s">
        <v>2648</v>
      </c>
      <c r="C3147" t="s">
        <v>7432</v>
      </c>
      <c r="D3147" t="s">
        <v>9938</v>
      </c>
      <c r="E3147" t="s">
        <v>10075</v>
      </c>
      <c r="F3147">
        <v>11433</v>
      </c>
      <c r="G3147" t="s">
        <v>10092</v>
      </c>
      <c r="H3147" t="s">
        <v>10127</v>
      </c>
      <c r="J3147" t="s">
        <v>10212</v>
      </c>
      <c r="K3147" t="s">
        <v>10217</v>
      </c>
      <c r="M3147" t="s">
        <v>10441</v>
      </c>
      <c r="N3147" t="s">
        <v>10656</v>
      </c>
      <c r="P3147" t="s">
        <v>10751</v>
      </c>
      <c r="Q3147" t="s">
        <v>10780</v>
      </c>
      <c r="R3147" t="s">
        <v>10824</v>
      </c>
      <c r="T3147">
        <v>1308</v>
      </c>
      <c r="U3147">
        <v>109</v>
      </c>
      <c r="V3147">
        <v>40</v>
      </c>
      <c r="W3147">
        <v>1</v>
      </c>
      <c r="X3147">
        <v>0</v>
      </c>
      <c r="Z3147">
        <v>10.47</v>
      </c>
      <c r="AA3147">
        <v>40.696221</v>
      </c>
      <c r="AB3147">
        <v>-73.789613</v>
      </c>
      <c r="AD3147" t="s">
        <v>10839</v>
      </c>
      <c r="AG3147" t="s">
        <v>10858</v>
      </c>
      <c r="AH3147" t="s">
        <v>10866</v>
      </c>
      <c r="AI3147">
        <v>237</v>
      </c>
      <c r="AJ3147" t="s">
        <v>10212</v>
      </c>
      <c r="AL3147">
        <v>6</v>
      </c>
      <c r="AM3147" t="s">
        <v>10892</v>
      </c>
      <c r="AN3147" t="s">
        <v>10951</v>
      </c>
      <c r="AO3147" t="s">
        <v>11020</v>
      </c>
      <c r="AP3147" t="s">
        <v>11075</v>
      </c>
      <c r="AQ3147" t="s">
        <v>11118</v>
      </c>
      <c r="AR3147" t="s">
        <v>11471</v>
      </c>
      <c r="AS3147" t="s">
        <v>11594</v>
      </c>
      <c r="AT3147" t="s">
        <v>11641</v>
      </c>
      <c r="AU3147" t="s">
        <v>10838</v>
      </c>
      <c r="AV3147" t="s">
        <v>11641</v>
      </c>
      <c r="AW3147" t="s">
        <v>11667</v>
      </c>
      <c r="AX3147" t="s">
        <v>10838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</row>
    <row r="3148" spans="1:59">
      <c r="A3148" s="1">
        <f>HYPERLINK("https://lsnyc.legalserver.org/matter/dynamic-profile/view/1907203","19-1907203")</f>
        <v>0</v>
      </c>
      <c r="B3148" t="s">
        <v>2649</v>
      </c>
      <c r="C3148" t="s">
        <v>7433</v>
      </c>
      <c r="D3148" t="s">
        <v>9926</v>
      </c>
      <c r="E3148" t="s">
        <v>10075</v>
      </c>
      <c r="F3148">
        <v>10468</v>
      </c>
      <c r="G3148" t="s">
        <v>10090</v>
      </c>
      <c r="H3148" t="s">
        <v>10127</v>
      </c>
      <c r="I3148" t="s">
        <v>10168</v>
      </c>
      <c r="J3148" t="s">
        <v>10210</v>
      </c>
      <c r="K3148" t="s">
        <v>10217</v>
      </c>
      <c r="M3148" t="s">
        <v>10597</v>
      </c>
      <c r="N3148" t="s">
        <v>10688</v>
      </c>
      <c r="P3148" t="s">
        <v>10751</v>
      </c>
      <c r="Q3148" t="s">
        <v>10776</v>
      </c>
      <c r="R3148" t="s">
        <v>10823</v>
      </c>
      <c r="T3148">
        <v>24869.12</v>
      </c>
      <c r="U3148">
        <v>2072.43</v>
      </c>
      <c r="V3148">
        <v>35</v>
      </c>
      <c r="W3148">
        <v>2</v>
      </c>
      <c r="X3148">
        <v>2</v>
      </c>
      <c r="Z3148">
        <v>96.58</v>
      </c>
      <c r="AA3148">
        <v>40.866406</v>
      </c>
      <c r="AB3148">
        <v>-73.898667</v>
      </c>
      <c r="AD3148" t="s">
        <v>10839</v>
      </c>
      <c r="AG3148" t="s">
        <v>10858</v>
      </c>
      <c r="AH3148" t="s">
        <v>10874</v>
      </c>
      <c r="AI3148">
        <v>230</v>
      </c>
      <c r="AJ3148" t="s">
        <v>10210</v>
      </c>
      <c r="AL3148">
        <v>11.95</v>
      </c>
      <c r="AM3148" t="s">
        <v>10887</v>
      </c>
      <c r="AN3148" t="s">
        <v>10907</v>
      </c>
      <c r="AO3148" t="s">
        <v>11000</v>
      </c>
      <c r="AP3148" t="s">
        <v>11045</v>
      </c>
      <c r="AQ3148" t="s">
        <v>11231</v>
      </c>
      <c r="AR3148" t="s">
        <v>11497</v>
      </c>
      <c r="AS3148" t="s">
        <v>9926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</row>
    <row r="3149" spans="1:59">
      <c r="A3149" s="1">
        <f>HYPERLINK("https://lsnyc.legalserver.org/matter/dynamic-profile/view/1907204","19-1907204")</f>
        <v>0</v>
      </c>
      <c r="B3149" t="s">
        <v>2650</v>
      </c>
      <c r="C3149" t="s">
        <v>7434</v>
      </c>
      <c r="D3149" t="s">
        <v>10000</v>
      </c>
      <c r="E3149" t="s">
        <v>10075</v>
      </c>
      <c r="F3149">
        <v>11413</v>
      </c>
      <c r="G3149" t="s">
        <v>10092</v>
      </c>
      <c r="H3149" t="s">
        <v>10127</v>
      </c>
      <c r="I3149" t="s">
        <v>10168</v>
      </c>
      <c r="J3149" t="s">
        <v>10212</v>
      </c>
      <c r="K3149" t="s">
        <v>10218</v>
      </c>
      <c r="L3149" t="s">
        <v>10158</v>
      </c>
      <c r="M3149" t="s">
        <v>10527</v>
      </c>
      <c r="N3149" t="s">
        <v>10694</v>
      </c>
      <c r="P3149" t="s">
        <v>10751</v>
      </c>
      <c r="Q3149" t="s">
        <v>10780</v>
      </c>
      <c r="R3149" t="s">
        <v>10824</v>
      </c>
      <c r="T3149">
        <v>27340</v>
      </c>
      <c r="U3149">
        <v>2278.33</v>
      </c>
      <c r="V3149">
        <v>9</v>
      </c>
      <c r="W3149">
        <v>2</v>
      </c>
      <c r="X3149">
        <v>2</v>
      </c>
      <c r="Y3149" t="s">
        <v>10829</v>
      </c>
      <c r="Z3149">
        <v>106.17</v>
      </c>
      <c r="AA3149">
        <v>40.680549</v>
      </c>
      <c r="AB3149">
        <v>-73.739738</v>
      </c>
      <c r="AD3149" t="s">
        <v>10839</v>
      </c>
      <c r="AG3149" t="s">
        <v>10858</v>
      </c>
      <c r="AH3149" t="s">
        <v>10871</v>
      </c>
      <c r="AI3149">
        <v>234</v>
      </c>
      <c r="AJ3149" t="s">
        <v>10214</v>
      </c>
      <c r="AK3149" t="s">
        <v>10838</v>
      </c>
      <c r="AL3149">
        <v>8</v>
      </c>
      <c r="AM3149" t="s">
        <v>10892</v>
      </c>
      <c r="AN3149" t="s">
        <v>10955</v>
      </c>
      <c r="AO3149" t="s">
        <v>11020</v>
      </c>
      <c r="AP3149" t="s">
        <v>11082</v>
      </c>
      <c r="AR3149" t="s">
        <v>11498</v>
      </c>
      <c r="AS3149" t="s">
        <v>11594</v>
      </c>
      <c r="AT3149" t="s">
        <v>11641</v>
      </c>
      <c r="AX3149" t="s">
        <v>10838</v>
      </c>
      <c r="AY3149" t="s">
        <v>10829</v>
      </c>
      <c r="AZ3149" t="s">
        <v>11682</v>
      </c>
      <c r="BA3149" t="s">
        <v>11741</v>
      </c>
      <c r="BB3149">
        <v>0</v>
      </c>
      <c r="BC3149">
        <v>0</v>
      </c>
      <c r="BD3149">
        <v>0</v>
      </c>
      <c r="BE3149">
        <v>0</v>
      </c>
      <c r="BF3149">
        <v>1</v>
      </c>
      <c r="BG3149">
        <v>0</v>
      </c>
    </row>
    <row r="3150" spans="1:59">
      <c r="A3150" s="1">
        <f>HYPERLINK("https://lsnyc.legalserver.org/matter/dynamic-profile/view/1907206","19-1907206")</f>
        <v>0</v>
      </c>
      <c r="B3150" t="s">
        <v>597</v>
      </c>
      <c r="C3150" t="s">
        <v>5683</v>
      </c>
      <c r="D3150" t="s">
        <v>9926</v>
      </c>
      <c r="E3150" t="s">
        <v>10075</v>
      </c>
      <c r="F3150">
        <v>10467</v>
      </c>
      <c r="G3150" t="s">
        <v>10090</v>
      </c>
      <c r="H3150" t="s">
        <v>10127</v>
      </c>
      <c r="I3150" t="s">
        <v>10168</v>
      </c>
      <c r="J3150" t="s">
        <v>10210</v>
      </c>
      <c r="K3150" t="s">
        <v>10217</v>
      </c>
      <c r="M3150" t="s">
        <v>10333</v>
      </c>
      <c r="N3150" t="s">
        <v>10683</v>
      </c>
      <c r="P3150" t="s">
        <v>10751</v>
      </c>
      <c r="Q3150" t="s">
        <v>10761</v>
      </c>
      <c r="R3150" t="s">
        <v>10824</v>
      </c>
      <c r="T3150">
        <v>0</v>
      </c>
      <c r="U3150">
        <v>0</v>
      </c>
      <c r="V3150">
        <v>53</v>
      </c>
      <c r="W3150">
        <v>1</v>
      </c>
      <c r="X3150">
        <v>0</v>
      </c>
      <c r="Z3150">
        <v>0</v>
      </c>
      <c r="AA3150">
        <v>40.872079</v>
      </c>
      <c r="AB3150">
        <v>-73.865025</v>
      </c>
      <c r="AD3150" t="s">
        <v>10839</v>
      </c>
      <c r="AG3150" t="s">
        <v>10858</v>
      </c>
      <c r="AH3150" t="s">
        <v>10865</v>
      </c>
      <c r="AI3150">
        <v>230</v>
      </c>
      <c r="AJ3150" t="s">
        <v>10210</v>
      </c>
      <c r="AL3150">
        <v>2.3</v>
      </c>
      <c r="AQ3150" t="s">
        <v>11135</v>
      </c>
      <c r="AR3150" t="s">
        <v>11267</v>
      </c>
      <c r="AS3150" t="s">
        <v>9926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</row>
    <row r="3151" spans="1:59">
      <c r="A3151" s="1">
        <f>HYPERLINK("https://lsnyc.legalserver.org/matter/dynamic-profile/view/1907207","19-1907207")</f>
        <v>0</v>
      </c>
      <c r="B3151" t="s">
        <v>124</v>
      </c>
      <c r="C3151" t="s">
        <v>7430</v>
      </c>
      <c r="D3151" t="s">
        <v>9928</v>
      </c>
      <c r="E3151" t="s">
        <v>10075</v>
      </c>
      <c r="F3151">
        <v>11207</v>
      </c>
      <c r="G3151" t="s">
        <v>10093</v>
      </c>
      <c r="H3151" t="s">
        <v>10127</v>
      </c>
      <c r="I3151" t="s">
        <v>10168</v>
      </c>
      <c r="J3151" t="s">
        <v>10213</v>
      </c>
      <c r="K3151" t="s">
        <v>10218</v>
      </c>
      <c r="L3151" t="s">
        <v>10166</v>
      </c>
      <c r="M3151" t="s">
        <v>10443</v>
      </c>
      <c r="N3151" t="s">
        <v>10644</v>
      </c>
      <c r="P3151" t="s">
        <v>10756</v>
      </c>
      <c r="Q3151" t="s">
        <v>10802</v>
      </c>
      <c r="R3151" t="s">
        <v>10824</v>
      </c>
      <c r="T3151">
        <v>13068</v>
      </c>
      <c r="U3151">
        <v>1089</v>
      </c>
      <c r="V3151">
        <v>60</v>
      </c>
      <c r="W3151">
        <v>2</v>
      </c>
      <c r="X3151">
        <v>0</v>
      </c>
      <c r="Y3151" t="s">
        <v>10829</v>
      </c>
      <c r="Z3151">
        <v>77.28</v>
      </c>
      <c r="AA3151">
        <v>40.68309</v>
      </c>
      <c r="AB3151">
        <v>-73.907551</v>
      </c>
      <c r="AD3151" t="s">
        <v>10840</v>
      </c>
      <c r="AG3151" t="s">
        <v>10858</v>
      </c>
      <c r="AH3151" t="s">
        <v>10869</v>
      </c>
      <c r="AI3151">
        <v>239</v>
      </c>
      <c r="AJ3151" t="s">
        <v>10213</v>
      </c>
      <c r="AK3151" t="s">
        <v>10838</v>
      </c>
      <c r="AL3151">
        <v>7.5</v>
      </c>
      <c r="AM3151" t="s">
        <v>10889</v>
      </c>
      <c r="AN3151" t="s">
        <v>10922</v>
      </c>
      <c r="AO3151" t="s">
        <v>11011</v>
      </c>
      <c r="AP3151" t="s">
        <v>11058</v>
      </c>
      <c r="AR3151" t="s">
        <v>11367</v>
      </c>
      <c r="AS3151" t="s">
        <v>11595</v>
      </c>
      <c r="AT3151" t="s">
        <v>11642</v>
      </c>
      <c r="AW3151" t="s">
        <v>11666</v>
      </c>
      <c r="AY3151" t="s">
        <v>10829</v>
      </c>
      <c r="AZ3151" t="s">
        <v>11719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</row>
    <row r="3152" spans="1:59">
      <c r="A3152" s="1">
        <f>HYPERLINK("https://lsnyc.legalserver.org/matter/dynamic-profile/view/1907208","19-1907208")</f>
        <v>0</v>
      </c>
      <c r="B3152" t="s">
        <v>2651</v>
      </c>
      <c r="C3152" t="s">
        <v>7435</v>
      </c>
      <c r="D3152" t="s">
        <v>9926</v>
      </c>
      <c r="E3152" t="s">
        <v>10075</v>
      </c>
      <c r="F3152">
        <v>10454</v>
      </c>
      <c r="G3152" t="s">
        <v>10090</v>
      </c>
      <c r="H3152" t="s">
        <v>10127</v>
      </c>
      <c r="I3152" t="s">
        <v>10168</v>
      </c>
      <c r="J3152" t="s">
        <v>10210</v>
      </c>
      <c r="K3152" t="s">
        <v>10217</v>
      </c>
      <c r="M3152" t="s">
        <v>10569</v>
      </c>
      <c r="N3152" t="s">
        <v>10656</v>
      </c>
      <c r="P3152" t="s">
        <v>10751</v>
      </c>
      <c r="Q3152" t="s">
        <v>10780</v>
      </c>
      <c r="R3152" t="s">
        <v>10822</v>
      </c>
      <c r="T3152">
        <v>9252</v>
      </c>
      <c r="U3152">
        <v>771</v>
      </c>
      <c r="V3152">
        <v>20</v>
      </c>
      <c r="W3152">
        <v>2</v>
      </c>
      <c r="X3152">
        <v>0</v>
      </c>
      <c r="Z3152">
        <v>54.71</v>
      </c>
      <c r="AA3152">
        <v>40.811474</v>
      </c>
      <c r="AB3152">
        <v>-73.922985</v>
      </c>
      <c r="AD3152" t="s">
        <v>10840</v>
      </c>
      <c r="AG3152" t="s">
        <v>10858</v>
      </c>
      <c r="AH3152" t="s">
        <v>10866</v>
      </c>
      <c r="AI3152">
        <v>230</v>
      </c>
      <c r="AJ3152" t="s">
        <v>10210</v>
      </c>
      <c r="AL3152">
        <v>25.1</v>
      </c>
      <c r="AM3152" t="s">
        <v>10884</v>
      </c>
      <c r="AN3152" t="s">
        <v>10924</v>
      </c>
      <c r="AO3152" t="s">
        <v>11013</v>
      </c>
      <c r="AP3152" t="s">
        <v>11066</v>
      </c>
      <c r="AR3152" t="s">
        <v>11263</v>
      </c>
      <c r="AS3152" t="s">
        <v>9926</v>
      </c>
      <c r="BA3152" t="s">
        <v>11739</v>
      </c>
      <c r="BB3152">
        <v>0</v>
      </c>
      <c r="BC3152">
        <v>0</v>
      </c>
      <c r="BD3152">
        <v>0</v>
      </c>
      <c r="BE3152">
        <v>0</v>
      </c>
      <c r="BF3152">
        <v>4</v>
      </c>
      <c r="BG3152">
        <v>0</v>
      </c>
    </row>
    <row r="3153" spans="1:59">
      <c r="A3153" s="1">
        <f>HYPERLINK("https://lsnyc.legalserver.org/matter/dynamic-profile/view/1907209","19-1907209")</f>
        <v>0</v>
      </c>
      <c r="B3153" t="s">
        <v>2652</v>
      </c>
      <c r="C3153" t="s">
        <v>7436</v>
      </c>
      <c r="D3153" t="s">
        <v>9928</v>
      </c>
      <c r="E3153" t="s">
        <v>10075</v>
      </c>
      <c r="F3153">
        <v>11221</v>
      </c>
      <c r="G3153" t="s">
        <v>10093</v>
      </c>
      <c r="H3153" t="s">
        <v>10127</v>
      </c>
      <c r="I3153" t="s">
        <v>10168</v>
      </c>
      <c r="J3153" t="s">
        <v>10213</v>
      </c>
      <c r="K3153" t="s">
        <v>10217</v>
      </c>
      <c r="M3153" t="s">
        <v>10435</v>
      </c>
      <c r="N3153" t="s">
        <v>10665</v>
      </c>
      <c r="P3153" t="s">
        <v>10750</v>
      </c>
      <c r="Q3153" t="s">
        <v>10760</v>
      </c>
      <c r="R3153" t="s">
        <v>10827</v>
      </c>
      <c r="T3153">
        <v>0</v>
      </c>
      <c r="U3153">
        <v>0</v>
      </c>
      <c r="V3153">
        <v>32</v>
      </c>
      <c r="W3153">
        <v>1</v>
      </c>
      <c r="X3153">
        <v>0</v>
      </c>
      <c r="Z3153">
        <v>0</v>
      </c>
      <c r="AA3153">
        <v>40.698526</v>
      </c>
      <c r="AB3153">
        <v>-73.929891</v>
      </c>
      <c r="AD3153" t="s">
        <v>10840</v>
      </c>
      <c r="AG3153" t="s">
        <v>10858</v>
      </c>
      <c r="AH3153" t="s">
        <v>10861</v>
      </c>
      <c r="AI3153">
        <v>234</v>
      </c>
      <c r="AJ3153" t="s">
        <v>10214</v>
      </c>
      <c r="AL3153">
        <v>2.1</v>
      </c>
      <c r="AM3153" t="s">
        <v>10886</v>
      </c>
      <c r="AN3153" t="s">
        <v>10942</v>
      </c>
      <c r="AO3153" t="s">
        <v>11011</v>
      </c>
      <c r="AP3153" t="s">
        <v>11071</v>
      </c>
      <c r="AR3153" t="s">
        <v>11267</v>
      </c>
      <c r="AS3153" t="s">
        <v>11595</v>
      </c>
      <c r="AT3153" t="s">
        <v>11642</v>
      </c>
      <c r="AX3153" t="s">
        <v>10838</v>
      </c>
      <c r="BA3153" t="s">
        <v>11741</v>
      </c>
      <c r="BB3153">
        <v>0</v>
      </c>
      <c r="BC3153">
        <v>0</v>
      </c>
      <c r="BD3153">
        <v>0</v>
      </c>
      <c r="BE3153">
        <v>0</v>
      </c>
      <c r="BF3153">
        <v>1</v>
      </c>
      <c r="BG3153">
        <v>0</v>
      </c>
    </row>
    <row r="3154" spans="1:59">
      <c r="A3154" s="1">
        <f>HYPERLINK("https://lsnyc.legalserver.org/matter/dynamic-profile/view/1907210","19-1907210")</f>
        <v>0</v>
      </c>
      <c r="B3154" t="s">
        <v>2653</v>
      </c>
      <c r="C3154" t="s">
        <v>7437</v>
      </c>
      <c r="D3154" t="s">
        <v>10020</v>
      </c>
      <c r="E3154" t="s">
        <v>10076</v>
      </c>
      <c r="F3154">
        <v>7740</v>
      </c>
      <c r="G3154" t="s">
        <v>10093</v>
      </c>
      <c r="H3154" t="s">
        <v>10127</v>
      </c>
      <c r="I3154" t="s">
        <v>10168</v>
      </c>
      <c r="J3154" t="s">
        <v>10213</v>
      </c>
      <c r="K3154" t="s">
        <v>10218</v>
      </c>
      <c r="L3154" t="s">
        <v>10152</v>
      </c>
      <c r="M3154" t="s">
        <v>10330</v>
      </c>
      <c r="N3154" t="s">
        <v>10710</v>
      </c>
      <c r="P3154" t="s">
        <v>10750</v>
      </c>
      <c r="Q3154" t="s">
        <v>10760</v>
      </c>
      <c r="R3154" t="s">
        <v>10820</v>
      </c>
      <c r="T3154">
        <v>29000</v>
      </c>
      <c r="U3154">
        <v>2416.67</v>
      </c>
      <c r="V3154">
        <v>63</v>
      </c>
      <c r="W3154">
        <v>1</v>
      </c>
      <c r="X3154">
        <v>0</v>
      </c>
      <c r="Y3154" t="s">
        <v>10829</v>
      </c>
      <c r="Z3154">
        <v>232.19</v>
      </c>
      <c r="AA3154">
        <v>40.323459</v>
      </c>
      <c r="AB3154">
        <v>-73.979812</v>
      </c>
      <c r="AD3154" t="s">
        <v>10840</v>
      </c>
      <c r="AG3154" t="s">
        <v>10858</v>
      </c>
      <c r="AH3154" t="s">
        <v>10861</v>
      </c>
      <c r="AI3154">
        <v>234</v>
      </c>
      <c r="AJ3154" t="s">
        <v>10214</v>
      </c>
      <c r="AK3154" t="s">
        <v>10838</v>
      </c>
      <c r="AL3154">
        <v>5.1</v>
      </c>
      <c r="AR3154" t="s">
        <v>11270</v>
      </c>
      <c r="AS3154" t="s">
        <v>11621</v>
      </c>
      <c r="AT3154" t="s">
        <v>11642</v>
      </c>
      <c r="AX3154" t="s">
        <v>11678</v>
      </c>
      <c r="AY3154" t="s">
        <v>10829</v>
      </c>
      <c r="AZ3154" t="s">
        <v>11679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</row>
    <row r="3155" spans="1:59">
      <c r="A3155" s="1">
        <f>HYPERLINK("https://lsnyc.legalserver.org/matter/dynamic-profile/view/1907211","19-1907211")</f>
        <v>0</v>
      </c>
      <c r="B3155" t="s">
        <v>2654</v>
      </c>
      <c r="C3155" t="s">
        <v>7438</v>
      </c>
      <c r="D3155" t="s">
        <v>9926</v>
      </c>
      <c r="E3155" t="s">
        <v>10075</v>
      </c>
      <c r="F3155">
        <v>10456</v>
      </c>
      <c r="G3155" t="s">
        <v>10090</v>
      </c>
      <c r="H3155" t="s">
        <v>10127</v>
      </c>
      <c r="I3155" t="s">
        <v>10169</v>
      </c>
      <c r="J3155" t="s">
        <v>10210</v>
      </c>
      <c r="K3155" t="s">
        <v>10218</v>
      </c>
      <c r="L3155" t="s">
        <v>10155</v>
      </c>
      <c r="M3155" t="s">
        <v>10548</v>
      </c>
      <c r="N3155" t="s">
        <v>10677</v>
      </c>
      <c r="P3155" t="s">
        <v>10751</v>
      </c>
      <c r="Q3155" t="s">
        <v>10786</v>
      </c>
      <c r="R3155" t="s">
        <v>10821</v>
      </c>
      <c r="T3155">
        <v>18744</v>
      </c>
      <c r="U3155">
        <v>1562</v>
      </c>
      <c r="V3155">
        <v>60</v>
      </c>
      <c r="W3155">
        <v>1</v>
      </c>
      <c r="X3155">
        <v>1</v>
      </c>
      <c r="Y3155" t="s">
        <v>10829</v>
      </c>
      <c r="Z3155">
        <v>110.85</v>
      </c>
      <c r="AA3155">
        <v>40.836635</v>
      </c>
      <c r="AB3155">
        <v>-73.91497099999999</v>
      </c>
      <c r="AD3155" t="s">
        <v>10839</v>
      </c>
      <c r="AG3155" t="s">
        <v>10858</v>
      </c>
      <c r="AH3155" t="s">
        <v>10861</v>
      </c>
      <c r="AI3155">
        <v>234</v>
      </c>
      <c r="AJ3155" t="s">
        <v>10214</v>
      </c>
      <c r="AK3155" t="s">
        <v>10882</v>
      </c>
      <c r="AL3155">
        <v>3.65</v>
      </c>
      <c r="AM3155" t="s">
        <v>10884</v>
      </c>
      <c r="AN3155" t="s">
        <v>10924</v>
      </c>
      <c r="AO3155" t="s">
        <v>11013</v>
      </c>
      <c r="AP3155" t="s">
        <v>11055</v>
      </c>
      <c r="AR3155" t="s">
        <v>11294</v>
      </c>
      <c r="AS3155" t="s">
        <v>9926</v>
      </c>
      <c r="AT3155" t="s">
        <v>11641</v>
      </c>
      <c r="AX3155" t="s">
        <v>10838</v>
      </c>
      <c r="AY3155" t="s">
        <v>10829</v>
      </c>
      <c r="AZ3155" t="s">
        <v>11682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</row>
    <row r="3156" spans="1:59">
      <c r="A3156" s="1">
        <f>HYPERLINK("https://lsnyc.legalserver.org/matter/dynamic-profile/view/1907213","19-1907213")</f>
        <v>0</v>
      </c>
      <c r="B3156" t="s">
        <v>2655</v>
      </c>
      <c r="C3156" t="s">
        <v>7223</v>
      </c>
      <c r="D3156" t="s">
        <v>9926</v>
      </c>
      <c r="E3156" t="s">
        <v>10075</v>
      </c>
      <c r="F3156">
        <v>10457</v>
      </c>
      <c r="G3156" t="s">
        <v>10090</v>
      </c>
      <c r="H3156" t="s">
        <v>10147</v>
      </c>
      <c r="I3156" t="s">
        <v>10169</v>
      </c>
      <c r="J3156" t="s">
        <v>10210</v>
      </c>
      <c r="K3156" t="s">
        <v>10217</v>
      </c>
      <c r="M3156" t="s">
        <v>10557</v>
      </c>
      <c r="N3156" t="s">
        <v>10651</v>
      </c>
      <c r="P3156" t="s">
        <v>10749</v>
      </c>
      <c r="Q3156" t="s">
        <v>10765</v>
      </c>
      <c r="R3156" t="s">
        <v>10823</v>
      </c>
      <c r="T3156">
        <v>23920</v>
      </c>
      <c r="U3156">
        <v>1993.33</v>
      </c>
      <c r="V3156">
        <v>68</v>
      </c>
      <c r="W3156">
        <v>1</v>
      </c>
      <c r="X3156">
        <v>0</v>
      </c>
      <c r="Z3156">
        <v>191.51</v>
      </c>
      <c r="AA3156">
        <v>40.844471</v>
      </c>
      <c r="AB3156">
        <v>-73.90973700000001</v>
      </c>
      <c r="AD3156" t="s">
        <v>10840</v>
      </c>
      <c r="AF3156" t="s">
        <v>10843</v>
      </c>
      <c r="AG3156" t="s">
        <v>10859</v>
      </c>
      <c r="AH3156" t="s">
        <v>10862</v>
      </c>
      <c r="AI3156">
        <v>230</v>
      </c>
      <c r="AJ3156" t="s">
        <v>10210</v>
      </c>
      <c r="AL3156">
        <v>11.6</v>
      </c>
      <c r="AM3156" t="s">
        <v>10884</v>
      </c>
      <c r="AN3156" t="s">
        <v>10931</v>
      </c>
      <c r="AO3156" t="s">
        <v>11000</v>
      </c>
      <c r="AP3156" t="s">
        <v>11056</v>
      </c>
      <c r="AR3156" t="s">
        <v>10180</v>
      </c>
      <c r="AS3156" t="s">
        <v>9926</v>
      </c>
      <c r="AT3156" t="s">
        <v>11642</v>
      </c>
      <c r="AX3156" t="s">
        <v>10838</v>
      </c>
      <c r="BA3156" t="s">
        <v>11738</v>
      </c>
      <c r="BB3156">
        <v>0</v>
      </c>
      <c r="BC3156">
        <v>0</v>
      </c>
      <c r="BD3156">
        <v>0</v>
      </c>
      <c r="BE3156">
        <v>0</v>
      </c>
      <c r="BF3156">
        <v>5</v>
      </c>
      <c r="BG3156">
        <v>0</v>
      </c>
    </row>
    <row r="3157" spans="1:59">
      <c r="A3157" s="1">
        <f>HYPERLINK("https://lsnyc.legalserver.org/matter/dynamic-profile/view/1907214","19-1907214")</f>
        <v>0</v>
      </c>
      <c r="B3157" t="s">
        <v>2656</v>
      </c>
      <c r="C3157" t="s">
        <v>7439</v>
      </c>
      <c r="D3157" t="s">
        <v>9928</v>
      </c>
      <c r="E3157" t="s">
        <v>10075</v>
      </c>
      <c r="F3157">
        <v>11215</v>
      </c>
      <c r="G3157" t="s">
        <v>10093</v>
      </c>
      <c r="H3157" t="s">
        <v>10127</v>
      </c>
      <c r="I3157" t="s">
        <v>10168</v>
      </c>
      <c r="J3157" t="s">
        <v>10213</v>
      </c>
      <c r="K3157" t="s">
        <v>10218</v>
      </c>
      <c r="L3157" t="s">
        <v>10160</v>
      </c>
      <c r="M3157" t="s">
        <v>10443</v>
      </c>
      <c r="N3157" t="s">
        <v>10644</v>
      </c>
      <c r="P3157" t="s">
        <v>10749</v>
      </c>
      <c r="Q3157" t="s">
        <v>10765</v>
      </c>
      <c r="R3157" t="s">
        <v>10824</v>
      </c>
      <c r="T3157">
        <v>9492</v>
      </c>
      <c r="U3157">
        <v>791</v>
      </c>
      <c r="V3157">
        <v>83</v>
      </c>
      <c r="W3157">
        <v>1</v>
      </c>
      <c r="X3157">
        <v>0</v>
      </c>
      <c r="Y3157" t="s">
        <v>10829</v>
      </c>
      <c r="Z3157">
        <v>76</v>
      </c>
      <c r="AA3157">
        <v>40.676684</v>
      </c>
      <c r="AB3157">
        <v>-73.98275</v>
      </c>
      <c r="AD3157" t="s">
        <v>10839</v>
      </c>
      <c r="AF3157" t="s">
        <v>10843</v>
      </c>
      <c r="AG3157" t="s">
        <v>10859</v>
      </c>
      <c r="AH3157" t="s">
        <v>10869</v>
      </c>
      <c r="AI3157">
        <v>239</v>
      </c>
      <c r="AJ3157" t="s">
        <v>10213</v>
      </c>
      <c r="AK3157" t="s">
        <v>10838</v>
      </c>
      <c r="AL3157">
        <v>1.5</v>
      </c>
      <c r="AM3157" t="s">
        <v>10886</v>
      </c>
      <c r="AN3157" t="s">
        <v>10917</v>
      </c>
      <c r="AO3157" t="s">
        <v>11007</v>
      </c>
      <c r="AP3157" t="s">
        <v>11059</v>
      </c>
      <c r="AR3157" t="s">
        <v>11423</v>
      </c>
      <c r="AS3157" t="s">
        <v>11595</v>
      </c>
      <c r="AT3157" t="s">
        <v>11641</v>
      </c>
      <c r="AW3157" t="s">
        <v>11645</v>
      </c>
      <c r="AX3157" t="s">
        <v>10838</v>
      </c>
      <c r="AY3157" t="s">
        <v>10829</v>
      </c>
      <c r="AZ3157" t="s">
        <v>11681</v>
      </c>
      <c r="BA3157" t="s">
        <v>11740</v>
      </c>
      <c r="BB3157">
        <v>0</v>
      </c>
      <c r="BC3157">
        <v>0</v>
      </c>
      <c r="BD3157">
        <v>0</v>
      </c>
      <c r="BE3157">
        <v>0</v>
      </c>
      <c r="BF3157">
        <v>2</v>
      </c>
      <c r="BG3157">
        <v>0</v>
      </c>
    </row>
    <row r="3158" spans="1:59">
      <c r="A3158" s="1">
        <f>HYPERLINK("https://lsnyc.legalserver.org/matter/dynamic-profile/view/1907215","19-1907215")</f>
        <v>0</v>
      </c>
      <c r="B3158" t="s">
        <v>2657</v>
      </c>
      <c r="C3158" t="s">
        <v>7440</v>
      </c>
      <c r="D3158" t="s">
        <v>9929</v>
      </c>
      <c r="E3158" t="s">
        <v>10075</v>
      </c>
      <c r="F3158">
        <v>10312</v>
      </c>
      <c r="G3158" t="s">
        <v>10088</v>
      </c>
      <c r="H3158" t="s">
        <v>10127</v>
      </c>
      <c r="I3158" t="s">
        <v>10168</v>
      </c>
      <c r="J3158" t="s">
        <v>10208</v>
      </c>
      <c r="K3158" t="s">
        <v>10218</v>
      </c>
      <c r="L3158" t="s">
        <v>10154</v>
      </c>
      <c r="M3158" t="s">
        <v>10228</v>
      </c>
      <c r="N3158" t="s">
        <v>10644</v>
      </c>
      <c r="P3158" t="s">
        <v>10749</v>
      </c>
      <c r="Q3158" t="s">
        <v>10806</v>
      </c>
      <c r="R3158" t="s">
        <v>10820</v>
      </c>
      <c r="T3158">
        <v>21480</v>
      </c>
      <c r="U3158">
        <v>1790</v>
      </c>
      <c r="V3158">
        <v>84</v>
      </c>
      <c r="W3158">
        <v>3</v>
      </c>
      <c r="X3158">
        <v>0</v>
      </c>
      <c r="Y3158" t="s">
        <v>10830</v>
      </c>
      <c r="Z3158">
        <v>100.7</v>
      </c>
      <c r="AA3158">
        <v>40.537646</v>
      </c>
      <c r="AB3158">
        <v>-74.16709400000001</v>
      </c>
      <c r="AD3158" t="s">
        <v>10840</v>
      </c>
      <c r="AG3158" t="s">
        <v>10858</v>
      </c>
      <c r="AH3158" t="s">
        <v>10860</v>
      </c>
      <c r="AI3158">
        <v>285</v>
      </c>
      <c r="AJ3158" t="s">
        <v>10208</v>
      </c>
      <c r="AK3158" t="s">
        <v>10838</v>
      </c>
      <c r="AL3158">
        <v>1.5</v>
      </c>
      <c r="AM3158" t="s">
        <v>10883</v>
      </c>
      <c r="AN3158" t="s">
        <v>10906</v>
      </c>
      <c r="AO3158" t="s">
        <v>10999</v>
      </c>
      <c r="AP3158" t="s">
        <v>11044</v>
      </c>
      <c r="AQ3158" t="s">
        <v>11227</v>
      </c>
      <c r="AR3158" t="s">
        <v>11300</v>
      </c>
      <c r="AS3158" t="s">
        <v>11593</v>
      </c>
      <c r="AY3158" t="s">
        <v>10830</v>
      </c>
      <c r="AZ3158" t="s">
        <v>11681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</row>
    <row r="3159" spans="1:59">
      <c r="A3159" s="1">
        <f>HYPERLINK("https://lsnyc.legalserver.org/matter/dynamic-profile/view/1907216","19-1907216")</f>
        <v>0</v>
      </c>
      <c r="B3159" t="s">
        <v>2613</v>
      </c>
      <c r="C3159" t="s">
        <v>7397</v>
      </c>
      <c r="D3159" t="s">
        <v>10018</v>
      </c>
      <c r="E3159" t="s">
        <v>10075</v>
      </c>
      <c r="F3159">
        <v>10550</v>
      </c>
      <c r="G3159" t="s">
        <v>10090</v>
      </c>
      <c r="H3159" t="s">
        <v>10129</v>
      </c>
      <c r="I3159" t="s">
        <v>10168</v>
      </c>
      <c r="J3159" t="s">
        <v>10210</v>
      </c>
      <c r="K3159" t="s">
        <v>10218</v>
      </c>
      <c r="L3159" t="s">
        <v>10129</v>
      </c>
      <c r="M3159" t="s">
        <v>10334</v>
      </c>
      <c r="N3159" t="s">
        <v>10675</v>
      </c>
      <c r="P3159" t="s">
        <v>10749</v>
      </c>
      <c r="Q3159" t="s">
        <v>10791</v>
      </c>
      <c r="R3159" t="s">
        <v>10824</v>
      </c>
      <c r="T3159">
        <v>35280.12</v>
      </c>
      <c r="U3159">
        <v>2940.01</v>
      </c>
      <c r="V3159">
        <v>48</v>
      </c>
      <c r="W3159">
        <v>4</v>
      </c>
      <c r="X3159">
        <v>0</v>
      </c>
      <c r="Y3159" t="s">
        <v>10829</v>
      </c>
      <c r="Z3159">
        <v>137.01</v>
      </c>
      <c r="AA3159">
        <v>40.912843</v>
      </c>
      <c r="AB3159">
        <v>-73.844369</v>
      </c>
      <c r="AC3159" t="s">
        <v>10837</v>
      </c>
      <c r="AD3159" t="s">
        <v>10822</v>
      </c>
      <c r="AG3159" t="s">
        <v>10858</v>
      </c>
      <c r="AH3159" t="s">
        <v>10874</v>
      </c>
      <c r="AI3159">
        <v>230</v>
      </c>
      <c r="AJ3159" t="s">
        <v>10210</v>
      </c>
      <c r="AK3159" t="s">
        <v>10838</v>
      </c>
      <c r="AL3159">
        <v>0.5</v>
      </c>
      <c r="AM3159" t="s">
        <v>10893</v>
      </c>
      <c r="AN3159" t="s">
        <v>10988</v>
      </c>
      <c r="AO3159" t="s">
        <v>11010</v>
      </c>
      <c r="AR3159" t="s">
        <v>11495</v>
      </c>
      <c r="AS3159" t="s">
        <v>11604</v>
      </c>
      <c r="AT3159" t="s">
        <v>11642</v>
      </c>
      <c r="AX3159" t="s">
        <v>10838</v>
      </c>
      <c r="AY3159" t="s">
        <v>10829</v>
      </c>
      <c r="AZ3159" t="s">
        <v>11697</v>
      </c>
      <c r="BA3159" t="s">
        <v>11741</v>
      </c>
      <c r="BB3159">
        <v>0</v>
      </c>
      <c r="BC3159">
        <v>0</v>
      </c>
      <c r="BD3159">
        <v>0</v>
      </c>
      <c r="BE3159">
        <v>0</v>
      </c>
      <c r="BF3159">
        <v>1</v>
      </c>
      <c r="BG3159">
        <v>0</v>
      </c>
    </row>
    <row r="3160" spans="1:59">
      <c r="A3160" s="1">
        <f>HYPERLINK("https://lsnyc.legalserver.org/matter/dynamic-profile/view/1907217","19-1907217")</f>
        <v>0</v>
      </c>
      <c r="B3160" t="s">
        <v>2658</v>
      </c>
      <c r="C3160" t="s">
        <v>7441</v>
      </c>
      <c r="D3160" t="s">
        <v>9928</v>
      </c>
      <c r="E3160" t="s">
        <v>10075</v>
      </c>
      <c r="F3160">
        <v>11214</v>
      </c>
      <c r="G3160" t="s">
        <v>10093</v>
      </c>
      <c r="H3160" t="s">
        <v>10127</v>
      </c>
      <c r="I3160" t="s">
        <v>10168</v>
      </c>
      <c r="J3160" t="s">
        <v>10213</v>
      </c>
      <c r="K3160" t="s">
        <v>10217</v>
      </c>
      <c r="M3160" t="s">
        <v>10256</v>
      </c>
      <c r="N3160" t="s">
        <v>10680</v>
      </c>
      <c r="P3160" t="s">
        <v>10749</v>
      </c>
      <c r="Q3160" t="s">
        <v>10765</v>
      </c>
      <c r="R3160" t="s">
        <v>10820</v>
      </c>
      <c r="T3160">
        <v>62820</v>
      </c>
      <c r="U3160">
        <v>5235</v>
      </c>
      <c r="V3160">
        <v>68</v>
      </c>
      <c r="W3160">
        <v>2</v>
      </c>
      <c r="X3160">
        <v>0</v>
      </c>
      <c r="Z3160">
        <v>371.5</v>
      </c>
      <c r="AA3160">
        <v>40.611341</v>
      </c>
      <c r="AB3160">
        <v>-73.995349</v>
      </c>
      <c r="AD3160" t="s">
        <v>10839</v>
      </c>
      <c r="AG3160" t="s">
        <v>10858</v>
      </c>
      <c r="AH3160" t="s">
        <v>10869</v>
      </c>
      <c r="AI3160">
        <v>239</v>
      </c>
      <c r="AJ3160" t="s">
        <v>10213</v>
      </c>
      <c r="AL3160">
        <v>5.5</v>
      </c>
      <c r="AM3160" t="s">
        <v>10894</v>
      </c>
      <c r="AN3160" t="s">
        <v>10974</v>
      </c>
      <c r="AO3160" t="s">
        <v>11023</v>
      </c>
      <c r="AP3160" t="s">
        <v>11087</v>
      </c>
      <c r="AR3160" t="s">
        <v>11295</v>
      </c>
      <c r="AS3160" t="s">
        <v>11595</v>
      </c>
      <c r="AW3160" t="s">
        <v>11645</v>
      </c>
      <c r="BA3160" t="s">
        <v>11742</v>
      </c>
      <c r="BB3160">
        <v>0</v>
      </c>
      <c r="BC3160">
        <v>0</v>
      </c>
      <c r="BD3160">
        <v>0</v>
      </c>
      <c r="BE3160">
        <v>0</v>
      </c>
      <c r="BF3160">
        <v>7</v>
      </c>
      <c r="BG3160">
        <v>0</v>
      </c>
    </row>
    <row r="3161" spans="1:59">
      <c r="A3161" s="1">
        <f>HYPERLINK("https://lsnyc.legalserver.org/matter/dynamic-profile/view/1907218","19-1907218")</f>
        <v>0</v>
      </c>
      <c r="B3161" t="s">
        <v>2659</v>
      </c>
      <c r="C3161" t="s">
        <v>7442</v>
      </c>
      <c r="D3161" t="s">
        <v>10021</v>
      </c>
      <c r="E3161" t="s">
        <v>10078</v>
      </c>
      <c r="F3161">
        <v>34772</v>
      </c>
      <c r="G3161" t="s">
        <v>10093</v>
      </c>
      <c r="H3161" t="s">
        <v>10127</v>
      </c>
      <c r="I3161" t="s">
        <v>10168</v>
      </c>
      <c r="J3161" t="s">
        <v>10213</v>
      </c>
      <c r="K3161" t="s">
        <v>10217</v>
      </c>
      <c r="M3161" t="s">
        <v>10436</v>
      </c>
      <c r="N3161" t="s">
        <v>10710</v>
      </c>
      <c r="P3161" t="s">
        <v>10750</v>
      </c>
      <c r="Q3161" t="s">
        <v>10760</v>
      </c>
      <c r="R3161" t="s">
        <v>10821</v>
      </c>
      <c r="T3161">
        <v>19991.64</v>
      </c>
      <c r="U3161">
        <v>1665.97</v>
      </c>
      <c r="V3161">
        <v>72</v>
      </c>
      <c r="W3161">
        <v>2</v>
      </c>
      <c r="X3161">
        <v>0</v>
      </c>
      <c r="Z3161">
        <v>118.22</v>
      </c>
      <c r="AA3161">
        <v>28.195318</v>
      </c>
      <c r="AB3161">
        <v>-81.297021</v>
      </c>
      <c r="AD3161" t="s">
        <v>10840</v>
      </c>
      <c r="AG3161" t="s">
        <v>10858</v>
      </c>
      <c r="AH3161" t="s">
        <v>10861</v>
      </c>
      <c r="AI3161">
        <v>234</v>
      </c>
      <c r="AJ3161" t="s">
        <v>10214</v>
      </c>
      <c r="AL3161">
        <v>1.5</v>
      </c>
      <c r="AR3161" t="s">
        <v>11345</v>
      </c>
      <c r="AS3161" t="s">
        <v>11622</v>
      </c>
      <c r="AT3161" t="s">
        <v>11642</v>
      </c>
      <c r="AX3161" t="s">
        <v>10838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</row>
    <row r="3162" spans="1:59">
      <c r="A3162" s="1">
        <f>HYPERLINK("https://lsnyc.legalserver.org/matter/dynamic-profile/view/1907219","19-1907219")</f>
        <v>0</v>
      </c>
      <c r="B3162" t="s">
        <v>2660</v>
      </c>
      <c r="C3162" t="s">
        <v>7443</v>
      </c>
      <c r="D3162" t="s">
        <v>9962</v>
      </c>
      <c r="E3162" t="s">
        <v>10075</v>
      </c>
      <c r="F3162">
        <v>11423</v>
      </c>
      <c r="G3162" t="s">
        <v>10092</v>
      </c>
      <c r="H3162" t="s">
        <v>10127</v>
      </c>
      <c r="I3162" t="s">
        <v>10168</v>
      </c>
      <c r="J3162" t="s">
        <v>10212</v>
      </c>
      <c r="K3162" t="s">
        <v>10217</v>
      </c>
      <c r="M3162" t="s">
        <v>10325</v>
      </c>
      <c r="N3162" t="s">
        <v>10671</v>
      </c>
      <c r="P3162" t="s">
        <v>10751</v>
      </c>
      <c r="Q3162" t="s">
        <v>10761</v>
      </c>
      <c r="R3162" t="s">
        <v>10827</v>
      </c>
      <c r="T3162">
        <v>12552</v>
      </c>
      <c r="U3162">
        <v>1046</v>
      </c>
      <c r="V3162">
        <v>81</v>
      </c>
      <c r="W3162">
        <v>2</v>
      </c>
      <c r="X3162">
        <v>0</v>
      </c>
      <c r="Z3162">
        <v>74.23</v>
      </c>
      <c r="AA3162">
        <v>40.716611</v>
      </c>
      <c r="AB3162">
        <v>-73.76572299999999</v>
      </c>
      <c r="AD3162" t="s">
        <v>10840</v>
      </c>
      <c r="AG3162" t="s">
        <v>10858</v>
      </c>
      <c r="AH3162" t="s">
        <v>10861</v>
      </c>
      <c r="AI3162">
        <v>234</v>
      </c>
      <c r="AJ3162" t="s">
        <v>10214</v>
      </c>
      <c r="AL3162">
        <v>2.5</v>
      </c>
      <c r="AM3162" t="s">
        <v>10892</v>
      </c>
      <c r="AN3162" t="s">
        <v>10955</v>
      </c>
      <c r="AO3162" t="s">
        <v>11020</v>
      </c>
      <c r="AP3162" t="s">
        <v>11078</v>
      </c>
      <c r="AR3162" t="s">
        <v>11338</v>
      </c>
      <c r="AS3162" t="s">
        <v>11594</v>
      </c>
      <c r="AT3162" t="s">
        <v>11642</v>
      </c>
      <c r="AX3162" t="s">
        <v>10838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</row>
    <row r="3163" spans="1:59">
      <c r="A3163" s="1">
        <f>HYPERLINK("https://lsnyc.legalserver.org/matter/dynamic-profile/view/1907220","19-1907220")</f>
        <v>0</v>
      </c>
      <c r="B3163" t="s">
        <v>1701</v>
      </c>
      <c r="C3163" t="s">
        <v>6501</v>
      </c>
      <c r="D3163" t="s">
        <v>9926</v>
      </c>
      <c r="E3163" t="s">
        <v>10075</v>
      </c>
      <c r="F3163">
        <v>10474</v>
      </c>
      <c r="G3163" t="s">
        <v>10090</v>
      </c>
      <c r="H3163" t="s">
        <v>10127</v>
      </c>
      <c r="I3163" t="s">
        <v>10168</v>
      </c>
      <c r="J3163" t="s">
        <v>10210</v>
      </c>
      <c r="K3163" t="s">
        <v>10217</v>
      </c>
      <c r="M3163" t="s">
        <v>10418</v>
      </c>
      <c r="N3163" t="s">
        <v>10671</v>
      </c>
      <c r="P3163" t="s">
        <v>10751</v>
      </c>
      <c r="Q3163" t="s">
        <v>10761</v>
      </c>
      <c r="R3163" t="s">
        <v>10824</v>
      </c>
      <c r="T3163">
        <v>2400</v>
      </c>
      <c r="U3163">
        <v>200</v>
      </c>
      <c r="V3163">
        <v>47</v>
      </c>
      <c r="W3163">
        <v>1</v>
      </c>
      <c r="X3163">
        <v>0</v>
      </c>
      <c r="Z3163">
        <v>19.22</v>
      </c>
      <c r="AA3163">
        <v>40.816705</v>
      </c>
      <c r="AB3163">
        <v>-73.885794</v>
      </c>
      <c r="AD3163" t="s">
        <v>10839</v>
      </c>
      <c r="AG3163" t="s">
        <v>10858</v>
      </c>
      <c r="AH3163" t="s">
        <v>10862</v>
      </c>
      <c r="AI3163">
        <v>230</v>
      </c>
      <c r="AJ3163" t="s">
        <v>10210</v>
      </c>
      <c r="AL3163">
        <v>0.5</v>
      </c>
      <c r="AR3163" t="s">
        <v>11305</v>
      </c>
      <c r="AS3163" t="s">
        <v>9926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</row>
    <row r="3164" spans="1:59">
      <c r="A3164" s="1">
        <f>HYPERLINK("https://lsnyc.legalserver.org/matter/dynamic-profile/view/1907221","19-1907221")</f>
        <v>0</v>
      </c>
      <c r="B3164" t="s">
        <v>2661</v>
      </c>
      <c r="C3164" t="s">
        <v>7444</v>
      </c>
      <c r="D3164" t="s">
        <v>9951</v>
      </c>
      <c r="E3164" t="s">
        <v>10075</v>
      </c>
      <c r="F3164">
        <v>11416</v>
      </c>
      <c r="G3164" t="s">
        <v>10092</v>
      </c>
      <c r="H3164" t="s">
        <v>10127</v>
      </c>
      <c r="I3164" t="s">
        <v>10168</v>
      </c>
      <c r="J3164" t="s">
        <v>10212</v>
      </c>
      <c r="K3164" t="s">
        <v>10218</v>
      </c>
      <c r="L3164" t="s">
        <v>10143</v>
      </c>
      <c r="M3164" t="s">
        <v>10366</v>
      </c>
      <c r="N3164" t="s">
        <v>10678</v>
      </c>
      <c r="P3164" t="s">
        <v>10749</v>
      </c>
      <c r="Q3164" t="s">
        <v>10769</v>
      </c>
      <c r="R3164" t="s">
        <v>10820</v>
      </c>
      <c r="T3164">
        <v>20000</v>
      </c>
      <c r="U3164">
        <v>1666.67</v>
      </c>
      <c r="V3164">
        <v>56</v>
      </c>
      <c r="W3164">
        <v>1</v>
      </c>
      <c r="X3164">
        <v>0</v>
      </c>
      <c r="Y3164" t="s">
        <v>10829</v>
      </c>
      <c r="Z3164">
        <v>160.13</v>
      </c>
      <c r="AA3164">
        <v>40.684374</v>
      </c>
      <c r="AB3164">
        <v>-73.84036999999999</v>
      </c>
      <c r="AD3164" t="s">
        <v>10840</v>
      </c>
      <c r="AG3164" t="s">
        <v>10858</v>
      </c>
      <c r="AH3164" t="s">
        <v>10861</v>
      </c>
      <c r="AI3164">
        <v>234</v>
      </c>
      <c r="AJ3164" t="s">
        <v>10214</v>
      </c>
      <c r="AK3164" t="s">
        <v>10838</v>
      </c>
      <c r="AL3164">
        <v>1.8</v>
      </c>
      <c r="AM3164" t="s">
        <v>10892</v>
      </c>
      <c r="AN3164" t="s">
        <v>10945</v>
      </c>
      <c r="AO3164" t="s">
        <v>11024</v>
      </c>
      <c r="AP3164" t="s">
        <v>11088</v>
      </c>
      <c r="AR3164" t="s">
        <v>11288</v>
      </c>
      <c r="AS3164" t="s">
        <v>11594</v>
      </c>
      <c r="AT3164" t="s">
        <v>11642</v>
      </c>
      <c r="AX3164" t="s">
        <v>11678</v>
      </c>
      <c r="AY3164" t="s">
        <v>10829</v>
      </c>
      <c r="AZ3164" t="s">
        <v>11681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</row>
    <row r="3165" spans="1:59">
      <c r="A3165" s="1">
        <f>HYPERLINK("https://lsnyc.legalserver.org/matter/dynamic-profile/view/1907222","19-1907222")</f>
        <v>0</v>
      </c>
      <c r="B3165" t="s">
        <v>2662</v>
      </c>
      <c r="C3165" t="s">
        <v>7445</v>
      </c>
      <c r="D3165" t="s">
        <v>9928</v>
      </c>
      <c r="E3165" t="s">
        <v>10075</v>
      </c>
      <c r="F3165">
        <v>11206</v>
      </c>
      <c r="G3165" t="s">
        <v>10093</v>
      </c>
      <c r="H3165" t="s">
        <v>10127</v>
      </c>
      <c r="I3165" t="s">
        <v>10169</v>
      </c>
      <c r="J3165" t="s">
        <v>10213</v>
      </c>
      <c r="K3165" t="s">
        <v>10217</v>
      </c>
      <c r="M3165" t="s">
        <v>10289</v>
      </c>
      <c r="N3165" t="s">
        <v>10671</v>
      </c>
      <c r="P3165" t="s">
        <v>10757</v>
      </c>
      <c r="Q3165" t="s">
        <v>10815</v>
      </c>
      <c r="R3165" t="s">
        <v>10823</v>
      </c>
      <c r="T3165">
        <v>7416</v>
      </c>
      <c r="U3165">
        <v>618</v>
      </c>
      <c r="V3165">
        <v>74</v>
      </c>
      <c r="W3165">
        <v>1</v>
      </c>
      <c r="X3165">
        <v>0</v>
      </c>
      <c r="Z3165">
        <v>59.38</v>
      </c>
      <c r="AA3165">
        <v>40.703924</v>
      </c>
      <c r="AB3165">
        <v>-73.944845</v>
      </c>
      <c r="AD3165" t="s">
        <v>10839</v>
      </c>
      <c r="AG3165" t="s">
        <v>10858</v>
      </c>
      <c r="AH3165" t="s">
        <v>10861</v>
      </c>
      <c r="AI3165">
        <v>234</v>
      </c>
      <c r="AJ3165" t="s">
        <v>10214</v>
      </c>
      <c r="AL3165">
        <v>8.85</v>
      </c>
      <c r="AM3165" t="s">
        <v>10886</v>
      </c>
      <c r="AN3165" t="s">
        <v>10942</v>
      </c>
      <c r="AO3165" t="s">
        <v>11011</v>
      </c>
      <c r="AP3165" t="s">
        <v>11071</v>
      </c>
      <c r="AR3165" t="s">
        <v>11499</v>
      </c>
      <c r="AS3165" t="s">
        <v>11595</v>
      </c>
      <c r="AT3165" t="s">
        <v>11641</v>
      </c>
      <c r="AX3165" t="s">
        <v>10838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</row>
    <row r="3166" spans="1:59">
      <c r="A3166" s="1">
        <f>HYPERLINK("https://lsnyc.legalserver.org/matter/dynamic-profile/view/1907223","19-1907223")</f>
        <v>0</v>
      </c>
      <c r="B3166" t="s">
        <v>231</v>
      </c>
      <c r="C3166" t="s">
        <v>5162</v>
      </c>
      <c r="D3166" t="s">
        <v>9926</v>
      </c>
      <c r="E3166" t="s">
        <v>10075</v>
      </c>
      <c r="F3166">
        <v>10452</v>
      </c>
      <c r="G3166" t="s">
        <v>10090</v>
      </c>
      <c r="H3166" t="s">
        <v>10127</v>
      </c>
      <c r="I3166" t="s">
        <v>10168</v>
      </c>
      <c r="J3166" t="s">
        <v>10210</v>
      </c>
      <c r="K3166" t="s">
        <v>10217</v>
      </c>
      <c r="M3166" t="s">
        <v>10596</v>
      </c>
      <c r="N3166" t="s">
        <v>10705</v>
      </c>
      <c r="P3166" t="s">
        <v>10751</v>
      </c>
      <c r="Q3166" t="s">
        <v>10796</v>
      </c>
      <c r="R3166" t="s">
        <v>10821</v>
      </c>
      <c r="T3166">
        <v>11420.4</v>
      </c>
      <c r="U3166">
        <v>951.7</v>
      </c>
      <c r="V3166">
        <v>44</v>
      </c>
      <c r="W3166">
        <v>1</v>
      </c>
      <c r="X3166">
        <v>3</v>
      </c>
      <c r="Z3166">
        <v>44.35</v>
      </c>
      <c r="AA3166">
        <v>40.833545</v>
      </c>
      <c r="AB3166">
        <v>-73.919242</v>
      </c>
      <c r="AD3166" t="s">
        <v>10839</v>
      </c>
      <c r="AG3166" t="s">
        <v>10858</v>
      </c>
      <c r="AH3166" t="s">
        <v>10874</v>
      </c>
      <c r="AI3166">
        <v>230</v>
      </c>
      <c r="AJ3166" t="s">
        <v>10210</v>
      </c>
      <c r="AL3166">
        <v>26.8</v>
      </c>
      <c r="AR3166" t="s">
        <v>11273</v>
      </c>
      <c r="AS3166" t="s">
        <v>9926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</row>
    <row r="3167" spans="1:59">
      <c r="A3167" s="1">
        <f>HYPERLINK("https://lsnyc.legalserver.org/matter/dynamic-profile/view/1907224","19-1907224")</f>
        <v>0</v>
      </c>
      <c r="B3167" t="s">
        <v>2663</v>
      </c>
      <c r="C3167" t="s">
        <v>7446</v>
      </c>
      <c r="D3167" t="s">
        <v>9932</v>
      </c>
      <c r="E3167" t="s">
        <v>10075</v>
      </c>
      <c r="F3167">
        <v>11368</v>
      </c>
      <c r="G3167" t="s">
        <v>10092</v>
      </c>
      <c r="H3167" t="s">
        <v>10127</v>
      </c>
      <c r="I3167" t="s">
        <v>10169</v>
      </c>
      <c r="J3167" t="s">
        <v>10212</v>
      </c>
      <c r="K3167" t="s">
        <v>10218</v>
      </c>
      <c r="L3167" t="s">
        <v>10142</v>
      </c>
      <c r="M3167" t="s">
        <v>10340</v>
      </c>
      <c r="N3167" t="s">
        <v>10656</v>
      </c>
      <c r="P3167" t="s">
        <v>10751</v>
      </c>
      <c r="Q3167" t="s">
        <v>10780</v>
      </c>
      <c r="R3167" t="s">
        <v>10821</v>
      </c>
      <c r="T3167">
        <v>0</v>
      </c>
      <c r="U3167">
        <v>0</v>
      </c>
      <c r="V3167">
        <v>20</v>
      </c>
      <c r="W3167">
        <v>2</v>
      </c>
      <c r="X3167">
        <v>0</v>
      </c>
      <c r="Y3167" t="s">
        <v>10829</v>
      </c>
      <c r="Z3167">
        <v>0</v>
      </c>
      <c r="AA3167">
        <v>40.740056</v>
      </c>
      <c r="AB3167">
        <v>-73.85583200000001</v>
      </c>
      <c r="AD3167" t="s">
        <v>10840</v>
      </c>
      <c r="AG3167" t="s">
        <v>10858</v>
      </c>
      <c r="AH3167" t="s">
        <v>10866</v>
      </c>
      <c r="AI3167">
        <v>237</v>
      </c>
      <c r="AJ3167" t="s">
        <v>10212</v>
      </c>
      <c r="AK3167" t="s">
        <v>10838</v>
      </c>
      <c r="AL3167">
        <v>1.7</v>
      </c>
      <c r="AM3167" t="s">
        <v>10885</v>
      </c>
      <c r="AN3167" t="s">
        <v>10949</v>
      </c>
      <c r="AO3167" t="s">
        <v>11014</v>
      </c>
      <c r="AP3167" t="s">
        <v>11068</v>
      </c>
      <c r="AR3167" t="s">
        <v>11267</v>
      </c>
      <c r="AS3167" t="s">
        <v>11594</v>
      </c>
      <c r="AY3167" t="s">
        <v>10829</v>
      </c>
      <c r="AZ3167" t="s">
        <v>11682</v>
      </c>
      <c r="BA3167" t="s">
        <v>11741</v>
      </c>
      <c r="BB3167">
        <v>0</v>
      </c>
      <c r="BC3167">
        <v>0</v>
      </c>
      <c r="BD3167">
        <v>0</v>
      </c>
      <c r="BE3167">
        <v>0</v>
      </c>
      <c r="BF3167">
        <v>1</v>
      </c>
      <c r="BG3167">
        <v>0</v>
      </c>
    </row>
    <row r="3168" spans="1:59">
      <c r="A3168" s="1">
        <f>HYPERLINK("https://lsnyc.legalserver.org/matter/dynamic-profile/view/1907225","19-1907225")</f>
        <v>0</v>
      </c>
      <c r="B3168" t="s">
        <v>2416</v>
      </c>
      <c r="C3168" t="s">
        <v>5376</v>
      </c>
      <c r="D3168" t="s">
        <v>9925</v>
      </c>
      <c r="E3168" t="s">
        <v>10075</v>
      </c>
      <c r="F3168">
        <v>10026</v>
      </c>
      <c r="G3168" t="s">
        <v>10089</v>
      </c>
      <c r="H3168" t="s">
        <v>10127</v>
      </c>
      <c r="I3168" t="s">
        <v>10183</v>
      </c>
      <c r="J3168" t="s">
        <v>10209</v>
      </c>
      <c r="K3168" t="s">
        <v>10217</v>
      </c>
      <c r="M3168" t="s">
        <v>10503</v>
      </c>
      <c r="N3168" t="s">
        <v>10691</v>
      </c>
      <c r="P3168" t="s">
        <v>10754</v>
      </c>
      <c r="Q3168" t="s">
        <v>10777</v>
      </c>
      <c r="R3168" t="s">
        <v>10820</v>
      </c>
      <c r="T3168">
        <v>0</v>
      </c>
      <c r="U3168">
        <v>0</v>
      </c>
      <c r="V3168">
        <v>40</v>
      </c>
      <c r="W3168">
        <v>1</v>
      </c>
      <c r="X3168">
        <v>2</v>
      </c>
      <c r="Z3168">
        <v>0</v>
      </c>
      <c r="AA3168">
        <v>40.801663</v>
      </c>
      <c r="AB3168">
        <v>-73.94708</v>
      </c>
      <c r="AD3168" t="s">
        <v>10839</v>
      </c>
      <c r="AF3168" t="s">
        <v>10844</v>
      </c>
      <c r="AG3168" t="s">
        <v>10859</v>
      </c>
      <c r="AH3168" t="s">
        <v>10865</v>
      </c>
      <c r="AI3168">
        <v>236</v>
      </c>
      <c r="AJ3168" t="s">
        <v>10209</v>
      </c>
      <c r="AK3168" t="s">
        <v>10837</v>
      </c>
      <c r="AL3168">
        <v>0</v>
      </c>
      <c r="AM3168" t="s">
        <v>10887</v>
      </c>
      <c r="AN3168" t="s">
        <v>10936</v>
      </c>
      <c r="AO3168" t="s">
        <v>11016</v>
      </c>
      <c r="AP3168" t="s">
        <v>11076</v>
      </c>
      <c r="AQ3168" t="s">
        <v>11128</v>
      </c>
      <c r="AR3168" t="s">
        <v>11267</v>
      </c>
      <c r="AS3168" t="s">
        <v>9925</v>
      </c>
      <c r="AT3168" t="s">
        <v>11641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</row>
    <row r="3169" spans="1:59">
      <c r="A3169" s="1">
        <f>HYPERLINK("https://lsnyc.legalserver.org/matter/dynamic-profile/view/1907226","19-1907226")</f>
        <v>0</v>
      </c>
      <c r="B3169" t="s">
        <v>1766</v>
      </c>
      <c r="C3169" t="s">
        <v>7447</v>
      </c>
      <c r="D3169" t="s">
        <v>9935</v>
      </c>
      <c r="E3169" t="s">
        <v>10075</v>
      </c>
      <c r="F3169">
        <v>11370</v>
      </c>
      <c r="G3169" t="s">
        <v>10090</v>
      </c>
      <c r="H3169" t="s">
        <v>10127</v>
      </c>
      <c r="I3169" t="s">
        <v>10169</v>
      </c>
      <c r="J3169" t="s">
        <v>10210</v>
      </c>
      <c r="K3169" t="s">
        <v>10218</v>
      </c>
      <c r="L3169" t="s">
        <v>10159</v>
      </c>
      <c r="M3169" t="s">
        <v>10424</v>
      </c>
      <c r="N3169" t="s">
        <v>10683</v>
      </c>
      <c r="P3169" t="s">
        <v>10753</v>
      </c>
      <c r="Q3169" t="s">
        <v>10763</v>
      </c>
      <c r="R3169" t="s">
        <v>10821</v>
      </c>
      <c r="T3169">
        <v>0</v>
      </c>
      <c r="U3169">
        <v>0</v>
      </c>
      <c r="V3169">
        <v>57</v>
      </c>
      <c r="W3169">
        <v>2</v>
      </c>
      <c r="X3169">
        <v>0</v>
      </c>
      <c r="Y3169" t="s">
        <v>10829</v>
      </c>
      <c r="Z3169">
        <v>0</v>
      </c>
      <c r="AA3169">
        <v>40.756835</v>
      </c>
      <c r="AB3169">
        <v>-73.896305</v>
      </c>
      <c r="AD3169" t="s">
        <v>10840</v>
      </c>
      <c r="AF3169" t="s">
        <v>10844</v>
      </c>
      <c r="AG3169" t="s">
        <v>10859</v>
      </c>
      <c r="AH3169" t="s">
        <v>10864</v>
      </c>
      <c r="AI3169">
        <v>230</v>
      </c>
      <c r="AJ3169" t="s">
        <v>10210</v>
      </c>
      <c r="AK3169" t="s">
        <v>10838</v>
      </c>
      <c r="AL3169">
        <v>1.95</v>
      </c>
      <c r="AM3169" t="s">
        <v>10885</v>
      </c>
      <c r="AN3169" t="s">
        <v>10909</v>
      </c>
      <c r="AO3169" t="s">
        <v>11014</v>
      </c>
      <c r="AP3169" t="s">
        <v>11053</v>
      </c>
      <c r="AQ3169" t="s">
        <v>11204</v>
      </c>
      <c r="AR3169" t="s">
        <v>11267</v>
      </c>
      <c r="AS3169" t="s">
        <v>11594</v>
      </c>
      <c r="AT3169" t="s">
        <v>11642</v>
      </c>
      <c r="AV3169" t="s">
        <v>11655</v>
      </c>
      <c r="AW3169" t="s">
        <v>11666</v>
      </c>
      <c r="AX3169" t="s">
        <v>10838</v>
      </c>
      <c r="AY3169" t="s">
        <v>10829</v>
      </c>
      <c r="AZ3169" t="s">
        <v>11709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</row>
    <row r="3170" spans="1:59">
      <c r="A3170" s="1">
        <f>HYPERLINK("https://lsnyc.legalserver.org/matter/dynamic-profile/view/1907227","19-1907227")</f>
        <v>0</v>
      </c>
      <c r="B3170" t="s">
        <v>2664</v>
      </c>
      <c r="C3170" t="s">
        <v>6028</v>
      </c>
      <c r="D3170" t="s">
        <v>9928</v>
      </c>
      <c r="E3170" t="s">
        <v>10075</v>
      </c>
      <c r="F3170">
        <v>11233</v>
      </c>
      <c r="G3170" t="s">
        <v>10093</v>
      </c>
      <c r="H3170" t="s">
        <v>10127</v>
      </c>
      <c r="I3170" t="s">
        <v>10168</v>
      </c>
      <c r="J3170" t="s">
        <v>10213</v>
      </c>
      <c r="K3170" t="s">
        <v>10217</v>
      </c>
      <c r="M3170" t="s">
        <v>10405</v>
      </c>
      <c r="N3170" t="s">
        <v>10650</v>
      </c>
      <c r="P3170" t="s">
        <v>10749</v>
      </c>
      <c r="Q3170" t="s">
        <v>10765</v>
      </c>
      <c r="R3170" t="s">
        <v>10824</v>
      </c>
      <c r="T3170">
        <v>35800</v>
      </c>
      <c r="U3170">
        <v>2983.33</v>
      </c>
      <c r="V3170">
        <v>36</v>
      </c>
      <c r="W3170">
        <v>1</v>
      </c>
      <c r="X3170">
        <v>1</v>
      </c>
      <c r="Z3170">
        <v>211.71</v>
      </c>
      <c r="AA3170">
        <v>40.680592</v>
      </c>
      <c r="AB3170">
        <v>-73.912558</v>
      </c>
      <c r="AD3170" t="s">
        <v>10839</v>
      </c>
      <c r="AG3170" t="s">
        <v>10858</v>
      </c>
      <c r="AH3170" t="s">
        <v>10862</v>
      </c>
      <c r="AI3170">
        <v>239</v>
      </c>
      <c r="AJ3170" t="s">
        <v>10213</v>
      </c>
      <c r="AL3170">
        <v>9.9</v>
      </c>
      <c r="AM3170" t="s">
        <v>10889</v>
      </c>
      <c r="AN3170" t="s">
        <v>10922</v>
      </c>
      <c r="AO3170" t="s">
        <v>11007</v>
      </c>
      <c r="AP3170" t="s">
        <v>11064</v>
      </c>
      <c r="AQ3170" t="s">
        <v>11101</v>
      </c>
      <c r="AR3170" t="s">
        <v>11257</v>
      </c>
      <c r="AS3170" t="s">
        <v>11595</v>
      </c>
      <c r="AT3170" t="s">
        <v>11641</v>
      </c>
      <c r="BA3170" t="s">
        <v>11738</v>
      </c>
      <c r="BB3170">
        <v>0</v>
      </c>
      <c r="BC3170">
        <v>0</v>
      </c>
      <c r="BD3170">
        <v>0</v>
      </c>
      <c r="BE3170">
        <v>0</v>
      </c>
      <c r="BF3170">
        <v>5</v>
      </c>
      <c r="BG3170">
        <v>0</v>
      </c>
    </row>
    <row r="3171" spans="1:59">
      <c r="A3171" s="1">
        <f>HYPERLINK("https://lsnyc.legalserver.org/matter/dynamic-profile/view/1907228","19-1907228")</f>
        <v>0</v>
      </c>
      <c r="B3171" t="s">
        <v>2665</v>
      </c>
      <c r="C3171" t="s">
        <v>7448</v>
      </c>
      <c r="D3171" t="s">
        <v>9925</v>
      </c>
      <c r="E3171" t="s">
        <v>10075</v>
      </c>
      <c r="F3171">
        <v>10019</v>
      </c>
      <c r="G3171" t="s">
        <v>10089</v>
      </c>
      <c r="H3171" t="s">
        <v>10127</v>
      </c>
      <c r="J3171" t="s">
        <v>10209</v>
      </c>
      <c r="K3171" t="s">
        <v>10217</v>
      </c>
      <c r="M3171" t="s">
        <v>10544</v>
      </c>
      <c r="N3171" t="s">
        <v>10706</v>
      </c>
      <c r="P3171" t="s">
        <v>10749</v>
      </c>
      <c r="Q3171" t="s">
        <v>10765</v>
      </c>
      <c r="R3171" t="s">
        <v>10825</v>
      </c>
      <c r="T3171">
        <v>24700</v>
      </c>
      <c r="U3171">
        <v>2058.33</v>
      </c>
      <c r="V3171">
        <v>42</v>
      </c>
      <c r="W3171">
        <v>1</v>
      </c>
      <c r="X3171">
        <v>0</v>
      </c>
      <c r="Z3171">
        <v>197.76</v>
      </c>
      <c r="AA3171">
        <v>40.762033</v>
      </c>
      <c r="AB3171">
        <v>-73.988214</v>
      </c>
      <c r="AD3171" t="s">
        <v>10839</v>
      </c>
      <c r="AF3171" t="s">
        <v>10846</v>
      </c>
      <c r="AG3171" t="s">
        <v>10859</v>
      </c>
      <c r="AH3171" t="s">
        <v>10868</v>
      </c>
      <c r="AI3171">
        <v>237</v>
      </c>
      <c r="AJ3171" t="s">
        <v>10212</v>
      </c>
      <c r="AL3171">
        <v>1.7</v>
      </c>
      <c r="AM3171" t="s">
        <v>10894</v>
      </c>
      <c r="AN3171" t="s">
        <v>10966</v>
      </c>
      <c r="AO3171" t="s">
        <v>11021</v>
      </c>
      <c r="AP3171" t="s">
        <v>11090</v>
      </c>
      <c r="AR3171" t="s">
        <v>11257</v>
      </c>
      <c r="AS3171" t="s">
        <v>9925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</row>
    <row r="3172" spans="1:59">
      <c r="A3172" s="1">
        <f>HYPERLINK("https://lsnyc.legalserver.org/matter/dynamic-profile/view/1907229","19-1907229")</f>
        <v>0</v>
      </c>
      <c r="B3172" t="s">
        <v>2666</v>
      </c>
      <c r="C3172" t="s">
        <v>7449</v>
      </c>
      <c r="D3172" t="s">
        <v>9928</v>
      </c>
      <c r="E3172" t="s">
        <v>10075</v>
      </c>
      <c r="F3172">
        <v>11210</v>
      </c>
      <c r="G3172" t="s">
        <v>10093</v>
      </c>
      <c r="H3172" t="s">
        <v>10127</v>
      </c>
      <c r="J3172" t="s">
        <v>10213</v>
      </c>
      <c r="K3172" t="s">
        <v>10217</v>
      </c>
      <c r="M3172" t="s">
        <v>10253</v>
      </c>
      <c r="N3172" t="s">
        <v>10649</v>
      </c>
      <c r="P3172" t="s">
        <v>10753</v>
      </c>
      <c r="Q3172" t="s">
        <v>10763</v>
      </c>
      <c r="R3172" t="s">
        <v>10824</v>
      </c>
      <c r="T3172">
        <v>75000</v>
      </c>
      <c r="U3172">
        <v>6250</v>
      </c>
      <c r="V3172">
        <v>35</v>
      </c>
      <c r="W3172">
        <v>3</v>
      </c>
      <c r="X3172">
        <v>0</v>
      </c>
      <c r="Z3172">
        <v>351.62</v>
      </c>
      <c r="AA3172">
        <v>40.629517</v>
      </c>
      <c r="AB3172">
        <v>-73.940827</v>
      </c>
      <c r="AD3172" t="s">
        <v>10840</v>
      </c>
      <c r="AF3172" t="s">
        <v>10843</v>
      </c>
      <c r="AG3172" t="s">
        <v>10859</v>
      </c>
      <c r="AH3172" t="s">
        <v>10864</v>
      </c>
      <c r="AI3172">
        <v>239</v>
      </c>
      <c r="AJ3172" t="s">
        <v>10213</v>
      </c>
      <c r="AL3172">
        <v>7.75</v>
      </c>
      <c r="AM3172" t="s">
        <v>10888</v>
      </c>
      <c r="AN3172" t="s">
        <v>10957</v>
      </c>
      <c r="AO3172" t="s">
        <v>11008</v>
      </c>
      <c r="AP3172" t="s">
        <v>11065</v>
      </c>
      <c r="AQ3172" t="s">
        <v>11158</v>
      </c>
      <c r="AR3172" t="s">
        <v>11257</v>
      </c>
      <c r="AS3172" t="s">
        <v>11595</v>
      </c>
      <c r="BA3172" t="s">
        <v>11739</v>
      </c>
      <c r="BB3172">
        <v>0</v>
      </c>
      <c r="BC3172">
        <v>0</v>
      </c>
      <c r="BD3172">
        <v>0</v>
      </c>
      <c r="BE3172">
        <v>0</v>
      </c>
      <c r="BF3172">
        <v>4</v>
      </c>
      <c r="BG3172">
        <v>0</v>
      </c>
    </row>
    <row r="3173" spans="1:59">
      <c r="A3173" s="1">
        <f>HYPERLINK("https://lsnyc.legalserver.org/matter/dynamic-profile/view/1907230","19-1907230")</f>
        <v>0</v>
      </c>
      <c r="B3173" t="s">
        <v>2667</v>
      </c>
      <c r="C3173" t="s">
        <v>7450</v>
      </c>
      <c r="D3173" t="s">
        <v>9932</v>
      </c>
      <c r="E3173" t="s">
        <v>10075</v>
      </c>
      <c r="F3173">
        <v>11368</v>
      </c>
      <c r="G3173" t="s">
        <v>10093</v>
      </c>
      <c r="H3173" t="s">
        <v>10129</v>
      </c>
      <c r="I3173" t="s">
        <v>10169</v>
      </c>
      <c r="J3173" t="s">
        <v>10213</v>
      </c>
      <c r="K3173" t="s">
        <v>10217</v>
      </c>
      <c r="M3173" t="s">
        <v>10378</v>
      </c>
      <c r="N3173" t="s">
        <v>10662</v>
      </c>
      <c r="P3173" t="s">
        <v>10754</v>
      </c>
      <c r="Q3173" t="s">
        <v>10784</v>
      </c>
      <c r="R3173" t="s">
        <v>10823</v>
      </c>
      <c r="T3173">
        <v>56000</v>
      </c>
      <c r="U3173">
        <v>4666.67</v>
      </c>
      <c r="V3173">
        <v>24</v>
      </c>
      <c r="W3173">
        <v>2</v>
      </c>
      <c r="X3173">
        <v>0</v>
      </c>
      <c r="Z3173">
        <v>331.16</v>
      </c>
      <c r="AA3173">
        <v>40.754607</v>
      </c>
      <c r="AB3173">
        <v>-73.86661100000001</v>
      </c>
      <c r="AD3173" t="s">
        <v>10839</v>
      </c>
      <c r="AF3173" t="s">
        <v>10843</v>
      </c>
      <c r="AG3173" t="s">
        <v>10859</v>
      </c>
      <c r="AH3173" t="s">
        <v>10868</v>
      </c>
      <c r="AI3173">
        <v>239</v>
      </c>
      <c r="AJ3173" t="s">
        <v>10213</v>
      </c>
      <c r="AL3173">
        <v>1.3</v>
      </c>
      <c r="AR3173" t="s">
        <v>11257</v>
      </c>
      <c r="AS3173" t="s">
        <v>11594</v>
      </c>
      <c r="AT3173" t="s">
        <v>11641</v>
      </c>
      <c r="AW3173" t="s">
        <v>11675</v>
      </c>
      <c r="AX3173" t="s">
        <v>10837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</row>
    <row r="3174" spans="1:59">
      <c r="A3174" s="1">
        <f>HYPERLINK("https://lsnyc.legalserver.org/matter/dynamic-profile/view/1907231","19-1907231")</f>
        <v>0</v>
      </c>
      <c r="B3174" t="s">
        <v>2668</v>
      </c>
      <c r="C3174" t="s">
        <v>7451</v>
      </c>
      <c r="D3174" t="s">
        <v>9926</v>
      </c>
      <c r="E3174" t="s">
        <v>10075</v>
      </c>
      <c r="F3174">
        <v>10466</v>
      </c>
      <c r="G3174" t="s">
        <v>10092</v>
      </c>
      <c r="H3174" t="s">
        <v>10127</v>
      </c>
      <c r="I3174" t="s">
        <v>10168</v>
      </c>
      <c r="J3174" t="s">
        <v>10212</v>
      </c>
      <c r="K3174" t="s">
        <v>10218</v>
      </c>
      <c r="L3174" t="s">
        <v>10137</v>
      </c>
      <c r="M3174" t="s">
        <v>10363</v>
      </c>
      <c r="N3174" t="s">
        <v>10706</v>
      </c>
      <c r="P3174" t="s">
        <v>10754</v>
      </c>
      <c r="Q3174" t="s">
        <v>10784</v>
      </c>
      <c r="R3174" t="s">
        <v>10825</v>
      </c>
      <c r="T3174">
        <v>40000</v>
      </c>
      <c r="U3174">
        <v>3333.33</v>
      </c>
      <c r="V3174">
        <v>36</v>
      </c>
      <c r="W3174">
        <v>2</v>
      </c>
      <c r="X3174">
        <v>1</v>
      </c>
      <c r="Y3174" t="s">
        <v>10830</v>
      </c>
      <c r="Z3174">
        <v>187.53</v>
      </c>
      <c r="AA3174">
        <v>40.887282</v>
      </c>
      <c r="AB3174">
        <v>-73.855678</v>
      </c>
      <c r="AD3174" t="s">
        <v>10839</v>
      </c>
      <c r="AG3174" t="s">
        <v>10858</v>
      </c>
      <c r="AH3174" t="s">
        <v>10868</v>
      </c>
      <c r="AI3174">
        <v>237</v>
      </c>
      <c r="AJ3174" t="s">
        <v>10212</v>
      </c>
      <c r="AK3174" t="s">
        <v>10838</v>
      </c>
      <c r="AL3174">
        <v>0.7</v>
      </c>
      <c r="AM3174" t="s">
        <v>10893</v>
      </c>
      <c r="AN3174" t="s">
        <v>10956</v>
      </c>
      <c r="AO3174" t="s">
        <v>11010</v>
      </c>
      <c r="AP3174" t="s">
        <v>11085</v>
      </c>
      <c r="AR3174" t="s">
        <v>11262</v>
      </c>
      <c r="AS3174" t="s">
        <v>9926</v>
      </c>
      <c r="AY3174" t="s">
        <v>10830</v>
      </c>
      <c r="AZ3174" t="s">
        <v>11683</v>
      </c>
      <c r="BA3174" t="s">
        <v>11740</v>
      </c>
      <c r="BB3174">
        <v>0</v>
      </c>
      <c r="BC3174">
        <v>0</v>
      </c>
      <c r="BD3174">
        <v>0</v>
      </c>
      <c r="BE3174">
        <v>0</v>
      </c>
      <c r="BF3174">
        <v>2</v>
      </c>
      <c r="BG3174">
        <v>0</v>
      </c>
    </row>
    <row r="3175" spans="1:59">
      <c r="A3175" s="1">
        <f>HYPERLINK("https://lsnyc.legalserver.org/matter/dynamic-profile/view/1907232","19-1907232")</f>
        <v>0</v>
      </c>
      <c r="B3175" t="s">
        <v>2669</v>
      </c>
      <c r="C3175" t="s">
        <v>7452</v>
      </c>
      <c r="D3175" t="s">
        <v>10022</v>
      </c>
      <c r="E3175" t="s">
        <v>10075</v>
      </c>
      <c r="F3175">
        <v>10459</v>
      </c>
      <c r="G3175" t="s">
        <v>10090</v>
      </c>
      <c r="H3175" t="s">
        <v>10127</v>
      </c>
      <c r="I3175" t="s">
        <v>10168</v>
      </c>
      <c r="J3175" t="s">
        <v>10215</v>
      </c>
      <c r="K3175" t="s">
        <v>10218</v>
      </c>
      <c r="L3175" t="s">
        <v>10158</v>
      </c>
      <c r="M3175" t="s">
        <v>10283</v>
      </c>
      <c r="N3175" t="s">
        <v>10671</v>
      </c>
      <c r="P3175" t="s">
        <v>10751</v>
      </c>
      <c r="Q3175" t="s">
        <v>10776</v>
      </c>
      <c r="R3175" t="s">
        <v>10821</v>
      </c>
      <c r="T3175">
        <v>4800</v>
      </c>
      <c r="U3175">
        <v>400</v>
      </c>
      <c r="V3175">
        <v>50</v>
      </c>
      <c r="W3175">
        <v>1</v>
      </c>
      <c r="X3175">
        <v>1</v>
      </c>
      <c r="Y3175" t="s">
        <v>10834</v>
      </c>
      <c r="Z3175">
        <v>28.39</v>
      </c>
      <c r="AA3175">
        <v>40.824451</v>
      </c>
      <c r="AB3175">
        <v>-73.897103</v>
      </c>
      <c r="AD3175" t="s">
        <v>10839</v>
      </c>
      <c r="AG3175" t="s">
        <v>10858</v>
      </c>
      <c r="AH3175" t="s">
        <v>10862</v>
      </c>
      <c r="AI3175">
        <v>231</v>
      </c>
      <c r="AJ3175" t="s">
        <v>10215</v>
      </c>
      <c r="AK3175" t="s">
        <v>10838</v>
      </c>
      <c r="AL3175">
        <v>7</v>
      </c>
      <c r="AM3175" t="s">
        <v>10884</v>
      </c>
      <c r="AN3175" t="s">
        <v>10918</v>
      </c>
      <c r="AO3175" t="s">
        <v>11001</v>
      </c>
      <c r="AP3175" t="s">
        <v>11062</v>
      </c>
      <c r="AR3175" t="s">
        <v>11273</v>
      </c>
      <c r="AS3175" t="s">
        <v>9926</v>
      </c>
      <c r="AY3175" t="s">
        <v>10834</v>
      </c>
      <c r="AZ3175" t="s">
        <v>11688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</row>
    <row r="3176" spans="1:59">
      <c r="A3176" s="1">
        <f>HYPERLINK("https://lsnyc.legalserver.org/matter/dynamic-profile/view/1907233","19-1907233")</f>
        <v>0</v>
      </c>
      <c r="B3176" t="s">
        <v>2670</v>
      </c>
      <c r="D3176" t="s">
        <v>9956</v>
      </c>
      <c r="E3176" t="s">
        <v>10075</v>
      </c>
      <c r="F3176">
        <v>11365</v>
      </c>
      <c r="G3176" t="s">
        <v>10088</v>
      </c>
      <c r="H3176" t="s">
        <v>10129</v>
      </c>
      <c r="I3176" t="s">
        <v>10168</v>
      </c>
      <c r="J3176" t="s">
        <v>10208</v>
      </c>
      <c r="K3176" t="s">
        <v>10217</v>
      </c>
      <c r="M3176" t="s">
        <v>10466</v>
      </c>
      <c r="N3176" t="s">
        <v>10673</v>
      </c>
      <c r="P3176" t="s">
        <v>10753</v>
      </c>
      <c r="Q3176" t="s">
        <v>10763</v>
      </c>
      <c r="R3176" t="s">
        <v>10822</v>
      </c>
      <c r="T3176">
        <v>0</v>
      </c>
      <c r="U3176">
        <v>0</v>
      </c>
      <c r="V3176">
        <v>30</v>
      </c>
      <c r="W3176">
        <v>1</v>
      </c>
      <c r="X3176">
        <v>0</v>
      </c>
      <c r="Z3176">
        <v>0</v>
      </c>
      <c r="AA3176">
        <v>0</v>
      </c>
      <c r="AB3176">
        <v>0</v>
      </c>
      <c r="AD3176" t="s">
        <v>10841</v>
      </c>
      <c r="AF3176" t="s">
        <v>10842</v>
      </c>
      <c r="AG3176" t="s">
        <v>10859</v>
      </c>
      <c r="AH3176" t="s">
        <v>10868</v>
      </c>
      <c r="AI3176">
        <v>239</v>
      </c>
      <c r="AJ3176" t="s">
        <v>10213</v>
      </c>
      <c r="AL3176">
        <v>6</v>
      </c>
      <c r="AQ3176" t="s">
        <v>11204</v>
      </c>
      <c r="AR3176" t="s">
        <v>11267</v>
      </c>
      <c r="AS3176" t="s">
        <v>11594</v>
      </c>
      <c r="AT3176" t="s">
        <v>10841</v>
      </c>
      <c r="AV3176" t="s">
        <v>11659</v>
      </c>
      <c r="AW3176" t="s">
        <v>11676</v>
      </c>
      <c r="AX3176" t="s">
        <v>10837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</row>
    <row r="3177" spans="1:59">
      <c r="A3177" s="1">
        <f>HYPERLINK("https://lsnyc.legalserver.org/matter/dynamic-profile/view/1907235","19-1907235")</f>
        <v>0</v>
      </c>
      <c r="B3177" t="s">
        <v>2671</v>
      </c>
      <c r="C3177" t="s">
        <v>7453</v>
      </c>
      <c r="D3177" t="s">
        <v>9928</v>
      </c>
      <c r="E3177" t="s">
        <v>10075</v>
      </c>
      <c r="F3177">
        <v>11208</v>
      </c>
      <c r="G3177" t="s">
        <v>10093</v>
      </c>
      <c r="H3177" t="s">
        <v>10129</v>
      </c>
      <c r="I3177" t="s">
        <v>10168</v>
      </c>
      <c r="J3177" t="s">
        <v>10213</v>
      </c>
      <c r="K3177" t="s">
        <v>10218</v>
      </c>
      <c r="L3177" t="s">
        <v>10223</v>
      </c>
      <c r="M3177" t="s">
        <v>10314</v>
      </c>
      <c r="N3177" t="s">
        <v>10657</v>
      </c>
      <c r="P3177" t="s">
        <v>10749</v>
      </c>
      <c r="Q3177" t="s">
        <v>10765</v>
      </c>
      <c r="R3177" t="s">
        <v>10822</v>
      </c>
      <c r="T3177">
        <v>38196</v>
      </c>
      <c r="U3177">
        <v>3183</v>
      </c>
      <c r="V3177">
        <v>25</v>
      </c>
      <c r="W3177">
        <v>2</v>
      </c>
      <c r="X3177">
        <v>1</v>
      </c>
      <c r="Y3177" t="s">
        <v>10829</v>
      </c>
      <c r="Z3177">
        <v>179.07</v>
      </c>
      <c r="AA3177">
        <v>40.68487</v>
      </c>
      <c r="AB3177">
        <v>-73.872849</v>
      </c>
      <c r="AD3177" t="s">
        <v>10822</v>
      </c>
      <c r="AG3177" t="s">
        <v>10858</v>
      </c>
      <c r="AH3177" t="s">
        <v>10862</v>
      </c>
      <c r="AI3177">
        <v>239</v>
      </c>
      <c r="AJ3177" t="s">
        <v>10213</v>
      </c>
      <c r="AK3177" t="s">
        <v>10838</v>
      </c>
      <c r="AL3177">
        <v>2</v>
      </c>
      <c r="AM3177" t="s">
        <v>10886</v>
      </c>
      <c r="AN3177" t="s">
        <v>10920</v>
      </c>
      <c r="AO3177" t="s">
        <v>11011</v>
      </c>
      <c r="AP3177" t="s">
        <v>11058</v>
      </c>
      <c r="AR3177" t="s">
        <v>10180</v>
      </c>
      <c r="AS3177" t="s">
        <v>11595</v>
      </c>
      <c r="AY3177" t="s">
        <v>10829</v>
      </c>
      <c r="AZ3177" t="s">
        <v>11687</v>
      </c>
      <c r="BA3177" t="s">
        <v>11741</v>
      </c>
      <c r="BB3177">
        <v>0</v>
      </c>
      <c r="BC3177">
        <v>0</v>
      </c>
      <c r="BD3177">
        <v>0</v>
      </c>
      <c r="BE3177">
        <v>0</v>
      </c>
      <c r="BF3177">
        <v>1</v>
      </c>
      <c r="BG3177">
        <v>0</v>
      </c>
    </row>
    <row r="3178" spans="1:59">
      <c r="A3178" s="1">
        <f>HYPERLINK("https://lsnyc.legalserver.org/matter/dynamic-profile/view/1907236","19-1907236")</f>
        <v>0</v>
      </c>
      <c r="B3178" t="s">
        <v>2672</v>
      </c>
      <c r="C3178" t="s">
        <v>7454</v>
      </c>
      <c r="D3178" t="s">
        <v>9929</v>
      </c>
      <c r="E3178" t="s">
        <v>10075</v>
      </c>
      <c r="F3178">
        <v>10303</v>
      </c>
      <c r="G3178" t="s">
        <v>10088</v>
      </c>
      <c r="H3178" t="s">
        <v>10129</v>
      </c>
      <c r="I3178" t="s">
        <v>10168</v>
      </c>
      <c r="J3178" t="s">
        <v>10208</v>
      </c>
      <c r="K3178" t="s">
        <v>10217</v>
      </c>
      <c r="M3178" t="s">
        <v>10228</v>
      </c>
      <c r="N3178" t="s">
        <v>10644</v>
      </c>
      <c r="P3178" t="s">
        <v>10749</v>
      </c>
      <c r="Q3178" t="s">
        <v>10806</v>
      </c>
      <c r="R3178" t="s">
        <v>10824</v>
      </c>
      <c r="T3178">
        <v>10596</v>
      </c>
      <c r="U3178">
        <v>883</v>
      </c>
      <c r="V3178">
        <v>63</v>
      </c>
      <c r="W3178">
        <v>1</v>
      </c>
      <c r="X3178">
        <v>0</v>
      </c>
      <c r="Z3178">
        <v>84.84</v>
      </c>
      <c r="AA3178">
        <v>40.637516</v>
      </c>
      <c r="AB3178">
        <v>-74.167874</v>
      </c>
      <c r="AD3178" t="s">
        <v>10839</v>
      </c>
      <c r="AG3178" t="s">
        <v>10858</v>
      </c>
      <c r="AH3178" t="s">
        <v>10860</v>
      </c>
      <c r="AI3178">
        <v>285</v>
      </c>
      <c r="AJ3178" t="s">
        <v>10208</v>
      </c>
      <c r="AL3178">
        <v>0.9</v>
      </c>
      <c r="AM3178" t="s">
        <v>10883</v>
      </c>
      <c r="AN3178" t="s">
        <v>10928</v>
      </c>
      <c r="AO3178" t="s">
        <v>11006</v>
      </c>
      <c r="AP3178" t="s">
        <v>11051</v>
      </c>
      <c r="AR3178" t="s">
        <v>11258</v>
      </c>
      <c r="AS3178" t="s">
        <v>11593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</row>
    <row r="3179" spans="1:59">
      <c r="A3179" s="1">
        <f>HYPERLINK("https://lsnyc.legalserver.org/matter/dynamic-profile/view/1907237","19-1907237")</f>
        <v>0</v>
      </c>
      <c r="B3179" t="s">
        <v>2673</v>
      </c>
      <c r="C3179" t="s">
        <v>7455</v>
      </c>
      <c r="D3179" t="s">
        <v>9925</v>
      </c>
      <c r="E3179" t="s">
        <v>10075</v>
      </c>
      <c r="F3179">
        <v>10027</v>
      </c>
      <c r="G3179" t="s">
        <v>10089</v>
      </c>
      <c r="H3179" t="s">
        <v>10129</v>
      </c>
      <c r="I3179" t="s">
        <v>10168</v>
      </c>
      <c r="J3179" t="s">
        <v>10209</v>
      </c>
      <c r="K3179" t="s">
        <v>10217</v>
      </c>
      <c r="M3179" t="s">
        <v>10598</v>
      </c>
      <c r="N3179" t="s">
        <v>10703</v>
      </c>
      <c r="P3179" t="s">
        <v>10749</v>
      </c>
      <c r="Q3179" t="s">
        <v>10767</v>
      </c>
      <c r="R3179" t="s">
        <v>10824</v>
      </c>
      <c r="T3179">
        <v>49000</v>
      </c>
      <c r="U3179">
        <v>4083.33</v>
      </c>
      <c r="V3179">
        <v>38</v>
      </c>
      <c r="W3179">
        <v>1</v>
      </c>
      <c r="X3179">
        <v>1</v>
      </c>
      <c r="Z3179">
        <v>289.77</v>
      </c>
      <c r="AA3179">
        <v>40.811375</v>
      </c>
      <c r="AB3179">
        <v>-73.955315</v>
      </c>
      <c r="AD3179" t="s">
        <v>10839</v>
      </c>
      <c r="AG3179" t="s">
        <v>10858</v>
      </c>
      <c r="AH3179" t="s">
        <v>10861</v>
      </c>
      <c r="AI3179">
        <v>236</v>
      </c>
      <c r="AJ3179" t="s">
        <v>10209</v>
      </c>
      <c r="AL3179">
        <v>3.25</v>
      </c>
      <c r="AM3179" t="s">
        <v>10887</v>
      </c>
      <c r="AN3179" t="s">
        <v>10953</v>
      </c>
      <c r="AO3179" t="s">
        <v>11016</v>
      </c>
      <c r="AP3179" t="s">
        <v>11073</v>
      </c>
      <c r="AR3179" t="s">
        <v>11257</v>
      </c>
      <c r="AS3179" t="s">
        <v>9925</v>
      </c>
      <c r="BA3179" t="s">
        <v>11742</v>
      </c>
      <c r="BB3179">
        <v>0</v>
      </c>
      <c r="BC3179">
        <v>0</v>
      </c>
      <c r="BD3179">
        <v>0</v>
      </c>
      <c r="BE3179">
        <v>0</v>
      </c>
      <c r="BF3179">
        <v>7</v>
      </c>
      <c r="BG3179">
        <v>0</v>
      </c>
    </row>
    <row r="3180" spans="1:59">
      <c r="A3180" s="1">
        <f>HYPERLINK("https://lsnyc.legalserver.org/matter/dynamic-profile/view/1907238","19-1907238")</f>
        <v>0</v>
      </c>
      <c r="B3180" t="s">
        <v>2674</v>
      </c>
      <c r="C3180" t="s">
        <v>7456</v>
      </c>
      <c r="D3180" t="s">
        <v>9926</v>
      </c>
      <c r="E3180" t="s">
        <v>10075</v>
      </c>
      <c r="F3180">
        <v>10452</v>
      </c>
      <c r="G3180" t="s">
        <v>10090</v>
      </c>
      <c r="H3180" t="s">
        <v>10142</v>
      </c>
      <c r="I3180" t="s">
        <v>10168</v>
      </c>
      <c r="J3180" t="s">
        <v>10210</v>
      </c>
      <c r="K3180" t="s">
        <v>10217</v>
      </c>
      <c r="M3180" t="s">
        <v>10261</v>
      </c>
      <c r="N3180" t="s">
        <v>10650</v>
      </c>
      <c r="P3180" t="s">
        <v>10749</v>
      </c>
      <c r="Q3180" t="s">
        <v>10765</v>
      </c>
      <c r="R3180" t="s">
        <v>10824</v>
      </c>
      <c r="T3180">
        <v>0</v>
      </c>
      <c r="U3180">
        <v>0</v>
      </c>
      <c r="V3180">
        <v>66</v>
      </c>
      <c r="W3180">
        <v>2</v>
      </c>
      <c r="X3180">
        <v>0</v>
      </c>
      <c r="Z3180">
        <v>0</v>
      </c>
      <c r="AA3180">
        <v>40.833709</v>
      </c>
      <c r="AB3180">
        <v>-73.92160699999999</v>
      </c>
      <c r="AD3180" t="s">
        <v>10839</v>
      </c>
      <c r="AG3180" t="s">
        <v>10858</v>
      </c>
      <c r="AH3180" t="s">
        <v>10870</v>
      </c>
      <c r="AI3180">
        <v>230</v>
      </c>
      <c r="AJ3180" t="s">
        <v>10210</v>
      </c>
      <c r="AL3180">
        <v>12</v>
      </c>
      <c r="AM3180" t="s">
        <v>10884</v>
      </c>
      <c r="AN3180" t="s">
        <v>10924</v>
      </c>
      <c r="AO3180" t="s">
        <v>11013</v>
      </c>
      <c r="AP3180" t="s">
        <v>11055</v>
      </c>
      <c r="AR3180" t="s">
        <v>10180</v>
      </c>
      <c r="AS3180" t="s">
        <v>9926</v>
      </c>
      <c r="BA3180" t="s">
        <v>11742</v>
      </c>
      <c r="BB3180">
        <v>0</v>
      </c>
      <c r="BC3180">
        <v>0</v>
      </c>
      <c r="BD3180">
        <v>0</v>
      </c>
      <c r="BE3180">
        <v>0</v>
      </c>
      <c r="BF3180">
        <v>7</v>
      </c>
      <c r="BG3180">
        <v>0</v>
      </c>
    </row>
    <row r="3181" spans="1:59">
      <c r="A3181" s="1">
        <f>HYPERLINK("https://lsnyc.legalserver.org/matter/dynamic-profile/view/1907239","19-1907239")</f>
        <v>0</v>
      </c>
      <c r="B3181" t="s">
        <v>2254</v>
      </c>
      <c r="C3181" t="s">
        <v>7457</v>
      </c>
      <c r="D3181" t="s">
        <v>9928</v>
      </c>
      <c r="E3181" t="s">
        <v>10075</v>
      </c>
      <c r="F3181">
        <v>11206</v>
      </c>
      <c r="G3181" t="s">
        <v>10093</v>
      </c>
      <c r="H3181" t="s">
        <v>10129</v>
      </c>
      <c r="I3181" t="s">
        <v>10168</v>
      </c>
      <c r="J3181" t="s">
        <v>10213</v>
      </c>
      <c r="K3181" t="s">
        <v>10217</v>
      </c>
      <c r="M3181" t="s">
        <v>10304</v>
      </c>
      <c r="N3181" t="s">
        <v>10671</v>
      </c>
      <c r="P3181" t="s">
        <v>10749</v>
      </c>
      <c r="Q3181" t="s">
        <v>10765</v>
      </c>
      <c r="R3181" t="s">
        <v>10821</v>
      </c>
      <c r="T3181">
        <v>18000</v>
      </c>
      <c r="U3181">
        <v>1500</v>
      </c>
      <c r="V3181">
        <v>47</v>
      </c>
      <c r="W3181">
        <v>1</v>
      </c>
      <c r="X3181">
        <v>0</v>
      </c>
      <c r="Z3181">
        <v>144.12</v>
      </c>
      <c r="AA3181">
        <v>40.707965</v>
      </c>
      <c r="AB3181">
        <v>-73.93888</v>
      </c>
      <c r="AD3181" t="s">
        <v>10839</v>
      </c>
      <c r="AF3181" t="s">
        <v>10843</v>
      </c>
      <c r="AG3181" t="s">
        <v>10859</v>
      </c>
      <c r="AH3181" t="s">
        <v>10861</v>
      </c>
      <c r="AI3181">
        <v>234</v>
      </c>
      <c r="AJ3181" t="s">
        <v>10214</v>
      </c>
      <c r="AL3181">
        <v>1</v>
      </c>
      <c r="AM3181" t="s">
        <v>10886</v>
      </c>
      <c r="AN3181" t="s">
        <v>10942</v>
      </c>
      <c r="AO3181" t="s">
        <v>11011</v>
      </c>
      <c r="AP3181" t="s">
        <v>11071</v>
      </c>
      <c r="AR3181" t="s">
        <v>11276</v>
      </c>
      <c r="AS3181" t="s">
        <v>11595</v>
      </c>
      <c r="AT3181" t="s">
        <v>11641</v>
      </c>
      <c r="AX3181" t="s">
        <v>10838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</row>
    <row r="3182" spans="1:59">
      <c r="A3182" s="1">
        <f>HYPERLINK("https://lsnyc.legalserver.org/matter/dynamic-profile/view/1907240","19-1907240")</f>
        <v>0</v>
      </c>
      <c r="B3182" t="s">
        <v>2675</v>
      </c>
      <c r="C3182" t="s">
        <v>7458</v>
      </c>
      <c r="D3182" t="s">
        <v>9928</v>
      </c>
      <c r="E3182" t="s">
        <v>10075</v>
      </c>
      <c r="F3182">
        <v>11233</v>
      </c>
      <c r="G3182" t="s">
        <v>10093</v>
      </c>
      <c r="H3182" t="s">
        <v>10129</v>
      </c>
      <c r="I3182" t="s">
        <v>10168</v>
      </c>
      <c r="J3182" t="s">
        <v>10213</v>
      </c>
      <c r="K3182" t="s">
        <v>10217</v>
      </c>
      <c r="M3182" t="s">
        <v>10551</v>
      </c>
      <c r="N3182" t="s">
        <v>10650</v>
      </c>
      <c r="P3182" t="s">
        <v>10749</v>
      </c>
      <c r="Q3182" t="s">
        <v>10765</v>
      </c>
      <c r="R3182" t="s">
        <v>10824</v>
      </c>
      <c r="T3182">
        <v>58760</v>
      </c>
      <c r="U3182">
        <v>4896.67</v>
      </c>
      <c r="V3182">
        <v>41</v>
      </c>
      <c r="W3182">
        <v>2</v>
      </c>
      <c r="X3182">
        <v>2</v>
      </c>
      <c r="Z3182">
        <v>228.19</v>
      </c>
      <c r="AA3182">
        <v>40.674176</v>
      </c>
      <c r="AB3182">
        <v>-73.910515</v>
      </c>
      <c r="AD3182" t="s">
        <v>10839</v>
      </c>
      <c r="AG3182" t="s">
        <v>10858</v>
      </c>
      <c r="AH3182" t="s">
        <v>10861</v>
      </c>
      <c r="AI3182">
        <v>234</v>
      </c>
      <c r="AJ3182" t="s">
        <v>10214</v>
      </c>
      <c r="AK3182" t="s">
        <v>10838</v>
      </c>
      <c r="AL3182">
        <v>2</v>
      </c>
      <c r="AM3182" t="s">
        <v>10889</v>
      </c>
      <c r="AN3182" t="s">
        <v>10922</v>
      </c>
      <c r="AO3182" t="s">
        <v>11012</v>
      </c>
      <c r="AP3182" t="s">
        <v>11064</v>
      </c>
      <c r="AQ3182" t="s">
        <v>11101</v>
      </c>
      <c r="AR3182" t="s">
        <v>11262</v>
      </c>
      <c r="AS3182" t="s">
        <v>11595</v>
      </c>
      <c r="AT3182" t="s">
        <v>11641</v>
      </c>
      <c r="AX3182" t="s">
        <v>10838</v>
      </c>
      <c r="AZ3182" t="s">
        <v>11681</v>
      </c>
      <c r="BA3182" t="s">
        <v>11742</v>
      </c>
      <c r="BB3182">
        <v>0</v>
      </c>
      <c r="BC3182">
        <v>0</v>
      </c>
      <c r="BD3182">
        <v>0</v>
      </c>
      <c r="BE3182">
        <v>0</v>
      </c>
      <c r="BF3182">
        <v>7</v>
      </c>
      <c r="BG3182">
        <v>0</v>
      </c>
    </row>
    <row r="3183" spans="1:59">
      <c r="A3183" s="1">
        <f>HYPERLINK("https://lsnyc.legalserver.org/matter/dynamic-profile/view/1907241","19-1907241")</f>
        <v>0</v>
      </c>
      <c r="B3183" t="s">
        <v>2482</v>
      </c>
      <c r="C3183" t="s">
        <v>7459</v>
      </c>
      <c r="D3183" t="s">
        <v>9929</v>
      </c>
      <c r="E3183" t="s">
        <v>10075</v>
      </c>
      <c r="F3183">
        <v>10301</v>
      </c>
      <c r="G3183" t="s">
        <v>10088</v>
      </c>
      <c r="H3183" t="s">
        <v>10142</v>
      </c>
      <c r="I3183" t="s">
        <v>10168</v>
      </c>
      <c r="J3183" t="s">
        <v>10208</v>
      </c>
      <c r="K3183" t="s">
        <v>10217</v>
      </c>
      <c r="M3183" t="s">
        <v>10259</v>
      </c>
      <c r="N3183" t="s">
        <v>10654</v>
      </c>
      <c r="P3183" t="s">
        <v>10749</v>
      </c>
      <c r="Q3183" t="s">
        <v>10767</v>
      </c>
      <c r="R3183" t="s">
        <v>10824</v>
      </c>
      <c r="T3183">
        <v>22080</v>
      </c>
      <c r="U3183">
        <v>1840</v>
      </c>
      <c r="V3183">
        <v>40</v>
      </c>
      <c r="W3183">
        <v>2</v>
      </c>
      <c r="X3183">
        <v>4</v>
      </c>
      <c r="Z3183">
        <v>63.83</v>
      </c>
      <c r="AA3183">
        <v>40.647283</v>
      </c>
      <c r="AB3183">
        <v>-74.08745999999999</v>
      </c>
      <c r="AD3183" t="s">
        <v>10839</v>
      </c>
      <c r="AG3183" t="s">
        <v>10858</v>
      </c>
      <c r="AH3183" t="s">
        <v>10862</v>
      </c>
      <c r="AI3183">
        <v>285</v>
      </c>
      <c r="AJ3183" t="s">
        <v>10208</v>
      </c>
      <c r="AL3183">
        <v>5.45</v>
      </c>
      <c r="AM3183" t="s">
        <v>10883</v>
      </c>
      <c r="AN3183" t="s">
        <v>10913</v>
      </c>
      <c r="AO3183" t="s">
        <v>11006</v>
      </c>
      <c r="AP3183" t="s">
        <v>11051</v>
      </c>
      <c r="AR3183" t="s">
        <v>11500</v>
      </c>
      <c r="AS3183" t="s">
        <v>11593</v>
      </c>
      <c r="BA3183" t="s">
        <v>11738</v>
      </c>
      <c r="BB3183">
        <v>0</v>
      </c>
      <c r="BC3183">
        <v>0</v>
      </c>
      <c r="BD3183">
        <v>0</v>
      </c>
      <c r="BE3183">
        <v>0</v>
      </c>
      <c r="BF3183">
        <v>5</v>
      </c>
      <c r="BG3183">
        <v>0</v>
      </c>
    </row>
    <row r="3184" spans="1:59">
      <c r="A3184" s="1">
        <f>HYPERLINK("https://lsnyc.legalserver.org/matter/dynamic-profile/view/1907242","19-1907242")</f>
        <v>0</v>
      </c>
      <c r="B3184" t="s">
        <v>2676</v>
      </c>
      <c r="C3184" t="s">
        <v>7460</v>
      </c>
      <c r="D3184" t="s">
        <v>9938</v>
      </c>
      <c r="E3184" t="s">
        <v>10075</v>
      </c>
      <c r="F3184">
        <v>11436</v>
      </c>
      <c r="G3184" t="s">
        <v>10092</v>
      </c>
      <c r="H3184" t="s">
        <v>10129</v>
      </c>
      <c r="I3184" t="s">
        <v>10168</v>
      </c>
      <c r="J3184" t="s">
        <v>10212</v>
      </c>
      <c r="K3184" t="s">
        <v>10217</v>
      </c>
      <c r="M3184" t="s">
        <v>10475</v>
      </c>
      <c r="N3184" t="s">
        <v>10650</v>
      </c>
      <c r="P3184" t="s">
        <v>10749</v>
      </c>
      <c r="Q3184" t="s">
        <v>10765</v>
      </c>
      <c r="R3184" t="s">
        <v>10824</v>
      </c>
      <c r="T3184">
        <v>4656</v>
      </c>
      <c r="U3184">
        <v>388</v>
      </c>
      <c r="V3184">
        <v>33</v>
      </c>
      <c r="W3184">
        <v>1</v>
      </c>
      <c r="X3184">
        <v>0</v>
      </c>
      <c r="Z3184">
        <v>37.28</v>
      </c>
      <c r="AA3184">
        <v>40.681479</v>
      </c>
      <c r="AB3184">
        <v>-73.794541</v>
      </c>
      <c r="AD3184" t="s">
        <v>10839</v>
      </c>
      <c r="AG3184" t="s">
        <v>10858</v>
      </c>
      <c r="AH3184" t="s">
        <v>10862</v>
      </c>
      <c r="AI3184">
        <v>237</v>
      </c>
      <c r="AJ3184" t="s">
        <v>10212</v>
      </c>
      <c r="AL3184">
        <v>6.05</v>
      </c>
      <c r="AM3184" t="s">
        <v>10892</v>
      </c>
      <c r="AN3184" t="s">
        <v>10951</v>
      </c>
      <c r="AO3184" t="s">
        <v>11017</v>
      </c>
      <c r="AP3184" t="s">
        <v>11070</v>
      </c>
      <c r="AR3184" t="s">
        <v>11306</v>
      </c>
      <c r="AS3184" t="s">
        <v>11594</v>
      </c>
      <c r="AX3184" t="s">
        <v>10838</v>
      </c>
      <c r="BA3184" t="s">
        <v>11738</v>
      </c>
      <c r="BB3184">
        <v>0</v>
      </c>
      <c r="BC3184">
        <v>0</v>
      </c>
      <c r="BD3184">
        <v>0</v>
      </c>
      <c r="BE3184">
        <v>0</v>
      </c>
      <c r="BF3184">
        <v>5</v>
      </c>
      <c r="BG3184">
        <v>0</v>
      </c>
    </row>
    <row r="3185" spans="1:59">
      <c r="A3185" s="1">
        <f>HYPERLINK("https://lsnyc.legalserver.org/matter/dynamic-profile/view/1907243","19-1907243")</f>
        <v>0</v>
      </c>
      <c r="B3185" t="s">
        <v>2677</v>
      </c>
      <c r="C3185" t="s">
        <v>6676</v>
      </c>
      <c r="D3185" t="s">
        <v>9928</v>
      </c>
      <c r="E3185" t="s">
        <v>10075</v>
      </c>
      <c r="F3185">
        <v>11221</v>
      </c>
      <c r="G3185" t="s">
        <v>10093</v>
      </c>
      <c r="H3185" t="s">
        <v>10129</v>
      </c>
      <c r="I3185" t="s">
        <v>10168</v>
      </c>
      <c r="J3185" t="s">
        <v>10213</v>
      </c>
      <c r="K3185" t="s">
        <v>10217</v>
      </c>
      <c r="M3185" t="s">
        <v>10314</v>
      </c>
      <c r="N3185" t="s">
        <v>10667</v>
      </c>
      <c r="P3185" t="s">
        <v>10749</v>
      </c>
      <c r="Q3185" t="s">
        <v>10765</v>
      </c>
      <c r="R3185" t="s">
        <v>10824</v>
      </c>
      <c r="T3185">
        <v>31200</v>
      </c>
      <c r="U3185">
        <v>2600</v>
      </c>
      <c r="V3185">
        <v>33</v>
      </c>
      <c r="W3185">
        <v>2</v>
      </c>
      <c r="X3185">
        <v>0</v>
      </c>
      <c r="Z3185">
        <v>184.51</v>
      </c>
      <c r="AA3185">
        <v>40.685723</v>
      </c>
      <c r="AB3185">
        <v>-73.940046</v>
      </c>
      <c r="AD3185" t="s">
        <v>10839</v>
      </c>
      <c r="AG3185" t="s">
        <v>10858</v>
      </c>
      <c r="AH3185" t="s">
        <v>10862</v>
      </c>
      <c r="AI3185">
        <v>239</v>
      </c>
      <c r="AJ3185" t="s">
        <v>10213</v>
      </c>
      <c r="AL3185">
        <v>1.5</v>
      </c>
      <c r="AM3185" t="s">
        <v>10889</v>
      </c>
      <c r="AN3185" t="s">
        <v>10914</v>
      </c>
      <c r="AO3185" t="s">
        <v>11007</v>
      </c>
      <c r="AP3185" t="s">
        <v>11052</v>
      </c>
      <c r="AR3185" t="s">
        <v>11257</v>
      </c>
      <c r="AS3185" t="s">
        <v>11595</v>
      </c>
      <c r="BA3185" t="s">
        <v>11742</v>
      </c>
      <c r="BB3185">
        <v>0</v>
      </c>
      <c r="BC3185">
        <v>0</v>
      </c>
      <c r="BD3185">
        <v>0</v>
      </c>
      <c r="BE3185">
        <v>0</v>
      </c>
      <c r="BF3185">
        <v>7</v>
      </c>
      <c r="BG3185">
        <v>0</v>
      </c>
    </row>
    <row r="3186" spans="1:59">
      <c r="A3186" s="1">
        <f>HYPERLINK("https://lsnyc.legalserver.org/matter/dynamic-profile/view/1907244","19-1907244")</f>
        <v>0</v>
      </c>
      <c r="B3186" t="s">
        <v>2678</v>
      </c>
      <c r="C3186" t="s">
        <v>7461</v>
      </c>
      <c r="D3186" t="s">
        <v>9926</v>
      </c>
      <c r="E3186" t="s">
        <v>10075</v>
      </c>
      <c r="F3186">
        <v>10470</v>
      </c>
      <c r="G3186" t="s">
        <v>10090</v>
      </c>
      <c r="H3186" t="s">
        <v>10129</v>
      </c>
      <c r="I3186" t="s">
        <v>10168</v>
      </c>
      <c r="J3186" t="s">
        <v>10210</v>
      </c>
      <c r="K3186" t="s">
        <v>10217</v>
      </c>
      <c r="M3186" t="s">
        <v>10590</v>
      </c>
      <c r="N3186" t="s">
        <v>10650</v>
      </c>
      <c r="P3186" t="s">
        <v>10749</v>
      </c>
      <c r="Q3186" t="s">
        <v>10765</v>
      </c>
      <c r="R3186" t="s">
        <v>10824</v>
      </c>
      <c r="T3186">
        <v>0</v>
      </c>
      <c r="U3186">
        <v>0</v>
      </c>
      <c r="V3186">
        <v>62</v>
      </c>
      <c r="W3186">
        <v>1</v>
      </c>
      <c r="X3186">
        <v>0</v>
      </c>
      <c r="Z3186">
        <v>0</v>
      </c>
      <c r="AA3186">
        <v>40.905036</v>
      </c>
      <c r="AB3186">
        <v>-73.85033</v>
      </c>
      <c r="AC3186" t="s">
        <v>10837</v>
      </c>
      <c r="AD3186" t="s">
        <v>10839</v>
      </c>
      <c r="AG3186" t="s">
        <v>10858</v>
      </c>
      <c r="AH3186" t="s">
        <v>10862</v>
      </c>
      <c r="AI3186">
        <v>230</v>
      </c>
      <c r="AJ3186" t="s">
        <v>10210</v>
      </c>
      <c r="AL3186">
        <v>1.8</v>
      </c>
      <c r="AM3186" t="s">
        <v>10893</v>
      </c>
      <c r="AN3186" t="s">
        <v>10919</v>
      </c>
      <c r="AO3186" t="s">
        <v>11010</v>
      </c>
      <c r="AP3186" t="s">
        <v>11057</v>
      </c>
      <c r="AR3186" t="s">
        <v>11267</v>
      </c>
      <c r="AS3186" t="s">
        <v>9926</v>
      </c>
      <c r="BA3186" t="s">
        <v>11741</v>
      </c>
      <c r="BB3186">
        <v>0</v>
      </c>
      <c r="BC3186">
        <v>0</v>
      </c>
      <c r="BD3186">
        <v>0</v>
      </c>
      <c r="BE3186">
        <v>0</v>
      </c>
      <c r="BF3186">
        <v>1</v>
      </c>
      <c r="BG3186">
        <v>0</v>
      </c>
    </row>
    <row r="3187" spans="1:59">
      <c r="A3187" s="1">
        <f>HYPERLINK("https://lsnyc.legalserver.org/matter/dynamic-profile/view/1907245","19-1907245")</f>
        <v>0</v>
      </c>
      <c r="B3187" t="s">
        <v>2679</v>
      </c>
      <c r="C3187" t="s">
        <v>7462</v>
      </c>
      <c r="D3187" t="s">
        <v>9929</v>
      </c>
      <c r="E3187" t="s">
        <v>10075</v>
      </c>
      <c r="F3187">
        <v>10304</v>
      </c>
      <c r="G3187" t="s">
        <v>10088</v>
      </c>
      <c r="H3187" t="s">
        <v>10140</v>
      </c>
      <c r="I3187" t="s">
        <v>10168</v>
      </c>
      <c r="J3187" t="s">
        <v>10208</v>
      </c>
      <c r="K3187" t="s">
        <v>10217</v>
      </c>
      <c r="M3187" t="s">
        <v>10254</v>
      </c>
      <c r="N3187" t="s">
        <v>10650</v>
      </c>
      <c r="P3187" t="s">
        <v>10749</v>
      </c>
      <c r="Q3187" t="s">
        <v>10774</v>
      </c>
      <c r="R3187" t="s">
        <v>10824</v>
      </c>
      <c r="T3187">
        <v>28392</v>
      </c>
      <c r="U3187">
        <v>2366</v>
      </c>
      <c r="V3187">
        <v>30</v>
      </c>
      <c r="W3187">
        <v>1</v>
      </c>
      <c r="X3187">
        <v>1</v>
      </c>
      <c r="Z3187">
        <v>167.9</v>
      </c>
      <c r="AA3187">
        <v>40.616555</v>
      </c>
      <c r="AB3187">
        <v>-74.08081900000001</v>
      </c>
      <c r="AD3187" t="s">
        <v>10839</v>
      </c>
      <c r="AG3187" t="s">
        <v>10858</v>
      </c>
      <c r="AH3187" t="s">
        <v>10862</v>
      </c>
      <c r="AI3187">
        <v>285</v>
      </c>
      <c r="AJ3187" t="s">
        <v>10208</v>
      </c>
      <c r="AL3187">
        <v>5.85</v>
      </c>
      <c r="AM3187" t="s">
        <v>10883</v>
      </c>
      <c r="AN3187" t="s">
        <v>10913</v>
      </c>
      <c r="AO3187" t="s">
        <v>11006</v>
      </c>
      <c r="AP3187" t="s">
        <v>11051</v>
      </c>
      <c r="AR3187" t="s">
        <v>11262</v>
      </c>
      <c r="AS3187" t="s">
        <v>11593</v>
      </c>
      <c r="BA3187" t="s">
        <v>11738</v>
      </c>
      <c r="BB3187">
        <v>0</v>
      </c>
      <c r="BC3187">
        <v>0</v>
      </c>
      <c r="BD3187">
        <v>0</v>
      </c>
      <c r="BE3187">
        <v>0</v>
      </c>
      <c r="BF3187">
        <v>5</v>
      </c>
      <c r="BG3187">
        <v>0</v>
      </c>
    </row>
    <row r="3188" spans="1:59">
      <c r="A3188" s="1">
        <f>HYPERLINK("https://lsnyc.legalserver.org/matter/dynamic-profile/view/1907246","19-1907246")</f>
        <v>0</v>
      </c>
      <c r="B3188" t="s">
        <v>1869</v>
      </c>
      <c r="C3188" t="s">
        <v>7463</v>
      </c>
      <c r="D3188" t="s">
        <v>9951</v>
      </c>
      <c r="E3188" t="s">
        <v>10075</v>
      </c>
      <c r="F3188">
        <v>11417</v>
      </c>
      <c r="G3188" t="s">
        <v>10092</v>
      </c>
      <c r="H3188" t="s">
        <v>10129</v>
      </c>
      <c r="I3188" t="s">
        <v>10168</v>
      </c>
      <c r="J3188" t="s">
        <v>10212</v>
      </c>
      <c r="K3188" t="s">
        <v>10217</v>
      </c>
      <c r="M3188" t="s">
        <v>10491</v>
      </c>
      <c r="N3188" t="s">
        <v>10695</v>
      </c>
      <c r="P3188" t="s">
        <v>10749</v>
      </c>
      <c r="Q3188" t="s">
        <v>10765</v>
      </c>
      <c r="R3188" t="s">
        <v>10824</v>
      </c>
      <c r="T3188">
        <v>14612</v>
      </c>
      <c r="U3188">
        <v>1217.67</v>
      </c>
      <c r="V3188">
        <v>29</v>
      </c>
      <c r="W3188">
        <v>1</v>
      </c>
      <c r="X3188">
        <v>0</v>
      </c>
      <c r="Z3188">
        <v>116.99</v>
      </c>
      <c r="AA3188">
        <v>40.674161</v>
      </c>
      <c r="AB3188">
        <v>-73.837952</v>
      </c>
      <c r="AD3188" t="s">
        <v>10839</v>
      </c>
      <c r="AG3188" t="s">
        <v>10858</v>
      </c>
      <c r="AH3188" t="s">
        <v>10862</v>
      </c>
      <c r="AI3188">
        <v>237</v>
      </c>
      <c r="AJ3188" t="s">
        <v>10212</v>
      </c>
      <c r="AL3188">
        <v>1.1</v>
      </c>
      <c r="AM3188" t="s">
        <v>10889</v>
      </c>
      <c r="AN3188" t="s">
        <v>10958</v>
      </c>
      <c r="AO3188" t="s">
        <v>11024</v>
      </c>
      <c r="AP3188" t="s">
        <v>11088</v>
      </c>
      <c r="AR3188" t="s">
        <v>11293</v>
      </c>
      <c r="AS3188" t="s">
        <v>11594</v>
      </c>
      <c r="AX3188" t="s">
        <v>10838</v>
      </c>
      <c r="BA3188" t="s">
        <v>11742</v>
      </c>
      <c r="BB3188">
        <v>0</v>
      </c>
      <c r="BC3188">
        <v>0</v>
      </c>
      <c r="BD3188">
        <v>0</v>
      </c>
      <c r="BE3188">
        <v>0</v>
      </c>
      <c r="BF3188">
        <v>7</v>
      </c>
      <c r="BG3188">
        <v>0</v>
      </c>
    </row>
    <row r="3189" spans="1:59">
      <c r="A3189" s="1">
        <f>HYPERLINK("https://lsnyc.legalserver.org/matter/dynamic-profile/view/1907247","19-1907247")</f>
        <v>0</v>
      </c>
      <c r="B3189" t="s">
        <v>2680</v>
      </c>
      <c r="C3189" t="s">
        <v>7464</v>
      </c>
      <c r="D3189" t="s">
        <v>9963</v>
      </c>
      <c r="E3189" t="s">
        <v>10075</v>
      </c>
      <c r="F3189">
        <v>11385</v>
      </c>
      <c r="G3189" t="s">
        <v>10092</v>
      </c>
      <c r="H3189" t="s">
        <v>10129</v>
      </c>
      <c r="I3189" t="s">
        <v>10168</v>
      </c>
      <c r="J3189" t="s">
        <v>10212</v>
      </c>
      <c r="K3189" t="s">
        <v>10218</v>
      </c>
      <c r="L3189" t="s">
        <v>10165</v>
      </c>
      <c r="M3189" t="s">
        <v>10258</v>
      </c>
      <c r="N3189" t="s">
        <v>10646</v>
      </c>
      <c r="P3189" t="s">
        <v>10749</v>
      </c>
      <c r="Q3189" t="s">
        <v>10765</v>
      </c>
      <c r="R3189" t="s">
        <v>10823</v>
      </c>
      <c r="T3189">
        <v>101000</v>
      </c>
      <c r="U3189">
        <v>8416.67</v>
      </c>
      <c r="V3189">
        <v>43</v>
      </c>
      <c r="W3189">
        <v>2</v>
      </c>
      <c r="X3189">
        <v>2</v>
      </c>
      <c r="Y3189" t="s">
        <v>10829</v>
      </c>
      <c r="Z3189">
        <v>392.23</v>
      </c>
      <c r="AA3189">
        <v>40.698212</v>
      </c>
      <c r="AB3189">
        <v>-73.89170300000001</v>
      </c>
      <c r="AD3189" t="s">
        <v>10839</v>
      </c>
      <c r="AG3189" t="s">
        <v>10858</v>
      </c>
      <c r="AH3189" t="s">
        <v>10861</v>
      </c>
      <c r="AI3189">
        <v>234</v>
      </c>
      <c r="AJ3189" t="s">
        <v>10214</v>
      </c>
      <c r="AK3189" t="s">
        <v>10838</v>
      </c>
      <c r="AL3189">
        <v>1.85</v>
      </c>
      <c r="AM3189" t="s">
        <v>10890</v>
      </c>
      <c r="AN3189" t="s">
        <v>10945</v>
      </c>
      <c r="AO3189" t="s">
        <v>11003</v>
      </c>
      <c r="AP3189" t="s">
        <v>11077</v>
      </c>
      <c r="AR3189" t="s">
        <v>11257</v>
      </c>
      <c r="AS3189" t="s">
        <v>11594</v>
      </c>
      <c r="AT3189" t="s">
        <v>11641</v>
      </c>
      <c r="AX3189" t="s">
        <v>10838</v>
      </c>
      <c r="AY3189" t="s">
        <v>10829</v>
      </c>
      <c r="AZ3189" t="s">
        <v>11681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</row>
    <row r="3190" spans="1:59">
      <c r="A3190" s="1">
        <f>HYPERLINK("https://lsnyc.legalserver.org/matter/dynamic-profile/view/1907248","19-1907248")</f>
        <v>0</v>
      </c>
      <c r="B3190" t="s">
        <v>2681</v>
      </c>
      <c r="C3190" t="s">
        <v>7465</v>
      </c>
      <c r="D3190" t="s">
        <v>9926</v>
      </c>
      <c r="E3190" t="s">
        <v>10075</v>
      </c>
      <c r="F3190">
        <v>10462</v>
      </c>
      <c r="G3190" t="s">
        <v>10090</v>
      </c>
      <c r="H3190" t="s">
        <v>10147</v>
      </c>
      <c r="I3190" t="s">
        <v>10168</v>
      </c>
      <c r="J3190" t="s">
        <v>10210</v>
      </c>
      <c r="K3190" t="s">
        <v>10217</v>
      </c>
      <c r="M3190" t="s">
        <v>10417</v>
      </c>
      <c r="N3190" t="s">
        <v>10666</v>
      </c>
      <c r="P3190" t="s">
        <v>10749</v>
      </c>
      <c r="Q3190" t="s">
        <v>10765</v>
      </c>
      <c r="R3190" t="s">
        <v>10824</v>
      </c>
      <c r="T3190">
        <v>27248</v>
      </c>
      <c r="U3190">
        <v>2270.67</v>
      </c>
      <c r="V3190">
        <v>45</v>
      </c>
      <c r="W3190">
        <v>1</v>
      </c>
      <c r="X3190">
        <v>1</v>
      </c>
      <c r="Z3190">
        <v>161.14</v>
      </c>
      <c r="AA3190">
        <v>40.841275</v>
      </c>
      <c r="AB3190">
        <v>-73.854125</v>
      </c>
      <c r="AD3190" t="s">
        <v>10839</v>
      </c>
      <c r="AG3190" t="s">
        <v>10858</v>
      </c>
      <c r="AH3190" t="s">
        <v>10862</v>
      </c>
      <c r="AI3190">
        <v>230</v>
      </c>
      <c r="AJ3190" t="s">
        <v>10210</v>
      </c>
      <c r="AL3190">
        <v>10</v>
      </c>
      <c r="AM3190" t="s">
        <v>10885</v>
      </c>
      <c r="AN3190" t="s">
        <v>10908</v>
      </c>
      <c r="AO3190" t="s">
        <v>11001</v>
      </c>
      <c r="AP3190" t="s">
        <v>11046</v>
      </c>
      <c r="AR3190" t="s">
        <v>11262</v>
      </c>
      <c r="AS3190" t="s">
        <v>9926</v>
      </c>
      <c r="AT3190" t="s">
        <v>11641</v>
      </c>
      <c r="AX3190" t="s">
        <v>10838</v>
      </c>
      <c r="BA3190" t="s">
        <v>11738</v>
      </c>
      <c r="BB3190">
        <v>0</v>
      </c>
      <c r="BC3190">
        <v>0</v>
      </c>
      <c r="BD3190">
        <v>0</v>
      </c>
      <c r="BE3190">
        <v>0</v>
      </c>
      <c r="BF3190">
        <v>5</v>
      </c>
      <c r="BG3190">
        <v>0</v>
      </c>
    </row>
    <row r="3191" spans="1:59">
      <c r="A3191" s="1">
        <f>HYPERLINK("https://lsnyc.legalserver.org/matter/dynamic-profile/view/1907249","19-1907249")</f>
        <v>0</v>
      </c>
      <c r="B3191" t="s">
        <v>2682</v>
      </c>
      <c r="C3191" t="s">
        <v>7466</v>
      </c>
      <c r="D3191" t="s">
        <v>9928</v>
      </c>
      <c r="E3191" t="s">
        <v>10075</v>
      </c>
      <c r="F3191">
        <v>11233</v>
      </c>
      <c r="G3191" t="s">
        <v>10093</v>
      </c>
      <c r="H3191" t="s">
        <v>10129</v>
      </c>
      <c r="I3191" t="s">
        <v>10168</v>
      </c>
      <c r="J3191" t="s">
        <v>10213</v>
      </c>
      <c r="K3191" t="s">
        <v>10218</v>
      </c>
      <c r="L3191" t="s">
        <v>10141</v>
      </c>
      <c r="M3191" t="s">
        <v>10348</v>
      </c>
      <c r="N3191" t="s">
        <v>10650</v>
      </c>
      <c r="P3191" t="s">
        <v>10749</v>
      </c>
      <c r="Q3191" t="s">
        <v>10765</v>
      </c>
      <c r="R3191" t="s">
        <v>10824</v>
      </c>
      <c r="T3191">
        <v>6480</v>
      </c>
      <c r="U3191">
        <v>540</v>
      </c>
      <c r="V3191">
        <v>41</v>
      </c>
      <c r="W3191">
        <v>2</v>
      </c>
      <c r="X3191">
        <v>2</v>
      </c>
      <c r="Y3191" t="s">
        <v>10829</v>
      </c>
      <c r="Z3191">
        <v>25.17</v>
      </c>
      <c r="AA3191">
        <v>40.683985</v>
      </c>
      <c r="AB3191">
        <v>-73.932483</v>
      </c>
      <c r="AD3191" t="s">
        <v>10839</v>
      </c>
      <c r="AG3191" t="s">
        <v>10858</v>
      </c>
      <c r="AH3191" t="s">
        <v>10871</v>
      </c>
      <c r="AI3191">
        <v>234</v>
      </c>
      <c r="AJ3191" t="s">
        <v>10214</v>
      </c>
      <c r="AK3191" t="s">
        <v>10838</v>
      </c>
      <c r="AL3191">
        <v>1.41</v>
      </c>
      <c r="AM3191" t="s">
        <v>10889</v>
      </c>
      <c r="AN3191" t="s">
        <v>10914</v>
      </c>
      <c r="AO3191" t="s">
        <v>11007</v>
      </c>
      <c r="AP3191" t="s">
        <v>11052</v>
      </c>
      <c r="AR3191" t="s">
        <v>11320</v>
      </c>
      <c r="AS3191" t="s">
        <v>11595</v>
      </c>
      <c r="AT3191" t="s">
        <v>11641</v>
      </c>
      <c r="AX3191" t="s">
        <v>10838</v>
      </c>
      <c r="AY3191" t="s">
        <v>10829</v>
      </c>
      <c r="AZ3191" t="s">
        <v>11681</v>
      </c>
      <c r="BA3191" t="s">
        <v>11741</v>
      </c>
      <c r="BB3191">
        <v>0</v>
      </c>
      <c r="BC3191">
        <v>0</v>
      </c>
      <c r="BD3191">
        <v>0</v>
      </c>
      <c r="BE3191">
        <v>0</v>
      </c>
      <c r="BF3191">
        <v>1</v>
      </c>
      <c r="BG3191">
        <v>0</v>
      </c>
    </row>
    <row r="3192" spans="1:59">
      <c r="A3192" s="1">
        <f>HYPERLINK("https://lsnyc.legalserver.org/matter/dynamic-profile/view/1907250","19-1907250")</f>
        <v>0</v>
      </c>
      <c r="B3192" t="s">
        <v>2278</v>
      </c>
      <c r="C3192" t="s">
        <v>7426</v>
      </c>
      <c r="D3192" t="s">
        <v>9928</v>
      </c>
      <c r="E3192" t="s">
        <v>10075</v>
      </c>
      <c r="F3192">
        <v>11220</v>
      </c>
      <c r="G3192" t="s">
        <v>10093</v>
      </c>
      <c r="H3192" t="s">
        <v>10127</v>
      </c>
      <c r="I3192" t="s">
        <v>10169</v>
      </c>
      <c r="J3192" t="s">
        <v>10213</v>
      </c>
      <c r="K3192" t="s">
        <v>10218</v>
      </c>
      <c r="L3192" t="s">
        <v>10129</v>
      </c>
      <c r="M3192" t="s">
        <v>10390</v>
      </c>
      <c r="N3192" t="s">
        <v>10644</v>
      </c>
      <c r="P3192" t="s">
        <v>10749</v>
      </c>
      <c r="Q3192" t="s">
        <v>10791</v>
      </c>
      <c r="R3192" t="s">
        <v>10821</v>
      </c>
      <c r="T3192">
        <v>22080</v>
      </c>
      <c r="U3192">
        <v>1840</v>
      </c>
      <c r="V3192">
        <v>69</v>
      </c>
      <c r="W3192">
        <v>1</v>
      </c>
      <c r="X3192">
        <v>0</v>
      </c>
      <c r="Y3192" t="s">
        <v>10829</v>
      </c>
      <c r="Z3192">
        <v>176.78</v>
      </c>
      <c r="AA3192">
        <v>40.648163</v>
      </c>
      <c r="AB3192">
        <v>-74.01131100000001</v>
      </c>
      <c r="AD3192" t="s">
        <v>10839</v>
      </c>
      <c r="AG3192" t="s">
        <v>10858</v>
      </c>
      <c r="AH3192" t="s">
        <v>10869</v>
      </c>
      <c r="AI3192">
        <v>239</v>
      </c>
      <c r="AJ3192" t="s">
        <v>10213</v>
      </c>
      <c r="AK3192" t="s">
        <v>10838</v>
      </c>
      <c r="AL3192">
        <v>0.75</v>
      </c>
      <c r="AQ3192" t="s">
        <v>11133</v>
      </c>
      <c r="AR3192" t="s">
        <v>11379</v>
      </c>
      <c r="AS3192" t="s">
        <v>11595</v>
      </c>
      <c r="AY3192" t="s">
        <v>10829</v>
      </c>
      <c r="AZ3192" t="s">
        <v>11681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</row>
    <row r="3193" spans="1:59">
      <c r="A3193" s="1">
        <f>HYPERLINK("https://lsnyc.legalserver.org/matter/dynamic-profile/view/1907251","19-1907251")</f>
        <v>0</v>
      </c>
      <c r="B3193" t="s">
        <v>2683</v>
      </c>
      <c r="C3193" t="s">
        <v>7467</v>
      </c>
      <c r="D3193" t="s">
        <v>9928</v>
      </c>
      <c r="E3193" t="s">
        <v>10075</v>
      </c>
      <c r="F3193">
        <v>11208</v>
      </c>
      <c r="G3193" t="s">
        <v>10093</v>
      </c>
      <c r="H3193" t="s">
        <v>10129</v>
      </c>
      <c r="I3193" t="s">
        <v>10168</v>
      </c>
      <c r="J3193" t="s">
        <v>10213</v>
      </c>
      <c r="K3193" t="s">
        <v>10217</v>
      </c>
      <c r="M3193" t="s">
        <v>10348</v>
      </c>
      <c r="N3193" t="s">
        <v>10650</v>
      </c>
      <c r="P3193" t="s">
        <v>10751</v>
      </c>
      <c r="Q3193" t="s">
        <v>10761</v>
      </c>
      <c r="R3193" t="s">
        <v>10820</v>
      </c>
      <c r="T3193">
        <v>10800</v>
      </c>
      <c r="U3193">
        <v>900</v>
      </c>
      <c r="V3193">
        <v>55</v>
      </c>
      <c r="W3193">
        <v>1</v>
      </c>
      <c r="X3193">
        <v>0</v>
      </c>
      <c r="Z3193">
        <v>86.47</v>
      </c>
      <c r="AA3193">
        <v>40.675605</v>
      </c>
      <c r="AB3193">
        <v>-73.88066999999999</v>
      </c>
      <c r="AD3193" t="s">
        <v>10840</v>
      </c>
      <c r="AG3193" t="s">
        <v>10858</v>
      </c>
      <c r="AH3193" t="s">
        <v>10861</v>
      </c>
      <c r="AI3193">
        <v>239</v>
      </c>
      <c r="AJ3193" t="s">
        <v>10213</v>
      </c>
      <c r="AL3193">
        <v>12.25</v>
      </c>
      <c r="AM3193" t="s">
        <v>10889</v>
      </c>
      <c r="AN3193" t="s">
        <v>10920</v>
      </c>
      <c r="AO3193" t="s">
        <v>11011</v>
      </c>
      <c r="AP3193" t="s">
        <v>11058</v>
      </c>
      <c r="AR3193" t="s">
        <v>11274</v>
      </c>
      <c r="AS3193" t="s">
        <v>11595</v>
      </c>
      <c r="AT3193" t="s">
        <v>11642</v>
      </c>
      <c r="BA3193" t="s">
        <v>11739</v>
      </c>
      <c r="BB3193">
        <v>0</v>
      </c>
      <c r="BC3193">
        <v>0</v>
      </c>
      <c r="BD3193">
        <v>0</v>
      </c>
      <c r="BE3193">
        <v>0</v>
      </c>
      <c r="BF3193">
        <v>4</v>
      </c>
      <c r="BG3193">
        <v>0</v>
      </c>
    </row>
    <row r="3194" spans="1:59">
      <c r="A3194" s="1">
        <f>HYPERLINK("https://lsnyc.legalserver.org/matter/dynamic-profile/view/1907252","19-1907252")</f>
        <v>0</v>
      </c>
      <c r="B3194" t="s">
        <v>2681</v>
      </c>
      <c r="C3194" t="s">
        <v>7465</v>
      </c>
      <c r="D3194" t="s">
        <v>9926</v>
      </c>
      <c r="E3194" t="s">
        <v>10075</v>
      </c>
      <c r="F3194">
        <v>10462</v>
      </c>
      <c r="G3194" t="s">
        <v>10090</v>
      </c>
      <c r="H3194" t="s">
        <v>10147</v>
      </c>
      <c r="I3194" t="s">
        <v>10168</v>
      </c>
      <c r="J3194" t="s">
        <v>10210</v>
      </c>
      <c r="K3194" t="s">
        <v>10217</v>
      </c>
      <c r="M3194" t="s">
        <v>10417</v>
      </c>
      <c r="N3194" t="s">
        <v>10666</v>
      </c>
      <c r="P3194" t="s">
        <v>10749</v>
      </c>
      <c r="Q3194" t="s">
        <v>10765</v>
      </c>
      <c r="R3194" t="s">
        <v>10824</v>
      </c>
      <c r="T3194">
        <v>27248</v>
      </c>
      <c r="U3194">
        <v>2270.67</v>
      </c>
      <c r="V3194">
        <v>45</v>
      </c>
      <c r="W3194">
        <v>1</v>
      </c>
      <c r="X3194">
        <v>1</v>
      </c>
      <c r="Z3194">
        <v>161.14</v>
      </c>
      <c r="AA3194">
        <v>40.841275</v>
      </c>
      <c r="AB3194">
        <v>-73.854125</v>
      </c>
      <c r="AD3194" t="s">
        <v>10839</v>
      </c>
      <c r="AG3194" t="s">
        <v>10858</v>
      </c>
      <c r="AH3194" t="s">
        <v>10862</v>
      </c>
      <c r="AI3194">
        <v>230</v>
      </c>
      <c r="AJ3194" t="s">
        <v>10210</v>
      </c>
      <c r="AL3194">
        <v>13.7</v>
      </c>
      <c r="AM3194" t="s">
        <v>10885</v>
      </c>
      <c r="AN3194" t="s">
        <v>10908</v>
      </c>
      <c r="AO3194" t="s">
        <v>11001</v>
      </c>
      <c r="AP3194" t="s">
        <v>11046</v>
      </c>
      <c r="AR3194" t="s">
        <v>11262</v>
      </c>
      <c r="AS3194" t="s">
        <v>9926</v>
      </c>
      <c r="AT3194" t="s">
        <v>11641</v>
      </c>
      <c r="AX3194" t="s">
        <v>10838</v>
      </c>
      <c r="BA3194" t="s">
        <v>11738</v>
      </c>
      <c r="BB3194">
        <v>0</v>
      </c>
      <c r="BC3194">
        <v>0</v>
      </c>
      <c r="BD3194">
        <v>0</v>
      </c>
      <c r="BE3194">
        <v>0</v>
      </c>
      <c r="BF3194">
        <v>5</v>
      </c>
      <c r="BG3194">
        <v>0</v>
      </c>
    </row>
    <row r="3195" spans="1:59">
      <c r="A3195" s="1">
        <f>HYPERLINK("https://lsnyc.legalserver.org/matter/dynamic-profile/view/1907253","19-1907253")</f>
        <v>0</v>
      </c>
      <c r="B3195" t="s">
        <v>2681</v>
      </c>
      <c r="C3195" t="s">
        <v>7465</v>
      </c>
      <c r="D3195" t="s">
        <v>9926</v>
      </c>
      <c r="E3195" t="s">
        <v>10075</v>
      </c>
      <c r="F3195">
        <v>10462</v>
      </c>
      <c r="G3195" t="s">
        <v>10090</v>
      </c>
      <c r="H3195" t="s">
        <v>10147</v>
      </c>
      <c r="I3195" t="s">
        <v>10168</v>
      </c>
      <c r="J3195" t="s">
        <v>10210</v>
      </c>
      <c r="K3195" t="s">
        <v>10217</v>
      </c>
      <c r="M3195" t="s">
        <v>10417</v>
      </c>
      <c r="N3195" t="s">
        <v>10671</v>
      </c>
      <c r="P3195" t="s">
        <v>10751</v>
      </c>
      <c r="Q3195" t="s">
        <v>10761</v>
      </c>
      <c r="R3195" t="s">
        <v>10824</v>
      </c>
      <c r="T3195">
        <v>27248</v>
      </c>
      <c r="U3195">
        <v>2270.67</v>
      </c>
      <c r="V3195">
        <v>45</v>
      </c>
      <c r="W3195">
        <v>1</v>
      </c>
      <c r="X3195">
        <v>1</v>
      </c>
      <c r="Z3195">
        <v>161.14</v>
      </c>
      <c r="AA3195">
        <v>40.841275</v>
      </c>
      <c r="AB3195">
        <v>-73.854125</v>
      </c>
      <c r="AD3195" t="s">
        <v>10839</v>
      </c>
      <c r="AG3195" t="s">
        <v>10858</v>
      </c>
      <c r="AH3195" t="s">
        <v>10862</v>
      </c>
      <c r="AI3195">
        <v>230</v>
      </c>
      <c r="AJ3195" t="s">
        <v>10210</v>
      </c>
      <c r="AL3195">
        <v>0</v>
      </c>
      <c r="AM3195" t="s">
        <v>10885</v>
      </c>
      <c r="AN3195" t="s">
        <v>10908</v>
      </c>
      <c r="AO3195" t="s">
        <v>11001</v>
      </c>
      <c r="AP3195" t="s">
        <v>11046</v>
      </c>
      <c r="AR3195" t="s">
        <v>11262</v>
      </c>
      <c r="AS3195" t="s">
        <v>9926</v>
      </c>
      <c r="AT3195" t="s">
        <v>11641</v>
      </c>
      <c r="AX3195" t="s">
        <v>10838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</row>
    <row r="3196" spans="1:59">
      <c r="A3196" s="1">
        <f>HYPERLINK("https://lsnyc.legalserver.org/matter/dynamic-profile/view/1907254","19-1907254")</f>
        <v>0</v>
      </c>
      <c r="B3196" t="s">
        <v>2684</v>
      </c>
      <c r="C3196" t="s">
        <v>5422</v>
      </c>
      <c r="D3196" t="s">
        <v>9925</v>
      </c>
      <c r="E3196" t="s">
        <v>10075</v>
      </c>
      <c r="F3196">
        <v>10035</v>
      </c>
      <c r="G3196" t="s">
        <v>10089</v>
      </c>
      <c r="H3196" t="s">
        <v>10129</v>
      </c>
      <c r="I3196" t="s">
        <v>10168</v>
      </c>
      <c r="J3196" t="s">
        <v>10209</v>
      </c>
      <c r="K3196" t="s">
        <v>10217</v>
      </c>
      <c r="M3196" t="s">
        <v>10442</v>
      </c>
      <c r="N3196" t="s">
        <v>10671</v>
      </c>
      <c r="P3196" t="s">
        <v>10749</v>
      </c>
      <c r="Q3196" t="s">
        <v>10765</v>
      </c>
      <c r="R3196" t="s">
        <v>10825</v>
      </c>
      <c r="T3196">
        <v>6942</v>
      </c>
      <c r="U3196">
        <v>578.5</v>
      </c>
      <c r="V3196">
        <v>44</v>
      </c>
      <c r="W3196">
        <v>2</v>
      </c>
      <c r="X3196">
        <v>1</v>
      </c>
      <c r="Z3196">
        <v>32.55</v>
      </c>
      <c r="AA3196">
        <v>40.800389</v>
      </c>
      <c r="AB3196">
        <v>-73.941298</v>
      </c>
      <c r="AD3196" t="s">
        <v>10839</v>
      </c>
      <c r="AG3196" t="s">
        <v>10858</v>
      </c>
      <c r="AH3196" t="s">
        <v>10861</v>
      </c>
      <c r="AI3196">
        <v>234</v>
      </c>
      <c r="AJ3196" t="s">
        <v>10214</v>
      </c>
      <c r="AL3196">
        <v>1</v>
      </c>
      <c r="AM3196" t="s">
        <v>10887</v>
      </c>
      <c r="AN3196" t="s">
        <v>10926</v>
      </c>
      <c r="AO3196" t="s">
        <v>11016</v>
      </c>
      <c r="AP3196" t="s">
        <v>11076</v>
      </c>
      <c r="AR3196" t="s">
        <v>11255</v>
      </c>
      <c r="AS3196" t="s">
        <v>9925</v>
      </c>
      <c r="AT3196" t="s">
        <v>11641</v>
      </c>
      <c r="AX3196" t="s">
        <v>10838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</row>
    <row r="3197" spans="1:59">
      <c r="A3197" s="1">
        <f>HYPERLINK("https://lsnyc.legalserver.org/matter/dynamic-profile/view/1907255","19-1907255")</f>
        <v>0</v>
      </c>
      <c r="B3197" t="s">
        <v>2685</v>
      </c>
      <c r="C3197" t="s">
        <v>7468</v>
      </c>
      <c r="D3197" t="s">
        <v>9926</v>
      </c>
      <c r="E3197" t="s">
        <v>10075</v>
      </c>
      <c r="F3197">
        <v>10458</v>
      </c>
      <c r="G3197" t="s">
        <v>10090</v>
      </c>
      <c r="H3197" t="s">
        <v>10129</v>
      </c>
      <c r="I3197" t="s">
        <v>10169</v>
      </c>
      <c r="J3197" t="s">
        <v>10210</v>
      </c>
      <c r="K3197" t="s">
        <v>10217</v>
      </c>
      <c r="M3197" t="s">
        <v>10372</v>
      </c>
      <c r="N3197" t="s">
        <v>10704</v>
      </c>
      <c r="P3197" t="s">
        <v>10750</v>
      </c>
      <c r="Q3197" t="s">
        <v>10778</v>
      </c>
      <c r="R3197" t="s">
        <v>10823</v>
      </c>
      <c r="T3197">
        <v>44200</v>
      </c>
      <c r="U3197">
        <v>3683.33</v>
      </c>
      <c r="V3197">
        <v>44</v>
      </c>
      <c r="W3197">
        <v>1</v>
      </c>
      <c r="X3197">
        <v>1</v>
      </c>
      <c r="Z3197">
        <v>261.38</v>
      </c>
      <c r="AA3197">
        <v>40.864975</v>
      </c>
      <c r="AB3197">
        <v>-73.888323</v>
      </c>
      <c r="AD3197" t="s">
        <v>10840</v>
      </c>
      <c r="AF3197" t="s">
        <v>10844</v>
      </c>
      <c r="AG3197" t="s">
        <v>10859</v>
      </c>
      <c r="AH3197" t="s">
        <v>10861</v>
      </c>
      <c r="AI3197">
        <v>234</v>
      </c>
      <c r="AJ3197" t="s">
        <v>10214</v>
      </c>
      <c r="AL3197">
        <v>1.2</v>
      </c>
      <c r="AM3197" t="s">
        <v>10887</v>
      </c>
      <c r="AN3197" t="s">
        <v>10907</v>
      </c>
      <c r="AO3197" t="s">
        <v>11000</v>
      </c>
      <c r="AP3197" t="s">
        <v>11056</v>
      </c>
      <c r="AR3197" t="s">
        <v>11257</v>
      </c>
      <c r="AS3197" t="s">
        <v>9926</v>
      </c>
      <c r="AT3197" t="s">
        <v>11642</v>
      </c>
      <c r="AX3197" t="s">
        <v>10838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</row>
    <row r="3198" spans="1:59">
      <c r="A3198" s="1">
        <f>HYPERLINK("https://lsnyc.legalserver.org/matter/dynamic-profile/view/1907256","19-1907256")</f>
        <v>0</v>
      </c>
      <c r="B3198" t="s">
        <v>2686</v>
      </c>
      <c r="C3198" t="s">
        <v>7469</v>
      </c>
      <c r="D3198" t="s">
        <v>9925</v>
      </c>
      <c r="E3198" t="s">
        <v>10075</v>
      </c>
      <c r="F3198">
        <v>10025</v>
      </c>
      <c r="G3198" t="s">
        <v>10089</v>
      </c>
      <c r="H3198" t="s">
        <v>10129</v>
      </c>
      <c r="I3198" t="s">
        <v>10168</v>
      </c>
      <c r="J3198" t="s">
        <v>10209</v>
      </c>
      <c r="K3198" t="s">
        <v>10217</v>
      </c>
      <c r="M3198" t="s">
        <v>10302</v>
      </c>
      <c r="N3198" t="s">
        <v>10681</v>
      </c>
      <c r="P3198" t="s">
        <v>10754</v>
      </c>
      <c r="Q3198" t="s">
        <v>10777</v>
      </c>
      <c r="R3198" t="s">
        <v>10821</v>
      </c>
      <c r="T3198">
        <v>0</v>
      </c>
      <c r="U3198">
        <v>0</v>
      </c>
      <c r="V3198">
        <v>23</v>
      </c>
      <c r="W3198">
        <v>1</v>
      </c>
      <c r="X3198">
        <v>2</v>
      </c>
      <c r="Z3198">
        <v>0</v>
      </c>
      <c r="AA3198">
        <v>40.788706</v>
      </c>
      <c r="AB3198">
        <v>-73.979904</v>
      </c>
      <c r="AD3198" t="s">
        <v>10839</v>
      </c>
      <c r="AG3198" t="s">
        <v>10858</v>
      </c>
      <c r="AH3198" t="s">
        <v>10865</v>
      </c>
      <c r="AI3198">
        <v>236</v>
      </c>
      <c r="AJ3198" t="s">
        <v>10209</v>
      </c>
      <c r="AL3198">
        <v>2.1</v>
      </c>
      <c r="AQ3198" t="s">
        <v>11128</v>
      </c>
      <c r="AR3198" t="s">
        <v>11279</v>
      </c>
      <c r="AS3198" t="s">
        <v>9925</v>
      </c>
      <c r="AT3198" t="s">
        <v>11641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</row>
    <row r="3199" spans="1:59">
      <c r="A3199" s="1">
        <f>HYPERLINK("https://lsnyc.legalserver.org/matter/dynamic-profile/view/1907257","19-1907257")</f>
        <v>0</v>
      </c>
      <c r="B3199" t="s">
        <v>2687</v>
      </c>
      <c r="C3199" t="s">
        <v>7470</v>
      </c>
      <c r="D3199" t="s">
        <v>9925</v>
      </c>
      <c r="E3199" t="s">
        <v>10075</v>
      </c>
      <c r="F3199">
        <v>10019</v>
      </c>
      <c r="G3199" t="s">
        <v>10089</v>
      </c>
      <c r="H3199" t="s">
        <v>10129</v>
      </c>
      <c r="I3199" t="s">
        <v>10169</v>
      </c>
      <c r="J3199" t="s">
        <v>10209</v>
      </c>
      <c r="K3199" t="s">
        <v>10217</v>
      </c>
      <c r="M3199" t="s">
        <v>10266</v>
      </c>
      <c r="N3199" t="s">
        <v>10673</v>
      </c>
      <c r="P3199" t="s">
        <v>10753</v>
      </c>
      <c r="Q3199" t="s">
        <v>10763</v>
      </c>
      <c r="R3199" t="s">
        <v>10821</v>
      </c>
      <c r="T3199">
        <v>26000</v>
      </c>
      <c r="U3199">
        <v>2166.67</v>
      </c>
      <c r="V3199">
        <v>33</v>
      </c>
      <c r="W3199">
        <v>2</v>
      </c>
      <c r="X3199">
        <v>2</v>
      </c>
      <c r="Z3199">
        <v>100.97</v>
      </c>
      <c r="AA3199">
        <v>40.76439</v>
      </c>
      <c r="AB3199">
        <v>-73.992233</v>
      </c>
      <c r="AD3199" t="s">
        <v>10839</v>
      </c>
      <c r="AF3199" t="s">
        <v>10844</v>
      </c>
      <c r="AG3199" t="s">
        <v>10859</v>
      </c>
      <c r="AH3199" t="s">
        <v>10864</v>
      </c>
      <c r="AI3199">
        <v>236</v>
      </c>
      <c r="AJ3199" t="s">
        <v>10209</v>
      </c>
      <c r="AL3199">
        <v>15.9</v>
      </c>
      <c r="AM3199" t="s">
        <v>10894</v>
      </c>
      <c r="AN3199" t="s">
        <v>10964</v>
      </c>
      <c r="AO3199" t="s">
        <v>11021</v>
      </c>
      <c r="AP3199" t="s">
        <v>11090</v>
      </c>
      <c r="AQ3199" t="s">
        <v>11119</v>
      </c>
      <c r="AR3199" t="s">
        <v>11257</v>
      </c>
      <c r="AS3199" t="s">
        <v>9925</v>
      </c>
      <c r="AX3199" t="s">
        <v>10838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</row>
    <row r="3200" spans="1:59">
      <c r="A3200" s="1">
        <f>HYPERLINK("https://lsnyc.legalserver.org/matter/dynamic-profile/view/1907258","19-1907258")</f>
        <v>0</v>
      </c>
      <c r="B3200" t="s">
        <v>2688</v>
      </c>
      <c r="C3200" t="s">
        <v>7471</v>
      </c>
      <c r="D3200" t="s">
        <v>9928</v>
      </c>
      <c r="E3200" t="s">
        <v>10075</v>
      </c>
      <c r="F3200">
        <v>11233</v>
      </c>
      <c r="G3200" t="s">
        <v>10093</v>
      </c>
      <c r="H3200" t="s">
        <v>10129</v>
      </c>
      <c r="I3200" t="s">
        <v>10168</v>
      </c>
      <c r="J3200" t="s">
        <v>10213</v>
      </c>
      <c r="K3200" t="s">
        <v>10217</v>
      </c>
      <c r="M3200" t="s">
        <v>10405</v>
      </c>
      <c r="N3200" t="s">
        <v>10650</v>
      </c>
      <c r="P3200" t="s">
        <v>10749</v>
      </c>
      <c r="Q3200" t="s">
        <v>10765</v>
      </c>
      <c r="R3200" t="s">
        <v>10824</v>
      </c>
      <c r="T3200">
        <v>3315.6</v>
      </c>
      <c r="U3200">
        <v>276.3</v>
      </c>
      <c r="V3200">
        <v>24</v>
      </c>
      <c r="W3200">
        <v>1</v>
      </c>
      <c r="X3200">
        <v>0</v>
      </c>
      <c r="Z3200">
        <v>26.55</v>
      </c>
      <c r="AA3200">
        <v>40.678148</v>
      </c>
      <c r="AB3200">
        <v>-73.929373</v>
      </c>
      <c r="AD3200" t="s">
        <v>10839</v>
      </c>
      <c r="AG3200" t="s">
        <v>10858</v>
      </c>
      <c r="AH3200" t="s">
        <v>10861</v>
      </c>
      <c r="AI3200">
        <v>234</v>
      </c>
      <c r="AJ3200" t="s">
        <v>10214</v>
      </c>
      <c r="AL3200">
        <v>9.800000000000001</v>
      </c>
      <c r="AM3200" t="s">
        <v>10889</v>
      </c>
      <c r="AN3200" t="s">
        <v>10914</v>
      </c>
      <c r="AO3200" t="s">
        <v>11007</v>
      </c>
      <c r="AP3200" t="s">
        <v>11052</v>
      </c>
      <c r="AQ3200" t="s">
        <v>11101</v>
      </c>
      <c r="AR3200" t="s">
        <v>11255</v>
      </c>
      <c r="AS3200" t="s">
        <v>11595</v>
      </c>
      <c r="AT3200" t="s">
        <v>11641</v>
      </c>
      <c r="AX3200" t="s">
        <v>10838</v>
      </c>
      <c r="BA3200" t="s">
        <v>11738</v>
      </c>
      <c r="BB3200">
        <v>0</v>
      </c>
      <c r="BC3200">
        <v>0</v>
      </c>
      <c r="BD3200">
        <v>0</v>
      </c>
      <c r="BE3200">
        <v>0</v>
      </c>
      <c r="BF3200">
        <v>5</v>
      </c>
      <c r="BG3200">
        <v>0</v>
      </c>
    </row>
    <row r="3201" spans="1:59">
      <c r="A3201" s="1">
        <f>HYPERLINK("https://lsnyc.legalserver.org/matter/dynamic-profile/view/1907259","19-1907259")</f>
        <v>0</v>
      </c>
      <c r="B3201" t="s">
        <v>2689</v>
      </c>
      <c r="C3201" t="s">
        <v>7472</v>
      </c>
      <c r="D3201" t="s">
        <v>9928</v>
      </c>
      <c r="E3201" t="s">
        <v>10075</v>
      </c>
      <c r="F3201">
        <v>11225</v>
      </c>
      <c r="G3201" t="s">
        <v>10093</v>
      </c>
      <c r="H3201" t="s">
        <v>10129</v>
      </c>
      <c r="I3201" t="s">
        <v>10168</v>
      </c>
      <c r="J3201" t="s">
        <v>10213</v>
      </c>
      <c r="K3201" t="s">
        <v>10217</v>
      </c>
      <c r="M3201" t="s">
        <v>10263</v>
      </c>
      <c r="N3201" t="s">
        <v>10650</v>
      </c>
      <c r="P3201" t="s">
        <v>10749</v>
      </c>
      <c r="Q3201" t="s">
        <v>10765</v>
      </c>
      <c r="R3201" t="s">
        <v>10824</v>
      </c>
      <c r="T3201">
        <v>36400</v>
      </c>
      <c r="U3201">
        <v>3033.33</v>
      </c>
      <c r="V3201">
        <v>75</v>
      </c>
      <c r="W3201">
        <v>2</v>
      </c>
      <c r="X3201">
        <v>0</v>
      </c>
      <c r="Z3201">
        <v>215.26</v>
      </c>
      <c r="AA3201">
        <v>40.66729</v>
      </c>
      <c r="AB3201">
        <v>-73.957122</v>
      </c>
      <c r="AD3201" t="s">
        <v>10840</v>
      </c>
      <c r="AG3201" t="s">
        <v>10858</v>
      </c>
      <c r="AH3201" t="s">
        <v>10862</v>
      </c>
      <c r="AI3201">
        <v>239</v>
      </c>
      <c r="AJ3201" t="s">
        <v>10213</v>
      </c>
      <c r="AL3201">
        <v>9.75</v>
      </c>
      <c r="AM3201" t="s">
        <v>10888</v>
      </c>
      <c r="AN3201" t="s">
        <v>10923</v>
      </c>
      <c r="AO3201" t="s">
        <v>11005</v>
      </c>
      <c r="AP3201" t="s">
        <v>11061</v>
      </c>
      <c r="AR3201" t="s">
        <v>11257</v>
      </c>
      <c r="AS3201" t="s">
        <v>11595</v>
      </c>
      <c r="BA3201" t="s">
        <v>11737</v>
      </c>
      <c r="BB3201">
        <v>0</v>
      </c>
      <c r="BC3201">
        <v>0</v>
      </c>
      <c r="BD3201">
        <v>0</v>
      </c>
      <c r="BE3201">
        <v>0</v>
      </c>
      <c r="BF3201">
        <v>3</v>
      </c>
      <c r="BG3201">
        <v>0</v>
      </c>
    </row>
    <row r="3202" spans="1:59">
      <c r="A3202" s="1">
        <f>HYPERLINK("https://lsnyc.legalserver.org/matter/dynamic-profile/view/1907260","19-1907260")</f>
        <v>0</v>
      </c>
      <c r="B3202" t="s">
        <v>2690</v>
      </c>
      <c r="C3202" t="s">
        <v>7473</v>
      </c>
      <c r="D3202" t="s">
        <v>9930</v>
      </c>
      <c r="E3202" t="s">
        <v>10075</v>
      </c>
      <c r="F3202">
        <v>11373</v>
      </c>
      <c r="G3202" t="s">
        <v>10092</v>
      </c>
      <c r="H3202" t="s">
        <v>10129</v>
      </c>
      <c r="I3202" t="s">
        <v>10168</v>
      </c>
      <c r="J3202" t="s">
        <v>10212</v>
      </c>
      <c r="K3202" t="s">
        <v>10217</v>
      </c>
      <c r="M3202" t="s">
        <v>10410</v>
      </c>
      <c r="N3202" t="s">
        <v>10693</v>
      </c>
      <c r="P3202" t="s">
        <v>10749</v>
      </c>
      <c r="Q3202" t="s">
        <v>10765</v>
      </c>
      <c r="R3202" t="s">
        <v>10821</v>
      </c>
      <c r="T3202">
        <v>0</v>
      </c>
      <c r="U3202">
        <v>0</v>
      </c>
      <c r="V3202">
        <v>36</v>
      </c>
      <c r="W3202">
        <v>1</v>
      </c>
      <c r="X3202">
        <v>1</v>
      </c>
      <c r="Z3202">
        <v>0</v>
      </c>
      <c r="AA3202">
        <v>40.737849</v>
      </c>
      <c r="AB3202">
        <v>-73.87322399999999</v>
      </c>
      <c r="AD3202" t="s">
        <v>10840</v>
      </c>
      <c r="AG3202" t="s">
        <v>10858</v>
      </c>
      <c r="AH3202" t="s">
        <v>10862</v>
      </c>
      <c r="AI3202">
        <v>237</v>
      </c>
      <c r="AJ3202" t="s">
        <v>10212</v>
      </c>
      <c r="AL3202">
        <v>20</v>
      </c>
      <c r="AM3202" t="s">
        <v>10890</v>
      </c>
      <c r="AN3202" t="s">
        <v>10916</v>
      </c>
      <c r="AO3202" t="s">
        <v>11009</v>
      </c>
      <c r="AP3202" t="s">
        <v>11053</v>
      </c>
      <c r="AR3202" t="s">
        <v>11267</v>
      </c>
      <c r="AS3202" t="s">
        <v>11594</v>
      </c>
      <c r="AX3202" t="s">
        <v>10838</v>
      </c>
      <c r="BA3202" t="s">
        <v>11738</v>
      </c>
      <c r="BB3202">
        <v>0</v>
      </c>
      <c r="BC3202">
        <v>0</v>
      </c>
      <c r="BD3202">
        <v>0</v>
      </c>
      <c r="BE3202">
        <v>0</v>
      </c>
      <c r="BF3202">
        <v>5</v>
      </c>
      <c r="BG3202">
        <v>0</v>
      </c>
    </row>
    <row r="3203" spans="1:59">
      <c r="A3203" s="1">
        <f>HYPERLINK("https://lsnyc.legalserver.org/matter/dynamic-profile/view/1907261","19-1907261")</f>
        <v>0</v>
      </c>
      <c r="B3203" t="s">
        <v>2691</v>
      </c>
      <c r="C3203" t="s">
        <v>7470</v>
      </c>
      <c r="D3203" t="s">
        <v>9925</v>
      </c>
      <c r="E3203" t="s">
        <v>10075</v>
      </c>
      <c r="F3203">
        <v>10019</v>
      </c>
      <c r="G3203" t="s">
        <v>10089</v>
      </c>
      <c r="H3203" t="s">
        <v>10129</v>
      </c>
      <c r="I3203" t="s">
        <v>10169</v>
      </c>
      <c r="J3203" t="s">
        <v>10209</v>
      </c>
      <c r="K3203" t="s">
        <v>10217</v>
      </c>
      <c r="M3203" t="s">
        <v>10266</v>
      </c>
      <c r="N3203" t="s">
        <v>10673</v>
      </c>
      <c r="P3203" t="s">
        <v>10753</v>
      </c>
      <c r="Q3203" t="s">
        <v>10763</v>
      </c>
      <c r="R3203" t="s">
        <v>10821</v>
      </c>
      <c r="T3203">
        <v>26000</v>
      </c>
      <c r="U3203">
        <v>2166.67</v>
      </c>
      <c r="V3203">
        <v>33</v>
      </c>
      <c r="W3203">
        <v>2</v>
      </c>
      <c r="X3203">
        <v>2</v>
      </c>
      <c r="Z3203">
        <v>100.97</v>
      </c>
      <c r="AA3203">
        <v>40.76439</v>
      </c>
      <c r="AB3203">
        <v>-73.992233</v>
      </c>
      <c r="AD3203" t="s">
        <v>10840</v>
      </c>
      <c r="AF3203" t="s">
        <v>10844</v>
      </c>
      <c r="AG3203" t="s">
        <v>10859</v>
      </c>
      <c r="AH3203" t="s">
        <v>10864</v>
      </c>
      <c r="AI3203">
        <v>236</v>
      </c>
      <c r="AJ3203" t="s">
        <v>10209</v>
      </c>
      <c r="AL3203">
        <v>2.95</v>
      </c>
      <c r="AM3203" t="s">
        <v>10894</v>
      </c>
      <c r="AN3203" t="s">
        <v>10964</v>
      </c>
      <c r="AO3203" t="s">
        <v>11021</v>
      </c>
      <c r="AP3203" t="s">
        <v>11090</v>
      </c>
      <c r="AQ3203" t="s">
        <v>11119</v>
      </c>
      <c r="AR3203" t="s">
        <v>11257</v>
      </c>
      <c r="AS3203" t="s">
        <v>9925</v>
      </c>
      <c r="AX3203" t="s">
        <v>10838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</row>
    <row r="3204" spans="1:59">
      <c r="A3204" s="1">
        <f>HYPERLINK("https://lsnyc.legalserver.org/matter/dynamic-profile/view/1907262","19-1907262")</f>
        <v>0</v>
      </c>
      <c r="B3204" t="s">
        <v>2692</v>
      </c>
      <c r="C3204" t="s">
        <v>7474</v>
      </c>
      <c r="D3204" t="s">
        <v>9925</v>
      </c>
      <c r="E3204" t="s">
        <v>10075</v>
      </c>
      <c r="F3204">
        <v>10029</v>
      </c>
      <c r="G3204" t="s">
        <v>10089</v>
      </c>
      <c r="H3204" t="s">
        <v>10129</v>
      </c>
      <c r="I3204" t="s">
        <v>10168</v>
      </c>
      <c r="J3204" t="s">
        <v>10209</v>
      </c>
      <c r="K3204" t="s">
        <v>10217</v>
      </c>
      <c r="M3204" t="s">
        <v>10459</v>
      </c>
      <c r="N3204" t="s">
        <v>10656</v>
      </c>
      <c r="P3204" t="s">
        <v>10751</v>
      </c>
      <c r="Q3204" t="s">
        <v>10768</v>
      </c>
      <c r="R3204" t="s">
        <v>10824</v>
      </c>
      <c r="T3204">
        <v>27120</v>
      </c>
      <c r="U3204">
        <v>2260</v>
      </c>
      <c r="V3204">
        <v>19</v>
      </c>
      <c r="W3204">
        <v>2</v>
      </c>
      <c r="X3204">
        <v>1</v>
      </c>
      <c r="Z3204">
        <v>127.14</v>
      </c>
      <c r="AA3204">
        <v>40.787852</v>
      </c>
      <c r="AB3204">
        <v>-73.943376</v>
      </c>
      <c r="AD3204" t="s">
        <v>10840</v>
      </c>
      <c r="AG3204" t="s">
        <v>10858</v>
      </c>
      <c r="AH3204" t="s">
        <v>10871</v>
      </c>
      <c r="AI3204">
        <v>234</v>
      </c>
      <c r="AJ3204" t="s">
        <v>10214</v>
      </c>
      <c r="AL3204">
        <v>1.16</v>
      </c>
      <c r="AM3204" t="s">
        <v>10887</v>
      </c>
      <c r="AN3204" t="s">
        <v>10926</v>
      </c>
      <c r="AO3204" t="s">
        <v>11013</v>
      </c>
      <c r="AP3204" t="s">
        <v>11066</v>
      </c>
      <c r="AR3204" t="s">
        <v>11488</v>
      </c>
      <c r="AS3204" t="s">
        <v>9925</v>
      </c>
      <c r="AT3204" t="s">
        <v>11642</v>
      </c>
      <c r="AX3204" t="s">
        <v>10838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</row>
    <row r="3205" spans="1:59">
      <c r="A3205" s="1">
        <f>HYPERLINK("https://lsnyc.legalserver.org/matter/dynamic-profile/view/1907263","19-1907263")</f>
        <v>0</v>
      </c>
      <c r="B3205" t="s">
        <v>2693</v>
      </c>
      <c r="C3205" t="s">
        <v>7475</v>
      </c>
      <c r="D3205" t="s">
        <v>9951</v>
      </c>
      <c r="E3205" t="s">
        <v>10075</v>
      </c>
      <c r="F3205">
        <v>11416</v>
      </c>
      <c r="G3205" t="s">
        <v>10092</v>
      </c>
      <c r="H3205" t="s">
        <v>10129</v>
      </c>
      <c r="I3205" t="s">
        <v>10168</v>
      </c>
      <c r="J3205" t="s">
        <v>10212</v>
      </c>
      <c r="K3205" t="s">
        <v>10217</v>
      </c>
      <c r="M3205" t="s">
        <v>10312</v>
      </c>
      <c r="N3205" t="s">
        <v>10695</v>
      </c>
      <c r="P3205" t="s">
        <v>10749</v>
      </c>
      <c r="Q3205" t="s">
        <v>10765</v>
      </c>
      <c r="R3205" t="s">
        <v>10820</v>
      </c>
      <c r="T3205">
        <v>22000</v>
      </c>
      <c r="U3205">
        <v>1833.33</v>
      </c>
      <c r="V3205">
        <v>31</v>
      </c>
      <c r="W3205">
        <v>2</v>
      </c>
      <c r="X3205">
        <v>2</v>
      </c>
      <c r="Z3205">
        <v>85.44</v>
      </c>
      <c r="AA3205">
        <v>40.685591</v>
      </c>
      <c r="AB3205">
        <v>-73.85124999999999</v>
      </c>
      <c r="AD3205" t="s">
        <v>10839</v>
      </c>
      <c r="AG3205" t="s">
        <v>10858</v>
      </c>
      <c r="AH3205" t="s">
        <v>10862</v>
      </c>
      <c r="AI3205">
        <v>237</v>
      </c>
      <c r="AJ3205" t="s">
        <v>10212</v>
      </c>
      <c r="AL3205">
        <v>12.3</v>
      </c>
      <c r="AM3205" t="s">
        <v>10886</v>
      </c>
      <c r="AN3205" t="s">
        <v>10945</v>
      </c>
      <c r="AO3205" t="s">
        <v>11024</v>
      </c>
      <c r="AP3205" t="s">
        <v>11088</v>
      </c>
      <c r="AR3205" t="s">
        <v>11257</v>
      </c>
      <c r="AS3205" t="s">
        <v>11594</v>
      </c>
      <c r="AX3205" t="s">
        <v>10838</v>
      </c>
      <c r="BA3205" t="s">
        <v>11742</v>
      </c>
      <c r="BB3205">
        <v>0</v>
      </c>
      <c r="BC3205">
        <v>0</v>
      </c>
      <c r="BD3205">
        <v>0</v>
      </c>
      <c r="BE3205">
        <v>0</v>
      </c>
      <c r="BF3205">
        <v>7</v>
      </c>
      <c r="BG3205">
        <v>0</v>
      </c>
    </row>
    <row r="3206" spans="1:59">
      <c r="A3206" s="1">
        <f>HYPERLINK("https://lsnyc.legalserver.org/matter/dynamic-profile/view/1907264","19-1907264")</f>
        <v>0</v>
      </c>
      <c r="B3206" t="s">
        <v>2694</v>
      </c>
      <c r="C3206" t="s">
        <v>7476</v>
      </c>
      <c r="D3206" t="s">
        <v>9926</v>
      </c>
      <c r="E3206" t="s">
        <v>10075</v>
      </c>
      <c r="F3206">
        <v>10457</v>
      </c>
      <c r="G3206" t="s">
        <v>10090</v>
      </c>
      <c r="H3206" t="s">
        <v>10147</v>
      </c>
      <c r="I3206" t="s">
        <v>10168</v>
      </c>
      <c r="J3206" t="s">
        <v>10210</v>
      </c>
      <c r="K3206" t="s">
        <v>10217</v>
      </c>
      <c r="M3206" t="s">
        <v>10557</v>
      </c>
      <c r="N3206" t="s">
        <v>10651</v>
      </c>
      <c r="P3206" t="s">
        <v>10749</v>
      </c>
      <c r="Q3206" t="s">
        <v>10765</v>
      </c>
      <c r="R3206" t="s">
        <v>10821</v>
      </c>
      <c r="T3206">
        <v>32000</v>
      </c>
      <c r="U3206">
        <v>2666.67</v>
      </c>
      <c r="V3206">
        <v>35</v>
      </c>
      <c r="W3206">
        <v>2</v>
      </c>
      <c r="X3206">
        <v>2</v>
      </c>
      <c r="Z3206">
        <v>124.27</v>
      </c>
      <c r="AA3206">
        <v>40.85019</v>
      </c>
      <c r="AB3206">
        <v>-73.886984</v>
      </c>
      <c r="AD3206" t="s">
        <v>10840</v>
      </c>
      <c r="AG3206" t="s">
        <v>10858</v>
      </c>
      <c r="AH3206" t="s">
        <v>10862</v>
      </c>
      <c r="AI3206">
        <v>230</v>
      </c>
      <c r="AJ3206" t="s">
        <v>10210</v>
      </c>
      <c r="AL3206">
        <v>12.8</v>
      </c>
      <c r="AM3206" t="s">
        <v>10884</v>
      </c>
      <c r="AN3206" t="s">
        <v>10907</v>
      </c>
      <c r="AO3206" t="s">
        <v>11000</v>
      </c>
      <c r="AP3206" t="s">
        <v>11056</v>
      </c>
      <c r="AR3206" t="s">
        <v>11257</v>
      </c>
      <c r="AS3206" t="s">
        <v>9926</v>
      </c>
      <c r="AT3206" t="s">
        <v>11642</v>
      </c>
      <c r="AX3206" t="s">
        <v>10838</v>
      </c>
      <c r="BA3206" t="s">
        <v>11738</v>
      </c>
      <c r="BB3206">
        <v>0</v>
      </c>
      <c r="BC3206">
        <v>0</v>
      </c>
      <c r="BD3206">
        <v>0</v>
      </c>
      <c r="BE3206">
        <v>0</v>
      </c>
      <c r="BF3206">
        <v>5</v>
      </c>
      <c r="BG3206">
        <v>0</v>
      </c>
    </row>
    <row r="3207" spans="1:59">
      <c r="A3207" s="1">
        <f>HYPERLINK("https://lsnyc.legalserver.org/matter/dynamic-profile/view/1907265","19-1907265")</f>
        <v>0</v>
      </c>
      <c r="B3207" t="s">
        <v>2695</v>
      </c>
      <c r="C3207" t="s">
        <v>7477</v>
      </c>
      <c r="D3207" t="s">
        <v>9926</v>
      </c>
      <c r="E3207" t="s">
        <v>10075</v>
      </c>
      <c r="F3207">
        <v>10462</v>
      </c>
      <c r="G3207" t="s">
        <v>10090</v>
      </c>
      <c r="H3207" t="s">
        <v>10129</v>
      </c>
      <c r="I3207" t="s">
        <v>10168</v>
      </c>
      <c r="J3207" t="s">
        <v>10210</v>
      </c>
      <c r="K3207" t="s">
        <v>10217</v>
      </c>
      <c r="M3207" t="s">
        <v>10362</v>
      </c>
      <c r="N3207" t="s">
        <v>10666</v>
      </c>
      <c r="O3207" t="s">
        <v>10646</v>
      </c>
      <c r="P3207" t="s">
        <v>10751</v>
      </c>
      <c r="Q3207" t="s">
        <v>10761</v>
      </c>
      <c r="R3207" t="s">
        <v>10821</v>
      </c>
      <c r="T3207">
        <v>61200</v>
      </c>
      <c r="U3207">
        <v>5100</v>
      </c>
      <c r="V3207">
        <v>41</v>
      </c>
      <c r="W3207">
        <v>2</v>
      </c>
      <c r="X3207">
        <v>2</v>
      </c>
      <c r="Z3207">
        <v>237.67</v>
      </c>
      <c r="AA3207">
        <v>40.854825</v>
      </c>
      <c r="AB3207">
        <v>-73.86644200000001</v>
      </c>
      <c r="AD3207" t="s">
        <v>10839</v>
      </c>
      <c r="AG3207" t="s">
        <v>10858</v>
      </c>
      <c r="AH3207" t="s">
        <v>10862</v>
      </c>
      <c r="AI3207">
        <v>230</v>
      </c>
      <c r="AJ3207" t="s">
        <v>10210</v>
      </c>
      <c r="AL3207">
        <v>0</v>
      </c>
      <c r="AM3207" t="s">
        <v>10885</v>
      </c>
      <c r="AN3207" t="s">
        <v>10938</v>
      </c>
      <c r="AO3207" t="s">
        <v>11002</v>
      </c>
      <c r="AP3207" t="s">
        <v>11049</v>
      </c>
      <c r="AR3207" t="s">
        <v>11257</v>
      </c>
      <c r="AS3207" t="s">
        <v>9926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</row>
    <row r="3208" spans="1:59">
      <c r="A3208" s="1">
        <f>HYPERLINK("https://lsnyc.legalserver.org/matter/dynamic-profile/view/1907266","19-1907266")</f>
        <v>0</v>
      </c>
      <c r="B3208" t="s">
        <v>2696</v>
      </c>
      <c r="C3208" t="s">
        <v>7478</v>
      </c>
      <c r="D3208" t="s">
        <v>9928</v>
      </c>
      <c r="E3208" t="s">
        <v>10075</v>
      </c>
      <c r="F3208">
        <v>11212</v>
      </c>
      <c r="G3208" t="s">
        <v>10093</v>
      </c>
      <c r="H3208" t="s">
        <v>10129</v>
      </c>
      <c r="I3208" t="s">
        <v>10168</v>
      </c>
      <c r="J3208" t="s">
        <v>10213</v>
      </c>
      <c r="K3208" t="s">
        <v>10218</v>
      </c>
      <c r="L3208" t="s">
        <v>10149</v>
      </c>
      <c r="M3208" t="s">
        <v>10481</v>
      </c>
      <c r="N3208" t="s">
        <v>10650</v>
      </c>
      <c r="P3208" t="s">
        <v>10749</v>
      </c>
      <c r="Q3208" t="s">
        <v>10765</v>
      </c>
      <c r="R3208" t="s">
        <v>10824</v>
      </c>
      <c r="T3208">
        <v>65000</v>
      </c>
      <c r="U3208">
        <v>5416.67</v>
      </c>
      <c r="V3208">
        <v>41</v>
      </c>
      <c r="W3208">
        <v>2</v>
      </c>
      <c r="X3208">
        <v>1</v>
      </c>
      <c r="Y3208" t="s">
        <v>10829</v>
      </c>
      <c r="Z3208">
        <v>304.74</v>
      </c>
      <c r="AA3208">
        <v>40.663319</v>
      </c>
      <c r="AB3208">
        <v>-73.90984899999999</v>
      </c>
      <c r="AD3208" t="s">
        <v>10839</v>
      </c>
      <c r="AG3208" t="s">
        <v>10858</v>
      </c>
      <c r="AH3208" t="s">
        <v>10861</v>
      </c>
      <c r="AI3208">
        <v>234</v>
      </c>
      <c r="AJ3208" t="s">
        <v>10214</v>
      </c>
      <c r="AK3208" t="s">
        <v>10838</v>
      </c>
      <c r="AL3208">
        <v>0.6</v>
      </c>
      <c r="AM3208" t="s">
        <v>10888</v>
      </c>
      <c r="AN3208" t="s">
        <v>10922</v>
      </c>
      <c r="AO3208" t="s">
        <v>11005</v>
      </c>
      <c r="AP3208" t="s">
        <v>11064</v>
      </c>
      <c r="AR3208" t="s">
        <v>11257</v>
      </c>
      <c r="AS3208" t="s">
        <v>11595</v>
      </c>
      <c r="AT3208" t="s">
        <v>11641</v>
      </c>
      <c r="AX3208" t="s">
        <v>10838</v>
      </c>
      <c r="AY3208" t="s">
        <v>10829</v>
      </c>
      <c r="AZ3208" t="s">
        <v>11681</v>
      </c>
      <c r="BA3208" t="s">
        <v>11741</v>
      </c>
      <c r="BB3208">
        <v>0</v>
      </c>
      <c r="BC3208">
        <v>0</v>
      </c>
      <c r="BD3208">
        <v>0</v>
      </c>
      <c r="BE3208">
        <v>0</v>
      </c>
      <c r="BF3208">
        <v>1</v>
      </c>
      <c r="BG3208">
        <v>0</v>
      </c>
    </row>
    <row r="3209" spans="1:59">
      <c r="A3209" s="1">
        <f>HYPERLINK("https://lsnyc.legalserver.org/matter/dynamic-profile/view/1907267","19-1907267")</f>
        <v>0</v>
      </c>
      <c r="B3209" t="s">
        <v>2697</v>
      </c>
      <c r="C3209" t="s">
        <v>7479</v>
      </c>
      <c r="D3209" t="s">
        <v>9925</v>
      </c>
      <c r="E3209" t="s">
        <v>10075</v>
      </c>
      <c r="F3209">
        <v>10027</v>
      </c>
      <c r="G3209" t="s">
        <v>10089</v>
      </c>
      <c r="H3209" t="s">
        <v>10129</v>
      </c>
      <c r="I3209" t="s">
        <v>10168</v>
      </c>
      <c r="J3209" t="s">
        <v>10209</v>
      </c>
      <c r="K3209" t="s">
        <v>10217</v>
      </c>
      <c r="M3209" t="s">
        <v>10442</v>
      </c>
      <c r="N3209" t="s">
        <v>10671</v>
      </c>
      <c r="P3209" t="s">
        <v>10749</v>
      </c>
      <c r="Q3209" t="s">
        <v>10765</v>
      </c>
      <c r="R3209" t="s">
        <v>10822</v>
      </c>
      <c r="T3209">
        <v>10400</v>
      </c>
      <c r="U3209">
        <v>866.67</v>
      </c>
      <c r="V3209">
        <v>39</v>
      </c>
      <c r="W3209">
        <v>1</v>
      </c>
      <c r="X3209">
        <v>0</v>
      </c>
      <c r="Z3209">
        <v>83.27</v>
      </c>
      <c r="AA3209">
        <v>40.811867</v>
      </c>
      <c r="AB3209">
        <v>-73.952675</v>
      </c>
      <c r="AD3209" t="s">
        <v>10822</v>
      </c>
      <c r="AG3209" t="s">
        <v>10858</v>
      </c>
      <c r="AH3209" t="s">
        <v>10861</v>
      </c>
      <c r="AI3209">
        <v>234</v>
      </c>
      <c r="AJ3209" t="s">
        <v>10214</v>
      </c>
      <c r="AL3209">
        <v>1</v>
      </c>
      <c r="AM3209" t="s">
        <v>10887</v>
      </c>
      <c r="AN3209" t="s">
        <v>10936</v>
      </c>
      <c r="AO3209" t="s">
        <v>11016</v>
      </c>
      <c r="AP3209" t="s">
        <v>11076</v>
      </c>
      <c r="AR3209" t="s">
        <v>11257</v>
      </c>
      <c r="AS3209" t="s">
        <v>9925</v>
      </c>
      <c r="AT3209" t="s">
        <v>10822</v>
      </c>
      <c r="AX3209" t="s">
        <v>11678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</row>
    <row r="3210" spans="1:59">
      <c r="A3210" s="1">
        <f>HYPERLINK("https://lsnyc.legalserver.org/matter/dynamic-profile/view/1907268","19-1907268")</f>
        <v>0</v>
      </c>
      <c r="B3210" t="s">
        <v>2698</v>
      </c>
      <c r="C3210" t="s">
        <v>7480</v>
      </c>
      <c r="D3210" t="s">
        <v>9953</v>
      </c>
      <c r="E3210" t="s">
        <v>10075</v>
      </c>
      <c r="F3210">
        <v>11104</v>
      </c>
      <c r="G3210" t="s">
        <v>10093</v>
      </c>
      <c r="H3210" t="s">
        <v>10129</v>
      </c>
      <c r="I3210" t="s">
        <v>10168</v>
      </c>
      <c r="J3210" t="s">
        <v>10213</v>
      </c>
      <c r="K3210" t="s">
        <v>10218</v>
      </c>
      <c r="L3210" t="s">
        <v>10116</v>
      </c>
      <c r="M3210" t="s">
        <v>10457</v>
      </c>
      <c r="N3210" t="s">
        <v>10698</v>
      </c>
      <c r="P3210" t="s">
        <v>10749</v>
      </c>
      <c r="Q3210" t="s">
        <v>10765</v>
      </c>
      <c r="R3210" t="s">
        <v>10821</v>
      </c>
      <c r="T3210">
        <v>29256.24</v>
      </c>
      <c r="U3210">
        <v>2438.02</v>
      </c>
      <c r="V3210">
        <v>26</v>
      </c>
      <c r="W3210">
        <v>1</v>
      </c>
      <c r="X3210">
        <v>0</v>
      </c>
      <c r="Y3210" t="s">
        <v>10829</v>
      </c>
      <c r="Z3210">
        <v>234.24</v>
      </c>
      <c r="AA3210">
        <v>40.74549</v>
      </c>
      <c r="AB3210">
        <v>-73.92038700000001</v>
      </c>
      <c r="AD3210" t="s">
        <v>10840</v>
      </c>
      <c r="AG3210" t="s">
        <v>10858</v>
      </c>
      <c r="AH3210" t="s">
        <v>10861</v>
      </c>
      <c r="AI3210">
        <v>234</v>
      </c>
      <c r="AJ3210" t="s">
        <v>10214</v>
      </c>
      <c r="AK3210" t="s">
        <v>10838</v>
      </c>
      <c r="AL3210">
        <v>4.5</v>
      </c>
      <c r="AM3210" t="s">
        <v>10885</v>
      </c>
      <c r="AN3210" t="s">
        <v>10961</v>
      </c>
      <c r="AO3210" t="s">
        <v>11003</v>
      </c>
      <c r="AP3210" t="s">
        <v>11047</v>
      </c>
      <c r="AR3210" t="s">
        <v>11257</v>
      </c>
      <c r="AS3210" t="s">
        <v>11594</v>
      </c>
      <c r="AT3210" t="s">
        <v>11642</v>
      </c>
      <c r="AX3210" t="s">
        <v>10837</v>
      </c>
      <c r="AY3210" t="s">
        <v>10829</v>
      </c>
      <c r="AZ3210" t="s">
        <v>11681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</row>
    <row r="3211" spans="1:59">
      <c r="A3211" s="1">
        <f>HYPERLINK("https://lsnyc.legalserver.org/matter/dynamic-profile/view/1907269","19-1907269")</f>
        <v>0</v>
      </c>
      <c r="B3211" t="s">
        <v>2699</v>
      </c>
      <c r="C3211" t="s">
        <v>7481</v>
      </c>
      <c r="D3211" t="s">
        <v>9950</v>
      </c>
      <c r="E3211" t="s">
        <v>10075</v>
      </c>
      <c r="F3211">
        <v>11418</v>
      </c>
      <c r="G3211" t="s">
        <v>10092</v>
      </c>
      <c r="H3211" t="s">
        <v>10129</v>
      </c>
      <c r="I3211" t="s">
        <v>10169</v>
      </c>
      <c r="J3211" t="s">
        <v>10212</v>
      </c>
      <c r="K3211" t="s">
        <v>10217</v>
      </c>
      <c r="M3211" t="s">
        <v>10342</v>
      </c>
      <c r="N3211" t="s">
        <v>10650</v>
      </c>
      <c r="P3211" t="s">
        <v>10749</v>
      </c>
      <c r="Q3211" t="s">
        <v>10765</v>
      </c>
      <c r="R3211" t="s">
        <v>10821</v>
      </c>
      <c r="T3211">
        <v>26300</v>
      </c>
      <c r="U3211">
        <v>2191.67</v>
      </c>
      <c r="V3211">
        <v>46</v>
      </c>
      <c r="W3211">
        <v>1</v>
      </c>
      <c r="X3211">
        <v>2</v>
      </c>
      <c r="Z3211">
        <v>123.3</v>
      </c>
      <c r="AA3211">
        <v>40.695798</v>
      </c>
      <c r="AB3211">
        <v>-73.84646600000001</v>
      </c>
      <c r="AD3211" t="s">
        <v>10839</v>
      </c>
      <c r="AF3211" t="s">
        <v>10843</v>
      </c>
      <c r="AG3211" t="s">
        <v>10859</v>
      </c>
      <c r="AH3211" t="s">
        <v>10862</v>
      </c>
      <c r="AI3211">
        <v>237</v>
      </c>
      <c r="AJ3211" t="s">
        <v>10212</v>
      </c>
      <c r="AL3211">
        <v>17.9</v>
      </c>
      <c r="AM3211" t="s">
        <v>10886</v>
      </c>
      <c r="AN3211" t="s">
        <v>10945</v>
      </c>
      <c r="AO3211" t="s">
        <v>11017</v>
      </c>
      <c r="AP3211" t="s">
        <v>11088</v>
      </c>
      <c r="AR3211" t="s">
        <v>11335</v>
      </c>
      <c r="AS3211" t="s">
        <v>11594</v>
      </c>
      <c r="AX3211" t="s">
        <v>10838</v>
      </c>
      <c r="BA3211" t="s">
        <v>11738</v>
      </c>
      <c r="BB3211">
        <v>0</v>
      </c>
      <c r="BC3211">
        <v>0</v>
      </c>
      <c r="BD3211">
        <v>0</v>
      </c>
      <c r="BE3211">
        <v>0</v>
      </c>
      <c r="BF3211">
        <v>5</v>
      </c>
      <c r="BG3211">
        <v>0</v>
      </c>
    </row>
    <row r="3212" spans="1:59">
      <c r="A3212" s="1">
        <f>HYPERLINK("https://lsnyc.legalserver.org/matter/dynamic-profile/view/1907270","19-1907270")</f>
        <v>0</v>
      </c>
      <c r="B3212" t="s">
        <v>2700</v>
      </c>
      <c r="C3212" t="s">
        <v>7482</v>
      </c>
      <c r="D3212" t="s">
        <v>9925</v>
      </c>
      <c r="E3212" t="s">
        <v>10075</v>
      </c>
      <c r="F3212">
        <v>10022</v>
      </c>
      <c r="G3212" t="s">
        <v>10089</v>
      </c>
      <c r="H3212" t="s">
        <v>10129</v>
      </c>
      <c r="I3212" t="s">
        <v>10169</v>
      </c>
      <c r="J3212" t="s">
        <v>10209</v>
      </c>
      <c r="K3212" t="s">
        <v>10217</v>
      </c>
      <c r="M3212" t="s">
        <v>10266</v>
      </c>
      <c r="N3212" t="s">
        <v>10679</v>
      </c>
      <c r="P3212" t="s">
        <v>10753</v>
      </c>
      <c r="Q3212" t="s">
        <v>10763</v>
      </c>
      <c r="R3212" t="s">
        <v>10821</v>
      </c>
      <c r="T3212">
        <v>26000</v>
      </c>
      <c r="U3212">
        <v>2166.67</v>
      </c>
      <c r="V3212">
        <v>14</v>
      </c>
      <c r="W3212">
        <v>2</v>
      </c>
      <c r="X3212">
        <v>2</v>
      </c>
      <c r="Z3212">
        <v>100.97</v>
      </c>
      <c r="AA3212">
        <v>40.76439</v>
      </c>
      <c r="AB3212">
        <v>-73.992233</v>
      </c>
      <c r="AD3212" t="s">
        <v>10839</v>
      </c>
      <c r="AF3212" t="s">
        <v>10844</v>
      </c>
      <c r="AG3212" t="s">
        <v>10859</v>
      </c>
      <c r="AH3212" t="s">
        <v>10864</v>
      </c>
      <c r="AI3212">
        <v>236</v>
      </c>
      <c r="AJ3212" t="s">
        <v>10209</v>
      </c>
      <c r="AL3212">
        <v>0.75</v>
      </c>
      <c r="AM3212" t="s">
        <v>10894</v>
      </c>
      <c r="AN3212" t="s">
        <v>10964</v>
      </c>
      <c r="AO3212" t="s">
        <v>11021</v>
      </c>
      <c r="AP3212" t="s">
        <v>11090</v>
      </c>
      <c r="AQ3212" t="s">
        <v>11119</v>
      </c>
      <c r="AR3212" t="s">
        <v>11257</v>
      </c>
      <c r="AS3212" t="s">
        <v>9925</v>
      </c>
      <c r="AX3212" t="s">
        <v>10838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</row>
    <row r="3213" spans="1:59">
      <c r="A3213" s="1">
        <f>HYPERLINK("https://lsnyc.legalserver.org/matter/dynamic-profile/view/1907272","19-1907272")</f>
        <v>0</v>
      </c>
      <c r="B3213" t="s">
        <v>2701</v>
      </c>
      <c r="C3213" t="s">
        <v>7483</v>
      </c>
      <c r="D3213" t="s">
        <v>9927</v>
      </c>
      <c r="E3213" t="s">
        <v>10075</v>
      </c>
      <c r="F3213">
        <v>11377</v>
      </c>
      <c r="G3213" t="s">
        <v>10092</v>
      </c>
      <c r="H3213" t="s">
        <v>10129</v>
      </c>
      <c r="I3213" t="s">
        <v>10169</v>
      </c>
      <c r="J3213" t="s">
        <v>10212</v>
      </c>
      <c r="K3213" t="s">
        <v>10217</v>
      </c>
      <c r="M3213" t="s">
        <v>10486</v>
      </c>
      <c r="N3213" t="s">
        <v>10714</v>
      </c>
      <c r="P3213" t="s">
        <v>10753</v>
      </c>
      <c r="Q3213" t="s">
        <v>10763</v>
      </c>
      <c r="R3213" t="s">
        <v>10823</v>
      </c>
      <c r="T3213">
        <v>10000</v>
      </c>
      <c r="U3213">
        <v>833.33</v>
      </c>
      <c r="V3213">
        <v>45</v>
      </c>
      <c r="W3213">
        <v>1</v>
      </c>
      <c r="X3213">
        <v>1</v>
      </c>
      <c r="Z3213">
        <v>59.14</v>
      </c>
      <c r="AA3213">
        <v>40.744911</v>
      </c>
      <c r="AB3213">
        <v>-73.899216</v>
      </c>
      <c r="AD3213" t="s">
        <v>10839</v>
      </c>
      <c r="AF3213" t="s">
        <v>10842</v>
      </c>
      <c r="AG3213" t="s">
        <v>10859</v>
      </c>
      <c r="AH3213" t="s">
        <v>10865</v>
      </c>
      <c r="AI3213">
        <v>237</v>
      </c>
      <c r="AJ3213" t="s">
        <v>10212</v>
      </c>
      <c r="AL3213">
        <v>0.5</v>
      </c>
      <c r="AM3213" t="s">
        <v>10885</v>
      </c>
      <c r="AN3213" t="s">
        <v>10909</v>
      </c>
      <c r="AO3213" t="s">
        <v>11003</v>
      </c>
      <c r="AP3213" t="s">
        <v>11047</v>
      </c>
      <c r="AQ3213" t="s">
        <v>11109</v>
      </c>
      <c r="AR3213" t="s">
        <v>11257</v>
      </c>
      <c r="AS3213" t="s">
        <v>11594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</row>
    <row r="3214" spans="1:59">
      <c r="A3214" s="1">
        <f>HYPERLINK("https://lsnyc.legalserver.org/matter/dynamic-profile/view/1907273","19-1907273")</f>
        <v>0</v>
      </c>
      <c r="B3214" t="s">
        <v>387</v>
      </c>
      <c r="C3214" t="s">
        <v>7484</v>
      </c>
      <c r="D3214" t="s">
        <v>9948</v>
      </c>
      <c r="E3214" t="s">
        <v>10075</v>
      </c>
      <c r="F3214">
        <v>11691</v>
      </c>
      <c r="G3214" t="s">
        <v>10092</v>
      </c>
      <c r="H3214" t="s">
        <v>10129</v>
      </c>
      <c r="I3214" t="s">
        <v>10169</v>
      </c>
      <c r="J3214" t="s">
        <v>10212</v>
      </c>
      <c r="K3214" t="s">
        <v>10217</v>
      </c>
      <c r="M3214" t="s">
        <v>10350</v>
      </c>
      <c r="N3214" t="s">
        <v>10692</v>
      </c>
      <c r="P3214" t="s">
        <v>10754</v>
      </c>
      <c r="Q3214" t="s">
        <v>10777</v>
      </c>
      <c r="R3214" t="s">
        <v>10821</v>
      </c>
      <c r="T3214">
        <v>21000</v>
      </c>
      <c r="U3214">
        <v>1750</v>
      </c>
      <c r="V3214">
        <v>28</v>
      </c>
      <c r="W3214">
        <v>1</v>
      </c>
      <c r="X3214">
        <v>0</v>
      </c>
      <c r="Z3214">
        <v>168.13</v>
      </c>
      <c r="AA3214">
        <v>40.597858</v>
      </c>
      <c r="AB3214">
        <v>-73.77585999999999</v>
      </c>
      <c r="AD3214" t="s">
        <v>10839</v>
      </c>
      <c r="AF3214" t="s">
        <v>10842</v>
      </c>
      <c r="AG3214" t="s">
        <v>10859</v>
      </c>
      <c r="AH3214" t="s">
        <v>10865</v>
      </c>
      <c r="AI3214">
        <v>237</v>
      </c>
      <c r="AJ3214" t="s">
        <v>10212</v>
      </c>
      <c r="AL3214">
        <v>9.35</v>
      </c>
      <c r="AM3214" t="s">
        <v>10892</v>
      </c>
      <c r="AN3214" t="s">
        <v>10930</v>
      </c>
      <c r="AO3214" t="s">
        <v>11017</v>
      </c>
      <c r="AP3214" t="s">
        <v>11082</v>
      </c>
      <c r="AR3214" t="s">
        <v>11257</v>
      </c>
      <c r="AS3214" t="s">
        <v>11594</v>
      </c>
      <c r="BA3214" t="s">
        <v>11738</v>
      </c>
      <c r="BB3214">
        <v>0</v>
      </c>
      <c r="BC3214">
        <v>0</v>
      </c>
      <c r="BD3214">
        <v>0</v>
      </c>
      <c r="BE3214">
        <v>0</v>
      </c>
      <c r="BF3214">
        <v>5</v>
      </c>
      <c r="BG3214">
        <v>0</v>
      </c>
    </row>
    <row r="3215" spans="1:59">
      <c r="A3215" s="1">
        <f>HYPERLINK("https://lsnyc.legalserver.org/matter/dynamic-profile/view/1907274","19-1907274")</f>
        <v>0</v>
      </c>
      <c r="B3215" t="s">
        <v>2702</v>
      </c>
      <c r="C3215" t="s">
        <v>7470</v>
      </c>
      <c r="D3215" t="s">
        <v>9925</v>
      </c>
      <c r="E3215" t="s">
        <v>10075</v>
      </c>
      <c r="F3215">
        <v>10019</v>
      </c>
      <c r="G3215" t="s">
        <v>10089</v>
      </c>
      <c r="H3215" t="s">
        <v>10129</v>
      </c>
      <c r="I3215" t="s">
        <v>10169</v>
      </c>
      <c r="J3215" t="s">
        <v>10209</v>
      </c>
      <c r="K3215" t="s">
        <v>10217</v>
      </c>
      <c r="M3215" t="s">
        <v>10266</v>
      </c>
      <c r="N3215" t="s">
        <v>10679</v>
      </c>
      <c r="P3215" t="s">
        <v>10753</v>
      </c>
      <c r="Q3215" t="s">
        <v>10763</v>
      </c>
      <c r="R3215" t="s">
        <v>10821</v>
      </c>
      <c r="T3215">
        <v>26000</v>
      </c>
      <c r="U3215">
        <v>2166.67</v>
      </c>
      <c r="V3215">
        <v>11</v>
      </c>
      <c r="W3215">
        <v>2</v>
      </c>
      <c r="X3215">
        <v>2</v>
      </c>
      <c r="Z3215">
        <v>100.97</v>
      </c>
      <c r="AA3215">
        <v>40.76439</v>
      </c>
      <c r="AB3215">
        <v>-73.992233</v>
      </c>
      <c r="AD3215" t="s">
        <v>10839</v>
      </c>
      <c r="AF3215" t="s">
        <v>10844</v>
      </c>
      <c r="AG3215" t="s">
        <v>10859</v>
      </c>
      <c r="AH3215" t="s">
        <v>10864</v>
      </c>
      <c r="AI3215">
        <v>236</v>
      </c>
      <c r="AJ3215" t="s">
        <v>10209</v>
      </c>
      <c r="AL3215">
        <v>0.55</v>
      </c>
      <c r="AM3215" t="s">
        <v>10894</v>
      </c>
      <c r="AN3215" t="s">
        <v>10964</v>
      </c>
      <c r="AO3215" t="s">
        <v>11021</v>
      </c>
      <c r="AP3215" t="s">
        <v>11090</v>
      </c>
      <c r="AQ3215" t="s">
        <v>11119</v>
      </c>
      <c r="AR3215" t="s">
        <v>11257</v>
      </c>
      <c r="AS3215" t="s">
        <v>9925</v>
      </c>
      <c r="AX3215" t="s">
        <v>10838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</row>
    <row r="3216" spans="1:59">
      <c r="A3216" s="1">
        <f>HYPERLINK("https://lsnyc.legalserver.org/matter/dynamic-profile/view/1907275","19-1907275")</f>
        <v>0</v>
      </c>
      <c r="B3216" t="s">
        <v>1949</v>
      </c>
      <c r="C3216" t="s">
        <v>7485</v>
      </c>
      <c r="D3216" t="s">
        <v>9926</v>
      </c>
      <c r="E3216" t="s">
        <v>10075</v>
      </c>
      <c r="F3216">
        <v>10467</v>
      </c>
      <c r="G3216" t="s">
        <v>10090</v>
      </c>
      <c r="H3216" t="s">
        <v>10129</v>
      </c>
      <c r="I3216" t="s">
        <v>10168</v>
      </c>
      <c r="J3216" t="s">
        <v>10210</v>
      </c>
      <c r="K3216" t="s">
        <v>10217</v>
      </c>
      <c r="M3216" t="s">
        <v>10367</v>
      </c>
      <c r="N3216" t="s">
        <v>10688</v>
      </c>
      <c r="P3216" t="s">
        <v>10751</v>
      </c>
      <c r="Q3216" t="s">
        <v>10761</v>
      </c>
      <c r="R3216" t="s">
        <v>10824</v>
      </c>
      <c r="T3216">
        <v>14040</v>
      </c>
      <c r="U3216">
        <v>1170</v>
      </c>
      <c r="V3216">
        <v>34</v>
      </c>
      <c r="W3216">
        <v>1</v>
      </c>
      <c r="X3216">
        <v>3</v>
      </c>
      <c r="Z3216">
        <v>54.52</v>
      </c>
      <c r="AA3216">
        <v>40.871955</v>
      </c>
      <c r="AB3216">
        <v>-73.865521</v>
      </c>
      <c r="AD3216" t="s">
        <v>10839</v>
      </c>
      <c r="AG3216" t="s">
        <v>10858</v>
      </c>
      <c r="AH3216" t="s">
        <v>10874</v>
      </c>
      <c r="AI3216">
        <v>230</v>
      </c>
      <c r="AJ3216" t="s">
        <v>10210</v>
      </c>
      <c r="AL3216">
        <v>9.4</v>
      </c>
      <c r="AM3216" t="s">
        <v>10893</v>
      </c>
      <c r="AN3216" t="s">
        <v>10938</v>
      </c>
      <c r="AO3216" t="s">
        <v>11010</v>
      </c>
      <c r="AP3216" t="s">
        <v>11056</v>
      </c>
      <c r="AR3216" t="s">
        <v>11262</v>
      </c>
      <c r="AS3216" t="s">
        <v>9926</v>
      </c>
      <c r="BA3216" t="s">
        <v>11738</v>
      </c>
      <c r="BB3216">
        <v>0</v>
      </c>
      <c r="BC3216">
        <v>0</v>
      </c>
      <c r="BD3216">
        <v>0</v>
      </c>
      <c r="BE3216">
        <v>0</v>
      </c>
      <c r="BF3216">
        <v>5</v>
      </c>
      <c r="BG3216">
        <v>0</v>
      </c>
    </row>
    <row r="3217" spans="1:59">
      <c r="A3217" s="1">
        <f>HYPERLINK("https://lsnyc.legalserver.org/matter/dynamic-profile/view/1907276","19-1907276")</f>
        <v>0</v>
      </c>
      <c r="B3217" t="s">
        <v>743</v>
      </c>
      <c r="C3217" t="s">
        <v>7486</v>
      </c>
      <c r="D3217" t="s">
        <v>9929</v>
      </c>
      <c r="E3217" t="s">
        <v>10075</v>
      </c>
      <c r="F3217">
        <v>10312</v>
      </c>
      <c r="G3217" t="s">
        <v>10093</v>
      </c>
      <c r="H3217" t="s">
        <v>10129</v>
      </c>
      <c r="I3217" t="s">
        <v>10168</v>
      </c>
      <c r="J3217" t="s">
        <v>10213</v>
      </c>
      <c r="K3217" t="s">
        <v>10218</v>
      </c>
      <c r="L3217" t="s">
        <v>10152</v>
      </c>
      <c r="M3217" t="s">
        <v>10330</v>
      </c>
      <c r="N3217" t="s">
        <v>10710</v>
      </c>
      <c r="P3217" t="s">
        <v>10750</v>
      </c>
      <c r="Q3217" t="s">
        <v>10760</v>
      </c>
      <c r="R3217" t="s">
        <v>10820</v>
      </c>
      <c r="T3217">
        <v>43200</v>
      </c>
      <c r="U3217">
        <v>3600</v>
      </c>
      <c r="V3217">
        <v>75</v>
      </c>
      <c r="W3217">
        <v>1</v>
      </c>
      <c r="X3217">
        <v>0</v>
      </c>
      <c r="Y3217" t="s">
        <v>10829</v>
      </c>
      <c r="Z3217">
        <v>345.88</v>
      </c>
      <c r="AA3217">
        <v>40.531184</v>
      </c>
      <c r="AB3217">
        <v>-74.169663</v>
      </c>
      <c r="AD3217" t="s">
        <v>10839</v>
      </c>
      <c r="AG3217" t="s">
        <v>10858</v>
      </c>
      <c r="AH3217" t="s">
        <v>10871</v>
      </c>
      <c r="AI3217">
        <v>234</v>
      </c>
      <c r="AJ3217" t="s">
        <v>10214</v>
      </c>
      <c r="AK3217" t="s">
        <v>10838</v>
      </c>
      <c r="AL3217">
        <v>2.95</v>
      </c>
      <c r="AM3217" t="s">
        <v>10883</v>
      </c>
      <c r="AN3217" t="s">
        <v>10906</v>
      </c>
      <c r="AO3217" t="s">
        <v>10999</v>
      </c>
      <c r="AP3217" t="s">
        <v>11044</v>
      </c>
      <c r="AR3217" t="s">
        <v>11379</v>
      </c>
      <c r="AS3217" t="s">
        <v>9925</v>
      </c>
      <c r="AT3217" t="s">
        <v>11641</v>
      </c>
      <c r="AX3217" t="s">
        <v>10838</v>
      </c>
      <c r="AY3217" t="s">
        <v>10829</v>
      </c>
      <c r="AZ3217" t="s">
        <v>11679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</row>
    <row r="3218" spans="1:59">
      <c r="A3218" s="1">
        <f>HYPERLINK("https://lsnyc.legalserver.org/matter/dynamic-profile/view/1907277","19-1907277")</f>
        <v>0</v>
      </c>
      <c r="B3218" t="s">
        <v>2703</v>
      </c>
      <c r="C3218" t="s">
        <v>7487</v>
      </c>
      <c r="D3218" t="s">
        <v>9928</v>
      </c>
      <c r="E3218" t="s">
        <v>10075</v>
      </c>
      <c r="F3218">
        <v>11213</v>
      </c>
      <c r="G3218" t="s">
        <v>10093</v>
      </c>
      <c r="H3218" t="s">
        <v>10129</v>
      </c>
      <c r="I3218" t="s">
        <v>10168</v>
      </c>
      <c r="J3218" t="s">
        <v>10213</v>
      </c>
      <c r="K3218" t="s">
        <v>10217</v>
      </c>
      <c r="M3218" t="s">
        <v>10425</v>
      </c>
      <c r="N3218" t="s">
        <v>10671</v>
      </c>
      <c r="P3218" t="s">
        <v>10751</v>
      </c>
      <c r="Q3218" t="s">
        <v>10761</v>
      </c>
      <c r="R3218" t="s">
        <v>10824</v>
      </c>
      <c r="T3218">
        <v>12960</v>
      </c>
      <c r="U3218">
        <v>1080</v>
      </c>
      <c r="V3218">
        <v>34</v>
      </c>
      <c r="W3218">
        <v>1</v>
      </c>
      <c r="X3218">
        <v>0</v>
      </c>
      <c r="Z3218">
        <v>103.76</v>
      </c>
      <c r="AA3218">
        <v>40.675594</v>
      </c>
      <c r="AB3218">
        <v>-73.94502900000001</v>
      </c>
      <c r="AD3218" t="s">
        <v>10840</v>
      </c>
      <c r="AG3218" t="s">
        <v>10858</v>
      </c>
      <c r="AH3218" t="s">
        <v>10862</v>
      </c>
      <c r="AI3218">
        <v>239</v>
      </c>
      <c r="AJ3218" t="s">
        <v>10213</v>
      </c>
      <c r="AL3218">
        <v>0</v>
      </c>
      <c r="AM3218" t="s">
        <v>10888</v>
      </c>
      <c r="AN3218" t="s">
        <v>10912</v>
      </c>
      <c r="AO3218" t="s">
        <v>11007</v>
      </c>
      <c r="AP3218" t="s">
        <v>11052</v>
      </c>
      <c r="AR3218" t="s">
        <v>11255</v>
      </c>
      <c r="AS3218" t="s">
        <v>11595</v>
      </c>
      <c r="BA3218" t="s">
        <v>11742</v>
      </c>
      <c r="BB3218">
        <v>0</v>
      </c>
      <c r="BC3218">
        <v>0</v>
      </c>
      <c r="BD3218">
        <v>0</v>
      </c>
      <c r="BE3218">
        <v>0</v>
      </c>
      <c r="BF3218">
        <v>7</v>
      </c>
      <c r="BG3218">
        <v>0</v>
      </c>
    </row>
    <row r="3219" spans="1:59">
      <c r="A3219" s="1">
        <f>HYPERLINK("https://lsnyc.legalserver.org/matter/dynamic-profile/view/1907278","19-1907278")</f>
        <v>0</v>
      </c>
      <c r="B3219" t="s">
        <v>2704</v>
      </c>
      <c r="C3219" t="s">
        <v>7488</v>
      </c>
      <c r="D3219" t="s">
        <v>9926</v>
      </c>
      <c r="E3219" t="s">
        <v>10075</v>
      </c>
      <c r="F3219">
        <v>10453</v>
      </c>
      <c r="G3219" t="s">
        <v>10090</v>
      </c>
      <c r="H3219" t="s">
        <v>10129</v>
      </c>
      <c r="I3219" t="s">
        <v>10168</v>
      </c>
      <c r="J3219" t="s">
        <v>10210</v>
      </c>
      <c r="K3219" t="s">
        <v>10218</v>
      </c>
      <c r="L3219" t="s">
        <v>10141</v>
      </c>
      <c r="M3219" t="s">
        <v>10336</v>
      </c>
      <c r="N3219" t="s">
        <v>10671</v>
      </c>
      <c r="P3219" t="s">
        <v>10754</v>
      </c>
      <c r="Q3219" t="s">
        <v>10777</v>
      </c>
      <c r="R3219" t="s">
        <v>10823</v>
      </c>
      <c r="T3219">
        <v>32000</v>
      </c>
      <c r="U3219">
        <v>2666.67</v>
      </c>
      <c r="V3219">
        <v>49</v>
      </c>
      <c r="W3219">
        <v>1</v>
      </c>
      <c r="X3219">
        <v>1</v>
      </c>
      <c r="Y3219" t="s">
        <v>10829</v>
      </c>
      <c r="Z3219">
        <v>189.24</v>
      </c>
      <c r="AA3219">
        <v>40.848471</v>
      </c>
      <c r="AB3219">
        <v>-73.923536</v>
      </c>
      <c r="AD3219" t="s">
        <v>10839</v>
      </c>
      <c r="AG3219" t="s">
        <v>10858</v>
      </c>
      <c r="AH3219" t="s">
        <v>10861</v>
      </c>
      <c r="AI3219">
        <v>234</v>
      </c>
      <c r="AJ3219" t="s">
        <v>10214</v>
      </c>
      <c r="AK3219" t="s">
        <v>10882</v>
      </c>
      <c r="AL3219">
        <v>1.1</v>
      </c>
      <c r="AM3219" t="s">
        <v>10887</v>
      </c>
      <c r="AN3219" t="s">
        <v>10929</v>
      </c>
      <c r="AO3219" t="s">
        <v>11013</v>
      </c>
      <c r="AP3219" t="s">
        <v>11055</v>
      </c>
      <c r="AR3219" t="s">
        <v>11262</v>
      </c>
      <c r="AS3219" t="s">
        <v>9926</v>
      </c>
      <c r="AT3219" t="s">
        <v>11641</v>
      </c>
      <c r="AX3219" t="s">
        <v>10838</v>
      </c>
      <c r="AY3219" t="s">
        <v>10829</v>
      </c>
      <c r="AZ3219" t="s">
        <v>11683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</row>
    <row r="3220" spans="1:59">
      <c r="A3220" s="1">
        <f>HYPERLINK("https://lsnyc.legalserver.org/matter/dynamic-profile/view/1907279","19-1907279")</f>
        <v>0</v>
      </c>
      <c r="B3220" t="s">
        <v>2705</v>
      </c>
      <c r="C3220" t="s">
        <v>7489</v>
      </c>
      <c r="D3220" t="s">
        <v>9929</v>
      </c>
      <c r="E3220" t="s">
        <v>10075</v>
      </c>
      <c r="F3220">
        <v>10301</v>
      </c>
      <c r="G3220" t="s">
        <v>10088</v>
      </c>
      <c r="H3220" t="s">
        <v>10129</v>
      </c>
      <c r="I3220" t="s">
        <v>10168</v>
      </c>
      <c r="J3220" t="s">
        <v>10208</v>
      </c>
      <c r="K3220" t="s">
        <v>10217</v>
      </c>
      <c r="M3220" t="s">
        <v>10377</v>
      </c>
      <c r="N3220" t="s">
        <v>10729</v>
      </c>
      <c r="P3220" t="s">
        <v>10754</v>
      </c>
      <c r="Q3220" t="s">
        <v>10766</v>
      </c>
      <c r="R3220" t="s">
        <v>10824</v>
      </c>
      <c r="T3220">
        <v>23400</v>
      </c>
      <c r="U3220">
        <v>1950</v>
      </c>
      <c r="V3220">
        <v>21</v>
      </c>
      <c r="W3220">
        <v>1</v>
      </c>
      <c r="X3220">
        <v>0</v>
      </c>
      <c r="Z3220">
        <v>187.35</v>
      </c>
      <c r="AA3220">
        <v>40.643092</v>
      </c>
      <c r="AB3220">
        <v>-74.097132</v>
      </c>
      <c r="AD3220" t="s">
        <v>10839</v>
      </c>
      <c r="AG3220" t="s">
        <v>10858</v>
      </c>
      <c r="AH3220" t="s">
        <v>10861</v>
      </c>
      <c r="AI3220">
        <v>234</v>
      </c>
      <c r="AJ3220" t="s">
        <v>10214</v>
      </c>
      <c r="AL3220">
        <v>1.5</v>
      </c>
      <c r="AM3220" t="s">
        <v>10883</v>
      </c>
      <c r="AN3220" t="s">
        <v>10913</v>
      </c>
      <c r="AO3220" t="s">
        <v>11006</v>
      </c>
      <c r="AP3220" t="s">
        <v>11051</v>
      </c>
      <c r="AR3220" t="s">
        <v>11257</v>
      </c>
      <c r="AS3220" t="s">
        <v>11593</v>
      </c>
      <c r="AT3220" t="s">
        <v>11641</v>
      </c>
      <c r="AX3220" t="s">
        <v>10838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</row>
    <row r="3221" spans="1:59">
      <c r="A3221" s="1">
        <f>HYPERLINK("https://lsnyc.legalserver.org/matter/dynamic-profile/view/1907280","19-1907280")</f>
        <v>0</v>
      </c>
      <c r="B3221" t="s">
        <v>2706</v>
      </c>
      <c r="C3221" t="s">
        <v>7490</v>
      </c>
      <c r="D3221" t="s">
        <v>9926</v>
      </c>
      <c r="E3221" t="s">
        <v>10075</v>
      </c>
      <c r="F3221">
        <v>10468</v>
      </c>
      <c r="G3221" t="s">
        <v>10090</v>
      </c>
      <c r="H3221" t="s">
        <v>10129</v>
      </c>
      <c r="I3221" t="s">
        <v>10168</v>
      </c>
      <c r="J3221" t="s">
        <v>10210</v>
      </c>
      <c r="K3221" t="s">
        <v>10218</v>
      </c>
      <c r="L3221" t="s">
        <v>10120</v>
      </c>
      <c r="M3221" t="s">
        <v>10524</v>
      </c>
      <c r="N3221" t="s">
        <v>10651</v>
      </c>
      <c r="P3221" t="s">
        <v>10749</v>
      </c>
      <c r="Q3221" t="s">
        <v>10765</v>
      </c>
      <c r="R3221" t="s">
        <v>10824</v>
      </c>
      <c r="T3221">
        <v>20376</v>
      </c>
      <c r="U3221">
        <v>1698</v>
      </c>
      <c r="V3221">
        <v>61</v>
      </c>
      <c r="W3221">
        <v>1</v>
      </c>
      <c r="X3221">
        <v>0</v>
      </c>
      <c r="Y3221" t="s">
        <v>10829</v>
      </c>
      <c r="Z3221">
        <v>163.14</v>
      </c>
      <c r="AA3221">
        <v>40.876879</v>
      </c>
      <c r="AB3221">
        <v>-73.887021</v>
      </c>
      <c r="AC3221" t="s">
        <v>10837</v>
      </c>
      <c r="AD3221" t="s">
        <v>10840</v>
      </c>
      <c r="AG3221" t="s">
        <v>10858</v>
      </c>
      <c r="AH3221" t="s">
        <v>10871</v>
      </c>
      <c r="AI3221">
        <v>234</v>
      </c>
      <c r="AJ3221" t="s">
        <v>10214</v>
      </c>
      <c r="AK3221" t="s">
        <v>10838</v>
      </c>
      <c r="AL3221">
        <v>1.41</v>
      </c>
      <c r="AM3221" t="s">
        <v>10887</v>
      </c>
      <c r="AN3221" t="s">
        <v>10907</v>
      </c>
      <c r="AO3221" t="s">
        <v>11010</v>
      </c>
      <c r="AP3221" t="s">
        <v>11057</v>
      </c>
      <c r="AR3221" t="s">
        <v>11317</v>
      </c>
      <c r="AS3221" t="s">
        <v>9926</v>
      </c>
      <c r="AT3221" t="s">
        <v>11642</v>
      </c>
      <c r="AX3221" t="s">
        <v>10838</v>
      </c>
      <c r="AY3221" t="s">
        <v>10829</v>
      </c>
      <c r="AZ3221" t="s">
        <v>11681</v>
      </c>
      <c r="BA3221" t="s">
        <v>11741</v>
      </c>
      <c r="BB3221">
        <v>0</v>
      </c>
      <c r="BC3221">
        <v>0</v>
      </c>
      <c r="BD3221">
        <v>0</v>
      </c>
      <c r="BE3221">
        <v>0</v>
      </c>
      <c r="BF3221">
        <v>1</v>
      </c>
      <c r="BG3221">
        <v>0</v>
      </c>
    </row>
    <row r="3222" spans="1:59">
      <c r="A3222" s="1">
        <f>HYPERLINK("https://lsnyc.legalserver.org/matter/dynamic-profile/view/1907281","19-1907281")</f>
        <v>0</v>
      </c>
      <c r="B3222" t="s">
        <v>2707</v>
      </c>
      <c r="C3222" t="s">
        <v>7491</v>
      </c>
      <c r="D3222" t="s">
        <v>9937</v>
      </c>
      <c r="E3222" t="s">
        <v>10075</v>
      </c>
      <c r="F3222">
        <v>11412</v>
      </c>
      <c r="G3222" t="s">
        <v>10092</v>
      </c>
      <c r="H3222" t="s">
        <v>10129</v>
      </c>
      <c r="I3222" t="s">
        <v>10168</v>
      </c>
      <c r="J3222" t="s">
        <v>10212</v>
      </c>
      <c r="K3222" t="s">
        <v>10217</v>
      </c>
      <c r="M3222" t="s">
        <v>10491</v>
      </c>
      <c r="N3222" t="s">
        <v>10695</v>
      </c>
      <c r="P3222" t="s">
        <v>10749</v>
      </c>
      <c r="Q3222" t="s">
        <v>10765</v>
      </c>
      <c r="R3222" t="s">
        <v>10824</v>
      </c>
      <c r="T3222">
        <v>23000</v>
      </c>
      <c r="U3222">
        <v>1916.67</v>
      </c>
      <c r="V3222">
        <v>33</v>
      </c>
      <c r="W3222">
        <v>1</v>
      </c>
      <c r="X3222">
        <v>0</v>
      </c>
      <c r="Z3222">
        <v>184.15</v>
      </c>
      <c r="AA3222">
        <v>40.699449</v>
      </c>
      <c r="AB3222">
        <v>-73.76585300000001</v>
      </c>
      <c r="AD3222" t="s">
        <v>10840</v>
      </c>
      <c r="AG3222" t="s">
        <v>10858</v>
      </c>
      <c r="AH3222" t="s">
        <v>10862</v>
      </c>
      <c r="AI3222">
        <v>237</v>
      </c>
      <c r="AJ3222" t="s">
        <v>10212</v>
      </c>
      <c r="AL3222">
        <v>3.4</v>
      </c>
      <c r="AM3222" t="s">
        <v>10892</v>
      </c>
      <c r="AN3222" t="s">
        <v>10955</v>
      </c>
      <c r="AO3222" t="s">
        <v>11020</v>
      </c>
      <c r="AP3222" t="s">
        <v>11075</v>
      </c>
      <c r="AR3222" t="s">
        <v>11257</v>
      </c>
      <c r="AS3222" t="s">
        <v>11594</v>
      </c>
      <c r="AX3222" t="s">
        <v>10838</v>
      </c>
      <c r="BA3222" t="s">
        <v>11741</v>
      </c>
      <c r="BB3222">
        <v>0</v>
      </c>
      <c r="BC3222">
        <v>0</v>
      </c>
      <c r="BD3222">
        <v>0</v>
      </c>
      <c r="BE3222">
        <v>0</v>
      </c>
      <c r="BF3222">
        <v>1</v>
      </c>
      <c r="BG3222">
        <v>0</v>
      </c>
    </row>
    <row r="3223" spans="1:59">
      <c r="A3223" s="1">
        <f>HYPERLINK("https://lsnyc.legalserver.org/matter/dynamic-profile/view/1907282","19-1907282")</f>
        <v>0</v>
      </c>
      <c r="B3223" t="s">
        <v>2708</v>
      </c>
      <c r="C3223" t="s">
        <v>7492</v>
      </c>
      <c r="D3223" t="s">
        <v>9926</v>
      </c>
      <c r="E3223" t="s">
        <v>10075</v>
      </c>
      <c r="F3223">
        <v>10452</v>
      </c>
      <c r="G3223" t="s">
        <v>10090</v>
      </c>
      <c r="H3223" t="s">
        <v>10129</v>
      </c>
      <c r="I3223" t="s">
        <v>10169</v>
      </c>
      <c r="J3223" t="s">
        <v>10210</v>
      </c>
      <c r="K3223" t="s">
        <v>10217</v>
      </c>
      <c r="M3223" t="s">
        <v>10593</v>
      </c>
      <c r="N3223" t="s">
        <v>10677</v>
      </c>
      <c r="P3223" t="s">
        <v>10757</v>
      </c>
      <c r="Q3223" t="s">
        <v>10815</v>
      </c>
      <c r="R3223" t="s">
        <v>10823</v>
      </c>
      <c r="T3223">
        <v>0</v>
      </c>
      <c r="U3223">
        <v>0</v>
      </c>
      <c r="V3223">
        <v>65</v>
      </c>
      <c r="W3223">
        <v>2</v>
      </c>
      <c r="X3223">
        <v>0</v>
      </c>
      <c r="Z3223">
        <v>0</v>
      </c>
      <c r="AA3223">
        <v>40.840745</v>
      </c>
      <c r="AB3223">
        <v>-73.92649900000001</v>
      </c>
      <c r="AD3223" t="s">
        <v>10839</v>
      </c>
      <c r="AF3223" t="s">
        <v>10843</v>
      </c>
      <c r="AG3223" t="s">
        <v>10859</v>
      </c>
      <c r="AH3223" t="s">
        <v>10861</v>
      </c>
      <c r="AI3223">
        <v>234</v>
      </c>
      <c r="AJ3223" t="s">
        <v>10214</v>
      </c>
      <c r="AL3223">
        <v>19.25</v>
      </c>
      <c r="AM3223" t="s">
        <v>10884</v>
      </c>
      <c r="AN3223" t="s">
        <v>10929</v>
      </c>
      <c r="AO3223" t="s">
        <v>11013</v>
      </c>
      <c r="AP3223" t="s">
        <v>11055</v>
      </c>
      <c r="AR3223" t="s">
        <v>11267</v>
      </c>
      <c r="AS3223" t="s">
        <v>9926</v>
      </c>
      <c r="AT3223" t="s">
        <v>11641</v>
      </c>
      <c r="AX3223" t="s">
        <v>10838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</row>
    <row r="3224" spans="1:59">
      <c r="A3224" s="1">
        <f>HYPERLINK("https://lsnyc.legalserver.org/matter/dynamic-profile/view/1907283","19-1907283")</f>
        <v>0</v>
      </c>
      <c r="B3224" t="s">
        <v>2709</v>
      </c>
      <c r="C3224" t="s">
        <v>7493</v>
      </c>
      <c r="D3224" t="s">
        <v>9925</v>
      </c>
      <c r="E3224" t="s">
        <v>10075</v>
      </c>
      <c r="F3224">
        <v>10034</v>
      </c>
      <c r="G3224" t="s">
        <v>10089</v>
      </c>
      <c r="H3224" t="s">
        <v>10129</v>
      </c>
      <c r="I3224" t="s">
        <v>10169</v>
      </c>
      <c r="J3224" t="s">
        <v>10209</v>
      </c>
      <c r="K3224" t="s">
        <v>10217</v>
      </c>
      <c r="M3224" t="s">
        <v>10483</v>
      </c>
      <c r="N3224" t="s">
        <v>10650</v>
      </c>
      <c r="P3224" t="s">
        <v>10749</v>
      </c>
      <c r="Q3224" t="s">
        <v>10765</v>
      </c>
      <c r="R3224" t="s">
        <v>10823</v>
      </c>
      <c r="T3224">
        <v>8892</v>
      </c>
      <c r="U3224">
        <v>741</v>
      </c>
      <c r="V3224">
        <v>56</v>
      </c>
      <c r="W3224">
        <v>3</v>
      </c>
      <c r="X3224">
        <v>0</v>
      </c>
      <c r="Z3224">
        <v>41.69</v>
      </c>
      <c r="AA3224">
        <v>40.868404</v>
      </c>
      <c r="AB3224">
        <v>-73.921296</v>
      </c>
      <c r="AD3224" t="s">
        <v>10839</v>
      </c>
      <c r="AG3224" t="s">
        <v>10858</v>
      </c>
      <c r="AH3224" t="s">
        <v>10862</v>
      </c>
      <c r="AI3224">
        <v>236</v>
      </c>
      <c r="AJ3224" t="s">
        <v>10209</v>
      </c>
      <c r="AL3224">
        <v>1.5</v>
      </c>
      <c r="AM3224" t="s">
        <v>10887</v>
      </c>
      <c r="AN3224" t="s">
        <v>10937</v>
      </c>
      <c r="AO3224" t="s">
        <v>11019</v>
      </c>
      <c r="AP3224" t="s">
        <v>11074</v>
      </c>
      <c r="AR3224" t="s">
        <v>11263</v>
      </c>
      <c r="AS3224" t="s">
        <v>9925</v>
      </c>
      <c r="AT3224" t="s">
        <v>11641</v>
      </c>
      <c r="AX3224" t="s">
        <v>10838</v>
      </c>
      <c r="BA3224" t="s">
        <v>11742</v>
      </c>
      <c r="BB3224">
        <v>0</v>
      </c>
      <c r="BC3224">
        <v>0</v>
      </c>
      <c r="BD3224">
        <v>0</v>
      </c>
      <c r="BE3224">
        <v>0</v>
      </c>
      <c r="BF3224">
        <v>7</v>
      </c>
      <c r="BG3224">
        <v>0</v>
      </c>
    </row>
    <row r="3225" spans="1:59">
      <c r="A3225" s="1">
        <f>HYPERLINK("https://lsnyc.legalserver.org/matter/dynamic-profile/view/1907284","19-1907284")</f>
        <v>0</v>
      </c>
      <c r="B3225" t="s">
        <v>2710</v>
      </c>
      <c r="C3225" t="s">
        <v>7494</v>
      </c>
      <c r="D3225" t="s">
        <v>9928</v>
      </c>
      <c r="E3225" t="s">
        <v>10075</v>
      </c>
      <c r="F3225">
        <v>11229</v>
      </c>
      <c r="G3225" t="s">
        <v>10093</v>
      </c>
      <c r="H3225" t="s">
        <v>10129</v>
      </c>
      <c r="I3225" t="s">
        <v>10168</v>
      </c>
      <c r="J3225" t="s">
        <v>10213</v>
      </c>
      <c r="K3225" t="s">
        <v>10218</v>
      </c>
      <c r="L3225" t="s">
        <v>10149</v>
      </c>
      <c r="M3225" t="s">
        <v>10358</v>
      </c>
      <c r="N3225" t="s">
        <v>10671</v>
      </c>
      <c r="P3225" t="s">
        <v>10752</v>
      </c>
      <c r="Q3225" t="s">
        <v>10783</v>
      </c>
      <c r="R3225" t="s">
        <v>10822</v>
      </c>
      <c r="T3225">
        <v>10336</v>
      </c>
      <c r="U3225">
        <v>861.33</v>
      </c>
      <c r="V3225">
        <v>0</v>
      </c>
      <c r="W3225">
        <v>1</v>
      </c>
      <c r="X3225">
        <v>0</v>
      </c>
      <c r="Y3225" t="s">
        <v>10829</v>
      </c>
      <c r="Z3225">
        <v>82.75</v>
      </c>
      <c r="AA3225">
        <v>40.600092</v>
      </c>
      <c r="AB3225">
        <v>-73.953019</v>
      </c>
      <c r="AD3225" t="s">
        <v>10839</v>
      </c>
      <c r="AG3225" t="s">
        <v>10858</v>
      </c>
      <c r="AH3225" t="s">
        <v>10861</v>
      </c>
      <c r="AI3225">
        <v>234</v>
      </c>
      <c r="AJ3225" t="s">
        <v>10214</v>
      </c>
      <c r="AK3225" t="s">
        <v>10882</v>
      </c>
      <c r="AL3225">
        <v>2</v>
      </c>
      <c r="AM3225" t="s">
        <v>10888</v>
      </c>
      <c r="AN3225" t="s">
        <v>10957</v>
      </c>
      <c r="AO3225" t="s">
        <v>11012</v>
      </c>
      <c r="AP3225" t="s">
        <v>11092</v>
      </c>
      <c r="AQ3225" t="s">
        <v>11184</v>
      </c>
      <c r="AR3225" t="s">
        <v>11452</v>
      </c>
      <c r="AS3225" t="s">
        <v>11595</v>
      </c>
      <c r="AT3225" t="s">
        <v>11641</v>
      </c>
      <c r="AX3225" t="s">
        <v>10838</v>
      </c>
      <c r="AY3225" t="s">
        <v>10829</v>
      </c>
      <c r="AZ3225" t="s">
        <v>11680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</row>
    <row r="3226" spans="1:59">
      <c r="A3226" s="1">
        <f>HYPERLINK("https://lsnyc.legalserver.org/matter/dynamic-profile/view/1907285","19-1907285")</f>
        <v>0</v>
      </c>
      <c r="B3226" t="s">
        <v>2711</v>
      </c>
      <c r="C3226" t="s">
        <v>7495</v>
      </c>
      <c r="D3226" t="s">
        <v>9936</v>
      </c>
      <c r="E3226" t="s">
        <v>10075</v>
      </c>
      <c r="F3226">
        <v>11106</v>
      </c>
      <c r="G3226" t="s">
        <v>10092</v>
      </c>
      <c r="H3226" t="s">
        <v>10129</v>
      </c>
      <c r="I3226" t="s">
        <v>10168</v>
      </c>
      <c r="J3226" t="s">
        <v>10212</v>
      </c>
      <c r="K3226" t="s">
        <v>10217</v>
      </c>
      <c r="M3226" t="s">
        <v>10329</v>
      </c>
      <c r="N3226" t="s">
        <v>10711</v>
      </c>
      <c r="P3226" t="s">
        <v>10749</v>
      </c>
      <c r="Q3226" t="s">
        <v>10765</v>
      </c>
      <c r="R3226" t="s">
        <v>10825</v>
      </c>
      <c r="T3226">
        <v>0</v>
      </c>
      <c r="U3226">
        <v>0</v>
      </c>
      <c r="V3226">
        <v>42</v>
      </c>
      <c r="W3226">
        <v>1</v>
      </c>
      <c r="X3226">
        <v>1</v>
      </c>
      <c r="Z3226">
        <v>0</v>
      </c>
      <c r="AA3226">
        <v>40.759057</v>
      </c>
      <c r="AB3226">
        <v>-73.92850300000001</v>
      </c>
      <c r="AD3226" t="s">
        <v>10839</v>
      </c>
      <c r="AG3226" t="s">
        <v>10858</v>
      </c>
      <c r="AH3226" t="s">
        <v>10862</v>
      </c>
      <c r="AI3226">
        <v>237</v>
      </c>
      <c r="AJ3226" t="s">
        <v>10212</v>
      </c>
      <c r="AL3226">
        <v>3.65</v>
      </c>
      <c r="AM3226" t="s">
        <v>10891</v>
      </c>
      <c r="AN3226" t="s">
        <v>10935</v>
      </c>
      <c r="AO3226" t="s">
        <v>11003</v>
      </c>
      <c r="AP3226" t="s">
        <v>11047</v>
      </c>
      <c r="AR3226" t="s">
        <v>11267</v>
      </c>
      <c r="AS3226" t="s">
        <v>11594</v>
      </c>
      <c r="BA3226" t="s">
        <v>11741</v>
      </c>
      <c r="BB3226">
        <v>0</v>
      </c>
      <c r="BC3226">
        <v>0</v>
      </c>
      <c r="BD3226">
        <v>0</v>
      </c>
      <c r="BE3226">
        <v>0</v>
      </c>
      <c r="BF3226">
        <v>1</v>
      </c>
      <c r="BG3226">
        <v>0</v>
      </c>
    </row>
    <row r="3227" spans="1:59">
      <c r="A3227" s="1">
        <f>HYPERLINK("https://lsnyc.legalserver.org/matter/dynamic-profile/view/1907286","19-1907286")</f>
        <v>0</v>
      </c>
      <c r="B3227" t="s">
        <v>1976</v>
      </c>
      <c r="C3227" t="s">
        <v>6769</v>
      </c>
      <c r="D3227" t="s">
        <v>9925</v>
      </c>
      <c r="E3227" t="s">
        <v>10075</v>
      </c>
      <c r="F3227">
        <v>10026</v>
      </c>
      <c r="G3227" t="s">
        <v>10089</v>
      </c>
      <c r="H3227" t="s">
        <v>10129</v>
      </c>
      <c r="I3227" t="s">
        <v>10168</v>
      </c>
      <c r="J3227" t="s">
        <v>10209</v>
      </c>
      <c r="K3227" t="s">
        <v>10217</v>
      </c>
      <c r="M3227" t="s">
        <v>10301</v>
      </c>
      <c r="N3227" t="s">
        <v>10665</v>
      </c>
      <c r="P3227" t="s">
        <v>10751</v>
      </c>
      <c r="Q3227" t="s">
        <v>10773</v>
      </c>
      <c r="R3227" t="s">
        <v>10823</v>
      </c>
      <c r="T3227">
        <v>8320</v>
      </c>
      <c r="U3227">
        <v>693.33</v>
      </c>
      <c r="V3227">
        <v>45</v>
      </c>
      <c r="W3227">
        <v>2</v>
      </c>
      <c r="X3227">
        <v>1</v>
      </c>
      <c r="Z3227">
        <v>39.01</v>
      </c>
      <c r="AA3227">
        <v>40.798123</v>
      </c>
      <c r="AB3227">
        <v>-73.95144500000001</v>
      </c>
      <c r="AC3227" t="s">
        <v>10837</v>
      </c>
      <c r="AD3227" t="s">
        <v>10840</v>
      </c>
      <c r="AG3227" t="s">
        <v>10858</v>
      </c>
      <c r="AH3227" t="s">
        <v>10863</v>
      </c>
      <c r="AI3227">
        <v>236</v>
      </c>
      <c r="AJ3227" t="s">
        <v>10209</v>
      </c>
      <c r="AL3227">
        <v>1.5</v>
      </c>
      <c r="AM3227" t="s">
        <v>10887</v>
      </c>
      <c r="AN3227" t="s">
        <v>10926</v>
      </c>
      <c r="AO3227" t="s">
        <v>11016</v>
      </c>
      <c r="AP3227" t="s">
        <v>11076</v>
      </c>
      <c r="AQ3227" t="s">
        <v>11115</v>
      </c>
      <c r="AR3227" t="s">
        <v>11400</v>
      </c>
      <c r="AS3227" t="s">
        <v>9925</v>
      </c>
      <c r="AT3227" t="s">
        <v>11642</v>
      </c>
      <c r="BA3227" t="s">
        <v>11741</v>
      </c>
      <c r="BB3227">
        <v>0</v>
      </c>
      <c r="BC3227">
        <v>0</v>
      </c>
      <c r="BD3227">
        <v>0</v>
      </c>
      <c r="BE3227">
        <v>0</v>
      </c>
      <c r="BF3227">
        <v>1</v>
      </c>
      <c r="BG3227">
        <v>0</v>
      </c>
    </row>
    <row r="3228" spans="1:59">
      <c r="A3228" s="1">
        <f>HYPERLINK("https://lsnyc.legalserver.org/matter/dynamic-profile/view/1907287","19-1907287")</f>
        <v>0</v>
      </c>
      <c r="B3228" t="s">
        <v>2712</v>
      </c>
      <c r="C3228" t="s">
        <v>7496</v>
      </c>
      <c r="D3228" t="s">
        <v>9925</v>
      </c>
      <c r="E3228" t="s">
        <v>10075</v>
      </c>
      <c r="F3228">
        <v>10025</v>
      </c>
      <c r="G3228" t="s">
        <v>10089</v>
      </c>
      <c r="H3228" t="s">
        <v>10129</v>
      </c>
      <c r="I3228" t="s">
        <v>10168</v>
      </c>
      <c r="J3228" t="s">
        <v>10209</v>
      </c>
      <c r="K3228" t="s">
        <v>10217</v>
      </c>
      <c r="M3228" t="s">
        <v>10341</v>
      </c>
      <c r="N3228" t="s">
        <v>10722</v>
      </c>
      <c r="P3228" t="s">
        <v>10749</v>
      </c>
      <c r="Q3228" t="s">
        <v>10767</v>
      </c>
      <c r="R3228" t="s">
        <v>10823</v>
      </c>
      <c r="T3228">
        <v>6500</v>
      </c>
      <c r="U3228">
        <v>541.67</v>
      </c>
      <c r="V3228">
        <v>37</v>
      </c>
      <c r="W3228">
        <v>1</v>
      </c>
      <c r="X3228">
        <v>2</v>
      </c>
      <c r="Z3228">
        <v>30.47</v>
      </c>
      <c r="AA3228">
        <v>40.791065</v>
      </c>
      <c r="AB3228">
        <v>-73.96996799999999</v>
      </c>
      <c r="AD3228" t="s">
        <v>10839</v>
      </c>
      <c r="AG3228" t="s">
        <v>10858</v>
      </c>
      <c r="AH3228" t="s">
        <v>10862</v>
      </c>
      <c r="AI3228">
        <v>236</v>
      </c>
      <c r="AJ3228" t="s">
        <v>10209</v>
      </c>
      <c r="AL3228">
        <v>3</v>
      </c>
      <c r="AM3228" t="s">
        <v>10894</v>
      </c>
      <c r="AN3228" t="s">
        <v>10953</v>
      </c>
      <c r="AO3228" t="s">
        <v>11016</v>
      </c>
      <c r="AP3228" t="s">
        <v>11089</v>
      </c>
      <c r="AR3228" t="s">
        <v>11344</v>
      </c>
      <c r="AS3228" t="s">
        <v>9925</v>
      </c>
      <c r="AT3228" t="s">
        <v>11641</v>
      </c>
      <c r="AX3228" t="s">
        <v>10838</v>
      </c>
      <c r="BA3228" t="s">
        <v>11737</v>
      </c>
      <c r="BB3228">
        <v>0</v>
      </c>
      <c r="BC3228">
        <v>0</v>
      </c>
      <c r="BD3228">
        <v>0</v>
      </c>
      <c r="BE3228">
        <v>0</v>
      </c>
      <c r="BF3228">
        <v>3</v>
      </c>
      <c r="BG3228">
        <v>0</v>
      </c>
    </row>
    <row r="3229" spans="1:59">
      <c r="A3229" s="1">
        <f>HYPERLINK("https://lsnyc.legalserver.org/matter/dynamic-profile/view/1907288","19-1907288")</f>
        <v>0</v>
      </c>
      <c r="B3229" t="s">
        <v>2155</v>
      </c>
      <c r="C3229" t="s">
        <v>7497</v>
      </c>
      <c r="D3229" t="s">
        <v>9925</v>
      </c>
      <c r="E3229" t="s">
        <v>10075</v>
      </c>
      <c r="F3229">
        <v>10025</v>
      </c>
      <c r="G3229" t="s">
        <v>10089</v>
      </c>
      <c r="H3229" t="s">
        <v>10129</v>
      </c>
      <c r="I3229" t="s">
        <v>10168</v>
      </c>
      <c r="J3229" t="s">
        <v>10209</v>
      </c>
      <c r="K3229" t="s">
        <v>10217</v>
      </c>
      <c r="M3229" t="s">
        <v>10440</v>
      </c>
      <c r="N3229" t="s">
        <v>10691</v>
      </c>
      <c r="P3229" t="s">
        <v>10749</v>
      </c>
      <c r="Q3229" t="s">
        <v>10767</v>
      </c>
      <c r="R3229" t="s">
        <v>10822</v>
      </c>
      <c r="T3229">
        <v>10464</v>
      </c>
      <c r="U3229">
        <v>872</v>
      </c>
      <c r="V3229">
        <v>88</v>
      </c>
      <c r="W3229">
        <v>1</v>
      </c>
      <c r="X3229">
        <v>0</v>
      </c>
      <c r="Z3229">
        <v>83.78</v>
      </c>
      <c r="AA3229">
        <v>40.792478</v>
      </c>
      <c r="AB3229">
        <v>-73.97212</v>
      </c>
      <c r="AD3229" t="s">
        <v>10840</v>
      </c>
      <c r="AG3229" t="s">
        <v>10858</v>
      </c>
      <c r="AH3229" t="s">
        <v>10861</v>
      </c>
      <c r="AI3229">
        <v>234</v>
      </c>
      <c r="AJ3229" t="s">
        <v>10214</v>
      </c>
      <c r="AL3229">
        <v>1.5</v>
      </c>
      <c r="AM3229" t="s">
        <v>10894</v>
      </c>
      <c r="AN3229" t="s">
        <v>10953</v>
      </c>
      <c r="AO3229" t="s">
        <v>11016</v>
      </c>
      <c r="AP3229" t="s">
        <v>11089</v>
      </c>
      <c r="AR3229" t="s">
        <v>11274</v>
      </c>
      <c r="AS3229" t="s">
        <v>9925</v>
      </c>
      <c r="AT3229" t="s">
        <v>11642</v>
      </c>
      <c r="AX3229" t="s">
        <v>10838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</row>
    <row r="3230" spans="1:59">
      <c r="A3230" s="1">
        <f>HYPERLINK("https://lsnyc.legalserver.org/matter/dynamic-profile/view/1907289","19-1907289")</f>
        <v>0</v>
      </c>
      <c r="B3230" t="s">
        <v>2713</v>
      </c>
      <c r="C3230" t="s">
        <v>7498</v>
      </c>
      <c r="D3230" t="s">
        <v>9928</v>
      </c>
      <c r="E3230" t="s">
        <v>10075</v>
      </c>
      <c r="F3230">
        <v>11226</v>
      </c>
      <c r="G3230" t="s">
        <v>10093</v>
      </c>
      <c r="H3230" t="s">
        <v>10129</v>
      </c>
      <c r="I3230" t="s">
        <v>10168</v>
      </c>
      <c r="J3230" t="s">
        <v>10213</v>
      </c>
      <c r="K3230" t="s">
        <v>10218</v>
      </c>
      <c r="L3230" t="s">
        <v>10140</v>
      </c>
      <c r="M3230" t="s">
        <v>10420</v>
      </c>
      <c r="N3230" t="s">
        <v>10671</v>
      </c>
      <c r="P3230" t="s">
        <v>10753</v>
      </c>
      <c r="Q3230" t="s">
        <v>10763</v>
      </c>
      <c r="R3230" t="s">
        <v>10821</v>
      </c>
      <c r="T3230">
        <v>18720</v>
      </c>
      <c r="U3230">
        <v>1560</v>
      </c>
      <c r="V3230">
        <v>52</v>
      </c>
      <c r="W3230">
        <v>1</v>
      </c>
      <c r="X3230">
        <v>0</v>
      </c>
      <c r="Y3230" t="s">
        <v>10829</v>
      </c>
      <c r="Z3230">
        <v>149.88</v>
      </c>
      <c r="AA3230">
        <v>40.65576</v>
      </c>
      <c r="AB3230">
        <v>-73.95415</v>
      </c>
      <c r="AD3230" t="s">
        <v>10840</v>
      </c>
      <c r="AF3230" t="s">
        <v>10843</v>
      </c>
      <c r="AG3230" t="s">
        <v>10859</v>
      </c>
      <c r="AH3230" t="s">
        <v>10861</v>
      </c>
      <c r="AI3230">
        <v>234</v>
      </c>
      <c r="AJ3230" t="s">
        <v>10214</v>
      </c>
      <c r="AK3230" t="s">
        <v>10838</v>
      </c>
      <c r="AL3230">
        <v>2.6</v>
      </c>
      <c r="AM3230" t="s">
        <v>10888</v>
      </c>
      <c r="AN3230" t="s">
        <v>10912</v>
      </c>
      <c r="AO3230" t="s">
        <v>11005</v>
      </c>
      <c r="AP3230" t="s">
        <v>11050</v>
      </c>
      <c r="AR3230" t="s">
        <v>11257</v>
      </c>
      <c r="AS3230" t="s">
        <v>11595</v>
      </c>
      <c r="AT3230" t="s">
        <v>11642</v>
      </c>
      <c r="AX3230" t="s">
        <v>10838</v>
      </c>
      <c r="AY3230" t="s">
        <v>10829</v>
      </c>
      <c r="AZ3230" t="s">
        <v>11709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</row>
    <row r="3231" spans="1:59">
      <c r="A3231" s="1">
        <f>HYPERLINK("https://lsnyc.legalserver.org/matter/dynamic-profile/view/1907290","19-1907290")</f>
        <v>0</v>
      </c>
      <c r="B3231" t="s">
        <v>2714</v>
      </c>
      <c r="C3231" t="s">
        <v>7499</v>
      </c>
      <c r="D3231" t="s">
        <v>9928</v>
      </c>
      <c r="E3231" t="s">
        <v>10075</v>
      </c>
      <c r="F3231">
        <v>11213</v>
      </c>
      <c r="G3231" t="s">
        <v>10093</v>
      </c>
      <c r="H3231" t="s">
        <v>10129</v>
      </c>
      <c r="I3231" t="s">
        <v>10168</v>
      </c>
      <c r="J3231" t="s">
        <v>10213</v>
      </c>
      <c r="K3231" t="s">
        <v>10218</v>
      </c>
      <c r="L3231" t="s">
        <v>10157</v>
      </c>
      <c r="M3231" t="s">
        <v>10290</v>
      </c>
      <c r="N3231" t="s">
        <v>10694</v>
      </c>
      <c r="P3231" t="s">
        <v>10751</v>
      </c>
      <c r="Q3231" t="s">
        <v>10773</v>
      </c>
      <c r="R3231" t="s">
        <v>10822</v>
      </c>
      <c r="T3231">
        <v>0</v>
      </c>
      <c r="U3231">
        <v>0</v>
      </c>
      <c r="V3231">
        <v>61</v>
      </c>
      <c r="W3231">
        <v>1</v>
      </c>
      <c r="X3231">
        <v>0</v>
      </c>
      <c r="Y3231" t="s">
        <v>10829</v>
      </c>
      <c r="Z3231">
        <v>0</v>
      </c>
      <c r="AA3231">
        <v>40.672596</v>
      </c>
      <c r="AB3231">
        <v>-73.924876</v>
      </c>
      <c r="AD3231" t="s">
        <v>10840</v>
      </c>
      <c r="AG3231" t="s">
        <v>10858</v>
      </c>
      <c r="AH3231" t="s">
        <v>10861</v>
      </c>
      <c r="AI3231">
        <v>234</v>
      </c>
      <c r="AJ3231" t="s">
        <v>10214</v>
      </c>
      <c r="AK3231" t="s">
        <v>10838</v>
      </c>
      <c r="AL3231">
        <v>5.35</v>
      </c>
      <c r="AM3231" t="s">
        <v>10888</v>
      </c>
      <c r="AN3231" t="s">
        <v>10922</v>
      </c>
      <c r="AO3231" t="s">
        <v>11007</v>
      </c>
      <c r="AP3231" t="s">
        <v>11064</v>
      </c>
      <c r="AR3231" t="s">
        <v>11279</v>
      </c>
      <c r="AS3231" t="s">
        <v>11595</v>
      </c>
      <c r="AT3231" t="s">
        <v>11642</v>
      </c>
      <c r="AX3231" t="s">
        <v>10838</v>
      </c>
      <c r="AY3231" t="s">
        <v>10829</v>
      </c>
      <c r="AZ3231" t="s">
        <v>11682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</row>
    <row r="3232" spans="1:59">
      <c r="A3232" s="1">
        <f>HYPERLINK("https://lsnyc.legalserver.org/matter/dynamic-profile/view/1907292","19-1907292")</f>
        <v>0</v>
      </c>
      <c r="B3232" t="s">
        <v>2715</v>
      </c>
      <c r="C3232" t="s">
        <v>7500</v>
      </c>
      <c r="D3232" t="s">
        <v>9926</v>
      </c>
      <c r="E3232" t="s">
        <v>10075</v>
      </c>
      <c r="F3232">
        <v>10467</v>
      </c>
      <c r="G3232" t="s">
        <v>10091</v>
      </c>
      <c r="H3232" t="s">
        <v>10129</v>
      </c>
      <c r="I3232" t="s">
        <v>10169</v>
      </c>
      <c r="J3232" t="s">
        <v>10214</v>
      </c>
      <c r="K3232" t="s">
        <v>10217</v>
      </c>
      <c r="M3232" t="s">
        <v>10286</v>
      </c>
      <c r="N3232" t="s">
        <v>10671</v>
      </c>
      <c r="P3232" t="s">
        <v>10751</v>
      </c>
      <c r="Q3232" t="s">
        <v>10780</v>
      </c>
      <c r="R3232" t="s">
        <v>10821</v>
      </c>
      <c r="T3232">
        <v>0</v>
      </c>
      <c r="U3232">
        <v>0</v>
      </c>
      <c r="V3232">
        <v>51</v>
      </c>
      <c r="W3232">
        <v>2</v>
      </c>
      <c r="X3232">
        <v>0</v>
      </c>
      <c r="Z3232">
        <v>0</v>
      </c>
      <c r="AA3232">
        <v>40.871751</v>
      </c>
      <c r="AB3232">
        <v>-73.87889</v>
      </c>
      <c r="AD3232" t="s">
        <v>10839</v>
      </c>
      <c r="AF3232" t="s">
        <v>10843</v>
      </c>
      <c r="AG3232" t="s">
        <v>10859</v>
      </c>
      <c r="AH3232" t="s">
        <v>10861</v>
      </c>
      <c r="AI3232">
        <v>234</v>
      </c>
      <c r="AJ3232" t="s">
        <v>10214</v>
      </c>
      <c r="AL3232">
        <v>0.5</v>
      </c>
      <c r="AM3232" t="s">
        <v>10887</v>
      </c>
      <c r="AN3232" t="s">
        <v>10938</v>
      </c>
      <c r="AO3232" t="s">
        <v>11010</v>
      </c>
      <c r="AP3232" t="s">
        <v>11057</v>
      </c>
      <c r="AR3232" t="s">
        <v>11279</v>
      </c>
      <c r="AS3232" t="s">
        <v>9926</v>
      </c>
      <c r="AT3232" t="s">
        <v>11641</v>
      </c>
      <c r="AX3232" t="s">
        <v>10838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</row>
    <row r="3233" spans="1:59">
      <c r="A3233" s="1">
        <f>HYPERLINK("https://lsnyc.legalserver.org/matter/dynamic-profile/view/1907293","19-1907293")</f>
        <v>0</v>
      </c>
      <c r="B3233" t="s">
        <v>1016</v>
      </c>
      <c r="C3233" t="s">
        <v>7501</v>
      </c>
      <c r="D3233" t="s">
        <v>9925</v>
      </c>
      <c r="E3233" t="s">
        <v>10075</v>
      </c>
      <c r="F3233">
        <v>10026</v>
      </c>
      <c r="G3233" t="s">
        <v>10089</v>
      </c>
      <c r="H3233" t="s">
        <v>10129</v>
      </c>
      <c r="I3233" t="s">
        <v>10168</v>
      </c>
      <c r="J3233" t="s">
        <v>10209</v>
      </c>
      <c r="K3233" t="s">
        <v>10217</v>
      </c>
      <c r="M3233" t="s">
        <v>10288</v>
      </c>
      <c r="N3233" t="s">
        <v>10665</v>
      </c>
      <c r="P3233" t="s">
        <v>10750</v>
      </c>
      <c r="Q3233" t="s">
        <v>10779</v>
      </c>
      <c r="R3233" t="s">
        <v>10824</v>
      </c>
      <c r="T3233">
        <v>22256</v>
      </c>
      <c r="U3233">
        <v>1854.67</v>
      </c>
      <c r="V3233">
        <v>55</v>
      </c>
      <c r="W3233">
        <v>1</v>
      </c>
      <c r="X3233">
        <v>0</v>
      </c>
      <c r="Z3233">
        <v>178.19</v>
      </c>
      <c r="AA3233">
        <v>40.800507</v>
      </c>
      <c r="AB3233">
        <v>-73.94828200000001</v>
      </c>
      <c r="AD3233" t="s">
        <v>10839</v>
      </c>
      <c r="AG3233" t="s">
        <v>10858</v>
      </c>
      <c r="AH3233" t="s">
        <v>10871</v>
      </c>
      <c r="AI3233">
        <v>234</v>
      </c>
      <c r="AJ3233" t="s">
        <v>10214</v>
      </c>
      <c r="AL3233">
        <v>1.85</v>
      </c>
      <c r="AM3233" t="s">
        <v>10887</v>
      </c>
      <c r="AN3233" t="s">
        <v>10926</v>
      </c>
      <c r="AO3233" t="s">
        <v>11016</v>
      </c>
      <c r="AP3233" t="s">
        <v>11076</v>
      </c>
      <c r="AR3233" t="s">
        <v>11293</v>
      </c>
      <c r="AS3233" t="s">
        <v>9925</v>
      </c>
      <c r="AT3233" t="s">
        <v>11641</v>
      </c>
      <c r="AX3233" t="s">
        <v>10838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</row>
    <row r="3234" spans="1:59">
      <c r="A3234" s="1">
        <f>HYPERLINK("https://lsnyc.legalserver.org/matter/dynamic-profile/view/1907294","19-1907294")</f>
        <v>0</v>
      </c>
      <c r="B3234" t="s">
        <v>2716</v>
      </c>
      <c r="C3234" t="s">
        <v>6888</v>
      </c>
      <c r="D3234" t="s">
        <v>9925</v>
      </c>
      <c r="E3234" t="s">
        <v>10075</v>
      </c>
      <c r="F3234">
        <v>10019</v>
      </c>
      <c r="G3234" t="s">
        <v>10091</v>
      </c>
      <c r="H3234" t="s">
        <v>10129</v>
      </c>
      <c r="I3234" t="s">
        <v>10168</v>
      </c>
      <c r="J3234" t="s">
        <v>10214</v>
      </c>
      <c r="K3234" t="s">
        <v>10217</v>
      </c>
      <c r="M3234" t="s">
        <v>10286</v>
      </c>
      <c r="N3234" t="s">
        <v>10646</v>
      </c>
      <c r="P3234" t="s">
        <v>10751</v>
      </c>
      <c r="Q3234" t="s">
        <v>10780</v>
      </c>
      <c r="R3234" t="s">
        <v>10820</v>
      </c>
      <c r="T3234">
        <v>37200</v>
      </c>
      <c r="U3234">
        <v>3100</v>
      </c>
      <c r="V3234">
        <v>43</v>
      </c>
      <c r="W3234">
        <v>1</v>
      </c>
      <c r="X3234">
        <v>0</v>
      </c>
      <c r="Z3234">
        <v>297.84</v>
      </c>
      <c r="AA3234">
        <v>40.766653</v>
      </c>
      <c r="AB3234">
        <v>-73.99209399999999</v>
      </c>
      <c r="AD3234" t="s">
        <v>10839</v>
      </c>
      <c r="AG3234" t="s">
        <v>10858</v>
      </c>
      <c r="AH3234" t="s">
        <v>10861</v>
      </c>
      <c r="AI3234">
        <v>234</v>
      </c>
      <c r="AJ3234" t="s">
        <v>10214</v>
      </c>
      <c r="AL3234">
        <v>1</v>
      </c>
      <c r="AM3234" t="s">
        <v>10894</v>
      </c>
      <c r="AN3234" t="s">
        <v>10964</v>
      </c>
      <c r="AO3234" t="s">
        <v>11021</v>
      </c>
      <c r="AP3234" t="s">
        <v>11090</v>
      </c>
      <c r="AR3234" t="s">
        <v>11270</v>
      </c>
      <c r="AS3234" t="s">
        <v>9925</v>
      </c>
      <c r="AT3234" t="s">
        <v>11641</v>
      </c>
      <c r="AX3234" t="s">
        <v>10838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</row>
    <row r="3235" spans="1:59">
      <c r="A3235" s="1">
        <f>HYPERLINK("https://lsnyc.legalserver.org/matter/dynamic-profile/view/1907295","19-1907295")</f>
        <v>0</v>
      </c>
      <c r="B3235" t="s">
        <v>2717</v>
      </c>
      <c r="C3235" t="s">
        <v>7502</v>
      </c>
      <c r="D3235" t="s">
        <v>9928</v>
      </c>
      <c r="E3235" t="s">
        <v>10075</v>
      </c>
      <c r="F3235">
        <v>11218</v>
      </c>
      <c r="G3235" t="s">
        <v>10093</v>
      </c>
      <c r="H3235" t="s">
        <v>10129</v>
      </c>
      <c r="I3235" t="s">
        <v>10168</v>
      </c>
      <c r="J3235" t="s">
        <v>10213</v>
      </c>
      <c r="K3235" t="s">
        <v>10218</v>
      </c>
      <c r="L3235" t="s">
        <v>10111</v>
      </c>
      <c r="M3235" t="s">
        <v>10290</v>
      </c>
      <c r="N3235" t="s">
        <v>10665</v>
      </c>
      <c r="P3235" t="s">
        <v>10751</v>
      </c>
      <c r="Q3235" t="s">
        <v>10773</v>
      </c>
      <c r="R3235" t="s">
        <v>10827</v>
      </c>
      <c r="T3235">
        <v>23400</v>
      </c>
      <c r="U3235">
        <v>1950</v>
      </c>
      <c r="V3235">
        <v>27</v>
      </c>
      <c r="W3235">
        <v>1</v>
      </c>
      <c r="X3235">
        <v>0</v>
      </c>
      <c r="Y3235" t="s">
        <v>10829</v>
      </c>
      <c r="Z3235">
        <v>187.35</v>
      </c>
      <c r="AA3235">
        <v>40.644886</v>
      </c>
      <c r="AB3235">
        <v>-73.983887</v>
      </c>
      <c r="AD3235" t="s">
        <v>10839</v>
      </c>
      <c r="AG3235" t="s">
        <v>10858</v>
      </c>
      <c r="AH3235" t="s">
        <v>10871</v>
      </c>
      <c r="AI3235">
        <v>234</v>
      </c>
      <c r="AJ3235" t="s">
        <v>10214</v>
      </c>
      <c r="AK3235" t="s">
        <v>10838</v>
      </c>
      <c r="AL3235">
        <v>4.7</v>
      </c>
      <c r="AM3235" t="s">
        <v>10894</v>
      </c>
      <c r="AN3235" t="s">
        <v>10941</v>
      </c>
      <c r="AO3235" t="s">
        <v>11008</v>
      </c>
      <c r="AP3235" t="s">
        <v>11059</v>
      </c>
      <c r="AR3235" t="s">
        <v>11293</v>
      </c>
      <c r="AS3235" t="s">
        <v>11595</v>
      </c>
      <c r="AT3235" t="s">
        <v>11641</v>
      </c>
      <c r="AX3235" t="s">
        <v>10838</v>
      </c>
      <c r="AY3235" t="s">
        <v>10829</v>
      </c>
      <c r="AZ3235" t="s">
        <v>11682</v>
      </c>
      <c r="BA3235" t="s">
        <v>11741</v>
      </c>
      <c r="BB3235">
        <v>0</v>
      </c>
      <c r="BC3235">
        <v>0</v>
      </c>
      <c r="BD3235">
        <v>0</v>
      </c>
      <c r="BE3235">
        <v>0</v>
      </c>
      <c r="BF3235">
        <v>1</v>
      </c>
      <c r="BG3235">
        <v>0</v>
      </c>
    </row>
    <row r="3236" spans="1:59">
      <c r="A3236" s="1">
        <f>HYPERLINK("https://lsnyc.legalserver.org/matter/dynamic-profile/view/1907296","19-1907296")</f>
        <v>0</v>
      </c>
      <c r="B3236" t="s">
        <v>2718</v>
      </c>
      <c r="C3236" t="s">
        <v>7503</v>
      </c>
      <c r="D3236" t="s">
        <v>9928</v>
      </c>
      <c r="E3236" t="s">
        <v>10075</v>
      </c>
      <c r="F3236">
        <v>11226</v>
      </c>
      <c r="G3236" t="s">
        <v>10093</v>
      </c>
      <c r="H3236" t="s">
        <v>10129</v>
      </c>
      <c r="I3236" t="s">
        <v>10168</v>
      </c>
      <c r="J3236" t="s">
        <v>10213</v>
      </c>
      <c r="K3236" t="s">
        <v>10217</v>
      </c>
      <c r="M3236" t="s">
        <v>10268</v>
      </c>
      <c r="N3236" t="s">
        <v>10667</v>
      </c>
      <c r="P3236" t="s">
        <v>10749</v>
      </c>
      <c r="Q3236" t="s">
        <v>10765</v>
      </c>
      <c r="R3236" t="s">
        <v>10820</v>
      </c>
      <c r="T3236">
        <v>24000</v>
      </c>
      <c r="U3236">
        <v>2000</v>
      </c>
      <c r="V3236">
        <v>55</v>
      </c>
      <c r="W3236">
        <v>2</v>
      </c>
      <c r="X3236">
        <v>0</v>
      </c>
      <c r="Z3236">
        <v>141.93</v>
      </c>
      <c r="AA3236">
        <v>40.64184</v>
      </c>
      <c r="AB3236">
        <v>-73.949851</v>
      </c>
      <c r="AD3236" t="s">
        <v>10839</v>
      </c>
      <c r="AG3236" t="s">
        <v>10858</v>
      </c>
      <c r="AH3236" t="s">
        <v>10862</v>
      </c>
      <c r="AI3236">
        <v>239</v>
      </c>
      <c r="AJ3236" t="s">
        <v>10213</v>
      </c>
      <c r="AL3236">
        <v>3</v>
      </c>
      <c r="AM3236" t="s">
        <v>10888</v>
      </c>
      <c r="AN3236" t="s">
        <v>10932</v>
      </c>
      <c r="AO3236" t="s">
        <v>11008</v>
      </c>
      <c r="AP3236" t="s">
        <v>11065</v>
      </c>
      <c r="AR3236" t="s">
        <v>11501</v>
      </c>
      <c r="AS3236" t="s">
        <v>11595</v>
      </c>
      <c r="BA3236" t="s">
        <v>11738</v>
      </c>
      <c r="BB3236">
        <v>0</v>
      </c>
      <c r="BC3236">
        <v>0</v>
      </c>
      <c r="BD3236">
        <v>0</v>
      </c>
      <c r="BE3236">
        <v>0</v>
      </c>
      <c r="BF3236">
        <v>5</v>
      </c>
      <c r="BG3236">
        <v>0</v>
      </c>
    </row>
    <row r="3237" spans="1:59">
      <c r="A3237" s="1">
        <f>HYPERLINK("https://lsnyc.legalserver.org/matter/dynamic-profile/view/1907298","19-1907298")</f>
        <v>0</v>
      </c>
      <c r="B3237" t="s">
        <v>2719</v>
      </c>
      <c r="C3237" t="s">
        <v>7504</v>
      </c>
      <c r="D3237" t="s">
        <v>9926</v>
      </c>
      <c r="E3237" t="s">
        <v>10075</v>
      </c>
      <c r="F3237">
        <v>10472</v>
      </c>
      <c r="G3237" t="s">
        <v>10090</v>
      </c>
      <c r="H3237" t="s">
        <v>10129</v>
      </c>
      <c r="I3237" t="s">
        <v>10169</v>
      </c>
      <c r="J3237" t="s">
        <v>10210</v>
      </c>
      <c r="K3237" t="s">
        <v>10218</v>
      </c>
      <c r="L3237" t="s">
        <v>10101</v>
      </c>
      <c r="M3237" t="s">
        <v>10372</v>
      </c>
      <c r="N3237" t="s">
        <v>10694</v>
      </c>
      <c r="P3237" t="s">
        <v>10751</v>
      </c>
      <c r="Q3237" t="s">
        <v>10773</v>
      </c>
      <c r="R3237" t="s">
        <v>10820</v>
      </c>
      <c r="T3237">
        <v>0</v>
      </c>
      <c r="U3237">
        <v>0</v>
      </c>
      <c r="V3237">
        <v>52</v>
      </c>
      <c r="W3237">
        <v>1</v>
      </c>
      <c r="X3237">
        <v>0</v>
      </c>
      <c r="Y3237" t="s">
        <v>10830</v>
      </c>
      <c r="Z3237">
        <v>0</v>
      </c>
      <c r="AA3237">
        <v>40.833345</v>
      </c>
      <c r="AB3237">
        <v>-73.879648</v>
      </c>
      <c r="AD3237" t="s">
        <v>10840</v>
      </c>
      <c r="AF3237" t="s">
        <v>10843</v>
      </c>
      <c r="AG3237" t="s">
        <v>10859</v>
      </c>
      <c r="AH3237" t="s">
        <v>10861</v>
      </c>
      <c r="AI3237">
        <v>234</v>
      </c>
      <c r="AJ3237" t="s">
        <v>10214</v>
      </c>
      <c r="AK3237" t="s">
        <v>10838</v>
      </c>
      <c r="AL3237">
        <v>2.93</v>
      </c>
      <c r="AM3237" t="s">
        <v>10884</v>
      </c>
      <c r="AN3237" t="s">
        <v>10968</v>
      </c>
      <c r="AO3237" t="s">
        <v>11001</v>
      </c>
      <c r="AP3237" t="s">
        <v>11046</v>
      </c>
      <c r="AR3237" t="s">
        <v>11267</v>
      </c>
      <c r="AS3237" t="s">
        <v>9926</v>
      </c>
      <c r="AT3237" t="s">
        <v>11642</v>
      </c>
      <c r="AX3237" t="s">
        <v>11678</v>
      </c>
      <c r="AY3237" t="s">
        <v>10830</v>
      </c>
      <c r="AZ3237" t="s">
        <v>11682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</row>
    <row r="3238" spans="1:59">
      <c r="A3238" s="1">
        <f>HYPERLINK("https://lsnyc.legalserver.org/matter/dynamic-profile/view/1907299","19-1907299")</f>
        <v>0</v>
      </c>
      <c r="B3238" t="s">
        <v>2701</v>
      </c>
      <c r="C3238" t="s">
        <v>7505</v>
      </c>
      <c r="D3238" t="s">
        <v>9927</v>
      </c>
      <c r="E3238" t="s">
        <v>10075</v>
      </c>
      <c r="F3238">
        <v>11377</v>
      </c>
      <c r="G3238" t="s">
        <v>10092</v>
      </c>
      <c r="H3238" t="s">
        <v>10129</v>
      </c>
      <c r="I3238" t="s">
        <v>10169</v>
      </c>
      <c r="J3238" t="s">
        <v>10212</v>
      </c>
      <c r="K3238" t="s">
        <v>10217</v>
      </c>
      <c r="M3238" t="s">
        <v>10486</v>
      </c>
      <c r="N3238" t="s">
        <v>10673</v>
      </c>
      <c r="P3238" t="s">
        <v>10753</v>
      </c>
      <c r="Q3238" t="s">
        <v>10763</v>
      </c>
      <c r="R3238" t="s">
        <v>10823</v>
      </c>
      <c r="T3238">
        <v>10000</v>
      </c>
      <c r="U3238">
        <v>833.33</v>
      </c>
      <c r="V3238">
        <v>45</v>
      </c>
      <c r="W3238">
        <v>1</v>
      </c>
      <c r="X3238">
        <v>1</v>
      </c>
      <c r="Z3238">
        <v>59.14</v>
      </c>
      <c r="AA3238">
        <v>40.735647</v>
      </c>
      <c r="AB3238">
        <v>-73.920767</v>
      </c>
      <c r="AD3238" t="s">
        <v>10839</v>
      </c>
      <c r="AF3238" t="s">
        <v>10842</v>
      </c>
      <c r="AG3238" t="s">
        <v>10859</v>
      </c>
      <c r="AH3238" t="s">
        <v>10865</v>
      </c>
      <c r="AI3238">
        <v>237</v>
      </c>
      <c r="AJ3238" t="s">
        <v>10212</v>
      </c>
      <c r="AL3238">
        <v>0.2</v>
      </c>
      <c r="AQ3238" t="s">
        <v>11139</v>
      </c>
      <c r="AR3238" t="s">
        <v>11257</v>
      </c>
      <c r="AS3238" t="s">
        <v>11594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</row>
    <row r="3239" spans="1:59">
      <c r="A3239" s="1">
        <f>HYPERLINK("https://lsnyc.legalserver.org/matter/dynamic-profile/view/1907300","19-1907300")</f>
        <v>0</v>
      </c>
      <c r="B3239" t="s">
        <v>2720</v>
      </c>
      <c r="C3239" t="s">
        <v>7506</v>
      </c>
      <c r="D3239" t="s">
        <v>9928</v>
      </c>
      <c r="E3239" t="s">
        <v>10075</v>
      </c>
      <c r="F3239">
        <v>11226</v>
      </c>
      <c r="G3239" t="s">
        <v>10093</v>
      </c>
      <c r="H3239" t="s">
        <v>10129</v>
      </c>
      <c r="I3239" t="s">
        <v>10168</v>
      </c>
      <c r="J3239" t="s">
        <v>10213</v>
      </c>
      <c r="K3239" t="s">
        <v>10217</v>
      </c>
      <c r="M3239" t="s">
        <v>10470</v>
      </c>
      <c r="N3239" t="s">
        <v>10657</v>
      </c>
      <c r="P3239" t="s">
        <v>10750</v>
      </c>
      <c r="Q3239" t="s">
        <v>10778</v>
      </c>
      <c r="R3239" t="s">
        <v>10820</v>
      </c>
      <c r="T3239">
        <v>41990</v>
      </c>
      <c r="U3239">
        <v>3499.17</v>
      </c>
      <c r="V3239">
        <v>35</v>
      </c>
      <c r="W3239">
        <v>1</v>
      </c>
      <c r="X3239">
        <v>0</v>
      </c>
      <c r="Z3239">
        <v>336.19</v>
      </c>
      <c r="AA3239">
        <v>40.644209</v>
      </c>
      <c r="AB3239">
        <v>-73.95740499999999</v>
      </c>
      <c r="AD3239" t="s">
        <v>10840</v>
      </c>
      <c r="AG3239" t="s">
        <v>10858</v>
      </c>
      <c r="AH3239" t="s">
        <v>10861</v>
      </c>
      <c r="AI3239">
        <v>239</v>
      </c>
      <c r="AJ3239" t="s">
        <v>10213</v>
      </c>
      <c r="AL3239">
        <v>1.3</v>
      </c>
      <c r="AM3239" t="s">
        <v>10888</v>
      </c>
      <c r="AN3239" t="s">
        <v>10932</v>
      </c>
      <c r="AO3239" t="s">
        <v>11008</v>
      </c>
      <c r="AP3239" t="s">
        <v>11050</v>
      </c>
      <c r="AR3239" t="s">
        <v>11257</v>
      </c>
      <c r="AS3239" t="s">
        <v>11595</v>
      </c>
      <c r="AT3239" t="s">
        <v>11642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</row>
    <row r="3240" spans="1:59">
      <c r="A3240" s="1">
        <f>HYPERLINK("https://lsnyc.legalserver.org/matter/dynamic-profile/view/1907301","19-1907301")</f>
        <v>0</v>
      </c>
      <c r="B3240" t="s">
        <v>2721</v>
      </c>
      <c r="C3240" t="s">
        <v>7507</v>
      </c>
      <c r="D3240" t="s">
        <v>9925</v>
      </c>
      <c r="E3240" t="s">
        <v>10075</v>
      </c>
      <c r="F3240">
        <v>10002</v>
      </c>
      <c r="G3240" t="s">
        <v>10089</v>
      </c>
      <c r="H3240" t="s">
        <v>10129</v>
      </c>
      <c r="I3240" t="s">
        <v>10169</v>
      </c>
      <c r="J3240" t="s">
        <v>10209</v>
      </c>
      <c r="K3240" t="s">
        <v>10217</v>
      </c>
      <c r="M3240" t="s">
        <v>10233</v>
      </c>
      <c r="N3240" t="s">
        <v>10649</v>
      </c>
      <c r="P3240" t="s">
        <v>10753</v>
      </c>
      <c r="Q3240" t="s">
        <v>10763</v>
      </c>
      <c r="R3240" t="s">
        <v>10821</v>
      </c>
      <c r="T3240">
        <v>35608</v>
      </c>
      <c r="U3240">
        <v>2967.33</v>
      </c>
      <c r="V3240">
        <v>65</v>
      </c>
      <c r="W3240">
        <v>2</v>
      </c>
      <c r="X3240">
        <v>0</v>
      </c>
      <c r="Z3240">
        <v>210.57</v>
      </c>
      <c r="AA3240">
        <v>40.711753</v>
      </c>
      <c r="AB3240">
        <v>-73.987323</v>
      </c>
      <c r="AD3240" t="s">
        <v>10840</v>
      </c>
      <c r="AF3240" t="s">
        <v>10843</v>
      </c>
      <c r="AG3240" t="s">
        <v>10859</v>
      </c>
      <c r="AH3240" t="s">
        <v>10864</v>
      </c>
      <c r="AI3240">
        <v>236</v>
      </c>
      <c r="AJ3240" t="s">
        <v>10209</v>
      </c>
      <c r="AL3240">
        <v>4</v>
      </c>
      <c r="AQ3240" t="s">
        <v>11131</v>
      </c>
      <c r="AR3240" t="s">
        <v>11328</v>
      </c>
      <c r="AS3240" t="s">
        <v>9925</v>
      </c>
      <c r="BA3240" t="s">
        <v>11739</v>
      </c>
      <c r="BB3240">
        <v>0</v>
      </c>
      <c r="BC3240">
        <v>0</v>
      </c>
      <c r="BD3240">
        <v>0</v>
      </c>
      <c r="BE3240">
        <v>0</v>
      </c>
      <c r="BF3240">
        <v>4</v>
      </c>
      <c r="BG3240">
        <v>0</v>
      </c>
    </row>
    <row r="3241" spans="1:59">
      <c r="A3241" s="1">
        <f>HYPERLINK("https://lsnyc.legalserver.org/matter/dynamic-profile/view/1907302","19-1907302")</f>
        <v>0</v>
      </c>
      <c r="B3241" t="s">
        <v>2722</v>
      </c>
      <c r="D3241" t="s">
        <v>10023</v>
      </c>
      <c r="E3241" t="s">
        <v>10083</v>
      </c>
      <c r="F3241">
        <v>98620</v>
      </c>
      <c r="G3241" t="s">
        <v>10092</v>
      </c>
      <c r="H3241" t="s">
        <v>10129</v>
      </c>
      <c r="I3241" t="s">
        <v>10168</v>
      </c>
      <c r="J3241" t="s">
        <v>10212</v>
      </c>
      <c r="K3241" t="s">
        <v>10217</v>
      </c>
      <c r="M3241" t="s">
        <v>10518</v>
      </c>
      <c r="N3241" t="s">
        <v>10709</v>
      </c>
      <c r="P3241" t="s">
        <v>10754</v>
      </c>
      <c r="Q3241" t="s">
        <v>10766</v>
      </c>
      <c r="R3241" t="s">
        <v>10821</v>
      </c>
      <c r="T3241">
        <v>13200</v>
      </c>
      <c r="U3241">
        <v>1100</v>
      </c>
      <c r="V3241">
        <v>26</v>
      </c>
      <c r="W3241">
        <v>1</v>
      </c>
      <c r="X3241">
        <v>1</v>
      </c>
      <c r="Z3241">
        <v>78.06</v>
      </c>
      <c r="AA3241">
        <v>0</v>
      </c>
      <c r="AB3241">
        <v>0</v>
      </c>
      <c r="AC3241" t="s">
        <v>10837</v>
      </c>
      <c r="AD3241" t="s">
        <v>10839</v>
      </c>
      <c r="AG3241" t="s">
        <v>10858</v>
      </c>
      <c r="AH3241" t="s">
        <v>10865</v>
      </c>
      <c r="AI3241">
        <v>237</v>
      </c>
      <c r="AJ3241" t="s">
        <v>10212</v>
      </c>
      <c r="AL3241">
        <v>2.25</v>
      </c>
      <c r="AR3241" t="s">
        <v>11254</v>
      </c>
      <c r="AS3241" t="s">
        <v>11623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</row>
    <row r="3242" spans="1:59">
      <c r="A3242" s="1">
        <f>HYPERLINK("https://lsnyc.legalserver.org/matter/dynamic-profile/view/1907303","19-1907303")</f>
        <v>0</v>
      </c>
      <c r="B3242" t="s">
        <v>2723</v>
      </c>
      <c r="C3242" t="s">
        <v>7508</v>
      </c>
      <c r="D3242" t="s">
        <v>9928</v>
      </c>
      <c r="E3242" t="s">
        <v>10075</v>
      </c>
      <c r="F3242">
        <v>11238</v>
      </c>
      <c r="G3242" t="s">
        <v>10093</v>
      </c>
      <c r="H3242" t="s">
        <v>10129</v>
      </c>
      <c r="I3242" t="s">
        <v>10168</v>
      </c>
      <c r="J3242" t="s">
        <v>10213</v>
      </c>
      <c r="K3242" t="s">
        <v>10217</v>
      </c>
      <c r="M3242" t="s">
        <v>10314</v>
      </c>
      <c r="N3242" t="s">
        <v>10657</v>
      </c>
      <c r="P3242" t="s">
        <v>10749</v>
      </c>
      <c r="Q3242" t="s">
        <v>10765</v>
      </c>
      <c r="R3242" t="s">
        <v>10824</v>
      </c>
      <c r="T3242">
        <v>36264</v>
      </c>
      <c r="U3242">
        <v>3022</v>
      </c>
      <c r="V3242">
        <v>24</v>
      </c>
      <c r="W3242">
        <v>1</v>
      </c>
      <c r="X3242">
        <v>0</v>
      </c>
      <c r="Z3242">
        <v>290.34</v>
      </c>
      <c r="AA3242">
        <v>40.683446</v>
      </c>
      <c r="AB3242">
        <v>-73.957205</v>
      </c>
      <c r="AD3242" t="s">
        <v>10839</v>
      </c>
      <c r="AG3242" t="s">
        <v>10858</v>
      </c>
      <c r="AH3242" t="s">
        <v>10862</v>
      </c>
      <c r="AI3242">
        <v>239</v>
      </c>
      <c r="AJ3242" t="s">
        <v>10213</v>
      </c>
      <c r="AL3242">
        <v>0</v>
      </c>
      <c r="AM3242" t="s">
        <v>10889</v>
      </c>
      <c r="AN3242" t="s">
        <v>10923</v>
      </c>
      <c r="AO3242" t="s">
        <v>11007</v>
      </c>
      <c r="AP3242" t="s">
        <v>11061</v>
      </c>
      <c r="AR3242" t="s">
        <v>11257</v>
      </c>
      <c r="AS3242" t="s">
        <v>11595</v>
      </c>
      <c r="AX3242" t="s">
        <v>10838</v>
      </c>
      <c r="BA3242" t="s">
        <v>11742</v>
      </c>
      <c r="BB3242">
        <v>0</v>
      </c>
      <c r="BC3242">
        <v>0</v>
      </c>
      <c r="BD3242">
        <v>0</v>
      </c>
      <c r="BE3242">
        <v>0</v>
      </c>
      <c r="BF3242">
        <v>7</v>
      </c>
      <c r="BG3242">
        <v>0</v>
      </c>
    </row>
    <row r="3243" spans="1:59">
      <c r="A3243" s="1">
        <f>HYPERLINK("https://lsnyc.legalserver.org/matter/dynamic-profile/view/1907304","19-1907304")</f>
        <v>0</v>
      </c>
      <c r="B3243" t="s">
        <v>2724</v>
      </c>
      <c r="C3243" t="s">
        <v>7472</v>
      </c>
      <c r="D3243" t="s">
        <v>9928</v>
      </c>
      <c r="E3243" t="s">
        <v>10075</v>
      </c>
      <c r="F3243">
        <v>11225</v>
      </c>
      <c r="G3243" t="s">
        <v>10093</v>
      </c>
      <c r="H3243" t="s">
        <v>10120</v>
      </c>
      <c r="I3243" t="s">
        <v>10169</v>
      </c>
      <c r="J3243" t="s">
        <v>10213</v>
      </c>
      <c r="K3243" t="s">
        <v>10217</v>
      </c>
      <c r="M3243" t="s">
        <v>10263</v>
      </c>
      <c r="N3243" t="s">
        <v>10650</v>
      </c>
      <c r="O3243" t="s">
        <v>10653</v>
      </c>
      <c r="P3243" t="s">
        <v>10749</v>
      </c>
      <c r="Q3243" t="s">
        <v>10765</v>
      </c>
      <c r="R3243" t="s">
        <v>10823</v>
      </c>
      <c r="T3243">
        <v>3492</v>
      </c>
      <c r="U3243">
        <v>291</v>
      </c>
      <c r="V3243">
        <v>74</v>
      </c>
      <c r="W3243">
        <v>3</v>
      </c>
      <c r="X3243">
        <v>0</v>
      </c>
      <c r="Z3243">
        <v>16.37</v>
      </c>
      <c r="AA3243">
        <v>40.66729</v>
      </c>
      <c r="AB3243">
        <v>-73.957122</v>
      </c>
      <c r="AD3243" t="s">
        <v>10839</v>
      </c>
      <c r="AF3243" t="s">
        <v>10843</v>
      </c>
      <c r="AG3243" t="s">
        <v>10859</v>
      </c>
      <c r="AH3243" t="s">
        <v>10862</v>
      </c>
      <c r="AI3243">
        <v>239</v>
      </c>
      <c r="AJ3243" t="s">
        <v>10213</v>
      </c>
      <c r="AL3243">
        <v>0</v>
      </c>
      <c r="AM3243" t="s">
        <v>10888</v>
      </c>
      <c r="AN3243" t="s">
        <v>10923</v>
      </c>
      <c r="AO3243" t="s">
        <v>11005</v>
      </c>
      <c r="AP3243" t="s">
        <v>11061</v>
      </c>
      <c r="AR3243" t="s">
        <v>11273</v>
      </c>
      <c r="AS3243" t="s">
        <v>11595</v>
      </c>
      <c r="BA3243" t="s">
        <v>11737</v>
      </c>
      <c r="BB3243">
        <v>0</v>
      </c>
      <c r="BC3243">
        <v>0</v>
      </c>
      <c r="BD3243">
        <v>0</v>
      </c>
      <c r="BE3243">
        <v>0</v>
      </c>
      <c r="BF3243">
        <v>3</v>
      </c>
      <c r="BG3243">
        <v>0</v>
      </c>
    </row>
    <row r="3244" spans="1:59">
      <c r="A3244" s="1">
        <f>HYPERLINK("https://lsnyc.legalserver.org/matter/dynamic-profile/view/1907306","19-1907306")</f>
        <v>0</v>
      </c>
      <c r="B3244" t="s">
        <v>2725</v>
      </c>
      <c r="C3244" t="s">
        <v>7509</v>
      </c>
      <c r="D3244" t="s">
        <v>9928</v>
      </c>
      <c r="E3244" t="s">
        <v>10075</v>
      </c>
      <c r="F3244">
        <v>11233</v>
      </c>
      <c r="G3244" t="s">
        <v>10093</v>
      </c>
      <c r="H3244" t="s">
        <v>10129</v>
      </c>
      <c r="I3244" t="s">
        <v>10168</v>
      </c>
      <c r="J3244" t="s">
        <v>10213</v>
      </c>
      <c r="K3244" t="s">
        <v>10217</v>
      </c>
      <c r="M3244" t="s">
        <v>10245</v>
      </c>
      <c r="N3244" t="s">
        <v>10657</v>
      </c>
      <c r="P3244" t="s">
        <v>10749</v>
      </c>
      <c r="Q3244" t="s">
        <v>10765</v>
      </c>
      <c r="R3244" t="s">
        <v>10824</v>
      </c>
      <c r="T3244">
        <v>29978</v>
      </c>
      <c r="U3244">
        <v>2498.17</v>
      </c>
      <c r="V3244">
        <v>29</v>
      </c>
      <c r="W3244">
        <v>1</v>
      </c>
      <c r="X3244">
        <v>0</v>
      </c>
      <c r="Z3244">
        <v>240.02</v>
      </c>
      <c r="AA3244">
        <v>40.670937</v>
      </c>
      <c r="AB3244">
        <v>-73.917749</v>
      </c>
      <c r="AD3244" t="s">
        <v>10839</v>
      </c>
      <c r="AG3244" t="s">
        <v>10858</v>
      </c>
      <c r="AH3244" t="s">
        <v>10861</v>
      </c>
      <c r="AI3244">
        <v>239</v>
      </c>
      <c r="AJ3244" t="s">
        <v>10213</v>
      </c>
      <c r="AL3244">
        <v>1.5</v>
      </c>
      <c r="AM3244" t="s">
        <v>10888</v>
      </c>
      <c r="AN3244" t="s">
        <v>10922</v>
      </c>
      <c r="AO3244" t="s">
        <v>11007</v>
      </c>
      <c r="AP3244" t="s">
        <v>11064</v>
      </c>
      <c r="AR3244" t="s">
        <v>11257</v>
      </c>
      <c r="AS3244" t="s">
        <v>11595</v>
      </c>
      <c r="AV3244" t="s">
        <v>11656</v>
      </c>
      <c r="AW3244" t="s">
        <v>11645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</row>
    <row r="3245" spans="1:59">
      <c r="A3245" s="1">
        <f>HYPERLINK("https://lsnyc.legalserver.org/matter/dynamic-profile/view/1907308","19-1907308")</f>
        <v>0</v>
      </c>
      <c r="B3245" t="s">
        <v>2726</v>
      </c>
      <c r="C3245" t="s">
        <v>7510</v>
      </c>
      <c r="D3245" t="s">
        <v>9926</v>
      </c>
      <c r="E3245" t="s">
        <v>10075</v>
      </c>
      <c r="F3245">
        <v>10472</v>
      </c>
      <c r="G3245" t="s">
        <v>10093</v>
      </c>
      <c r="H3245" t="s">
        <v>10129</v>
      </c>
      <c r="I3245" t="s">
        <v>10168</v>
      </c>
      <c r="J3245" t="s">
        <v>10213</v>
      </c>
      <c r="K3245" t="s">
        <v>10218</v>
      </c>
      <c r="L3245" t="s">
        <v>10153</v>
      </c>
      <c r="M3245" t="s">
        <v>10436</v>
      </c>
      <c r="N3245" t="s">
        <v>10710</v>
      </c>
      <c r="P3245" t="s">
        <v>10750</v>
      </c>
      <c r="Q3245" t="s">
        <v>10760</v>
      </c>
      <c r="R3245" t="s">
        <v>10827</v>
      </c>
      <c r="T3245">
        <v>31846</v>
      </c>
      <c r="U3245">
        <v>2653.83</v>
      </c>
      <c r="V3245">
        <v>62</v>
      </c>
      <c r="W3245">
        <v>2</v>
      </c>
      <c r="X3245">
        <v>0</v>
      </c>
      <c r="Y3245" t="s">
        <v>10829</v>
      </c>
      <c r="Z3245">
        <v>188.33</v>
      </c>
      <c r="AA3245">
        <v>40.831146</v>
      </c>
      <c r="AB3245">
        <v>-73.862627</v>
      </c>
      <c r="AD3245" t="s">
        <v>10840</v>
      </c>
      <c r="AG3245" t="s">
        <v>10858</v>
      </c>
      <c r="AH3245" t="s">
        <v>10871</v>
      </c>
      <c r="AI3245">
        <v>234</v>
      </c>
      <c r="AJ3245" t="s">
        <v>10214</v>
      </c>
      <c r="AK3245" t="s">
        <v>10838</v>
      </c>
      <c r="AL3245">
        <v>1.5</v>
      </c>
      <c r="AM3245" t="s">
        <v>10884</v>
      </c>
      <c r="AN3245" t="s">
        <v>10908</v>
      </c>
      <c r="AO3245" t="s">
        <v>11001</v>
      </c>
      <c r="AP3245" t="s">
        <v>11046</v>
      </c>
      <c r="AR3245" t="s">
        <v>11288</v>
      </c>
      <c r="AS3245" t="s">
        <v>9926</v>
      </c>
      <c r="AT3245" t="s">
        <v>11642</v>
      </c>
      <c r="AX3245" t="s">
        <v>10838</v>
      </c>
      <c r="AY3245" t="s">
        <v>10829</v>
      </c>
      <c r="AZ3245" t="s">
        <v>11679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</row>
    <row r="3246" spans="1:59">
      <c r="A3246" s="1">
        <f>HYPERLINK("https://lsnyc.legalserver.org/matter/dynamic-profile/view/1907309","19-1907309")</f>
        <v>0</v>
      </c>
      <c r="B3246" t="s">
        <v>2727</v>
      </c>
      <c r="C3246" t="s">
        <v>7511</v>
      </c>
      <c r="D3246" t="s">
        <v>9926</v>
      </c>
      <c r="E3246" t="s">
        <v>10075</v>
      </c>
      <c r="F3246">
        <v>10467</v>
      </c>
      <c r="G3246" t="s">
        <v>10090</v>
      </c>
      <c r="H3246" t="s">
        <v>10129</v>
      </c>
      <c r="I3246" t="s">
        <v>10168</v>
      </c>
      <c r="J3246" t="s">
        <v>10210</v>
      </c>
      <c r="K3246" t="s">
        <v>10217</v>
      </c>
      <c r="M3246" t="s">
        <v>10597</v>
      </c>
      <c r="N3246" t="s">
        <v>10671</v>
      </c>
      <c r="P3246" t="s">
        <v>10751</v>
      </c>
      <c r="Q3246" t="s">
        <v>10761</v>
      </c>
      <c r="R3246" t="s">
        <v>10826</v>
      </c>
      <c r="T3246">
        <v>0</v>
      </c>
      <c r="U3246">
        <v>0</v>
      </c>
      <c r="V3246">
        <v>26</v>
      </c>
      <c r="W3246">
        <v>1</v>
      </c>
      <c r="X3246">
        <v>0</v>
      </c>
      <c r="Z3246">
        <v>0</v>
      </c>
      <c r="AA3246">
        <v>40.881576</v>
      </c>
      <c r="AB3246">
        <v>-73.87760400000001</v>
      </c>
      <c r="AD3246" t="s">
        <v>10839</v>
      </c>
      <c r="AG3246" t="s">
        <v>10858</v>
      </c>
      <c r="AH3246" t="s">
        <v>10861</v>
      </c>
      <c r="AI3246">
        <v>234</v>
      </c>
      <c r="AJ3246" t="s">
        <v>10214</v>
      </c>
      <c r="AL3246">
        <v>3.2</v>
      </c>
      <c r="AM3246" t="s">
        <v>10887</v>
      </c>
      <c r="AN3246" t="s">
        <v>10919</v>
      </c>
      <c r="AO3246" t="s">
        <v>11010</v>
      </c>
      <c r="AP3246" t="s">
        <v>11057</v>
      </c>
      <c r="AR3246" t="s">
        <v>11267</v>
      </c>
      <c r="AS3246" t="s">
        <v>9926</v>
      </c>
      <c r="AT3246" t="s">
        <v>11641</v>
      </c>
      <c r="AX3246" t="s">
        <v>10838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</row>
    <row r="3247" spans="1:59">
      <c r="A3247" s="1">
        <f>HYPERLINK("https://lsnyc.legalserver.org/matter/dynamic-profile/view/1907310","19-1907310")</f>
        <v>0</v>
      </c>
      <c r="B3247" t="s">
        <v>2728</v>
      </c>
      <c r="C3247" t="s">
        <v>7512</v>
      </c>
      <c r="D3247" t="s">
        <v>10024</v>
      </c>
      <c r="E3247" t="s">
        <v>10075</v>
      </c>
      <c r="F3247">
        <v>12603</v>
      </c>
      <c r="G3247" t="s">
        <v>10093</v>
      </c>
      <c r="H3247" t="s">
        <v>10129</v>
      </c>
      <c r="I3247" t="s">
        <v>10168</v>
      </c>
      <c r="J3247" t="s">
        <v>10213</v>
      </c>
      <c r="K3247" t="s">
        <v>10218</v>
      </c>
      <c r="L3247" t="s">
        <v>10136</v>
      </c>
      <c r="M3247" t="s">
        <v>10436</v>
      </c>
      <c r="N3247" t="s">
        <v>10710</v>
      </c>
      <c r="P3247" t="s">
        <v>10750</v>
      </c>
      <c r="Q3247" t="s">
        <v>10760</v>
      </c>
      <c r="R3247" t="s">
        <v>10824</v>
      </c>
      <c r="T3247">
        <v>15516</v>
      </c>
      <c r="U3247">
        <v>1293</v>
      </c>
      <c r="V3247">
        <v>67</v>
      </c>
      <c r="W3247">
        <v>1</v>
      </c>
      <c r="X3247">
        <v>0</v>
      </c>
      <c r="Y3247" t="s">
        <v>10829</v>
      </c>
      <c r="Z3247">
        <v>124.23</v>
      </c>
      <c r="AA3247">
        <v>41.692001</v>
      </c>
      <c r="AB3247">
        <v>-73.916394</v>
      </c>
      <c r="AD3247" t="s">
        <v>10839</v>
      </c>
      <c r="AG3247" t="s">
        <v>10858</v>
      </c>
      <c r="AH3247" t="s">
        <v>10861</v>
      </c>
      <c r="AI3247">
        <v>234</v>
      </c>
      <c r="AJ3247" t="s">
        <v>10214</v>
      </c>
      <c r="AK3247" t="s">
        <v>10838</v>
      </c>
      <c r="AL3247">
        <v>1.26</v>
      </c>
      <c r="AM3247" t="s">
        <v>10901</v>
      </c>
      <c r="AN3247" t="s">
        <v>10989</v>
      </c>
      <c r="AO3247" t="s">
        <v>11040</v>
      </c>
      <c r="AR3247" t="s">
        <v>11300</v>
      </c>
      <c r="AS3247" t="s">
        <v>11624</v>
      </c>
      <c r="AT3247" t="s">
        <v>11641</v>
      </c>
      <c r="AX3247" t="s">
        <v>10838</v>
      </c>
      <c r="AY3247" t="s">
        <v>10829</v>
      </c>
      <c r="AZ3247" t="s">
        <v>11679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</row>
    <row r="3248" spans="1:59">
      <c r="A3248" s="1">
        <f>HYPERLINK("https://lsnyc.legalserver.org/matter/dynamic-profile/view/1907312","19-1907312")</f>
        <v>0</v>
      </c>
      <c r="B3248" t="s">
        <v>2729</v>
      </c>
      <c r="C3248" t="s">
        <v>7513</v>
      </c>
      <c r="D3248" t="s">
        <v>9928</v>
      </c>
      <c r="E3248" t="s">
        <v>10075</v>
      </c>
      <c r="F3248">
        <v>11221</v>
      </c>
      <c r="G3248" t="s">
        <v>10093</v>
      </c>
      <c r="H3248" t="s">
        <v>10129</v>
      </c>
      <c r="I3248" t="s">
        <v>10168</v>
      </c>
      <c r="J3248" t="s">
        <v>10213</v>
      </c>
      <c r="K3248" t="s">
        <v>10217</v>
      </c>
      <c r="M3248" t="s">
        <v>10245</v>
      </c>
      <c r="N3248" t="s">
        <v>10657</v>
      </c>
      <c r="P3248" t="s">
        <v>10749</v>
      </c>
      <c r="Q3248" t="s">
        <v>10767</v>
      </c>
      <c r="R3248" t="s">
        <v>10824</v>
      </c>
      <c r="T3248">
        <v>9144</v>
      </c>
      <c r="U3248">
        <v>762</v>
      </c>
      <c r="V3248">
        <v>65</v>
      </c>
      <c r="W3248">
        <v>1</v>
      </c>
      <c r="X3248">
        <v>0</v>
      </c>
      <c r="Z3248">
        <v>73.20999999999999</v>
      </c>
      <c r="AA3248">
        <v>40.687697</v>
      </c>
      <c r="AB3248">
        <v>-73.933286</v>
      </c>
      <c r="AD3248" t="s">
        <v>10840</v>
      </c>
      <c r="AG3248" t="s">
        <v>10858</v>
      </c>
      <c r="AH3248" t="s">
        <v>10861</v>
      </c>
      <c r="AI3248">
        <v>239</v>
      </c>
      <c r="AJ3248" t="s">
        <v>10213</v>
      </c>
      <c r="AL3248">
        <v>0.7</v>
      </c>
      <c r="AM3248" t="s">
        <v>10889</v>
      </c>
      <c r="AN3248" t="s">
        <v>10914</v>
      </c>
      <c r="AO3248" t="s">
        <v>11007</v>
      </c>
      <c r="AP3248" t="s">
        <v>11052</v>
      </c>
      <c r="AR3248" t="s">
        <v>11318</v>
      </c>
      <c r="AS3248" t="s">
        <v>11595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</row>
    <row r="3249" spans="1:59">
      <c r="A3249" s="1">
        <f>HYPERLINK("https://lsnyc.legalserver.org/matter/dynamic-profile/view/1907313","19-1907313")</f>
        <v>0</v>
      </c>
      <c r="B3249" t="s">
        <v>2730</v>
      </c>
      <c r="C3249" t="s">
        <v>7514</v>
      </c>
      <c r="D3249" t="s">
        <v>9936</v>
      </c>
      <c r="E3249" t="s">
        <v>10075</v>
      </c>
      <c r="F3249">
        <v>11105</v>
      </c>
      <c r="G3249" t="s">
        <v>10092</v>
      </c>
      <c r="H3249" t="s">
        <v>10129</v>
      </c>
      <c r="I3249" t="s">
        <v>10184</v>
      </c>
      <c r="J3249" t="s">
        <v>10212</v>
      </c>
      <c r="K3249" t="s">
        <v>10217</v>
      </c>
      <c r="M3249" t="s">
        <v>10387</v>
      </c>
      <c r="N3249" t="s">
        <v>10650</v>
      </c>
      <c r="P3249" t="s">
        <v>10749</v>
      </c>
      <c r="Q3249" t="s">
        <v>10765</v>
      </c>
      <c r="R3249" t="s">
        <v>10820</v>
      </c>
      <c r="T3249">
        <v>48000</v>
      </c>
      <c r="U3249">
        <v>4000</v>
      </c>
      <c r="V3249">
        <v>60</v>
      </c>
      <c r="W3249">
        <v>2</v>
      </c>
      <c r="X3249">
        <v>2</v>
      </c>
      <c r="Z3249">
        <v>186.41</v>
      </c>
      <c r="AA3249">
        <v>40.783023</v>
      </c>
      <c r="AB3249">
        <v>-73.914601</v>
      </c>
      <c r="AD3249" t="s">
        <v>10840</v>
      </c>
      <c r="AG3249" t="s">
        <v>10858</v>
      </c>
      <c r="AH3249" t="s">
        <v>10862</v>
      </c>
      <c r="AI3249">
        <v>237</v>
      </c>
      <c r="AJ3249" t="s">
        <v>10212</v>
      </c>
      <c r="AL3249">
        <v>7.4</v>
      </c>
      <c r="AM3249" t="s">
        <v>10885</v>
      </c>
      <c r="AN3249" t="s">
        <v>10954</v>
      </c>
      <c r="AO3249" t="s">
        <v>11014</v>
      </c>
      <c r="AP3249" t="s">
        <v>11084</v>
      </c>
      <c r="AR3249" t="s">
        <v>11276</v>
      </c>
      <c r="AS3249" t="s">
        <v>11594</v>
      </c>
      <c r="BA3249" t="s">
        <v>11742</v>
      </c>
      <c r="BB3249">
        <v>0</v>
      </c>
      <c r="BC3249">
        <v>0</v>
      </c>
      <c r="BD3249">
        <v>0</v>
      </c>
      <c r="BE3249">
        <v>0</v>
      </c>
      <c r="BF3249">
        <v>7</v>
      </c>
      <c r="BG3249">
        <v>0</v>
      </c>
    </row>
    <row r="3250" spans="1:59">
      <c r="A3250" s="1">
        <f>HYPERLINK("https://lsnyc.legalserver.org/matter/dynamic-profile/view/1907314","19-1907314")</f>
        <v>0</v>
      </c>
      <c r="B3250" t="s">
        <v>2731</v>
      </c>
      <c r="C3250" t="s">
        <v>7515</v>
      </c>
      <c r="D3250" t="s">
        <v>9928</v>
      </c>
      <c r="E3250" t="s">
        <v>10075</v>
      </c>
      <c r="F3250">
        <v>11226</v>
      </c>
      <c r="G3250" t="s">
        <v>10093</v>
      </c>
      <c r="H3250" t="s">
        <v>10129</v>
      </c>
      <c r="I3250" t="s">
        <v>10168</v>
      </c>
      <c r="J3250" t="s">
        <v>10213</v>
      </c>
      <c r="K3250" t="s">
        <v>10217</v>
      </c>
      <c r="M3250" t="s">
        <v>10382</v>
      </c>
      <c r="N3250" t="s">
        <v>10657</v>
      </c>
      <c r="P3250" t="s">
        <v>10756</v>
      </c>
      <c r="Q3250" t="s">
        <v>10794</v>
      </c>
      <c r="R3250" t="s">
        <v>10824</v>
      </c>
      <c r="T3250">
        <v>3600</v>
      </c>
      <c r="U3250">
        <v>300</v>
      </c>
      <c r="V3250">
        <v>61</v>
      </c>
      <c r="W3250">
        <v>1</v>
      </c>
      <c r="X3250">
        <v>0</v>
      </c>
      <c r="Z3250">
        <v>28.82</v>
      </c>
      <c r="AA3250">
        <v>40.654222</v>
      </c>
      <c r="AB3250">
        <v>-73.955361</v>
      </c>
      <c r="AD3250" t="s">
        <v>10839</v>
      </c>
      <c r="AF3250" t="s">
        <v>10842</v>
      </c>
      <c r="AG3250" t="s">
        <v>10859</v>
      </c>
      <c r="AH3250" t="s">
        <v>10862</v>
      </c>
      <c r="AI3250">
        <v>239</v>
      </c>
      <c r="AJ3250" t="s">
        <v>10213</v>
      </c>
      <c r="AL3250">
        <v>0</v>
      </c>
      <c r="AM3250" t="s">
        <v>10888</v>
      </c>
      <c r="AN3250" t="s">
        <v>10912</v>
      </c>
      <c r="AO3250" t="s">
        <v>11005</v>
      </c>
      <c r="AP3250" t="s">
        <v>11050</v>
      </c>
      <c r="AQ3250" t="s">
        <v>11232</v>
      </c>
      <c r="AR3250" t="s">
        <v>10180</v>
      </c>
      <c r="AS3250" t="s">
        <v>11595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</row>
    <row r="3251" spans="1:59">
      <c r="A3251" s="1">
        <f>HYPERLINK("https://lsnyc.legalserver.org/matter/dynamic-profile/view/1907315","19-1907315")</f>
        <v>0</v>
      </c>
      <c r="B3251" t="s">
        <v>1756</v>
      </c>
      <c r="C3251" t="s">
        <v>5766</v>
      </c>
      <c r="D3251" t="s">
        <v>9926</v>
      </c>
      <c r="E3251" t="s">
        <v>10075</v>
      </c>
      <c r="F3251">
        <v>10451</v>
      </c>
      <c r="G3251" t="s">
        <v>10090</v>
      </c>
      <c r="H3251" t="s">
        <v>10146</v>
      </c>
      <c r="I3251" t="s">
        <v>10169</v>
      </c>
      <c r="J3251" t="s">
        <v>10210</v>
      </c>
      <c r="K3251" t="s">
        <v>10217</v>
      </c>
      <c r="M3251" t="s">
        <v>10397</v>
      </c>
      <c r="N3251" t="s">
        <v>10650</v>
      </c>
      <c r="P3251" t="s">
        <v>10749</v>
      </c>
      <c r="Q3251" t="s">
        <v>10765</v>
      </c>
      <c r="R3251" t="s">
        <v>10821</v>
      </c>
      <c r="T3251">
        <v>26000</v>
      </c>
      <c r="U3251">
        <v>2166.67</v>
      </c>
      <c r="V3251">
        <v>39</v>
      </c>
      <c r="W3251">
        <v>3</v>
      </c>
      <c r="X3251">
        <v>3</v>
      </c>
      <c r="Z3251">
        <v>75.17</v>
      </c>
      <c r="AA3251">
        <v>40.819655</v>
      </c>
      <c r="AB3251">
        <v>-73.928726</v>
      </c>
      <c r="AD3251" t="s">
        <v>10839</v>
      </c>
      <c r="AG3251" t="s">
        <v>10858</v>
      </c>
      <c r="AH3251" t="s">
        <v>10862</v>
      </c>
      <c r="AI3251">
        <v>230</v>
      </c>
      <c r="AJ3251" t="s">
        <v>10210</v>
      </c>
      <c r="AL3251">
        <v>0</v>
      </c>
      <c r="AM3251" t="s">
        <v>10884</v>
      </c>
      <c r="AN3251" t="s">
        <v>10924</v>
      </c>
      <c r="AO3251" t="s">
        <v>11013</v>
      </c>
      <c r="AP3251" t="s">
        <v>11066</v>
      </c>
      <c r="AR3251" t="s">
        <v>11257</v>
      </c>
      <c r="AS3251" t="s">
        <v>9926</v>
      </c>
      <c r="AT3251" t="s">
        <v>11641</v>
      </c>
      <c r="AX3251" t="s">
        <v>10838</v>
      </c>
      <c r="BA3251" t="s">
        <v>11741</v>
      </c>
      <c r="BB3251">
        <v>0</v>
      </c>
      <c r="BC3251">
        <v>0</v>
      </c>
      <c r="BD3251">
        <v>0</v>
      </c>
      <c r="BE3251">
        <v>0</v>
      </c>
      <c r="BF3251">
        <v>1</v>
      </c>
      <c r="BG3251">
        <v>0</v>
      </c>
    </row>
    <row r="3252" spans="1:59">
      <c r="A3252" s="1">
        <f>HYPERLINK("https://lsnyc.legalserver.org/matter/dynamic-profile/view/1907316","19-1907316")</f>
        <v>0</v>
      </c>
      <c r="B3252" t="s">
        <v>2732</v>
      </c>
      <c r="C3252" t="s">
        <v>7516</v>
      </c>
      <c r="D3252" t="s">
        <v>9926</v>
      </c>
      <c r="E3252" t="s">
        <v>10075</v>
      </c>
      <c r="F3252">
        <v>10456</v>
      </c>
      <c r="G3252" t="s">
        <v>10090</v>
      </c>
      <c r="H3252" t="s">
        <v>10129</v>
      </c>
      <c r="I3252" t="s">
        <v>10168</v>
      </c>
      <c r="J3252" t="s">
        <v>10215</v>
      </c>
      <c r="K3252" t="s">
        <v>10217</v>
      </c>
      <c r="M3252" t="s">
        <v>10297</v>
      </c>
      <c r="N3252" t="s">
        <v>10666</v>
      </c>
      <c r="P3252" t="s">
        <v>10749</v>
      </c>
      <c r="Q3252" t="s">
        <v>10767</v>
      </c>
      <c r="R3252" t="s">
        <v>10822</v>
      </c>
      <c r="T3252">
        <v>14868</v>
      </c>
      <c r="U3252">
        <v>1239</v>
      </c>
      <c r="V3252">
        <v>61</v>
      </c>
      <c r="W3252">
        <v>1</v>
      </c>
      <c r="X3252">
        <v>0</v>
      </c>
      <c r="Z3252">
        <v>119.04</v>
      </c>
      <c r="AA3252">
        <v>40.833336</v>
      </c>
      <c r="AB3252">
        <v>-73.907951</v>
      </c>
      <c r="AD3252" t="s">
        <v>10822</v>
      </c>
      <c r="AG3252" t="s">
        <v>10858</v>
      </c>
      <c r="AH3252" t="s">
        <v>10862</v>
      </c>
      <c r="AI3252">
        <v>231</v>
      </c>
      <c r="AJ3252" t="s">
        <v>10215</v>
      </c>
      <c r="AL3252">
        <v>4.1</v>
      </c>
      <c r="AM3252" t="s">
        <v>10884</v>
      </c>
      <c r="AN3252" t="s">
        <v>10918</v>
      </c>
      <c r="AO3252" t="s">
        <v>11001</v>
      </c>
      <c r="AP3252" t="s">
        <v>11055</v>
      </c>
      <c r="AR3252" t="s">
        <v>11296</v>
      </c>
      <c r="AS3252" t="s">
        <v>9926</v>
      </c>
      <c r="BA3252" t="s">
        <v>11738</v>
      </c>
      <c r="BB3252">
        <v>0</v>
      </c>
      <c r="BC3252">
        <v>0</v>
      </c>
      <c r="BD3252">
        <v>0</v>
      </c>
      <c r="BE3252">
        <v>0</v>
      </c>
      <c r="BF3252">
        <v>5</v>
      </c>
      <c r="BG3252">
        <v>0</v>
      </c>
    </row>
    <row r="3253" spans="1:59">
      <c r="A3253" s="1">
        <f>HYPERLINK("https://lsnyc.legalserver.org/matter/dynamic-profile/view/1907317","19-1907317")</f>
        <v>0</v>
      </c>
      <c r="B3253" t="s">
        <v>2733</v>
      </c>
      <c r="C3253" t="s">
        <v>7517</v>
      </c>
      <c r="D3253" t="s">
        <v>9938</v>
      </c>
      <c r="E3253" t="s">
        <v>10075</v>
      </c>
      <c r="F3253">
        <v>11435</v>
      </c>
      <c r="G3253" t="s">
        <v>10092</v>
      </c>
      <c r="H3253" t="s">
        <v>10129</v>
      </c>
      <c r="I3253" t="s">
        <v>10169</v>
      </c>
      <c r="J3253" t="s">
        <v>10212</v>
      </c>
      <c r="K3253" t="s">
        <v>10217</v>
      </c>
      <c r="M3253" t="s">
        <v>10441</v>
      </c>
      <c r="N3253" t="s">
        <v>10694</v>
      </c>
      <c r="P3253" t="s">
        <v>10751</v>
      </c>
      <c r="Q3253" t="s">
        <v>10768</v>
      </c>
      <c r="R3253" t="s">
        <v>10821</v>
      </c>
      <c r="T3253">
        <v>0</v>
      </c>
      <c r="U3253">
        <v>0</v>
      </c>
      <c r="V3253">
        <v>66</v>
      </c>
      <c r="W3253">
        <v>1</v>
      </c>
      <c r="X3253">
        <v>0</v>
      </c>
      <c r="Z3253">
        <v>0</v>
      </c>
      <c r="AA3253">
        <v>40.704749</v>
      </c>
      <c r="AB3253">
        <v>-73.806703</v>
      </c>
      <c r="AD3253" t="s">
        <v>10840</v>
      </c>
      <c r="AF3253" t="s">
        <v>10843</v>
      </c>
      <c r="AG3253" t="s">
        <v>10859</v>
      </c>
      <c r="AH3253" t="s">
        <v>10861</v>
      </c>
      <c r="AI3253">
        <v>237</v>
      </c>
      <c r="AJ3253" t="s">
        <v>10212</v>
      </c>
      <c r="AL3253">
        <v>4.75</v>
      </c>
      <c r="AM3253" t="s">
        <v>10892</v>
      </c>
      <c r="AN3253" t="s">
        <v>10951</v>
      </c>
      <c r="AO3253" t="s">
        <v>11020</v>
      </c>
      <c r="AP3253" t="s">
        <v>11081</v>
      </c>
      <c r="AR3253" t="s">
        <v>11267</v>
      </c>
      <c r="AS3253" t="s">
        <v>11594</v>
      </c>
      <c r="AT3253" t="s">
        <v>11642</v>
      </c>
      <c r="AV3253" t="s">
        <v>11655</v>
      </c>
      <c r="AW3253" t="s">
        <v>11666</v>
      </c>
      <c r="AX3253" t="s">
        <v>10838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</row>
    <row r="3254" spans="1:59">
      <c r="A3254" s="1">
        <f>HYPERLINK("https://lsnyc.legalserver.org/matter/dynamic-profile/view/1907318","19-1907318")</f>
        <v>0</v>
      </c>
      <c r="B3254" t="s">
        <v>2734</v>
      </c>
      <c r="C3254" t="s">
        <v>7518</v>
      </c>
      <c r="D3254" t="s">
        <v>9946</v>
      </c>
      <c r="E3254" t="s">
        <v>10075</v>
      </c>
      <c r="F3254">
        <v>11385</v>
      </c>
      <c r="G3254" t="s">
        <v>10092</v>
      </c>
      <c r="H3254" t="s">
        <v>10129</v>
      </c>
      <c r="I3254" t="s">
        <v>10169</v>
      </c>
      <c r="J3254" t="s">
        <v>10212</v>
      </c>
      <c r="K3254" t="s">
        <v>10217</v>
      </c>
      <c r="M3254" t="s">
        <v>10329</v>
      </c>
      <c r="N3254" t="s">
        <v>10711</v>
      </c>
      <c r="P3254" t="s">
        <v>10749</v>
      </c>
      <c r="Q3254" t="s">
        <v>10765</v>
      </c>
      <c r="R3254" t="s">
        <v>10821</v>
      </c>
      <c r="T3254">
        <v>24960</v>
      </c>
      <c r="U3254">
        <v>2080</v>
      </c>
      <c r="V3254">
        <v>37</v>
      </c>
      <c r="W3254">
        <v>1</v>
      </c>
      <c r="X3254">
        <v>3</v>
      </c>
      <c r="Z3254">
        <v>96.93000000000001</v>
      </c>
      <c r="AA3254">
        <v>40.705931</v>
      </c>
      <c r="AB3254">
        <v>-73.915522</v>
      </c>
      <c r="AD3254" t="s">
        <v>10839</v>
      </c>
      <c r="AF3254" t="s">
        <v>10842</v>
      </c>
      <c r="AG3254" t="s">
        <v>10859</v>
      </c>
      <c r="AH3254" t="s">
        <v>10862</v>
      </c>
      <c r="AI3254">
        <v>237</v>
      </c>
      <c r="AJ3254" t="s">
        <v>10212</v>
      </c>
      <c r="AL3254">
        <v>1.7</v>
      </c>
      <c r="AM3254" t="s">
        <v>10886</v>
      </c>
      <c r="AN3254" t="s">
        <v>10961</v>
      </c>
      <c r="AO3254" t="s">
        <v>11003</v>
      </c>
      <c r="AP3254" t="s">
        <v>11071</v>
      </c>
      <c r="AR3254" t="s">
        <v>11257</v>
      </c>
      <c r="AS3254" t="s">
        <v>11594</v>
      </c>
      <c r="BA3254" t="s">
        <v>11740</v>
      </c>
      <c r="BB3254">
        <v>0</v>
      </c>
      <c r="BC3254">
        <v>0</v>
      </c>
      <c r="BD3254">
        <v>0</v>
      </c>
      <c r="BE3254">
        <v>0</v>
      </c>
      <c r="BF3254">
        <v>2</v>
      </c>
      <c r="BG3254">
        <v>0</v>
      </c>
    </row>
    <row r="3255" spans="1:59">
      <c r="A3255" s="1">
        <f>HYPERLINK("https://lsnyc.legalserver.org/matter/dynamic-profile/view/1907319","19-1907319")</f>
        <v>0</v>
      </c>
      <c r="B3255" t="s">
        <v>2735</v>
      </c>
      <c r="C3255" t="s">
        <v>7519</v>
      </c>
      <c r="D3255" t="s">
        <v>9928</v>
      </c>
      <c r="E3255" t="s">
        <v>10075</v>
      </c>
      <c r="F3255">
        <v>11220</v>
      </c>
      <c r="G3255" t="s">
        <v>10093</v>
      </c>
      <c r="H3255" t="s">
        <v>10129</v>
      </c>
      <c r="I3255" t="s">
        <v>10168</v>
      </c>
      <c r="J3255" t="s">
        <v>10213</v>
      </c>
      <c r="K3255" t="s">
        <v>10217</v>
      </c>
      <c r="M3255" t="s">
        <v>10314</v>
      </c>
      <c r="N3255" t="s">
        <v>10657</v>
      </c>
      <c r="P3255" t="s">
        <v>10749</v>
      </c>
      <c r="Q3255" t="s">
        <v>10765</v>
      </c>
      <c r="R3255" t="s">
        <v>10822</v>
      </c>
      <c r="T3255">
        <v>10296</v>
      </c>
      <c r="U3255">
        <v>858</v>
      </c>
      <c r="V3255">
        <v>60</v>
      </c>
      <c r="W3255">
        <v>2</v>
      </c>
      <c r="X3255">
        <v>0</v>
      </c>
      <c r="Z3255">
        <v>60.89</v>
      </c>
      <c r="AA3255">
        <v>40.646832</v>
      </c>
      <c r="AB3255">
        <v>-74.004775</v>
      </c>
      <c r="AD3255" t="s">
        <v>10822</v>
      </c>
      <c r="AG3255" t="s">
        <v>10858</v>
      </c>
      <c r="AH3255" t="s">
        <v>10862</v>
      </c>
      <c r="AI3255">
        <v>239</v>
      </c>
      <c r="AJ3255" t="s">
        <v>10213</v>
      </c>
      <c r="AL3255">
        <v>0.75</v>
      </c>
      <c r="AM3255" t="s">
        <v>10886</v>
      </c>
      <c r="AN3255" t="s">
        <v>10921</v>
      </c>
      <c r="AO3255" t="s">
        <v>11015</v>
      </c>
      <c r="AP3255" t="s">
        <v>11069</v>
      </c>
      <c r="AR3255" t="s">
        <v>10180</v>
      </c>
      <c r="AS3255" t="s">
        <v>11595</v>
      </c>
      <c r="BA3255" t="s">
        <v>11742</v>
      </c>
      <c r="BB3255">
        <v>0</v>
      </c>
      <c r="BC3255">
        <v>0</v>
      </c>
      <c r="BD3255">
        <v>0</v>
      </c>
      <c r="BE3255">
        <v>0</v>
      </c>
      <c r="BF3255">
        <v>7</v>
      </c>
      <c r="BG3255">
        <v>0</v>
      </c>
    </row>
    <row r="3256" spans="1:59">
      <c r="A3256" s="1">
        <f>HYPERLINK("https://lsnyc.legalserver.org/matter/dynamic-profile/view/1907320","19-1907320")</f>
        <v>0</v>
      </c>
      <c r="B3256" t="s">
        <v>2736</v>
      </c>
      <c r="C3256" t="s">
        <v>7520</v>
      </c>
      <c r="D3256" t="s">
        <v>9928</v>
      </c>
      <c r="E3256" t="s">
        <v>10075</v>
      </c>
      <c r="F3256">
        <v>11206</v>
      </c>
      <c r="G3256" t="s">
        <v>10093</v>
      </c>
      <c r="H3256" t="s">
        <v>10129</v>
      </c>
      <c r="I3256" t="s">
        <v>10168</v>
      </c>
      <c r="J3256" t="s">
        <v>10213</v>
      </c>
      <c r="K3256" t="s">
        <v>10218</v>
      </c>
      <c r="L3256" t="s">
        <v>10142</v>
      </c>
      <c r="M3256" t="s">
        <v>10304</v>
      </c>
      <c r="N3256" t="s">
        <v>10671</v>
      </c>
      <c r="P3256" t="s">
        <v>10749</v>
      </c>
      <c r="Q3256" t="s">
        <v>10765</v>
      </c>
      <c r="R3256" t="s">
        <v>10824</v>
      </c>
      <c r="T3256">
        <v>9492</v>
      </c>
      <c r="U3256">
        <v>791</v>
      </c>
      <c r="V3256">
        <v>64</v>
      </c>
      <c r="W3256">
        <v>1</v>
      </c>
      <c r="X3256">
        <v>0</v>
      </c>
      <c r="Y3256" t="s">
        <v>10830</v>
      </c>
      <c r="Z3256">
        <v>76</v>
      </c>
      <c r="AA3256">
        <v>40.695625</v>
      </c>
      <c r="AB3256">
        <v>-73.939156</v>
      </c>
      <c r="AD3256" t="s">
        <v>10839</v>
      </c>
      <c r="AF3256" t="s">
        <v>10843</v>
      </c>
      <c r="AG3256" t="s">
        <v>10859</v>
      </c>
      <c r="AH3256" t="s">
        <v>10861</v>
      </c>
      <c r="AI3256">
        <v>234</v>
      </c>
      <c r="AJ3256" t="s">
        <v>10214</v>
      </c>
      <c r="AK3256" t="s">
        <v>10882</v>
      </c>
      <c r="AL3256">
        <v>1</v>
      </c>
      <c r="AM3256" t="s">
        <v>10889</v>
      </c>
      <c r="AN3256" t="s">
        <v>10920</v>
      </c>
      <c r="AO3256" t="s">
        <v>11011</v>
      </c>
      <c r="AP3256" t="s">
        <v>11052</v>
      </c>
      <c r="AR3256" t="s">
        <v>11331</v>
      </c>
      <c r="AS3256" t="s">
        <v>11595</v>
      </c>
      <c r="AT3256" t="s">
        <v>11641</v>
      </c>
      <c r="AX3256" t="s">
        <v>10838</v>
      </c>
      <c r="AY3256" t="s">
        <v>10830</v>
      </c>
      <c r="AZ3256" t="s">
        <v>11681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</row>
    <row r="3257" spans="1:59">
      <c r="A3257" s="1">
        <f>HYPERLINK("https://lsnyc.legalserver.org/matter/dynamic-profile/view/1907321","19-1907321")</f>
        <v>0</v>
      </c>
      <c r="B3257" t="s">
        <v>2737</v>
      </c>
      <c r="C3257" t="s">
        <v>7521</v>
      </c>
      <c r="D3257" t="s">
        <v>9926</v>
      </c>
      <c r="E3257" t="s">
        <v>10075</v>
      </c>
      <c r="F3257">
        <v>10452</v>
      </c>
      <c r="G3257" t="s">
        <v>10090</v>
      </c>
      <c r="H3257" t="s">
        <v>10129</v>
      </c>
      <c r="I3257" t="s">
        <v>10168</v>
      </c>
      <c r="J3257" t="s">
        <v>10210</v>
      </c>
      <c r="K3257" t="s">
        <v>10218</v>
      </c>
      <c r="L3257" t="s">
        <v>10108</v>
      </c>
      <c r="M3257" t="s">
        <v>10463</v>
      </c>
      <c r="N3257" t="s">
        <v>10671</v>
      </c>
      <c r="P3257" t="s">
        <v>10749</v>
      </c>
      <c r="Q3257" t="s">
        <v>10765</v>
      </c>
      <c r="R3257" t="s">
        <v>10824</v>
      </c>
      <c r="T3257">
        <v>19176</v>
      </c>
      <c r="U3257">
        <v>1598</v>
      </c>
      <c r="V3257">
        <v>73</v>
      </c>
      <c r="W3257">
        <v>1</v>
      </c>
      <c r="X3257">
        <v>0</v>
      </c>
      <c r="Y3257" t="s">
        <v>10829</v>
      </c>
      <c r="Z3257">
        <v>153.53</v>
      </c>
      <c r="AA3257">
        <v>40.841097</v>
      </c>
      <c r="AB3257">
        <v>-73.922618</v>
      </c>
      <c r="AD3257" t="s">
        <v>10839</v>
      </c>
      <c r="AG3257" t="s">
        <v>10858</v>
      </c>
      <c r="AH3257" t="s">
        <v>10861</v>
      </c>
      <c r="AI3257">
        <v>234</v>
      </c>
      <c r="AJ3257" t="s">
        <v>10214</v>
      </c>
      <c r="AK3257" t="s">
        <v>10882</v>
      </c>
      <c r="AL3257">
        <v>1.1</v>
      </c>
      <c r="AM3257" t="s">
        <v>10884</v>
      </c>
      <c r="AN3257" t="s">
        <v>10929</v>
      </c>
      <c r="AO3257" t="s">
        <v>11013</v>
      </c>
      <c r="AP3257" t="s">
        <v>11055</v>
      </c>
      <c r="AR3257" t="s">
        <v>11265</v>
      </c>
      <c r="AS3257" t="s">
        <v>9926</v>
      </c>
      <c r="AT3257" t="s">
        <v>11641</v>
      </c>
      <c r="AX3257" t="s">
        <v>10838</v>
      </c>
      <c r="AY3257" t="s">
        <v>10829</v>
      </c>
      <c r="AZ3257" t="s">
        <v>11681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</row>
    <row r="3258" spans="1:59">
      <c r="A3258" s="1">
        <f>HYPERLINK("https://lsnyc.legalserver.org/matter/dynamic-profile/view/1907323","19-1907323")</f>
        <v>0</v>
      </c>
      <c r="B3258" t="s">
        <v>2738</v>
      </c>
      <c r="C3258" t="s">
        <v>7522</v>
      </c>
      <c r="D3258" t="s">
        <v>9951</v>
      </c>
      <c r="E3258" t="s">
        <v>10075</v>
      </c>
      <c r="F3258">
        <v>11417</v>
      </c>
      <c r="G3258" t="s">
        <v>10093</v>
      </c>
      <c r="H3258" t="s">
        <v>10120</v>
      </c>
      <c r="I3258" t="s">
        <v>10169</v>
      </c>
      <c r="J3258" t="s">
        <v>10213</v>
      </c>
      <c r="K3258" t="s">
        <v>10218</v>
      </c>
      <c r="L3258" t="s">
        <v>10120</v>
      </c>
      <c r="M3258" t="s">
        <v>10321</v>
      </c>
      <c r="N3258" t="s">
        <v>10665</v>
      </c>
      <c r="P3258" t="s">
        <v>10751</v>
      </c>
      <c r="Q3258" t="s">
        <v>10773</v>
      </c>
      <c r="R3258" t="s">
        <v>10823</v>
      </c>
      <c r="T3258">
        <v>24000</v>
      </c>
      <c r="U3258">
        <v>2000</v>
      </c>
      <c r="V3258">
        <v>53</v>
      </c>
      <c r="W3258">
        <v>3</v>
      </c>
      <c r="X3258">
        <v>0</v>
      </c>
      <c r="Y3258" t="s">
        <v>10829</v>
      </c>
      <c r="Z3258">
        <v>112.52</v>
      </c>
      <c r="AA3258">
        <v>40.664459</v>
      </c>
      <c r="AB3258">
        <v>-73.892786</v>
      </c>
      <c r="AD3258" t="s">
        <v>10839</v>
      </c>
      <c r="AG3258" t="s">
        <v>10858</v>
      </c>
      <c r="AH3258" t="s">
        <v>10862</v>
      </c>
      <c r="AI3258">
        <v>239</v>
      </c>
      <c r="AJ3258" t="s">
        <v>10213</v>
      </c>
      <c r="AK3258" t="s">
        <v>10838</v>
      </c>
      <c r="AL3258">
        <v>2.95</v>
      </c>
      <c r="AR3258" t="s">
        <v>11257</v>
      </c>
      <c r="AS3258" t="s">
        <v>11594</v>
      </c>
      <c r="AY3258" t="s">
        <v>10829</v>
      </c>
      <c r="AZ3258" t="s">
        <v>11682</v>
      </c>
      <c r="BA3258" t="s">
        <v>11741</v>
      </c>
      <c r="BB3258">
        <v>0</v>
      </c>
      <c r="BC3258">
        <v>0</v>
      </c>
      <c r="BD3258">
        <v>0</v>
      </c>
      <c r="BE3258">
        <v>0</v>
      </c>
      <c r="BF3258">
        <v>1</v>
      </c>
      <c r="BG3258">
        <v>0</v>
      </c>
    </row>
    <row r="3259" spans="1:59">
      <c r="A3259" s="1">
        <f>HYPERLINK("https://lsnyc.legalserver.org/matter/dynamic-profile/view/1907324","19-1907324")</f>
        <v>0</v>
      </c>
      <c r="B3259" t="s">
        <v>2739</v>
      </c>
      <c r="C3259" t="s">
        <v>7523</v>
      </c>
      <c r="D3259" t="s">
        <v>9929</v>
      </c>
      <c r="E3259" t="s">
        <v>10075</v>
      </c>
      <c r="F3259">
        <v>10305</v>
      </c>
      <c r="G3259" t="s">
        <v>10088</v>
      </c>
      <c r="H3259" t="s">
        <v>10142</v>
      </c>
      <c r="I3259" t="s">
        <v>10168</v>
      </c>
      <c r="J3259" t="s">
        <v>10208</v>
      </c>
      <c r="K3259" t="s">
        <v>10217</v>
      </c>
      <c r="M3259" t="s">
        <v>10257</v>
      </c>
      <c r="N3259" t="s">
        <v>10729</v>
      </c>
      <c r="P3259" t="s">
        <v>10754</v>
      </c>
      <c r="Q3259" t="s">
        <v>10775</v>
      </c>
      <c r="R3259" t="s">
        <v>10820</v>
      </c>
      <c r="T3259">
        <v>12332</v>
      </c>
      <c r="U3259">
        <v>1027.67</v>
      </c>
      <c r="V3259">
        <v>43</v>
      </c>
      <c r="W3259">
        <v>2</v>
      </c>
      <c r="X3259">
        <v>2</v>
      </c>
      <c r="Z3259">
        <v>47.89</v>
      </c>
      <c r="AA3259">
        <v>40.594978</v>
      </c>
      <c r="AB3259">
        <v>-74.073958</v>
      </c>
      <c r="AD3259" t="s">
        <v>10839</v>
      </c>
      <c r="AG3259" t="s">
        <v>10858</v>
      </c>
      <c r="AH3259" t="s">
        <v>10865</v>
      </c>
      <c r="AI3259">
        <v>285</v>
      </c>
      <c r="AJ3259" t="s">
        <v>10208</v>
      </c>
      <c r="AL3259">
        <v>1.5</v>
      </c>
      <c r="AM3259" t="s">
        <v>10883</v>
      </c>
      <c r="AN3259" t="s">
        <v>10915</v>
      </c>
      <c r="AO3259" t="s">
        <v>11006</v>
      </c>
      <c r="AP3259" t="s">
        <v>11063</v>
      </c>
      <c r="AR3259" t="s">
        <v>11310</v>
      </c>
      <c r="AS3259" t="s">
        <v>11593</v>
      </c>
      <c r="AX3259" t="s">
        <v>10838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</row>
    <row r="3260" spans="1:59">
      <c r="A3260" s="1">
        <f>HYPERLINK("https://lsnyc.legalserver.org/matter/dynamic-profile/view/1907326","19-1907326")</f>
        <v>0</v>
      </c>
      <c r="B3260" t="s">
        <v>2740</v>
      </c>
      <c r="C3260" t="s">
        <v>7524</v>
      </c>
      <c r="D3260" t="s">
        <v>9928</v>
      </c>
      <c r="E3260" t="s">
        <v>10075</v>
      </c>
      <c r="F3260">
        <v>11233</v>
      </c>
      <c r="G3260" t="s">
        <v>10093</v>
      </c>
      <c r="H3260" t="s">
        <v>10129</v>
      </c>
      <c r="I3260" t="s">
        <v>10169</v>
      </c>
      <c r="J3260" t="s">
        <v>10213</v>
      </c>
      <c r="K3260" t="s">
        <v>10217</v>
      </c>
      <c r="M3260" t="s">
        <v>10245</v>
      </c>
      <c r="N3260" t="s">
        <v>10657</v>
      </c>
      <c r="P3260" t="s">
        <v>10749</v>
      </c>
      <c r="Q3260" t="s">
        <v>10765</v>
      </c>
      <c r="R3260" t="s">
        <v>10821</v>
      </c>
      <c r="T3260">
        <v>49400</v>
      </c>
      <c r="U3260">
        <v>4116.67</v>
      </c>
      <c r="V3260">
        <v>58</v>
      </c>
      <c r="W3260">
        <v>1</v>
      </c>
      <c r="X3260">
        <v>0</v>
      </c>
      <c r="Z3260">
        <v>395.52</v>
      </c>
      <c r="AA3260">
        <v>40.680001</v>
      </c>
      <c r="AB3260">
        <v>-73.914787</v>
      </c>
      <c r="AD3260" t="s">
        <v>10840</v>
      </c>
      <c r="AF3260" t="s">
        <v>10843</v>
      </c>
      <c r="AG3260" t="s">
        <v>10859</v>
      </c>
      <c r="AH3260" t="s">
        <v>10861</v>
      </c>
      <c r="AI3260">
        <v>239</v>
      </c>
      <c r="AJ3260" t="s">
        <v>10213</v>
      </c>
      <c r="AL3260">
        <v>0.6</v>
      </c>
      <c r="AM3260" t="s">
        <v>10889</v>
      </c>
      <c r="AN3260" t="s">
        <v>10922</v>
      </c>
      <c r="AO3260" t="s">
        <v>11007</v>
      </c>
      <c r="AP3260" t="s">
        <v>11064</v>
      </c>
      <c r="AR3260" t="s">
        <v>11257</v>
      </c>
      <c r="AS3260" t="s">
        <v>11595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</row>
    <row r="3261" spans="1:59">
      <c r="A3261" s="1">
        <f>HYPERLINK("https://lsnyc.legalserver.org/matter/dynamic-profile/view/1907327","19-1907327")</f>
        <v>0</v>
      </c>
      <c r="B3261" t="s">
        <v>2741</v>
      </c>
      <c r="C3261" t="s">
        <v>7525</v>
      </c>
      <c r="D3261" t="s">
        <v>9936</v>
      </c>
      <c r="E3261" t="s">
        <v>10075</v>
      </c>
      <c r="F3261">
        <v>11106</v>
      </c>
      <c r="G3261" t="s">
        <v>10092</v>
      </c>
      <c r="H3261" t="s">
        <v>10129</v>
      </c>
      <c r="I3261" t="s">
        <v>10168</v>
      </c>
      <c r="J3261" t="s">
        <v>10212</v>
      </c>
      <c r="K3261" t="s">
        <v>10217</v>
      </c>
      <c r="M3261" t="s">
        <v>10365</v>
      </c>
      <c r="N3261" t="s">
        <v>10695</v>
      </c>
      <c r="P3261" t="s">
        <v>10749</v>
      </c>
      <c r="Q3261" t="s">
        <v>10767</v>
      </c>
      <c r="R3261" t="s">
        <v>10821</v>
      </c>
      <c r="T3261">
        <v>18200</v>
      </c>
      <c r="U3261">
        <v>1516.67</v>
      </c>
      <c r="V3261">
        <v>51</v>
      </c>
      <c r="W3261">
        <v>2</v>
      </c>
      <c r="X3261">
        <v>0</v>
      </c>
      <c r="Z3261">
        <v>107.63</v>
      </c>
      <c r="AA3261">
        <v>40.760603</v>
      </c>
      <c r="AB3261">
        <v>-73.93455400000001</v>
      </c>
      <c r="AD3261" t="s">
        <v>10840</v>
      </c>
      <c r="AG3261" t="s">
        <v>10858</v>
      </c>
      <c r="AH3261" t="s">
        <v>10862</v>
      </c>
      <c r="AI3261">
        <v>237</v>
      </c>
      <c r="AJ3261" t="s">
        <v>10212</v>
      </c>
      <c r="AL3261">
        <v>2.43</v>
      </c>
      <c r="AM3261" t="s">
        <v>10891</v>
      </c>
      <c r="AN3261" t="s">
        <v>10961</v>
      </c>
      <c r="AO3261" t="s">
        <v>11003</v>
      </c>
      <c r="AP3261" t="s">
        <v>11047</v>
      </c>
      <c r="AR3261" t="s">
        <v>11257</v>
      </c>
      <c r="AS3261" t="s">
        <v>11594</v>
      </c>
      <c r="BA3261" t="s">
        <v>11741</v>
      </c>
      <c r="BB3261">
        <v>0</v>
      </c>
      <c r="BC3261">
        <v>0</v>
      </c>
      <c r="BD3261">
        <v>0</v>
      </c>
      <c r="BE3261">
        <v>0</v>
      </c>
      <c r="BF3261">
        <v>1</v>
      </c>
      <c r="BG3261">
        <v>0</v>
      </c>
    </row>
    <row r="3262" spans="1:59">
      <c r="A3262" s="1">
        <f>HYPERLINK("https://lsnyc.legalserver.org/matter/dynamic-profile/view/1907328","19-1907328")</f>
        <v>0</v>
      </c>
      <c r="B3262" t="s">
        <v>2742</v>
      </c>
      <c r="C3262" t="s">
        <v>7526</v>
      </c>
      <c r="D3262" t="s">
        <v>9928</v>
      </c>
      <c r="E3262" t="s">
        <v>10075</v>
      </c>
      <c r="F3262">
        <v>11203</v>
      </c>
      <c r="G3262" t="s">
        <v>10093</v>
      </c>
      <c r="H3262" t="s">
        <v>10129</v>
      </c>
      <c r="I3262" t="s">
        <v>10168</v>
      </c>
      <c r="J3262" t="s">
        <v>10213</v>
      </c>
      <c r="K3262" t="s">
        <v>10217</v>
      </c>
      <c r="M3262" t="s">
        <v>10378</v>
      </c>
      <c r="N3262" t="s">
        <v>10698</v>
      </c>
      <c r="P3262" t="s">
        <v>10751</v>
      </c>
      <c r="Q3262" t="s">
        <v>10761</v>
      </c>
      <c r="R3262" t="s">
        <v>10824</v>
      </c>
      <c r="T3262">
        <v>3600</v>
      </c>
      <c r="U3262">
        <v>300</v>
      </c>
      <c r="V3262">
        <v>29</v>
      </c>
      <c r="W3262">
        <v>1</v>
      </c>
      <c r="X3262">
        <v>0</v>
      </c>
      <c r="Z3262">
        <v>28.82</v>
      </c>
      <c r="AA3262">
        <v>40.659229</v>
      </c>
      <c r="AB3262">
        <v>-73.938588</v>
      </c>
      <c r="AD3262" t="s">
        <v>10839</v>
      </c>
      <c r="AG3262" t="s">
        <v>10858</v>
      </c>
      <c r="AH3262" t="s">
        <v>10868</v>
      </c>
      <c r="AI3262">
        <v>239</v>
      </c>
      <c r="AJ3262" t="s">
        <v>10213</v>
      </c>
      <c r="AL3262">
        <v>8</v>
      </c>
      <c r="AM3262" t="s">
        <v>10888</v>
      </c>
      <c r="AN3262" t="s">
        <v>10912</v>
      </c>
      <c r="AO3262" t="s">
        <v>11005</v>
      </c>
      <c r="AP3262" t="s">
        <v>11064</v>
      </c>
      <c r="AR3262" t="s">
        <v>11321</v>
      </c>
      <c r="AS3262" t="s">
        <v>11595</v>
      </c>
      <c r="AT3262" t="s">
        <v>11641</v>
      </c>
      <c r="AX3262" t="s">
        <v>10837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</row>
    <row r="3263" spans="1:59">
      <c r="A3263" s="1">
        <f>HYPERLINK("https://lsnyc.legalserver.org/matter/dynamic-profile/view/1907330","19-1907330")</f>
        <v>0</v>
      </c>
      <c r="B3263" t="s">
        <v>2743</v>
      </c>
      <c r="C3263" t="s">
        <v>7527</v>
      </c>
      <c r="D3263" t="s">
        <v>9928</v>
      </c>
      <c r="E3263" t="s">
        <v>10075</v>
      </c>
      <c r="F3263">
        <v>11213</v>
      </c>
      <c r="G3263" t="s">
        <v>10093</v>
      </c>
      <c r="H3263" t="s">
        <v>10129</v>
      </c>
      <c r="I3263" t="s">
        <v>10179</v>
      </c>
      <c r="J3263" t="s">
        <v>10213</v>
      </c>
      <c r="K3263" t="s">
        <v>10217</v>
      </c>
      <c r="M3263" t="s">
        <v>10526</v>
      </c>
      <c r="N3263" t="s">
        <v>10657</v>
      </c>
      <c r="P3263" t="s">
        <v>10752</v>
      </c>
      <c r="Q3263" t="s">
        <v>10805</v>
      </c>
      <c r="R3263" t="s">
        <v>10828</v>
      </c>
      <c r="T3263">
        <v>28900</v>
      </c>
      <c r="U3263">
        <v>2408.33</v>
      </c>
      <c r="V3263">
        <v>44</v>
      </c>
      <c r="W3263">
        <v>2</v>
      </c>
      <c r="X3263">
        <v>3</v>
      </c>
      <c r="Z3263">
        <v>95.79000000000001</v>
      </c>
      <c r="AA3263">
        <v>40.679431</v>
      </c>
      <c r="AB3263">
        <v>-73.936128</v>
      </c>
      <c r="AD3263" t="s">
        <v>10840</v>
      </c>
      <c r="AG3263" t="s">
        <v>10858</v>
      </c>
      <c r="AH3263" t="s">
        <v>10861</v>
      </c>
      <c r="AI3263">
        <v>239</v>
      </c>
      <c r="AJ3263" t="s">
        <v>10213</v>
      </c>
      <c r="AL3263">
        <v>0.5</v>
      </c>
      <c r="AM3263" t="s">
        <v>10889</v>
      </c>
      <c r="AN3263" t="s">
        <v>10914</v>
      </c>
      <c r="AO3263" t="s">
        <v>11007</v>
      </c>
      <c r="AP3263" t="s">
        <v>11052</v>
      </c>
      <c r="AR3263" t="s">
        <v>11257</v>
      </c>
      <c r="AS3263" t="s">
        <v>11595</v>
      </c>
      <c r="AT3263" t="s">
        <v>11642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</row>
    <row r="3264" spans="1:59">
      <c r="A3264" s="1">
        <f>HYPERLINK("https://lsnyc.legalserver.org/matter/dynamic-profile/view/1907331","19-1907331")</f>
        <v>0</v>
      </c>
      <c r="B3264" t="s">
        <v>2744</v>
      </c>
      <c r="C3264" t="s">
        <v>7528</v>
      </c>
      <c r="D3264" t="s">
        <v>9936</v>
      </c>
      <c r="E3264" t="s">
        <v>10075</v>
      </c>
      <c r="F3264">
        <v>11106</v>
      </c>
      <c r="G3264" t="s">
        <v>10089</v>
      </c>
      <c r="H3264" t="s">
        <v>10129</v>
      </c>
      <c r="J3264" t="s">
        <v>10209</v>
      </c>
      <c r="K3264" t="s">
        <v>10217</v>
      </c>
      <c r="M3264" t="s">
        <v>10490</v>
      </c>
      <c r="N3264" t="s">
        <v>10718</v>
      </c>
      <c r="P3264" t="s">
        <v>10752</v>
      </c>
      <c r="Q3264" t="s">
        <v>10816</v>
      </c>
      <c r="R3264" t="s">
        <v>10820</v>
      </c>
      <c r="T3264">
        <v>24000</v>
      </c>
      <c r="U3264">
        <v>2000</v>
      </c>
      <c r="V3264">
        <v>45</v>
      </c>
      <c r="W3264">
        <v>2</v>
      </c>
      <c r="X3264">
        <v>1</v>
      </c>
      <c r="Z3264">
        <v>112.52</v>
      </c>
      <c r="AA3264">
        <v>40.762031</v>
      </c>
      <c r="AB3264">
        <v>-73.92276200000001</v>
      </c>
      <c r="AD3264" t="s">
        <v>10839</v>
      </c>
      <c r="AG3264" t="s">
        <v>10858</v>
      </c>
      <c r="AH3264" t="s">
        <v>10879</v>
      </c>
      <c r="AI3264">
        <v>236</v>
      </c>
      <c r="AJ3264" t="s">
        <v>10209</v>
      </c>
      <c r="AL3264">
        <v>6</v>
      </c>
      <c r="AM3264" t="s">
        <v>10891</v>
      </c>
      <c r="AN3264" t="s">
        <v>10954</v>
      </c>
      <c r="AO3264" t="s">
        <v>11003</v>
      </c>
      <c r="AP3264" t="s">
        <v>11084</v>
      </c>
      <c r="AQ3264" t="s">
        <v>11217</v>
      </c>
      <c r="AR3264" t="s">
        <v>11276</v>
      </c>
      <c r="AS3264" t="s">
        <v>11594</v>
      </c>
      <c r="AT3264" t="s">
        <v>11641</v>
      </c>
      <c r="AX3264" t="s">
        <v>10838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</row>
    <row r="3265" spans="1:59">
      <c r="A3265" s="1">
        <f>HYPERLINK("https://lsnyc.legalserver.org/matter/dynamic-profile/view/1907332","19-1907332")</f>
        <v>0</v>
      </c>
      <c r="B3265" t="s">
        <v>2745</v>
      </c>
      <c r="C3265" t="s">
        <v>6978</v>
      </c>
      <c r="D3265" t="s">
        <v>9938</v>
      </c>
      <c r="E3265" t="s">
        <v>10075</v>
      </c>
      <c r="F3265">
        <v>11434</v>
      </c>
      <c r="G3265" t="s">
        <v>10092</v>
      </c>
      <c r="H3265" t="s">
        <v>10110</v>
      </c>
      <c r="I3265" t="s">
        <v>10169</v>
      </c>
      <c r="J3265" t="s">
        <v>10212</v>
      </c>
      <c r="K3265" t="s">
        <v>10218</v>
      </c>
      <c r="L3265" t="s">
        <v>10129</v>
      </c>
      <c r="M3265" t="s">
        <v>10422</v>
      </c>
      <c r="N3265" t="s">
        <v>10648</v>
      </c>
      <c r="P3265" t="s">
        <v>10753</v>
      </c>
      <c r="Q3265" t="s">
        <v>10763</v>
      </c>
      <c r="R3265" t="s">
        <v>10823</v>
      </c>
      <c r="T3265">
        <v>7200</v>
      </c>
      <c r="U3265">
        <v>600</v>
      </c>
      <c r="V3265">
        <v>26</v>
      </c>
      <c r="W3265">
        <v>1</v>
      </c>
      <c r="X3265">
        <v>2</v>
      </c>
      <c r="Y3265" t="s">
        <v>10829</v>
      </c>
      <c r="Z3265">
        <v>33.76</v>
      </c>
      <c r="AA3265">
        <v>40.667936</v>
      </c>
      <c r="AB3265">
        <v>-73.782124</v>
      </c>
      <c r="AD3265" t="s">
        <v>10839</v>
      </c>
      <c r="AF3265" t="s">
        <v>10842</v>
      </c>
      <c r="AG3265" t="s">
        <v>10859</v>
      </c>
      <c r="AH3265" t="s">
        <v>10864</v>
      </c>
      <c r="AI3265">
        <v>237</v>
      </c>
      <c r="AJ3265" t="s">
        <v>10212</v>
      </c>
      <c r="AK3265" t="s">
        <v>10837</v>
      </c>
      <c r="AL3265">
        <v>1.5</v>
      </c>
      <c r="AM3265" t="s">
        <v>10892</v>
      </c>
      <c r="AN3265" t="s">
        <v>10951</v>
      </c>
      <c r="AO3265" t="s">
        <v>11017</v>
      </c>
      <c r="AP3265" t="s">
        <v>11070</v>
      </c>
      <c r="AQ3265" t="s">
        <v>11096</v>
      </c>
      <c r="AR3265" t="s">
        <v>11257</v>
      </c>
      <c r="AS3265" t="s">
        <v>11594</v>
      </c>
      <c r="AY3265" t="s">
        <v>10829</v>
      </c>
      <c r="AZ3265" t="s">
        <v>11709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</row>
    <row r="3266" spans="1:59">
      <c r="A3266" s="1">
        <f>HYPERLINK("https://lsnyc.legalserver.org/matter/dynamic-profile/view/1907333","19-1907333")</f>
        <v>0</v>
      </c>
      <c r="B3266" t="s">
        <v>2746</v>
      </c>
      <c r="C3266" t="s">
        <v>7529</v>
      </c>
      <c r="D3266" t="s">
        <v>9925</v>
      </c>
      <c r="E3266" t="s">
        <v>10075</v>
      </c>
      <c r="F3266">
        <v>10037</v>
      </c>
      <c r="G3266" t="s">
        <v>10089</v>
      </c>
      <c r="H3266" t="s">
        <v>10149</v>
      </c>
      <c r="I3266" t="s">
        <v>10168</v>
      </c>
      <c r="J3266" t="s">
        <v>10209</v>
      </c>
      <c r="K3266" t="s">
        <v>10217</v>
      </c>
      <c r="M3266" t="s">
        <v>10301</v>
      </c>
      <c r="N3266" t="s">
        <v>10665</v>
      </c>
      <c r="P3266" t="s">
        <v>10751</v>
      </c>
      <c r="Q3266" t="s">
        <v>10773</v>
      </c>
      <c r="R3266" t="s">
        <v>10822</v>
      </c>
      <c r="T3266">
        <v>0</v>
      </c>
      <c r="U3266">
        <v>0</v>
      </c>
      <c r="V3266">
        <v>37</v>
      </c>
      <c r="W3266">
        <v>1</v>
      </c>
      <c r="X3266">
        <v>0</v>
      </c>
      <c r="Z3266">
        <v>0</v>
      </c>
      <c r="AA3266">
        <v>40.815972</v>
      </c>
      <c r="AB3266">
        <v>-73.93777300000001</v>
      </c>
      <c r="AD3266" t="s">
        <v>10840</v>
      </c>
      <c r="AG3266" t="s">
        <v>10858</v>
      </c>
      <c r="AH3266" t="s">
        <v>10871</v>
      </c>
      <c r="AI3266">
        <v>234</v>
      </c>
      <c r="AJ3266" t="s">
        <v>10214</v>
      </c>
      <c r="AL3266">
        <v>2.8</v>
      </c>
      <c r="AM3266" t="s">
        <v>10887</v>
      </c>
      <c r="AN3266" t="s">
        <v>10936</v>
      </c>
      <c r="AO3266" t="s">
        <v>11016</v>
      </c>
      <c r="AP3266" t="s">
        <v>11076</v>
      </c>
      <c r="AQ3266" t="s">
        <v>11115</v>
      </c>
      <c r="AR3266" t="s">
        <v>11267</v>
      </c>
      <c r="AS3266" t="s">
        <v>9925</v>
      </c>
      <c r="AT3266" t="s">
        <v>11642</v>
      </c>
      <c r="AX3266" t="s">
        <v>11678</v>
      </c>
      <c r="BA3266" t="s">
        <v>11741</v>
      </c>
      <c r="BB3266">
        <v>0</v>
      </c>
      <c r="BC3266">
        <v>0</v>
      </c>
      <c r="BD3266">
        <v>0</v>
      </c>
      <c r="BE3266">
        <v>0</v>
      </c>
      <c r="BF3266">
        <v>1</v>
      </c>
      <c r="BG3266">
        <v>0</v>
      </c>
    </row>
    <row r="3267" spans="1:59">
      <c r="A3267" s="1">
        <f>HYPERLINK("https://lsnyc.legalserver.org/matter/dynamic-profile/view/1907334","19-1907334")</f>
        <v>0</v>
      </c>
      <c r="B3267" t="s">
        <v>2747</v>
      </c>
      <c r="C3267" t="s">
        <v>7530</v>
      </c>
      <c r="D3267" t="s">
        <v>9977</v>
      </c>
      <c r="E3267" t="s">
        <v>10075</v>
      </c>
      <c r="F3267">
        <v>11361</v>
      </c>
      <c r="G3267" t="s">
        <v>10092</v>
      </c>
      <c r="H3267" t="s">
        <v>10149</v>
      </c>
      <c r="I3267" t="s">
        <v>10168</v>
      </c>
      <c r="J3267" t="s">
        <v>10212</v>
      </c>
      <c r="K3267" t="s">
        <v>10217</v>
      </c>
      <c r="M3267" t="s">
        <v>10416</v>
      </c>
      <c r="N3267" t="s">
        <v>10678</v>
      </c>
      <c r="P3267" t="s">
        <v>10749</v>
      </c>
      <c r="Q3267" t="s">
        <v>10769</v>
      </c>
      <c r="R3267" t="s">
        <v>10821</v>
      </c>
      <c r="T3267">
        <v>40900</v>
      </c>
      <c r="U3267">
        <v>3408.33</v>
      </c>
      <c r="V3267">
        <v>52</v>
      </c>
      <c r="W3267">
        <v>1</v>
      </c>
      <c r="X3267">
        <v>0</v>
      </c>
      <c r="Z3267">
        <v>327.46</v>
      </c>
      <c r="AA3267">
        <v>40.767387</v>
      </c>
      <c r="AB3267">
        <v>-73.76160299999999</v>
      </c>
      <c r="AD3267" t="s">
        <v>10840</v>
      </c>
      <c r="AG3267" t="s">
        <v>10858</v>
      </c>
      <c r="AH3267" t="s">
        <v>10861</v>
      </c>
      <c r="AI3267">
        <v>234</v>
      </c>
      <c r="AJ3267" t="s">
        <v>10214</v>
      </c>
      <c r="AL3267">
        <v>1.45</v>
      </c>
      <c r="AM3267" t="s">
        <v>10890</v>
      </c>
      <c r="AN3267" t="s">
        <v>10948</v>
      </c>
      <c r="AO3267" t="s">
        <v>11022</v>
      </c>
      <c r="AP3267" t="s">
        <v>11080</v>
      </c>
      <c r="AR3267" t="s">
        <v>11502</v>
      </c>
      <c r="AS3267" t="s">
        <v>11594</v>
      </c>
      <c r="AT3267" t="s">
        <v>11642</v>
      </c>
      <c r="AX3267" t="s">
        <v>10838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</row>
    <row r="3268" spans="1:59">
      <c r="A3268" s="1">
        <f>HYPERLINK("https://lsnyc.legalserver.org/matter/dynamic-profile/view/1907335","19-1907335")</f>
        <v>0</v>
      </c>
      <c r="B3268" t="s">
        <v>2748</v>
      </c>
      <c r="C3268" t="s">
        <v>7531</v>
      </c>
      <c r="D3268" t="s">
        <v>9925</v>
      </c>
      <c r="E3268" t="s">
        <v>10075</v>
      </c>
      <c r="F3268">
        <v>10009</v>
      </c>
      <c r="G3268" t="s">
        <v>10092</v>
      </c>
      <c r="H3268" t="s">
        <v>10149</v>
      </c>
      <c r="J3268" t="s">
        <v>10212</v>
      </c>
      <c r="K3268" t="s">
        <v>10217</v>
      </c>
      <c r="M3268" t="s">
        <v>10441</v>
      </c>
      <c r="N3268" t="s">
        <v>10657</v>
      </c>
      <c r="P3268" t="s">
        <v>10751</v>
      </c>
      <c r="Q3268" t="s">
        <v>10780</v>
      </c>
      <c r="R3268" t="s">
        <v>10824</v>
      </c>
      <c r="T3268">
        <v>1092</v>
      </c>
      <c r="U3268">
        <v>91</v>
      </c>
      <c r="V3268">
        <v>56</v>
      </c>
      <c r="W3268">
        <v>1</v>
      </c>
      <c r="X3268">
        <v>0</v>
      </c>
      <c r="Z3268">
        <v>8.74</v>
      </c>
      <c r="AA3268">
        <v>40.721619</v>
      </c>
      <c r="AB3268">
        <v>-73.97914</v>
      </c>
      <c r="AD3268" t="s">
        <v>10840</v>
      </c>
      <c r="AG3268" t="s">
        <v>10858</v>
      </c>
      <c r="AH3268" t="s">
        <v>10868</v>
      </c>
      <c r="AI3268">
        <v>237</v>
      </c>
      <c r="AJ3268" t="s">
        <v>10212</v>
      </c>
      <c r="AL3268">
        <v>9.6</v>
      </c>
      <c r="AM3268" t="s">
        <v>10891</v>
      </c>
      <c r="AN3268" t="s">
        <v>10910</v>
      </c>
      <c r="AO3268" t="s">
        <v>11004</v>
      </c>
      <c r="AP3268" t="s">
        <v>11048</v>
      </c>
      <c r="AR3268" t="s">
        <v>11255</v>
      </c>
      <c r="AS3268" t="s">
        <v>9925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</row>
    <row r="3269" spans="1:59">
      <c r="A3269" s="1">
        <f>HYPERLINK("https://lsnyc.legalserver.org/matter/dynamic-profile/view/1907336","19-1907336")</f>
        <v>0</v>
      </c>
      <c r="B3269" t="s">
        <v>2749</v>
      </c>
      <c r="C3269" t="s">
        <v>7532</v>
      </c>
      <c r="D3269" t="s">
        <v>9938</v>
      </c>
      <c r="E3269" t="s">
        <v>10075</v>
      </c>
      <c r="F3269">
        <v>11436</v>
      </c>
      <c r="G3269" t="s">
        <v>10092</v>
      </c>
      <c r="H3269" t="s">
        <v>10149</v>
      </c>
      <c r="I3269" t="s">
        <v>10168</v>
      </c>
      <c r="J3269" t="s">
        <v>10212</v>
      </c>
      <c r="K3269" t="s">
        <v>10217</v>
      </c>
      <c r="M3269" t="s">
        <v>10530</v>
      </c>
      <c r="N3269" t="s">
        <v>10678</v>
      </c>
      <c r="P3269" t="s">
        <v>10749</v>
      </c>
      <c r="Q3269" t="s">
        <v>10769</v>
      </c>
      <c r="R3269" t="s">
        <v>10824</v>
      </c>
      <c r="T3269">
        <v>15300</v>
      </c>
      <c r="U3269">
        <v>1275</v>
      </c>
      <c r="V3269">
        <v>80</v>
      </c>
      <c r="W3269">
        <v>1</v>
      </c>
      <c r="X3269">
        <v>0</v>
      </c>
      <c r="Z3269">
        <v>122.5</v>
      </c>
      <c r="AA3269">
        <v>40.672832</v>
      </c>
      <c r="AB3269">
        <v>-73.799324</v>
      </c>
      <c r="AD3269" t="s">
        <v>10839</v>
      </c>
      <c r="AG3269" t="s">
        <v>10858</v>
      </c>
      <c r="AH3269" t="s">
        <v>10861</v>
      </c>
      <c r="AI3269">
        <v>234</v>
      </c>
      <c r="AJ3269" t="s">
        <v>10214</v>
      </c>
      <c r="AL3269">
        <v>3.5</v>
      </c>
      <c r="AM3269" t="s">
        <v>10892</v>
      </c>
      <c r="AN3269" t="s">
        <v>10930</v>
      </c>
      <c r="AO3269" t="s">
        <v>11017</v>
      </c>
      <c r="AP3269" t="s">
        <v>11070</v>
      </c>
      <c r="AR3269" t="s">
        <v>11300</v>
      </c>
      <c r="AS3269" t="s">
        <v>11594</v>
      </c>
      <c r="AT3269" t="s">
        <v>11641</v>
      </c>
      <c r="AX3269" t="s">
        <v>10838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</row>
    <row r="3270" spans="1:59">
      <c r="A3270" s="1">
        <f>HYPERLINK("https://lsnyc.legalserver.org/matter/dynamic-profile/view/1907337","19-1907337")</f>
        <v>0</v>
      </c>
      <c r="B3270" t="s">
        <v>2750</v>
      </c>
      <c r="C3270" t="s">
        <v>7533</v>
      </c>
      <c r="D3270" t="s">
        <v>10025</v>
      </c>
      <c r="E3270" t="s">
        <v>10078</v>
      </c>
      <c r="F3270">
        <v>32935</v>
      </c>
      <c r="G3270" t="s">
        <v>10090</v>
      </c>
      <c r="H3270" t="s">
        <v>10149</v>
      </c>
      <c r="I3270" t="s">
        <v>10168</v>
      </c>
      <c r="J3270" t="s">
        <v>10210</v>
      </c>
      <c r="K3270" t="s">
        <v>10217</v>
      </c>
      <c r="M3270" t="s">
        <v>10336</v>
      </c>
      <c r="N3270" t="s">
        <v>10671</v>
      </c>
      <c r="P3270" t="s">
        <v>10754</v>
      </c>
      <c r="Q3270" t="s">
        <v>10777</v>
      </c>
      <c r="R3270" t="s">
        <v>10821</v>
      </c>
      <c r="T3270">
        <v>33300</v>
      </c>
      <c r="U3270">
        <v>2775</v>
      </c>
      <c r="V3270">
        <v>43</v>
      </c>
      <c r="W3270">
        <v>2</v>
      </c>
      <c r="X3270">
        <v>0</v>
      </c>
      <c r="Z3270">
        <v>196.92</v>
      </c>
      <c r="AA3270">
        <v>28.162691</v>
      </c>
      <c r="AB3270">
        <v>-80.64584499999999</v>
      </c>
      <c r="AD3270" t="s">
        <v>10840</v>
      </c>
      <c r="AG3270" t="s">
        <v>10858</v>
      </c>
      <c r="AH3270" t="s">
        <v>10861</v>
      </c>
      <c r="AI3270">
        <v>234</v>
      </c>
      <c r="AJ3270" t="s">
        <v>10214</v>
      </c>
      <c r="AL3270">
        <v>1.2</v>
      </c>
      <c r="AR3270" t="s">
        <v>11257</v>
      </c>
      <c r="AS3270" t="s">
        <v>11625</v>
      </c>
      <c r="AT3270" t="s">
        <v>11642</v>
      </c>
      <c r="AX3270" t="s">
        <v>10838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</row>
    <row r="3271" spans="1:59">
      <c r="A3271" s="1">
        <f>HYPERLINK("https://lsnyc.legalserver.org/matter/dynamic-profile/view/1907338","19-1907338")</f>
        <v>0</v>
      </c>
      <c r="B3271" t="s">
        <v>2751</v>
      </c>
      <c r="C3271" t="s">
        <v>7534</v>
      </c>
      <c r="D3271" t="s">
        <v>9926</v>
      </c>
      <c r="E3271" t="s">
        <v>10075</v>
      </c>
      <c r="F3271">
        <v>10453</v>
      </c>
      <c r="G3271" t="s">
        <v>10090</v>
      </c>
      <c r="H3271" t="s">
        <v>10149</v>
      </c>
      <c r="I3271" t="s">
        <v>10168</v>
      </c>
      <c r="J3271" t="s">
        <v>10210</v>
      </c>
      <c r="K3271" t="s">
        <v>10217</v>
      </c>
      <c r="M3271" t="s">
        <v>10380</v>
      </c>
      <c r="N3271" t="s">
        <v>10649</v>
      </c>
      <c r="P3271" t="s">
        <v>10753</v>
      </c>
      <c r="Q3271" t="s">
        <v>10763</v>
      </c>
      <c r="R3271" t="s">
        <v>10821</v>
      </c>
      <c r="T3271">
        <v>24000</v>
      </c>
      <c r="U3271">
        <v>2000</v>
      </c>
      <c r="V3271">
        <v>41</v>
      </c>
      <c r="W3271">
        <v>2</v>
      </c>
      <c r="X3271">
        <v>1</v>
      </c>
      <c r="Z3271">
        <v>112.52</v>
      </c>
      <c r="AA3271">
        <v>40.846671</v>
      </c>
      <c r="AB3271">
        <v>-73.911162</v>
      </c>
      <c r="AC3271" t="s">
        <v>10837</v>
      </c>
      <c r="AD3271" t="s">
        <v>10840</v>
      </c>
      <c r="AG3271" t="s">
        <v>10858</v>
      </c>
      <c r="AH3271" t="s">
        <v>10861</v>
      </c>
      <c r="AI3271">
        <v>234</v>
      </c>
      <c r="AJ3271" t="s">
        <v>10214</v>
      </c>
      <c r="AL3271">
        <v>1.1</v>
      </c>
      <c r="AM3271" t="s">
        <v>10884</v>
      </c>
      <c r="AN3271" t="s">
        <v>10929</v>
      </c>
      <c r="AO3271" t="s">
        <v>11000</v>
      </c>
      <c r="AP3271" t="s">
        <v>11045</v>
      </c>
      <c r="AQ3271" t="s">
        <v>11161</v>
      </c>
      <c r="AR3271" t="s">
        <v>11303</v>
      </c>
      <c r="AS3271" t="s">
        <v>9926</v>
      </c>
      <c r="AT3271" t="s">
        <v>11642</v>
      </c>
      <c r="AX3271" t="s">
        <v>10838</v>
      </c>
      <c r="BA3271" t="s">
        <v>11742</v>
      </c>
      <c r="BB3271">
        <v>0</v>
      </c>
      <c r="BC3271">
        <v>0</v>
      </c>
      <c r="BD3271">
        <v>0</v>
      </c>
      <c r="BE3271">
        <v>0</v>
      </c>
      <c r="BF3271">
        <v>7</v>
      </c>
      <c r="BG3271">
        <v>0</v>
      </c>
    </row>
    <row r="3272" spans="1:59">
      <c r="A3272" s="1">
        <f>HYPERLINK("https://lsnyc.legalserver.org/matter/dynamic-profile/view/1907339","19-1907339")</f>
        <v>0</v>
      </c>
      <c r="B3272" t="s">
        <v>2752</v>
      </c>
      <c r="C3272" t="s">
        <v>7535</v>
      </c>
      <c r="D3272" t="s">
        <v>9929</v>
      </c>
      <c r="E3272" t="s">
        <v>10075</v>
      </c>
      <c r="F3272">
        <v>10310</v>
      </c>
      <c r="G3272" t="s">
        <v>10091</v>
      </c>
      <c r="H3272" t="s">
        <v>10149</v>
      </c>
      <c r="I3272" t="s">
        <v>10168</v>
      </c>
      <c r="J3272" t="s">
        <v>10214</v>
      </c>
      <c r="K3272" t="s">
        <v>10218</v>
      </c>
      <c r="L3272" t="s">
        <v>10100</v>
      </c>
      <c r="M3272" t="s">
        <v>10274</v>
      </c>
      <c r="N3272" t="s">
        <v>10671</v>
      </c>
      <c r="P3272" t="s">
        <v>10750</v>
      </c>
      <c r="Q3272" t="s">
        <v>10779</v>
      </c>
      <c r="R3272" t="s">
        <v>10824</v>
      </c>
      <c r="T3272">
        <v>24588</v>
      </c>
      <c r="U3272">
        <v>2049</v>
      </c>
      <c r="V3272">
        <v>46</v>
      </c>
      <c r="W3272">
        <v>1</v>
      </c>
      <c r="X3272">
        <v>7</v>
      </c>
      <c r="Y3272" t="s">
        <v>10829</v>
      </c>
      <c r="Z3272">
        <v>56.62</v>
      </c>
      <c r="AA3272">
        <v>40.630052</v>
      </c>
      <c r="AB3272">
        <v>-74.124065</v>
      </c>
      <c r="AD3272" t="s">
        <v>10839</v>
      </c>
      <c r="AG3272" t="s">
        <v>10858</v>
      </c>
      <c r="AH3272" t="s">
        <v>10871</v>
      </c>
      <c r="AI3272">
        <v>234</v>
      </c>
      <c r="AJ3272" t="s">
        <v>10214</v>
      </c>
      <c r="AK3272" t="s">
        <v>10838</v>
      </c>
      <c r="AL3272">
        <v>2.2</v>
      </c>
      <c r="AM3272" t="s">
        <v>10883</v>
      </c>
      <c r="AN3272" t="s">
        <v>10913</v>
      </c>
      <c r="AO3272" t="s">
        <v>11006</v>
      </c>
      <c r="AP3272" t="s">
        <v>11051</v>
      </c>
      <c r="AR3272" t="s">
        <v>11503</v>
      </c>
      <c r="AS3272" t="s">
        <v>11593</v>
      </c>
      <c r="AT3272" t="s">
        <v>11641</v>
      </c>
      <c r="AX3272" t="s">
        <v>10838</v>
      </c>
      <c r="AY3272" t="s">
        <v>10829</v>
      </c>
      <c r="AZ3272" t="s">
        <v>11679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</row>
    <row r="3273" spans="1:59">
      <c r="A3273" s="1">
        <f>HYPERLINK("https://lsnyc.legalserver.org/matter/dynamic-profile/view/1907341","19-1907341")</f>
        <v>0</v>
      </c>
      <c r="B3273" t="s">
        <v>2753</v>
      </c>
      <c r="C3273" t="s">
        <v>5917</v>
      </c>
      <c r="D3273" t="s">
        <v>9926</v>
      </c>
      <c r="E3273" t="s">
        <v>10075</v>
      </c>
      <c r="F3273">
        <v>10456</v>
      </c>
      <c r="G3273" t="s">
        <v>10090</v>
      </c>
      <c r="H3273" t="s">
        <v>10149</v>
      </c>
      <c r="I3273" t="s">
        <v>10168</v>
      </c>
      <c r="J3273" t="s">
        <v>10210</v>
      </c>
      <c r="K3273" t="s">
        <v>10217</v>
      </c>
      <c r="M3273" t="s">
        <v>10579</v>
      </c>
      <c r="N3273" t="s">
        <v>10650</v>
      </c>
      <c r="P3273" t="s">
        <v>10749</v>
      </c>
      <c r="Q3273" t="s">
        <v>10765</v>
      </c>
      <c r="R3273" t="s">
        <v>10824</v>
      </c>
      <c r="T3273">
        <v>10296</v>
      </c>
      <c r="U3273">
        <v>858</v>
      </c>
      <c r="V3273">
        <v>66</v>
      </c>
      <c r="W3273">
        <v>1</v>
      </c>
      <c r="X3273">
        <v>0</v>
      </c>
      <c r="Z3273">
        <v>82.43000000000001</v>
      </c>
      <c r="AA3273">
        <v>40.829494</v>
      </c>
      <c r="AB3273">
        <v>-73.902868</v>
      </c>
      <c r="AD3273" t="s">
        <v>10840</v>
      </c>
      <c r="AG3273" t="s">
        <v>10858</v>
      </c>
      <c r="AH3273" t="s">
        <v>10862</v>
      </c>
      <c r="AI3273">
        <v>230</v>
      </c>
      <c r="AJ3273" t="s">
        <v>10210</v>
      </c>
      <c r="AL3273">
        <v>7.5</v>
      </c>
      <c r="AM3273" t="s">
        <v>10884</v>
      </c>
      <c r="AN3273" t="s">
        <v>10918</v>
      </c>
      <c r="AO3273" t="s">
        <v>11001</v>
      </c>
      <c r="AP3273" t="s">
        <v>11055</v>
      </c>
      <c r="AR3273" t="s">
        <v>11274</v>
      </c>
      <c r="AS3273" t="s">
        <v>9926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</row>
    <row r="3274" spans="1:59">
      <c r="A3274" s="1">
        <f>HYPERLINK("https://lsnyc.legalserver.org/matter/dynamic-profile/view/1907342","19-1907342")</f>
        <v>0</v>
      </c>
      <c r="B3274" t="s">
        <v>2754</v>
      </c>
      <c r="C3274" t="s">
        <v>7536</v>
      </c>
      <c r="D3274" t="s">
        <v>9925</v>
      </c>
      <c r="E3274" t="s">
        <v>10075</v>
      </c>
      <c r="F3274">
        <v>10027</v>
      </c>
      <c r="G3274" t="s">
        <v>10089</v>
      </c>
      <c r="H3274" t="s">
        <v>10149</v>
      </c>
      <c r="J3274" t="s">
        <v>10209</v>
      </c>
      <c r="K3274" t="s">
        <v>10217</v>
      </c>
      <c r="M3274" t="s">
        <v>10471</v>
      </c>
      <c r="N3274" t="s">
        <v>10702</v>
      </c>
      <c r="P3274" t="s">
        <v>10749</v>
      </c>
      <c r="Q3274" t="s">
        <v>10765</v>
      </c>
      <c r="R3274" t="s">
        <v>10824</v>
      </c>
      <c r="T3274">
        <v>0</v>
      </c>
      <c r="U3274">
        <v>0</v>
      </c>
      <c r="V3274">
        <v>57</v>
      </c>
      <c r="W3274">
        <v>1</v>
      </c>
      <c r="X3274">
        <v>0</v>
      </c>
      <c r="Z3274">
        <v>0</v>
      </c>
      <c r="AA3274">
        <v>40.815847</v>
      </c>
      <c r="AB3274">
        <v>-73.95951700000001</v>
      </c>
      <c r="AD3274" t="s">
        <v>10839</v>
      </c>
      <c r="AG3274" t="s">
        <v>10858</v>
      </c>
      <c r="AH3274" t="s">
        <v>10862</v>
      </c>
      <c r="AI3274">
        <v>236</v>
      </c>
      <c r="AJ3274" t="s">
        <v>10209</v>
      </c>
      <c r="AL3274">
        <v>2.9</v>
      </c>
      <c r="AM3274" t="s">
        <v>10887</v>
      </c>
      <c r="AN3274" t="s">
        <v>10936</v>
      </c>
      <c r="AO3274" t="s">
        <v>11019</v>
      </c>
      <c r="AP3274" t="s">
        <v>11073</v>
      </c>
      <c r="AR3274" t="s">
        <v>11267</v>
      </c>
      <c r="AS3274" t="s">
        <v>9925</v>
      </c>
      <c r="BA3274" t="s">
        <v>11742</v>
      </c>
      <c r="BB3274">
        <v>0</v>
      </c>
      <c r="BC3274">
        <v>0</v>
      </c>
      <c r="BD3274">
        <v>0</v>
      </c>
      <c r="BE3274">
        <v>0</v>
      </c>
      <c r="BF3274">
        <v>7</v>
      </c>
      <c r="BG3274">
        <v>0</v>
      </c>
    </row>
    <row r="3275" spans="1:59">
      <c r="A3275" s="1">
        <f>HYPERLINK("https://lsnyc.legalserver.org/matter/dynamic-profile/view/1907343","19-1907343")</f>
        <v>0</v>
      </c>
      <c r="B3275" t="s">
        <v>1882</v>
      </c>
      <c r="C3275" t="s">
        <v>7537</v>
      </c>
      <c r="D3275" t="s">
        <v>9928</v>
      </c>
      <c r="E3275" t="s">
        <v>10075</v>
      </c>
      <c r="F3275">
        <v>11222</v>
      </c>
      <c r="G3275" t="s">
        <v>10089</v>
      </c>
      <c r="H3275" t="s">
        <v>10149</v>
      </c>
      <c r="I3275" t="s">
        <v>10168</v>
      </c>
      <c r="J3275" t="s">
        <v>10209</v>
      </c>
      <c r="K3275" t="s">
        <v>10217</v>
      </c>
      <c r="M3275" t="s">
        <v>10288</v>
      </c>
      <c r="N3275" t="s">
        <v>10665</v>
      </c>
      <c r="P3275" t="s">
        <v>10750</v>
      </c>
      <c r="Q3275" t="s">
        <v>10760</v>
      </c>
      <c r="R3275" t="s">
        <v>10821</v>
      </c>
      <c r="T3275">
        <v>18000</v>
      </c>
      <c r="U3275">
        <v>1500</v>
      </c>
      <c r="V3275">
        <v>39</v>
      </c>
      <c r="W3275">
        <v>1</v>
      </c>
      <c r="X3275">
        <v>1</v>
      </c>
      <c r="Z3275">
        <v>106.45</v>
      </c>
      <c r="AA3275">
        <v>40.731929</v>
      </c>
      <c r="AB3275">
        <v>-73.960847</v>
      </c>
      <c r="AD3275" t="s">
        <v>10839</v>
      </c>
      <c r="AG3275" t="s">
        <v>10858</v>
      </c>
      <c r="AH3275" t="s">
        <v>10866</v>
      </c>
      <c r="AI3275">
        <v>236</v>
      </c>
      <c r="AJ3275" t="s">
        <v>10209</v>
      </c>
      <c r="AL3275">
        <v>1.45</v>
      </c>
      <c r="AM3275" t="s">
        <v>10891</v>
      </c>
      <c r="AN3275" t="s">
        <v>10939</v>
      </c>
      <c r="AO3275" t="s">
        <v>11004</v>
      </c>
      <c r="AP3275" t="s">
        <v>11054</v>
      </c>
      <c r="AQ3275" t="s">
        <v>11233</v>
      </c>
      <c r="AR3275" t="s">
        <v>11257</v>
      </c>
      <c r="AS3275" t="s">
        <v>11595</v>
      </c>
      <c r="AT3275" t="s">
        <v>11641</v>
      </c>
      <c r="BA3275" t="s">
        <v>11740</v>
      </c>
      <c r="BB3275">
        <v>0</v>
      </c>
      <c r="BC3275">
        <v>0</v>
      </c>
      <c r="BD3275">
        <v>0</v>
      </c>
      <c r="BE3275">
        <v>0</v>
      </c>
      <c r="BF3275">
        <v>2</v>
      </c>
      <c r="BG3275">
        <v>0</v>
      </c>
    </row>
    <row r="3276" spans="1:59">
      <c r="A3276" s="1">
        <f>HYPERLINK("https://lsnyc.legalserver.org/matter/dynamic-profile/view/1907344","19-1907344")</f>
        <v>0</v>
      </c>
      <c r="B3276" t="s">
        <v>2398</v>
      </c>
      <c r="C3276" t="s">
        <v>7181</v>
      </c>
      <c r="D3276" t="s">
        <v>9928</v>
      </c>
      <c r="E3276" t="s">
        <v>10075</v>
      </c>
      <c r="F3276">
        <v>11217</v>
      </c>
      <c r="G3276" t="s">
        <v>10093</v>
      </c>
      <c r="H3276" t="s">
        <v>10149</v>
      </c>
      <c r="J3276" t="s">
        <v>10213</v>
      </c>
      <c r="K3276" t="s">
        <v>10217</v>
      </c>
      <c r="M3276" t="s">
        <v>10256</v>
      </c>
      <c r="N3276" t="s">
        <v>10644</v>
      </c>
      <c r="P3276" t="s">
        <v>10749</v>
      </c>
      <c r="Q3276" t="s">
        <v>10765</v>
      </c>
      <c r="R3276" t="s">
        <v>10824</v>
      </c>
      <c r="T3276">
        <v>7716</v>
      </c>
      <c r="U3276">
        <v>643</v>
      </c>
      <c r="V3276">
        <v>63</v>
      </c>
      <c r="W3276">
        <v>1</v>
      </c>
      <c r="X3276">
        <v>0</v>
      </c>
      <c r="Z3276">
        <v>61.78</v>
      </c>
      <c r="AA3276">
        <v>40.686322</v>
      </c>
      <c r="AB3276">
        <v>-73.978331</v>
      </c>
      <c r="AD3276" t="s">
        <v>10840</v>
      </c>
      <c r="AG3276" t="s">
        <v>10858</v>
      </c>
      <c r="AH3276" t="s">
        <v>10868</v>
      </c>
      <c r="AI3276">
        <v>237</v>
      </c>
      <c r="AJ3276" t="s">
        <v>10212</v>
      </c>
      <c r="AL3276">
        <v>3.6</v>
      </c>
      <c r="AM3276" t="s">
        <v>10889</v>
      </c>
      <c r="AN3276" t="s">
        <v>10923</v>
      </c>
      <c r="AO3276" t="s">
        <v>11007</v>
      </c>
      <c r="AP3276" t="s">
        <v>11061</v>
      </c>
      <c r="AR3276" t="s">
        <v>11295</v>
      </c>
      <c r="AS3276" t="s">
        <v>11595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</row>
    <row r="3277" spans="1:59">
      <c r="A3277" s="1">
        <f>HYPERLINK("https://lsnyc.legalserver.org/matter/dynamic-profile/view/1907345","19-1907345")</f>
        <v>0</v>
      </c>
      <c r="B3277" t="s">
        <v>2156</v>
      </c>
      <c r="C3277" t="s">
        <v>7538</v>
      </c>
      <c r="D3277" t="s">
        <v>9946</v>
      </c>
      <c r="E3277" t="s">
        <v>10075</v>
      </c>
      <c r="F3277">
        <v>11385</v>
      </c>
      <c r="G3277" t="s">
        <v>10091</v>
      </c>
      <c r="H3277" t="s">
        <v>10149</v>
      </c>
      <c r="I3277" t="s">
        <v>10168</v>
      </c>
      <c r="J3277" t="s">
        <v>10211</v>
      </c>
      <c r="K3277" t="s">
        <v>10217</v>
      </c>
      <c r="M3277" t="s">
        <v>10231</v>
      </c>
      <c r="N3277" t="s">
        <v>10647</v>
      </c>
      <c r="P3277" t="s">
        <v>10752</v>
      </c>
      <c r="Q3277" t="s">
        <v>10762</v>
      </c>
      <c r="R3277" t="s">
        <v>10821</v>
      </c>
      <c r="T3277">
        <v>5000</v>
      </c>
      <c r="U3277">
        <v>416.67</v>
      </c>
      <c r="V3277">
        <v>52</v>
      </c>
      <c r="W3277">
        <v>1</v>
      </c>
      <c r="X3277">
        <v>0</v>
      </c>
      <c r="Z3277">
        <v>40.03</v>
      </c>
      <c r="AA3277">
        <v>40.70639</v>
      </c>
      <c r="AB3277">
        <v>-73.89905899999999</v>
      </c>
      <c r="AD3277" t="s">
        <v>10839</v>
      </c>
      <c r="AG3277" t="s">
        <v>10858</v>
      </c>
      <c r="AH3277" t="s">
        <v>10871</v>
      </c>
      <c r="AI3277">
        <v>234</v>
      </c>
      <c r="AJ3277" t="s">
        <v>10214</v>
      </c>
      <c r="AL3277">
        <v>0.86</v>
      </c>
      <c r="AM3277" t="s">
        <v>10890</v>
      </c>
      <c r="AN3277" t="s">
        <v>10961</v>
      </c>
      <c r="AO3277" t="s">
        <v>11024</v>
      </c>
      <c r="AP3277" t="s">
        <v>11077</v>
      </c>
      <c r="AR3277" t="s">
        <v>11276</v>
      </c>
      <c r="AS3277" t="s">
        <v>11594</v>
      </c>
      <c r="AT3277" t="s">
        <v>11641</v>
      </c>
      <c r="AX3277" t="s">
        <v>10838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</row>
    <row r="3278" spans="1:59">
      <c r="A3278" s="1">
        <f>HYPERLINK("https://lsnyc.legalserver.org/matter/dynamic-profile/view/1907346","19-1907346")</f>
        <v>0</v>
      </c>
      <c r="B3278" t="s">
        <v>2755</v>
      </c>
      <c r="C3278" t="s">
        <v>7539</v>
      </c>
      <c r="D3278" t="s">
        <v>9926</v>
      </c>
      <c r="E3278" t="s">
        <v>10075</v>
      </c>
      <c r="F3278">
        <v>10456</v>
      </c>
      <c r="G3278" t="s">
        <v>10093</v>
      </c>
      <c r="H3278" t="s">
        <v>10149</v>
      </c>
      <c r="I3278" t="s">
        <v>10169</v>
      </c>
      <c r="J3278" t="s">
        <v>10213</v>
      </c>
      <c r="K3278" t="s">
        <v>10218</v>
      </c>
      <c r="L3278" t="s">
        <v>10145</v>
      </c>
      <c r="M3278" t="s">
        <v>10580</v>
      </c>
      <c r="N3278" t="s">
        <v>10739</v>
      </c>
      <c r="P3278" t="s">
        <v>10754</v>
      </c>
      <c r="Q3278" t="s">
        <v>10771</v>
      </c>
      <c r="R3278" t="s">
        <v>10821</v>
      </c>
      <c r="T3278">
        <v>0</v>
      </c>
      <c r="U3278">
        <v>0</v>
      </c>
      <c r="V3278">
        <v>60</v>
      </c>
      <c r="W3278">
        <v>1</v>
      </c>
      <c r="X3278">
        <v>0</v>
      </c>
      <c r="Y3278" t="s">
        <v>10829</v>
      </c>
      <c r="Z3278">
        <v>0</v>
      </c>
      <c r="AA3278">
        <v>40.832614</v>
      </c>
      <c r="AB3278">
        <v>-73.91480799999999</v>
      </c>
      <c r="AD3278" t="s">
        <v>10839</v>
      </c>
      <c r="AG3278" t="s">
        <v>10858</v>
      </c>
      <c r="AH3278" t="s">
        <v>10861</v>
      </c>
      <c r="AI3278">
        <v>234</v>
      </c>
      <c r="AJ3278" t="s">
        <v>10214</v>
      </c>
      <c r="AK3278" t="s">
        <v>10882</v>
      </c>
      <c r="AL3278">
        <v>4.85</v>
      </c>
      <c r="AM3278" t="s">
        <v>10884</v>
      </c>
      <c r="AN3278" t="s">
        <v>10929</v>
      </c>
      <c r="AO3278" t="s">
        <v>11000</v>
      </c>
      <c r="AP3278" t="s">
        <v>11055</v>
      </c>
      <c r="AR3278" t="s">
        <v>11267</v>
      </c>
      <c r="AS3278" t="s">
        <v>9926</v>
      </c>
      <c r="AT3278" t="s">
        <v>11641</v>
      </c>
      <c r="AX3278" t="s">
        <v>10838</v>
      </c>
      <c r="AY3278" t="s">
        <v>10829</v>
      </c>
      <c r="AZ3278" t="s">
        <v>11683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</row>
    <row r="3279" spans="1:59">
      <c r="A3279" s="1">
        <f>HYPERLINK("https://lsnyc.legalserver.org/matter/dynamic-profile/view/1907347","19-1907347")</f>
        <v>0</v>
      </c>
      <c r="B3279" t="s">
        <v>2756</v>
      </c>
      <c r="C3279" t="s">
        <v>7540</v>
      </c>
      <c r="D3279" t="s">
        <v>9938</v>
      </c>
      <c r="E3279" t="s">
        <v>10075</v>
      </c>
      <c r="F3279">
        <v>11434</v>
      </c>
      <c r="G3279" t="s">
        <v>10092</v>
      </c>
      <c r="H3279" t="s">
        <v>10149</v>
      </c>
      <c r="J3279" t="s">
        <v>10212</v>
      </c>
      <c r="K3279" t="s">
        <v>10218</v>
      </c>
      <c r="L3279" t="s">
        <v>10151</v>
      </c>
      <c r="M3279" t="s">
        <v>10350</v>
      </c>
      <c r="N3279" t="s">
        <v>10669</v>
      </c>
      <c r="P3279" t="s">
        <v>10754</v>
      </c>
      <c r="Q3279" t="s">
        <v>10775</v>
      </c>
      <c r="R3279" t="s">
        <v>10824</v>
      </c>
      <c r="T3279">
        <v>0</v>
      </c>
      <c r="U3279">
        <v>0</v>
      </c>
      <c r="V3279">
        <v>31</v>
      </c>
      <c r="W3279">
        <v>1</v>
      </c>
      <c r="X3279">
        <v>1</v>
      </c>
      <c r="Y3279" t="s">
        <v>10829</v>
      </c>
      <c r="Z3279">
        <v>0</v>
      </c>
      <c r="AA3279">
        <v>40.670441</v>
      </c>
      <c r="AB3279">
        <v>-73.77028799999999</v>
      </c>
      <c r="AD3279" t="s">
        <v>10839</v>
      </c>
      <c r="AG3279" t="s">
        <v>10858</v>
      </c>
      <c r="AH3279" t="s">
        <v>10865</v>
      </c>
      <c r="AI3279">
        <v>237</v>
      </c>
      <c r="AJ3279" t="s">
        <v>10212</v>
      </c>
      <c r="AK3279" t="s">
        <v>10837</v>
      </c>
      <c r="AL3279">
        <v>1.5</v>
      </c>
      <c r="AM3279" t="s">
        <v>10892</v>
      </c>
      <c r="AN3279" t="s">
        <v>10951</v>
      </c>
      <c r="AO3279" t="s">
        <v>11017</v>
      </c>
      <c r="AP3279" t="s">
        <v>11082</v>
      </c>
      <c r="AR3279" t="s">
        <v>11267</v>
      </c>
      <c r="AS3279" t="s">
        <v>11594</v>
      </c>
      <c r="AY3279" t="s">
        <v>10829</v>
      </c>
      <c r="AZ3279" t="s">
        <v>11683</v>
      </c>
      <c r="BA3279" t="s">
        <v>11741</v>
      </c>
      <c r="BB3279">
        <v>0</v>
      </c>
      <c r="BC3279">
        <v>0</v>
      </c>
      <c r="BD3279">
        <v>0</v>
      </c>
      <c r="BE3279">
        <v>0</v>
      </c>
      <c r="BF3279">
        <v>1</v>
      </c>
      <c r="BG3279">
        <v>0</v>
      </c>
    </row>
    <row r="3280" spans="1:59">
      <c r="A3280" s="1">
        <f>HYPERLINK("https://lsnyc.legalserver.org/matter/dynamic-profile/view/1907348","19-1907348")</f>
        <v>0</v>
      </c>
      <c r="B3280" t="s">
        <v>2757</v>
      </c>
      <c r="C3280" t="s">
        <v>7541</v>
      </c>
      <c r="D3280" t="s">
        <v>9925</v>
      </c>
      <c r="E3280" t="s">
        <v>10075</v>
      </c>
      <c r="F3280">
        <v>10025</v>
      </c>
      <c r="G3280" t="s">
        <v>10089</v>
      </c>
      <c r="H3280" t="s">
        <v>10149</v>
      </c>
      <c r="I3280" t="s">
        <v>10168</v>
      </c>
      <c r="J3280" t="s">
        <v>10209</v>
      </c>
      <c r="K3280" t="s">
        <v>10217</v>
      </c>
      <c r="M3280" t="s">
        <v>10379</v>
      </c>
      <c r="N3280" t="s">
        <v>10702</v>
      </c>
      <c r="P3280" t="s">
        <v>10749</v>
      </c>
      <c r="Q3280" t="s">
        <v>10765</v>
      </c>
      <c r="R3280" t="s">
        <v>10824</v>
      </c>
      <c r="T3280">
        <v>7800</v>
      </c>
      <c r="U3280">
        <v>650</v>
      </c>
      <c r="V3280">
        <v>58</v>
      </c>
      <c r="W3280">
        <v>1</v>
      </c>
      <c r="X3280">
        <v>0</v>
      </c>
      <c r="Z3280">
        <v>62.45</v>
      </c>
      <c r="AA3280">
        <v>40.792939</v>
      </c>
      <c r="AB3280">
        <v>-73.96698600000001</v>
      </c>
      <c r="AD3280" t="s">
        <v>10839</v>
      </c>
      <c r="AG3280" t="s">
        <v>10858</v>
      </c>
      <c r="AH3280" t="s">
        <v>10862</v>
      </c>
      <c r="AI3280">
        <v>236</v>
      </c>
      <c r="AJ3280" t="s">
        <v>10209</v>
      </c>
      <c r="AL3280">
        <v>15.5</v>
      </c>
      <c r="AM3280" t="s">
        <v>10894</v>
      </c>
      <c r="AN3280" t="s">
        <v>10953</v>
      </c>
      <c r="AO3280" t="s">
        <v>11016</v>
      </c>
      <c r="AP3280" t="s">
        <v>11073</v>
      </c>
      <c r="AR3280" t="s">
        <v>11276</v>
      </c>
      <c r="AS3280" t="s">
        <v>9925</v>
      </c>
      <c r="BA3280" t="s">
        <v>11738</v>
      </c>
      <c r="BB3280">
        <v>0</v>
      </c>
      <c r="BC3280">
        <v>0</v>
      </c>
      <c r="BD3280">
        <v>0</v>
      </c>
      <c r="BE3280">
        <v>0</v>
      </c>
      <c r="BF3280">
        <v>5</v>
      </c>
      <c r="BG3280">
        <v>0</v>
      </c>
    </row>
    <row r="3281" spans="1:59">
      <c r="A3281" s="1">
        <f>HYPERLINK("https://lsnyc.legalserver.org/matter/dynamic-profile/view/1907349","19-1907349")</f>
        <v>0</v>
      </c>
      <c r="B3281" t="s">
        <v>2758</v>
      </c>
      <c r="C3281" t="s">
        <v>7542</v>
      </c>
      <c r="D3281" t="s">
        <v>9929</v>
      </c>
      <c r="E3281" t="s">
        <v>10075</v>
      </c>
      <c r="F3281">
        <v>10301</v>
      </c>
      <c r="G3281" t="s">
        <v>10091</v>
      </c>
      <c r="H3281" t="s">
        <v>10149</v>
      </c>
      <c r="I3281" t="s">
        <v>10168</v>
      </c>
      <c r="J3281" t="s">
        <v>10214</v>
      </c>
      <c r="K3281" t="s">
        <v>10217</v>
      </c>
      <c r="M3281" t="s">
        <v>10286</v>
      </c>
      <c r="N3281" t="s">
        <v>10671</v>
      </c>
      <c r="P3281" t="s">
        <v>10752</v>
      </c>
      <c r="Q3281" t="s">
        <v>10762</v>
      </c>
      <c r="R3281" t="s">
        <v>10820</v>
      </c>
      <c r="T3281">
        <v>19200</v>
      </c>
      <c r="U3281">
        <v>1600</v>
      </c>
      <c r="V3281">
        <v>75</v>
      </c>
      <c r="W3281">
        <v>1</v>
      </c>
      <c r="X3281">
        <v>0</v>
      </c>
      <c r="Z3281">
        <v>153.72</v>
      </c>
      <c r="AA3281">
        <v>0</v>
      </c>
      <c r="AB3281">
        <v>0</v>
      </c>
      <c r="AD3281" t="s">
        <v>10839</v>
      </c>
      <c r="AG3281" t="s">
        <v>10858</v>
      </c>
      <c r="AH3281" t="s">
        <v>10861</v>
      </c>
      <c r="AI3281">
        <v>234</v>
      </c>
      <c r="AJ3281" t="s">
        <v>10214</v>
      </c>
      <c r="AL3281">
        <v>0.8</v>
      </c>
      <c r="AR3281" t="s">
        <v>11300</v>
      </c>
      <c r="AS3281" t="s">
        <v>11593</v>
      </c>
      <c r="AT3281" t="s">
        <v>11641</v>
      </c>
      <c r="AX3281" t="s">
        <v>10838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</row>
    <row r="3282" spans="1:59">
      <c r="A3282" s="1">
        <f>HYPERLINK("https://lsnyc.legalserver.org/matter/dynamic-profile/view/1907350","19-1907350")</f>
        <v>0</v>
      </c>
      <c r="B3282" t="s">
        <v>2759</v>
      </c>
      <c r="C3282" t="s">
        <v>7543</v>
      </c>
      <c r="D3282" t="s">
        <v>9928</v>
      </c>
      <c r="E3282" t="s">
        <v>10075</v>
      </c>
      <c r="F3282">
        <v>11226</v>
      </c>
      <c r="G3282" t="s">
        <v>10093</v>
      </c>
      <c r="H3282" t="s">
        <v>10149</v>
      </c>
      <c r="I3282" t="s">
        <v>10168</v>
      </c>
      <c r="J3282" t="s">
        <v>10213</v>
      </c>
      <c r="K3282" t="s">
        <v>10218</v>
      </c>
      <c r="L3282" t="s">
        <v>10155</v>
      </c>
      <c r="M3282" t="s">
        <v>10289</v>
      </c>
      <c r="N3282" t="s">
        <v>10671</v>
      </c>
      <c r="P3282" t="s">
        <v>10751</v>
      </c>
      <c r="Q3282" t="s">
        <v>10761</v>
      </c>
      <c r="R3282" t="s">
        <v>10824</v>
      </c>
      <c r="T3282">
        <v>0</v>
      </c>
      <c r="U3282">
        <v>0</v>
      </c>
      <c r="V3282">
        <v>44</v>
      </c>
      <c r="W3282">
        <v>1</v>
      </c>
      <c r="X3282">
        <v>1</v>
      </c>
      <c r="Y3282" t="s">
        <v>10833</v>
      </c>
      <c r="Z3282">
        <v>0</v>
      </c>
      <c r="AA3282">
        <v>40.648756</v>
      </c>
      <c r="AB3282">
        <v>-73.948864</v>
      </c>
      <c r="AD3282" t="s">
        <v>10839</v>
      </c>
      <c r="AG3282" t="s">
        <v>10858</v>
      </c>
      <c r="AH3282" t="s">
        <v>10861</v>
      </c>
      <c r="AI3282">
        <v>234</v>
      </c>
      <c r="AJ3282" t="s">
        <v>10214</v>
      </c>
      <c r="AK3282" t="s">
        <v>10838</v>
      </c>
      <c r="AL3282">
        <v>1.25</v>
      </c>
      <c r="AM3282" t="s">
        <v>10888</v>
      </c>
      <c r="AN3282" t="s">
        <v>10932</v>
      </c>
      <c r="AO3282" t="s">
        <v>11008</v>
      </c>
      <c r="AP3282" t="s">
        <v>11065</v>
      </c>
      <c r="AR3282" t="s">
        <v>11267</v>
      </c>
      <c r="AS3282" t="s">
        <v>11595</v>
      </c>
      <c r="AT3282" t="s">
        <v>11641</v>
      </c>
      <c r="AX3282" t="s">
        <v>10838</v>
      </c>
      <c r="AY3282" t="s">
        <v>10833</v>
      </c>
      <c r="AZ3282" t="s">
        <v>11682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</row>
    <row r="3283" spans="1:59">
      <c r="A3283" s="1">
        <f>HYPERLINK("https://lsnyc.legalserver.org/matter/dynamic-profile/view/1907351","19-1907351")</f>
        <v>0</v>
      </c>
      <c r="B3283" t="s">
        <v>2760</v>
      </c>
      <c r="C3283" t="s">
        <v>7544</v>
      </c>
      <c r="D3283" t="s">
        <v>9951</v>
      </c>
      <c r="E3283" t="s">
        <v>10075</v>
      </c>
      <c r="F3283">
        <v>11417</v>
      </c>
      <c r="G3283" t="s">
        <v>10093</v>
      </c>
      <c r="H3283" t="s">
        <v>10149</v>
      </c>
      <c r="I3283" t="s">
        <v>10168</v>
      </c>
      <c r="J3283" t="s">
        <v>10213</v>
      </c>
      <c r="K3283" t="s">
        <v>10217</v>
      </c>
      <c r="M3283" t="s">
        <v>10358</v>
      </c>
      <c r="N3283" t="s">
        <v>10671</v>
      </c>
      <c r="P3283" t="s">
        <v>10752</v>
      </c>
      <c r="Q3283" t="s">
        <v>10783</v>
      </c>
      <c r="R3283" t="s">
        <v>10828</v>
      </c>
      <c r="T3283">
        <v>500</v>
      </c>
      <c r="U3283">
        <v>41.67</v>
      </c>
      <c r="V3283">
        <v>38</v>
      </c>
      <c r="W3283">
        <v>1</v>
      </c>
      <c r="X3283">
        <v>2</v>
      </c>
      <c r="Z3283">
        <v>2.34</v>
      </c>
      <c r="AA3283">
        <v>40.677687</v>
      </c>
      <c r="AB3283">
        <v>-73.85977099999999</v>
      </c>
      <c r="AD3283" t="s">
        <v>10839</v>
      </c>
      <c r="AG3283" t="s">
        <v>10858</v>
      </c>
      <c r="AH3283" t="s">
        <v>10861</v>
      </c>
      <c r="AI3283">
        <v>234</v>
      </c>
      <c r="AJ3283" t="s">
        <v>10214</v>
      </c>
      <c r="AL3283">
        <v>0.85</v>
      </c>
      <c r="AM3283" t="s">
        <v>10889</v>
      </c>
      <c r="AN3283" t="s">
        <v>10958</v>
      </c>
      <c r="AO3283" t="s">
        <v>11003</v>
      </c>
      <c r="AP3283" t="s">
        <v>11088</v>
      </c>
      <c r="AR3283" t="s">
        <v>10180</v>
      </c>
      <c r="AS3283" t="s">
        <v>11594</v>
      </c>
      <c r="AT3283" t="s">
        <v>11641</v>
      </c>
      <c r="AX3283" t="s">
        <v>10838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</row>
    <row r="3284" spans="1:59">
      <c r="A3284" s="1">
        <f>HYPERLINK("https://lsnyc.legalserver.org/matter/dynamic-profile/view/1907352","19-1907352")</f>
        <v>0</v>
      </c>
      <c r="B3284" t="s">
        <v>1882</v>
      </c>
      <c r="C3284" t="s">
        <v>7537</v>
      </c>
      <c r="D3284" t="s">
        <v>9928</v>
      </c>
      <c r="E3284" t="s">
        <v>10075</v>
      </c>
      <c r="F3284">
        <v>11222</v>
      </c>
      <c r="G3284" t="s">
        <v>10089</v>
      </c>
      <c r="H3284" t="s">
        <v>10149</v>
      </c>
      <c r="I3284" t="s">
        <v>10168</v>
      </c>
      <c r="J3284" t="s">
        <v>10209</v>
      </c>
      <c r="K3284" t="s">
        <v>10217</v>
      </c>
      <c r="M3284" t="s">
        <v>10288</v>
      </c>
      <c r="N3284" t="s">
        <v>10688</v>
      </c>
      <c r="P3284" t="s">
        <v>10757</v>
      </c>
      <c r="Q3284" t="s">
        <v>10789</v>
      </c>
      <c r="R3284" t="s">
        <v>10821</v>
      </c>
      <c r="T3284">
        <v>18000</v>
      </c>
      <c r="U3284">
        <v>1500</v>
      </c>
      <c r="V3284">
        <v>39</v>
      </c>
      <c r="W3284">
        <v>1</v>
      </c>
      <c r="X3284">
        <v>1</v>
      </c>
      <c r="Z3284">
        <v>106.45</v>
      </c>
      <c r="AA3284">
        <v>40.731929</v>
      </c>
      <c r="AB3284">
        <v>-73.960847</v>
      </c>
      <c r="AD3284" t="s">
        <v>10839</v>
      </c>
      <c r="AG3284" t="s">
        <v>10858</v>
      </c>
      <c r="AH3284" t="s">
        <v>10866</v>
      </c>
      <c r="AI3284">
        <v>236</v>
      </c>
      <c r="AJ3284" t="s">
        <v>10209</v>
      </c>
      <c r="AL3284">
        <v>0.65</v>
      </c>
      <c r="AM3284" t="s">
        <v>10891</v>
      </c>
      <c r="AN3284" t="s">
        <v>10939</v>
      </c>
      <c r="AO3284" t="s">
        <v>11004</v>
      </c>
      <c r="AP3284" t="s">
        <v>11054</v>
      </c>
      <c r="AQ3284" t="s">
        <v>11121</v>
      </c>
      <c r="AR3284" t="s">
        <v>11257</v>
      </c>
      <c r="AS3284" t="s">
        <v>11595</v>
      </c>
      <c r="AT3284" t="s">
        <v>11641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</row>
    <row r="3285" spans="1:59">
      <c r="A3285" s="1">
        <f>HYPERLINK("https://lsnyc.legalserver.org/matter/dynamic-profile/view/1907353","19-1907353")</f>
        <v>0</v>
      </c>
      <c r="B3285" t="s">
        <v>2761</v>
      </c>
      <c r="C3285" t="s">
        <v>5422</v>
      </c>
      <c r="D3285" t="s">
        <v>9925</v>
      </c>
      <c r="E3285" t="s">
        <v>10075</v>
      </c>
      <c r="F3285">
        <v>10035</v>
      </c>
      <c r="G3285" t="s">
        <v>10089</v>
      </c>
      <c r="H3285" t="s">
        <v>10149</v>
      </c>
      <c r="I3285" t="s">
        <v>10168</v>
      </c>
      <c r="J3285" t="s">
        <v>10209</v>
      </c>
      <c r="K3285" t="s">
        <v>10217</v>
      </c>
      <c r="M3285" t="s">
        <v>10544</v>
      </c>
      <c r="N3285" t="s">
        <v>10707</v>
      </c>
      <c r="P3285" t="s">
        <v>10749</v>
      </c>
      <c r="Q3285" t="s">
        <v>10765</v>
      </c>
      <c r="R3285" t="s">
        <v>10824</v>
      </c>
      <c r="T3285">
        <v>52783</v>
      </c>
      <c r="U3285">
        <v>4398.58</v>
      </c>
      <c r="V3285">
        <v>53</v>
      </c>
      <c r="W3285">
        <v>2</v>
      </c>
      <c r="X3285">
        <v>0</v>
      </c>
      <c r="Z3285">
        <v>312.14</v>
      </c>
      <c r="AA3285">
        <v>40.800389</v>
      </c>
      <c r="AB3285">
        <v>-73.941298</v>
      </c>
      <c r="AD3285" t="s">
        <v>10839</v>
      </c>
      <c r="AG3285" t="s">
        <v>10858</v>
      </c>
      <c r="AH3285" t="s">
        <v>10868</v>
      </c>
      <c r="AI3285">
        <v>236</v>
      </c>
      <c r="AJ3285" t="s">
        <v>10209</v>
      </c>
      <c r="AL3285">
        <v>5</v>
      </c>
      <c r="AM3285" t="s">
        <v>10887</v>
      </c>
      <c r="AN3285" t="s">
        <v>10926</v>
      </c>
      <c r="AO3285" t="s">
        <v>11016</v>
      </c>
      <c r="AP3285" t="s">
        <v>11076</v>
      </c>
      <c r="AQ3285" t="s">
        <v>11101</v>
      </c>
      <c r="AR3285" t="s">
        <v>11287</v>
      </c>
      <c r="AS3285" t="s">
        <v>9925</v>
      </c>
      <c r="AT3285" t="s">
        <v>11641</v>
      </c>
      <c r="AX3285" t="s">
        <v>11678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</row>
    <row r="3286" spans="1:59">
      <c r="A3286" s="1">
        <f>HYPERLINK("https://lsnyc.legalserver.org/matter/dynamic-profile/view/1907354","19-1907354")</f>
        <v>0</v>
      </c>
      <c r="B3286" t="s">
        <v>2762</v>
      </c>
      <c r="C3286" t="s">
        <v>7545</v>
      </c>
      <c r="D3286" t="s">
        <v>9925</v>
      </c>
      <c r="E3286" t="s">
        <v>10075</v>
      </c>
      <c r="F3286">
        <v>10027</v>
      </c>
      <c r="G3286" t="s">
        <v>10089</v>
      </c>
      <c r="H3286" t="s">
        <v>10149</v>
      </c>
      <c r="I3286" t="s">
        <v>10168</v>
      </c>
      <c r="J3286" t="s">
        <v>10209</v>
      </c>
      <c r="K3286" t="s">
        <v>10217</v>
      </c>
      <c r="M3286" t="s">
        <v>10389</v>
      </c>
      <c r="N3286" t="s">
        <v>10702</v>
      </c>
      <c r="P3286" t="s">
        <v>10749</v>
      </c>
      <c r="Q3286" t="s">
        <v>10765</v>
      </c>
      <c r="R3286" t="s">
        <v>10824</v>
      </c>
      <c r="T3286">
        <v>5330</v>
      </c>
      <c r="U3286">
        <v>444.17</v>
      </c>
      <c r="V3286">
        <v>37</v>
      </c>
      <c r="W3286">
        <v>2</v>
      </c>
      <c r="X3286">
        <v>2</v>
      </c>
      <c r="Z3286">
        <v>20.7</v>
      </c>
      <c r="AA3286">
        <v>40.813016</v>
      </c>
      <c r="AB3286">
        <v>-73.954555</v>
      </c>
      <c r="AD3286" t="s">
        <v>10839</v>
      </c>
      <c r="AG3286" t="s">
        <v>10858</v>
      </c>
      <c r="AH3286" t="s">
        <v>10862</v>
      </c>
      <c r="AI3286">
        <v>236</v>
      </c>
      <c r="AJ3286" t="s">
        <v>10209</v>
      </c>
      <c r="AL3286">
        <v>2.55</v>
      </c>
      <c r="AM3286" t="s">
        <v>10887</v>
      </c>
      <c r="AN3286" t="s">
        <v>10936</v>
      </c>
      <c r="AO3286" t="s">
        <v>11016</v>
      </c>
      <c r="AP3286" t="s">
        <v>11073</v>
      </c>
      <c r="AR3286" t="s">
        <v>11260</v>
      </c>
      <c r="AS3286" t="s">
        <v>9925</v>
      </c>
      <c r="BA3286" t="s">
        <v>11738</v>
      </c>
      <c r="BB3286">
        <v>0</v>
      </c>
      <c r="BC3286">
        <v>0</v>
      </c>
      <c r="BD3286">
        <v>0</v>
      </c>
      <c r="BE3286">
        <v>0</v>
      </c>
      <c r="BF3286">
        <v>5</v>
      </c>
      <c r="BG3286">
        <v>0</v>
      </c>
    </row>
    <row r="3287" spans="1:59">
      <c r="A3287" s="1">
        <f>HYPERLINK("https://lsnyc.legalserver.org/matter/dynamic-profile/view/1907355","19-1907355")</f>
        <v>0</v>
      </c>
      <c r="B3287" t="s">
        <v>2763</v>
      </c>
      <c r="C3287" t="s">
        <v>7546</v>
      </c>
      <c r="D3287" t="s">
        <v>9938</v>
      </c>
      <c r="E3287" t="s">
        <v>10075</v>
      </c>
      <c r="F3287">
        <v>11433</v>
      </c>
      <c r="G3287" t="s">
        <v>10092</v>
      </c>
      <c r="H3287" t="s">
        <v>10149</v>
      </c>
      <c r="I3287" t="s">
        <v>10168</v>
      </c>
      <c r="J3287" t="s">
        <v>10212</v>
      </c>
      <c r="K3287" t="s">
        <v>10218</v>
      </c>
      <c r="L3287" t="s">
        <v>10142</v>
      </c>
      <c r="M3287" t="s">
        <v>10331</v>
      </c>
      <c r="N3287" t="s">
        <v>10646</v>
      </c>
      <c r="P3287" t="s">
        <v>10753</v>
      </c>
      <c r="Q3287" t="s">
        <v>10785</v>
      </c>
      <c r="R3287" t="s">
        <v>10824</v>
      </c>
      <c r="T3287">
        <v>36000</v>
      </c>
      <c r="U3287">
        <v>3000</v>
      </c>
      <c r="V3287">
        <v>46</v>
      </c>
      <c r="W3287">
        <v>1</v>
      </c>
      <c r="X3287">
        <v>0</v>
      </c>
      <c r="Y3287" t="s">
        <v>10829</v>
      </c>
      <c r="Z3287">
        <v>288.23</v>
      </c>
      <c r="AA3287">
        <v>40.698138</v>
      </c>
      <c r="AB3287">
        <v>-73.779158</v>
      </c>
      <c r="AC3287" t="s">
        <v>10837</v>
      </c>
      <c r="AD3287" t="s">
        <v>10840</v>
      </c>
      <c r="AG3287" t="s">
        <v>10858</v>
      </c>
      <c r="AH3287" t="s">
        <v>10871</v>
      </c>
      <c r="AI3287">
        <v>234</v>
      </c>
      <c r="AJ3287" t="s">
        <v>10214</v>
      </c>
      <c r="AK3287" t="s">
        <v>10838</v>
      </c>
      <c r="AL3287">
        <v>1.16</v>
      </c>
      <c r="AM3287" t="s">
        <v>10892</v>
      </c>
      <c r="AN3287" t="s">
        <v>10955</v>
      </c>
      <c r="AO3287" t="s">
        <v>11020</v>
      </c>
      <c r="AP3287" t="s">
        <v>11075</v>
      </c>
      <c r="AR3287" t="s">
        <v>11270</v>
      </c>
      <c r="AS3287" t="s">
        <v>11594</v>
      </c>
      <c r="AT3287" t="s">
        <v>11642</v>
      </c>
      <c r="AX3287" t="s">
        <v>10838</v>
      </c>
      <c r="AY3287" t="s">
        <v>10829</v>
      </c>
      <c r="AZ3287" t="s">
        <v>11705</v>
      </c>
      <c r="BA3287" t="s">
        <v>11741</v>
      </c>
      <c r="BB3287">
        <v>0</v>
      </c>
      <c r="BC3287">
        <v>0</v>
      </c>
      <c r="BD3287">
        <v>0</v>
      </c>
      <c r="BE3287">
        <v>0</v>
      </c>
      <c r="BF3287">
        <v>1</v>
      </c>
      <c r="BG3287">
        <v>0</v>
      </c>
    </row>
    <row r="3288" spans="1:59">
      <c r="A3288" s="1">
        <f>HYPERLINK("https://lsnyc.legalserver.org/matter/dynamic-profile/view/1907356","19-1907356")</f>
        <v>0</v>
      </c>
      <c r="B3288" t="s">
        <v>2764</v>
      </c>
      <c r="C3288" t="s">
        <v>7547</v>
      </c>
      <c r="D3288" t="s">
        <v>9929</v>
      </c>
      <c r="E3288" t="s">
        <v>10075</v>
      </c>
      <c r="F3288">
        <v>10301</v>
      </c>
      <c r="G3288" t="s">
        <v>10088</v>
      </c>
      <c r="H3288" t="s">
        <v>10141</v>
      </c>
      <c r="I3288" t="s">
        <v>10168</v>
      </c>
      <c r="J3288" t="s">
        <v>10208</v>
      </c>
      <c r="K3288" t="s">
        <v>10218</v>
      </c>
      <c r="L3288" t="s">
        <v>10151</v>
      </c>
      <c r="M3288" t="s">
        <v>10259</v>
      </c>
      <c r="N3288" t="s">
        <v>10650</v>
      </c>
      <c r="P3288" t="s">
        <v>10749</v>
      </c>
      <c r="Q3288" t="s">
        <v>10765</v>
      </c>
      <c r="R3288" t="s">
        <v>10824</v>
      </c>
      <c r="T3288">
        <v>20000</v>
      </c>
      <c r="U3288">
        <v>1666.67</v>
      </c>
      <c r="V3288">
        <v>36</v>
      </c>
      <c r="W3288">
        <v>1</v>
      </c>
      <c r="X3288">
        <v>1</v>
      </c>
      <c r="Y3288" t="s">
        <v>10830</v>
      </c>
      <c r="Z3288">
        <v>118.27</v>
      </c>
      <c r="AA3288">
        <v>40.639238</v>
      </c>
      <c r="AB3288">
        <v>-74.093101</v>
      </c>
      <c r="AD3288" t="s">
        <v>10840</v>
      </c>
      <c r="AG3288" t="s">
        <v>10858</v>
      </c>
      <c r="AH3288" t="s">
        <v>10862</v>
      </c>
      <c r="AI3288">
        <v>285</v>
      </c>
      <c r="AJ3288" t="s">
        <v>10208</v>
      </c>
      <c r="AK3288" t="s">
        <v>10838</v>
      </c>
      <c r="AL3288">
        <v>1.95</v>
      </c>
      <c r="AM3288" t="s">
        <v>10883</v>
      </c>
      <c r="AN3288" t="s">
        <v>10913</v>
      </c>
      <c r="AO3288" t="s">
        <v>11006</v>
      </c>
      <c r="AP3288" t="s">
        <v>11051</v>
      </c>
      <c r="AR3288" t="s">
        <v>11257</v>
      </c>
      <c r="AS3288" t="s">
        <v>11593</v>
      </c>
      <c r="AY3288" t="s">
        <v>10830</v>
      </c>
      <c r="AZ3288" t="s">
        <v>11681</v>
      </c>
      <c r="BA3288" t="s">
        <v>11740</v>
      </c>
      <c r="BB3288">
        <v>0</v>
      </c>
      <c r="BC3288">
        <v>0</v>
      </c>
      <c r="BD3288">
        <v>0</v>
      </c>
      <c r="BE3288">
        <v>0</v>
      </c>
      <c r="BF3288">
        <v>2</v>
      </c>
      <c r="BG3288">
        <v>0</v>
      </c>
    </row>
    <row r="3289" spans="1:59">
      <c r="A3289" s="1">
        <f>HYPERLINK("https://lsnyc.legalserver.org/matter/dynamic-profile/view/1907357","19-1907357")</f>
        <v>0</v>
      </c>
      <c r="B3289" t="s">
        <v>2765</v>
      </c>
      <c r="C3289" t="s">
        <v>7548</v>
      </c>
      <c r="D3289" t="s">
        <v>9925</v>
      </c>
      <c r="E3289" t="s">
        <v>10075</v>
      </c>
      <c r="F3289">
        <v>10034</v>
      </c>
      <c r="G3289" t="s">
        <v>10089</v>
      </c>
      <c r="H3289" t="s">
        <v>10149</v>
      </c>
      <c r="J3289" t="s">
        <v>10209</v>
      </c>
      <c r="K3289" t="s">
        <v>10217</v>
      </c>
      <c r="M3289" t="s">
        <v>10544</v>
      </c>
      <c r="N3289" t="s">
        <v>10707</v>
      </c>
      <c r="P3289" t="s">
        <v>10751</v>
      </c>
      <c r="Q3289" t="s">
        <v>10780</v>
      </c>
      <c r="R3289" t="s">
        <v>10823</v>
      </c>
      <c r="T3289">
        <v>4464</v>
      </c>
      <c r="U3289">
        <v>372</v>
      </c>
      <c r="V3289">
        <v>49</v>
      </c>
      <c r="W3289">
        <v>1</v>
      </c>
      <c r="X3289">
        <v>0</v>
      </c>
      <c r="Z3289">
        <v>35.74</v>
      </c>
      <c r="AA3289">
        <v>40.871223</v>
      </c>
      <c r="AB3289">
        <v>-73.9148</v>
      </c>
      <c r="AD3289" t="s">
        <v>10840</v>
      </c>
      <c r="AG3289" t="s">
        <v>10858</v>
      </c>
      <c r="AH3289" t="s">
        <v>10868</v>
      </c>
      <c r="AI3289">
        <v>236</v>
      </c>
      <c r="AJ3289" t="s">
        <v>10209</v>
      </c>
      <c r="AL3289">
        <v>14.5</v>
      </c>
      <c r="AM3289" t="s">
        <v>10887</v>
      </c>
      <c r="AN3289" t="s">
        <v>10937</v>
      </c>
      <c r="AO3289" t="s">
        <v>11019</v>
      </c>
      <c r="AP3289" t="s">
        <v>11074</v>
      </c>
      <c r="AQ3289" t="s">
        <v>11118</v>
      </c>
      <c r="AR3289" t="s">
        <v>11321</v>
      </c>
      <c r="AS3289" t="s">
        <v>9925</v>
      </c>
      <c r="AT3289" t="s">
        <v>11642</v>
      </c>
      <c r="AX3289" t="s">
        <v>10837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</row>
    <row r="3290" spans="1:59">
      <c r="A3290" s="1">
        <f>HYPERLINK("https://lsnyc.legalserver.org/matter/dynamic-profile/view/1907358","19-1907358")</f>
        <v>0</v>
      </c>
      <c r="B3290" t="s">
        <v>662</v>
      </c>
      <c r="C3290" t="s">
        <v>7549</v>
      </c>
      <c r="D3290" t="s">
        <v>9928</v>
      </c>
      <c r="E3290" t="s">
        <v>10075</v>
      </c>
      <c r="F3290">
        <v>11233</v>
      </c>
      <c r="G3290" t="s">
        <v>10093</v>
      </c>
      <c r="H3290" t="s">
        <v>10149</v>
      </c>
      <c r="I3290" t="s">
        <v>10168</v>
      </c>
      <c r="J3290" t="s">
        <v>10213</v>
      </c>
      <c r="K3290" t="s">
        <v>10217</v>
      </c>
      <c r="M3290" t="s">
        <v>10505</v>
      </c>
      <c r="N3290" t="s">
        <v>10650</v>
      </c>
      <c r="P3290" t="s">
        <v>10749</v>
      </c>
      <c r="Q3290" t="s">
        <v>10765</v>
      </c>
      <c r="R3290" t="s">
        <v>10824</v>
      </c>
      <c r="T3290">
        <v>0</v>
      </c>
      <c r="U3290">
        <v>0</v>
      </c>
      <c r="V3290">
        <v>59</v>
      </c>
      <c r="W3290">
        <v>1</v>
      </c>
      <c r="X3290">
        <v>2</v>
      </c>
      <c r="Z3290">
        <v>0</v>
      </c>
      <c r="AA3290">
        <v>40.679631</v>
      </c>
      <c r="AB3290">
        <v>-73.930246</v>
      </c>
      <c r="AD3290" t="s">
        <v>10839</v>
      </c>
      <c r="AG3290" t="s">
        <v>10858</v>
      </c>
      <c r="AH3290" t="s">
        <v>10861</v>
      </c>
      <c r="AI3290">
        <v>234</v>
      </c>
      <c r="AJ3290" t="s">
        <v>10214</v>
      </c>
      <c r="AL3290">
        <v>6.9</v>
      </c>
      <c r="AM3290" t="s">
        <v>10889</v>
      </c>
      <c r="AN3290" t="s">
        <v>10914</v>
      </c>
      <c r="AO3290" t="s">
        <v>11007</v>
      </c>
      <c r="AP3290" t="s">
        <v>11052</v>
      </c>
      <c r="AQ3290" t="s">
        <v>11101</v>
      </c>
      <c r="AR3290" t="s">
        <v>11267</v>
      </c>
      <c r="AS3290" t="s">
        <v>11595</v>
      </c>
      <c r="AT3290" t="s">
        <v>11641</v>
      </c>
      <c r="AX3290" t="s">
        <v>10838</v>
      </c>
      <c r="BA3290" t="s">
        <v>11738</v>
      </c>
      <c r="BB3290">
        <v>0</v>
      </c>
      <c r="BC3290">
        <v>0</v>
      </c>
      <c r="BD3290">
        <v>0</v>
      </c>
      <c r="BE3290">
        <v>0</v>
      </c>
      <c r="BF3290">
        <v>5</v>
      </c>
      <c r="BG3290">
        <v>0</v>
      </c>
    </row>
    <row r="3291" spans="1:59">
      <c r="A3291" s="1">
        <f>HYPERLINK("https://lsnyc.legalserver.org/matter/dynamic-profile/view/1907359","19-1907359")</f>
        <v>0</v>
      </c>
      <c r="B3291" t="s">
        <v>2766</v>
      </c>
      <c r="C3291" t="s">
        <v>7550</v>
      </c>
      <c r="D3291" t="s">
        <v>9925</v>
      </c>
      <c r="E3291" t="s">
        <v>10075</v>
      </c>
      <c r="F3291">
        <v>10002</v>
      </c>
      <c r="G3291" t="s">
        <v>10092</v>
      </c>
      <c r="H3291" t="s">
        <v>10149</v>
      </c>
      <c r="J3291" t="s">
        <v>10212</v>
      </c>
      <c r="K3291" t="s">
        <v>10218</v>
      </c>
      <c r="L3291" t="s">
        <v>10137</v>
      </c>
      <c r="M3291" t="s">
        <v>10363</v>
      </c>
      <c r="N3291" t="s">
        <v>10657</v>
      </c>
      <c r="P3291" t="s">
        <v>10754</v>
      </c>
      <c r="Q3291" t="s">
        <v>10775</v>
      </c>
      <c r="R3291" t="s">
        <v>10823</v>
      </c>
      <c r="T3291">
        <v>11760</v>
      </c>
      <c r="U3291">
        <v>980</v>
      </c>
      <c r="V3291">
        <v>66</v>
      </c>
      <c r="W3291">
        <v>2</v>
      </c>
      <c r="X3291">
        <v>0</v>
      </c>
      <c r="Y3291" t="s">
        <v>10829</v>
      </c>
      <c r="Z3291">
        <v>69.54000000000001</v>
      </c>
      <c r="AA3291">
        <v>40.712993</v>
      </c>
      <c r="AB3291">
        <v>-73.983223</v>
      </c>
      <c r="AD3291" t="s">
        <v>10840</v>
      </c>
      <c r="AG3291" t="s">
        <v>10858</v>
      </c>
      <c r="AH3291" t="s">
        <v>10868</v>
      </c>
      <c r="AI3291">
        <v>237</v>
      </c>
      <c r="AJ3291" t="s">
        <v>10212</v>
      </c>
      <c r="AK3291" t="s">
        <v>10838</v>
      </c>
      <c r="AL3291">
        <v>1.3</v>
      </c>
      <c r="AM3291" t="s">
        <v>10886</v>
      </c>
      <c r="AN3291" t="s">
        <v>10963</v>
      </c>
      <c r="AO3291" t="s">
        <v>11004</v>
      </c>
      <c r="AP3291" t="s">
        <v>11048</v>
      </c>
      <c r="AR3291" t="s">
        <v>11452</v>
      </c>
      <c r="AS3291" t="s">
        <v>9925</v>
      </c>
      <c r="AY3291" t="s">
        <v>10829</v>
      </c>
      <c r="AZ3291" t="s">
        <v>11683</v>
      </c>
      <c r="BA3291" t="s">
        <v>11741</v>
      </c>
      <c r="BB3291">
        <v>0</v>
      </c>
      <c r="BC3291">
        <v>0</v>
      </c>
      <c r="BD3291">
        <v>0</v>
      </c>
      <c r="BE3291">
        <v>0</v>
      </c>
      <c r="BF3291">
        <v>1</v>
      </c>
      <c r="BG3291">
        <v>0</v>
      </c>
    </row>
    <row r="3292" spans="1:59">
      <c r="A3292" s="1">
        <f>HYPERLINK("https://lsnyc.legalserver.org/matter/dynamic-profile/view/1907360","19-1907360")</f>
        <v>0</v>
      </c>
      <c r="B3292" t="s">
        <v>1882</v>
      </c>
      <c r="C3292" t="s">
        <v>7537</v>
      </c>
      <c r="D3292" t="s">
        <v>9928</v>
      </c>
      <c r="E3292" t="s">
        <v>10075</v>
      </c>
      <c r="F3292">
        <v>11222</v>
      </c>
      <c r="G3292" t="s">
        <v>10089</v>
      </c>
      <c r="H3292" t="s">
        <v>10149</v>
      </c>
      <c r="I3292" t="s">
        <v>10168</v>
      </c>
      <c r="J3292" t="s">
        <v>10209</v>
      </c>
      <c r="K3292" t="s">
        <v>10217</v>
      </c>
      <c r="M3292" t="s">
        <v>10288</v>
      </c>
      <c r="N3292" t="s">
        <v>10688</v>
      </c>
      <c r="P3292" t="s">
        <v>10756</v>
      </c>
      <c r="Q3292" t="s">
        <v>10792</v>
      </c>
      <c r="R3292" t="s">
        <v>10821</v>
      </c>
      <c r="T3292">
        <v>18000</v>
      </c>
      <c r="U3292">
        <v>1500</v>
      </c>
      <c r="V3292">
        <v>39</v>
      </c>
      <c r="W3292">
        <v>1</v>
      </c>
      <c r="X3292">
        <v>1</v>
      </c>
      <c r="Z3292">
        <v>106.45</v>
      </c>
      <c r="AA3292">
        <v>40.731929</v>
      </c>
      <c r="AB3292">
        <v>-73.960847</v>
      </c>
      <c r="AD3292" t="s">
        <v>10839</v>
      </c>
      <c r="AG3292" t="s">
        <v>10858</v>
      </c>
      <c r="AH3292" t="s">
        <v>10866</v>
      </c>
      <c r="AI3292">
        <v>236</v>
      </c>
      <c r="AJ3292" t="s">
        <v>10209</v>
      </c>
      <c r="AL3292">
        <v>1.1</v>
      </c>
      <c r="AM3292" t="s">
        <v>10891</v>
      </c>
      <c r="AN3292" t="s">
        <v>10939</v>
      </c>
      <c r="AO3292" t="s">
        <v>11004</v>
      </c>
      <c r="AP3292" t="s">
        <v>11054</v>
      </c>
      <c r="AR3292" t="s">
        <v>11257</v>
      </c>
      <c r="AS3292" t="s">
        <v>11595</v>
      </c>
      <c r="AT3292" t="s">
        <v>11641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</row>
    <row r="3293" spans="1:59">
      <c r="A3293" s="1">
        <f>HYPERLINK("https://lsnyc.legalserver.org/matter/dynamic-profile/view/1907361","19-1907361")</f>
        <v>0</v>
      </c>
      <c r="B3293" t="s">
        <v>2767</v>
      </c>
      <c r="C3293" t="s">
        <v>7551</v>
      </c>
      <c r="D3293" t="s">
        <v>9925</v>
      </c>
      <c r="E3293" t="s">
        <v>10075</v>
      </c>
      <c r="F3293">
        <v>10029</v>
      </c>
      <c r="G3293" t="s">
        <v>10089</v>
      </c>
      <c r="H3293" t="s">
        <v>10149</v>
      </c>
      <c r="I3293" t="s">
        <v>10169</v>
      </c>
      <c r="J3293" t="s">
        <v>10209</v>
      </c>
      <c r="K3293" t="s">
        <v>10217</v>
      </c>
      <c r="M3293" t="s">
        <v>10442</v>
      </c>
      <c r="N3293" t="s">
        <v>10650</v>
      </c>
      <c r="P3293" t="s">
        <v>10749</v>
      </c>
      <c r="Q3293" t="s">
        <v>10765</v>
      </c>
      <c r="R3293" t="s">
        <v>10821</v>
      </c>
      <c r="T3293">
        <v>10776</v>
      </c>
      <c r="U3293">
        <v>898</v>
      </c>
      <c r="V3293">
        <v>61</v>
      </c>
      <c r="W3293">
        <v>1</v>
      </c>
      <c r="X3293">
        <v>0</v>
      </c>
      <c r="Z3293">
        <v>86.28</v>
      </c>
      <c r="AA3293">
        <v>40.793776</v>
      </c>
      <c r="AB3293">
        <v>-73.944225</v>
      </c>
      <c r="AD3293" t="s">
        <v>10839</v>
      </c>
      <c r="AG3293" t="s">
        <v>10858</v>
      </c>
      <c r="AH3293" t="s">
        <v>10861</v>
      </c>
      <c r="AI3293">
        <v>234</v>
      </c>
      <c r="AJ3293" t="s">
        <v>10214</v>
      </c>
      <c r="AL3293">
        <v>1.5</v>
      </c>
      <c r="AM3293" t="s">
        <v>10887</v>
      </c>
      <c r="AN3293" t="s">
        <v>10926</v>
      </c>
      <c r="AO3293" t="s">
        <v>11013</v>
      </c>
      <c r="AP3293" t="s">
        <v>11066</v>
      </c>
      <c r="AR3293" t="s">
        <v>11338</v>
      </c>
      <c r="AS3293" t="s">
        <v>9925</v>
      </c>
      <c r="AT3293" t="s">
        <v>11641</v>
      </c>
      <c r="AX3293" t="s">
        <v>10838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</row>
    <row r="3294" spans="1:59">
      <c r="A3294" s="1">
        <f>HYPERLINK("https://lsnyc.legalserver.org/matter/dynamic-profile/view/1907363","19-1907363")</f>
        <v>0</v>
      </c>
      <c r="B3294" t="s">
        <v>2768</v>
      </c>
      <c r="C3294" t="s">
        <v>7552</v>
      </c>
      <c r="D3294" t="s">
        <v>9925</v>
      </c>
      <c r="E3294" t="s">
        <v>10075</v>
      </c>
      <c r="F3294">
        <v>10027</v>
      </c>
      <c r="G3294" t="s">
        <v>10089</v>
      </c>
      <c r="H3294" t="s">
        <v>10149</v>
      </c>
      <c r="I3294" t="s">
        <v>10168</v>
      </c>
      <c r="J3294" t="s">
        <v>10209</v>
      </c>
      <c r="K3294" t="s">
        <v>10218</v>
      </c>
      <c r="L3294" t="s">
        <v>10162</v>
      </c>
      <c r="M3294" t="s">
        <v>10379</v>
      </c>
      <c r="N3294" t="s">
        <v>10702</v>
      </c>
      <c r="P3294" t="s">
        <v>10749</v>
      </c>
      <c r="Q3294" t="s">
        <v>10765</v>
      </c>
      <c r="R3294" t="s">
        <v>10824</v>
      </c>
      <c r="T3294">
        <v>20000</v>
      </c>
      <c r="U3294">
        <v>1666.67</v>
      </c>
      <c r="V3294">
        <v>31</v>
      </c>
      <c r="W3294">
        <v>1</v>
      </c>
      <c r="X3294">
        <v>0</v>
      </c>
      <c r="Y3294" t="s">
        <v>10829</v>
      </c>
      <c r="Z3294">
        <v>160.13</v>
      </c>
      <c r="AA3294">
        <v>40.80711</v>
      </c>
      <c r="AB3294">
        <v>-73.943074</v>
      </c>
      <c r="AD3294" t="s">
        <v>10839</v>
      </c>
      <c r="AG3294" t="s">
        <v>10858</v>
      </c>
      <c r="AH3294" t="s">
        <v>10862</v>
      </c>
      <c r="AI3294">
        <v>236</v>
      </c>
      <c r="AJ3294" t="s">
        <v>10209</v>
      </c>
      <c r="AK3294" t="s">
        <v>10838</v>
      </c>
      <c r="AL3294">
        <v>5.8</v>
      </c>
      <c r="AM3294" t="s">
        <v>10887</v>
      </c>
      <c r="AN3294" t="s">
        <v>10936</v>
      </c>
      <c r="AO3294" t="s">
        <v>11016</v>
      </c>
      <c r="AP3294" t="s">
        <v>11076</v>
      </c>
      <c r="AR3294" t="s">
        <v>11257</v>
      </c>
      <c r="AS3294" t="s">
        <v>9925</v>
      </c>
      <c r="AY3294" t="s">
        <v>10829</v>
      </c>
      <c r="AZ3294" t="s">
        <v>11681</v>
      </c>
      <c r="BA3294" t="s">
        <v>11741</v>
      </c>
      <c r="BB3294">
        <v>0</v>
      </c>
      <c r="BC3294">
        <v>0</v>
      </c>
      <c r="BD3294">
        <v>0</v>
      </c>
      <c r="BE3294">
        <v>0</v>
      </c>
      <c r="BF3294">
        <v>1</v>
      </c>
      <c r="BG3294">
        <v>0</v>
      </c>
    </row>
    <row r="3295" spans="1:59">
      <c r="A3295" s="1">
        <f>HYPERLINK("https://lsnyc.legalserver.org/matter/dynamic-profile/view/1907364","19-1907364")</f>
        <v>0</v>
      </c>
      <c r="B3295" t="s">
        <v>2769</v>
      </c>
      <c r="C3295" t="s">
        <v>7553</v>
      </c>
      <c r="D3295" t="s">
        <v>9924</v>
      </c>
      <c r="E3295" t="s">
        <v>10075</v>
      </c>
      <c r="F3295">
        <v>10303</v>
      </c>
      <c r="G3295" t="s">
        <v>10088</v>
      </c>
      <c r="H3295" t="s">
        <v>10149</v>
      </c>
      <c r="I3295" t="s">
        <v>10168</v>
      </c>
      <c r="J3295" t="s">
        <v>10208</v>
      </c>
      <c r="K3295" t="s">
        <v>10218</v>
      </c>
      <c r="L3295" t="s">
        <v>10165</v>
      </c>
      <c r="M3295" t="s">
        <v>10228</v>
      </c>
      <c r="N3295" t="s">
        <v>10661</v>
      </c>
      <c r="P3295" t="s">
        <v>10749</v>
      </c>
      <c r="Q3295" t="s">
        <v>10759</v>
      </c>
      <c r="R3295" t="s">
        <v>10824</v>
      </c>
      <c r="T3295">
        <v>24312</v>
      </c>
      <c r="U3295">
        <v>2026</v>
      </c>
      <c r="V3295">
        <v>57</v>
      </c>
      <c r="W3295">
        <v>1</v>
      </c>
      <c r="X3295">
        <v>0</v>
      </c>
      <c r="Y3295" t="s">
        <v>10829</v>
      </c>
      <c r="Z3295">
        <v>194.65</v>
      </c>
      <c r="AA3295">
        <v>40.639296</v>
      </c>
      <c r="AB3295">
        <v>-74.16462900000001</v>
      </c>
      <c r="AD3295" t="s">
        <v>10840</v>
      </c>
      <c r="AG3295" t="s">
        <v>10858</v>
      </c>
      <c r="AH3295" t="s">
        <v>10860</v>
      </c>
      <c r="AI3295">
        <v>285</v>
      </c>
      <c r="AJ3295" t="s">
        <v>10208</v>
      </c>
      <c r="AK3295" t="s">
        <v>10838</v>
      </c>
      <c r="AL3295">
        <v>1.5</v>
      </c>
      <c r="AM3295" t="s">
        <v>10883</v>
      </c>
      <c r="AN3295" t="s">
        <v>10928</v>
      </c>
      <c r="AO3295" t="s">
        <v>11006</v>
      </c>
      <c r="AP3295" t="s">
        <v>11051</v>
      </c>
      <c r="AR3295" t="s">
        <v>11296</v>
      </c>
      <c r="AS3295" t="s">
        <v>11593</v>
      </c>
      <c r="AY3295" t="s">
        <v>10829</v>
      </c>
      <c r="AZ3295" t="s">
        <v>11681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</row>
    <row r="3296" spans="1:59">
      <c r="A3296" s="1">
        <f>HYPERLINK("https://lsnyc.legalserver.org/matter/dynamic-profile/view/1907365","19-1907365")</f>
        <v>0</v>
      </c>
      <c r="B3296" t="s">
        <v>2770</v>
      </c>
      <c r="C3296" t="s">
        <v>7554</v>
      </c>
      <c r="D3296" t="s">
        <v>9928</v>
      </c>
      <c r="E3296" t="s">
        <v>10075</v>
      </c>
      <c r="F3296">
        <v>11206</v>
      </c>
      <c r="G3296" t="s">
        <v>10093</v>
      </c>
      <c r="H3296" t="s">
        <v>10149</v>
      </c>
      <c r="I3296" t="s">
        <v>10169</v>
      </c>
      <c r="J3296" t="s">
        <v>10213</v>
      </c>
      <c r="K3296" t="s">
        <v>10218</v>
      </c>
      <c r="L3296" t="s">
        <v>10142</v>
      </c>
      <c r="M3296" t="s">
        <v>10304</v>
      </c>
      <c r="N3296" t="s">
        <v>10671</v>
      </c>
      <c r="P3296" t="s">
        <v>10749</v>
      </c>
      <c r="Q3296" t="s">
        <v>10767</v>
      </c>
      <c r="R3296" t="s">
        <v>10823</v>
      </c>
      <c r="T3296">
        <v>23040</v>
      </c>
      <c r="U3296">
        <v>1920</v>
      </c>
      <c r="V3296">
        <v>66</v>
      </c>
      <c r="W3296">
        <v>1</v>
      </c>
      <c r="X3296">
        <v>0</v>
      </c>
      <c r="Y3296" t="s">
        <v>10830</v>
      </c>
      <c r="Z3296">
        <v>184.47</v>
      </c>
      <c r="AA3296">
        <v>40.69504</v>
      </c>
      <c r="AB3296">
        <v>-73.940033</v>
      </c>
      <c r="AD3296" t="s">
        <v>10839</v>
      </c>
      <c r="AG3296" t="s">
        <v>10858</v>
      </c>
      <c r="AH3296" t="s">
        <v>10861</v>
      </c>
      <c r="AI3296">
        <v>234</v>
      </c>
      <c r="AJ3296" t="s">
        <v>10214</v>
      </c>
      <c r="AK3296" t="s">
        <v>10882</v>
      </c>
      <c r="AL3296">
        <v>0.4</v>
      </c>
      <c r="AM3296" t="s">
        <v>10889</v>
      </c>
      <c r="AN3296" t="s">
        <v>10920</v>
      </c>
      <c r="AO3296" t="s">
        <v>11011</v>
      </c>
      <c r="AP3296" t="s">
        <v>11052</v>
      </c>
      <c r="AR3296" t="s">
        <v>11444</v>
      </c>
      <c r="AS3296" t="s">
        <v>11595</v>
      </c>
      <c r="AT3296" t="s">
        <v>11641</v>
      </c>
      <c r="AX3296" t="s">
        <v>10838</v>
      </c>
      <c r="AY3296" t="s">
        <v>10830</v>
      </c>
      <c r="AZ3296" t="s">
        <v>11697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</row>
    <row r="3297" spans="1:59">
      <c r="A3297" s="1">
        <f>HYPERLINK("https://lsnyc.legalserver.org/matter/dynamic-profile/view/1907366","19-1907366")</f>
        <v>0</v>
      </c>
      <c r="B3297" t="s">
        <v>2771</v>
      </c>
      <c r="C3297" t="s">
        <v>7555</v>
      </c>
      <c r="D3297" t="s">
        <v>9928</v>
      </c>
      <c r="E3297" t="s">
        <v>10075</v>
      </c>
      <c r="F3297">
        <v>11237</v>
      </c>
      <c r="G3297" t="s">
        <v>10093</v>
      </c>
      <c r="H3297" t="s">
        <v>10149</v>
      </c>
      <c r="I3297" t="s">
        <v>10169</v>
      </c>
      <c r="J3297" t="s">
        <v>10213</v>
      </c>
      <c r="K3297" t="s">
        <v>10217</v>
      </c>
      <c r="M3297" t="s">
        <v>10581</v>
      </c>
      <c r="N3297" t="s">
        <v>10656</v>
      </c>
      <c r="P3297" t="s">
        <v>10751</v>
      </c>
      <c r="Q3297" t="s">
        <v>10780</v>
      </c>
      <c r="R3297" t="s">
        <v>10823</v>
      </c>
      <c r="T3297">
        <v>0</v>
      </c>
      <c r="U3297">
        <v>0</v>
      </c>
      <c r="V3297">
        <v>52</v>
      </c>
      <c r="W3297">
        <v>1</v>
      </c>
      <c r="X3297">
        <v>0</v>
      </c>
      <c r="Z3297">
        <v>0</v>
      </c>
      <c r="AA3297">
        <v>40.694608</v>
      </c>
      <c r="AB3297">
        <v>-73.909138</v>
      </c>
      <c r="AD3297" t="s">
        <v>10839</v>
      </c>
      <c r="AF3297" t="s">
        <v>10843</v>
      </c>
      <c r="AG3297" t="s">
        <v>10859</v>
      </c>
      <c r="AH3297" t="s">
        <v>10861</v>
      </c>
      <c r="AI3297">
        <v>234</v>
      </c>
      <c r="AJ3297" t="s">
        <v>10214</v>
      </c>
      <c r="AL3297">
        <v>8.300000000000001</v>
      </c>
      <c r="AM3297" t="s">
        <v>10886</v>
      </c>
      <c r="AN3297" t="s">
        <v>10920</v>
      </c>
      <c r="AO3297" t="s">
        <v>11011</v>
      </c>
      <c r="AP3297" t="s">
        <v>11058</v>
      </c>
      <c r="AR3297" t="s">
        <v>11279</v>
      </c>
      <c r="AS3297" t="s">
        <v>11595</v>
      </c>
      <c r="AT3297" t="s">
        <v>11641</v>
      </c>
      <c r="AX3297" t="s">
        <v>11678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</row>
    <row r="3298" spans="1:59">
      <c r="A3298" s="1">
        <f>HYPERLINK("https://lsnyc.legalserver.org/matter/dynamic-profile/view/1907367","19-1907367")</f>
        <v>0</v>
      </c>
      <c r="B3298" t="s">
        <v>2772</v>
      </c>
      <c r="C3298" t="s">
        <v>7556</v>
      </c>
      <c r="D3298" t="s">
        <v>9926</v>
      </c>
      <c r="E3298" t="s">
        <v>10075</v>
      </c>
      <c r="F3298">
        <v>10459</v>
      </c>
      <c r="G3298" t="s">
        <v>10092</v>
      </c>
      <c r="H3298" t="s">
        <v>10149</v>
      </c>
      <c r="J3298" t="s">
        <v>10212</v>
      </c>
      <c r="K3298" t="s">
        <v>10218</v>
      </c>
      <c r="L3298" t="s">
        <v>4843</v>
      </c>
      <c r="M3298" t="s">
        <v>10363</v>
      </c>
      <c r="N3298" t="s">
        <v>10657</v>
      </c>
      <c r="P3298" t="s">
        <v>10756</v>
      </c>
      <c r="Q3298" t="s">
        <v>10807</v>
      </c>
      <c r="R3298" t="s">
        <v>10820</v>
      </c>
      <c r="T3298">
        <v>0</v>
      </c>
      <c r="U3298">
        <v>0</v>
      </c>
      <c r="V3298">
        <v>32</v>
      </c>
      <c r="W3298">
        <v>1</v>
      </c>
      <c r="X3298">
        <v>0</v>
      </c>
      <c r="Y3298" t="s">
        <v>10829</v>
      </c>
      <c r="Z3298">
        <v>0</v>
      </c>
      <c r="AA3298">
        <v>40.829473</v>
      </c>
      <c r="AB3298">
        <v>-73.89071800000001</v>
      </c>
      <c r="AD3298" t="s">
        <v>10840</v>
      </c>
      <c r="AG3298" t="s">
        <v>10858</v>
      </c>
      <c r="AH3298" t="s">
        <v>10868</v>
      </c>
      <c r="AI3298">
        <v>237</v>
      </c>
      <c r="AJ3298" t="s">
        <v>10212</v>
      </c>
      <c r="AK3298" t="s">
        <v>10838</v>
      </c>
      <c r="AL3298">
        <v>1.3</v>
      </c>
      <c r="AM3298" t="s">
        <v>10884</v>
      </c>
      <c r="AN3298" t="s">
        <v>10968</v>
      </c>
      <c r="AO3298" t="s">
        <v>11001</v>
      </c>
      <c r="AP3298" t="s">
        <v>11062</v>
      </c>
      <c r="AR3298" t="s">
        <v>11279</v>
      </c>
      <c r="AS3298" t="s">
        <v>9926</v>
      </c>
      <c r="AY3298" t="s">
        <v>10829</v>
      </c>
      <c r="AZ3298" t="s">
        <v>11708</v>
      </c>
      <c r="BA3298" t="s">
        <v>11741</v>
      </c>
      <c r="BB3298">
        <v>0</v>
      </c>
      <c r="BC3298">
        <v>0</v>
      </c>
      <c r="BD3298">
        <v>0</v>
      </c>
      <c r="BE3298">
        <v>0</v>
      </c>
      <c r="BF3298">
        <v>1</v>
      </c>
      <c r="BG3298">
        <v>0</v>
      </c>
    </row>
    <row r="3299" spans="1:59">
      <c r="A3299" s="1">
        <f>HYPERLINK("https://lsnyc.legalserver.org/matter/dynamic-profile/view/1907368","19-1907368")</f>
        <v>0</v>
      </c>
      <c r="B3299" t="s">
        <v>2773</v>
      </c>
      <c r="C3299" t="s">
        <v>7557</v>
      </c>
      <c r="D3299" t="s">
        <v>9928</v>
      </c>
      <c r="E3299" t="s">
        <v>10075</v>
      </c>
      <c r="F3299">
        <v>11230</v>
      </c>
      <c r="G3299" t="s">
        <v>10093</v>
      </c>
      <c r="H3299" t="s">
        <v>10149</v>
      </c>
      <c r="I3299" t="s">
        <v>10168</v>
      </c>
      <c r="J3299" t="s">
        <v>10213</v>
      </c>
      <c r="K3299" t="s">
        <v>10217</v>
      </c>
      <c r="M3299" t="s">
        <v>10304</v>
      </c>
      <c r="N3299" t="s">
        <v>10671</v>
      </c>
      <c r="P3299" t="s">
        <v>10749</v>
      </c>
      <c r="Q3299" t="s">
        <v>10765</v>
      </c>
      <c r="R3299" t="s">
        <v>10822</v>
      </c>
      <c r="T3299">
        <v>65000</v>
      </c>
      <c r="U3299">
        <v>5416.67</v>
      </c>
      <c r="V3299">
        <v>34</v>
      </c>
      <c r="W3299">
        <v>1</v>
      </c>
      <c r="X3299">
        <v>5</v>
      </c>
      <c r="Z3299">
        <v>187.92</v>
      </c>
      <c r="AA3299">
        <v>40.609634</v>
      </c>
      <c r="AB3299">
        <v>-73.96885399999999</v>
      </c>
      <c r="AD3299" t="s">
        <v>10840</v>
      </c>
      <c r="AG3299" t="s">
        <v>10858</v>
      </c>
      <c r="AH3299" t="s">
        <v>10861</v>
      </c>
      <c r="AI3299">
        <v>234</v>
      </c>
      <c r="AJ3299" t="s">
        <v>10214</v>
      </c>
      <c r="AL3299">
        <v>1</v>
      </c>
      <c r="AM3299" t="s">
        <v>10894</v>
      </c>
      <c r="AN3299" t="s">
        <v>10947</v>
      </c>
      <c r="AO3299" t="s">
        <v>11023</v>
      </c>
      <c r="AP3299" t="s">
        <v>11079</v>
      </c>
      <c r="AR3299" t="s">
        <v>11276</v>
      </c>
      <c r="AS3299" t="s">
        <v>11595</v>
      </c>
      <c r="AT3299" t="s">
        <v>10822</v>
      </c>
      <c r="AX3299" t="s">
        <v>10838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</row>
    <row r="3300" spans="1:59">
      <c r="A3300" s="1">
        <f>HYPERLINK("https://lsnyc.legalserver.org/matter/dynamic-profile/view/1907369","19-1907369")</f>
        <v>0</v>
      </c>
      <c r="B3300" t="s">
        <v>2774</v>
      </c>
      <c r="C3300" t="s">
        <v>7558</v>
      </c>
      <c r="D3300" t="s">
        <v>9928</v>
      </c>
      <c r="E3300" t="s">
        <v>10075</v>
      </c>
      <c r="F3300">
        <v>11224</v>
      </c>
      <c r="G3300" t="s">
        <v>10093</v>
      </c>
      <c r="H3300" t="s">
        <v>10149</v>
      </c>
      <c r="I3300" t="s">
        <v>10168</v>
      </c>
      <c r="J3300" t="s">
        <v>10213</v>
      </c>
      <c r="K3300" t="s">
        <v>10217</v>
      </c>
      <c r="M3300" t="s">
        <v>10314</v>
      </c>
      <c r="N3300" t="s">
        <v>10657</v>
      </c>
      <c r="P3300" t="s">
        <v>10749</v>
      </c>
      <c r="Q3300" t="s">
        <v>10765</v>
      </c>
      <c r="R3300" t="s">
        <v>10822</v>
      </c>
      <c r="T3300">
        <v>71344</v>
      </c>
      <c r="U3300">
        <v>5945.33</v>
      </c>
      <c r="V3300">
        <v>53</v>
      </c>
      <c r="W3300">
        <v>2</v>
      </c>
      <c r="X3300">
        <v>0</v>
      </c>
      <c r="Z3300">
        <v>421.9</v>
      </c>
      <c r="AA3300">
        <v>40.578206</v>
      </c>
      <c r="AB3300">
        <v>-73.973315</v>
      </c>
      <c r="AD3300" t="s">
        <v>10822</v>
      </c>
      <c r="AG3300" t="s">
        <v>10858</v>
      </c>
      <c r="AH3300" t="s">
        <v>10862</v>
      </c>
      <c r="AI3300">
        <v>239</v>
      </c>
      <c r="AJ3300" t="s">
        <v>10213</v>
      </c>
      <c r="AL3300">
        <v>8.5</v>
      </c>
      <c r="AM3300" t="s">
        <v>10889</v>
      </c>
      <c r="AN3300" t="s">
        <v>10960</v>
      </c>
      <c r="AO3300" t="s">
        <v>11006</v>
      </c>
      <c r="AP3300" t="s">
        <v>11092</v>
      </c>
      <c r="AR3300" t="s">
        <v>11328</v>
      </c>
      <c r="AS3300" t="s">
        <v>11595</v>
      </c>
      <c r="BA3300" t="s">
        <v>11742</v>
      </c>
      <c r="BB3300">
        <v>0</v>
      </c>
      <c r="BC3300">
        <v>0</v>
      </c>
      <c r="BD3300">
        <v>0</v>
      </c>
      <c r="BE3300">
        <v>0</v>
      </c>
      <c r="BF3300">
        <v>7</v>
      </c>
      <c r="BG3300">
        <v>0</v>
      </c>
    </row>
    <row r="3301" spans="1:59">
      <c r="A3301" s="1">
        <f>HYPERLINK("https://lsnyc.legalserver.org/matter/dynamic-profile/view/1907370","19-1907370")</f>
        <v>0</v>
      </c>
      <c r="B3301" t="s">
        <v>2775</v>
      </c>
      <c r="C3301" t="s">
        <v>7559</v>
      </c>
      <c r="D3301" t="s">
        <v>9925</v>
      </c>
      <c r="E3301" t="s">
        <v>10075</v>
      </c>
      <c r="F3301">
        <v>10044</v>
      </c>
      <c r="G3301" t="s">
        <v>10089</v>
      </c>
      <c r="H3301" t="s">
        <v>10149</v>
      </c>
      <c r="I3301" t="s">
        <v>10168</v>
      </c>
      <c r="J3301" t="s">
        <v>10209</v>
      </c>
      <c r="K3301" t="s">
        <v>10217</v>
      </c>
      <c r="M3301" t="s">
        <v>10529</v>
      </c>
      <c r="N3301" t="s">
        <v>10646</v>
      </c>
      <c r="P3301" t="s">
        <v>10750</v>
      </c>
      <c r="Q3301" t="s">
        <v>10779</v>
      </c>
      <c r="R3301" t="s">
        <v>10824</v>
      </c>
      <c r="T3301">
        <v>54000</v>
      </c>
      <c r="U3301">
        <v>4500</v>
      </c>
      <c r="V3301">
        <v>36</v>
      </c>
      <c r="W3301">
        <v>1</v>
      </c>
      <c r="X3301">
        <v>0</v>
      </c>
      <c r="Z3301">
        <v>432.35</v>
      </c>
      <c r="AA3301">
        <v>40.761754</v>
      </c>
      <c r="AB3301">
        <v>-73.949639</v>
      </c>
      <c r="AC3301" t="s">
        <v>10837</v>
      </c>
      <c r="AD3301" t="s">
        <v>10840</v>
      </c>
      <c r="AG3301" t="s">
        <v>10858</v>
      </c>
      <c r="AH3301" t="s">
        <v>10861</v>
      </c>
      <c r="AI3301">
        <v>234</v>
      </c>
      <c r="AJ3301" t="s">
        <v>10214</v>
      </c>
      <c r="AL3301">
        <v>1.25</v>
      </c>
      <c r="AM3301" t="s">
        <v>10891</v>
      </c>
      <c r="AN3301" t="s">
        <v>10971</v>
      </c>
      <c r="AO3301" t="s">
        <v>11013</v>
      </c>
      <c r="AP3301" t="s">
        <v>11094</v>
      </c>
      <c r="AR3301" t="s">
        <v>11504</v>
      </c>
      <c r="AS3301" t="s">
        <v>9925</v>
      </c>
      <c r="AT3301" t="s">
        <v>11642</v>
      </c>
      <c r="AX3301" t="s">
        <v>10838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</row>
    <row r="3302" spans="1:59">
      <c r="A3302" s="1">
        <f>HYPERLINK("https://lsnyc.legalserver.org/matter/dynamic-profile/view/1907371","19-1907371")</f>
        <v>0</v>
      </c>
      <c r="B3302" t="s">
        <v>2776</v>
      </c>
      <c r="C3302" t="s">
        <v>6949</v>
      </c>
      <c r="D3302" t="s">
        <v>9928</v>
      </c>
      <c r="E3302" t="s">
        <v>10075</v>
      </c>
      <c r="F3302">
        <v>11222</v>
      </c>
      <c r="G3302" t="s">
        <v>10092</v>
      </c>
      <c r="H3302" t="s">
        <v>10149</v>
      </c>
      <c r="J3302" t="s">
        <v>10212</v>
      </c>
      <c r="K3302" t="s">
        <v>10218</v>
      </c>
      <c r="L3302" t="s">
        <v>10137</v>
      </c>
      <c r="M3302" t="s">
        <v>10363</v>
      </c>
      <c r="N3302" t="s">
        <v>10657</v>
      </c>
      <c r="P3302" t="s">
        <v>10756</v>
      </c>
      <c r="Q3302" t="s">
        <v>10802</v>
      </c>
      <c r="R3302" t="s">
        <v>10821</v>
      </c>
      <c r="T3302">
        <v>0</v>
      </c>
      <c r="U3302">
        <v>0</v>
      </c>
      <c r="V3302">
        <v>44</v>
      </c>
      <c r="W3302">
        <v>1</v>
      </c>
      <c r="X3302">
        <v>0</v>
      </c>
      <c r="Y3302" t="s">
        <v>10829</v>
      </c>
      <c r="Z3302">
        <v>0</v>
      </c>
      <c r="AA3302">
        <v>40.736688</v>
      </c>
      <c r="AB3302">
        <v>-73.952011</v>
      </c>
      <c r="AC3302" t="s">
        <v>10837</v>
      </c>
      <c r="AD3302" t="s">
        <v>10840</v>
      </c>
      <c r="AG3302" t="s">
        <v>10858</v>
      </c>
      <c r="AH3302" t="s">
        <v>10868</v>
      </c>
      <c r="AI3302">
        <v>237</v>
      </c>
      <c r="AJ3302" t="s">
        <v>10212</v>
      </c>
      <c r="AK3302" t="s">
        <v>10838</v>
      </c>
      <c r="AL3302">
        <v>1</v>
      </c>
      <c r="AM3302" t="s">
        <v>10891</v>
      </c>
      <c r="AN3302" t="s">
        <v>10939</v>
      </c>
      <c r="AO3302" t="s">
        <v>11011</v>
      </c>
      <c r="AP3302" t="s">
        <v>11054</v>
      </c>
      <c r="AR3302" t="s">
        <v>11279</v>
      </c>
      <c r="AS3302" t="s">
        <v>11595</v>
      </c>
      <c r="AY3302" t="s">
        <v>10829</v>
      </c>
      <c r="AZ3302" t="s">
        <v>11708</v>
      </c>
      <c r="BA3302" t="s">
        <v>11741</v>
      </c>
      <c r="BB3302">
        <v>0</v>
      </c>
      <c r="BC3302">
        <v>0</v>
      </c>
      <c r="BD3302">
        <v>0</v>
      </c>
      <c r="BE3302">
        <v>0</v>
      </c>
      <c r="BF3302">
        <v>1</v>
      </c>
      <c r="BG3302">
        <v>0</v>
      </c>
    </row>
    <row r="3303" spans="1:59">
      <c r="A3303" s="1">
        <f>HYPERLINK("https://lsnyc.legalserver.org/matter/dynamic-profile/view/1907372","19-1907372")</f>
        <v>0</v>
      </c>
      <c r="B3303" t="s">
        <v>2173</v>
      </c>
      <c r="C3303" t="s">
        <v>6963</v>
      </c>
      <c r="D3303" t="s">
        <v>9926</v>
      </c>
      <c r="E3303" t="s">
        <v>10075</v>
      </c>
      <c r="F3303">
        <v>10453</v>
      </c>
      <c r="G3303" t="s">
        <v>10090</v>
      </c>
      <c r="H3303" t="s">
        <v>10149</v>
      </c>
      <c r="I3303" t="s">
        <v>10169</v>
      </c>
      <c r="J3303" t="s">
        <v>10210</v>
      </c>
      <c r="K3303" t="s">
        <v>10218</v>
      </c>
      <c r="L3303" t="s">
        <v>10142</v>
      </c>
      <c r="M3303" t="s">
        <v>10283</v>
      </c>
      <c r="N3303" t="s">
        <v>10671</v>
      </c>
      <c r="P3303" t="s">
        <v>10751</v>
      </c>
      <c r="Q3303" t="s">
        <v>10786</v>
      </c>
      <c r="R3303" t="s">
        <v>10821</v>
      </c>
      <c r="T3303">
        <v>31200</v>
      </c>
      <c r="U3303">
        <v>2600</v>
      </c>
      <c r="V3303">
        <v>28</v>
      </c>
      <c r="W3303">
        <v>2</v>
      </c>
      <c r="X3303">
        <v>2</v>
      </c>
      <c r="Y3303" t="s">
        <v>10829</v>
      </c>
      <c r="Z3303">
        <v>121.17</v>
      </c>
      <c r="AA3303">
        <v>40.853207</v>
      </c>
      <c r="AB3303">
        <v>-73.904719</v>
      </c>
      <c r="AD3303" t="s">
        <v>10839</v>
      </c>
      <c r="AF3303" t="s">
        <v>10843</v>
      </c>
      <c r="AG3303" t="s">
        <v>10859</v>
      </c>
      <c r="AH3303" t="s">
        <v>10861</v>
      </c>
      <c r="AI3303">
        <v>234</v>
      </c>
      <c r="AJ3303" t="s">
        <v>10214</v>
      </c>
      <c r="AK3303" t="s">
        <v>10882</v>
      </c>
      <c r="AL3303">
        <v>1.2</v>
      </c>
      <c r="AR3303" t="s">
        <v>11257</v>
      </c>
      <c r="AS3303" t="s">
        <v>9926</v>
      </c>
      <c r="AY3303" t="s">
        <v>10829</v>
      </c>
      <c r="AZ3303" t="s">
        <v>11682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</row>
    <row r="3304" spans="1:59">
      <c r="A3304" s="1">
        <f>HYPERLINK("https://lsnyc.legalserver.org/matter/dynamic-profile/view/1907373","19-1907373")</f>
        <v>0</v>
      </c>
      <c r="B3304" t="s">
        <v>2777</v>
      </c>
      <c r="C3304" t="s">
        <v>7560</v>
      </c>
      <c r="D3304" t="s">
        <v>9929</v>
      </c>
      <c r="E3304" t="s">
        <v>10075</v>
      </c>
      <c r="F3304">
        <v>10305</v>
      </c>
      <c r="G3304" t="s">
        <v>10088</v>
      </c>
      <c r="H3304" t="s">
        <v>10096</v>
      </c>
      <c r="I3304" t="s">
        <v>10168</v>
      </c>
      <c r="J3304" t="s">
        <v>10208</v>
      </c>
      <c r="K3304" t="s">
        <v>10217</v>
      </c>
      <c r="M3304" t="s">
        <v>10478</v>
      </c>
      <c r="N3304" t="s">
        <v>10663</v>
      </c>
      <c r="P3304" t="s">
        <v>10755</v>
      </c>
      <c r="Q3304" t="s">
        <v>10772</v>
      </c>
      <c r="R3304" t="s">
        <v>10820</v>
      </c>
      <c r="T3304">
        <v>28968</v>
      </c>
      <c r="U3304">
        <v>2414</v>
      </c>
      <c r="V3304">
        <v>16</v>
      </c>
      <c r="W3304">
        <v>1</v>
      </c>
      <c r="X3304">
        <v>4</v>
      </c>
      <c r="Z3304">
        <v>96.02</v>
      </c>
      <c r="AA3304">
        <v>40.59355</v>
      </c>
      <c r="AB3304">
        <v>-74.06849699999999</v>
      </c>
      <c r="AD3304" t="s">
        <v>10840</v>
      </c>
      <c r="AG3304" t="s">
        <v>10858</v>
      </c>
      <c r="AH3304" t="s">
        <v>10861</v>
      </c>
      <c r="AI3304">
        <v>285</v>
      </c>
      <c r="AJ3304" t="s">
        <v>10208</v>
      </c>
      <c r="AL3304">
        <v>10.1</v>
      </c>
      <c r="AM3304" t="s">
        <v>10883</v>
      </c>
      <c r="AN3304" t="s">
        <v>10915</v>
      </c>
      <c r="AO3304" t="s">
        <v>11006</v>
      </c>
      <c r="AP3304" t="s">
        <v>11063</v>
      </c>
      <c r="AR3304" t="s">
        <v>11295</v>
      </c>
      <c r="AS3304" t="s">
        <v>11593</v>
      </c>
      <c r="AT3304" t="s">
        <v>11642</v>
      </c>
      <c r="AX3304" t="s">
        <v>10838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</row>
    <row r="3305" spans="1:59">
      <c r="A3305" s="1">
        <f>HYPERLINK("https://lsnyc.legalserver.org/matter/dynamic-profile/view/1907374","19-1907374")</f>
        <v>0</v>
      </c>
      <c r="B3305" t="s">
        <v>418</v>
      </c>
      <c r="C3305" t="s">
        <v>7561</v>
      </c>
      <c r="D3305" t="s">
        <v>9928</v>
      </c>
      <c r="E3305" t="s">
        <v>10075</v>
      </c>
      <c r="F3305">
        <v>11231</v>
      </c>
      <c r="G3305" t="s">
        <v>10093</v>
      </c>
      <c r="H3305" t="s">
        <v>10149</v>
      </c>
      <c r="J3305" t="s">
        <v>10213</v>
      </c>
      <c r="K3305" t="s">
        <v>10217</v>
      </c>
      <c r="M3305" t="s">
        <v>10314</v>
      </c>
      <c r="N3305" t="s">
        <v>10657</v>
      </c>
      <c r="P3305" t="s">
        <v>10749</v>
      </c>
      <c r="Q3305" t="s">
        <v>10765</v>
      </c>
      <c r="R3305" t="s">
        <v>10822</v>
      </c>
      <c r="T3305">
        <v>0</v>
      </c>
      <c r="U3305">
        <v>0</v>
      </c>
      <c r="V3305">
        <v>26</v>
      </c>
      <c r="W3305">
        <v>2</v>
      </c>
      <c r="X3305">
        <v>2</v>
      </c>
      <c r="Z3305">
        <v>0</v>
      </c>
      <c r="AA3305">
        <v>40.67437</v>
      </c>
      <c r="AB3305">
        <v>-74.002788</v>
      </c>
      <c r="AD3305" t="s">
        <v>10822</v>
      </c>
      <c r="AG3305" t="s">
        <v>10858</v>
      </c>
      <c r="AH3305" t="s">
        <v>10862</v>
      </c>
      <c r="AI3305">
        <v>239</v>
      </c>
      <c r="AJ3305" t="s">
        <v>10213</v>
      </c>
      <c r="AL3305">
        <v>0</v>
      </c>
      <c r="AM3305" t="s">
        <v>10886</v>
      </c>
      <c r="AN3305" t="s">
        <v>10921</v>
      </c>
      <c r="AO3305" t="s">
        <v>11007</v>
      </c>
      <c r="AP3305" t="s">
        <v>11069</v>
      </c>
      <c r="AR3305" t="s">
        <v>11267</v>
      </c>
      <c r="AS3305" t="s">
        <v>11595</v>
      </c>
      <c r="BA3305" t="s">
        <v>11742</v>
      </c>
      <c r="BB3305">
        <v>0</v>
      </c>
      <c r="BC3305">
        <v>0</v>
      </c>
      <c r="BD3305">
        <v>0</v>
      </c>
      <c r="BE3305">
        <v>0</v>
      </c>
      <c r="BF3305">
        <v>7</v>
      </c>
      <c r="BG3305">
        <v>0</v>
      </c>
    </row>
    <row r="3306" spans="1:59">
      <c r="A3306" s="1">
        <f>HYPERLINK("https://lsnyc.legalserver.org/matter/dynamic-profile/view/1907375","19-1907375")</f>
        <v>0</v>
      </c>
      <c r="B3306" t="s">
        <v>2778</v>
      </c>
      <c r="C3306" t="s">
        <v>7560</v>
      </c>
      <c r="D3306" t="s">
        <v>9929</v>
      </c>
      <c r="E3306" t="s">
        <v>10075</v>
      </c>
      <c r="F3306">
        <v>10305</v>
      </c>
      <c r="G3306" t="s">
        <v>10088</v>
      </c>
      <c r="H3306" t="s">
        <v>10096</v>
      </c>
      <c r="I3306" t="s">
        <v>10168</v>
      </c>
      <c r="J3306" t="s">
        <v>10208</v>
      </c>
      <c r="K3306" t="s">
        <v>10218</v>
      </c>
      <c r="L3306" t="s">
        <v>10145</v>
      </c>
      <c r="M3306" t="s">
        <v>10478</v>
      </c>
      <c r="N3306" t="s">
        <v>10663</v>
      </c>
      <c r="P3306" t="s">
        <v>10755</v>
      </c>
      <c r="Q3306" t="s">
        <v>10772</v>
      </c>
      <c r="R3306" t="s">
        <v>10820</v>
      </c>
      <c r="T3306">
        <v>28968</v>
      </c>
      <c r="U3306">
        <v>2414</v>
      </c>
      <c r="V3306">
        <v>18</v>
      </c>
      <c r="W3306">
        <v>1</v>
      </c>
      <c r="X3306">
        <v>4</v>
      </c>
      <c r="Y3306" t="s">
        <v>10830</v>
      </c>
      <c r="Z3306">
        <v>96.02</v>
      </c>
      <c r="AA3306">
        <v>40.59355</v>
      </c>
      <c r="AB3306">
        <v>-74.06849699999999</v>
      </c>
      <c r="AD3306" t="s">
        <v>10840</v>
      </c>
      <c r="AG3306" t="s">
        <v>10858</v>
      </c>
      <c r="AH3306" t="s">
        <v>10861</v>
      </c>
      <c r="AI3306">
        <v>285</v>
      </c>
      <c r="AJ3306" t="s">
        <v>10208</v>
      </c>
      <c r="AK3306" t="s">
        <v>10838</v>
      </c>
      <c r="AL3306">
        <v>0.6</v>
      </c>
      <c r="AR3306" t="s">
        <v>11295</v>
      </c>
      <c r="AS3306" t="s">
        <v>11593</v>
      </c>
      <c r="AY3306" t="s">
        <v>10830</v>
      </c>
      <c r="AZ3306" t="s">
        <v>11712</v>
      </c>
      <c r="BA3306" t="s">
        <v>11740</v>
      </c>
      <c r="BB3306">
        <v>0</v>
      </c>
      <c r="BC3306">
        <v>0</v>
      </c>
      <c r="BD3306">
        <v>0</v>
      </c>
      <c r="BE3306">
        <v>0</v>
      </c>
      <c r="BF3306">
        <v>2</v>
      </c>
      <c r="BG3306">
        <v>0</v>
      </c>
    </row>
    <row r="3307" spans="1:59">
      <c r="A3307" s="1">
        <f>HYPERLINK("https://lsnyc.legalserver.org/matter/dynamic-profile/view/1907376","19-1907376")</f>
        <v>0</v>
      </c>
      <c r="B3307" t="s">
        <v>2779</v>
      </c>
      <c r="C3307" t="s">
        <v>7562</v>
      </c>
      <c r="D3307" t="s">
        <v>9925</v>
      </c>
      <c r="E3307" t="s">
        <v>10075</v>
      </c>
      <c r="F3307">
        <v>10009</v>
      </c>
      <c r="G3307" t="s">
        <v>10091</v>
      </c>
      <c r="H3307" t="s">
        <v>10149</v>
      </c>
      <c r="I3307" t="s">
        <v>10169</v>
      </c>
      <c r="J3307" t="s">
        <v>10214</v>
      </c>
      <c r="K3307" t="s">
        <v>10217</v>
      </c>
      <c r="M3307" t="s">
        <v>10286</v>
      </c>
      <c r="N3307" t="s">
        <v>10671</v>
      </c>
      <c r="P3307" t="s">
        <v>10751</v>
      </c>
      <c r="Q3307" t="s">
        <v>10780</v>
      </c>
      <c r="R3307" t="s">
        <v>10821</v>
      </c>
      <c r="T3307">
        <v>0</v>
      </c>
      <c r="U3307">
        <v>0</v>
      </c>
      <c r="V3307">
        <v>79</v>
      </c>
      <c r="W3307">
        <v>1</v>
      </c>
      <c r="X3307">
        <v>0</v>
      </c>
      <c r="Z3307">
        <v>0</v>
      </c>
      <c r="AA3307">
        <v>40.721084</v>
      </c>
      <c r="AB3307">
        <v>-73.976406</v>
      </c>
      <c r="AD3307" t="s">
        <v>10840</v>
      </c>
      <c r="AF3307" t="s">
        <v>10843</v>
      </c>
      <c r="AG3307" t="s">
        <v>10859</v>
      </c>
      <c r="AH3307" t="s">
        <v>10861</v>
      </c>
      <c r="AI3307">
        <v>234</v>
      </c>
      <c r="AJ3307" t="s">
        <v>10214</v>
      </c>
      <c r="AL3307">
        <v>0.5</v>
      </c>
      <c r="AM3307" t="s">
        <v>10886</v>
      </c>
      <c r="AN3307" t="s">
        <v>10910</v>
      </c>
      <c r="AO3307" t="s">
        <v>11004</v>
      </c>
      <c r="AP3307" t="s">
        <v>11048</v>
      </c>
      <c r="AR3307" t="s">
        <v>11279</v>
      </c>
      <c r="AS3307" t="s">
        <v>9925</v>
      </c>
      <c r="AT3307" t="s">
        <v>11642</v>
      </c>
      <c r="AX3307" t="s">
        <v>10838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</row>
    <row r="3308" spans="1:59">
      <c r="A3308" s="1">
        <f>HYPERLINK("https://lsnyc.legalserver.org/matter/dynamic-profile/view/1907377","19-1907377")</f>
        <v>0</v>
      </c>
      <c r="B3308" t="s">
        <v>2780</v>
      </c>
      <c r="C3308" t="s">
        <v>7563</v>
      </c>
      <c r="D3308" t="s">
        <v>9932</v>
      </c>
      <c r="E3308" t="s">
        <v>10075</v>
      </c>
      <c r="F3308">
        <v>11368</v>
      </c>
      <c r="G3308" t="s">
        <v>10092</v>
      </c>
      <c r="H3308" t="s">
        <v>10149</v>
      </c>
      <c r="J3308" t="s">
        <v>10212</v>
      </c>
      <c r="K3308" t="s">
        <v>10218</v>
      </c>
      <c r="L3308" t="s">
        <v>10137</v>
      </c>
      <c r="M3308" t="s">
        <v>10350</v>
      </c>
      <c r="N3308" t="s">
        <v>10669</v>
      </c>
      <c r="P3308" t="s">
        <v>10754</v>
      </c>
      <c r="Q3308" t="s">
        <v>10770</v>
      </c>
      <c r="R3308" t="s">
        <v>10821</v>
      </c>
      <c r="T3308">
        <v>23400</v>
      </c>
      <c r="U3308">
        <v>1950</v>
      </c>
      <c r="V3308">
        <v>34</v>
      </c>
      <c r="W3308">
        <v>1</v>
      </c>
      <c r="X3308">
        <v>2</v>
      </c>
      <c r="Y3308" t="s">
        <v>10829</v>
      </c>
      <c r="Z3308">
        <v>109.7</v>
      </c>
      <c r="AA3308">
        <v>40.744152</v>
      </c>
      <c r="AB3308">
        <v>-73.853689</v>
      </c>
      <c r="AD3308" t="s">
        <v>10839</v>
      </c>
      <c r="AF3308" t="s">
        <v>10842</v>
      </c>
      <c r="AG3308" t="s">
        <v>10859</v>
      </c>
      <c r="AH3308" t="s">
        <v>10865</v>
      </c>
      <c r="AI3308">
        <v>237</v>
      </c>
      <c r="AJ3308" t="s">
        <v>10212</v>
      </c>
      <c r="AK3308" t="s">
        <v>10837</v>
      </c>
      <c r="AL3308">
        <v>2.25</v>
      </c>
      <c r="AM3308" t="s">
        <v>10885</v>
      </c>
      <c r="AN3308" t="s">
        <v>10949</v>
      </c>
      <c r="AO3308" t="s">
        <v>11014</v>
      </c>
      <c r="AP3308" t="s">
        <v>11068</v>
      </c>
      <c r="AR3308" t="s">
        <v>11257</v>
      </c>
      <c r="AS3308" t="s">
        <v>11594</v>
      </c>
      <c r="AY3308" t="s">
        <v>10829</v>
      </c>
      <c r="AZ3308" t="s">
        <v>11683</v>
      </c>
      <c r="BA3308" t="s">
        <v>11741</v>
      </c>
      <c r="BB3308">
        <v>0</v>
      </c>
      <c r="BC3308">
        <v>0</v>
      </c>
      <c r="BD3308">
        <v>0</v>
      </c>
      <c r="BE3308">
        <v>0</v>
      </c>
      <c r="BF3308">
        <v>1</v>
      </c>
      <c r="BG3308">
        <v>0</v>
      </c>
    </row>
    <row r="3309" spans="1:59">
      <c r="A3309" s="1">
        <f>HYPERLINK("https://lsnyc.legalserver.org/matter/dynamic-profile/view/1907378","19-1907378")</f>
        <v>0</v>
      </c>
      <c r="B3309" t="s">
        <v>513</v>
      </c>
      <c r="C3309" t="s">
        <v>7564</v>
      </c>
      <c r="D3309" t="s">
        <v>9926</v>
      </c>
      <c r="E3309" t="s">
        <v>10075</v>
      </c>
      <c r="F3309">
        <v>10468</v>
      </c>
      <c r="G3309" t="s">
        <v>10090</v>
      </c>
      <c r="H3309" t="s">
        <v>10149</v>
      </c>
      <c r="I3309" t="s">
        <v>10169</v>
      </c>
      <c r="J3309" t="s">
        <v>10210</v>
      </c>
      <c r="K3309" t="s">
        <v>10217</v>
      </c>
      <c r="M3309" t="s">
        <v>10333</v>
      </c>
      <c r="N3309" t="s">
        <v>10683</v>
      </c>
      <c r="P3309" t="s">
        <v>10751</v>
      </c>
      <c r="Q3309" t="s">
        <v>10786</v>
      </c>
      <c r="R3309" t="s">
        <v>10821</v>
      </c>
      <c r="T3309">
        <v>19603.2</v>
      </c>
      <c r="U3309">
        <v>1633.6</v>
      </c>
      <c r="V3309">
        <v>32</v>
      </c>
      <c r="W3309">
        <v>1</v>
      </c>
      <c r="X3309">
        <v>4</v>
      </c>
      <c r="Z3309">
        <v>64.98</v>
      </c>
      <c r="AA3309">
        <v>40.861378</v>
      </c>
      <c r="AB3309">
        <v>-73.911248</v>
      </c>
      <c r="AD3309" t="s">
        <v>10839</v>
      </c>
      <c r="AF3309" t="s">
        <v>10843</v>
      </c>
      <c r="AG3309" t="s">
        <v>10859</v>
      </c>
      <c r="AH3309" t="s">
        <v>10874</v>
      </c>
      <c r="AI3309">
        <v>230</v>
      </c>
      <c r="AJ3309" t="s">
        <v>10210</v>
      </c>
      <c r="AL3309">
        <v>1.1</v>
      </c>
      <c r="AM3309" t="s">
        <v>10887</v>
      </c>
      <c r="AN3309" t="s">
        <v>10931</v>
      </c>
      <c r="AO3309" t="s">
        <v>11000</v>
      </c>
      <c r="AP3309" t="s">
        <v>11045</v>
      </c>
      <c r="AR3309" t="s">
        <v>11334</v>
      </c>
      <c r="AS3309" t="s">
        <v>9926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</row>
    <row r="3310" spans="1:59">
      <c r="A3310" s="1">
        <f>HYPERLINK("https://lsnyc.legalserver.org/matter/dynamic-profile/view/1907379","19-1907379")</f>
        <v>0</v>
      </c>
      <c r="B3310" t="s">
        <v>2781</v>
      </c>
      <c r="C3310" t="s">
        <v>7565</v>
      </c>
      <c r="D3310" t="s">
        <v>9933</v>
      </c>
      <c r="E3310" t="s">
        <v>10075</v>
      </c>
      <c r="F3310">
        <v>11420</v>
      </c>
      <c r="G3310" t="s">
        <v>10092</v>
      </c>
      <c r="H3310" t="s">
        <v>10149</v>
      </c>
      <c r="I3310" t="s">
        <v>10168</v>
      </c>
      <c r="J3310" t="s">
        <v>10212</v>
      </c>
      <c r="K3310" t="s">
        <v>10217</v>
      </c>
      <c r="M3310" t="s">
        <v>10318</v>
      </c>
      <c r="N3310" t="s">
        <v>10684</v>
      </c>
      <c r="P3310" t="s">
        <v>10751</v>
      </c>
      <c r="Q3310" t="s">
        <v>10786</v>
      </c>
      <c r="R3310" t="s">
        <v>10827</v>
      </c>
      <c r="T3310">
        <v>3300</v>
      </c>
      <c r="U3310">
        <v>275</v>
      </c>
      <c r="V3310">
        <v>67</v>
      </c>
      <c r="W3310">
        <v>1</v>
      </c>
      <c r="X3310">
        <v>0</v>
      </c>
      <c r="Z3310">
        <v>26.42</v>
      </c>
      <c r="AA3310">
        <v>40.684571</v>
      </c>
      <c r="AB3310">
        <v>-73.808468</v>
      </c>
      <c r="AD3310" t="s">
        <v>10839</v>
      </c>
      <c r="AG3310" t="s">
        <v>10858</v>
      </c>
      <c r="AH3310" t="s">
        <v>10873</v>
      </c>
      <c r="AI3310">
        <v>237</v>
      </c>
      <c r="AJ3310" t="s">
        <v>10212</v>
      </c>
      <c r="AL3310">
        <v>2.5</v>
      </c>
      <c r="AM3310" t="s">
        <v>10892</v>
      </c>
      <c r="AN3310" t="s">
        <v>10951</v>
      </c>
      <c r="AO3310" t="s">
        <v>11017</v>
      </c>
      <c r="AP3310" t="s">
        <v>11070</v>
      </c>
      <c r="AR3310" t="s">
        <v>11268</v>
      </c>
      <c r="AS3310" t="s">
        <v>11594</v>
      </c>
      <c r="AT3310" t="s">
        <v>11641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</row>
    <row r="3311" spans="1:59">
      <c r="A3311" s="1">
        <f>HYPERLINK("https://lsnyc.legalserver.org/matter/dynamic-profile/view/1907380","19-1907380")</f>
        <v>0</v>
      </c>
      <c r="B3311" t="s">
        <v>2782</v>
      </c>
      <c r="C3311" t="s">
        <v>7566</v>
      </c>
      <c r="D3311" t="s">
        <v>9948</v>
      </c>
      <c r="E3311" t="s">
        <v>10075</v>
      </c>
      <c r="F3311">
        <v>11691</v>
      </c>
      <c r="G3311" t="s">
        <v>10092</v>
      </c>
      <c r="H3311" t="s">
        <v>10149</v>
      </c>
      <c r="I3311" t="s">
        <v>10168</v>
      </c>
      <c r="J3311" t="s">
        <v>10212</v>
      </c>
      <c r="K3311" t="s">
        <v>10217</v>
      </c>
      <c r="M3311" t="s">
        <v>10547</v>
      </c>
      <c r="N3311" t="s">
        <v>10671</v>
      </c>
      <c r="P3311" t="s">
        <v>10753</v>
      </c>
      <c r="Q3311" t="s">
        <v>10763</v>
      </c>
      <c r="R3311" t="s">
        <v>10823</v>
      </c>
      <c r="T3311">
        <v>0</v>
      </c>
      <c r="U3311">
        <v>0</v>
      </c>
      <c r="V3311">
        <v>57</v>
      </c>
      <c r="W3311">
        <v>1</v>
      </c>
      <c r="X3311">
        <v>0</v>
      </c>
      <c r="Z3311">
        <v>0</v>
      </c>
      <c r="AA3311">
        <v>40.595502</v>
      </c>
      <c r="AB3311">
        <v>-73.76266099999999</v>
      </c>
      <c r="AD3311" t="s">
        <v>10840</v>
      </c>
      <c r="AF3311" t="s">
        <v>10843</v>
      </c>
      <c r="AG3311" t="s">
        <v>10859</v>
      </c>
      <c r="AH3311" t="s">
        <v>10871</v>
      </c>
      <c r="AI3311">
        <v>234</v>
      </c>
      <c r="AJ3311" t="s">
        <v>10214</v>
      </c>
      <c r="AL3311">
        <v>0.66</v>
      </c>
      <c r="AM3311" t="s">
        <v>10892</v>
      </c>
      <c r="AN3311" t="s">
        <v>10958</v>
      </c>
      <c r="AO3311" t="s">
        <v>11017</v>
      </c>
      <c r="AP3311" t="s">
        <v>11082</v>
      </c>
      <c r="AR3311" t="s">
        <v>11279</v>
      </c>
      <c r="AS3311" t="s">
        <v>11594</v>
      </c>
      <c r="AT3311" t="s">
        <v>11642</v>
      </c>
      <c r="AX3311" t="s">
        <v>10838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</row>
    <row r="3312" spans="1:59">
      <c r="A3312" s="1">
        <f>HYPERLINK("https://lsnyc.legalserver.org/matter/dynamic-profile/view/1907381","19-1907381")</f>
        <v>0</v>
      </c>
      <c r="B3312" t="s">
        <v>2783</v>
      </c>
      <c r="C3312" t="s">
        <v>7567</v>
      </c>
      <c r="D3312" t="s">
        <v>9954</v>
      </c>
      <c r="E3312" t="s">
        <v>10075</v>
      </c>
      <c r="F3312">
        <v>11372</v>
      </c>
      <c r="G3312" t="s">
        <v>10092</v>
      </c>
      <c r="H3312" t="s">
        <v>10149</v>
      </c>
      <c r="I3312" t="s">
        <v>10169</v>
      </c>
      <c r="J3312" t="s">
        <v>10212</v>
      </c>
      <c r="K3312" t="s">
        <v>10217</v>
      </c>
      <c r="M3312" t="s">
        <v>10486</v>
      </c>
      <c r="N3312" t="s">
        <v>10673</v>
      </c>
      <c r="P3312" t="s">
        <v>10753</v>
      </c>
      <c r="Q3312" t="s">
        <v>10763</v>
      </c>
      <c r="R3312" t="s">
        <v>10823</v>
      </c>
      <c r="T3312">
        <v>13000</v>
      </c>
      <c r="U3312">
        <v>1083.33</v>
      </c>
      <c r="V3312">
        <v>33</v>
      </c>
      <c r="W3312">
        <v>1</v>
      </c>
      <c r="X3312">
        <v>2</v>
      </c>
      <c r="Z3312">
        <v>60.95</v>
      </c>
      <c r="AA3312">
        <v>40.749664</v>
      </c>
      <c r="AB3312">
        <v>-73.89267100000001</v>
      </c>
      <c r="AD3312" t="s">
        <v>10839</v>
      </c>
      <c r="AF3312" t="s">
        <v>10843</v>
      </c>
      <c r="AG3312" t="s">
        <v>10859</v>
      </c>
      <c r="AH3312" t="s">
        <v>10864</v>
      </c>
      <c r="AI3312">
        <v>237</v>
      </c>
      <c r="AJ3312" t="s">
        <v>10212</v>
      </c>
      <c r="AL3312">
        <v>6.8</v>
      </c>
      <c r="AM3312" t="s">
        <v>10885</v>
      </c>
      <c r="AN3312" t="s">
        <v>10909</v>
      </c>
      <c r="AO3312" t="s">
        <v>11014</v>
      </c>
      <c r="AP3312" t="s">
        <v>11053</v>
      </c>
      <c r="AQ3312" t="s">
        <v>11158</v>
      </c>
      <c r="AR3312" t="s">
        <v>11257</v>
      </c>
      <c r="AS3312" t="s">
        <v>11594</v>
      </c>
      <c r="AT3312" t="s">
        <v>11641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</row>
    <row r="3313" spans="1:59">
      <c r="A3313" s="1">
        <f>HYPERLINK("https://lsnyc.legalserver.org/matter/dynamic-profile/view/1907382","19-1907382")</f>
        <v>0</v>
      </c>
      <c r="B3313" t="s">
        <v>965</v>
      </c>
      <c r="C3313" t="s">
        <v>7568</v>
      </c>
      <c r="D3313" t="s">
        <v>9926</v>
      </c>
      <c r="E3313" t="s">
        <v>10075</v>
      </c>
      <c r="F3313">
        <v>10457</v>
      </c>
      <c r="G3313" t="s">
        <v>10090</v>
      </c>
      <c r="H3313" t="s">
        <v>10149</v>
      </c>
      <c r="I3313" t="s">
        <v>10168</v>
      </c>
      <c r="J3313" t="s">
        <v>10210</v>
      </c>
      <c r="K3313" t="s">
        <v>10217</v>
      </c>
      <c r="M3313" t="s">
        <v>10427</v>
      </c>
      <c r="N3313" t="s">
        <v>10650</v>
      </c>
      <c r="P3313" t="s">
        <v>10749</v>
      </c>
      <c r="Q3313" t="s">
        <v>10774</v>
      </c>
      <c r="R3313" t="s">
        <v>10820</v>
      </c>
      <c r="T3313">
        <v>9240</v>
      </c>
      <c r="U3313">
        <v>770</v>
      </c>
      <c r="V3313">
        <v>59</v>
      </c>
      <c r="W3313">
        <v>1</v>
      </c>
      <c r="X3313">
        <v>0</v>
      </c>
      <c r="Z3313">
        <v>73.98</v>
      </c>
      <c r="AA3313">
        <v>40.840863</v>
      </c>
      <c r="AB3313">
        <v>-73.910656</v>
      </c>
      <c r="AD3313" t="s">
        <v>10839</v>
      </c>
      <c r="AG3313" t="s">
        <v>10858</v>
      </c>
      <c r="AH3313" t="s">
        <v>10862</v>
      </c>
      <c r="AI3313">
        <v>230</v>
      </c>
      <c r="AJ3313" t="s">
        <v>10210</v>
      </c>
      <c r="AL3313">
        <v>2.2</v>
      </c>
      <c r="AM3313" t="s">
        <v>10884</v>
      </c>
      <c r="AN3313" t="s">
        <v>10929</v>
      </c>
      <c r="AO3313" t="s">
        <v>11000</v>
      </c>
      <c r="AP3313" t="s">
        <v>11055</v>
      </c>
      <c r="AR3313" t="s">
        <v>11263</v>
      </c>
      <c r="AS3313" t="s">
        <v>9926</v>
      </c>
      <c r="BA3313" t="s">
        <v>11737</v>
      </c>
      <c r="BB3313">
        <v>0</v>
      </c>
      <c r="BC3313">
        <v>0</v>
      </c>
      <c r="BD3313">
        <v>0</v>
      </c>
      <c r="BE3313">
        <v>0</v>
      </c>
      <c r="BF3313">
        <v>3</v>
      </c>
      <c r="BG3313">
        <v>0</v>
      </c>
    </row>
    <row r="3314" spans="1:59">
      <c r="A3314" s="1">
        <f>HYPERLINK("https://lsnyc.legalserver.org/matter/dynamic-profile/view/1907383","19-1907383")</f>
        <v>0</v>
      </c>
      <c r="B3314" t="s">
        <v>1957</v>
      </c>
      <c r="C3314" t="s">
        <v>7569</v>
      </c>
      <c r="D3314" t="s">
        <v>9926</v>
      </c>
      <c r="E3314" t="s">
        <v>10075</v>
      </c>
      <c r="F3314">
        <v>10460</v>
      </c>
      <c r="G3314" t="s">
        <v>10090</v>
      </c>
      <c r="H3314" t="s">
        <v>10149</v>
      </c>
      <c r="I3314" t="s">
        <v>10168</v>
      </c>
      <c r="J3314" t="s">
        <v>10210</v>
      </c>
      <c r="K3314" t="s">
        <v>10217</v>
      </c>
      <c r="M3314" t="s">
        <v>10599</v>
      </c>
      <c r="N3314" t="s">
        <v>10690</v>
      </c>
      <c r="P3314" t="s">
        <v>10751</v>
      </c>
      <c r="Q3314" t="s">
        <v>10768</v>
      </c>
      <c r="R3314" t="s">
        <v>10824</v>
      </c>
      <c r="T3314">
        <v>2160</v>
      </c>
      <c r="U3314">
        <v>180</v>
      </c>
      <c r="V3314">
        <v>49</v>
      </c>
      <c r="W3314">
        <v>1</v>
      </c>
      <c r="X3314">
        <v>0</v>
      </c>
      <c r="Z3314">
        <v>17.29</v>
      </c>
      <c r="AA3314">
        <v>40.846003</v>
      </c>
      <c r="AB3314">
        <v>-73.883274</v>
      </c>
      <c r="AC3314" t="s">
        <v>10837</v>
      </c>
      <c r="AD3314" t="s">
        <v>10840</v>
      </c>
      <c r="AG3314" t="s">
        <v>10858</v>
      </c>
      <c r="AH3314" t="s">
        <v>10861</v>
      </c>
      <c r="AI3314">
        <v>234</v>
      </c>
      <c r="AJ3314" t="s">
        <v>10214</v>
      </c>
      <c r="AL3314">
        <v>4.15</v>
      </c>
      <c r="AM3314" t="s">
        <v>10884</v>
      </c>
      <c r="AN3314" t="s">
        <v>10908</v>
      </c>
      <c r="AO3314" t="s">
        <v>11000</v>
      </c>
      <c r="AP3314" t="s">
        <v>11062</v>
      </c>
      <c r="AR3314" t="s">
        <v>11311</v>
      </c>
      <c r="AS3314" t="s">
        <v>9926</v>
      </c>
      <c r="AT3314" t="s">
        <v>11642</v>
      </c>
      <c r="AX3314" t="s">
        <v>10838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</row>
    <row r="3315" spans="1:59">
      <c r="A3315" s="1">
        <f>HYPERLINK("https://lsnyc.legalserver.org/matter/dynamic-profile/view/1907384","19-1907384")</f>
        <v>0</v>
      </c>
      <c r="B3315" t="s">
        <v>2784</v>
      </c>
      <c r="C3315" t="s">
        <v>7570</v>
      </c>
      <c r="D3315" t="s">
        <v>9948</v>
      </c>
      <c r="E3315" t="s">
        <v>10075</v>
      </c>
      <c r="F3315">
        <v>11691</v>
      </c>
      <c r="G3315" t="s">
        <v>10092</v>
      </c>
      <c r="H3315" t="s">
        <v>10149</v>
      </c>
      <c r="I3315" t="s">
        <v>10168</v>
      </c>
      <c r="J3315" t="s">
        <v>10212</v>
      </c>
      <c r="K3315" t="s">
        <v>10218</v>
      </c>
      <c r="L3315" t="s">
        <v>10166</v>
      </c>
      <c r="M3315" t="s">
        <v>10340</v>
      </c>
      <c r="N3315" t="s">
        <v>10694</v>
      </c>
      <c r="P3315" t="s">
        <v>10751</v>
      </c>
      <c r="Q3315" t="s">
        <v>10768</v>
      </c>
      <c r="R3315" t="s">
        <v>10824</v>
      </c>
      <c r="T3315">
        <v>7960</v>
      </c>
      <c r="U3315">
        <v>663.33</v>
      </c>
      <c r="V3315">
        <v>45</v>
      </c>
      <c r="W3315">
        <v>1</v>
      </c>
      <c r="X3315">
        <v>1</v>
      </c>
      <c r="Y3315" t="s">
        <v>10829</v>
      </c>
      <c r="Z3315">
        <v>47.07</v>
      </c>
      <c r="AA3315">
        <v>40.603047</v>
      </c>
      <c r="AB3315">
        <v>-73.758289</v>
      </c>
      <c r="AD3315" t="s">
        <v>10840</v>
      </c>
      <c r="AG3315" t="s">
        <v>10858</v>
      </c>
      <c r="AH3315" t="s">
        <v>10861</v>
      </c>
      <c r="AI3315">
        <v>234</v>
      </c>
      <c r="AJ3315" t="s">
        <v>10214</v>
      </c>
      <c r="AK3315" t="s">
        <v>10838</v>
      </c>
      <c r="AL3315">
        <v>7.3</v>
      </c>
      <c r="AM3315" t="s">
        <v>10892</v>
      </c>
      <c r="AN3315" t="s">
        <v>10930</v>
      </c>
      <c r="AO3315" t="s">
        <v>11017</v>
      </c>
      <c r="AP3315" t="s">
        <v>11082</v>
      </c>
      <c r="AR3315" t="s">
        <v>11310</v>
      </c>
      <c r="AS3315" t="s">
        <v>11594</v>
      </c>
      <c r="AT3315" t="s">
        <v>11642</v>
      </c>
      <c r="AX3315" t="s">
        <v>10838</v>
      </c>
      <c r="AY3315" t="s">
        <v>10829</v>
      </c>
      <c r="AZ3315" t="s">
        <v>11682</v>
      </c>
      <c r="BA3315" t="s">
        <v>11741</v>
      </c>
      <c r="BB3315">
        <v>0</v>
      </c>
      <c r="BC3315">
        <v>0</v>
      </c>
      <c r="BD3315">
        <v>0</v>
      </c>
      <c r="BE3315">
        <v>0</v>
      </c>
      <c r="BF3315">
        <v>1</v>
      </c>
      <c r="BG3315">
        <v>0</v>
      </c>
    </row>
    <row r="3316" spans="1:59">
      <c r="A3316" s="1">
        <f>HYPERLINK("https://lsnyc.legalserver.org/matter/dynamic-profile/view/1907385","19-1907385")</f>
        <v>0</v>
      </c>
      <c r="B3316" t="s">
        <v>2785</v>
      </c>
      <c r="C3316" t="s">
        <v>7049</v>
      </c>
      <c r="D3316" t="s">
        <v>9926</v>
      </c>
      <c r="E3316" t="s">
        <v>10075</v>
      </c>
      <c r="F3316">
        <v>10453</v>
      </c>
      <c r="G3316" t="s">
        <v>10090</v>
      </c>
      <c r="H3316" t="s">
        <v>10149</v>
      </c>
      <c r="I3316" t="s">
        <v>10168</v>
      </c>
      <c r="J3316" t="s">
        <v>10210</v>
      </c>
      <c r="K3316" t="s">
        <v>10217</v>
      </c>
      <c r="M3316" t="s">
        <v>10548</v>
      </c>
      <c r="N3316" t="s">
        <v>10687</v>
      </c>
      <c r="P3316" t="s">
        <v>10754</v>
      </c>
      <c r="Q3316" t="s">
        <v>10777</v>
      </c>
      <c r="R3316" t="s">
        <v>10824</v>
      </c>
      <c r="T3316">
        <v>0</v>
      </c>
      <c r="U3316">
        <v>0</v>
      </c>
      <c r="V3316">
        <v>36</v>
      </c>
      <c r="W3316">
        <v>1</v>
      </c>
      <c r="X3316">
        <v>0</v>
      </c>
      <c r="Z3316">
        <v>0</v>
      </c>
      <c r="AA3316">
        <v>40.850816</v>
      </c>
      <c r="AB3316">
        <v>-73.910538</v>
      </c>
      <c r="AC3316" t="s">
        <v>10837</v>
      </c>
      <c r="AD3316" t="s">
        <v>10839</v>
      </c>
      <c r="AG3316" t="s">
        <v>10858</v>
      </c>
      <c r="AH3316" t="s">
        <v>10880</v>
      </c>
      <c r="AI3316">
        <v>230</v>
      </c>
      <c r="AJ3316" t="s">
        <v>10210</v>
      </c>
      <c r="AL3316">
        <v>20.95</v>
      </c>
      <c r="AM3316" t="s">
        <v>10884</v>
      </c>
      <c r="AN3316" t="s">
        <v>10929</v>
      </c>
      <c r="AO3316" t="s">
        <v>11013</v>
      </c>
      <c r="AP3316" t="s">
        <v>11045</v>
      </c>
      <c r="AR3316" t="s">
        <v>11267</v>
      </c>
      <c r="AS3316" t="s">
        <v>9926</v>
      </c>
      <c r="AT3316" t="s">
        <v>11641</v>
      </c>
      <c r="AX3316" t="s">
        <v>10837</v>
      </c>
      <c r="BA3316" t="s">
        <v>11738</v>
      </c>
      <c r="BB3316">
        <v>0</v>
      </c>
      <c r="BC3316">
        <v>0</v>
      </c>
      <c r="BD3316">
        <v>0</v>
      </c>
      <c r="BE3316">
        <v>0</v>
      </c>
      <c r="BF3316">
        <v>5</v>
      </c>
      <c r="BG3316">
        <v>0</v>
      </c>
    </row>
    <row r="3317" spans="1:59">
      <c r="A3317" s="1">
        <f>HYPERLINK("https://lsnyc.legalserver.org/matter/dynamic-profile/view/1907386","19-1907386")</f>
        <v>0</v>
      </c>
      <c r="B3317" t="s">
        <v>2786</v>
      </c>
      <c r="C3317" t="s">
        <v>7571</v>
      </c>
      <c r="D3317" t="s">
        <v>9925</v>
      </c>
      <c r="E3317" t="s">
        <v>10075</v>
      </c>
      <c r="F3317">
        <v>10029</v>
      </c>
      <c r="G3317" t="s">
        <v>10089</v>
      </c>
      <c r="H3317" t="s">
        <v>10149</v>
      </c>
      <c r="I3317" t="s">
        <v>10168</v>
      </c>
      <c r="J3317" t="s">
        <v>10209</v>
      </c>
      <c r="K3317" t="s">
        <v>10217</v>
      </c>
      <c r="M3317" t="s">
        <v>10288</v>
      </c>
      <c r="N3317" t="s">
        <v>10665</v>
      </c>
      <c r="P3317" t="s">
        <v>10750</v>
      </c>
      <c r="Q3317" t="s">
        <v>10779</v>
      </c>
      <c r="R3317" t="s">
        <v>10820</v>
      </c>
      <c r="T3317">
        <v>11798</v>
      </c>
      <c r="U3317">
        <v>983.17</v>
      </c>
      <c r="V3317">
        <v>26</v>
      </c>
      <c r="W3317">
        <v>1</v>
      </c>
      <c r="X3317">
        <v>0</v>
      </c>
      <c r="Z3317">
        <v>94.45999999999999</v>
      </c>
      <c r="AA3317">
        <v>40.790322</v>
      </c>
      <c r="AB3317">
        <v>-73.939936</v>
      </c>
      <c r="AD3317" t="s">
        <v>10840</v>
      </c>
      <c r="AG3317" t="s">
        <v>10858</v>
      </c>
      <c r="AH3317" t="s">
        <v>10871</v>
      </c>
      <c r="AI3317">
        <v>234</v>
      </c>
      <c r="AJ3317" t="s">
        <v>10214</v>
      </c>
      <c r="AL3317">
        <v>1.2</v>
      </c>
      <c r="AM3317" t="s">
        <v>10887</v>
      </c>
      <c r="AN3317" t="s">
        <v>10926</v>
      </c>
      <c r="AO3317" t="s">
        <v>11013</v>
      </c>
      <c r="AP3317" t="s">
        <v>11066</v>
      </c>
      <c r="AR3317" t="s">
        <v>11280</v>
      </c>
      <c r="AS3317" t="s">
        <v>9925</v>
      </c>
      <c r="AT3317" t="s">
        <v>11642</v>
      </c>
      <c r="AX3317" t="s">
        <v>10838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</row>
    <row r="3318" spans="1:59">
      <c r="A3318" s="1">
        <f>HYPERLINK("https://lsnyc.legalserver.org/matter/dynamic-profile/view/1907387","19-1907387")</f>
        <v>0</v>
      </c>
      <c r="B3318" t="s">
        <v>2787</v>
      </c>
      <c r="C3318" t="s">
        <v>7572</v>
      </c>
      <c r="D3318" t="s">
        <v>10026</v>
      </c>
      <c r="E3318" t="s">
        <v>10075</v>
      </c>
      <c r="F3318">
        <v>10547</v>
      </c>
      <c r="G3318" t="s">
        <v>10093</v>
      </c>
      <c r="H3318" t="s">
        <v>10149</v>
      </c>
      <c r="I3318" t="s">
        <v>10168</v>
      </c>
      <c r="J3318" t="s">
        <v>10213</v>
      </c>
      <c r="K3318" t="s">
        <v>10217</v>
      </c>
      <c r="M3318" t="s">
        <v>10436</v>
      </c>
      <c r="N3318" t="s">
        <v>10710</v>
      </c>
      <c r="P3318" t="s">
        <v>10750</v>
      </c>
      <c r="Q3318" t="s">
        <v>10760</v>
      </c>
      <c r="R3318" t="s">
        <v>10820</v>
      </c>
      <c r="T3318">
        <v>21000</v>
      </c>
      <c r="U3318">
        <v>1750</v>
      </c>
      <c r="V3318">
        <v>41</v>
      </c>
      <c r="W3318">
        <v>2</v>
      </c>
      <c r="X3318">
        <v>3</v>
      </c>
      <c r="Z3318">
        <v>69.61</v>
      </c>
      <c r="AA3318">
        <v>41.323516</v>
      </c>
      <c r="AB3318">
        <v>-73.834146</v>
      </c>
      <c r="AD3318" t="s">
        <v>10839</v>
      </c>
      <c r="AG3318" t="s">
        <v>10858</v>
      </c>
      <c r="AH3318" t="s">
        <v>10861</v>
      </c>
      <c r="AI3318">
        <v>234</v>
      </c>
      <c r="AJ3318" t="s">
        <v>10214</v>
      </c>
      <c r="AL3318">
        <v>1.25</v>
      </c>
      <c r="AM3318" t="s">
        <v>10896</v>
      </c>
      <c r="AN3318" t="s">
        <v>10990</v>
      </c>
      <c r="AO3318" t="s">
        <v>11038</v>
      </c>
      <c r="AR3318" t="s">
        <v>11282</v>
      </c>
      <c r="AS3318" t="s">
        <v>11604</v>
      </c>
      <c r="AT3318" t="s">
        <v>11641</v>
      </c>
      <c r="AX3318" t="s">
        <v>10838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</row>
    <row r="3319" spans="1:59">
      <c r="A3319" s="1">
        <f>HYPERLINK("https://lsnyc.legalserver.org/matter/dynamic-profile/view/1907388","19-1907388")</f>
        <v>0</v>
      </c>
      <c r="B3319" t="s">
        <v>2788</v>
      </c>
      <c r="C3319" t="s">
        <v>7573</v>
      </c>
      <c r="D3319" t="s">
        <v>9926</v>
      </c>
      <c r="E3319" t="s">
        <v>10075</v>
      </c>
      <c r="F3319">
        <v>10468</v>
      </c>
      <c r="G3319" t="s">
        <v>10090</v>
      </c>
      <c r="H3319" t="s">
        <v>10149</v>
      </c>
      <c r="I3319" t="s">
        <v>10168</v>
      </c>
      <c r="J3319" t="s">
        <v>10210</v>
      </c>
      <c r="K3319" t="s">
        <v>10217</v>
      </c>
      <c r="M3319" t="s">
        <v>10362</v>
      </c>
      <c r="N3319" t="s">
        <v>10651</v>
      </c>
      <c r="P3319" t="s">
        <v>10749</v>
      </c>
      <c r="Q3319" t="s">
        <v>10765</v>
      </c>
      <c r="R3319" t="s">
        <v>10823</v>
      </c>
      <c r="T3319">
        <v>17000</v>
      </c>
      <c r="U3319">
        <v>1416.67</v>
      </c>
      <c r="V3319">
        <v>29</v>
      </c>
      <c r="W3319">
        <v>1</v>
      </c>
      <c r="X3319">
        <v>1</v>
      </c>
      <c r="Z3319">
        <v>100.53</v>
      </c>
      <c r="AA3319">
        <v>40.860842</v>
      </c>
      <c r="AB3319">
        <v>-73.908196</v>
      </c>
      <c r="AD3319" t="s">
        <v>10839</v>
      </c>
      <c r="AG3319" t="s">
        <v>10858</v>
      </c>
      <c r="AH3319" t="s">
        <v>10862</v>
      </c>
      <c r="AI3319">
        <v>230</v>
      </c>
      <c r="AJ3319" t="s">
        <v>10210</v>
      </c>
      <c r="AL3319">
        <v>1.3</v>
      </c>
      <c r="AM3319" t="s">
        <v>10887</v>
      </c>
      <c r="AN3319" t="s">
        <v>10931</v>
      </c>
      <c r="AO3319" t="s">
        <v>11000</v>
      </c>
      <c r="AP3319" t="s">
        <v>11045</v>
      </c>
      <c r="AR3319" t="s">
        <v>11262</v>
      </c>
      <c r="AS3319" t="s">
        <v>9926</v>
      </c>
      <c r="BA3319" t="s">
        <v>11738</v>
      </c>
      <c r="BB3319">
        <v>0</v>
      </c>
      <c r="BC3319">
        <v>0</v>
      </c>
      <c r="BD3319">
        <v>0</v>
      </c>
      <c r="BE3319">
        <v>0</v>
      </c>
      <c r="BF3319">
        <v>5</v>
      </c>
      <c r="BG3319">
        <v>0</v>
      </c>
    </row>
    <row r="3320" spans="1:59">
      <c r="A3320" s="1">
        <f>HYPERLINK("https://lsnyc.legalserver.org/matter/dynamic-profile/view/1907389","19-1907389")</f>
        <v>0</v>
      </c>
      <c r="B3320" t="s">
        <v>2789</v>
      </c>
      <c r="C3320" t="s">
        <v>7574</v>
      </c>
      <c r="D3320" t="s">
        <v>9938</v>
      </c>
      <c r="E3320" t="s">
        <v>10075</v>
      </c>
      <c r="F3320">
        <v>11435</v>
      </c>
      <c r="G3320" t="s">
        <v>10092</v>
      </c>
      <c r="H3320" t="s">
        <v>10149</v>
      </c>
      <c r="I3320" t="s">
        <v>10168</v>
      </c>
      <c r="J3320" t="s">
        <v>10212</v>
      </c>
      <c r="K3320" t="s">
        <v>10217</v>
      </c>
      <c r="M3320" t="s">
        <v>10486</v>
      </c>
      <c r="N3320" t="s">
        <v>10648</v>
      </c>
      <c r="P3320" t="s">
        <v>10753</v>
      </c>
      <c r="Q3320" t="s">
        <v>10763</v>
      </c>
      <c r="R3320" t="s">
        <v>10824</v>
      </c>
      <c r="T3320">
        <v>2832</v>
      </c>
      <c r="U3320">
        <v>236</v>
      </c>
      <c r="V3320">
        <v>31</v>
      </c>
      <c r="W3320">
        <v>1</v>
      </c>
      <c r="X3320">
        <v>2</v>
      </c>
      <c r="Z3320">
        <v>13.28</v>
      </c>
      <c r="AA3320">
        <v>40.694999</v>
      </c>
      <c r="AB3320">
        <v>-73.801271</v>
      </c>
      <c r="AD3320" t="s">
        <v>10839</v>
      </c>
      <c r="AF3320" t="s">
        <v>10844</v>
      </c>
      <c r="AG3320" t="s">
        <v>10859</v>
      </c>
      <c r="AH3320" t="s">
        <v>10864</v>
      </c>
      <c r="AI3320">
        <v>237</v>
      </c>
      <c r="AJ3320" t="s">
        <v>10212</v>
      </c>
      <c r="AL3320">
        <v>4.3</v>
      </c>
      <c r="AQ3320" t="s">
        <v>11096</v>
      </c>
      <c r="AR3320" t="s">
        <v>11471</v>
      </c>
      <c r="AS3320" t="s">
        <v>11594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</row>
    <row r="3321" spans="1:59">
      <c r="A3321" s="1">
        <f>HYPERLINK("https://lsnyc.legalserver.org/matter/dynamic-profile/view/1907390","19-1907390")</f>
        <v>0</v>
      </c>
      <c r="B3321" t="s">
        <v>1653</v>
      </c>
      <c r="C3321" t="s">
        <v>6579</v>
      </c>
      <c r="D3321" t="s">
        <v>9926</v>
      </c>
      <c r="E3321" t="s">
        <v>10075</v>
      </c>
      <c r="F3321">
        <v>10467</v>
      </c>
      <c r="G3321" t="s">
        <v>10091</v>
      </c>
      <c r="H3321" t="s">
        <v>10149</v>
      </c>
      <c r="I3321" t="s">
        <v>10168</v>
      </c>
      <c r="J3321" t="s">
        <v>10214</v>
      </c>
      <c r="K3321" t="s">
        <v>10218</v>
      </c>
      <c r="L3321" t="s">
        <v>10120</v>
      </c>
      <c r="M3321" t="s">
        <v>10303</v>
      </c>
      <c r="N3321" t="s">
        <v>10682</v>
      </c>
      <c r="P3321" t="s">
        <v>10751</v>
      </c>
      <c r="Q3321" t="s">
        <v>10761</v>
      </c>
      <c r="R3321" t="s">
        <v>10821</v>
      </c>
      <c r="T3321">
        <v>0</v>
      </c>
      <c r="U3321">
        <v>0</v>
      </c>
      <c r="V3321">
        <v>37</v>
      </c>
      <c r="W3321">
        <v>1</v>
      </c>
      <c r="X3321">
        <v>1</v>
      </c>
      <c r="Y3321" t="s">
        <v>10829</v>
      </c>
      <c r="Z3321">
        <v>0</v>
      </c>
      <c r="AA3321">
        <v>40.885047</v>
      </c>
      <c r="AB3321">
        <v>-73.878316</v>
      </c>
      <c r="AD3321" t="s">
        <v>10839</v>
      </c>
      <c r="AG3321" t="s">
        <v>10858</v>
      </c>
      <c r="AH3321" t="s">
        <v>10861</v>
      </c>
      <c r="AI3321">
        <v>234</v>
      </c>
      <c r="AJ3321" t="s">
        <v>10214</v>
      </c>
      <c r="AK3321" t="s">
        <v>10838</v>
      </c>
      <c r="AL3321">
        <v>0.75</v>
      </c>
      <c r="AR3321" t="s">
        <v>11267</v>
      </c>
      <c r="AS3321" t="s">
        <v>9926</v>
      </c>
      <c r="AY3321" t="s">
        <v>10829</v>
      </c>
      <c r="AZ3321" t="s">
        <v>11688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</row>
    <row r="3322" spans="1:59">
      <c r="A3322" s="1">
        <f>HYPERLINK("https://lsnyc.legalserver.org/matter/dynamic-profile/view/1907391","19-1907391")</f>
        <v>0</v>
      </c>
      <c r="B3322" t="s">
        <v>2790</v>
      </c>
      <c r="C3322" t="s">
        <v>7575</v>
      </c>
      <c r="D3322" t="s">
        <v>9926</v>
      </c>
      <c r="E3322" t="s">
        <v>10075</v>
      </c>
      <c r="F3322">
        <v>10456</v>
      </c>
      <c r="G3322" t="s">
        <v>10090</v>
      </c>
      <c r="H3322" t="s">
        <v>10149</v>
      </c>
      <c r="I3322" t="s">
        <v>10168</v>
      </c>
      <c r="J3322" t="s">
        <v>10210</v>
      </c>
      <c r="K3322" t="s">
        <v>10217</v>
      </c>
      <c r="M3322" t="s">
        <v>10406</v>
      </c>
      <c r="N3322" t="s">
        <v>10688</v>
      </c>
      <c r="P3322" t="s">
        <v>10751</v>
      </c>
      <c r="Q3322" t="s">
        <v>10786</v>
      </c>
      <c r="R3322" t="s">
        <v>10821</v>
      </c>
      <c r="T3322">
        <v>0</v>
      </c>
      <c r="U3322">
        <v>0</v>
      </c>
      <c r="V3322">
        <v>56</v>
      </c>
      <c r="W3322">
        <v>1</v>
      </c>
      <c r="X3322">
        <v>0</v>
      </c>
      <c r="Z3322">
        <v>0</v>
      </c>
      <c r="AA3322">
        <v>40.827379</v>
      </c>
      <c r="AB3322">
        <v>-73.907622</v>
      </c>
      <c r="AD3322" t="s">
        <v>10839</v>
      </c>
      <c r="AG3322" t="s">
        <v>10858</v>
      </c>
      <c r="AH3322" t="s">
        <v>10874</v>
      </c>
      <c r="AI3322">
        <v>230</v>
      </c>
      <c r="AJ3322" t="s">
        <v>10210</v>
      </c>
      <c r="AL3322">
        <v>9.699999999999999</v>
      </c>
      <c r="AM3322" t="s">
        <v>10884</v>
      </c>
      <c r="AN3322" t="s">
        <v>10918</v>
      </c>
      <c r="AO3322" t="s">
        <v>11001</v>
      </c>
      <c r="AP3322" t="s">
        <v>11055</v>
      </c>
      <c r="AR3322" t="s">
        <v>11267</v>
      </c>
      <c r="AS3322" t="s">
        <v>9926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</row>
    <row r="3323" spans="1:59">
      <c r="A3323" s="1">
        <f>HYPERLINK("https://lsnyc.legalserver.org/matter/dynamic-profile/view/1907392","19-1907392")</f>
        <v>0</v>
      </c>
      <c r="B3323" t="s">
        <v>2791</v>
      </c>
      <c r="C3323" t="s">
        <v>7576</v>
      </c>
      <c r="D3323" t="s">
        <v>9928</v>
      </c>
      <c r="E3323" t="s">
        <v>10075</v>
      </c>
      <c r="F3323">
        <v>11213</v>
      </c>
      <c r="G3323" t="s">
        <v>10093</v>
      </c>
      <c r="H3323" t="s">
        <v>10149</v>
      </c>
      <c r="I3323" t="s">
        <v>10168</v>
      </c>
      <c r="J3323" t="s">
        <v>10213</v>
      </c>
      <c r="K3323" t="s">
        <v>10217</v>
      </c>
      <c r="M3323" t="s">
        <v>10435</v>
      </c>
      <c r="N3323" t="s">
        <v>10682</v>
      </c>
      <c r="P3323" t="s">
        <v>10750</v>
      </c>
      <c r="Q3323" t="s">
        <v>10779</v>
      </c>
      <c r="R3323" t="s">
        <v>10824</v>
      </c>
      <c r="T3323">
        <v>22360</v>
      </c>
      <c r="U3323">
        <v>1863.33</v>
      </c>
      <c r="V3323">
        <v>43</v>
      </c>
      <c r="W3323">
        <v>2</v>
      </c>
      <c r="X3323">
        <v>2</v>
      </c>
      <c r="Z3323">
        <v>86.83</v>
      </c>
      <c r="AA3323">
        <v>40.669203</v>
      </c>
      <c r="AB3323">
        <v>-73.92690399999999</v>
      </c>
      <c r="AD3323" t="s">
        <v>10840</v>
      </c>
      <c r="AG3323" t="s">
        <v>10858</v>
      </c>
      <c r="AH3323" t="s">
        <v>10861</v>
      </c>
      <c r="AI3323">
        <v>234</v>
      </c>
      <c r="AJ3323" t="s">
        <v>10214</v>
      </c>
      <c r="AL3323">
        <v>27.75</v>
      </c>
      <c r="AM3323" t="s">
        <v>10888</v>
      </c>
      <c r="AN3323" t="s">
        <v>10922</v>
      </c>
      <c r="AO3323" t="s">
        <v>11005</v>
      </c>
      <c r="AP3323" t="s">
        <v>11064</v>
      </c>
      <c r="AQ3323" t="s">
        <v>11234</v>
      </c>
      <c r="AR3323" t="s">
        <v>11257</v>
      </c>
      <c r="AS3323" t="s">
        <v>11595</v>
      </c>
      <c r="AT3323" t="s">
        <v>11642</v>
      </c>
      <c r="AX3323" t="s">
        <v>10838</v>
      </c>
      <c r="BA3323" t="s">
        <v>11737</v>
      </c>
      <c r="BB3323">
        <v>0</v>
      </c>
      <c r="BC3323">
        <v>0</v>
      </c>
      <c r="BD3323">
        <v>0</v>
      </c>
      <c r="BE3323">
        <v>0</v>
      </c>
      <c r="BF3323">
        <v>3</v>
      </c>
      <c r="BG3323">
        <v>0</v>
      </c>
    </row>
    <row r="3324" spans="1:59">
      <c r="A3324" s="1">
        <f>HYPERLINK("https://lsnyc.legalserver.org/matter/dynamic-profile/view/1907393","19-1907393")</f>
        <v>0</v>
      </c>
      <c r="B3324" t="s">
        <v>2792</v>
      </c>
      <c r="C3324" t="s">
        <v>7577</v>
      </c>
      <c r="D3324" t="s">
        <v>9925</v>
      </c>
      <c r="E3324" t="s">
        <v>10075</v>
      </c>
      <c r="F3324">
        <v>10025</v>
      </c>
      <c r="G3324" t="s">
        <v>10091</v>
      </c>
      <c r="H3324" t="s">
        <v>10149</v>
      </c>
      <c r="I3324" t="s">
        <v>10168</v>
      </c>
      <c r="J3324" t="s">
        <v>10214</v>
      </c>
      <c r="K3324" t="s">
        <v>10217</v>
      </c>
      <c r="M3324" t="s">
        <v>10537</v>
      </c>
      <c r="N3324" t="s">
        <v>10673</v>
      </c>
      <c r="P3324" t="s">
        <v>10753</v>
      </c>
      <c r="Q3324" t="s">
        <v>10763</v>
      </c>
      <c r="R3324" t="s">
        <v>10820</v>
      </c>
      <c r="T3324">
        <v>0</v>
      </c>
      <c r="U3324">
        <v>0</v>
      </c>
      <c r="V3324">
        <v>34</v>
      </c>
      <c r="W3324">
        <v>1</v>
      </c>
      <c r="X3324">
        <v>0</v>
      </c>
      <c r="Z3324">
        <v>0</v>
      </c>
      <c r="AA3324">
        <v>40.803873</v>
      </c>
      <c r="AB3324">
        <v>-73.968172</v>
      </c>
      <c r="AD3324" t="s">
        <v>10840</v>
      </c>
      <c r="AF3324" t="s">
        <v>10842</v>
      </c>
      <c r="AG3324" t="s">
        <v>10859</v>
      </c>
      <c r="AH3324" t="s">
        <v>10861</v>
      </c>
      <c r="AI3324">
        <v>234</v>
      </c>
      <c r="AJ3324" t="s">
        <v>10214</v>
      </c>
      <c r="AL3324">
        <v>1.45</v>
      </c>
      <c r="AM3324" t="s">
        <v>10894</v>
      </c>
      <c r="AN3324" t="s">
        <v>10953</v>
      </c>
      <c r="AO3324" t="s">
        <v>11019</v>
      </c>
      <c r="AP3324" t="s">
        <v>11089</v>
      </c>
      <c r="AR3324" t="s">
        <v>11267</v>
      </c>
      <c r="AS3324" t="s">
        <v>9925</v>
      </c>
      <c r="AT3324" t="s">
        <v>11642</v>
      </c>
      <c r="AX3324" t="s">
        <v>10837</v>
      </c>
      <c r="BA3324" t="s">
        <v>11742</v>
      </c>
      <c r="BB3324">
        <v>0</v>
      </c>
      <c r="BC3324">
        <v>0</v>
      </c>
      <c r="BD3324">
        <v>0</v>
      </c>
      <c r="BE3324">
        <v>0</v>
      </c>
      <c r="BF3324">
        <v>7</v>
      </c>
      <c r="BG3324">
        <v>0</v>
      </c>
    </row>
    <row r="3325" spans="1:59">
      <c r="A3325" s="1">
        <f>HYPERLINK("https://lsnyc.legalserver.org/matter/dynamic-profile/view/1907394","19-1907394")</f>
        <v>0</v>
      </c>
      <c r="B3325" t="s">
        <v>1043</v>
      </c>
      <c r="C3325" t="s">
        <v>5601</v>
      </c>
      <c r="D3325" t="s">
        <v>9926</v>
      </c>
      <c r="E3325" t="s">
        <v>10075</v>
      </c>
      <c r="F3325">
        <v>10453</v>
      </c>
      <c r="G3325" t="s">
        <v>10090</v>
      </c>
      <c r="H3325" t="s">
        <v>10149</v>
      </c>
      <c r="I3325" t="s">
        <v>10168</v>
      </c>
      <c r="J3325" t="s">
        <v>10210</v>
      </c>
      <c r="K3325" t="s">
        <v>10217</v>
      </c>
      <c r="M3325" t="s">
        <v>10477</v>
      </c>
      <c r="N3325" t="s">
        <v>10650</v>
      </c>
      <c r="P3325" t="s">
        <v>10749</v>
      </c>
      <c r="Q3325" t="s">
        <v>10765</v>
      </c>
      <c r="R3325" t="s">
        <v>10825</v>
      </c>
      <c r="T3325">
        <v>44000</v>
      </c>
      <c r="U3325">
        <v>3666.67</v>
      </c>
      <c r="V3325">
        <v>61</v>
      </c>
      <c r="W3325">
        <v>2</v>
      </c>
      <c r="X3325">
        <v>0</v>
      </c>
      <c r="Z3325">
        <v>260.2</v>
      </c>
      <c r="AA3325">
        <v>40.846849</v>
      </c>
      <c r="AB3325">
        <v>-73.90953500000001</v>
      </c>
      <c r="AC3325" t="s">
        <v>10837</v>
      </c>
      <c r="AD3325" t="s">
        <v>10839</v>
      </c>
      <c r="AF3325" t="s">
        <v>10843</v>
      </c>
      <c r="AG3325" t="s">
        <v>10859</v>
      </c>
      <c r="AH3325" t="s">
        <v>10862</v>
      </c>
      <c r="AI3325">
        <v>230</v>
      </c>
      <c r="AJ3325" t="s">
        <v>10210</v>
      </c>
      <c r="AL3325">
        <v>5.9</v>
      </c>
      <c r="AM3325" t="s">
        <v>10884</v>
      </c>
      <c r="AN3325" t="s">
        <v>10931</v>
      </c>
      <c r="AO3325" t="s">
        <v>11000</v>
      </c>
      <c r="AP3325" t="s">
        <v>11045</v>
      </c>
      <c r="AR3325" t="s">
        <v>11505</v>
      </c>
      <c r="AS3325" t="s">
        <v>9926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</row>
    <row r="3326" spans="1:59">
      <c r="A3326" s="1">
        <f>HYPERLINK("https://lsnyc.legalserver.org/matter/dynamic-profile/view/1907395","19-1907395")</f>
        <v>0</v>
      </c>
      <c r="B3326" t="s">
        <v>2416</v>
      </c>
      <c r="C3326" t="s">
        <v>5376</v>
      </c>
      <c r="D3326" t="s">
        <v>9925</v>
      </c>
      <c r="E3326" t="s">
        <v>10075</v>
      </c>
      <c r="F3326">
        <v>10026</v>
      </c>
      <c r="G3326" t="s">
        <v>10089</v>
      </c>
      <c r="H3326" t="s">
        <v>10149</v>
      </c>
      <c r="I3326" t="s">
        <v>10183</v>
      </c>
      <c r="J3326" t="s">
        <v>10209</v>
      </c>
      <c r="K3326" t="s">
        <v>10217</v>
      </c>
      <c r="M3326" t="s">
        <v>10472</v>
      </c>
      <c r="N3326" t="s">
        <v>10671</v>
      </c>
      <c r="P3326" t="s">
        <v>10751</v>
      </c>
      <c r="Q3326" t="s">
        <v>10761</v>
      </c>
      <c r="R3326" t="s">
        <v>10820</v>
      </c>
      <c r="T3326">
        <v>0</v>
      </c>
      <c r="U3326">
        <v>0</v>
      </c>
      <c r="V3326">
        <v>40</v>
      </c>
      <c r="W3326">
        <v>1</v>
      </c>
      <c r="X3326">
        <v>2</v>
      </c>
      <c r="Z3326">
        <v>0</v>
      </c>
      <c r="AA3326">
        <v>40.801663</v>
      </c>
      <c r="AB3326">
        <v>-73.94708</v>
      </c>
      <c r="AD3326" t="s">
        <v>10839</v>
      </c>
      <c r="AF3326" t="s">
        <v>10844</v>
      </c>
      <c r="AG3326" t="s">
        <v>10859</v>
      </c>
      <c r="AH3326" t="s">
        <v>10865</v>
      </c>
      <c r="AI3326">
        <v>236</v>
      </c>
      <c r="AJ3326" t="s">
        <v>10209</v>
      </c>
      <c r="AL3326">
        <v>13.15</v>
      </c>
      <c r="AR3326" t="s">
        <v>11267</v>
      </c>
      <c r="AS3326" t="s">
        <v>9925</v>
      </c>
      <c r="AT3326" t="s">
        <v>11641</v>
      </c>
      <c r="AX3326" t="s">
        <v>10838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</row>
    <row r="3327" spans="1:59">
      <c r="A3327" s="1">
        <f>HYPERLINK("https://lsnyc.legalserver.org/matter/dynamic-profile/view/1907396","19-1907396")</f>
        <v>0</v>
      </c>
      <c r="B3327" t="s">
        <v>2793</v>
      </c>
      <c r="C3327" t="s">
        <v>7578</v>
      </c>
      <c r="D3327" t="s">
        <v>9956</v>
      </c>
      <c r="E3327" t="s">
        <v>10075</v>
      </c>
      <c r="F3327">
        <v>11365</v>
      </c>
      <c r="G3327" t="s">
        <v>10092</v>
      </c>
      <c r="H3327" t="s">
        <v>10149</v>
      </c>
      <c r="J3327" t="s">
        <v>10212</v>
      </c>
      <c r="K3327" t="s">
        <v>10218</v>
      </c>
      <c r="L3327" t="s">
        <v>10116</v>
      </c>
      <c r="M3327" t="s">
        <v>10350</v>
      </c>
      <c r="N3327" t="s">
        <v>10689</v>
      </c>
      <c r="P3327" t="s">
        <v>10754</v>
      </c>
      <c r="Q3327" t="s">
        <v>10770</v>
      </c>
      <c r="R3327" t="s">
        <v>10824</v>
      </c>
      <c r="T3327">
        <v>8352</v>
      </c>
      <c r="U3327">
        <v>696</v>
      </c>
      <c r="V3327">
        <v>57</v>
      </c>
      <c r="W3327">
        <v>1</v>
      </c>
      <c r="X3327">
        <v>0</v>
      </c>
      <c r="Y3327" t="s">
        <v>10829</v>
      </c>
      <c r="Z3327">
        <v>66.87</v>
      </c>
      <c r="AA3327">
        <v>40.733786</v>
      </c>
      <c r="AB3327">
        <v>-73.811167</v>
      </c>
      <c r="AD3327" t="s">
        <v>10839</v>
      </c>
      <c r="AG3327" t="s">
        <v>10858</v>
      </c>
      <c r="AH3327" t="s">
        <v>10865</v>
      </c>
      <c r="AI3327">
        <v>237</v>
      </c>
      <c r="AJ3327" t="s">
        <v>10212</v>
      </c>
      <c r="AK3327" t="s">
        <v>10837</v>
      </c>
      <c r="AL3327">
        <v>1.75</v>
      </c>
      <c r="AM3327" t="s">
        <v>10890</v>
      </c>
      <c r="AN3327" t="s">
        <v>10962</v>
      </c>
      <c r="AO3327" t="s">
        <v>11009</v>
      </c>
      <c r="AP3327" t="s">
        <v>11081</v>
      </c>
      <c r="AR3327" t="s">
        <v>11263</v>
      </c>
      <c r="AS3327" t="s">
        <v>11594</v>
      </c>
      <c r="AY3327" t="s">
        <v>10829</v>
      </c>
      <c r="AZ3327" t="s">
        <v>11683</v>
      </c>
      <c r="BA3327" t="s">
        <v>11741</v>
      </c>
      <c r="BB3327">
        <v>0</v>
      </c>
      <c r="BC3327">
        <v>0</v>
      </c>
      <c r="BD3327">
        <v>0</v>
      </c>
      <c r="BE3327">
        <v>0</v>
      </c>
      <c r="BF3327">
        <v>1</v>
      </c>
      <c r="BG3327">
        <v>0</v>
      </c>
    </row>
    <row r="3328" spans="1:59">
      <c r="A3328" s="1">
        <f>HYPERLINK("https://lsnyc.legalserver.org/matter/dynamic-profile/view/1907397","19-1907397")</f>
        <v>0</v>
      </c>
      <c r="B3328" t="s">
        <v>2794</v>
      </c>
      <c r="C3328" t="s">
        <v>7579</v>
      </c>
      <c r="D3328" t="s">
        <v>9929</v>
      </c>
      <c r="E3328" t="s">
        <v>10075</v>
      </c>
      <c r="F3328">
        <v>10308</v>
      </c>
      <c r="G3328" t="s">
        <v>10088</v>
      </c>
      <c r="H3328" t="s">
        <v>10120</v>
      </c>
      <c r="I3328" t="s">
        <v>10168</v>
      </c>
      <c r="J3328" t="s">
        <v>10208</v>
      </c>
      <c r="K3328" t="s">
        <v>10218</v>
      </c>
      <c r="L3328" t="s">
        <v>10145</v>
      </c>
      <c r="M3328" t="s">
        <v>10478</v>
      </c>
      <c r="N3328" t="s">
        <v>10740</v>
      </c>
      <c r="P3328" t="s">
        <v>10755</v>
      </c>
      <c r="Q3328" t="s">
        <v>10772</v>
      </c>
      <c r="R3328" t="s">
        <v>10827</v>
      </c>
      <c r="T3328">
        <v>80000</v>
      </c>
      <c r="U3328">
        <v>6666.67</v>
      </c>
      <c r="V3328">
        <v>7</v>
      </c>
      <c r="W3328">
        <v>1</v>
      </c>
      <c r="X3328">
        <v>1</v>
      </c>
      <c r="Y3328" t="s">
        <v>10829</v>
      </c>
      <c r="Z3328">
        <v>473.09</v>
      </c>
      <c r="AA3328">
        <v>40.55268</v>
      </c>
      <c r="AB3328">
        <v>-74.15284200000001</v>
      </c>
      <c r="AD3328" t="s">
        <v>10839</v>
      </c>
      <c r="AG3328" t="s">
        <v>10858</v>
      </c>
      <c r="AH3328" t="s">
        <v>10877</v>
      </c>
      <c r="AI3328">
        <v>285</v>
      </c>
      <c r="AJ3328" t="s">
        <v>10208</v>
      </c>
      <c r="AK3328" t="s">
        <v>10838</v>
      </c>
      <c r="AL3328">
        <v>1.8</v>
      </c>
      <c r="AM3328" t="s">
        <v>10883</v>
      </c>
      <c r="AN3328" t="s">
        <v>10906</v>
      </c>
      <c r="AO3328" t="s">
        <v>10999</v>
      </c>
      <c r="AP3328" t="s">
        <v>11044</v>
      </c>
      <c r="AR3328" t="s">
        <v>11257</v>
      </c>
      <c r="AS3328" t="s">
        <v>11593</v>
      </c>
      <c r="AY3328" t="s">
        <v>10829</v>
      </c>
      <c r="AZ3328" t="s">
        <v>11712</v>
      </c>
      <c r="BA3328" t="s">
        <v>11741</v>
      </c>
      <c r="BB3328">
        <v>0</v>
      </c>
      <c r="BC3328">
        <v>0</v>
      </c>
      <c r="BD3328">
        <v>0</v>
      </c>
      <c r="BE3328">
        <v>0</v>
      </c>
      <c r="BF3328">
        <v>1</v>
      </c>
      <c r="BG3328">
        <v>0</v>
      </c>
    </row>
    <row r="3329" spans="1:59">
      <c r="A3329" s="1">
        <f>HYPERLINK("https://lsnyc.legalserver.org/matter/dynamic-profile/view/1907398","19-1907398")</f>
        <v>0</v>
      </c>
      <c r="B3329" t="s">
        <v>93</v>
      </c>
      <c r="C3329" t="s">
        <v>7580</v>
      </c>
      <c r="D3329" t="s">
        <v>9928</v>
      </c>
      <c r="E3329" t="s">
        <v>10075</v>
      </c>
      <c r="F3329">
        <v>11214</v>
      </c>
      <c r="G3329" t="s">
        <v>10093</v>
      </c>
      <c r="H3329" t="s">
        <v>10149</v>
      </c>
      <c r="I3329" t="s">
        <v>10168</v>
      </c>
      <c r="J3329" t="s">
        <v>10213</v>
      </c>
      <c r="K3329" t="s">
        <v>10217</v>
      </c>
      <c r="M3329" t="s">
        <v>10467</v>
      </c>
      <c r="N3329" t="s">
        <v>10664</v>
      </c>
      <c r="P3329" t="s">
        <v>10749</v>
      </c>
      <c r="Q3329" t="s">
        <v>10765</v>
      </c>
      <c r="R3329" t="s">
        <v>10820</v>
      </c>
      <c r="T3329">
        <v>12312</v>
      </c>
      <c r="U3329">
        <v>1026</v>
      </c>
      <c r="V3329">
        <v>55</v>
      </c>
      <c r="W3329">
        <v>1</v>
      </c>
      <c r="X3329">
        <v>0</v>
      </c>
      <c r="Z3329">
        <v>98.56999999999999</v>
      </c>
      <c r="AA3329">
        <v>40.604471</v>
      </c>
      <c r="AB3329">
        <v>-74.00446599999999</v>
      </c>
      <c r="AD3329" t="s">
        <v>10839</v>
      </c>
      <c r="AG3329" t="s">
        <v>10858</v>
      </c>
      <c r="AH3329" t="s">
        <v>10862</v>
      </c>
      <c r="AI3329">
        <v>239</v>
      </c>
      <c r="AJ3329" t="s">
        <v>10213</v>
      </c>
      <c r="AL3329">
        <v>0</v>
      </c>
      <c r="AM3329" t="s">
        <v>10883</v>
      </c>
      <c r="AN3329" t="s">
        <v>10969</v>
      </c>
      <c r="AO3329" t="s">
        <v>11023</v>
      </c>
      <c r="AP3329" t="s">
        <v>11086</v>
      </c>
      <c r="AR3329" t="s">
        <v>11296</v>
      </c>
      <c r="AS3329" t="s">
        <v>11595</v>
      </c>
      <c r="BA3329" t="s">
        <v>11740</v>
      </c>
      <c r="BB3329">
        <v>0</v>
      </c>
      <c r="BC3329">
        <v>0</v>
      </c>
      <c r="BD3329">
        <v>0</v>
      </c>
      <c r="BE3329">
        <v>0</v>
      </c>
      <c r="BF3329">
        <v>2</v>
      </c>
      <c r="BG3329">
        <v>0</v>
      </c>
    </row>
    <row r="3330" spans="1:59">
      <c r="A3330" s="1">
        <f>HYPERLINK("https://lsnyc.legalserver.org/matter/dynamic-profile/view/1907399","19-1907399")</f>
        <v>0</v>
      </c>
      <c r="B3330" t="s">
        <v>2795</v>
      </c>
      <c r="C3330" t="s">
        <v>7581</v>
      </c>
      <c r="D3330" t="s">
        <v>9925</v>
      </c>
      <c r="E3330" t="s">
        <v>10075</v>
      </c>
      <c r="F3330">
        <v>10032</v>
      </c>
      <c r="G3330" t="s">
        <v>10089</v>
      </c>
      <c r="H3330" t="s">
        <v>10149</v>
      </c>
      <c r="I3330" t="s">
        <v>10168</v>
      </c>
      <c r="J3330" t="s">
        <v>10209</v>
      </c>
      <c r="K3330" t="s">
        <v>10217</v>
      </c>
      <c r="M3330" t="s">
        <v>10341</v>
      </c>
      <c r="N3330" t="s">
        <v>10688</v>
      </c>
      <c r="P3330" t="s">
        <v>10749</v>
      </c>
      <c r="Q3330" t="s">
        <v>10765</v>
      </c>
      <c r="R3330" t="s">
        <v>10823</v>
      </c>
      <c r="T3330">
        <v>14100</v>
      </c>
      <c r="U3330">
        <v>1175</v>
      </c>
      <c r="V3330">
        <v>48</v>
      </c>
      <c r="W3330">
        <v>1</v>
      </c>
      <c r="X3330">
        <v>0</v>
      </c>
      <c r="Z3330">
        <v>112.89</v>
      </c>
      <c r="AA3330">
        <v>40.844344</v>
      </c>
      <c r="AB3330">
        <v>-73.94055400000001</v>
      </c>
      <c r="AD3330" t="s">
        <v>10839</v>
      </c>
      <c r="AG3330" t="s">
        <v>10858</v>
      </c>
      <c r="AH3330" t="s">
        <v>10862</v>
      </c>
      <c r="AI3330">
        <v>236</v>
      </c>
      <c r="AJ3330" t="s">
        <v>10209</v>
      </c>
      <c r="AL3330">
        <v>4</v>
      </c>
      <c r="AM3330" t="s">
        <v>10887</v>
      </c>
      <c r="AN3330" t="s">
        <v>10943</v>
      </c>
      <c r="AO3330" t="s">
        <v>11019</v>
      </c>
      <c r="AP3330" t="s">
        <v>11074</v>
      </c>
      <c r="AQ3330" t="s">
        <v>11186</v>
      </c>
      <c r="AR3330" t="s">
        <v>11274</v>
      </c>
      <c r="AS3330" t="s">
        <v>9925</v>
      </c>
      <c r="AT3330" t="s">
        <v>11641</v>
      </c>
      <c r="AX3330" t="s">
        <v>10838</v>
      </c>
      <c r="BA3330" t="s">
        <v>11737</v>
      </c>
      <c r="BB3330">
        <v>0</v>
      </c>
      <c r="BC3330">
        <v>0</v>
      </c>
      <c r="BD3330">
        <v>0</v>
      </c>
      <c r="BE3330">
        <v>0</v>
      </c>
      <c r="BF3330">
        <v>3</v>
      </c>
      <c r="BG3330">
        <v>0</v>
      </c>
    </row>
    <row r="3331" spans="1:59">
      <c r="A3331" s="1">
        <f>HYPERLINK("https://lsnyc.legalserver.org/matter/dynamic-profile/view/1907400","19-1907400")</f>
        <v>0</v>
      </c>
      <c r="B3331" t="s">
        <v>2796</v>
      </c>
      <c r="C3331" t="s">
        <v>7582</v>
      </c>
      <c r="D3331" t="s">
        <v>9926</v>
      </c>
      <c r="E3331" t="s">
        <v>10075</v>
      </c>
      <c r="F3331">
        <v>10454</v>
      </c>
      <c r="G3331" t="s">
        <v>10090</v>
      </c>
      <c r="H3331" t="s">
        <v>10129</v>
      </c>
      <c r="I3331" t="s">
        <v>10168</v>
      </c>
      <c r="J3331" t="s">
        <v>10210</v>
      </c>
      <c r="K3331" t="s">
        <v>10218</v>
      </c>
      <c r="L3331" t="s">
        <v>10101</v>
      </c>
      <c r="M3331" t="s">
        <v>10579</v>
      </c>
      <c r="N3331" t="s">
        <v>10650</v>
      </c>
      <c r="P3331" t="s">
        <v>10749</v>
      </c>
      <c r="Q3331" t="s">
        <v>10765</v>
      </c>
      <c r="R3331" t="s">
        <v>10825</v>
      </c>
      <c r="T3331">
        <v>6000</v>
      </c>
      <c r="U3331">
        <v>500</v>
      </c>
      <c r="V3331">
        <v>36</v>
      </c>
      <c r="W3331">
        <v>1</v>
      </c>
      <c r="X3331">
        <v>0</v>
      </c>
      <c r="Y3331" t="s">
        <v>10831</v>
      </c>
      <c r="Z3331">
        <v>48.04</v>
      </c>
      <c r="AA3331">
        <v>40.805865</v>
      </c>
      <c r="AB3331">
        <v>-73.925905</v>
      </c>
      <c r="AD3331" t="s">
        <v>10841</v>
      </c>
      <c r="AG3331" t="s">
        <v>10858</v>
      </c>
      <c r="AH3331" t="s">
        <v>10862</v>
      </c>
      <c r="AI3331">
        <v>230</v>
      </c>
      <c r="AJ3331" t="s">
        <v>10210</v>
      </c>
      <c r="AK3331" t="s">
        <v>10838</v>
      </c>
      <c r="AL3331">
        <v>2.25</v>
      </c>
      <c r="AM3331" t="s">
        <v>10884</v>
      </c>
      <c r="AN3331" t="s">
        <v>10924</v>
      </c>
      <c r="AO3331" t="s">
        <v>11013</v>
      </c>
      <c r="AP3331" t="s">
        <v>11066</v>
      </c>
      <c r="AR3331" t="s">
        <v>11273</v>
      </c>
      <c r="AS3331" t="s">
        <v>9926</v>
      </c>
      <c r="AX3331" t="s">
        <v>10837</v>
      </c>
      <c r="AY3331" t="s">
        <v>10831</v>
      </c>
      <c r="AZ3331" t="s">
        <v>11687</v>
      </c>
      <c r="BA3331" t="s">
        <v>11738</v>
      </c>
      <c r="BB3331">
        <v>8546.58</v>
      </c>
      <c r="BC3331">
        <v>0</v>
      </c>
      <c r="BD3331">
        <v>0</v>
      </c>
      <c r="BE3331">
        <v>0</v>
      </c>
      <c r="BF3331">
        <v>5</v>
      </c>
      <c r="BG3331">
        <v>0</v>
      </c>
    </row>
    <row r="3332" spans="1:59">
      <c r="A3332" s="1">
        <f>HYPERLINK("https://lsnyc.legalserver.org/matter/dynamic-profile/view/1907401","19-1907401")</f>
        <v>0</v>
      </c>
      <c r="B3332" t="s">
        <v>2797</v>
      </c>
      <c r="C3332" t="s">
        <v>7583</v>
      </c>
      <c r="D3332" t="s">
        <v>9926</v>
      </c>
      <c r="E3332" t="s">
        <v>10075</v>
      </c>
      <c r="F3332">
        <v>10454</v>
      </c>
      <c r="G3332" t="s">
        <v>10091</v>
      </c>
      <c r="H3332" t="s">
        <v>10149</v>
      </c>
      <c r="I3332" t="s">
        <v>10168</v>
      </c>
      <c r="J3332" t="s">
        <v>10214</v>
      </c>
      <c r="K3332" t="s">
        <v>10217</v>
      </c>
      <c r="M3332" t="s">
        <v>10286</v>
      </c>
      <c r="N3332" t="s">
        <v>10671</v>
      </c>
      <c r="P3332" t="s">
        <v>10751</v>
      </c>
      <c r="Q3332" t="s">
        <v>10768</v>
      </c>
      <c r="R3332" t="s">
        <v>10821</v>
      </c>
      <c r="T3332">
        <v>0</v>
      </c>
      <c r="U3332">
        <v>0</v>
      </c>
      <c r="V3332">
        <v>30</v>
      </c>
      <c r="W3332">
        <v>1</v>
      </c>
      <c r="X3332">
        <v>0</v>
      </c>
      <c r="Z3332">
        <v>0</v>
      </c>
      <c r="AA3332">
        <v>40.802553</v>
      </c>
      <c r="AB3332">
        <v>-73.91233</v>
      </c>
      <c r="AD3332" t="s">
        <v>10840</v>
      </c>
      <c r="AG3332" t="s">
        <v>10858</v>
      </c>
      <c r="AH3332" t="s">
        <v>10871</v>
      </c>
      <c r="AI3332">
        <v>234</v>
      </c>
      <c r="AJ3332" t="s">
        <v>10214</v>
      </c>
      <c r="AL3332">
        <v>0.66</v>
      </c>
      <c r="AM3332" t="s">
        <v>10884</v>
      </c>
      <c r="AN3332" t="s">
        <v>10924</v>
      </c>
      <c r="AO3332" t="s">
        <v>11013</v>
      </c>
      <c r="AP3332" t="s">
        <v>11062</v>
      </c>
      <c r="AR3332" t="s">
        <v>11279</v>
      </c>
      <c r="AS3332" t="s">
        <v>9926</v>
      </c>
      <c r="AT3332" t="s">
        <v>11642</v>
      </c>
      <c r="AX3332" t="s">
        <v>10838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</row>
    <row r="3333" spans="1:59">
      <c r="A3333" s="1">
        <f>HYPERLINK("https://lsnyc.legalserver.org/matter/dynamic-profile/view/1907402","19-1907402")</f>
        <v>0</v>
      </c>
      <c r="B3333" t="s">
        <v>696</v>
      </c>
      <c r="C3333" t="s">
        <v>7584</v>
      </c>
      <c r="D3333" t="s">
        <v>9928</v>
      </c>
      <c r="E3333" t="s">
        <v>10075</v>
      </c>
      <c r="F3333">
        <v>11212</v>
      </c>
      <c r="G3333" t="s">
        <v>10093</v>
      </c>
      <c r="H3333" t="s">
        <v>10149</v>
      </c>
      <c r="I3333" t="s">
        <v>10168</v>
      </c>
      <c r="J3333" t="s">
        <v>10213</v>
      </c>
      <c r="K3333" t="s">
        <v>10218</v>
      </c>
      <c r="L3333" t="s">
        <v>10143</v>
      </c>
      <c r="M3333" t="s">
        <v>10371</v>
      </c>
      <c r="N3333" t="s">
        <v>10650</v>
      </c>
      <c r="P3333" t="s">
        <v>10749</v>
      </c>
      <c r="Q3333" t="s">
        <v>10765</v>
      </c>
      <c r="R3333" t="s">
        <v>10824</v>
      </c>
      <c r="T3333">
        <v>45000</v>
      </c>
      <c r="U3333">
        <v>3750</v>
      </c>
      <c r="V3333">
        <v>41</v>
      </c>
      <c r="W3333">
        <v>2</v>
      </c>
      <c r="X3333">
        <v>0</v>
      </c>
      <c r="Y3333" t="s">
        <v>10830</v>
      </c>
      <c r="Z3333">
        <v>266.11</v>
      </c>
      <c r="AA3333">
        <v>40.659629</v>
      </c>
      <c r="AB3333">
        <v>-73.924661</v>
      </c>
      <c r="AD3333" t="s">
        <v>10839</v>
      </c>
      <c r="AG3333" t="s">
        <v>10858</v>
      </c>
      <c r="AH3333" t="s">
        <v>10862</v>
      </c>
      <c r="AI3333">
        <v>239</v>
      </c>
      <c r="AJ3333" t="s">
        <v>10213</v>
      </c>
      <c r="AK3333" t="s">
        <v>10882</v>
      </c>
      <c r="AL3333">
        <v>2.5</v>
      </c>
      <c r="AM3333" t="s">
        <v>10888</v>
      </c>
      <c r="AN3333" t="s">
        <v>10925</v>
      </c>
      <c r="AO3333" t="s">
        <v>11005</v>
      </c>
      <c r="AP3333" t="s">
        <v>11064</v>
      </c>
      <c r="AQ3333" t="s">
        <v>11101</v>
      </c>
      <c r="AR3333" t="s">
        <v>11257</v>
      </c>
      <c r="AS3333" t="s">
        <v>11595</v>
      </c>
      <c r="AT3333" t="s">
        <v>11641</v>
      </c>
      <c r="AY3333" t="s">
        <v>10830</v>
      </c>
      <c r="AZ3333" t="s">
        <v>11697</v>
      </c>
      <c r="BA3333" t="s">
        <v>11740</v>
      </c>
      <c r="BB3333">
        <v>0</v>
      </c>
      <c r="BC3333">
        <v>0</v>
      </c>
      <c r="BD3333">
        <v>0</v>
      </c>
      <c r="BE3333">
        <v>0</v>
      </c>
      <c r="BF3333">
        <v>2</v>
      </c>
      <c r="BG3333">
        <v>0</v>
      </c>
    </row>
    <row r="3334" spans="1:59">
      <c r="A3334" s="1">
        <f>HYPERLINK("https://lsnyc.legalserver.org/matter/dynamic-profile/view/1907403","19-1907403")</f>
        <v>0</v>
      </c>
      <c r="B3334" t="s">
        <v>2798</v>
      </c>
      <c r="C3334" t="s">
        <v>7585</v>
      </c>
      <c r="D3334" t="s">
        <v>9926</v>
      </c>
      <c r="E3334" t="s">
        <v>10075</v>
      </c>
      <c r="F3334">
        <v>10456</v>
      </c>
      <c r="G3334" t="s">
        <v>10090</v>
      </c>
      <c r="H3334" t="s">
        <v>10149</v>
      </c>
      <c r="I3334" t="s">
        <v>10168</v>
      </c>
      <c r="J3334" t="s">
        <v>10210</v>
      </c>
      <c r="K3334" t="s">
        <v>10218</v>
      </c>
      <c r="L3334" t="s">
        <v>10142</v>
      </c>
      <c r="M3334" t="s">
        <v>10262</v>
      </c>
      <c r="N3334" t="s">
        <v>10666</v>
      </c>
      <c r="P3334" t="s">
        <v>10749</v>
      </c>
      <c r="Q3334" t="s">
        <v>10765</v>
      </c>
      <c r="R3334" t="s">
        <v>10824</v>
      </c>
      <c r="T3334">
        <v>13000</v>
      </c>
      <c r="U3334">
        <v>1083.33</v>
      </c>
      <c r="V3334">
        <v>39</v>
      </c>
      <c r="W3334">
        <v>1</v>
      </c>
      <c r="X3334">
        <v>2</v>
      </c>
      <c r="Y3334" t="s">
        <v>10829</v>
      </c>
      <c r="Z3334">
        <v>60.95</v>
      </c>
      <c r="AA3334">
        <v>40.832423</v>
      </c>
      <c r="AB3334">
        <v>-73.916371</v>
      </c>
      <c r="AD3334" t="s">
        <v>10839</v>
      </c>
      <c r="AF3334" t="s">
        <v>10843</v>
      </c>
      <c r="AG3334" t="s">
        <v>10859</v>
      </c>
      <c r="AH3334" t="s">
        <v>10862</v>
      </c>
      <c r="AI3334">
        <v>230</v>
      </c>
      <c r="AJ3334" t="s">
        <v>10210</v>
      </c>
      <c r="AK3334" t="s">
        <v>10838</v>
      </c>
      <c r="AL3334">
        <v>1</v>
      </c>
      <c r="AM3334" t="s">
        <v>10884</v>
      </c>
      <c r="AN3334" t="s">
        <v>10929</v>
      </c>
      <c r="AO3334" t="s">
        <v>11000</v>
      </c>
      <c r="AP3334" t="s">
        <v>11055</v>
      </c>
      <c r="AR3334" t="s">
        <v>11276</v>
      </c>
      <c r="AS3334" t="s">
        <v>9926</v>
      </c>
      <c r="AY3334" t="s">
        <v>10829</v>
      </c>
      <c r="AZ3334" t="s">
        <v>11681</v>
      </c>
      <c r="BA3334" t="s">
        <v>11741</v>
      </c>
      <c r="BB3334">
        <v>0</v>
      </c>
      <c r="BC3334">
        <v>0</v>
      </c>
      <c r="BD3334">
        <v>0</v>
      </c>
      <c r="BE3334">
        <v>0</v>
      </c>
      <c r="BF3334">
        <v>1</v>
      </c>
      <c r="BG3334">
        <v>0</v>
      </c>
    </row>
    <row r="3335" spans="1:59">
      <c r="A3335" s="1">
        <f>HYPERLINK("https://lsnyc.legalserver.org/matter/dynamic-profile/view/1907404","19-1907404")</f>
        <v>0</v>
      </c>
      <c r="B3335" t="s">
        <v>2799</v>
      </c>
      <c r="C3335" t="s">
        <v>7586</v>
      </c>
      <c r="D3335" t="s">
        <v>9926</v>
      </c>
      <c r="E3335" t="s">
        <v>10075</v>
      </c>
      <c r="F3335">
        <v>10455</v>
      </c>
      <c r="G3335" t="s">
        <v>10090</v>
      </c>
      <c r="H3335" t="s">
        <v>10149</v>
      </c>
      <c r="I3335" t="s">
        <v>10169</v>
      </c>
      <c r="J3335" t="s">
        <v>10210</v>
      </c>
      <c r="K3335" t="s">
        <v>10217</v>
      </c>
      <c r="M3335" t="s">
        <v>10310</v>
      </c>
      <c r="N3335" t="s">
        <v>10683</v>
      </c>
      <c r="P3335" t="s">
        <v>10754</v>
      </c>
      <c r="Q3335" t="s">
        <v>10766</v>
      </c>
      <c r="R3335" t="s">
        <v>10821</v>
      </c>
      <c r="T3335">
        <v>0</v>
      </c>
      <c r="U3335">
        <v>0</v>
      </c>
      <c r="V3335">
        <v>32</v>
      </c>
      <c r="W3335">
        <v>1</v>
      </c>
      <c r="X3335">
        <v>4</v>
      </c>
      <c r="Z3335">
        <v>0</v>
      </c>
      <c r="AA3335">
        <v>40.814357</v>
      </c>
      <c r="AB3335">
        <v>-73.91511199999999</v>
      </c>
      <c r="AD3335" t="s">
        <v>10839</v>
      </c>
      <c r="AF3335" t="s">
        <v>10842</v>
      </c>
      <c r="AG3335" t="s">
        <v>10859</v>
      </c>
      <c r="AH3335" t="s">
        <v>10865</v>
      </c>
      <c r="AI3335">
        <v>230</v>
      </c>
      <c r="AJ3335" t="s">
        <v>10210</v>
      </c>
      <c r="AL3335">
        <v>18.5</v>
      </c>
      <c r="AM3335" t="s">
        <v>10884</v>
      </c>
      <c r="AN3335" t="s">
        <v>10924</v>
      </c>
      <c r="AO3335" t="s">
        <v>11013</v>
      </c>
      <c r="AP3335" t="s">
        <v>11066</v>
      </c>
      <c r="AQ3335" t="s">
        <v>11112</v>
      </c>
      <c r="AR3335" t="s">
        <v>11267</v>
      </c>
      <c r="AS3335" t="s">
        <v>9926</v>
      </c>
      <c r="AT3335" t="s">
        <v>11641</v>
      </c>
      <c r="AV3335" t="s">
        <v>11656</v>
      </c>
      <c r="AW3335" t="s">
        <v>11645</v>
      </c>
      <c r="AX3335" t="s">
        <v>10838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</row>
    <row r="3336" spans="1:59">
      <c r="A3336" s="1">
        <f>HYPERLINK("https://lsnyc.legalserver.org/matter/dynamic-profile/view/1907405","19-1907405")</f>
        <v>0</v>
      </c>
      <c r="B3336" t="s">
        <v>2800</v>
      </c>
      <c r="C3336" t="s">
        <v>7587</v>
      </c>
      <c r="D3336" t="s">
        <v>9928</v>
      </c>
      <c r="E3336" t="s">
        <v>10075</v>
      </c>
      <c r="F3336">
        <v>11204</v>
      </c>
      <c r="G3336" t="s">
        <v>10093</v>
      </c>
      <c r="H3336" t="s">
        <v>10149</v>
      </c>
      <c r="I3336" t="s">
        <v>10169</v>
      </c>
      <c r="J3336" t="s">
        <v>10213</v>
      </c>
      <c r="K3336" t="s">
        <v>10217</v>
      </c>
      <c r="M3336" t="s">
        <v>10467</v>
      </c>
      <c r="N3336" t="s">
        <v>10664</v>
      </c>
      <c r="P3336" t="s">
        <v>10749</v>
      </c>
      <c r="Q3336" t="s">
        <v>10765</v>
      </c>
      <c r="R3336" t="s">
        <v>10821</v>
      </c>
      <c r="T3336">
        <v>0</v>
      </c>
      <c r="U3336">
        <v>0</v>
      </c>
      <c r="V3336">
        <v>54</v>
      </c>
      <c r="W3336">
        <v>3</v>
      </c>
      <c r="X3336">
        <v>2</v>
      </c>
      <c r="Z3336">
        <v>0</v>
      </c>
      <c r="AA3336">
        <v>40.612585</v>
      </c>
      <c r="AB3336">
        <v>-73.991007</v>
      </c>
      <c r="AD3336" t="s">
        <v>10839</v>
      </c>
      <c r="AF3336" t="s">
        <v>10843</v>
      </c>
      <c r="AG3336" t="s">
        <v>10859</v>
      </c>
      <c r="AH3336" t="s">
        <v>10862</v>
      </c>
      <c r="AI3336">
        <v>239</v>
      </c>
      <c r="AJ3336" t="s">
        <v>10213</v>
      </c>
      <c r="AL3336">
        <v>0</v>
      </c>
      <c r="AM3336" t="s">
        <v>10894</v>
      </c>
      <c r="AN3336" t="s">
        <v>10974</v>
      </c>
      <c r="AO3336" t="s">
        <v>11023</v>
      </c>
      <c r="AP3336" t="s">
        <v>11087</v>
      </c>
      <c r="AR3336" t="s">
        <v>11267</v>
      </c>
      <c r="AS3336" t="s">
        <v>11595</v>
      </c>
      <c r="BA3336" t="s">
        <v>11741</v>
      </c>
      <c r="BB3336">
        <v>0</v>
      </c>
      <c r="BC3336">
        <v>0</v>
      </c>
      <c r="BD3336">
        <v>0</v>
      </c>
      <c r="BE3336">
        <v>0</v>
      </c>
      <c r="BF3336">
        <v>1</v>
      </c>
      <c r="BG3336">
        <v>0</v>
      </c>
    </row>
    <row r="3337" spans="1:59">
      <c r="A3337" s="1">
        <f>HYPERLINK("https://lsnyc.legalserver.org/matter/dynamic-profile/view/1907406","19-1907406")</f>
        <v>0</v>
      </c>
      <c r="B3337" t="s">
        <v>2801</v>
      </c>
      <c r="C3337" t="s">
        <v>7588</v>
      </c>
      <c r="D3337" t="s">
        <v>10027</v>
      </c>
      <c r="E3337" t="s">
        <v>10075</v>
      </c>
      <c r="F3337">
        <v>12201</v>
      </c>
      <c r="G3337" t="s">
        <v>10090</v>
      </c>
      <c r="H3337" t="s">
        <v>10149</v>
      </c>
      <c r="I3337" t="s">
        <v>10168</v>
      </c>
      <c r="J3337" t="s">
        <v>10210</v>
      </c>
      <c r="K3337" t="s">
        <v>10217</v>
      </c>
      <c r="M3337" t="s">
        <v>10519</v>
      </c>
      <c r="N3337" t="s">
        <v>10723</v>
      </c>
      <c r="P3337" t="s">
        <v>10753</v>
      </c>
      <c r="Q3337" t="s">
        <v>10809</v>
      </c>
      <c r="R3337" t="s">
        <v>10823</v>
      </c>
      <c r="T3337">
        <v>19204</v>
      </c>
      <c r="U3337">
        <v>1600.33</v>
      </c>
      <c r="V3337">
        <v>53</v>
      </c>
      <c r="W3337">
        <v>1</v>
      </c>
      <c r="X3337">
        <v>1</v>
      </c>
      <c r="Z3337">
        <v>113.57</v>
      </c>
      <c r="AA3337">
        <v>0</v>
      </c>
      <c r="AB3337">
        <v>0</v>
      </c>
      <c r="AD3337" t="s">
        <v>10839</v>
      </c>
      <c r="AG3337" t="s">
        <v>10858</v>
      </c>
      <c r="AH3337" t="s">
        <v>10865</v>
      </c>
      <c r="AI3337">
        <v>230</v>
      </c>
      <c r="AJ3337" t="s">
        <v>10210</v>
      </c>
      <c r="AL3337">
        <v>6.7</v>
      </c>
      <c r="AQ3337" t="s">
        <v>11180</v>
      </c>
      <c r="AR3337" t="s">
        <v>11482</v>
      </c>
      <c r="AS3337" t="s">
        <v>11595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</row>
    <row r="3338" spans="1:59">
      <c r="A3338" s="1">
        <f>HYPERLINK("https://lsnyc.legalserver.org/matter/dynamic-profile/view/1907407","19-1907407")</f>
        <v>0</v>
      </c>
      <c r="B3338" t="s">
        <v>2799</v>
      </c>
      <c r="C3338" t="s">
        <v>7586</v>
      </c>
      <c r="D3338" t="s">
        <v>9926</v>
      </c>
      <c r="E3338" t="s">
        <v>10075</v>
      </c>
      <c r="F3338">
        <v>10455</v>
      </c>
      <c r="G3338" t="s">
        <v>10090</v>
      </c>
      <c r="H3338" t="s">
        <v>10149</v>
      </c>
      <c r="I3338" t="s">
        <v>10169</v>
      </c>
      <c r="J3338" t="s">
        <v>10210</v>
      </c>
      <c r="K3338" t="s">
        <v>10217</v>
      </c>
      <c r="M3338" t="s">
        <v>10310</v>
      </c>
      <c r="N3338" t="s">
        <v>10683</v>
      </c>
      <c r="P3338" t="s">
        <v>10754</v>
      </c>
      <c r="Q3338" t="s">
        <v>10777</v>
      </c>
      <c r="R3338" t="s">
        <v>10821</v>
      </c>
      <c r="T3338">
        <v>0</v>
      </c>
      <c r="U3338">
        <v>0</v>
      </c>
      <c r="V3338">
        <v>32</v>
      </c>
      <c r="W3338">
        <v>1</v>
      </c>
      <c r="X3338">
        <v>4</v>
      </c>
      <c r="Z3338">
        <v>0</v>
      </c>
      <c r="AA3338">
        <v>40.814357</v>
      </c>
      <c r="AB3338">
        <v>-73.91511199999999</v>
      </c>
      <c r="AD3338" t="s">
        <v>10839</v>
      </c>
      <c r="AF3338" t="s">
        <v>10842</v>
      </c>
      <c r="AG3338" t="s">
        <v>10859</v>
      </c>
      <c r="AH3338" t="s">
        <v>10865</v>
      </c>
      <c r="AI3338">
        <v>230</v>
      </c>
      <c r="AJ3338" t="s">
        <v>10210</v>
      </c>
      <c r="AL3338">
        <v>7.25</v>
      </c>
      <c r="AM3338" t="s">
        <v>10884</v>
      </c>
      <c r="AN3338" t="s">
        <v>10924</v>
      </c>
      <c r="AO3338" t="s">
        <v>11013</v>
      </c>
      <c r="AP3338" t="s">
        <v>11066</v>
      </c>
      <c r="AQ3338" t="s">
        <v>11128</v>
      </c>
      <c r="AR3338" t="s">
        <v>11267</v>
      </c>
      <c r="AS3338" t="s">
        <v>9926</v>
      </c>
      <c r="AT3338" t="s">
        <v>11641</v>
      </c>
      <c r="AV3338" t="s">
        <v>11656</v>
      </c>
      <c r="AW3338" t="s">
        <v>11645</v>
      </c>
      <c r="AX3338" t="s">
        <v>10838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</row>
    <row r="3339" spans="1:59">
      <c r="A3339" s="1">
        <f>HYPERLINK("https://lsnyc.legalserver.org/matter/dynamic-profile/view/1907408","19-1907408")</f>
        <v>0</v>
      </c>
      <c r="B3339" t="s">
        <v>2788</v>
      </c>
      <c r="C3339" t="s">
        <v>7573</v>
      </c>
      <c r="D3339" t="s">
        <v>9926</v>
      </c>
      <c r="E3339" t="s">
        <v>10075</v>
      </c>
      <c r="F3339">
        <v>10468</v>
      </c>
      <c r="G3339" t="s">
        <v>10090</v>
      </c>
      <c r="H3339" t="s">
        <v>10149</v>
      </c>
      <c r="I3339" t="s">
        <v>10168</v>
      </c>
      <c r="J3339" t="s">
        <v>10210</v>
      </c>
      <c r="K3339" t="s">
        <v>10217</v>
      </c>
      <c r="M3339" t="s">
        <v>10367</v>
      </c>
      <c r="N3339" t="s">
        <v>10671</v>
      </c>
      <c r="P3339" t="s">
        <v>10751</v>
      </c>
      <c r="Q3339" t="s">
        <v>10761</v>
      </c>
      <c r="R3339" t="s">
        <v>10823</v>
      </c>
      <c r="T3339">
        <v>17000</v>
      </c>
      <c r="U3339">
        <v>1416.67</v>
      </c>
      <c r="V3339">
        <v>29</v>
      </c>
      <c r="W3339">
        <v>1</v>
      </c>
      <c r="X3339">
        <v>1</v>
      </c>
      <c r="Z3339">
        <v>100.53</v>
      </c>
      <c r="AA3339">
        <v>40.860842</v>
      </c>
      <c r="AB3339">
        <v>-73.908196</v>
      </c>
      <c r="AD3339" t="s">
        <v>10839</v>
      </c>
      <c r="AG3339" t="s">
        <v>10858</v>
      </c>
      <c r="AH3339" t="s">
        <v>10862</v>
      </c>
      <c r="AI3339">
        <v>230</v>
      </c>
      <c r="AJ3339" t="s">
        <v>10210</v>
      </c>
      <c r="AL3339">
        <v>0</v>
      </c>
      <c r="AR3339" t="s">
        <v>11262</v>
      </c>
      <c r="AS3339" t="s">
        <v>9926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</row>
    <row r="3340" spans="1:59">
      <c r="A3340" s="1">
        <f>HYPERLINK("https://lsnyc.legalserver.org/matter/dynamic-profile/view/1907409","19-1907409")</f>
        <v>0</v>
      </c>
      <c r="B3340" t="s">
        <v>2780</v>
      </c>
      <c r="C3340" t="s">
        <v>7589</v>
      </c>
      <c r="D3340" t="s">
        <v>9954</v>
      </c>
      <c r="E3340" t="s">
        <v>10075</v>
      </c>
      <c r="F3340">
        <v>11372</v>
      </c>
      <c r="G3340" t="s">
        <v>10092</v>
      </c>
      <c r="H3340" t="s">
        <v>10149</v>
      </c>
      <c r="J3340" t="s">
        <v>10212</v>
      </c>
      <c r="K3340" t="s">
        <v>10217</v>
      </c>
      <c r="M3340" t="s">
        <v>10320</v>
      </c>
      <c r="N3340" t="s">
        <v>10648</v>
      </c>
      <c r="P3340" t="s">
        <v>10753</v>
      </c>
      <c r="Q3340" t="s">
        <v>10763</v>
      </c>
      <c r="R3340" t="s">
        <v>10821</v>
      </c>
      <c r="T3340">
        <v>23400</v>
      </c>
      <c r="U3340">
        <v>1950</v>
      </c>
      <c r="V3340">
        <v>34</v>
      </c>
      <c r="W3340">
        <v>1</v>
      </c>
      <c r="X3340">
        <v>2</v>
      </c>
      <c r="Z3340">
        <v>109.7</v>
      </c>
      <c r="AA3340">
        <v>40.748335</v>
      </c>
      <c r="AB3340">
        <v>-73.883382</v>
      </c>
      <c r="AD3340" t="s">
        <v>10839</v>
      </c>
      <c r="AF3340" t="s">
        <v>10842</v>
      </c>
      <c r="AG3340" t="s">
        <v>10859</v>
      </c>
      <c r="AH3340" t="s">
        <v>10865</v>
      </c>
      <c r="AI3340">
        <v>237</v>
      </c>
      <c r="AJ3340" t="s">
        <v>10212</v>
      </c>
      <c r="AL3340">
        <v>3.7</v>
      </c>
      <c r="AM3340" t="s">
        <v>10885</v>
      </c>
      <c r="AN3340" t="s">
        <v>10949</v>
      </c>
      <c r="AO3340" t="s">
        <v>11014</v>
      </c>
      <c r="AP3340" t="s">
        <v>11068</v>
      </c>
      <c r="AQ3340" t="s">
        <v>11096</v>
      </c>
      <c r="AR3340" t="s">
        <v>11257</v>
      </c>
      <c r="AS3340" t="s">
        <v>11594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</row>
    <row r="3341" spans="1:59">
      <c r="A3341" s="1">
        <f>HYPERLINK("https://lsnyc.legalserver.org/matter/dynamic-profile/view/1907410","19-1907410")</f>
        <v>0</v>
      </c>
      <c r="B3341" t="s">
        <v>2802</v>
      </c>
      <c r="C3341" t="s">
        <v>7590</v>
      </c>
      <c r="D3341" t="s">
        <v>9926</v>
      </c>
      <c r="E3341" t="s">
        <v>10075</v>
      </c>
      <c r="F3341">
        <v>10453</v>
      </c>
      <c r="G3341" t="s">
        <v>10090</v>
      </c>
      <c r="H3341" t="s">
        <v>10149</v>
      </c>
      <c r="I3341" t="s">
        <v>10168</v>
      </c>
      <c r="J3341" t="s">
        <v>10210</v>
      </c>
      <c r="K3341" t="s">
        <v>10218</v>
      </c>
      <c r="L3341" t="s">
        <v>10108</v>
      </c>
      <c r="M3341" t="s">
        <v>10498</v>
      </c>
      <c r="N3341" t="s">
        <v>10650</v>
      </c>
      <c r="P3341" t="s">
        <v>10749</v>
      </c>
      <c r="Q3341" t="s">
        <v>10765</v>
      </c>
      <c r="R3341" t="s">
        <v>10827</v>
      </c>
      <c r="T3341">
        <v>30000</v>
      </c>
      <c r="U3341">
        <v>2500</v>
      </c>
      <c r="V3341">
        <v>31</v>
      </c>
      <c r="W3341">
        <v>2</v>
      </c>
      <c r="X3341">
        <v>2</v>
      </c>
      <c r="Y3341" t="s">
        <v>10829</v>
      </c>
      <c r="Z3341">
        <v>116.5</v>
      </c>
      <c r="AA3341">
        <v>40.851628</v>
      </c>
      <c r="AB3341">
        <v>-73.907793</v>
      </c>
      <c r="AD3341" t="s">
        <v>10840</v>
      </c>
      <c r="AG3341" t="s">
        <v>10858</v>
      </c>
      <c r="AH3341" t="s">
        <v>10862</v>
      </c>
      <c r="AI3341">
        <v>230</v>
      </c>
      <c r="AJ3341" t="s">
        <v>10210</v>
      </c>
      <c r="AK3341" t="s">
        <v>10838</v>
      </c>
      <c r="AL3341">
        <v>0.1</v>
      </c>
      <c r="AM3341" t="s">
        <v>10884</v>
      </c>
      <c r="AN3341" t="s">
        <v>10931</v>
      </c>
      <c r="AO3341" t="s">
        <v>11000</v>
      </c>
      <c r="AP3341" t="s">
        <v>11045</v>
      </c>
      <c r="AR3341" t="s">
        <v>11276</v>
      </c>
      <c r="AS3341" t="s">
        <v>9926</v>
      </c>
      <c r="AT3341" t="s">
        <v>11642</v>
      </c>
      <c r="AX3341" t="s">
        <v>10838</v>
      </c>
      <c r="AY3341" t="s">
        <v>10829</v>
      </c>
      <c r="AZ3341" t="s">
        <v>11681</v>
      </c>
      <c r="BA3341" t="s">
        <v>11741</v>
      </c>
      <c r="BB3341">
        <v>0</v>
      </c>
      <c r="BC3341">
        <v>0</v>
      </c>
      <c r="BD3341">
        <v>0</v>
      </c>
      <c r="BE3341">
        <v>0</v>
      </c>
      <c r="BF3341">
        <v>1</v>
      </c>
      <c r="BG3341">
        <v>0</v>
      </c>
    </row>
    <row r="3342" spans="1:59">
      <c r="A3342" s="1">
        <f>HYPERLINK("https://lsnyc.legalserver.org/matter/dynamic-profile/view/1907411","19-1907411")</f>
        <v>0</v>
      </c>
      <c r="B3342" t="s">
        <v>2803</v>
      </c>
      <c r="C3342" t="s">
        <v>7591</v>
      </c>
      <c r="D3342" t="s">
        <v>9928</v>
      </c>
      <c r="E3342" t="s">
        <v>10075</v>
      </c>
      <c r="F3342">
        <v>11207</v>
      </c>
      <c r="G3342" t="s">
        <v>10093</v>
      </c>
      <c r="H3342" t="s">
        <v>10149</v>
      </c>
      <c r="I3342" t="s">
        <v>10168</v>
      </c>
      <c r="J3342" t="s">
        <v>10213</v>
      </c>
      <c r="K3342" t="s">
        <v>10217</v>
      </c>
      <c r="M3342" t="s">
        <v>10467</v>
      </c>
      <c r="N3342" t="s">
        <v>10664</v>
      </c>
      <c r="P3342" t="s">
        <v>10749</v>
      </c>
      <c r="Q3342" t="s">
        <v>10765</v>
      </c>
      <c r="R3342" t="s">
        <v>10820</v>
      </c>
      <c r="T3342">
        <v>13380</v>
      </c>
      <c r="U3342">
        <v>1115</v>
      </c>
      <c r="V3342">
        <v>45</v>
      </c>
      <c r="W3342">
        <v>2</v>
      </c>
      <c r="X3342">
        <v>1</v>
      </c>
      <c r="Z3342">
        <v>62.73</v>
      </c>
      <c r="AA3342">
        <v>40.661385</v>
      </c>
      <c r="AB3342">
        <v>-73.894626</v>
      </c>
      <c r="AD3342" t="s">
        <v>10839</v>
      </c>
      <c r="AG3342" t="s">
        <v>10858</v>
      </c>
      <c r="AH3342" t="s">
        <v>10862</v>
      </c>
      <c r="AI3342">
        <v>239</v>
      </c>
      <c r="AJ3342" t="s">
        <v>10213</v>
      </c>
      <c r="AL3342">
        <v>0</v>
      </c>
      <c r="AM3342" t="s">
        <v>10889</v>
      </c>
      <c r="AN3342" t="s">
        <v>10946</v>
      </c>
      <c r="AO3342" t="s">
        <v>11012</v>
      </c>
      <c r="AP3342" t="s">
        <v>11060</v>
      </c>
      <c r="AR3342" t="s">
        <v>11458</v>
      </c>
      <c r="AS3342" t="s">
        <v>11595</v>
      </c>
      <c r="BA3342" t="s">
        <v>11741</v>
      </c>
      <c r="BB3342">
        <v>0</v>
      </c>
      <c r="BC3342">
        <v>0</v>
      </c>
      <c r="BD3342">
        <v>0</v>
      </c>
      <c r="BE3342">
        <v>0</v>
      </c>
      <c r="BF3342">
        <v>1</v>
      </c>
      <c r="BG3342">
        <v>0</v>
      </c>
    </row>
    <row r="3343" spans="1:59">
      <c r="A3343" s="1">
        <f>HYPERLINK("https://lsnyc.legalserver.org/matter/dynamic-profile/view/1907412","19-1907412")</f>
        <v>0</v>
      </c>
      <c r="B3343" t="s">
        <v>2804</v>
      </c>
      <c r="D3343" t="s">
        <v>9938</v>
      </c>
      <c r="E3343" t="s">
        <v>10075</v>
      </c>
      <c r="F3343">
        <v>11434</v>
      </c>
      <c r="G3343" t="s">
        <v>10093</v>
      </c>
      <c r="H3343" t="s">
        <v>10149</v>
      </c>
      <c r="I3343" t="s">
        <v>10168</v>
      </c>
      <c r="J3343" t="s">
        <v>10213</v>
      </c>
      <c r="K3343" t="s">
        <v>10217</v>
      </c>
      <c r="M3343" t="s">
        <v>10420</v>
      </c>
      <c r="N3343" t="s">
        <v>10649</v>
      </c>
      <c r="P3343" t="s">
        <v>10753</v>
      </c>
      <c r="Q3343" t="s">
        <v>10763</v>
      </c>
      <c r="R3343" t="s">
        <v>10824</v>
      </c>
      <c r="T3343">
        <v>0</v>
      </c>
      <c r="U3343">
        <v>0</v>
      </c>
      <c r="V3343">
        <v>28</v>
      </c>
      <c r="W3343">
        <v>1</v>
      </c>
      <c r="X3343">
        <v>1</v>
      </c>
      <c r="Z3343">
        <v>0</v>
      </c>
      <c r="AA3343">
        <v>0</v>
      </c>
      <c r="AB3343">
        <v>0</v>
      </c>
      <c r="AD3343" t="s">
        <v>10839</v>
      </c>
      <c r="AF3343" t="s">
        <v>10842</v>
      </c>
      <c r="AG3343" t="s">
        <v>10859</v>
      </c>
      <c r="AH3343" t="s">
        <v>10864</v>
      </c>
      <c r="AI3343">
        <v>239</v>
      </c>
      <c r="AJ3343" t="s">
        <v>10213</v>
      </c>
      <c r="AL3343">
        <v>7.3</v>
      </c>
      <c r="AQ3343" t="s">
        <v>11140</v>
      </c>
      <c r="AR3343" t="s">
        <v>11267</v>
      </c>
      <c r="AS3343" t="s">
        <v>11594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</row>
    <row r="3344" spans="1:59">
      <c r="A3344" s="1">
        <f>HYPERLINK("https://lsnyc.legalserver.org/matter/dynamic-profile/view/1907413","19-1907413")</f>
        <v>0</v>
      </c>
      <c r="B3344" t="s">
        <v>2805</v>
      </c>
      <c r="C3344" t="s">
        <v>7592</v>
      </c>
      <c r="D3344" t="s">
        <v>9926</v>
      </c>
      <c r="E3344" t="s">
        <v>10075</v>
      </c>
      <c r="F3344">
        <v>10465</v>
      </c>
      <c r="G3344" t="s">
        <v>10090</v>
      </c>
      <c r="H3344" t="s">
        <v>10149</v>
      </c>
      <c r="I3344" t="s">
        <v>10168</v>
      </c>
      <c r="J3344" t="s">
        <v>10210</v>
      </c>
      <c r="K3344" t="s">
        <v>10217</v>
      </c>
      <c r="M3344" t="s">
        <v>10558</v>
      </c>
      <c r="N3344" t="s">
        <v>10683</v>
      </c>
      <c r="P3344" t="s">
        <v>10754</v>
      </c>
      <c r="Q3344" t="s">
        <v>10775</v>
      </c>
      <c r="R3344" t="s">
        <v>10820</v>
      </c>
      <c r="T3344">
        <v>0</v>
      </c>
      <c r="U3344">
        <v>0</v>
      </c>
      <c r="V3344">
        <v>39</v>
      </c>
      <c r="W3344">
        <v>1</v>
      </c>
      <c r="X3344">
        <v>3</v>
      </c>
      <c r="Z3344">
        <v>0</v>
      </c>
      <c r="AA3344">
        <v>40.836328</v>
      </c>
      <c r="AB3344">
        <v>-73.820756</v>
      </c>
      <c r="AD3344" t="s">
        <v>10839</v>
      </c>
      <c r="AG3344" t="s">
        <v>10858</v>
      </c>
      <c r="AH3344" t="s">
        <v>10875</v>
      </c>
      <c r="AI3344">
        <v>230</v>
      </c>
      <c r="AJ3344" t="s">
        <v>10210</v>
      </c>
      <c r="AL3344">
        <v>4.5</v>
      </c>
      <c r="AM3344" t="s">
        <v>10885</v>
      </c>
      <c r="AN3344" t="s">
        <v>10911</v>
      </c>
      <c r="AO3344" t="s">
        <v>11002</v>
      </c>
      <c r="AP3344" t="s">
        <v>11049</v>
      </c>
      <c r="AR3344" t="s">
        <v>11267</v>
      </c>
      <c r="AS3344" t="s">
        <v>9926</v>
      </c>
      <c r="AT3344" t="s">
        <v>11641</v>
      </c>
      <c r="AV3344" t="s">
        <v>11656</v>
      </c>
      <c r="AW3344" t="s">
        <v>11645</v>
      </c>
      <c r="AX3344" t="s">
        <v>10838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</row>
    <row r="3345" spans="1:59">
      <c r="A3345" s="1">
        <f>HYPERLINK("https://lsnyc.legalserver.org/matter/dynamic-profile/view/1907414","19-1907414")</f>
        <v>0</v>
      </c>
      <c r="B3345" t="s">
        <v>2806</v>
      </c>
      <c r="C3345" t="s">
        <v>7593</v>
      </c>
      <c r="D3345" t="s">
        <v>9938</v>
      </c>
      <c r="E3345" t="s">
        <v>10075</v>
      </c>
      <c r="F3345">
        <v>11435</v>
      </c>
      <c r="G3345" t="s">
        <v>10092</v>
      </c>
      <c r="H3345" t="s">
        <v>10120</v>
      </c>
      <c r="I3345" t="s">
        <v>10171</v>
      </c>
      <c r="J3345" t="s">
        <v>10212</v>
      </c>
      <c r="K3345" t="s">
        <v>10217</v>
      </c>
      <c r="M3345" t="s">
        <v>10423</v>
      </c>
      <c r="N3345" t="s">
        <v>10709</v>
      </c>
      <c r="P3345" t="s">
        <v>10754</v>
      </c>
      <c r="Q3345" t="s">
        <v>10766</v>
      </c>
      <c r="R3345" t="s">
        <v>10820</v>
      </c>
      <c r="T3345">
        <v>0</v>
      </c>
      <c r="U3345">
        <v>0</v>
      </c>
      <c r="V3345">
        <v>59</v>
      </c>
      <c r="W3345">
        <v>2</v>
      </c>
      <c r="X3345">
        <v>0</v>
      </c>
      <c r="Z3345">
        <v>0</v>
      </c>
      <c r="AA3345">
        <v>40.708929</v>
      </c>
      <c r="AB3345">
        <v>-73.816164</v>
      </c>
      <c r="AD3345" t="s">
        <v>10839</v>
      </c>
      <c r="AF3345" t="s">
        <v>10842</v>
      </c>
      <c r="AG3345" t="s">
        <v>10858</v>
      </c>
      <c r="AH3345" t="s">
        <v>10865</v>
      </c>
      <c r="AI3345">
        <v>237</v>
      </c>
      <c r="AJ3345" t="s">
        <v>10212</v>
      </c>
      <c r="AK3345" t="s">
        <v>10837</v>
      </c>
      <c r="AL3345">
        <v>8.25</v>
      </c>
      <c r="AM3345" t="s">
        <v>10890</v>
      </c>
      <c r="AN3345" t="s">
        <v>10944</v>
      </c>
      <c r="AO3345" t="s">
        <v>11020</v>
      </c>
      <c r="AP3345" t="s">
        <v>11081</v>
      </c>
      <c r="AR3345" t="s">
        <v>11267</v>
      </c>
      <c r="AS3345" t="s">
        <v>11594</v>
      </c>
      <c r="AT3345" t="s">
        <v>11641</v>
      </c>
      <c r="AX3345" t="s">
        <v>10838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</row>
    <row r="3346" spans="1:59">
      <c r="A3346" s="1">
        <f>HYPERLINK("https://lsnyc.legalserver.org/matter/dynamic-profile/view/1907415","19-1907415")</f>
        <v>0</v>
      </c>
      <c r="B3346" t="s">
        <v>2799</v>
      </c>
      <c r="C3346" t="s">
        <v>7586</v>
      </c>
      <c r="D3346" t="s">
        <v>9926</v>
      </c>
      <c r="E3346" t="s">
        <v>10075</v>
      </c>
      <c r="F3346">
        <v>10455</v>
      </c>
      <c r="G3346" t="s">
        <v>10090</v>
      </c>
      <c r="H3346" t="s">
        <v>10149</v>
      </c>
      <c r="I3346" t="s">
        <v>10169</v>
      </c>
      <c r="J3346" t="s">
        <v>10210</v>
      </c>
      <c r="K3346" t="s">
        <v>10217</v>
      </c>
      <c r="M3346" t="s">
        <v>10519</v>
      </c>
      <c r="N3346" t="s">
        <v>10723</v>
      </c>
      <c r="P3346" t="s">
        <v>10753</v>
      </c>
      <c r="Q3346" t="s">
        <v>10809</v>
      </c>
      <c r="R3346" t="s">
        <v>10821</v>
      </c>
      <c r="T3346">
        <v>0</v>
      </c>
      <c r="U3346">
        <v>0</v>
      </c>
      <c r="V3346">
        <v>32</v>
      </c>
      <c r="W3346">
        <v>1</v>
      </c>
      <c r="X3346">
        <v>1</v>
      </c>
      <c r="Z3346">
        <v>0</v>
      </c>
      <c r="AA3346">
        <v>40.814357</v>
      </c>
      <c r="AB3346">
        <v>-73.91511199999999</v>
      </c>
      <c r="AD3346" t="s">
        <v>10839</v>
      </c>
      <c r="AF3346" t="s">
        <v>10842</v>
      </c>
      <c r="AG3346" t="s">
        <v>10859</v>
      </c>
      <c r="AH3346" t="s">
        <v>10865</v>
      </c>
      <c r="AI3346">
        <v>230</v>
      </c>
      <c r="AJ3346" t="s">
        <v>10210</v>
      </c>
      <c r="AL3346">
        <v>14.5</v>
      </c>
      <c r="AM3346" t="s">
        <v>10884</v>
      </c>
      <c r="AN3346" t="s">
        <v>10924</v>
      </c>
      <c r="AO3346" t="s">
        <v>11013</v>
      </c>
      <c r="AP3346" t="s">
        <v>11066</v>
      </c>
      <c r="AQ3346" t="s">
        <v>11180</v>
      </c>
      <c r="AR3346" t="s">
        <v>11267</v>
      </c>
      <c r="AS3346" t="s">
        <v>9926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</row>
    <row r="3347" spans="1:59">
      <c r="A3347" s="1">
        <f>HYPERLINK("https://lsnyc.legalserver.org/matter/dynamic-profile/view/1907416","19-1907416")</f>
        <v>0</v>
      </c>
      <c r="B3347" t="s">
        <v>2807</v>
      </c>
      <c r="C3347" t="s">
        <v>7594</v>
      </c>
      <c r="D3347" t="s">
        <v>9925</v>
      </c>
      <c r="E3347" t="s">
        <v>10075</v>
      </c>
      <c r="F3347">
        <v>10025</v>
      </c>
      <c r="G3347" t="s">
        <v>10089</v>
      </c>
      <c r="H3347" t="s">
        <v>10149</v>
      </c>
      <c r="J3347" t="s">
        <v>10209</v>
      </c>
      <c r="K3347" t="s">
        <v>10218</v>
      </c>
      <c r="L3347" t="s">
        <v>10160</v>
      </c>
      <c r="M3347" t="s">
        <v>10544</v>
      </c>
      <c r="N3347" t="s">
        <v>10707</v>
      </c>
      <c r="P3347" t="s">
        <v>10753</v>
      </c>
      <c r="Q3347" t="s">
        <v>10790</v>
      </c>
      <c r="R3347" t="s">
        <v>10820</v>
      </c>
      <c r="T3347">
        <v>0</v>
      </c>
      <c r="U3347">
        <v>0</v>
      </c>
      <c r="V3347">
        <v>57</v>
      </c>
      <c r="W3347">
        <v>1</v>
      </c>
      <c r="X3347">
        <v>0</v>
      </c>
      <c r="Y3347" t="s">
        <v>10830</v>
      </c>
      <c r="Z3347">
        <v>0</v>
      </c>
      <c r="AA3347">
        <v>40.79796</v>
      </c>
      <c r="AB3347">
        <v>-73.96327100000001</v>
      </c>
      <c r="AD3347" t="s">
        <v>10840</v>
      </c>
      <c r="AG3347" t="s">
        <v>10858</v>
      </c>
      <c r="AH3347" t="s">
        <v>10868</v>
      </c>
      <c r="AI3347">
        <v>236</v>
      </c>
      <c r="AJ3347" t="s">
        <v>10209</v>
      </c>
      <c r="AK3347" t="s">
        <v>10838</v>
      </c>
      <c r="AL3347">
        <v>4</v>
      </c>
      <c r="AM3347" t="s">
        <v>10887</v>
      </c>
      <c r="AN3347" t="s">
        <v>10953</v>
      </c>
      <c r="AO3347" t="s">
        <v>11016</v>
      </c>
      <c r="AP3347" t="s">
        <v>11073</v>
      </c>
      <c r="AR3347" t="s">
        <v>11267</v>
      </c>
      <c r="AS3347" t="s">
        <v>9925</v>
      </c>
      <c r="AT3347" t="s">
        <v>11642</v>
      </c>
      <c r="AX3347" t="s">
        <v>10838</v>
      </c>
      <c r="AY3347" t="s">
        <v>10830</v>
      </c>
      <c r="AZ3347" t="s">
        <v>11705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</row>
    <row r="3348" spans="1:59">
      <c r="A3348" s="1">
        <f>HYPERLINK("https://lsnyc.legalserver.org/matter/dynamic-profile/view/1907417","19-1907417")</f>
        <v>0</v>
      </c>
      <c r="B3348" t="s">
        <v>2808</v>
      </c>
      <c r="C3348" t="s">
        <v>7595</v>
      </c>
      <c r="D3348" t="s">
        <v>9925</v>
      </c>
      <c r="E3348" t="s">
        <v>10075</v>
      </c>
      <c r="F3348">
        <v>10032</v>
      </c>
      <c r="G3348" t="s">
        <v>10093</v>
      </c>
      <c r="H3348" t="s">
        <v>10149</v>
      </c>
      <c r="I3348" t="s">
        <v>10168</v>
      </c>
      <c r="J3348" t="s">
        <v>10213</v>
      </c>
      <c r="K3348" t="s">
        <v>10218</v>
      </c>
      <c r="L3348" t="s">
        <v>10135</v>
      </c>
      <c r="M3348" t="s">
        <v>10402</v>
      </c>
      <c r="N3348" t="s">
        <v>10671</v>
      </c>
      <c r="P3348" t="s">
        <v>10757</v>
      </c>
      <c r="Q3348" t="s">
        <v>10814</v>
      </c>
      <c r="R3348" t="s">
        <v>10824</v>
      </c>
      <c r="T3348">
        <v>0</v>
      </c>
      <c r="U3348">
        <v>0</v>
      </c>
      <c r="V3348">
        <v>26</v>
      </c>
      <c r="W3348">
        <v>1</v>
      </c>
      <c r="X3348">
        <v>0</v>
      </c>
      <c r="Y3348" t="s">
        <v>10829</v>
      </c>
      <c r="Z3348">
        <v>0</v>
      </c>
      <c r="AA3348">
        <v>40.842711</v>
      </c>
      <c r="AB3348">
        <v>-73.940437</v>
      </c>
      <c r="AD3348" t="s">
        <v>10839</v>
      </c>
      <c r="AF3348" t="s">
        <v>10846</v>
      </c>
      <c r="AG3348" t="s">
        <v>10859</v>
      </c>
      <c r="AH3348" t="s">
        <v>10881</v>
      </c>
      <c r="AI3348">
        <v>239</v>
      </c>
      <c r="AJ3348" t="s">
        <v>10213</v>
      </c>
      <c r="AK3348" t="s">
        <v>10838</v>
      </c>
      <c r="AL3348">
        <v>4</v>
      </c>
      <c r="AM3348" t="s">
        <v>10887</v>
      </c>
      <c r="AN3348" t="s">
        <v>10943</v>
      </c>
      <c r="AO3348" t="s">
        <v>11019</v>
      </c>
      <c r="AP3348" t="s">
        <v>11074</v>
      </c>
      <c r="AR3348" t="s">
        <v>11267</v>
      </c>
      <c r="AS3348" t="s">
        <v>9925</v>
      </c>
      <c r="AT3348" t="s">
        <v>11641</v>
      </c>
      <c r="AX3348" t="s">
        <v>10837</v>
      </c>
      <c r="AY3348" t="s">
        <v>10829</v>
      </c>
      <c r="AZ3348" t="s">
        <v>11703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</row>
    <row r="3349" spans="1:59">
      <c r="A3349" s="1">
        <f>HYPERLINK("https://lsnyc.legalserver.org/matter/dynamic-profile/view/1907418","19-1907418")</f>
        <v>0</v>
      </c>
      <c r="B3349" t="s">
        <v>2809</v>
      </c>
      <c r="C3349" t="s">
        <v>7596</v>
      </c>
      <c r="D3349" t="s">
        <v>9930</v>
      </c>
      <c r="E3349" t="s">
        <v>10075</v>
      </c>
      <c r="F3349">
        <v>11373</v>
      </c>
      <c r="G3349" t="s">
        <v>10092</v>
      </c>
      <c r="H3349" t="s">
        <v>10120</v>
      </c>
      <c r="I3349" t="s">
        <v>10169</v>
      </c>
      <c r="J3349" t="s">
        <v>10212</v>
      </c>
      <c r="K3349" t="s">
        <v>10218</v>
      </c>
      <c r="L3349" t="s">
        <v>4843</v>
      </c>
      <c r="M3349" t="s">
        <v>10363</v>
      </c>
      <c r="N3349" t="s">
        <v>10706</v>
      </c>
      <c r="P3349" t="s">
        <v>10749</v>
      </c>
      <c r="Q3349" t="s">
        <v>10806</v>
      </c>
      <c r="R3349" t="s">
        <v>10821</v>
      </c>
      <c r="T3349">
        <v>102000</v>
      </c>
      <c r="U3349">
        <v>8500</v>
      </c>
      <c r="V3349">
        <v>64</v>
      </c>
      <c r="W3349">
        <v>3</v>
      </c>
      <c r="X3349">
        <v>0</v>
      </c>
      <c r="Y3349" t="s">
        <v>10829</v>
      </c>
      <c r="Z3349">
        <v>478.2</v>
      </c>
      <c r="AA3349">
        <v>40.746546</v>
      </c>
      <c r="AB3349">
        <v>-73.87726600000001</v>
      </c>
      <c r="AD3349" t="s">
        <v>10840</v>
      </c>
      <c r="AG3349" t="s">
        <v>10858</v>
      </c>
      <c r="AH3349" t="s">
        <v>10868</v>
      </c>
      <c r="AI3349">
        <v>236</v>
      </c>
      <c r="AJ3349" t="s">
        <v>10209</v>
      </c>
      <c r="AK3349" t="s">
        <v>10838</v>
      </c>
      <c r="AL3349">
        <v>6.1</v>
      </c>
      <c r="AQ3349" t="s">
        <v>11228</v>
      </c>
      <c r="AR3349" t="s">
        <v>11257</v>
      </c>
      <c r="AS3349" t="s">
        <v>11594</v>
      </c>
      <c r="AT3349" t="s">
        <v>11642</v>
      </c>
      <c r="AX3349" t="s">
        <v>10837</v>
      </c>
      <c r="AY3349" t="s">
        <v>10829</v>
      </c>
      <c r="AZ3349" t="s">
        <v>11683</v>
      </c>
      <c r="BA3349" t="s">
        <v>11741</v>
      </c>
      <c r="BB3349">
        <v>0</v>
      </c>
      <c r="BC3349">
        <v>0</v>
      </c>
      <c r="BD3349">
        <v>0</v>
      </c>
      <c r="BE3349">
        <v>0</v>
      </c>
      <c r="BF3349">
        <v>1</v>
      </c>
      <c r="BG3349">
        <v>0</v>
      </c>
    </row>
    <row r="3350" spans="1:59">
      <c r="A3350" s="1">
        <f>HYPERLINK("https://lsnyc.legalserver.org/matter/dynamic-profile/view/1907419","19-1907419")</f>
        <v>0</v>
      </c>
      <c r="B3350" t="s">
        <v>2410</v>
      </c>
      <c r="C3350" t="s">
        <v>7597</v>
      </c>
      <c r="D3350" t="s">
        <v>9925</v>
      </c>
      <c r="E3350" t="s">
        <v>10075</v>
      </c>
      <c r="F3350">
        <v>10116</v>
      </c>
      <c r="G3350" t="s">
        <v>10090</v>
      </c>
      <c r="H3350" t="s">
        <v>10149</v>
      </c>
      <c r="I3350" t="s">
        <v>10168</v>
      </c>
      <c r="J3350" t="s">
        <v>10210</v>
      </c>
      <c r="K3350" t="s">
        <v>10217</v>
      </c>
      <c r="M3350" t="s">
        <v>10549</v>
      </c>
      <c r="N3350" t="s">
        <v>10671</v>
      </c>
      <c r="P3350" t="s">
        <v>10749</v>
      </c>
      <c r="Q3350" t="s">
        <v>10791</v>
      </c>
      <c r="R3350" t="s">
        <v>10820</v>
      </c>
      <c r="T3350">
        <v>22920</v>
      </c>
      <c r="U3350">
        <v>1910</v>
      </c>
      <c r="V3350">
        <v>54</v>
      </c>
      <c r="W3350">
        <v>1</v>
      </c>
      <c r="X3350">
        <v>0</v>
      </c>
      <c r="Z3350">
        <v>183.51</v>
      </c>
      <c r="AA3350">
        <v>40.750341</v>
      </c>
      <c r="AB3350">
        <v>-73.99489199999999</v>
      </c>
      <c r="AD3350" t="s">
        <v>10840</v>
      </c>
      <c r="AG3350" t="s">
        <v>10858</v>
      </c>
      <c r="AH3350" t="s">
        <v>10868</v>
      </c>
      <c r="AI3350">
        <v>239</v>
      </c>
      <c r="AJ3350" t="s">
        <v>10213</v>
      </c>
      <c r="AL3350">
        <v>8</v>
      </c>
      <c r="AR3350" t="s">
        <v>11254</v>
      </c>
      <c r="AS3350" t="s">
        <v>9925</v>
      </c>
      <c r="AT3350" t="s">
        <v>11642</v>
      </c>
      <c r="AX3350" t="s">
        <v>10837</v>
      </c>
      <c r="BA3350" t="s">
        <v>11740</v>
      </c>
      <c r="BB3350">
        <v>0</v>
      </c>
      <c r="BC3350">
        <v>0</v>
      </c>
      <c r="BD3350">
        <v>0</v>
      </c>
      <c r="BE3350">
        <v>0</v>
      </c>
      <c r="BF3350">
        <v>2</v>
      </c>
      <c r="BG3350">
        <v>0</v>
      </c>
    </row>
    <row r="3351" spans="1:59">
      <c r="A3351" s="1">
        <f>HYPERLINK("https://lsnyc.legalserver.org/matter/dynamic-profile/view/1907420","19-1907420")</f>
        <v>0</v>
      </c>
      <c r="B3351" t="s">
        <v>2810</v>
      </c>
      <c r="C3351" t="s">
        <v>7598</v>
      </c>
      <c r="D3351" t="s">
        <v>9926</v>
      </c>
      <c r="E3351" t="s">
        <v>10075</v>
      </c>
      <c r="F3351">
        <v>10466</v>
      </c>
      <c r="G3351" t="s">
        <v>10090</v>
      </c>
      <c r="H3351" t="s">
        <v>10120</v>
      </c>
      <c r="I3351" t="s">
        <v>10168</v>
      </c>
      <c r="J3351" t="s">
        <v>10210</v>
      </c>
      <c r="K3351" t="s">
        <v>10217</v>
      </c>
      <c r="M3351" t="s">
        <v>10310</v>
      </c>
      <c r="N3351" t="s">
        <v>10683</v>
      </c>
      <c r="P3351" t="s">
        <v>10754</v>
      </c>
      <c r="Q3351" t="s">
        <v>10775</v>
      </c>
      <c r="R3351" t="s">
        <v>10824</v>
      </c>
      <c r="T3351">
        <v>0</v>
      </c>
      <c r="U3351">
        <v>0</v>
      </c>
      <c r="V3351">
        <v>40</v>
      </c>
      <c r="W3351">
        <v>1</v>
      </c>
      <c r="X3351">
        <v>1</v>
      </c>
      <c r="Z3351">
        <v>0</v>
      </c>
      <c r="AA3351">
        <v>40.891656</v>
      </c>
      <c r="AB3351">
        <v>-73.84671899999999</v>
      </c>
      <c r="AD3351" t="s">
        <v>10839</v>
      </c>
      <c r="AF3351" t="s">
        <v>10843</v>
      </c>
      <c r="AG3351" t="s">
        <v>10859</v>
      </c>
      <c r="AH3351" t="s">
        <v>10865</v>
      </c>
      <c r="AI3351">
        <v>230</v>
      </c>
      <c r="AJ3351" t="s">
        <v>10210</v>
      </c>
      <c r="AL3351">
        <v>6.5</v>
      </c>
      <c r="AM3351" t="s">
        <v>10893</v>
      </c>
      <c r="AN3351" t="s">
        <v>10956</v>
      </c>
      <c r="AO3351" t="s">
        <v>11010</v>
      </c>
      <c r="AP3351" t="s">
        <v>11085</v>
      </c>
      <c r="AQ3351" t="s">
        <v>11114</v>
      </c>
      <c r="AR3351" t="s">
        <v>11257</v>
      </c>
      <c r="AS3351" t="s">
        <v>9926</v>
      </c>
      <c r="AT3351" t="s">
        <v>11641</v>
      </c>
      <c r="AV3351" t="s">
        <v>11656</v>
      </c>
      <c r="AW3351" t="s">
        <v>11645</v>
      </c>
      <c r="AX3351" t="s">
        <v>10838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</row>
    <row r="3352" spans="1:59">
      <c r="A3352" s="1">
        <f>HYPERLINK("https://lsnyc.legalserver.org/matter/dynamic-profile/view/1907421","19-1907421")</f>
        <v>0</v>
      </c>
      <c r="B3352" t="s">
        <v>2811</v>
      </c>
      <c r="C3352" t="s">
        <v>7075</v>
      </c>
      <c r="D3352" t="s">
        <v>9926</v>
      </c>
      <c r="E3352" t="s">
        <v>10075</v>
      </c>
      <c r="F3352">
        <v>10451</v>
      </c>
      <c r="G3352" t="s">
        <v>10090</v>
      </c>
      <c r="H3352" t="s">
        <v>10120</v>
      </c>
      <c r="I3352" t="s">
        <v>10168</v>
      </c>
      <c r="J3352" t="s">
        <v>10210</v>
      </c>
      <c r="K3352" t="s">
        <v>10217</v>
      </c>
      <c r="M3352" t="s">
        <v>10310</v>
      </c>
      <c r="N3352" t="s">
        <v>10683</v>
      </c>
      <c r="P3352" t="s">
        <v>10754</v>
      </c>
      <c r="Q3352" t="s">
        <v>10777</v>
      </c>
      <c r="R3352" t="s">
        <v>10824</v>
      </c>
      <c r="T3352">
        <v>0</v>
      </c>
      <c r="U3352">
        <v>0</v>
      </c>
      <c r="V3352">
        <v>27</v>
      </c>
      <c r="W3352">
        <v>1</v>
      </c>
      <c r="X3352">
        <v>1</v>
      </c>
      <c r="Z3352">
        <v>0</v>
      </c>
      <c r="AA3352">
        <v>40.816862</v>
      </c>
      <c r="AB3352">
        <v>-73.919678</v>
      </c>
      <c r="AD3352" t="s">
        <v>10839</v>
      </c>
      <c r="AF3352" t="s">
        <v>10842</v>
      </c>
      <c r="AG3352" t="s">
        <v>10859</v>
      </c>
      <c r="AH3352" t="s">
        <v>10865</v>
      </c>
      <c r="AI3352">
        <v>230</v>
      </c>
      <c r="AJ3352" t="s">
        <v>10210</v>
      </c>
      <c r="AL3352">
        <v>3</v>
      </c>
      <c r="AM3352" t="s">
        <v>10884</v>
      </c>
      <c r="AN3352" t="s">
        <v>10924</v>
      </c>
      <c r="AO3352" t="s">
        <v>11013</v>
      </c>
      <c r="AP3352" t="s">
        <v>11062</v>
      </c>
      <c r="AQ3352" t="s">
        <v>11128</v>
      </c>
      <c r="AR3352" t="s">
        <v>11267</v>
      </c>
      <c r="AS3352" t="s">
        <v>9926</v>
      </c>
      <c r="AT3352" t="s">
        <v>11641</v>
      </c>
      <c r="AV3352" t="s">
        <v>11656</v>
      </c>
      <c r="AW3352" t="s">
        <v>11645</v>
      </c>
      <c r="AX3352" t="s">
        <v>10838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</row>
    <row r="3353" spans="1:59">
      <c r="A3353" s="1">
        <f>HYPERLINK("https://lsnyc.legalserver.org/matter/dynamic-profile/view/1907422","19-1907422")</f>
        <v>0</v>
      </c>
      <c r="B3353" t="s">
        <v>2812</v>
      </c>
      <c r="C3353" t="s">
        <v>7599</v>
      </c>
      <c r="D3353" t="s">
        <v>9929</v>
      </c>
      <c r="E3353" t="s">
        <v>10075</v>
      </c>
      <c r="F3353">
        <v>10314</v>
      </c>
      <c r="G3353" t="s">
        <v>10088</v>
      </c>
      <c r="H3353" t="s">
        <v>10120</v>
      </c>
      <c r="I3353" t="s">
        <v>10168</v>
      </c>
      <c r="J3353" t="s">
        <v>10208</v>
      </c>
      <c r="K3353" t="s">
        <v>10217</v>
      </c>
      <c r="M3353" t="s">
        <v>10254</v>
      </c>
      <c r="N3353" t="s">
        <v>10655</v>
      </c>
      <c r="P3353" t="s">
        <v>10749</v>
      </c>
      <c r="Q3353" t="s">
        <v>10765</v>
      </c>
      <c r="R3353" t="s">
        <v>10824</v>
      </c>
      <c r="T3353">
        <v>40200</v>
      </c>
      <c r="U3353">
        <v>3350</v>
      </c>
      <c r="V3353">
        <v>42</v>
      </c>
      <c r="W3353">
        <v>2</v>
      </c>
      <c r="X3353">
        <v>1</v>
      </c>
      <c r="Z3353">
        <v>188.47</v>
      </c>
      <c r="AA3353">
        <v>40.620895</v>
      </c>
      <c r="AB3353">
        <v>-74.150944</v>
      </c>
      <c r="AD3353" t="s">
        <v>10839</v>
      </c>
      <c r="AG3353" t="s">
        <v>10858</v>
      </c>
      <c r="AH3353" t="s">
        <v>10862</v>
      </c>
      <c r="AI3353">
        <v>285</v>
      </c>
      <c r="AJ3353" t="s">
        <v>10208</v>
      </c>
      <c r="AL3353">
        <v>6.8</v>
      </c>
      <c r="AM3353" t="s">
        <v>10883</v>
      </c>
      <c r="AN3353" t="s">
        <v>10913</v>
      </c>
      <c r="AO3353" t="s">
        <v>11006</v>
      </c>
      <c r="AP3353" t="s">
        <v>11051</v>
      </c>
      <c r="AR3353" t="s">
        <v>11335</v>
      </c>
      <c r="AS3353" t="s">
        <v>11593</v>
      </c>
      <c r="BA3353" t="s">
        <v>11738</v>
      </c>
      <c r="BB3353">
        <v>0</v>
      </c>
      <c r="BC3353">
        <v>0</v>
      </c>
      <c r="BD3353">
        <v>0</v>
      </c>
      <c r="BE3353">
        <v>0</v>
      </c>
      <c r="BF3353">
        <v>5</v>
      </c>
      <c r="BG3353">
        <v>0</v>
      </c>
    </row>
    <row r="3354" spans="1:59">
      <c r="A3354" s="1">
        <f>HYPERLINK("https://lsnyc.legalserver.org/matter/dynamic-profile/view/1907423","19-1907423")</f>
        <v>0</v>
      </c>
      <c r="B3354" t="s">
        <v>2813</v>
      </c>
      <c r="C3354" t="s">
        <v>7600</v>
      </c>
      <c r="D3354" t="s">
        <v>9925</v>
      </c>
      <c r="E3354" t="s">
        <v>10075</v>
      </c>
      <c r="F3354">
        <v>10002</v>
      </c>
      <c r="G3354" t="s">
        <v>10089</v>
      </c>
      <c r="H3354" t="s">
        <v>10129</v>
      </c>
      <c r="J3354" t="s">
        <v>10209</v>
      </c>
      <c r="K3354" t="s">
        <v>10217</v>
      </c>
      <c r="M3354" t="s">
        <v>10288</v>
      </c>
      <c r="N3354" t="s">
        <v>10688</v>
      </c>
      <c r="P3354" t="s">
        <v>10756</v>
      </c>
      <c r="Q3354" t="s">
        <v>10792</v>
      </c>
      <c r="R3354" t="s">
        <v>10821</v>
      </c>
      <c r="T3354">
        <v>1980</v>
      </c>
      <c r="U3354">
        <v>165</v>
      </c>
      <c r="V3354">
        <v>63</v>
      </c>
      <c r="W3354">
        <v>1</v>
      </c>
      <c r="X3354">
        <v>0</v>
      </c>
      <c r="Z3354">
        <v>15.85</v>
      </c>
      <c r="AA3354">
        <v>40.716087</v>
      </c>
      <c r="AB3354">
        <v>-73.984464</v>
      </c>
      <c r="AD3354" t="s">
        <v>10839</v>
      </c>
      <c r="AG3354" t="s">
        <v>10858</v>
      </c>
      <c r="AH3354" t="s">
        <v>10874</v>
      </c>
      <c r="AI3354">
        <v>236</v>
      </c>
      <c r="AJ3354" t="s">
        <v>10209</v>
      </c>
      <c r="AL3354">
        <v>1.1</v>
      </c>
      <c r="AM3354" t="s">
        <v>10891</v>
      </c>
      <c r="AN3354" t="s">
        <v>10963</v>
      </c>
      <c r="AO3354" t="s">
        <v>11004</v>
      </c>
      <c r="AP3354" t="s">
        <v>11093</v>
      </c>
      <c r="AR3354" t="s">
        <v>10180</v>
      </c>
      <c r="AS3354" t="s">
        <v>9925</v>
      </c>
      <c r="AT3354" t="s">
        <v>11641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</row>
    <row r="3355" spans="1:59">
      <c r="A3355" s="1">
        <f>HYPERLINK("https://lsnyc.legalserver.org/matter/dynamic-profile/view/1907425","19-1907425")</f>
        <v>0</v>
      </c>
      <c r="B3355" t="s">
        <v>2814</v>
      </c>
      <c r="C3355" t="s">
        <v>7601</v>
      </c>
      <c r="D3355" t="s">
        <v>9926</v>
      </c>
      <c r="E3355" t="s">
        <v>10075</v>
      </c>
      <c r="F3355">
        <v>10473</v>
      </c>
      <c r="G3355" t="s">
        <v>10090</v>
      </c>
      <c r="H3355" t="s">
        <v>10120</v>
      </c>
      <c r="I3355" t="s">
        <v>10168</v>
      </c>
      <c r="J3355" t="s">
        <v>10210</v>
      </c>
      <c r="K3355" t="s">
        <v>10218</v>
      </c>
      <c r="L3355" t="s">
        <v>10098</v>
      </c>
      <c r="M3355" t="s">
        <v>10524</v>
      </c>
      <c r="N3355" t="s">
        <v>10690</v>
      </c>
      <c r="P3355" t="s">
        <v>10749</v>
      </c>
      <c r="Q3355" t="s">
        <v>10765</v>
      </c>
      <c r="R3355" t="s">
        <v>10824</v>
      </c>
      <c r="T3355">
        <v>22440</v>
      </c>
      <c r="U3355">
        <v>1870</v>
      </c>
      <c r="V3355">
        <v>85</v>
      </c>
      <c r="W3355">
        <v>2</v>
      </c>
      <c r="X3355">
        <v>0</v>
      </c>
      <c r="Y3355" t="s">
        <v>10829</v>
      </c>
      <c r="Z3355">
        <v>132.7</v>
      </c>
      <c r="AA3355">
        <v>40.821004</v>
      </c>
      <c r="AB3355">
        <v>-73.87985500000001</v>
      </c>
      <c r="AC3355" t="s">
        <v>10837</v>
      </c>
      <c r="AD3355" t="s">
        <v>10840</v>
      </c>
      <c r="AG3355" t="s">
        <v>10858</v>
      </c>
      <c r="AH3355" t="s">
        <v>10861</v>
      </c>
      <c r="AI3355">
        <v>234</v>
      </c>
      <c r="AJ3355" t="s">
        <v>10214</v>
      </c>
      <c r="AK3355" t="s">
        <v>10838</v>
      </c>
      <c r="AL3355">
        <v>1.4</v>
      </c>
      <c r="AM3355" t="s">
        <v>10884</v>
      </c>
      <c r="AN3355" t="s">
        <v>10968</v>
      </c>
      <c r="AO3355" t="s">
        <v>11001</v>
      </c>
      <c r="AP3355" t="s">
        <v>11062</v>
      </c>
      <c r="AR3355" t="s">
        <v>11427</v>
      </c>
      <c r="AS3355" t="s">
        <v>9926</v>
      </c>
      <c r="AT3355" t="s">
        <v>11642</v>
      </c>
      <c r="AX3355" t="s">
        <v>10838</v>
      </c>
      <c r="AY3355" t="s">
        <v>10829</v>
      </c>
      <c r="AZ3355" t="s">
        <v>11681</v>
      </c>
      <c r="BA3355" t="s">
        <v>11741</v>
      </c>
      <c r="BB3355">
        <v>0</v>
      </c>
      <c r="BC3355">
        <v>0</v>
      </c>
      <c r="BD3355">
        <v>0</v>
      </c>
      <c r="BE3355">
        <v>0</v>
      </c>
      <c r="BF3355">
        <v>1</v>
      </c>
      <c r="BG3355">
        <v>0</v>
      </c>
    </row>
    <row r="3356" spans="1:59">
      <c r="A3356" s="1">
        <f>HYPERLINK("https://lsnyc.legalserver.org/matter/dynamic-profile/view/1907427","19-1907427")</f>
        <v>0</v>
      </c>
      <c r="C3356" t="s">
        <v>7602</v>
      </c>
      <c r="D3356" t="s">
        <v>9938</v>
      </c>
      <c r="E3356" t="s">
        <v>10075</v>
      </c>
      <c r="F3356">
        <v>11433</v>
      </c>
      <c r="G3356" t="s">
        <v>10092</v>
      </c>
      <c r="H3356" t="s">
        <v>10142</v>
      </c>
      <c r="I3356" t="s">
        <v>10169</v>
      </c>
      <c r="J3356" t="s">
        <v>10212</v>
      </c>
      <c r="K3356" t="s">
        <v>10217</v>
      </c>
      <c r="M3356" t="s">
        <v>10600</v>
      </c>
      <c r="N3356" t="s">
        <v>10673</v>
      </c>
      <c r="P3356" t="s">
        <v>10753</v>
      </c>
      <c r="Q3356" t="s">
        <v>10763</v>
      </c>
      <c r="R3356" t="s">
        <v>10822</v>
      </c>
      <c r="T3356">
        <v>0</v>
      </c>
      <c r="U3356">
        <v>0</v>
      </c>
      <c r="V3356">
        <v>0</v>
      </c>
      <c r="W3356">
        <v>2</v>
      </c>
      <c r="X3356">
        <v>2</v>
      </c>
      <c r="Z3356">
        <v>0</v>
      </c>
      <c r="AA3356">
        <v>40.706162</v>
      </c>
      <c r="AB3356">
        <v>-73.788084</v>
      </c>
      <c r="AD3356" t="s">
        <v>10839</v>
      </c>
      <c r="AF3356" t="s">
        <v>10842</v>
      </c>
      <c r="AG3356" t="s">
        <v>10859</v>
      </c>
      <c r="AH3356" t="s">
        <v>10864</v>
      </c>
      <c r="AI3356">
        <v>237</v>
      </c>
      <c r="AJ3356" t="s">
        <v>10212</v>
      </c>
      <c r="AL3356">
        <v>5.15</v>
      </c>
      <c r="AM3356" t="s">
        <v>10892</v>
      </c>
      <c r="AN3356" t="s">
        <v>10955</v>
      </c>
      <c r="AO3356" t="s">
        <v>11020</v>
      </c>
      <c r="AP3356" t="s">
        <v>11075</v>
      </c>
      <c r="AQ3356" t="s">
        <v>11119</v>
      </c>
      <c r="AR3356" t="s">
        <v>11267</v>
      </c>
      <c r="AS3356" t="s">
        <v>11594</v>
      </c>
      <c r="AX3356" t="s">
        <v>11678</v>
      </c>
      <c r="BA3356" t="s">
        <v>11741</v>
      </c>
      <c r="BB3356">
        <v>0</v>
      </c>
      <c r="BC3356">
        <v>0</v>
      </c>
      <c r="BD3356">
        <v>0</v>
      </c>
      <c r="BE3356">
        <v>0</v>
      </c>
      <c r="BF3356">
        <v>1</v>
      </c>
      <c r="BG3356">
        <v>0</v>
      </c>
    </row>
    <row r="3357" spans="1:59">
      <c r="A3357" s="1">
        <f>HYPERLINK("https://lsnyc.legalserver.org/matter/dynamic-profile/view/1907428","19-1907428")</f>
        <v>0</v>
      </c>
      <c r="B3357" t="s">
        <v>2815</v>
      </c>
      <c r="C3357" t="s">
        <v>7232</v>
      </c>
      <c r="D3357" t="s">
        <v>9925</v>
      </c>
      <c r="E3357" t="s">
        <v>10075</v>
      </c>
      <c r="F3357">
        <v>10002</v>
      </c>
      <c r="G3357" t="s">
        <v>10089</v>
      </c>
      <c r="H3357" t="s">
        <v>10120</v>
      </c>
      <c r="I3357" t="s">
        <v>10169</v>
      </c>
      <c r="J3357" t="s">
        <v>10209</v>
      </c>
      <c r="K3357" t="s">
        <v>10217</v>
      </c>
      <c r="M3357" t="s">
        <v>10488</v>
      </c>
      <c r="N3357" t="s">
        <v>10649</v>
      </c>
      <c r="P3357" t="s">
        <v>10753</v>
      </c>
      <c r="Q3357" t="s">
        <v>10763</v>
      </c>
      <c r="R3357" t="s">
        <v>10821</v>
      </c>
      <c r="T3357">
        <v>25824</v>
      </c>
      <c r="U3357">
        <v>2152</v>
      </c>
      <c r="V3357">
        <v>52</v>
      </c>
      <c r="W3357">
        <v>3</v>
      </c>
      <c r="X3357">
        <v>0</v>
      </c>
      <c r="Z3357">
        <v>121.07</v>
      </c>
      <c r="AA3357">
        <v>40.717382</v>
      </c>
      <c r="AB3357">
        <v>-73.983149</v>
      </c>
      <c r="AD3357" t="s">
        <v>10840</v>
      </c>
      <c r="AF3357" t="s">
        <v>10843</v>
      </c>
      <c r="AG3357" t="s">
        <v>10859</v>
      </c>
      <c r="AH3357" t="s">
        <v>10864</v>
      </c>
      <c r="AI3357">
        <v>236</v>
      </c>
      <c r="AJ3357" t="s">
        <v>10209</v>
      </c>
      <c r="AL3357">
        <v>2.25</v>
      </c>
      <c r="AM3357" t="s">
        <v>10891</v>
      </c>
      <c r="AN3357" t="s">
        <v>10963</v>
      </c>
      <c r="AO3357" t="s">
        <v>11004</v>
      </c>
      <c r="AP3357" t="s">
        <v>11093</v>
      </c>
      <c r="AQ3357" t="s">
        <v>11131</v>
      </c>
      <c r="AR3357" t="s">
        <v>11506</v>
      </c>
      <c r="AS3357" t="s">
        <v>9925</v>
      </c>
      <c r="BA3357" t="s">
        <v>11739</v>
      </c>
      <c r="BB3357">
        <v>0</v>
      </c>
      <c r="BC3357">
        <v>0</v>
      </c>
      <c r="BD3357">
        <v>0</v>
      </c>
      <c r="BE3357">
        <v>0</v>
      </c>
      <c r="BF3357">
        <v>4</v>
      </c>
      <c r="BG3357">
        <v>0</v>
      </c>
    </row>
    <row r="3358" spans="1:59">
      <c r="A3358" s="1">
        <f>HYPERLINK("https://lsnyc.legalserver.org/matter/dynamic-profile/view/1907429","19-1907429")</f>
        <v>0</v>
      </c>
      <c r="B3358" t="s">
        <v>2816</v>
      </c>
      <c r="C3358" t="s">
        <v>7603</v>
      </c>
      <c r="D3358" t="s">
        <v>9926</v>
      </c>
      <c r="E3358" t="s">
        <v>10075</v>
      </c>
      <c r="F3358">
        <v>10462</v>
      </c>
      <c r="G3358" t="s">
        <v>10090</v>
      </c>
      <c r="H3358" t="s">
        <v>10120</v>
      </c>
      <c r="I3358" t="s">
        <v>10168</v>
      </c>
      <c r="J3358" t="s">
        <v>10210</v>
      </c>
      <c r="K3358" t="s">
        <v>10217</v>
      </c>
      <c r="M3358" t="s">
        <v>10310</v>
      </c>
      <c r="N3358" t="s">
        <v>10683</v>
      </c>
      <c r="P3358" t="s">
        <v>10754</v>
      </c>
      <c r="Q3358" t="s">
        <v>10777</v>
      </c>
      <c r="R3358" t="s">
        <v>10821</v>
      </c>
      <c r="T3358">
        <v>11436</v>
      </c>
      <c r="U3358">
        <v>953</v>
      </c>
      <c r="V3358">
        <v>34</v>
      </c>
      <c r="W3358">
        <v>1</v>
      </c>
      <c r="X3358">
        <v>1</v>
      </c>
      <c r="Z3358">
        <v>67.63</v>
      </c>
      <c r="AA3358">
        <v>40.841249</v>
      </c>
      <c r="AB3358">
        <v>-73.854806</v>
      </c>
      <c r="AD3358" t="s">
        <v>10839</v>
      </c>
      <c r="AG3358" t="s">
        <v>10858</v>
      </c>
      <c r="AH3358" t="s">
        <v>10865</v>
      </c>
      <c r="AI3358">
        <v>230</v>
      </c>
      <c r="AJ3358" t="s">
        <v>10210</v>
      </c>
      <c r="AL3358">
        <v>7</v>
      </c>
      <c r="AM3358" t="s">
        <v>10885</v>
      </c>
      <c r="AN3358" t="s">
        <v>10908</v>
      </c>
      <c r="AO3358" t="s">
        <v>11001</v>
      </c>
      <c r="AP3358" t="s">
        <v>11046</v>
      </c>
      <c r="AQ3358" t="s">
        <v>11128</v>
      </c>
      <c r="AR3358" t="s">
        <v>10180</v>
      </c>
      <c r="AS3358" t="s">
        <v>9926</v>
      </c>
      <c r="AT3358" t="s">
        <v>11641</v>
      </c>
      <c r="AV3358" t="s">
        <v>11656</v>
      </c>
      <c r="AW3358" t="s">
        <v>11645</v>
      </c>
      <c r="AX3358" t="s">
        <v>10838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</row>
    <row r="3359" spans="1:59">
      <c r="A3359" s="1">
        <f>HYPERLINK("https://lsnyc.legalserver.org/matter/dynamic-profile/view/1907430","19-1907430")</f>
        <v>0</v>
      </c>
      <c r="B3359" t="s">
        <v>1549</v>
      </c>
      <c r="C3359" t="s">
        <v>5249</v>
      </c>
      <c r="D3359" t="s">
        <v>9928</v>
      </c>
      <c r="E3359" t="s">
        <v>10075</v>
      </c>
      <c r="F3359">
        <v>11226</v>
      </c>
      <c r="G3359" t="s">
        <v>10093</v>
      </c>
      <c r="H3359" t="s">
        <v>10120</v>
      </c>
      <c r="I3359" t="s">
        <v>10169</v>
      </c>
      <c r="J3359" t="s">
        <v>10213</v>
      </c>
      <c r="K3359" t="s">
        <v>10218</v>
      </c>
      <c r="L3359" t="s">
        <v>10120</v>
      </c>
      <c r="M3359" t="s">
        <v>10321</v>
      </c>
      <c r="N3359" t="s">
        <v>10665</v>
      </c>
      <c r="P3359" t="s">
        <v>10750</v>
      </c>
      <c r="Q3359" t="s">
        <v>10781</v>
      </c>
      <c r="R3359" t="s">
        <v>10821</v>
      </c>
      <c r="T3359">
        <v>14400</v>
      </c>
      <c r="U3359">
        <v>1200</v>
      </c>
      <c r="V3359">
        <v>48</v>
      </c>
      <c r="W3359">
        <v>2</v>
      </c>
      <c r="X3359">
        <v>0</v>
      </c>
      <c r="Y3359" t="s">
        <v>10829</v>
      </c>
      <c r="Z3359">
        <v>85.16</v>
      </c>
      <c r="AA3359">
        <v>40.646763</v>
      </c>
      <c r="AB3359">
        <v>-73.962706</v>
      </c>
      <c r="AD3359" t="s">
        <v>10839</v>
      </c>
      <c r="AG3359" t="s">
        <v>10858</v>
      </c>
      <c r="AH3359" t="s">
        <v>10876</v>
      </c>
      <c r="AI3359">
        <v>239</v>
      </c>
      <c r="AJ3359" t="s">
        <v>10213</v>
      </c>
      <c r="AK3359" t="s">
        <v>10838</v>
      </c>
      <c r="AL3359">
        <v>1.1</v>
      </c>
      <c r="AM3359" t="s">
        <v>10888</v>
      </c>
      <c r="AN3359" t="s">
        <v>10932</v>
      </c>
      <c r="AO3359" t="s">
        <v>11008</v>
      </c>
      <c r="AP3359" t="s">
        <v>11050</v>
      </c>
      <c r="AR3359" t="s">
        <v>11276</v>
      </c>
      <c r="AS3359" t="s">
        <v>11595</v>
      </c>
      <c r="AY3359" t="s">
        <v>10829</v>
      </c>
      <c r="AZ3359" t="s">
        <v>11679</v>
      </c>
      <c r="BA3359" t="s">
        <v>11741</v>
      </c>
      <c r="BB3359">
        <v>0</v>
      </c>
      <c r="BC3359">
        <v>0</v>
      </c>
      <c r="BD3359">
        <v>0</v>
      </c>
      <c r="BE3359">
        <v>0</v>
      </c>
      <c r="BF3359">
        <v>1</v>
      </c>
      <c r="BG3359">
        <v>0</v>
      </c>
    </row>
    <row r="3360" spans="1:59">
      <c r="A3360" s="1">
        <f>HYPERLINK("https://lsnyc.legalserver.org/matter/dynamic-profile/view/1907431","19-1907431")</f>
        <v>0</v>
      </c>
      <c r="B3360" t="s">
        <v>2817</v>
      </c>
      <c r="C3360" t="s">
        <v>7604</v>
      </c>
      <c r="D3360" t="s">
        <v>9928</v>
      </c>
      <c r="E3360" t="s">
        <v>10075</v>
      </c>
      <c r="F3360">
        <v>11221</v>
      </c>
      <c r="G3360" t="s">
        <v>10091</v>
      </c>
      <c r="H3360" t="s">
        <v>10120</v>
      </c>
      <c r="I3360" t="s">
        <v>10168</v>
      </c>
      <c r="J3360" t="s">
        <v>10214</v>
      </c>
      <c r="K3360" t="s">
        <v>10217</v>
      </c>
      <c r="M3360" t="s">
        <v>10537</v>
      </c>
      <c r="N3360" t="s">
        <v>10673</v>
      </c>
      <c r="P3360" t="s">
        <v>10753</v>
      </c>
      <c r="Q3360" t="s">
        <v>10763</v>
      </c>
      <c r="R3360" t="s">
        <v>10821</v>
      </c>
      <c r="T3360">
        <v>18000</v>
      </c>
      <c r="U3360">
        <v>1500</v>
      </c>
      <c r="V3360">
        <v>28</v>
      </c>
      <c r="W3360">
        <v>2</v>
      </c>
      <c r="X3360">
        <v>0</v>
      </c>
      <c r="Z3360">
        <v>106.45</v>
      </c>
      <c r="AA3360">
        <v>40.692419</v>
      </c>
      <c r="AB3360">
        <v>-73.92372</v>
      </c>
      <c r="AD3360" t="s">
        <v>10840</v>
      </c>
      <c r="AF3360" t="s">
        <v>10842</v>
      </c>
      <c r="AG3360" t="s">
        <v>10859</v>
      </c>
      <c r="AH3360" t="s">
        <v>10868</v>
      </c>
      <c r="AI3360">
        <v>239</v>
      </c>
      <c r="AJ3360" t="s">
        <v>10213</v>
      </c>
      <c r="AL3360">
        <v>4.25</v>
      </c>
      <c r="AM3360" t="s">
        <v>10886</v>
      </c>
      <c r="AN3360" t="s">
        <v>10920</v>
      </c>
      <c r="AO3360" t="s">
        <v>11011</v>
      </c>
      <c r="AP3360" t="s">
        <v>11071</v>
      </c>
      <c r="AR3360" t="s">
        <v>11257</v>
      </c>
      <c r="AS3360" t="s">
        <v>11595</v>
      </c>
      <c r="AT3360" t="s">
        <v>11642</v>
      </c>
      <c r="AX3360" t="s">
        <v>10837</v>
      </c>
      <c r="BA3360" t="s">
        <v>11742</v>
      </c>
      <c r="BB3360">
        <v>0</v>
      </c>
      <c r="BC3360">
        <v>0</v>
      </c>
      <c r="BD3360">
        <v>0</v>
      </c>
      <c r="BE3360">
        <v>0</v>
      </c>
      <c r="BF3360">
        <v>7</v>
      </c>
      <c r="BG3360">
        <v>0</v>
      </c>
    </row>
    <row r="3361" spans="1:59">
      <c r="A3361" s="1">
        <f>HYPERLINK("https://lsnyc.legalserver.org/matter/dynamic-profile/view/1907433","19-1907433")</f>
        <v>0</v>
      </c>
      <c r="B3361" t="s">
        <v>2818</v>
      </c>
      <c r="C3361" t="s">
        <v>7605</v>
      </c>
      <c r="D3361" t="s">
        <v>9926</v>
      </c>
      <c r="E3361" t="s">
        <v>10075</v>
      </c>
      <c r="F3361">
        <v>10458</v>
      </c>
      <c r="G3361" t="s">
        <v>10090</v>
      </c>
      <c r="H3361" t="s">
        <v>10120</v>
      </c>
      <c r="I3361" t="s">
        <v>10169</v>
      </c>
      <c r="J3361" t="s">
        <v>10210</v>
      </c>
      <c r="K3361" t="s">
        <v>10218</v>
      </c>
      <c r="L3361" t="s">
        <v>10156</v>
      </c>
      <c r="M3361" t="s">
        <v>10297</v>
      </c>
      <c r="N3361" t="s">
        <v>10666</v>
      </c>
      <c r="P3361" t="s">
        <v>10749</v>
      </c>
      <c r="Q3361" t="s">
        <v>10765</v>
      </c>
      <c r="R3361" t="s">
        <v>10823</v>
      </c>
      <c r="T3361">
        <v>31200</v>
      </c>
      <c r="U3361">
        <v>2600</v>
      </c>
      <c r="V3361">
        <v>43</v>
      </c>
      <c r="W3361">
        <v>2</v>
      </c>
      <c r="X3361">
        <v>3</v>
      </c>
      <c r="Y3361" t="s">
        <v>10831</v>
      </c>
      <c r="Z3361">
        <v>103.41</v>
      </c>
      <c r="AA3361">
        <v>40.873706</v>
      </c>
      <c r="AB3361">
        <v>-73.886351</v>
      </c>
      <c r="AD3361" t="s">
        <v>10839</v>
      </c>
      <c r="AF3361" t="s">
        <v>10843</v>
      </c>
      <c r="AG3361" t="s">
        <v>10859</v>
      </c>
      <c r="AH3361" t="s">
        <v>10862</v>
      </c>
      <c r="AI3361">
        <v>230</v>
      </c>
      <c r="AJ3361" t="s">
        <v>10210</v>
      </c>
      <c r="AK3361" t="s">
        <v>10882</v>
      </c>
      <c r="AL3361">
        <v>3.4</v>
      </c>
      <c r="AM3361" t="s">
        <v>10887</v>
      </c>
      <c r="AN3361" t="s">
        <v>10907</v>
      </c>
      <c r="AO3361" t="s">
        <v>11010</v>
      </c>
      <c r="AP3361" t="s">
        <v>11057</v>
      </c>
      <c r="AR3361" t="s">
        <v>11262</v>
      </c>
      <c r="AS3361" t="s">
        <v>9926</v>
      </c>
      <c r="AT3361" t="s">
        <v>11641</v>
      </c>
      <c r="AX3361" t="s">
        <v>10838</v>
      </c>
      <c r="AY3361" t="s">
        <v>10831</v>
      </c>
      <c r="AZ3361" t="s">
        <v>11687</v>
      </c>
      <c r="BA3361" t="s">
        <v>11738</v>
      </c>
      <c r="BB3361">
        <v>0</v>
      </c>
      <c r="BC3361">
        <v>0</v>
      </c>
      <c r="BD3361">
        <v>0</v>
      </c>
      <c r="BE3361">
        <v>0</v>
      </c>
      <c r="BF3361">
        <v>5</v>
      </c>
      <c r="BG3361">
        <v>0</v>
      </c>
    </row>
    <row r="3362" spans="1:59">
      <c r="A3362" s="1">
        <f>HYPERLINK("https://lsnyc.legalserver.org/matter/dynamic-profile/view/1907434","19-1907434")</f>
        <v>0</v>
      </c>
      <c r="B3362" t="s">
        <v>2819</v>
      </c>
      <c r="C3362" t="s">
        <v>7606</v>
      </c>
      <c r="D3362" t="s">
        <v>9926</v>
      </c>
      <c r="E3362" t="s">
        <v>10075</v>
      </c>
      <c r="F3362">
        <v>10474</v>
      </c>
      <c r="G3362" t="s">
        <v>10090</v>
      </c>
      <c r="H3362" t="s">
        <v>10120</v>
      </c>
      <c r="I3362" t="s">
        <v>10168</v>
      </c>
      <c r="J3362" t="s">
        <v>10210</v>
      </c>
      <c r="K3362" t="s">
        <v>10218</v>
      </c>
      <c r="L3362" t="s">
        <v>10152</v>
      </c>
      <c r="M3362" t="s">
        <v>10262</v>
      </c>
      <c r="N3362" t="s">
        <v>10666</v>
      </c>
      <c r="P3362" t="s">
        <v>10749</v>
      </c>
      <c r="Q3362" t="s">
        <v>10765</v>
      </c>
      <c r="R3362" t="s">
        <v>10823</v>
      </c>
      <c r="T3362">
        <v>39130</v>
      </c>
      <c r="U3362">
        <v>3260.83</v>
      </c>
      <c r="V3362">
        <v>27</v>
      </c>
      <c r="W3362">
        <v>1</v>
      </c>
      <c r="X3362">
        <v>2</v>
      </c>
      <c r="Y3362" t="s">
        <v>10829</v>
      </c>
      <c r="Z3362">
        <v>183.45</v>
      </c>
      <c r="AA3362">
        <v>40.818799</v>
      </c>
      <c r="AB3362">
        <v>-73.886346</v>
      </c>
      <c r="AD3362" t="s">
        <v>10839</v>
      </c>
      <c r="AG3362" t="s">
        <v>10858</v>
      </c>
      <c r="AH3362" t="s">
        <v>10861</v>
      </c>
      <c r="AI3362">
        <v>230</v>
      </c>
      <c r="AJ3362" t="s">
        <v>10210</v>
      </c>
      <c r="AK3362" t="s">
        <v>10838</v>
      </c>
      <c r="AL3362">
        <v>1</v>
      </c>
      <c r="AM3362" t="s">
        <v>10884</v>
      </c>
      <c r="AN3362" t="s">
        <v>10968</v>
      </c>
      <c r="AO3362" t="s">
        <v>11001</v>
      </c>
      <c r="AP3362" t="s">
        <v>11062</v>
      </c>
      <c r="AR3362" t="s">
        <v>11257</v>
      </c>
      <c r="AS3362" t="s">
        <v>9926</v>
      </c>
      <c r="AT3362" t="s">
        <v>11641</v>
      </c>
      <c r="AX3362" t="s">
        <v>10838</v>
      </c>
      <c r="AY3362" t="s">
        <v>10829</v>
      </c>
      <c r="AZ3362" t="s">
        <v>11681</v>
      </c>
      <c r="BA3362" t="s">
        <v>11741</v>
      </c>
      <c r="BB3362">
        <v>0</v>
      </c>
      <c r="BC3362">
        <v>0</v>
      </c>
      <c r="BD3362">
        <v>0</v>
      </c>
      <c r="BE3362">
        <v>0</v>
      </c>
      <c r="BF3362">
        <v>1</v>
      </c>
      <c r="BG3362">
        <v>0</v>
      </c>
    </row>
    <row r="3363" spans="1:59">
      <c r="A3363" s="1">
        <f>HYPERLINK("https://lsnyc.legalserver.org/matter/dynamic-profile/view/1907435","19-1907435")</f>
        <v>0</v>
      </c>
      <c r="B3363" t="s">
        <v>2820</v>
      </c>
      <c r="C3363" t="s">
        <v>7607</v>
      </c>
      <c r="D3363" t="s">
        <v>9929</v>
      </c>
      <c r="E3363" t="s">
        <v>10075</v>
      </c>
      <c r="F3363">
        <v>10314</v>
      </c>
      <c r="G3363" t="s">
        <v>10088</v>
      </c>
      <c r="H3363" t="s">
        <v>10120</v>
      </c>
      <c r="I3363" t="s">
        <v>10168</v>
      </c>
      <c r="J3363" t="s">
        <v>10208</v>
      </c>
      <c r="K3363" t="s">
        <v>10217</v>
      </c>
      <c r="M3363" t="s">
        <v>10243</v>
      </c>
      <c r="N3363" t="s">
        <v>10655</v>
      </c>
      <c r="P3363" t="s">
        <v>10749</v>
      </c>
      <c r="Q3363" t="s">
        <v>10765</v>
      </c>
      <c r="R3363" t="s">
        <v>10822</v>
      </c>
      <c r="T3363">
        <v>15600</v>
      </c>
      <c r="U3363">
        <v>1300</v>
      </c>
      <c r="V3363">
        <v>39</v>
      </c>
      <c r="W3363">
        <v>2</v>
      </c>
      <c r="X3363">
        <v>0</v>
      </c>
      <c r="Z3363">
        <v>92.25</v>
      </c>
      <c r="AA3363">
        <v>40.586434</v>
      </c>
      <c r="AB3363">
        <v>-74.161361</v>
      </c>
      <c r="AD3363" t="s">
        <v>10839</v>
      </c>
      <c r="AG3363" t="s">
        <v>10858</v>
      </c>
      <c r="AH3363" t="s">
        <v>10862</v>
      </c>
      <c r="AI3363">
        <v>285</v>
      </c>
      <c r="AJ3363" t="s">
        <v>10208</v>
      </c>
      <c r="AL3363">
        <v>8.75</v>
      </c>
      <c r="AM3363" t="s">
        <v>10883</v>
      </c>
      <c r="AN3363" t="s">
        <v>10928</v>
      </c>
      <c r="AO3363" t="s">
        <v>10999</v>
      </c>
      <c r="AP3363" t="s">
        <v>11044</v>
      </c>
      <c r="AR3363" t="s">
        <v>11262</v>
      </c>
      <c r="AS3363" t="s">
        <v>11593</v>
      </c>
      <c r="BA3363" t="s">
        <v>11738</v>
      </c>
      <c r="BB3363">
        <v>0</v>
      </c>
      <c r="BC3363">
        <v>0</v>
      </c>
      <c r="BD3363">
        <v>0</v>
      </c>
      <c r="BE3363">
        <v>0</v>
      </c>
      <c r="BF3363">
        <v>5</v>
      </c>
      <c r="BG3363">
        <v>0</v>
      </c>
    </row>
    <row r="3364" spans="1:59">
      <c r="A3364" s="1">
        <f>HYPERLINK("https://lsnyc.legalserver.org/matter/dynamic-profile/view/1907437","19-1907437")</f>
        <v>0</v>
      </c>
      <c r="B3364" t="s">
        <v>2821</v>
      </c>
      <c r="C3364" t="s">
        <v>7608</v>
      </c>
      <c r="D3364" t="s">
        <v>9928</v>
      </c>
      <c r="E3364" t="s">
        <v>10075</v>
      </c>
      <c r="F3364">
        <v>11222</v>
      </c>
      <c r="G3364" t="s">
        <v>10093</v>
      </c>
      <c r="H3364" t="s">
        <v>10120</v>
      </c>
      <c r="I3364" t="s">
        <v>10168</v>
      </c>
      <c r="J3364" t="s">
        <v>10213</v>
      </c>
      <c r="K3364" t="s">
        <v>10218</v>
      </c>
      <c r="L3364" t="s">
        <v>10155</v>
      </c>
      <c r="M3364" t="s">
        <v>10405</v>
      </c>
      <c r="N3364" t="s">
        <v>10650</v>
      </c>
      <c r="P3364" t="s">
        <v>10749</v>
      </c>
      <c r="Q3364" t="s">
        <v>10765</v>
      </c>
      <c r="R3364" t="s">
        <v>10822</v>
      </c>
      <c r="T3364">
        <v>0</v>
      </c>
      <c r="U3364">
        <v>0</v>
      </c>
      <c r="V3364">
        <v>33</v>
      </c>
      <c r="W3364">
        <v>1</v>
      </c>
      <c r="X3364">
        <v>0</v>
      </c>
      <c r="Y3364" t="s">
        <v>10829</v>
      </c>
      <c r="Z3364">
        <v>0</v>
      </c>
      <c r="AA3364">
        <v>40.722585</v>
      </c>
      <c r="AB3364">
        <v>-73.949916</v>
      </c>
      <c r="AD3364" t="s">
        <v>10839</v>
      </c>
      <c r="AG3364" t="s">
        <v>10858</v>
      </c>
      <c r="AH3364" t="s">
        <v>10861</v>
      </c>
      <c r="AI3364">
        <v>234</v>
      </c>
      <c r="AJ3364" t="s">
        <v>10214</v>
      </c>
      <c r="AK3364" t="s">
        <v>10838</v>
      </c>
      <c r="AL3364">
        <v>1.8</v>
      </c>
      <c r="AM3364" t="s">
        <v>10891</v>
      </c>
      <c r="AN3364" t="s">
        <v>10939</v>
      </c>
      <c r="AO3364" t="s">
        <v>11004</v>
      </c>
      <c r="AP3364" t="s">
        <v>11054</v>
      </c>
      <c r="AR3364" t="s">
        <v>11267</v>
      </c>
      <c r="AS3364" t="s">
        <v>11595</v>
      </c>
      <c r="AT3364" t="s">
        <v>11641</v>
      </c>
      <c r="AX3364" t="s">
        <v>11678</v>
      </c>
      <c r="AY3364" t="s">
        <v>10829</v>
      </c>
      <c r="AZ3364" t="s">
        <v>11681</v>
      </c>
      <c r="BA3364" t="s">
        <v>11741</v>
      </c>
      <c r="BB3364">
        <v>0</v>
      </c>
      <c r="BC3364">
        <v>0</v>
      </c>
      <c r="BD3364">
        <v>0</v>
      </c>
      <c r="BE3364">
        <v>0</v>
      </c>
      <c r="BF3364">
        <v>1</v>
      </c>
      <c r="BG3364">
        <v>0</v>
      </c>
    </row>
    <row r="3365" spans="1:59">
      <c r="A3365" s="1">
        <f>HYPERLINK("https://lsnyc.legalserver.org/matter/dynamic-profile/view/1907438","19-1907438")</f>
        <v>0</v>
      </c>
      <c r="B3365" t="s">
        <v>2822</v>
      </c>
      <c r="C3365" t="s">
        <v>7609</v>
      </c>
      <c r="D3365" t="s">
        <v>9926</v>
      </c>
      <c r="E3365" t="s">
        <v>10075</v>
      </c>
      <c r="F3365">
        <v>10451</v>
      </c>
      <c r="G3365" t="s">
        <v>10090</v>
      </c>
      <c r="H3365" t="s">
        <v>10120</v>
      </c>
      <c r="I3365" t="s">
        <v>10168</v>
      </c>
      <c r="J3365" t="s">
        <v>10210</v>
      </c>
      <c r="K3365" t="s">
        <v>10217</v>
      </c>
      <c r="M3365" t="s">
        <v>10407</v>
      </c>
      <c r="N3365" t="s">
        <v>10671</v>
      </c>
      <c r="P3365" t="s">
        <v>10755</v>
      </c>
      <c r="Q3365" t="s">
        <v>10772</v>
      </c>
      <c r="R3365" t="s">
        <v>10822</v>
      </c>
      <c r="T3365">
        <v>2760</v>
      </c>
      <c r="U3365">
        <v>230</v>
      </c>
      <c r="V3365">
        <v>8</v>
      </c>
      <c r="W3365">
        <v>1</v>
      </c>
      <c r="X3365">
        <v>1</v>
      </c>
      <c r="Z3365">
        <v>16.32</v>
      </c>
      <c r="AA3365">
        <v>40.821127</v>
      </c>
      <c r="AB3365">
        <v>-73.918757</v>
      </c>
      <c r="AD3365" t="s">
        <v>10839</v>
      </c>
      <c r="AG3365" t="s">
        <v>10858</v>
      </c>
      <c r="AH3365" t="s">
        <v>10861</v>
      </c>
      <c r="AI3365">
        <v>234</v>
      </c>
      <c r="AJ3365" t="s">
        <v>10214</v>
      </c>
      <c r="AL3365">
        <v>1.2</v>
      </c>
      <c r="AM3365" t="s">
        <v>10884</v>
      </c>
      <c r="AN3365" t="s">
        <v>10918</v>
      </c>
      <c r="AO3365" t="s">
        <v>11001</v>
      </c>
      <c r="AP3365" t="s">
        <v>11062</v>
      </c>
      <c r="AR3365" t="s">
        <v>11255</v>
      </c>
      <c r="AS3365" t="s">
        <v>9926</v>
      </c>
      <c r="AT3365" t="s">
        <v>11641</v>
      </c>
      <c r="AX3365" t="s">
        <v>10838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</row>
    <row r="3366" spans="1:59">
      <c r="A3366" s="1">
        <f>HYPERLINK("https://lsnyc.legalserver.org/matter/dynamic-profile/view/1907440","19-1907440")</f>
        <v>0</v>
      </c>
      <c r="B3366" t="s">
        <v>2823</v>
      </c>
      <c r="C3366" t="s">
        <v>7610</v>
      </c>
      <c r="D3366" t="s">
        <v>9926</v>
      </c>
      <c r="E3366" t="s">
        <v>10075</v>
      </c>
      <c r="F3366">
        <v>10473</v>
      </c>
      <c r="G3366" t="s">
        <v>10090</v>
      </c>
      <c r="H3366" t="s">
        <v>10120</v>
      </c>
      <c r="I3366" t="s">
        <v>10168</v>
      </c>
      <c r="J3366" t="s">
        <v>10210</v>
      </c>
      <c r="K3366" t="s">
        <v>10217</v>
      </c>
      <c r="M3366" t="s">
        <v>10495</v>
      </c>
      <c r="N3366" t="s">
        <v>10658</v>
      </c>
      <c r="P3366" t="s">
        <v>10749</v>
      </c>
      <c r="Q3366" t="s">
        <v>10806</v>
      </c>
      <c r="R3366" t="s">
        <v>10821</v>
      </c>
      <c r="T3366">
        <v>35635.56</v>
      </c>
      <c r="U3366">
        <v>2969.63</v>
      </c>
      <c r="V3366">
        <v>70</v>
      </c>
      <c r="W3366">
        <v>2</v>
      </c>
      <c r="X3366">
        <v>1</v>
      </c>
      <c r="Z3366">
        <v>167.07</v>
      </c>
      <c r="AA3366">
        <v>40.807585</v>
      </c>
      <c r="AB3366">
        <v>-73.85401299999999</v>
      </c>
      <c r="AC3366" t="s">
        <v>10837</v>
      </c>
      <c r="AD3366" t="s">
        <v>10840</v>
      </c>
      <c r="AG3366" t="s">
        <v>10858</v>
      </c>
      <c r="AH3366" t="s">
        <v>10860</v>
      </c>
      <c r="AI3366">
        <v>230</v>
      </c>
      <c r="AJ3366" t="s">
        <v>10210</v>
      </c>
      <c r="AL3366">
        <v>3.5</v>
      </c>
      <c r="AM3366" t="s">
        <v>10884</v>
      </c>
      <c r="AN3366" t="s">
        <v>10968</v>
      </c>
      <c r="AO3366" t="s">
        <v>11002</v>
      </c>
      <c r="AP3366" t="s">
        <v>11046</v>
      </c>
      <c r="AR3366" t="s">
        <v>11345</v>
      </c>
      <c r="AS3366" t="s">
        <v>9926</v>
      </c>
      <c r="AT3366" t="s">
        <v>11642</v>
      </c>
      <c r="AX3366" t="s">
        <v>10838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</row>
    <row r="3367" spans="1:59">
      <c r="A3367" s="1">
        <f>HYPERLINK("https://lsnyc.legalserver.org/matter/dynamic-profile/view/1907441","19-1907441")</f>
        <v>0</v>
      </c>
      <c r="B3367" t="s">
        <v>2035</v>
      </c>
      <c r="C3367" t="s">
        <v>7611</v>
      </c>
      <c r="D3367" t="s">
        <v>9926</v>
      </c>
      <c r="E3367" t="s">
        <v>10075</v>
      </c>
      <c r="F3367">
        <v>10456</v>
      </c>
      <c r="G3367" t="s">
        <v>10090</v>
      </c>
      <c r="H3367" t="s">
        <v>10120</v>
      </c>
      <c r="I3367" t="s">
        <v>10169</v>
      </c>
      <c r="J3367" t="s">
        <v>10210</v>
      </c>
      <c r="K3367" t="s">
        <v>10217</v>
      </c>
      <c r="M3367" t="s">
        <v>10412</v>
      </c>
      <c r="N3367" t="s">
        <v>10673</v>
      </c>
      <c r="P3367" t="s">
        <v>10753</v>
      </c>
      <c r="Q3367" t="s">
        <v>10763</v>
      </c>
      <c r="R3367" t="s">
        <v>10824</v>
      </c>
      <c r="T3367">
        <v>0</v>
      </c>
      <c r="U3367">
        <v>0</v>
      </c>
      <c r="V3367">
        <v>25</v>
      </c>
      <c r="W3367">
        <v>1</v>
      </c>
      <c r="X3367">
        <v>0</v>
      </c>
      <c r="Z3367">
        <v>0</v>
      </c>
      <c r="AA3367">
        <v>40.83296</v>
      </c>
      <c r="AB3367">
        <v>-73.908519</v>
      </c>
      <c r="AD3367" t="s">
        <v>10840</v>
      </c>
      <c r="AF3367" t="s">
        <v>10842</v>
      </c>
      <c r="AG3367" t="s">
        <v>10859</v>
      </c>
      <c r="AH3367" t="s">
        <v>10864</v>
      </c>
      <c r="AI3367">
        <v>230</v>
      </c>
      <c r="AJ3367" t="s">
        <v>10210</v>
      </c>
      <c r="AL3367">
        <v>6.1</v>
      </c>
      <c r="AM3367" t="s">
        <v>10884</v>
      </c>
      <c r="AN3367" t="s">
        <v>10918</v>
      </c>
      <c r="AO3367" t="s">
        <v>11001</v>
      </c>
      <c r="AP3367" t="s">
        <v>11055</v>
      </c>
      <c r="AQ3367" t="s">
        <v>11109</v>
      </c>
      <c r="AR3367" t="s">
        <v>11267</v>
      </c>
      <c r="AS3367" t="s">
        <v>9926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</row>
    <row r="3368" spans="1:59">
      <c r="A3368" s="1">
        <f>HYPERLINK("https://lsnyc.legalserver.org/matter/dynamic-profile/view/1907442","19-1907442")</f>
        <v>0</v>
      </c>
      <c r="B3368" t="s">
        <v>2232</v>
      </c>
      <c r="C3368" t="s">
        <v>7612</v>
      </c>
      <c r="D3368" t="s">
        <v>9929</v>
      </c>
      <c r="E3368" t="s">
        <v>10075</v>
      </c>
      <c r="F3368">
        <v>10303</v>
      </c>
      <c r="G3368" t="s">
        <v>10088</v>
      </c>
      <c r="H3368" t="s">
        <v>10120</v>
      </c>
      <c r="I3368" t="s">
        <v>10170</v>
      </c>
      <c r="J3368" t="s">
        <v>10208</v>
      </c>
      <c r="K3368" t="s">
        <v>10217</v>
      </c>
      <c r="M3368" t="s">
        <v>10257</v>
      </c>
      <c r="N3368" t="s">
        <v>10655</v>
      </c>
      <c r="P3368" t="s">
        <v>10749</v>
      </c>
      <c r="Q3368" t="s">
        <v>10765</v>
      </c>
      <c r="R3368" t="s">
        <v>10824</v>
      </c>
      <c r="T3368">
        <v>31200</v>
      </c>
      <c r="U3368">
        <v>2600</v>
      </c>
      <c r="V3368">
        <v>32</v>
      </c>
      <c r="W3368">
        <v>1</v>
      </c>
      <c r="X3368">
        <v>2</v>
      </c>
      <c r="Z3368">
        <v>146.27</v>
      </c>
      <c r="AA3368">
        <v>40.635732</v>
      </c>
      <c r="AB3368">
        <v>-74.163292</v>
      </c>
      <c r="AD3368" t="s">
        <v>10839</v>
      </c>
      <c r="AF3368" t="s">
        <v>10843</v>
      </c>
      <c r="AG3368" t="s">
        <v>10859</v>
      </c>
      <c r="AH3368" t="s">
        <v>10862</v>
      </c>
      <c r="AI3368">
        <v>285</v>
      </c>
      <c r="AJ3368" t="s">
        <v>10208</v>
      </c>
      <c r="AL3368">
        <v>15.05</v>
      </c>
      <c r="AM3368" t="s">
        <v>10883</v>
      </c>
      <c r="AN3368" t="s">
        <v>10928</v>
      </c>
      <c r="AO3368" t="s">
        <v>11006</v>
      </c>
      <c r="AP3368" t="s">
        <v>11051</v>
      </c>
      <c r="AR3368" t="s">
        <v>11257</v>
      </c>
      <c r="AS3368" t="s">
        <v>11593</v>
      </c>
      <c r="BA3368" t="s">
        <v>11738</v>
      </c>
      <c r="BB3368">
        <v>0</v>
      </c>
      <c r="BC3368">
        <v>0</v>
      </c>
      <c r="BD3368">
        <v>0</v>
      </c>
      <c r="BE3368">
        <v>0</v>
      </c>
      <c r="BF3368">
        <v>5</v>
      </c>
      <c r="BG3368">
        <v>0</v>
      </c>
    </row>
    <row r="3369" spans="1:59">
      <c r="A3369" s="1">
        <f>HYPERLINK("https://lsnyc.legalserver.org/matter/dynamic-profile/view/1907443","19-1907443")</f>
        <v>0</v>
      </c>
      <c r="B3369" t="s">
        <v>2824</v>
      </c>
      <c r="C3369" t="s">
        <v>7613</v>
      </c>
      <c r="D3369" t="s">
        <v>9935</v>
      </c>
      <c r="E3369" t="s">
        <v>10075</v>
      </c>
      <c r="F3369">
        <v>11369</v>
      </c>
      <c r="G3369" t="s">
        <v>10092</v>
      </c>
      <c r="H3369" t="s">
        <v>10119</v>
      </c>
      <c r="I3369" t="s">
        <v>10169</v>
      </c>
      <c r="J3369" t="s">
        <v>10212</v>
      </c>
      <c r="K3369" t="s">
        <v>10217</v>
      </c>
      <c r="M3369" t="s">
        <v>10320</v>
      </c>
      <c r="N3369" t="s">
        <v>10673</v>
      </c>
      <c r="P3369" t="s">
        <v>10753</v>
      </c>
      <c r="Q3369" t="s">
        <v>10763</v>
      </c>
      <c r="R3369" t="s">
        <v>10821</v>
      </c>
      <c r="T3369">
        <v>1250</v>
      </c>
      <c r="U3369">
        <v>104.17</v>
      </c>
      <c r="V3369">
        <v>39</v>
      </c>
      <c r="W3369">
        <v>1</v>
      </c>
      <c r="X3369">
        <v>3</v>
      </c>
      <c r="Z3369">
        <v>4.85</v>
      </c>
      <c r="AA3369">
        <v>40.760953</v>
      </c>
      <c r="AB3369">
        <v>-73.86653200000001</v>
      </c>
      <c r="AD3369" t="s">
        <v>10839</v>
      </c>
      <c r="AF3369" t="s">
        <v>10855</v>
      </c>
      <c r="AG3369" t="s">
        <v>10859</v>
      </c>
      <c r="AH3369" t="s">
        <v>10864</v>
      </c>
      <c r="AI3369">
        <v>237</v>
      </c>
      <c r="AJ3369" t="s">
        <v>10212</v>
      </c>
      <c r="AL3369">
        <v>15.5</v>
      </c>
      <c r="AM3369" t="s">
        <v>10885</v>
      </c>
      <c r="AN3369" t="s">
        <v>10916</v>
      </c>
      <c r="AO3369" t="s">
        <v>11014</v>
      </c>
      <c r="AP3369" t="s">
        <v>11068</v>
      </c>
      <c r="AQ3369" t="s">
        <v>11119</v>
      </c>
      <c r="AR3369" t="s">
        <v>10180</v>
      </c>
      <c r="AS3369" t="s">
        <v>11594</v>
      </c>
      <c r="BA3369" t="s">
        <v>11743</v>
      </c>
      <c r="BB3369">
        <v>0</v>
      </c>
      <c r="BC3369">
        <v>0</v>
      </c>
      <c r="BD3369">
        <v>0</v>
      </c>
      <c r="BE3369">
        <v>0</v>
      </c>
      <c r="BF3369">
        <v>40</v>
      </c>
      <c r="BG3369">
        <v>0</v>
      </c>
    </row>
    <row r="3370" spans="1:59">
      <c r="A3370" s="1">
        <f>HYPERLINK("https://lsnyc.legalserver.org/matter/dynamic-profile/view/1907444","19-1907444")</f>
        <v>0</v>
      </c>
      <c r="B3370" t="s">
        <v>2825</v>
      </c>
      <c r="C3370" t="s">
        <v>7614</v>
      </c>
      <c r="D3370" t="s">
        <v>9928</v>
      </c>
      <c r="E3370" t="s">
        <v>10075</v>
      </c>
      <c r="F3370">
        <v>11210</v>
      </c>
      <c r="G3370" t="s">
        <v>10093</v>
      </c>
      <c r="H3370" t="s">
        <v>10120</v>
      </c>
      <c r="I3370" t="s">
        <v>10168</v>
      </c>
      <c r="J3370" t="s">
        <v>10213</v>
      </c>
      <c r="K3370" t="s">
        <v>10217</v>
      </c>
      <c r="M3370" t="s">
        <v>10265</v>
      </c>
      <c r="N3370" t="s">
        <v>10671</v>
      </c>
      <c r="P3370" t="s">
        <v>10751</v>
      </c>
      <c r="Q3370" t="s">
        <v>10761</v>
      </c>
      <c r="R3370" t="s">
        <v>10824</v>
      </c>
      <c r="T3370">
        <v>14404</v>
      </c>
      <c r="U3370">
        <v>1200.33</v>
      </c>
      <c r="V3370">
        <v>51</v>
      </c>
      <c r="W3370">
        <v>2</v>
      </c>
      <c r="X3370">
        <v>0</v>
      </c>
      <c r="Z3370">
        <v>85.18000000000001</v>
      </c>
      <c r="AA3370">
        <v>40.626334</v>
      </c>
      <c r="AB3370">
        <v>-73.94659</v>
      </c>
      <c r="AD3370" t="s">
        <v>10839</v>
      </c>
      <c r="AF3370" t="s">
        <v>10843</v>
      </c>
      <c r="AG3370" t="s">
        <v>10859</v>
      </c>
      <c r="AH3370" t="s">
        <v>10862</v>
      </c>
      <c r="AI3370">
        <v>239</v>
      </c>
      <c r="AJ3370" t="s">
        <v>10213</v>
      </c>
      <c r="AL3370">
        <v>17.55</v>
      </c>
      <c r="AM3370" t="s">
        <v>10888</v>
      </c>
      <c r="AN3370" t="s">
        <v>10932</v>
      </c>
      <c r="AO3370" t="s">
        <v>11008</v>
      </c>
      <c r="AP3370" t="s">
        <v>11065</v>
      </c>
      <c r="AR3370" t="s">
        <v>11262</v>
      </c>
      <c r="AS3370" t="s">
        <v>11595</v>
      </c>
      <c r="BA3370" t="s">
        <v>11737</v>
      </c>
      <c r="BB3370">
        <v>0</v>
      </c>
      <c r="BC3370">
        <v>0</v>
      </c>
      <c r="BD3370">
        <v>0</v>
      </c>
      <c r="BE3370">
        <v>0</v>
      </c>
      <c r="BF3370">
        <v>3</v>
      </c>
      <c r="BG3370">
        <v>0</v>
      </c>
    </row>
    <row r="3371" spans="1:59">
      <c r="A3371" s="1">
        <f>HYPERLINK("https://lsnyc.legalserver.org/matter/dynamic-profile/view/1907446","19-1907446")</f>
        <v>0</v>
      </c>
      <c r="B3371" t="s">
        <v>2826</v>
      </c>
      <c r="C3371" t="s">
        <v>7615</v>
      </c>
      <c r="D3371" t="s">
        <v>9955</v>
      </c>
      <c r="E3371" t="s">
        <v>10075</v>
      </c>
      <c r="F3371">
        <v>11692</v>
      </c>
      <c r="G3371" t="s">
        <v>10092</v>
      </c>
      <c r="H3371" t="s">
        <v>10120</v>
      </c>
      <c r="I3371" t="s">
        <v>10168</v>
      </c>
      <c r="J3371" t="s">
        <v>10212</v>
      </c>
      <c r="K3371" t="s">
        <v>10218</v>
      </c>
      <c r="L3371" t="s">
        <v>10152</v>
      </c>
      <c r="M3371" t="s">
        <v>10340</v>
      </c>
      <c r="N3371" t="s">
        <v>10694</v>
      </c>
      <c r="P3371" t="s">
        <v>10751</v>
      </c>
      <c r="Q3371" t="s">
        <v>10780</v>
      </c>
      <c r="R3371" t="s">
        <v>10821</v>
      </c>
      <c r="T3371">
        <v>27174</v>
      </c>
      <c r="U3371">
        <v>2264.5</v>
      </c>
      <c r="V3371">
        <v>22</v>
      </c>
      <c r="W3371">
        <v>3</v>
      </c>
      <c r="X3371">
        <v>1</v>
      </c>
      <c r="Y3371" t="s">
        <v>10829</v>
      </c>
      <c r="Z3371">
        <v>105.53</v>
      </c>
      <c r="AA3371">
        <v>40.595584</v>
      </c>
      <c r="AB3371">
        <v>-73.78488299999999</v>
      </c>
      <c r="AD3371" t="s">
        <v>10840</v>
      </c>
      <c r="AG3371" t="s">
        <v>10858</v>
      </c>
      <c r="AH3371" t="s">
        <v>10861</v>
      </c>
      <c r="AI3371">
        <v>234</v>
      </c>
      <c r="AJ3371" t="s">
        <v>10214</v>
      </c>
      <c r="AK3371" t="s">
        <v>10838</v>
      </c>
      <c r="AL3371">
        <v>4.15</v>
      </c>
      <c r="AM3371" t="s">
        <v>10892</v>
      </c>
      <c r="AN3371" t="s">
        <v>10930</v>
      </c>
      <c r="AO3371" t="s">
        <v>11017</v>
      </c>
      <c r="AP3371" t="s">
        <v>11082</v>
      </c>
      <c r="AR3371" t="s">
        <v>11369</v>
      </c>
      <c r="AS3371" t="s">
        <v>11594</v>
      </c>
      <c r="AT3371" t="s">
        <v>11642</v>
      </c>
      <c r="AX3371" t="s">
        <v>10838</v>
      </c>
      <c r="AY3371" t="s">
        <v>10829</v>
      </c>
      <c r="AZ3371" t="s">
        <v>11682</v>
      </c>
      <c r="BA3371" t="s">
        <v>11741</v>
      </c>
      <c r="BB3371">
        <v>0</v>
      </c>
      <c r="BC3371">
        <v>0</v>
      </c>
      <c r="BD3371">
        <v>0</v>
      </c>
      <c r="BE3371">
        <v>0</v>
      </c>
      <c r="BF3371">
        <v>1</v>
      </c>
      <c r="BG3371">
        <v>0</v>
      </c>
    </row>
    <row r="3372" spans="1:59">
      <c r="A3372" s="1">
        <f>HYPERLINK("https://lsnyc.legalserver.org/matter/dynamic-profile/view/1907447","19-1907447")</f>
        <v>0</v>
      </c>
      <c r="B3372" t="s">
        <v>2827</v>
      </c>
      <c r="C3372" t="s">
        <v>7616</v>
      </c>
      <c r="D3372" t="s">
        <v>9926</v>
      </c>
      <c r="E3372" t="s">
        <v>10075</v>
      </c>
      <c r="F3372">
        <v>10466</v>
      </c>
      <c r="G3372" t="s">
        <v>10090</v>
      </c>
      <c r="H3372" t="s">
        <v>10120</v>
      </c>
      <c r="I3372" t="s">
        <v>10168</v>
      </c>
      <c r="J3372" t="s">
        <v>10210</v>
      </c>
      <c r="K3372" t="s">
        <v>10218</v>
      </c>
      <c r="L3372" t="s">
        <v>10160</v>
      </c>
      <c r="M3372" t="s">
        <v>10262</v>
      </c>
      <c r="N3372" t="s">
        <v>10666</v>
      </c>
      <c r="P3372" t="s">
        <v>10749</v>
      </c>
      <c r="Q3372" t="s">
        <v>10765</v>
      </c>
      <c r="R3372" t="s">
        <v>10824</v>
      </c>
      <c r="T3372">
        <v>11280</v>
      </c>
      <c r="U3372">
        <v>940</v>
      </c>
      <c r="V3372">
        <v>53</v>
      </c>
      <c r="W3372">
        <v>1</v>
      </c>
      <c r="X3372">
        <v>0</v>
      </c>
      <c r="Y3372" t="s">
        <v>10829</v>
      </c>
      <c r="Z3372">
        <v>90.31</v>
      </c>
      <c r="AA3372">
        <v>40.883081</v>
      </c>
      <c r="AB3372">
        <v>-73.84812100000001</v>
      </c>
      <c r="AD3372" t="s">
        <v>10839</v>
      </c>
      <c r="AG3372" t="s">
        <v>10858</v>
      </c>
      <c r="AH3372" t="s">
        <v>10861</v>
      </c>
      <c r="AI3372">
        <v>230</v>
      </c>
      <c r="AJ3372" t="s">
        <v>10210</v>
      </c>
      <c r="AK3372" t="s">
        <v>10838</v>
      </c>
      <c r="AL3372">
        <v>0.5</v>
      </c>
      <c r="AM3372" t="s">
        <v>10893</v>
      </c>
      <c r="AN3372" t="s">
        <v>10956</v>
      </c>
      <c r="AO3372" t="s">
        <v>11010</v>
      </c>
      <c r="AP3372" t="s">
        <v>11085</v>
      </c>
      <c r="AR3372" t="s">
        <v>11254</v>
      </c>
      <c r="AS3372" t="s">
        <v>9926</v>
      </c>
      <c r="AT3372" t="s">
        <v>11641</v>
      </c>
      <c r="AX3372" t="s">
        <v>10838</v>
      </c>
      <c r="AY3372" t="s">
        <v>10829</v>
      </c>
      <c r="AZ3372" t="s">
        <v>11681</v>
      </c>
      <c r="BA3372" t="s">
        <v>11741</v>
      </c>
      <c r="BB3372">
        <v>0</v>
      </c>
      <c r="BC3372">
        <v>0</v>
      </c>
      <c r="BD3372">
        <v>0</v>
      </c>
      <c r="BE3372">
        <v>0</v>
      </c>
      <c r="BF3372">
        <v>1</v>
      </c>
      <c r="BG3372">
        <v>0</v>
      </c>
    </row>
    <row r="3373" spans="1:59">
      <c r="A3373" s="1">
        <f>HYPERLINK("https://lsnyc.legalserver.org/matter/dynamic-profile/view/1907448","19-1907448")</f>
        <v>0</v>
      </c>
      <c r="B3373" t="s">
        <v>2828</v>
      </c>
      <c r="C3373" t="s">
        <v>7604</v>
      </c>
      <c r="D3373" t="s">
        <v>9928</v>
      </c>
      <c r="E3373" t="s">
        <v>10075</v>
      </c>
      <c r="F3373">
        <v>11221</v>
      </c>
      <c r="G3373" t="s">
        <v>10091</v>
      </c>
      <c r="H3373" t="s">
        <v>10120</v>
      </c>
      <c r="I3373" t="s">
        <v>10168</v>
      </c>
      <c r="J3373" t="s">
        <v>10214</v>
      </c>
      <c r="K3373" t="s">
        <v>10217</v>
      </c>
      <c r="M3373" t="s">
        <v>10537</v>
      </c>
      <c r="N3373" t="s">
        <v>10673</v>
      </c>
      <c r="P3373" t="s">
        <v>10753</v>
      </c>
      <c r="Q3373" t="s">
        <v>10763</v>
      </c>
      <c r="R3373" t="s">
        <v>10823</v>
      </c>
      <c r="T3373">
        <v>18000</v>
      </c>
      <c r="U3373">
        <v>1500</v>
      </c>
      <c r="V3373">
        <v>24</v>
      </c>
      <c r="W3373">
        <v>2</v>
      </c>
      <c r="X3373">
        <v>0</v>
      </c>
      <c r="Z3373">
        <v>106.45</v>
      </c>
      <c r="AA3373">
        <v>40.692419</v>
      </c>
      <c r="AB3373">
        <v>-73.92372</v>
      </c>
      <c r="AD3373" t="s">
        <v>10840</v>
      </c>
      <c r="AF3373" t="s">
        <v>10842</v>
      </c>
      <c r="AG3373" t="s">
        <v>10859</v>
      </c>
      <c r="AH3373" t="s">
        <v>10868</v>
      </c>
      <c r="AI3373">
        <v>239</v>
      </c>
      <c r="AJ3373" t="s">
        <v>10213</v>
      </c>
      <c r="AL3373">
        <v>5.7</v>
      </c>
      <c r="AM3373" t="s">
        <v>10886</v>
      </c>
      <c r="AN3373" t="s">
        <v>10920</v>
      </c>
      <c r="AO3373" t="s">
        <v>11011</v>
      </c>
      <c r="AP3373" t="s">
        <v>11071</v>
      </c>
      <c r="AR3373" t="s">
        <v>11257</v>
      </c>
      <c r="AS3373" t="s">
        <v>11595</v>
      </c>
      <c r="AT3373" t="s">
        <v>11642</v>
      </c>
      <c r="AX3373" t="s">
        <v>10837</v>
      </c>
      <c r="BA3373" t="s">
        <v>11742</v>
      </c>
      <c r="BB3373">
        <v>0</v>
      </c>
      <c r="BC3373">
        <v>0</v>
      </c>
      <c r="BD3373">
        <v>0</v>
      </c>
      <c r="BE3373">
        <v>0</v>
      </c>
      <c r="BF3373">
        <v>7</v>
      </c>
      <c r="BG3373">
        <v>0</v>
      </c>
    </row>
    <row r="3374" spans="1:59">
      <c r="A3374" s="1">
        <f>HYPERLINK("https://lsnyc.legalserver.org/matter/dynamic-profile/view/1907449","19-1907449")</f>
        <v>0</v>
      </c>
      <c r="B3374" t="s">
        <v>2829</v>
      </c>
      <c r="C3374" t="s">
        <v>7617</v>
      </c>
      <c r="D3374" t="s">
        <v>9929</v>
      </c>
      <c r="E3374" t="s">
        <v>10075</v>
      </c>
      <c r="F3374">
        <v>10306</v>
      </c>
      <c r="G3374" t="s">
        <v>10088</v>
      </c>
      <c r="H3374" t="s">
        <v>10120</v>
      </c>
      <c r="I3374" t="s">
        <v>10168</v>
      </c>
      <c r="J3374" t="s">
        <v>10208</v>
      </c>
      <c r="K3374" t="s">
        <v>10217</v>
      </c>
      <c r="M3374" t="s">
        <v>10377</v>
      </c>
      <c r="N3374" t="s">
        <v>10671</v>
      </c>
      <c r="P3374" t="s">
        <v>10754</v>
      </c>
      <c r="Q3374" t="s">
        <v>10777</v>
      </c>
      <c r="R3374" t="s">
        <v>10820</v>
      </c>
      <c r="T3374">
        <v>0</v>
      </c>
      <c r="U3374">
        <v>0</v>
      </c>
      <c r="V3374">
        <v>24</v>
      </c>
      <c r="W3374">
        <v>1</v>
      </c>
      <c r="X3374">
        <v>1</v>
      </c>
      <c r="Z3374">
        <v>0</v>
      </c>
      <c r="AA3374">
        <v>40.5727</v>
      </c>
      <c r="AB3374">
        <v>-74.119798</v>
      </c>
      <c r="AD3374" t="s">
        <v>10839</v>
      </c>
      <c r="AG3374" t="s">
        <v>10858</v>
      </c>
      <c r="AH3374" t="s">
        <v>10861</v>
      </c>
      <c r="AI3374">
        <v>234</v>
      </c>
      <c r="AJ3374" t="s">
        <v>10214</v>
      </c>
      <c r="AL3374">
        <v>0.6</v>
      </c>
      <c r="AM3374" t="s">
        <v>10883</v>
      </c>
      <c r="AN3374" t="s">
        <v>10906</v>
      </c>
      <c r="AO3374" t="s">
        <v>10999</v>
      </c>
      <c r="AP3374" t="s">
        <v>11063</v>
      </c>
      <c r="AR3374" t="s">
        <v>11267</v>
      </c>
      <c r="AS3374" t="s">
        <v>11593</v>
      </c>
      <c r="AT3374" t="s">
        <v>11641</v>
      </c>
      <c r="AX3374" t="s">
        <v>10838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</row>
    <row r="3375" spans="1:59">
      <c r="A3375" s="1">
        <f>HYPERLINK("https://lsnyc.legalserver.org/matter/dynamic-profile/view/1907450","19-1907450")</f>
        <v>0</v>
      </c>
      <c r="B3375" t="s">
        <v>2830</v>
      </c>
      <c r="C3375" t="s">
        <v>7618</v>
      </c>
      <c r="D3375" t="s">
        <v>9925</v>
      </c>
      <c r="E3375" t="s">
        <v>10075</v>
      </c>
      <c r="F3375">
        <v>10034</v>
      </c>
      <c r="G3375" t="s">
        <v>10089</v>
      </c>
      <c r="H3375" t="s">
        <v>10120</v>
      </c>
      <c r="I3375" t="s">
        <v>10168</v>
      </c>
      <c r="J3375" t="s">
        <v>10209</v>
      </c>
      <c r="K3375" t="s">
        <v>10217</v>
      </c>
      <c r="M3375" t="s">
        <v>10440</v>
      </c>
      <c r="N3375" t="s">
        <v>10650</v>
      </c>
      <c r="P3375" t="s">
        <v>10749</v>
      </c>
      <c r="Q3375" t="s">
        <v>10765</v>
      </c>
      <c r="R3375" t="s">
        <v>10821</v>
      </c>
      <c r="T3375">
        <v>30000</v>
      </c>
      <c r="U3375">
        <v>2500</v>
      </c>
      <c r="V3375">
        <v>48</v>
      </c>
      <c r="W3375">
        <v>1</v>
      </c>
      <c r="X3375">
        <v>0</v>
      </c>
      <c r="Z3375">
        <v>240.19</v>
      </c>
      <c r="AA3375">
        <v>40.86839</v>
      </c>
      <c r="AB3375">
        <v>-73.924819</v>
      </c>
      <c r="AD3375" t="s">
        <v>10840</v>
      </c>
      <c r="AG3375" t="s">
        <v>10858</v>
      </c>
      <c r="AH3375" t="s">
        <v>10862</v>
      </c>
      <c r="AI3375">
        <v>236</v>
      </c>
      <c r="AJ3375" t="s">
        <v>10209</v>
      </c>
      <c r="AL3375">
        <v>6.65</v>
      </c>
      <c r="AM3375" t="s">
        <v>10887</v>
      </c>
      <c r="AN3375" t="s">
        <v>10937</v>
      </c>
      <c r="AO3375" t="s">
        <v>11019</v>
      </c>
      <c r="AP3375" t="s">
        <v>11074</v>
      </c>
      <c r="AR3375" t="s">
        <v>11257</v>
      </c>
      <c r="AS3375" t="s">
        <v>9925</v>
      </c>
      <c r="AT3375" t="s">
        <v>11642</v>
      </c>
      <c r="AX3375" t="s">
        <v>10838</v>
      </c>
      <c r="BA3375" t="s">
        <v>11742</v>
      </c>
      <c r="BB3375">
        <v>0</v>
      </c>
      <c r="BC3375">
        <v>0</v>
      </c>
      <c r="BD3375">
        <v>0</v>
      </c>
      <c r="BE3375">
        <v>0</v>
      </c>
      <c r="BF3375">
        <v>7</v>
      </c>
      <c r="BG3375">
        <v>0</v>
      </c>
    </row>
    <row r="3376" spans="1:59">
      <c r="A3376" s="1">
        <f>HYPERLINK("https://lsnyc.legalserver.org/matter/dynamic-profile/view/1907451","19-1907451")</f>
        <v>0</v>
      </c>
      <c r="B3376" t="s">
        <v>2831</v>
      </c>
      <c r="C3376" t="s">
        <v>7619</v>
      </c>
      <c r="D3376" t="s">
        <v>9925</v>
      </c>
      <c r="E3376" t="s">
        <v>10075</v>
      </c>
      <c r="F3376">
        <v>10002</v>
      </c>
      <c r="G3376" t="s">
        <v>10089</v>
      </c>
      <c r="H3376" t="s">
        <v>10120</v>
      </c>
      <c r="I3376" t="s">
        <v>10169</v>
      </c>
      <c r="J3376" t="s">
        <v>10209</v>
      </c>
      <c r="K3376" t="s">
        <v>10217</v>
      </c>
      <c r="M3376" t="s">
        <v>10488</v>
      </c>
      <c r="N3376" t="s">
        <v>10649</v>
      </c>
      <c r="P3376" t="s">
        <v>10753</v>
      </c>
      <c r="Q3376" t="s">
        <v>10763</v>
      </c>
      <c r="R3376" t="s">
        <v>10821</v>
      </c>
      <c r="T3376">
        <v>5160</v>
      </c>
      <c r="U3376">
        <v>430</v>
      </c>
      <c r="V3376">
        <v>66</v>
      </c>
      <c r="W3376">
        <v>2</v>
      </c>
      <c r="X3376">
        <v>0</v>
      </c>
      <c r="Z3376">
        <v>30.51</v>
      </c>
      <c r="AA3376">
        <v>40.71762</v>
      </c>
      <c r="AB3376">
        <v>-73.978487</v>
      </c>
      <c r="AD3376" t="s">
        <v>10839</v>
      </c>
      <c r="AF3376" t="s">
        <v>10843</v>
      </c>
      <c r="AG3376" t="s">
        <v>10859</v>
      </c>
      <c r="AH3376" t="s">
        <v>10864</v>
      </c>
      <c r="AI3376">
        <v>236</v>
      </c>
      <c r="AJ3376" t="s">
        <v>10209</v>
      </c>
      <c r="AL3376">
        <v>2.5</v>
      </c>
      <c r="AM3376" t="s">
        <v>10886</v>
      </c>
      <c r="AN3376" t="s">
        <v>10910</v>
      </c>
      <c r="AO3376" t="s">
        <v>11004</v>
      </c>
      <c r="AP3376" t="s">
        <v>11048</v>
      </c>
      <c r="AQ3376" t="s">
        <v>11097</v>
      </c>
      <c r="AR3376" t="s">
        <v>11300</v>
      </c>
      <c r="AS3376" t="s">
        <v>9925</v>
      </c>
      <c r="BA3376" t="s">
        <v>11739</v>
      </c>
      <c r="BB3376">
        <v>0</v>
      </c>
      <c r="BC3376">
        <v>0</v>
      </c>
      <c r="BD3376">
        <v>0</v>
      </c>
      <c r="BE3376">
        <v>0</v>
      </c>
      <c r="BF3376">
        <v>4</v>
      </c>
      <c r="BG3376">
        <v>0</v>
      </c>
    </row>
    <row r="3377" spans="1:59">
      <c r="A3377" s="1">
        <f>HYPERLINK("https://lsnyc.legalserver.org/matter/dynamic-profile/view/1907452","19-1907452")</f>
        <v>0</v>
      </c>
      <c r="B3377" t="s">
        <v>2832</v>
      </c>
      <c r="C3377" t="s">
        <v>7620</v>
      </c>
      <c r="D3377" t="s">
        <v>9925</v>
      </c>
      <c r="E3377" t="s">
        <v>10075</v>
      </c>
      <c r="F3377">
        <v>10025</v>
      </c>
      <c r="G3377" t="s">
        <v>10089</v>
      </c>
      <c r="H3377" t="s">
        <v>10120</v>
      </c>
      <c r="I3377" t="s">
        <v>10168</v>
      </c>
      <c r="J3377" t="s">
        <v>10209</v>
      </c>
      <c r="K3377" t="s">
        <v>10217</v>
      </c>
      <c r="M3377" t="s">
        <v>10341</v>
      </c>
      <c r="N3377" t="s">
        <v>10702</v>
      </c>
      <c r="P3377" t="s">
        <v>10749</v>
      </c>
      <c r="Q3377" t="s">
        <v>10774</v>
      </c>
      <c r="R3377" t="s">
        <v>10824</v>
      </c>
      <c r="T3377">
        <v>9252</v>
      </c>
      <c r="U3377">
        <v>771</v>
      </c>
      <c r="V3377">
        <v>69</v>
      </c>
      <c r="W3377">
        <v>2</v>
      </c>
      <c r="X3377">
        <v>3</v>
      </c>
      <c r="Z3377">
        <v>30.67</v>
      </c>
      <c r="AA3377">
        <v>40.797677</v>
      </c>
      <c r="AB3377">
        <v>-73.96492000000001</v>
      </c>
      <c r="AD3377" t="s">
        <v>10839</v>
      </c>
      <c r="AG3377" t="s">
        <v>10858</v>
      </c>
      <c r="AH3377" t="s">
        <v>10862</v>
      </c>
      <c r="AI3377">
        <v>237</v>
      </c>
      <c r="AJ3377" t="s">
        <v>10212</v>
      </c>
      <c r="AL3377">
        <v>11.3</v>
      </c>
      <c r="AM3377" t="s">
        <v>10887</v>
      </c>
      <c r="AN3377" t="s">
        <v>10953</v>
      </c>
      <c r="AO3377" t="s">
        <v>11016</v>
      </c>
      <c r="AP3377" t="s">
        <v>11073</v>
      </c>
      <c r="AQ3377" t="s">
        <v>11235</v>
      </c>
      <c r="AR3377" t="s">
        <v>11263</v>
      </c>
      <c r="AS3377" t="s">
        <v>9925</v>
      </c>
      <c r="AT3377" t="s">
        <v>11641</v>
      </c>
      <c r="AX3377" t="s">
        <v>10838</v>
      </c>
      <c r="BA3377" t="s">
        <v>11739</v>
      </c>
      <c r="BB3377">
        <v>0</v>
      </c>
      <c r="BC3377">
        <v>0</v>
      </c>
      <c r="BD3377">
        <v>0</v>
      </c>
      <c r="BE3377">
        <v>0</v>
      </c>
      <c r="BF3377">
        <v>4</v>
      </c>
      <c r="BG3377">
        <v>0</v>
      </c>
    </row>
    <row r="3378" spans="1:59">
      <c r="A3378" s="1">
        <f>HYPERLINK("https://lsnyc.legalserver.org/matter/dynamic-profile/view/1907453","19-1907453")</f>
        <v>0</v>
      </c>
      <c r="B3378" t="s">
        <v>2833</v>
      </c>
      <c r="C3378" t="s">
        <v>7621</v>
      </c>
      <c r="D3378" t="s">
        <v>9940</v>
      </c>
      <c r="E3378" t="s">
        <v>10075</v>
      </c>
      <c r="F3378">
        <v>11421</v>
      </c>
      <c r="G3378" t="s">
        <v>10092</v>
      </c>
      <c r="H3378" t="s">
        <v>10120</v>
      </c>
      <c r="I3378" t="s">
        <v>10168</v>
      </c>
      <c r="J3378" t="s">
        <v>10212</v>
      </c>
      <c r="K3378" t="s">
        <v>10217</v>
      </c>
      <c r="M3378" t="s">
        <v>10594</v>
      </c>
      <c r="N3378" t="s">
        <v>10650</v>
      </c>
      <c r="P3378" t="s">
        <v>10749</v>
      </c>
      <c r="Q3378" t="s">
        <v>10765</v>
      </c>
      <c r="R3378" t="s">
        <v>10821</v>
      </c>
      <c r="T3378">
        <v>24000</v>
      </c>
      <c r="U3378">
        <v>2000</v>
      </c>
      <c r="V3378">
        <v>37</v>
      </c>
      <c r="W3378">
        <v>1</v>
      </c>
      <c r="X3378">
        <v>3</v>
      </c>
      <c r="Z3378">
        <v>93.2</v>
      </c>
      <c r="AA3378">
        <v>40.694892</v>
      </c>
      <c r="AB3378">
        <v>-73.850157</v>
      </c>
      <c r="AD3378" t="s">
        <v>10839</v>
      </c>
      <c r="AF3378" t="s">
        <v>10843</v>
      </c>
      <c r="AG3378" t="s">
        <v>10859</v>
      </c>
      <c r="AH3378" t="s">
        <v>10862</v>
      </c>
      <c r="AI3378">
        <v>237</v>
      </c>
      <c r="AJ3378" t="s">
        <v>10212</v>
      </c>
      <c r="AL3378">
        <v>28.65</v>
      </c>
      <c r="AM3378" t="s">
        <v>10886</v>
      </c>
      <c r="AN3378" t="s">
        <v>10945</v>
      </c>
      <c r="AO3378" t="s">
        <v>11024</v>
      </c>
      <c r="AP3378" t="s">
        <v>11088</v>
      </c>
      <c r="AR3378" t="s">
        <v>11401</v>
      </c>
      <c r="AS3378" t="s">
        <v>11594</v>
      </c>
      <c r="AX3378" t="s">
        <v>10838</v>
      </c>
      <c r="BA3378" t="s">
        <v>11738</v>
      </c>
      <c r="BB3378">
        <v>0</v>
      </c>
      <c r="BC3378">
        <v>0</v>
      </c>
      <c r="BD3378">
        <v>0</v>
      </c>
      <c r="BE3378">
        <v>0</v>
      </c>
      <c r="BF3378">
        <v>5</v>
      </c>
      <c r="BG3378">
        <v>0</v>
      </c>
    </row>
    <row r="3379" spans="1:59">
      <c r="A3379" s="1">
        <f>HYPERLINK("https://lsnyc.legalserver.org/matter/dynamic-profile/view/1907454","19-1907454")</f>
        <v>0</v>
      </c>
      <c r="B3379" t="s">
        <v>209</v>
      </c>
      <c r="C3379" t="s">
        <v>7622</v>
      </c>
      <c r="D3379" t="s">
        <v>9926</v>
      </c>
      <c r="E3379" t="s">
        <v>10075</v>
      </c>
      <c r="F3379">
        <v>10468</v>
      </c>
      <c r="G3379" t="s">
        <v>10093</v>
      </c>
      <c r="H3379" t="s">
        <v>10120</v>
      </c>
      <c r="I3379" t="s">
        <v>10169</v>
      </c>
      <c r="J3379" t="s">
        <v>10213</v>
      </c>
      <c r="K3379" t="s">
        <v>10217</v>
      </c>
      <c r="M3379" t="s">
        <v>10290</v>
      </c>
      <c r="N3379" t="s">
        <v>10665</v>
      </c>
      <c r="P3379" t="s">
        <v>10751</v>
      </c>
      <c r="Q3379" t="s">
        <v>10773</v>
      </c>
      <c r="R3379" t="s">
        <v>10821</v>
      </c>
      <c r="T3379">
        <v>8100</v>
      </c>
      <c r="U3379">
        <v>675</v>
      </c>
      <c r="V3379">
        <v>53</v>
      </c>
      <c r="W3379">
        <v>2</v>
      </c>
      <c r="X3379">
        <v>0</v>
      </c>
      <c r="Z3379">
        <v>47.9</v>
      </c>
      <c r="AA3379">
        <v>40.866058</v>
      </c>
      <c r="AB3379">
        <v>-73.903853</v>
      </c>
      <c r="AD3379" t="s">
        <v>10839</v>
      </c>
      <c r="AG3379" t="s">
        <v>10858</v>
      </c>
      <c r="AH3379" t="s">
        <v>10871</v>
      </c>
      <c r="AI3379">
        <v>234</v>
      </c>
      <c r="AJ3379" t="s">
        <v>10214</v>
      </c>
      <c r="AL3379">
        <v>4.61</v>
      </c>
      <c r="AM3379" t="s">
        <v>10887</v>
      </c>
      <c r="AN3379" t="s">
        <v>10919</v>
      </c>
      <c r="AO3379" t="s">
        <v>11000</v>
      </c>
      <c r="AP3379" t="s">
        <v>11045</v>
      </c>
      <c r="AR3379" t="s">
        <v>11257</v>
      </c>
      <c r="AS3379" t="s">
        <v>9926</v>
      </c>
      <c r="AT3379" t="s">
        <v>11641</v>
      </c>
      <c r="AX3379" t="s">
        <v>10838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</row>
    <row r="3380" spans="1:59">
      <c r="A3380" s="1">
        <f>HYPERLINK("https://lsnyc.legalserver.org/matter/dynamic-profile/view/1907455","19-1907455")</f>
        <v>0</v>
      </c>
      <c r="B3380" t="s">
        <v>2834</v>
      </c>
      <c r="C3380" t="s">
        <v>7623</v>
      </c>
      <c r="D3380" t="s">
        <v>9926</v>
      </c>
      <c r="E3380" t="s">
        <v>10075</v>
      </c>
      <c r="F3380">
        <v>10474</v>
      </c>
      <c r="G3380" t="s">
        <v>10090</v>
      </c>
      <c r="H3380" t="s">
        <v>10120</v>
      </c>
      <c r="I3380" t="s">
        <v>10168</v>
      </c>
      <c r="J3380" t="s">
        <v>10210</v>
      </c>
      <c r="K3380" t="s">
        <v>10218</v>
      </c>
      <c r="L3380" t="s">
        <v>10137</v>
      </c>
      <c r="M3380" t="s">
        <v>10262</v>
      </c>
      <c r="N3380" t="s">
        <v>10666</v>
      </c>
      <c r="P3380" t="s">
        <v>10749</v>
      </c>
      <c r="Q3380" t="s">
        <v>10765</v>
      </c>
      <c r="R3380" t="s">
        <v>10821</v>
      </c>
      <c r="T3380">
        <v>42000</v>
      </c>
      <c r="U3380">
        <v>3500</v>
      </c>
      <c r="V3380">
        <v>37</v>
      </c>
      <c r="W3380">
        <v>1</v>
      </c>
      <c r="X3380">
        <v>2</v>
      </c>
      <c r="Y3380" t="s">
        <v>10829</v>
      </c>
      <c r="Z3380">
        <v>196.91</v>
      </c>
      <c r="AA3380">
        <v>40.819049</v>
      </c>
      <c r="AB3380">
        <v>-73.889639</v>
      </c>
      <c r="AD3380" t="s">
        <v>10839</v>
      </c>
      <c r="AG3380" t="s">
        <v>10858</v>
      </c>
      <c r="AH3380" t="s">
        <v>10861</v>
      </c>
      <c r="AI3380">
        <v>230</v>
      </c>
      <c r="AJ3380" t="s">
        <v>10210</v>
      </c>
      <c r="AK3380" t="s">
        <v>10838</v>
      </c>
      <c r="AL3380">
        <v>0.9</v>
      </c>
      <c r="AM3380" t="s">
        <v>10884</v>
      </c>
      <c r="AN3380" t="s">
        <v>10968</v>
      </c>
      <c r="AO3380" t="s">
        <v>11001</v>
      </c>
      <c r="AP3380" t="s">
        <v>11062</v>
      </c>
      <c r="AR3380" t="s">
        <v>11257</v>
      </c>
      <c r="AS3380" t="s">
        <v>9926</v>
      </c>
      <c r="AT3380" t="s">
        <v>11641</v>
      </c>
      <c r="AX3380" t="s">
        <v>10838</v>
      </c>
      <c r="AY3380" t="s">
        <v>10829</v>
      </c>
      <c r="AZ3380" t="s">
        <v>11681</v>
      </c>
      <c r="BA3380" t="s">
        <v>11741</v>
      </c>
      <c r="BB3380">
        <v>0</v>
      </c>
      <c r="BC3380">
        <v>0</v>
      </c>
      <c r="BD3380">
        <v>0</v>
      </c>
      <c r="BE3380">
        <v>0</v>
      </c>
      <c r="BF3380">
        <v>1</v>
      </c>
      <c r="BG3380">
        <v>0</v>
      </c>
    </row>
    <row r="3381" spans="1:59">
      <c r="A3381" s="1">
        <f>HYPERLINK("https://lsnyc.legalserver.org/matter/dynamic-profile/view/1907456","19-1907456")</f>
        <v>0</v>
      </c>
      <c r="B3381" t="s">
        <v>2533</v>
      </c>
      <c r="C3381" t="s">
        <v>7624</v>
      </c>
      <c r="D3381" t="s">
        <v>9938</v>
      </c>
      <c r="E3381" t="s">
        <v>10075</v>
      </c>
      <c r="F3381">
        <v>11433</v>
      </c>
      <c r="G3381" t="s">
        <v>10092</v>
      </c>
      <c r="H3381" t="s">
        <v>10120</v>
      </c>
      <c r="I3381" t="s">
        <v>10168</v>
      </c>
      <c r="J3381" t="s">
        <v>10212</v>
      </c>
      <c r="K3381" t="s">
        <v>10218</v>
      </c>
      <c r="L3381" t="s">
        <v>10143</v>
      </c>
      <c r="M3381" t="s">
        <v>10366</v>
      </c>
      <c r="N3381" t="s">
        <v>10678</v>
      </c>
      <c r="P3381" t="s">
        <v>10749</v>
      </c>
      <c r="Q3381" t="s">
        <v>10769</v>
      </c>
      <c r="R3381" t="s">
        <v>10824</v>
      </c>
      <c r="T3381">
        <v>47600</v>
      </c>
      <c r="U3381">
        <v>3966.67</v>
      </c>
      <c r="V3381">
        <v>55</v>
      </c>
      <c r="W3381">
        <v>2</v>
      </c>
      <c r="X3381">
        <v>1</v>
      </c>
      <c r="Y3381" t="s">
        <v>10829</v>
      </c>
      <c r="Z3381">
        <v>223.16</v>
      </c>
      <c r="AA3381">
        <v>40.69691</v>
      </c>
      <c r="AB3381">
        <v>-73.79371999999999</v>
      </c>
      <c r="AD3381" t="s">
        <v>10839</v>
      </c>
      <c r="AG3381" t="s">
        <v>10858</v>
      </c>
      <c r="AH3381" t="s">
        <v>10871</v>
      </c>
      <c r="AI3381">
        <v>234</v>
      </c>
      <c r="AJ3381" t="s">
        <v>10214</v>
      </c>
      <c r="AK3381" t="s">
        <v>10838</v>
      </c>
      <c r="AL3381">
        <v>2.2</v>
      </c>
      <c r="AM3381" t="s">
        <v>10892</v>
      </c>
      <c r="AN3381" t="s">
        <v>10951</v>
      </c>
      <c r="AO3381" t="s">
        <v>11020</v>
      </c>
      <c r="AP3381" t="s">
        <v>11070</v>
      </c>
      <c r="AR3381" t="s">
        <v>11356</v>
      </c>
      <c r="AS3381" t="s">
        <v>11594</v>
      </c>
      <c r="AT3381" t="s">
        <v>11641</v>
      </c>
      <c r="AX3381" t="s">
        <v>10838</v>
      </c>
      <c r="AY3381" t="s">
        <v>10829</v>
      </c>
      <c r="AZ3381" t="s">
        <v>11681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</row>
    <row r="3382" spans="1:59">
      <c r="A3382" s="1">
        <f>HYPERLINK("https://lsnyc.legalserver.org/matter/dynamic-profile/view/1907457","19-1907457")</f>
        <v>0</v>
      </c>
      <c r="B3382" t="s">
        <v>2835</v>
      </c>
      <c r="C3382" t="s">
        <v>7625</v>
      </c>
      <c r="D3382" t="s">
        <v>9938</v>
      </c>
      <c r="E3382" t="s">
        <v>10075</v>
      </c>
      <c r="F3382">
        <v>11435</v>
      </c>
      <c r="G3382" t="s">
        <v>10092</v>
      </c>
      <c r="H3382" t="s">
        <v>10120</v>
      </c>
      <c r="I3382" t="s">
        <v>10168</v>
      </c>
      <c r="J3382" t="s">
        <v>10212</v>
      </c>
      <c r="K3382" t="s">
        <v>10217</v>
      </c>
      <c r="M3382" t="s">
        <v>10475</v>
      </c>
      <c r="N3382" t="s">
        <v>10650</v>
      </c>
      <c r="P3382" t="s">
        <v>10749</v>
      </c>
      <c r="Q3382" t="s">
        <v>10765</v>
      </c>
      <c r="R3382" t="s">
        <v>10824</v>
      </c>
      <c r="T3382">
        <v>0</v>
      </c>
      <c r="U3382">
        <v>0</v>
      </c>
      <c r="V3382">
        <v>29</v>
      </c>
      <c r="W3382">
        <v>1</v>
      </c>
      <c r="X3382">
        <v>3</v>
      </c>
      <c r="Z3382">
        <v>0</v>
      </c>
      <c r="AA3382">
        <v>40.69236</v>
      </c>
      <c r="AB3382">
        <v>-73.80317599999999</v>
      </c>
      <c r="AD3382" t="s">
        <v>10839</v>
      </c>
      <c r="AG3382" t="s">
        <v>10858</v>
      </c>
      <c r="AH3382" t="s">
        <v>10862</v>
      </c>
      <c r="AI3382">
        <v>237</v>
      </c>
      <c r="AJ3382" t="s">
        <v>10212</v>
      </c>
      <c r="AL3382">
        <v>13.25</v>
      </c>
      <c r="AM3382" t="s">
        <v>10892</v>
      </c>
      <c r="AN3382" t="s">
        <v>10951</v>
      </c>
      <c r="AO3382" t="s">
        <v>11020</v>
      </c>
      <c r="AP3382" t="s">
        <v>11070</v>
      </c>
      <c r="AR3382" t="s">
        <v>11267</v>
      </c>
      <c r="AS3382" t="s">
        <v>11594</v>
      </c>
      <c r="BA3382" t="s">
        <v>11738</v>
      </c>
      <c r="BB3382">
        <v>0</v>
      </c>
      <c r="BC3382">
        <v>0</v>
      </c>
      <c r="BD3382">
        <v>0</v>
      </c>
      <c r="BE3382">
        <v>0</v>
      </c>
      <c r="BF3382">
        <v>5</v>
      </c>
      <c r="BG3382">
        <v>0</v>
      </c>
    </row>
    <row r="3383" spans="1:59">
      <c r="A3383" s="1">
        <f>HYPERLINK("https://lsnyc.legalserver.org/matter/dynamic-profile/view/1907458","19-1907458")</f>
        <v>0</v>
      </c>
      <c r="B3383" t="s">
        <v>2836</v>
      </c>
      <c r="C3383" t="s">
        <v>7626</v>
      </c>
      <c r="D3383" t="s">
        <v>9928</v>
      </c>
      <c r="E3383" t="s">
        <v>10075</v>
      </c>
      <c r="F3383">
        <v>11208</v>
      </c>
      <c r="G3383" t="s">
        <v>10093</v>
      </c>
      <c r="H3383" t="s">
        <v>10120</v>
      </c>
      <c r="I3383" t="s">
        <v>10169</v>
      </c>
      <c r="J3383" t="s">
        <v>10213</v>
      </c>
      <c r="K3383" t="s">
        <v>10218</v>
      </c>
      <c r="L3383" t="s">
        <v>10141</v>
      </c>
      <c r="M3383" t="s">
        <v>10348</v>
      </c>
      <c r="N3383" t="s">
        <v>10650</v>
      </c>
      <c r="P3383" t="s">
        <v>10749</v>
      </c>
      <c r="Q3383" t="s">
        <v>10765</v>
      </c>
      <c r="R3383" t="s">
        <v>10823</v>
      </c>
      <c r="T3383">
        <v>9252</v>
      </c>
      <c r="U3383">
        <v>771</v>
      </c>
      <c r="V3383">
        <v>67</v>
      </c>
      <c r="W3383">
        <v>1</v>
      </c>
      <c r="X3383">
        <v>0</v>
      </c>
      <c r="Y3383" t="s">
        <v>10829</v>
      </c>
      <c r="Z3383">
        <v>74.08</v>
      </c>
      <c r="AA3383">
        <v>40.683556</v>
      </c>
      <c r="AB3383">
        <v>-73.884894</v>
      </c>
      <c r="AD3383" t="s">
        <v>10839</v>
      </c>
      <c r="AG3383" t="s">
        <v>10858</v>
      </c>
      <c r="AH3383" t="s">
        <v>10861</v>
      </c>
      <c r="AI3383">
        <v>234</v>
      </c>
      <c r="AJ3383" t="s">
        <v>10214</v>
      </c>
      <c r="AK3383" t="s">
        <v>10838</v>
      </c>
      <c r="AL3383">
        <v>1.4</v>
      </c>
      <c r="AM3383" t="s">
        <v>10886</v>
      </c>
      <c r="AN3383" t="s">
        <v>10920</v>
      </c>
      <c r="AO3383" t="s">
        <v>11011</v>
      </c>
      <c r="AP3383" t="s">
        <v>11058</v>
      </c>
      <c r="AR3383" t="s">
        <v>11274</v>
      </c>
      <c r="AS3383" t="s">
        <v>11595</v>
      </c>
      <c r="AT3383" t="s">
        <v>11641</v>
      </c>
      <c r="AX3383" t="s">
        <v>10838</v>
      </c>
      <c r="AY3383" t="s">
        <v>10829</v>
      </c>
      <c r="AZ3383" t="s">
        <v>11681</v>
      </c>
      <c r="BA3383" t="s">
        <v>11741</v>
      </c>
      <c r="BB3383">
        <v>0</v>
      </c>
      <c r="BC3383">
        <v>0</v>
      </c>
      <c r="BD3383">
        <v>0</v>
      </c>
      <c r="BE3383">
        <v>0</v>
      </c>
      <c r="BF3383">
        <v>1</v>
      </c>
      <c r="BG3383">
        <v>0</v>
      </c>
    </row>
    <row r="3384" spans="1:59">
      <c r="A3384" s="1">
        <f>HYPERLINK("https://lsnyc.legalserver.org/matter/dynamic-profile/view/1907459","19-1907459")</f>
        <v>0</v>
      </c>
      <c r="B3384" t="s">
        <v>2837</v>
      </c>
      <c r="C3384" t="s">
        <v>7627</v>
      </c>
      <c r="D3384" t="s">
        <v>9925</v>
      </c>
      <c r="E3384" t="s">
        <v>10075</v>
      </c>
      <c r="F3384">
        <v>10034</v>
      </c>
      <c r="G3384" t="s">
        <v>10089</v>
      </c>
      <c r="H3384" t="s">
        <v>10120</v>
      </c>
      <c r="I3384" t="s">
        <v>10169</v>
      </c>
      <c r="J3384" t="s">
        <v>10209</v>
      </c>
      <c r="K3384" t="s">
        <v>10217</v>
      </c>
      <c r="M3384" t="s">
        <v>10393</v>
      </c>
      <c r="N3384" t="s">
        <v>10650</v>
      </c>
      <c r="P3384" t="s">
        <v>10749</v>
      </c>
      <c r="Q3384" t="s">
        <v>10765</v>
      </c>
      <c r="R3384" t="s">
        <v>10821</v>
      </c>
      <c r="T3384">
        <v>82000</v>
      </c>
      <c r="U3384">
        <v>6833.33</v>
      </c>
      <c r="V3384">
        <v>54</v>
      </c>
      <c r="W3384">
        <v>4</v>
      </c>
      <c r="X3384">
        <v>1</v>
      </c>
      <c r="Z3384">
        <v>271.79</v>
      </c>
      <c r="AA3384">
        <v>40.863471</v>
      </c>
      <c r="AB3384">
        <v>-73.923789</v>
      </c>
      <c r="AD3384" t="s">
        <v>10840</v>
      </c>
      <c r="AG3384" t="s">
        <v>10858</v>
      </c>
      <c r="AH3384" t="s">
        <v>10862</v>
      </c>
      <c r="AI3384">
        <v>236</v>
      </c>
      <c r="AJ3384" t="s">
        <v>10209</v>
      </c>
      <c r="AL3384">
        <v>17.85</v>
      </c>
      <c r="AM3384" t="s">
        <v>10887</v>
      </c>
      <c r="AN3384" t="s">
        <v>10937</v>
      </c>
      <c r="AO3384" t="s">
        <v>11019</v>
      </c>
      <c r="AP3384" t="s">
        <v>11074</v>
      </c>
      <c r="AR3384" t="s">
        <v>11257</v>
      </c>
      <c r="AS3384" t="s">
        <v>9925</v>
      </c>
      <c r="AT3384" t="s">
        <v>11642</v>
      </c>
      <c r="AX3384" t="s">
        <v>10838</v>
      </c>
      <c r="BA3384" t="s">
        <v>11742</v>
      </c>
      <c r="BB3384">
        <v>0</v>
      </c>
      <c r="BC3384">
        <v>0</v>
      </c>
      <c r="BD3384">
        <v>0</v>
      </c>
      <c r="BE3384">
        <v>0</v>
      </c>
      <c r="BF3384">
        <v>7</v>
      </c>
      <c r="BG3384">
        <v>0</v>
      </c>
    </row>
    <row r="3385" spans="1:59">
      <c r="A3385" s="1">
        <f>HYPERLINK("https://lsnyc.legalserver.org/matter/dynamic-profile/view/1907460","19-1907460")</f>
        <v>0</v>
      </c>
      <c r="B3385" t="s">
        <v>2838</v>
      </c>
      <c r="C3385" t="s">
        <v>7472</v>
      </c>
      <c r="D3385" t="s">
        <v>9928</v>
      </c>
      <c r="E3385" t="s">
        <v>10075</v>
      </c>
      <c r="F3385">
        <v>11225</v>
      </c>
      <c r="G3385" t="s">
        <v>10093</v>
      </c>
      <c r="H3385" t="s">
        <v>10120</v>
      </c>
      <c r="I3385" t="s">
        <v>10168</v>
      </c>
      <c r="J3385" t="s">
        <v>10213</v>
      </c>
      <c r="K3385" t="s">
        <v>10217</v>
      </c>
      <c r="M3385" t="s">
        <v>10263</v>
      </c>
      <c r="N3385" t="s">
        <v>10650</v>
      </c>
      <c r="O3385" t="s">
        <v>10653</v>
      </c>
      <c r="P3385" t="s">
        <v>10749</v>
      </c>
      <c r="Q3385" t="s">
        <v>10765</v>
      </c>
      <c r="R3385" t="s">
        <v>10820</v>
      </c>
      <c r="T3385">
        <v>21000</v>
      </c>
      <c r="U3385">
        <v>1750</v>
      </c>
      <c r="V3385">
        <v>30</v>
      </c>
      <c r="W3385">
        <v>2</v>
      </c>
      <c r="X3385">
        <v>0</v>
      </c>
      <c r="Z3385">
        <v>124.19</v>
      </c>
      <c r="AA3385">
        <v>40.66729</v>
      </c>
      <c r="AB3385">
        <v>-73.957122</v>
      </c>
      <c r="AD3385" t="s">
        <v>10839</v>
      </c>
      <c r="AG3385" t="s">
        <v>10858</v>
      </c>
      <c r="AH3385" t="s">
        <v>10862</v>
      </c>
      <c r="AI3385">
        <v>239</v>
      </c>
      <c r="AJ3385" t="s">
        <v>10213</v>
      </c>
      <c r="AL3385">
        <v>0</v>
      </c>
      <c r="AM3385" t="s">
        <v>10888</v>
      </c>
      <c r="AN3385" t="s">
        <v>10923</v>
      </c>
      <c r="AO3385" t="s">
        <v>11005</v>
      </c>
      <c r="AP3385" t="s">
        <v>11061</v>
      </c>
      <c r="AR3385" t="s">
        <v>11257</v>
      </c>
      <c r="AS3385" t="s">
        <v>11595</v>
      </c>
      <c r="BA3385" t="s">
        <v>11737</v>
      </c>
      <c r="BB3385">
        <v>0</v>
      </c>
      <c r="BC3385">
        <v>0</v>
      </c>
      <c r="BD3385">
        <v>0</v>
      </c>
      <c r="BE3385">
        <v>0</v>
      </c>
      <c r="BF3385">
        <v>3</v>
      </c>
      <c r="BG3385">
        <v>0</v>
      </c>
    </row>
    <row r="3386" spans="1:59">
      <c r="A3386" s="1">
        <f>HYPERLINK("https://lsnyc.legalserver.org/matter/dynamic-profile/view/1907461","19-1907461")</f>
        <v>0</v>
      </c>
      <c r="B3386" t="s">
        <v>2839</v>
      </c>
      <c r="C3386" t="s">
        <v>7628</v>
      </c>
      <c r="D3386" t="s">
        <v>9926</v>
      </c>
      <c r="E3386" t="s">
        <v>10075</v>
      </c>
      <c r="F3386">
        <v>10466</v>
      </c>
      <c r="G3386" t="s">
        <v>10091</v>
      </c>
      <c r="H3386" t="s">
        <v>10120</v>
      </c>
      <c r="I3386" t="s">
        <v>10168</v>
      </c>
      <c r="J3386" t="s">
        <v>10214</v>
      </c>
      <c r="K3386" t="s">
        <v>10217</v>
      </c>
      <c r="M3386" t="s">
        <v>10537</v>
      </c>
      <c r="N3386" t="s">
        <v>10673</v>
      </c>
      <c r="P3386" t="s">
        <v>10753</v>
      </c>
      <c r="Q3386" t="s">
        <v>10763</v>
      </c>
      <c r="R3386" t="s">
        <v>10824</v>
      </c>
      <c r="T3386">
        <v>0</v>
      </c>
      <c r="U3386">
        <v>0</v>
      </c>
      <c r="V3386">
        <v>31</v>
      </c>
      <c r="W3386">
        <v>1</v>
      </c>
      <c r="X3386">
        <v>0</v>
      </c>
      <c r="Z3386">
        <v>0</v>
      </c>
      <c r="AA3386">
        <v>40.892634</v>
      </c>
      <c r="AB3386">
        <v>-73.848108</v>
      </c>
      <c r="AD3386" t="s">
        <v>10840</v>
      </c>
      <c r="AF3386" t="s">
        <v>10842</v>
      </c>
      <c r="AG3386" t="s">
        <v>10859</v>
      </c>
      <c r="AH3386" t="s">
        <v>10861</v>
      </c>
      <c r="AI3386">
        <v>234</v>
      </c>
      <c r="AJ3386" t="s">
        <v>10214</v>
      </c>
      <c r="AL3386">
        <v>5.8</v>
      </c>
      <c r="AM3386" t="s">
        <v>10893</v>
      </c>
      <c r="AN3386" t="s">
        <v>10956</v>
      </c>
      <c r="AO3386" t="s">
        <v>11010</v>
      </c>
      <c r="AP3386" t="s">
        <v>11085</v>
      </c>
      <c r="AR3386" t="s">
        <v>11267</v>
      </c>
      <c r="AS3386" t="s">
        <v>9926</v>
      </c>
      <c r="AT3386" t="s">
        <v>11642</v>
      </c>
      <c r="AX3386" t="s">
        <v>10837</v>
      </c>
      <c r="BA3386" t="s">
        <v>11742</v>
      </c>
      <c r="BB3386">
        <v>0</v>
      </c>
      <c r="BC3386">
        <v>0</v>
      </c>
      <c r="BD3386">
        <v>0</v>
      </c>
      <c r="BE3386">
        <v>0</v>
      </c>
      <c r="BF3386">
        <v>7</v>
      </c>
      <c r="BG3386">
        <v>0</v>
      </c>
    </row>
    <row r="3387" spans="1:59">
      <c r="A3387" s="1">
        <f>HYPERLINK("https://lsnyc.legalserver.org/matter/dynamic-profile/view/1907462","19-1907462")</f>
        <v>0</v>
      </c>
      <c r="B3387" t="s">
        <v>2840</v>
      </c>
      <c r="C3387" t="s">
        <v>7629</v>
      </c>
      <c r="D3387" t="s">
        <v>9941</v>
      </c>
      <c r="E3387" t="s">
        <v>10075</v>
      </c>
      <c r="F3387">
        <v>11429</v>
      </c>
      <c r="G3387" t="s">
        <v>10092</v>
      </c>
      <c r="H3387" t="s">
        <v>10120</v>
      </c>
      <c r="I3387" t="s">
        <v>10168</v>
      </c>
      <c r="J3387" t="s">
        <v>10212</v>
      </c>
      <c r="K3387" t="s">
        <v>10217</v>
      </c>
      <c r="M3387" t="s">
        <v>10365</v>
      </c>
      <c r="N3387" t="s">
        <v>10650</v>
      </c>
      <c r="P3387" t="s">
        <v>10749</v>
      </c>
      <c r="Q3387" t="s">
        <v>10765</v>
      </c>
      <c r="R3387" t="s">
        <v>10824</v>
      </c>
      <c r="T3387">
        <v>20000</v>
      </c>
      <c r="U3387">
        <v>1666.67</v>
      </c>
      <c r="V3387">
        <v>35</v>
      </c>
      <c r="W3387">
        <v>1</v>
      </c>
      <c r="X3387">
        <v>2</v>
      </c>
      <c r="Z3387">
        <v>93.76000000000001</v>
      </c>
      <c r="AA3387">
        <v>40.707</v>
      </c>
      <c r="AB3387">
        <v>-73.735682</v>
      </c>
      <c r="AD3387" t="s">
        <v>10839</v>
      </c>
      <c r="AG3387" t="s">
        <v>10858</v>
      </c>
      <c r="AH3387" t="s">
        <v>10862</v>
      </c>
      <c r="AI3387">
        <v>237</v>
      </c>
      <c r="AJ3387" t="s">
        <v>10212</v>
      </c>
      <c r="AL3387">
        <v>2.45</v>
      </c>
      <c r="AM3387" t="s">
        <v>10892</v>
      </c>
      <c r="AN3387" t="s">
        <v>10940</v>
      </c>
      <c r="AO3387" t="s">
        <v>11020</v>
      </c>
      <c r="AP3387" t="s">
        <v>11075</v>
      </c>
      <c r="AR3387" t="s">
        <v>11257</v>
      </c>
      <c r="AS3387" t="s">
        <v>11594</v>
      </c>
      <c r="AX3387" t="s">
        <v>10838</v>
      </c>
      <c r="BA3387" t="s">
        <v>11741</v>
      </c>
      <c r="BB3387">
        <v>0</v>
      </c>
      <c r="BC3387">
        <v>0</v>
      </c>
      <c r="BD3387">
        <v>0</v>
      </c>
      <c r="BE3387">
        <v>0</v>
      </c>
      <c r="BF3387">
        <v>1</v>
      </c>
      <c r="BG3387">
        <v>0</v>
      </c>
    </row>
    <row r="3388" spans="1:59">
      <c r="A3388" s="1">
        <f>HYPERLINK("https://lsnyc.legalserver.org/matter/dynamic-profile/view/1907463","19-1907463")</f>
        <v>0</v>
      </c>
      <c r="B3388" t="s">
        <v>2841</v>
      </c>
      <c r="C3388" t="s">
        <v>7630</v>
      </c>
      <c r="D3388" t="s">
        <v>9926</v>
      </c>
      <c r="E3388" t="s">
        <v>10075</v>
      </c>
      <c r="F3388">
        <v>10465</v>
      </c>
      <c r="G3388" t="s">
        <v>10090</v>
      </c>
      <c r="H3388" t="s">
        <v>10120</v>
      </c>
      <c r="I3388" t="s">
        <v>10168</v>
      </c>
      <c r="J3388" t="s">
        <v>10210</v>
      </c>
      <c r="K3388" t="s">
        <v>10217</v>
      </c>
      <c r="M3388" t="s">
        <v>10549</v>
      </c>
      <c r="N3388" t="s">
        <v>10677</v>
      </c>
      <c r="P3388" t="s">
        <v>10757</v>
      </c>
      <c r="Q3388" t="s">
        <v>10789</v>
      </c>
      <c r="R3388" t="s">
        <v>10820</v>
      </c>
      <c r="T3388">
        <v>19200</v>
      </c>
      <c r="U3388">
        <v>1600</v>
      </c>
      <c r="V3388">
        <v>83</v>
      </c>
      <c r="W3388">
        <v>1</v>
      </c>
      <c r="X3388">
        <v>0</v>
      </c>
      <c r="Z3388">
        <v>153.72</v>
      </c>
      <c r="AA3388">
        <v>40.827495</v>
      </c>
      <c r="AB3388">
        <v>-73.82081599999999</v>
      </c>
      <c r="AD3388" t="s">
        <v>10839</v>
      </c>
      <c r="AG3388" t="s">
        <v>10858</v>
      </c>
      <c r="AH3388" t="s">
        <v>10861</v>
      </c>
      <c r="AI3388">
        <v>234</v>
      </c>
      <c r="AJ3388" t="s">
        <v>10214</v>
      </c>
      <c r="AL3388">
        <v>12.35</v>
      </c>
      <c r="AM3388" t="s">
        <v>10885</v>
      </c>
      <c r="AN3388" t="s">
        <v>10911</v>
      </c>
      <c r="AO3388" t="s">
        <v>11002</v>
      </c>
      <c r="AP3388" t="s">
        <v>11049</v>
      </c>
      <c r="AQ3388" t="s">
        <v>11121</v>
      </c>
      <c r="AR3388" t="s">
        <v>11379</v>
      </c>
      <c r="AS3388" t="s">
        <v>9926</v>
      </c>
      <c r="AT3388" t="s">
        <v>11641</v>
      </c>
      <c r="AX3388" t="s">
        <v>10838</v>
      </c>
      <c r="BA3388" t="s">
        <v>11740</v>
      </c>
      <c r="BB3388">
        <v>0</v>
      </c>
      <c r="BC3388">
        <v>0</v>
      </c>
      <c r="BD3388">
        <v>0</v>
      </c>
      <c r="BE3388">
        <v>0</v>
      </c>
      <c r="BF3388">
        <v>2</v>
      </c>
      <c r="BG3388">
        <v>0</v>
      </c>
    </row>
    <row r="3389" spans="1:59">
      <c r="A3389" s="1">
        <f>HYPERLINK("https://lsnyc.legalserver.org/matter/dynamic-profile/view/1907464","19-1907464")</f>
        <v>0</v>
      </c>
      <c r="B3389" t="s">
        <v>2842</v>
      </c>
      <c r="C3389" t="s">
        <v>7631</v>
      </c>
      <c r="D3389" t="s">
        <v>9928</v>
      </c>
      <c r="E3389" t="s">
        <v>10075</v>
      </c>
      <c r="F3389">
        <v>11233</v>
      </c>
      <c r="G3389" t="s">
        <v>10093</v>
      </c>
      <c r="H3389" t="s">
        <v>10120</v>
      </c>
      <c r="I3389" t="s">
        <v>10168</v>
      </c>
      <c r="J3389" t="s">
        <v>10213</v>
      </c>
      <c r="K3389" t="s">
        <v>10217</v>
      </c>
      <c r="M3389" t="s">
        <v>10564</v>
      </c>
      <c r="N3389" t="s">
        <v>10671</v>
      </c>
      <c r="P3389" t="s">
        <v>10749</v>
      </c>
      <c r="Q3389" t="s">
        <v>10765</v>
      </c>
      <c r="R3389" t="s">
        <v>10824</v>
      </c>
      <c r="T3389">
        <v>27000</v>
      </c>
      <c r="U3389">
        <v>2250</v>
      </c>
      <c r="V3389">
        <v>55</v>
      </c>
      <c r="W3389">
        <v>1</v>
      </c>
      <c r="X3389">
        <v>2</v>
      </c>
      <c r="Z3389">
        <v>126.58</v>
      </c>
      <c r="AA3389">
        <v>40.677881</v>
      </c>
      <c r="AB3389">
        <v>-73.924926</v>
      </c>
      <c r="AD3389" t="s">
        <v>10839</v>
      </c>
      <c r="AG3389" t="s">
        <v>10858</v>
      </c>
      <c r="AH3389" t="s">
        <v>10861</v>
      </c>
      <c r="AI3389">
        <v>234</v>
      </c>
      <c r="AJ3389" t="s">
        <v>10214</v>
      </c>
      <c r="AL3389">
        <v>0.6</v>
      </c>
      <c r="AM3389" t="s">
        <v>10889</v>
      </c>
      <c r="AN3389" t="s">
        <v>10914</v>
      </c>
      <c r="AO3389" t="s">
        <v>11007</v>
      </c>
      <c r="AP3389" t="s">
        <v>11052</v>
      </c>
      <c r="AR3389" t="s">
        <v>11257</v>
      </c>
      <c r="AS3389" t="s">
        <v>11595</v>
      </c>
      <c r="AT3389" t="s">
        <v>11641</v>
      </c>
      <c r="AX3389" t="s">
        <v>10838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</row>
    <row r="3390" spans="1:59">
      <c r="A3390" s="1">
        <f>HYPERLINK("https://lsnyc.legalserver.org/matter/dynamic-profile/view/1907465","19-1907465")</f>
        <v>0</v>
      </c>
      <c r="B3390" t="s">
        <v>2843</v>
      </c>
      <c r="C3390" t="s">
        <v>7387</v>
      </c>
      <c r="D3390" t="s">
        <v>9926</v>
      </c>
      <c r="E3390" t="s">
        <v>10075</v>
      </c>
      <c r="F3390">
        <v>10454</v>
      </c>
      <c r="G3390" t="s">
        <v>10090</v>
      </c>
      <c r="H3390" t="s">
        <v>10120</v>
      </c>
      <c r="I3390" t="s">
        <v>10169</v>
      </c>
      <c r="J3390" t="s">
        <v>10210</v>
      </c>
      <c r="K3390" t="s">
        <v>10217</v>
      </c>
      <c r="M3390" t="s">
        <v>10412</v>
      </c>
      <c r="N3390" t="s">
        <v>10679</v>
      </c>
      <c r="P3390" t="s">
        <v>10753</v>
      </c>
      <c r="Q3390" t="s">
        <v>10763</v>
      </c>
      <c r="R3390" t="s">
        <v>10824</v>
      </c>
      <c r="T3390">
        <v>0</v>
      </c>
      <c r="U3390">
        <v>0</v>
      </c>
      <c r="V3390">
        <v>5</v>
      </c>
      <c r="W3390">
        <v>3</v>
      </c>
      <c r="X3390">
        <v>2</v>
      </c>
      <c r="Z3390">
        <v>0</v>
      </c>
      <c r="AA3390">
        <v>40.806395</v>
      </c>
      <c r="AB3390">
        <v>-73.918048</v>
      </c>
      <c r="AD3390" t="s">
        <v>10839</v>
      </c>
      <c r="AF3390" t="s">
        <v>10853</v>
      </c>
      <c r="AG3390" t="s">
        <v>10859</v>
      </c>
      <c r="AH3390" t="s">
        <v>10865</v>
      </c>
      <c r="AI3390">
        <v>230</v>
      </c>
      <c r="AJ3390" t="s">
        <v>10210</v>
      </c>
      <c r="AL3390">
        <v>3</v>
      </c>
      <c r="AM3390" t="s">
        <v>10884</v>
      </c>
      <c r="AN3390" t="s">
        <v>10924</v>
      </c>
      <c r="AO3390" t="s">
        <v>11013</v>
      </c>
      <c r="AP3390" t="s">
        <v>11066</v>
      </c>
      <c r="AQ3390" t="s">
        <v>11109</v>
      </c>
      <c r="AR3390" t="s">
        <v>11267</v>
      </c>
      <c r="AS3390" t="s">
        <v>9926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</row>
    <row r="3391" spans="1:59">
      <c r="A3391" s="1">
        <f>HYPERLINK("https://lsnyc.legalserver.org/matter/dynamic-profile/view/1907467","19-1907467")</f>
        <v>0</v>
      </c>
      <c r="B3391" t="s">
        <v>2844</v>
      </c>
      <c r="C3391" t="s">
        <v>7632</v>
      </c>
      <c r="D3391" t="s">
        <v>9926</v>
      </c>
      <c r="E3391" t="s">
        <v>10075</v>
      </c>
      <c r="F3391">
        <v>10458</v>
      </c>
      <c r="G3391" t="s">
        <v>10090</v>
      </c>
      <c r="H3391" t="s">
        <v>10120</v>
      </c>
      <c r="I3391" t="s">
        <v>10168</v>
      </c>
      <c r="J3391" t="s">
        <v>10210</v>
      </c>
      <c r="K3391" t="s">
        <v>10217</v>
      </c>
      <c r="M3391" t="s">
        <v>10419</v>
      </c>
      <c r="N3391" t="s">
        <v>10666</v>
      </c>
      <c r="P3391" t="s">
        <v>10749</v>
      </c>
      <c r="Q3391" t="s">
        <v>10765</v>
      </c>
      <c r="R3391" t="s">
        <v>10821</v>
      </c>
      <c r="T3391">
        <v>36000</v>
      </c>
      <c r="U3391">
        <v>3000</v>
      </c>
      <c r="V3391">
        <v>55</v>
      </c>
      <c r="W3391">
        <v>1</v>
      </c>
      <c r="X3391">
        <v>0</v>
      </c>
      <c r="Z3391">
        <v>288.23</v>
      </c>
      <c r="AA3391">
        <v>40.854535</v>
      </c>
      <c r="AB3391">
        <v>-73.881998</v>
      </c>
      <c r="AC3391" t="s">
        <v>10837</v>
      </c>
      <c r="AD3391" t="s">
        <v>10840</v>
      </c>
      <c r="AG3391" t="s">
        <v>10858</v>
      </c>
      <c r="AH3391" t="s">
        <v>10861</v>
      </c>
      <c r="AI3391">
        <v>234</v>
      </c>
      <c r="AJ3391" t="s">
        <v>10214</v>
      </c>
      <c r="AL3391">
        <v>3.15</v>
      </c>
      <c r="AM3391" t="s">
        <v>10884</v>
      </c>
      <c r="AN3391" t="s">
        <v>10907</v>
      </c>
      <c r="AO3391" t="s">
        <v>11000</v>
      </c>
      <c r="AP3391" t="s">
        <v>11056</v>
      </c>
      <c r="AR3391" t="s">
        <v>11303</v>
      </c>
      <c r="AS3391" t="s">
        <v>9926</v>
      </c>
      <c r="AT3391" t="s">
        <v>11642</v>
      </c>
      <c r="AX3391" t="s">
        <v>10838</v>
      </c>
      <c r="BA3391" t="s">
        <v>11738</v>
      </c>
      <c r="BB3391">
        <v>0</v>
      </c>
      <c r="BC3391">
        <v>0</v>
      </c>
      <c r="BD3391">
        <v>0</v>
      </c>
      <c r="BE3391">
        <v>0</v>
      </c>
      <c r="BF3391">
        <v>5</v>
      </c>
      <c r="BG3391">
        <v>0</v>
      </c>
    </row>
    <row r="3392" spans="1:59">
      <c r="A3392" s="1">
        <f>HYPERLINK("https://lsnyc.legalserver.org/matter/dynamic-profile/view/1907469","19-1907469")</f>
        <v>0</v>
      </c>
      <c r="B3392" t="s">
        <v>2254</v>
      </c>
      <c r="C3392" t="s">
        <v>7472</v>
      </c>
      <c r="D3392" t="s">
        <v>9928</v>
      </c>
      <c r="E3392" t="s">
        <v>10075</v>
      </c>
      <c r="F3392">
        <v>11225</v>
      </c>
      <c r="G3392" t="s">
        <v>10093</v>
      </c>
      <c r="H3392" t="s">
        <v>10120</v>
      </c>
      <c r="I3392" t="s">
        <v>10168</v>
      </c>
      <c r="J3392" t="s">
        <v>10213</v>
      </c>
      <c r="K3392" t="s">
        <v>10217</v>
      </c>
      <c r="M3392" t="s">
        <v>10263</v>
      </c>
      <c r="N3392" t="s">
        <v>10650</v>
      </c>
      <c r="O3392" t="s">
        <v>10653</v>
      </c>
      <c r="P3392" t="s">
        <v>10749</v>
      </c>
      <c r="Q3392" t="s">
        <v>10765</v>
      </c>
      <c r="R3392" t="s">
        <v>10824</v>
      </c>
      <c r="T3392">
        <v>19200</v>
      </c>
      <c r="U3392">
        <v>1600</v>
      </c>
      <c r="V3392">
        <v>47</v>
      </c>
      <c r="W3392">
        <v>3</v>
      </c>
      <c r="X3392">
        <v>0</v>
      </c>
      <c r="Z3392">
        <v>90.01000000000001</v>
      </c>
      <c r="AA3392">
        <v>40.66729</v>
      </c>
      <c r="AB3392">
        <v>-73.957122</v>
      </c>
      <c r="AD3392" t="s">
        <v>10839</v>
      </c>
      <c r="AG3392" t="s">
        <v>10858</v>
      </c>
      <c r="AH3392" t="s">
        <v>10862</v>
      </c>
      <c r="AI3392">
        <v>239</v>
      </c>
      <c r="AJ3392" t="s">
        <v>10213</v>
      </c>
      <c r="AL3392">
        <v>0</v>
      </c>
      <c r="AM3392" t="s">
        <v>10888</v>
      </c>
      <c r="AN3392" t="s">
        <v>10923</v>
      </c>
      <c r="AO3392" t="s">
        <v>11005</v>
      </c>
      <c r="AP3392" t="s">
        <v>11061</v>
      </c>
      <c r="AR3392" t="s">
        <v>11295</v>
      </c>
      <c r="AS3392" t="s">
        <v>11595</v>
      </c>
      <c r="BA3392" t="s">
        <v>11737</v>
      </c>
      <c r="BB3392">
        <v>0</v>
      </c>
      <c r="BC3392">
        <v>0</v>
      </c>
      <c r="BD3392">
        <v>0</v>
      </c>
      <c r="BE3392">
        <v>0</v>
      </c>
      <c r="BF3392">
        <v>3</v>
      </c>
      <c r="BG3392">
        <v>0</v>
      </c>
    </row>
    <row r="3393" spans="1:59">
      <c r="A3393" s="1">
        <f>HYPERLINK("https://lsnyc.legalserver.org/matter/dynamic-profile/view/1907470","19-1907470")</f>
        <v>0</v>
      </c>
      <c r="B3393" t="s">
        <v>2845</v>
      </c>
      <c r="C3393" t="s">
        <v>7633</v>
      </c>
      <c r="D3393" t="s">
        <v>9938</v>
      </c>
      <c r="E3393" t="s">
        <v>10075</v>
      </c>
      <c r="F3393">
        <v>11435</v>
      </c>
      <c r="G3393" t="s">
        <v>10092</v>
      </c>
      <c r="H3393" t="s">
        <v>10120</v>
      </c>
      <c r="I3393" t="s">
        <v>10168</v>
      </c>
      <c r="J3393" t="s">
        <v>10212</v>
      </c>
      <c r="K3393" t="s">
        <v>10217</v>
      </c>
      <c r="M3393" t="s">
        <v>10335</v>
      </c>
      <c r="N3393" t="s">
        <v>10695</v>
      </c>
      <c r="P3393" t="s">
        <v>10749</v>
      </c>
      <c r="Q3393" t="s">
        <v>10765</v>
      </c>
      <c r="R3393" t="s">
        <v>10824</v>
      </c>
      <c r="T3393">
        <v>4800</v>
      </c>
      <c r="U3393">
        <v>400</v>
      </c>
      <c r="V3393">
        <v>52</v>
      </c>
      <c r="W3393">
        <v>2</v>
      </c>
      <c r="X3393">
        <v>5</v>
      </c>
      <c r="Z3393">
        <v>12.3</v>
      </c>
      <c r="AA3393">
        <v>40.689425</v>
      </c>
      <c r="AB3393">
        <v>-73.804007</v>
      </c>
      <c r="AD3393" t="s">
        <v>10840</v>
      </c>
      <c r="AG3393" t="s">
        <v>10858</v>
      </c>
      <c r="AH3393" t="s">
        <v>10862</v>
      </c>
      <c r="AI3393">
        <v>237</v>
      </c>
      <c r="AJ3393" t="s">
        <v>10212</v>
      </c>
      <c r="AL3393">
        <v>0.97</v>
      </c>
      <c r="AM3393" t="s">
        <v>10892</v>
      </c>
      <c r="AN3393" t="s">
        <v>10951</v>
      </c>
      <c r="AO3393" t="s">
        <v>11017</v>
      </c>
      <c r="AP3393" t="s">
        <v>11070</v>
      </c>
      <c r="AR3393" t="s">
        <v>11306</v>
      </c>
      <c r="AS3393" t="s">
        <v>11594</v>
      </c>
      <c r="BA3393" t="s">
        <v>11741</v>
      </c>
      <c r="BB3393">
        <v>0</v>
      </c>
      <c r="BC3393">
        <v>0</v>
      </c>
      <c r="BD3393">
        <v>0</v>
      </c>
      <c r="BE3393">
        <v>0</v>
      </c>
      <c r="BF3393">
        <v>1</v>
      </c>
      <c r="BG3393">
        <v>0</v>
      </c>
    </row>
    <row r="3394" spans="1:59">
      <c r="A3394" s="1">
        <f>HYPERLINK("https://lsnyc.legalserver.org/matter/dynamic-profile/view/1907471","19-1907471")</f>
        <v>0</v>
      </c>
      <c r="B3394" t="s">
        <v>689</v>
      </c>
      <c r="C3394" t="s">
        <v>7634</v>
      </c>
      <c r="D3394" t="s">
        <v>9926</v>
      </c>
      <c r="E3394" t="s">
        <v>10075</v>
      </c>
      <c r="F3394">
        <v>10457</v>
      </c>
      <c r="G3394" t="s">
        <v>10089</v>
      </c>
      <c r="H3394" t="s">
        <v>10120</v>
      </c>
      <c r="I3394" t="s">
        <v>10168</v>
      </c>
      <c r="J3394" t="s">
        <v>10209</v>
      </c>
      <c r="K3394" t="s">
        <v>10217</v>
      </c>
      <c r="M3394" t="s">
        <v>10490</v>
      </c>
      <c r="N3394" t="s">
        <v>10718</v>
      </c>
      <c r="P3394" t="s">
        <v>10750</v>
      </c>
      <c r="Q3394" t="s">
        <v>10760</v>
      </c>
      <c r="R3394" t="s">
        <v>10825</v>
      </c>
      <c r="T3394">
        <v>6000</v>
      </c>
      <c r="U3394">
        <v>500</v>
      </c>
      <c r="V3394">
        <v>49</v>
      </c>
      <c r="W3394">
        <v>2</v>
      </c>
      <c r="X3394">
        <v>2</v>
      </c>
      <c r="Z3394">
        <v>23.3</v>
      </c>
      <c r="AA3394">
        <v>40.848102</v>
      </c>
      <c r="AB3394">
        <v>-73.896124</v>
      </c>
      <c r="AD3394" t="s">
        <v>10822</v>
      </c>
      <c r="AG3394" t="s">
        <v>10858</v>
      </c>
      <c r="AH3394" t="s">
        <v>10861</v>
      </c>
      <c r="AI3394">
        <v>234</v>
      </c>
      <c r="AJ3394" t="s">
        <v>10214</v>
      </c>
      <c r="AL3394">
        <v>1.85</v>
      </c>
      <c r="AM3394" t="s">
        <v>10884</v>
      </c>
      <c r="AN3394" t="s">
        <v>10931</v>
      </c>
      <c r="AO3394" t="s">
        <v>11000</v>
      </c>
      <c r="AP3394" t="s">
        <v>11056</v>
      </c>
      <c r="AR3394" t="s">
        <v>11311</v>
      </c>
      <c r="AS3394" t="s">
        <v>9926</v>
      </c>
      <c r="AT3394" t="s">
        <v>11642</v>
      </c>
      <c r="AX3394" t="s">
        <v>10838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</row>
    <row r="3395" spans="1:59">
      <c r="A3395" s="1">
        <f>HYPERLINK("https://lsnyc.legalserver.org/matter/dynamic-profile/view/1907472","19-1907472")</f>
        <v>0</v>
      </c>
      <c r="B3395" t="s">
        <v>2846</v>
      </c>
      <c r="C3395" t="s">
        <v>7635</v>
      </c>
      <c r="D3395" t="s">
        <v>9926</v>
      </c>
      <c r="E3395" t="s">
        <v>10075</v>
      </c>
      <c r="F3395">
        <v>10467</v>
      </c>
      <c r="G3395" t="s">
        <v>10090</v>
      </c>
      <c r="H3395" t="s">
        <v>10142</v>
      </c>
      <c r="I3395" t="s">
        <v>10169</v>
      </c>
      <c r="J3395" t="s">
        <v>10210</v>
      </c>
      <c r="K3395" t="s">
        <v>10217</v>
      </c>
      <c r="M3395" t="s">
        <v>10338</v>
      </c>
      <c r="N3395" t="s">
        <v>10677</v>
      </c>
      <c r="P3395" t="s">
        <v>10749</v>
      </c>
      <c r="Q3395" t="s">
        <v>10774</v>
      </c>
      <c r="R3395" t="s">
        <v>10822</v>
      </c>
      <c r="T3395">
        <v>648</v>
      </c>
      <c r="U3395">
        <v>54</v>
      </c>
      <c r="V3395">
        <v>62</v>
      </c>
      <c r="W3395">
        <v>1</v>
      </c>
      <c r="X3395">
        <v>0</v>
      </c>
      <c r="Z3395">
        <v>5.19</v>
      </c>
      <c r="AA3395">
        <v>40.885371</v>
      </c>
      <c r="AB3395">
        <v>-73.878568</v>
      </c>
      <c r="AD3395" t="s">
        <v>10822</v>
      </c>
      <c r="AF3395" t="s">
        <v>10842</v>
      </c>
      <c r="AG3395" t="s">
        <v>10859</v>
      </c>
      <c r="AH3395" t="s">
        <v>10874</v>
      </c>
      <c r="AI3395">
        <v>230</v>
      </c>
      <c r="AJ3395" t="s">
        <v>10210</v>
      </c>
      <c r="AL3395">
        <v>4.8</v>
      </c>
      <c r="AM3395" t="s">
        <v>10887</v>
      </c>
      <c r="AN3395" t="s">
        <v>10919</v>
      </c>
      <c r="AO3395" t="s">
        <v>11010</v>
      </c>
      <c r="AP3395" t="s">
        <v>11057</v>
      </c>
      <c r="AR3395" t="s">
        <v>11507</v>
      </c>
      <c r="AS3395" t="s">
        <v>9926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</row>
    <row r="3396" spans="1:59">
      <c r="A3396" s="1">
        <f>HYPERLINK("https://lsnyc.legalserver.org/matter/dynamic-profile/view/1907473","19-1907473")</f>
        <v>0</v>
      </c>
      <c r="B3396" t="s">
        <v>2847</v>
      </c>
      <c r="C3396" t="s">
        <v>7636</v>
      </c>
      <c r="D3396" t="s">
        <v>9925</v>
      </c>
      <c r="E3396" t="s">
        <v>10075</v>
      </c>
      <c r="F3396">
        <v>10002</v>
      </c>
      <c r="G3396" t="s">
        <v>10089</v>
      </c>
      <c r="H3396" t="s">
        <v>10120</v>
      </c>
      <c r="I3396" t="s">
        <v>10168</v>
      </c>
      <c r="J3396" t="s">
        <v>10209</v>
      </c>
      <c r="K3396" t="s">
        <v>10217</v>
      </c>
      <c r="M3396" t="s">
        <v>10488</v>
      </c>
      <c r="N3396" t="s">
        <v>10649</v>
      </c>
      <c r="P3396" t="s">
        <v>10753</v>
      </c>
      <c r="Q3396" t="s">
        <v>10763</v>
      </c>
      <c r="R3396" t="s">
        <v>10821</v>
      </c>
      <c r="T3396">
        <v>1920</v>
      </c>
      <c r="U3396">
        <v>160</v>
      </c>
      <c r="V3396">
        <v>34</v>
      </c>
      <c r="W3396">
        <v>1</v>
      </c>
      <c r="X3396">
        <v>0</v>
      </c>
      <c r="Z3396">
        <v>15.37</v>
      </c>
      <c r="AA3396">
        <v>40.711999</v>
      </c>
      <c r="AB3396">
        <v>-73.985429</v>
      </c>
      <c r="AD3396" t="s">
        <v>10839</v>
      </c>
      <c r="AF3396" t="s">
        <v>10843</v>
      </c>
      <c r="AG3396" t="s">
        <v>10859</v>
      </c>
      <c r="AH3396" t="s">
        <v>10864</v>
      </c>
      <c r="AI3396">
        <v>236</v>
      </c>
      <c r="AJ3396" t="s">
        <v>10209</v>
      </c>
      <c r="AL3396">
        <v>3.25</v>
      </c>
      <c r="AM3396" t="s">
        <v>10886</v>
      </c>
      <c r="AN3396" t="s">
        <v>10963</v>
      </c>
      <c r="AO3396" t="s">
        <v>11004</v>
      </c>
      <c r="AP3396" t="s">
        <v>11093</v>
      </c>
      <c r="AQ3396" t="s">
        <v>11131</v>
      </c>
      <c r="AR3396" t="s">
        <v>11255</v>
      </c>
      <c r="AS3396" t="s">
        <v>9925</v>
      </c>
      <c r="BA3396" t="s">
        <v>11739</v>
      </c>
      <c r="BB3396">
        <v>0</v>
      </c>
      <c r="BC3396">
        <v>0</v>
      </c>
      <c r="BD3396">
        <v>0</v>
      </c>
      <c r="BE3396">
        <v>0</v>
      </c>
      <c r="BF3396">
        <v>4</v>
      </c>
      <c r="BG3396">
        <v>0</v>
      </c>
    </row>
    <row r="3397" spans="1:59">
      <c r="A3397" s="1">
        <f>HYPERLINK("https://lsnyc.legalserver.org/matter/dynamic-profile/view/1907474","19-1907474")</f>
        <v>0</v>
      </c>
      <c r="B3397" t="s">
        <v>2848</v>
      </c>
      <c r="C3397" t="s">
        <v>7637</v>
      </c>
      <c r="D3397" t="s">
        <v>9926</v>
      </c>
      <c r="E3397" t="s">
        <v>10075</v>
      </c>
      <c r="F3397">
        <v>10469</v>
      </c>
      <c r="G3397" t="s">
        <v>10090</v>
      </c>
      <c r="H3397" t="s">
        <v>10120</v>
      </c>
      <c r="I3397" t="s">
        <v>10168</v>
      </c>
      <c r="J3397" t="s">
        <v>10210</v>
      </c>
      <c r="K3397" t="s">
        <v>10217</v>
      </c>
      <c r="M3397" t="s">
        <v>10495</v>
      </c>
      <c r="N3397" t="s">
        <v>10658</v>
      </c>
      <c r="P3397" t="s">
        <v>10749</v>
      </c>
      <c r="Q3397" t="s">
        <v>10769</v>
      </c>
      <c r="R3397" t="s">
        <v>10823</v>
      </c>
      <c r="T3397">
        <v>32412</v>
      </c>
      <c r="U3397">
        <v>2701</v>
      </c>
      <c r="V3397">
        <v>52</v>
      </c>
      <c r="W3397">
        <v>1</v>
      </c>
      <c r="X3397">
        <v>0</v>
      </c>
      <c r="Z3397">
        <v>259.5</v>
      </c>
      <c r="AA3397">
        <v>40.872016</v>
      </c>
      <c r="AB3397">
        <v>-73.85149699999999</v>
      </c>
      <c r="AD3397" t="s">
        <v>10839</v>
      </c>
      <c r="AG3397" t="s">
        <v>10858</v>
      </c>
      <c r="AH3397" t="s">
        <v>10860</v>
      </c>
      <c r="AI3397">
        <v>230</v>
      </c>
      <c r="AJ3397" t="s">
        <v>10210</v>
      </c>
      <c r="AL3397">
        <v>5</v>
      </c>
      <c r="AM3397" t="s">
        <v>10893</v>
      </c>
      <c r="AN3397" t="s">
        <v>10956</v>
      </c>
      <c r="AO3397" t="s">
        <v>11010</v>
      </c>
      <c r="AP3397" t="s">
        <v>11085</v>
      </c>
      <c r="AQ3397" t="s">
        <v>11236</v>
      </c>
      <c r="AR3397" t="s">
        <v>11343</v>
      </c>
      <c r="AS3397" t="s">
        <v>9926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</row>
    <row r="3398" spans="1:59">
      <c r="A3398" s="1">
        <f>HYPERLINK("https://lsnyc.legalserver.org/matter/dynamic-profile/view/1907475","19-1907475")</f>
        <v>0</v>
      </c>
      <c r="B3398" t="s">
        <v>2849</v>
      </c>
      <c r="C3398" t="s">
        <v>7638</v>
      </c>
      <c r="D3398" t="s">
        <v>9956</v>
      </c>
      <c r="E3398" t="s">
        <v>10075</v>
      </c>
      <c r="F3398">
        <v>11365</v>
      </c>
      <c r="G3398" t="s">
        <v>10092</v>
      </c>
      <c r="H3398" t="s">
        <v>10120</v>
      </c>
      <c r="I3398" t="s">
        <v>10168</v>
      </c>
      <c r="J3398" t="s">
        <v>10212</v>
      </c>
      <c r="K3398" t="s">
        <v>10217</v>
      </c>
      <c r="M3398" t="s">
        <v>10601</v>
      </c>
      <c r="N3398" t="s">
        <v>10695</v>
      </c>
      <c r="P3398" t="s">
        <v>10749</v>
      </c>
      <c r="Q3398" t="s">
        <v>10765</v>
      </c>
      <c r="R3398" t="s">
        <v>10824</v>
      </c>
      <c r="T3398">
        <v>18000</v>
      </c>
      <c r="U3398">
        <v>1500</v>
      </c>
      <c r="V3398">
        <v>45</v>
      </c>
      <c r="W3398">
        <v>2</v>
      </c>
      <c r="X3398">
        <v>2</v>
      </c>
      <c r="Z3398">
        <v>69.90000000000001</v>
      </c>
      <c r="AA3398">
        <v>40.736594</v>
      </c>
      <c r="AB3398">
        <v>-73.811983</v>
      </c>
      <c r="AD3398" t="s">
        <v>10839</v>
      </c>
      <c r="AG3398" t="s">
        <v>10858</v>
      </c>
      <c r="AH3398" t="s">
        <v>10862</v>
      </c>
      <c r="AI3398">
        <v>237</v>
      </c>
      <c r="AJ3398" t="s">
        <v>10212</v>
      </c>
      <c r="AL3398">
        <v>39.9</v>
      </c>
      <c r="AM3398" t="s">
        <v>10890</v>
      </c>
      <c r="AN3398" t="s">
        <v>10962</v>
      </c>
      <c r="AO3398" t="s">
        <v>11009</v>
      </c>
      <c r="AP3398" t="s">
        <v>11081</v>
      </c>
      <c r="AR3398" t="s">
        <v>11268</v>
      </c>
      <c r="AS3398" t="s">
        <v>11594</v>
      </c>
      <c r="AX3398" t="s">
        <v>10838</v>
      </c>
      <c r="BA3398" t="s">
        <v>11738</v>
      </c>
      <c r="BB3398">
        <v>0</v>
      </c>
      <c r="BC3398">
        <v>0</v>
      </c>
      <c r="BD3398">
        <v>0</v>
      </c>
      <c r="BE3398">
        <v>0</v>
      </c>
      <c r="BF3398">
        <v>5</v>
      </c>
      <c r="BG3398">
        <v>0</v>
      </c>
    </row>
    <row r="3399" spans="1:59">
      <c r="A3399" s="1">
        <f>HYPERLINK("https://lsnyc.legalserver.org/matter/dynamic-profile/view/1907476","19-1907476")</f>
        <v>0</v>
      </c>
      <c r="B3399" t="s">
        <v>2850</v>
      </c>
      <c r="C3399" t="s">
        <v>7639</v>
      </c>
      <c r="D3399" t="s">
        <v>10028</v>
      </c>
      <c r="E3399" t="s">
        <v>10076</v>
      </c>
      <c r="F3399">
        <v>7305</v>
      </c>
      <c r="G3399" t="s">
        <v>10089</v>
      </c>
      <c r="H3399" t="s">
        <v>10120</v>
      </c>
      <c r="I3399" t="s">
        <v>10168</v>
      </c>
      <c r="J3399" t="s">
        <v>10209</v>
      </c>
      <c r="K3399" t="s">
        <v>10217</v>
      </c>
      <c r="M3399" t="s">
        <v>10503</v>
      </c>
      <c r="N3399" t="s">
        <v>10721</v>
      </c>
      <c r="P3399" t="s">
        <v>10754</v>
      </c>
      <c r="Q3399" t="s">
        <v>10777</v>
      </c>
      <c r="R3399" t="s">
        <v>10821</v>
      </c>
      <c r="T3399">
        <v>0</v>
      </c>
      <c r="U3399">
        <v>0</v>
      </c>
      <c r="V3399">
        <v>30</v>
      </c>
      <c r="W3399">
        <v>1</v>
      </c>
      <c r="X3399">
        <v>1</v>
      </c>
      <c r="Z3399">
        <v>0</v>
      </c>
      <c r="AA3399">
        <v>40.746714</v>
      </c>
      <c r="AB3399">
        <v>-73.99966000000001</v>
      </c>
      <c r="AD3399" t="s">
        <v>10839</v>
      </c>
      <c r="AG3399" t="s">
        <v>10858</v>
      </c>
      <c r="AH3399" t="s">
        <v>10861</v>
      </c>
      <c r="AI3399">
        <v>234</v>
      </c>
      <c r="AJ3399" t="s">
        <v>10214</v>
      </c>
      <c r="AK3399" t="s">
        <v>10837</v>
      </c>
      <c r="AL3399">
        <v>2.3</v>
      </c>
      <c r="AR3399" t="s">
        <v>11267</v>
      </c>
      <c r="AS3399" t="s">
        <v>11620</v>
      </c>
      <c r="AT3399" t="s">
        <v>11641</v>
      </c>
      <c r="AX3399" t="s">
        <v>10838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</row>
    <row r="3400" spans="1:59">
      <c r="A3400" s="1">
        <f>HYPERLINK("https://lsnyc.legalserver.org/matter/dynamic-profile/view/1907477","19-1907477")</f>
        <v>0</v>
      </c>
      <c r="B3400" t="s">
        <v>2851</v>
      </c>
      <c r="C3400" t="s">
        <v>7640</v>
      </c>
      <c r="D3400" t="s">
        <v>9929</v>
      </c>
      <c r="E3400" t="s">
        <v>10075</v>
      </c>
      <c r="F3400">
        <v>10314</v>
      </c>
      <c r="G3400" t="s">
        <v>10088</v>
      </c>
      <c r="H3400" t="s">
        <v>10120</v>
      </c>
      <c r="I3400" t="s">
        <v>10168</v>
      </c>
      <c r="J3400" t="s">
        <v>10208</v>
      </c>
      <c r="K3400" t="s">
        <v>10217</v>
      </c>
      <c r="M3400" t="s">
        <v>10255</v>
      </c>
      <c r="N3400" t="s">
        <v>10663</v>
      </c>
      <c r="P3400" t="s">
        <v>10755</v>
      </c>
      <c r="Q3400" t="s">
        <v>10772</v>
      </c>
      <c r="R3400" t="s">
        <v>10820</v>
      </c>
      <c r="T3400">
        <v>53760</v>
      </c>
      <c r="U3400">
        <v>4480</v>
      </c>
      <c r="V3400">
        <v>9</v>
      </c>
      <c r="W3400">
        <v>2</v>
      </c>
      <c r="X3400">
        <v>1</v>
      </c>
      <c r="Z3400">
        <v>252.04</v>
      </c>
      <c r="AA3400">
        <v>40.601681</v>
      </c>
      <c r="AB3400">
        <v>-74.1348</v>
      </c>
      <c r="AD3400" t="s">
        <v>10839</v>
      </c>
      <c r="AG3400" t="s">
        <v>10858</v>
      </c>
      <c r="AH3400" t="s">
        <v>10861</v>
      </c>
      <c r="AI3400">
        <v>285</v>
      </c>
      <c r="AJ3400" t="s">
        <v>10208</v>
      </c>
      <c r="AL3400">
        <v>8.5</v>
      </c>
      <c r="AM3400" t="s">
        <v>10883</v>
      </c>
      <c r="AN3400" t="s">
        <v>10928</v>
      </c>
      <c r="AO3400" t="s">
        <v>10999</v>
      </c>
      <c r="AP3400" t="s">
        <v>11051</v>
      </c>
      <c r="AR3400" t="s">
        <v>11358</v>
      </c>
      <c r="AS3400" t="s">
        <v>11593</v>
      </c>
      <c r="AT3400" t="s">
        <v>11641</v>
      </c>
      <c r="AX3400" t="s">
        <v>10838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</row>
    <row r="3401" spans="1:59">
      <c r="A3401" s="1">
        <f>HYPERLINK("https://lsnyc.legalserver.org/matter/dynamic-profile/view/1907478","19-1907478")</f>
        <v>0</v>
      </c>
      <c r="B3401" t="s">
        <v>2852</v>
      </c>
      <c r="C3401" t="s">
        <v>7641</v>
      </c>
      <c r="D3401" t="s">
        <v>9928</v>
      </c>
      <c r="E3401" t="s">
        <v>10075</v>
      </c>
      <c r="F3401">
        <v>11212</v>
      </c>
      <c r="G3401" t="s">
        <v>10093</v>
      </c>
      <c r="H3401" t="s">
        <v>10120</v>
      </c>
      <c r="I3401" t="s">
        <v>10168</v>
      </c>
      <c r="J3401" t="s">
        <v>10213</v>
      </c>
      <c r="K3401" t="s">
        <v>10218</v>
      </c>
      <c r="L3401" t="s">
        <v>10163</v>
      </c>
      <c r="M3401" t="s">
        <v>10290</v>
      </c>
      <c r="N3401" t="s">
        <v>10665</v>
      </c>
      <c r="P3401" t="s">
        <v>10751</v>
      </c>
      <c r="Q3401" t="s">
        <v>10773</v>
      </c>
      <c r="R3401" t="s">
        <v>10824</v>
      </c>
      <c r="T3401">
        <v>0</v>
      </c>
      <c r="U3401">
        <v>0</v>
      </c>
      <c r="V3401">
        <v>34</v>
      </c>
      <c r="W3401">
        <v>1</v>
      </c>
      <c r="X3401">
        <v>0</v>
      </c>
      <c r="Y3401" t="s">
        <v>10833</v>
      </c>
      <c r="Z3401">
        <v>0</v>
      </c>
      <c r="AA3401">
        <v>40.66695</v>
      </c>
      <c r="AB3401">
        <v>-73.909623</v>
      </c>
      <c r="AD3401" t="s">
        <v>10840</v>
      </c>
      <c r="AG3401" t="s">
        <v>10858</v>
      </c>
      <c r="AH3401" t="s">
        <v>10871</v>
      </c>
      <c r="AI3401">
        <v>234</v>
      </c>
      <c r="AJ3401" t="s">
        <v>10214</v>
      </c>
      <c r="AK3401" t="s">
        <v>10838</v>
      </c>
      <c r="AL3401">
        <v>13.9</v>
      </c>
      <c r="AM3401" t="s">
        <v>10888</v>
      </c>
      <c r="AN3401" t="s">
        <v>10922</v>
      </c>
      <c r="AO3401" t="s">
        <v>11005</v>
      </c>
      <c r="AP3401" t="s">
        <v>11064</v>
      </c>
      <c r="AR3401" t="s">
        <v>11267</v>
      </c>
      <c r="AS3401" t="s">
        <v>11595</v>
      </c>
      <c r="AT3401" t="s">
        <v>11642</v>
      </c>
      <c r="AX3401" t="s">
        <v>10838</v>
      </c>
      <c r="AY3401" t="s">
        <v>10833</v>
      </c>
      <c r="AZ3401" t="s">
        <v>11722</v>
      </c>
      <c r="BB3401">
        <v>0</v>
      </c>
      <c r="BC3401">
        <v>0</v>
      </c>
      <c r="BD3401">
        <v>2584</v>
      </c>
      <c r="BE3401">
        <v>1399.66</v>
      </c>
      <c r="BF3401">
        <v>0</v>
      </c>
      <c r="BG3401">
        <v>0</v>
      </c>
    </row>
    <row r="3402" spans="1:59">
      <c r="A3402" s="1">
        <f>HYPERLINK("https://lsnyc.legalserver.org/matter/dynamic-profile/view/1907479","19-1907479")</f>
        <v>0</v>
      </c>
      <c r="B3402" t="s">
        <v>2853</v>
      </c>
      <c r="C3402" t="s">
        <v>7642</v>
      </c>
      <c r="D3402" t="s">
        <v>9926</v>
      </c>
      <c r="E3402" t="s">
        <v>10075</v>
      </c>
      <c r="F3402">
        <v>10452</v>
      </c>
      <c r="G3402" t="s">
        <v>10090</v>
      </c>
      <c r="H3402" t="s">
        <v>10147</v>
      </c>
      <c r="I3402" t="s">
        <v>10168</v>
      </c>
      <c r="J3402" t="s">
        <v>10210</v>
      </c>
      <c r="K3402" t="s">
        <v>10217</v>
      </c>
      <c r="M3402" t="s">
        <v>10397</v>
      </c>
      <c r="N3402" t="s">
        <v>10711</v>
      </c>
      <c r="P3402" t="s">
        <v>10749</v>
      </c>
      <c r="Q3402" t="s">
        <v>10765</v>
      </c>
      <c r="R3402" t="s">
        <v>10824</v>
      </c>
      <c r="T3402">
        <v>64252</v>
      </c>
      <c r="U3402">
        <v>5354.33</v>
      </c>
      <c r="V3402">
        <v>61</v>
      </c>
      <c r="W3402">
        <v>3</v>
      </c>
      <c r="X3402">
        <v>0</v>
      </c>
      <c r="Z3402">
        <v>301.23</v>
      </c>
      <c r="AA3402">
        <v>40.831343</v>
      </c>
      <c r="AB3402">
        <v>-73.920689</v>
      </c>
      <c r="AD3402" t="s">
        <v>10840</v>
      </c>
      <c r="AG3402" t="s">
        <v>10858</v>
      </c>
      <c r="AH3402" t="s">
        <v>10862</v>
      </c>
      <c r="AI3402">
        <v>230</v>
      </c>
      <c r="AJ3402" t="s">
        <v>10210</v>
      </c>
      <c r="AL3402">
        <v>0</v>
      </c>
      <c r="AM3402" t="s">
        <v>10884</v>
      </c>
      <c r="AN3402" t="s">
        <v>10929</v>
      </c>
      <c r="AO3402" t="s">
        <v>11013</v>
      </c>
      <c r="AP3402" t="s">
        <v>11055</v>
      </c>
      <c r="AR3402" t="s">
        <v>11257</v>
      </c>
      <c r="AS3402" t="s">
        <v>9926</v>
      </c>
      <c r="AT3402" t="s">
        <v>11642</v>
      </c>
      <c r="AX3402" t="s">
        <v>10838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</row>
    <row r="3403" spans="1:59">
      <c r="A3403" s="1">
        <f>HYPERLINK("https://lsnyc.legalserver.org/matter/dynamic-profile/view/1907481","19-1907481")</f>
        <v>0</v>
      </c>
      <c r="B3403" t="s">
        <v>2854</v>
      </c>
      <c r="C3403" t="s">
        <v>7643</v>
      </c>
      <c r="D3403" t="s">
        <v>9928</v>
      </c>
      <c r="E3403" t="s">
        <v>10075</v>
      </c>
      <c r="F3403">
        <v>11218</v>
      </c>
      <c r="G3403" t="s">
        <v>10093</v>
      </c>
      <c r="H3403" t="s">
        <v>10120</v>
      </c>
      <c r="I3403" t="s">
        <v>10168</v>
      </c>
      <c r="J3403" t="s">
        <v>10213</v>
      </c>
      <c r="K3403" t="s">
        <v>10217</v>
      </c>
      <c r="M3403" t="s">
        <v>10583</v>
      </c>
      <c r="N3403" t="s">
        <v>10646</v>
      </c>
      <c r="P3403" t="s">
        <v>10756</v>
      </c>
      <c r="Q3403" t="s">
        <v>10787</v>
      </c>
      <c r="R3403" t="s">
        <v>10822</v>
      </c>
      <c r="T3403">
        <v>48000</v>
      </c>
      <c r="U3403">
        <v>4000</v>
      </c>
      <c r="V3403">
        <v>75</v>
      </c>
      <c r="W3403">
        <v>1</v>
      </c>
      <c r="X3403">
        <v>0</v>
      </c>
      <c r="Z3403">
        <v>384.31</v>
      </c>
      <c r="AA3403">
        <v>40.643656</v>
      </c>
      <c r="AB3403">
        <v>-73.969022</v>
      </c>
      <c r="AC3403" t="s">
        <v>10837</v>
      </c>
      <c r="AD3403" t="s">
        <v>10840</v>
      </c>
      <c r="AG3403" t="s">
        <v>10858</v>
      </c>
      <c r="AH3403" t="s">
        <v>10861</v>
      </c>
      <c r="AI3403">
        <v>234</v>
      </c>
      <c r="AJ3403" t="s">
        <v>10214</v>
      </c>
      <c r="AL3403">
        <v>0.7</v>
      </c>
      <c r="AM3403" t="s">
        <v>10888</v>
      </c>
      <c r="AN3403" t="s">
        <v>10941</v>
      </c>
      <c r="AO3403" t="s">
        <v>11008</v>
      </c>
      <c r="AP3403" t="s">
        <v>11050</v>
      </c>
      <c r="AQ3403" t="s">
        <v>11149</v>
      </c>
      <c r="AR3403" t="s">
        <v>11270</v>
      </c>
      <c r="AS3403" t="s">
        <v>11595</v>
      </c>
      <c r="AT3403" t="s">
        <v>11642</v>
      </c>
      <c r="AX3403" t="s">
        <v>10838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</row>
    <row r="3404" spans="1:59">
      <c r="A3404" s="1">
        <f>HYPERLINK("https://lsnyc.legalserver.org/matter/dynamic-profile/view/1907482","19-1907482")</f>
        <v>0</v>
      </c>
      <c r="B3404" t="s">
        <v>275</v>
      </c>
      <c r="C3404" t="s">
        <v>7644</v>
      </c>
      <c r="D3404" t="s">
        <v>9925</v>
      </c>
      <c r="E3404" t="s">
        <v>10075</v>
      </c>
      <c r="F3404">
        <v>10002</v>
      </c>
      <c r="G3404" t="s">
        <v>10089</v>
      </c>
      <c r="H3404" t="s">
        <v>10120</v>
      </c>
      <c r="I3404" t="s">
        <v>10169</v>
      </c>
      <c r="J3404" t="s">
        <v>10209</v>
      </c>
      <c r="K3404" t="s">
        <v>10217</v>
      </c>
      <c r="M3404" t="s">
        <v>10488</v>
      </c>
      <c r="N3404" t="s">
        <v>10649</v>
      </c>
      <c r="P3404" t="s">
        <v>10753</v>
      </c>
      <c r="Q3404" t="s">
        <v>10763</v>
      </c>
      <c r="R3404" t="s">
        <v>10821</v>
      </c>
      <c r="T3404">
        <v>23400</v>
      </c>
      <c r="U3404">
        <v>1950</v>
      </c>
      <c r="V3404">
        <v>57</v>
      </c>
      <c r="W3404">
        <v>3</v>
      </c>
      <c r="X3404">
        <v>0</v>
      </c>
      <c r="Z3404">
        <v>109.7</v>
      </c>
      <c r="AA3404">
        <v>40.716688</v>
      </c>
      <c r="AB3404">
        <v>-73.978754</v>
      </c>
      <c r="AD3404" t="s">
        <v>10839</v>
      </c>
      <c r="AF3404" t="s">
        <v>10843</v>
      </c>
      <c r="AG3404" t="s">
        <v>10859</v>
      </c>
      <c r="AH3404" t="s">
        <v>10864</v>
      </c>
      <c r="AI3404">
        <v>236</v>
      </c>
      <c r="AJ3404" t="s">
        <v>10209</v>
      </c>
      <c r="AL3404">
        <v>3.75</v>
      </c>
      <c r="AM3404" t="s">
        <v>10886</v>
      </c>
      <c r="AN3404" t="s">
        <v>10910</v>
      </c>
      <c r="AO3404" t="s">
        <v>11004</v>
      </c>
      <c r="AP3404" t="s">
        <v>11048</v>
      </c>
      <c r="AQ3404" t="s">
        <v>11097</v>
      </c>
      <c r="AR3404" t="s">
        <v>11257</v>
      </c>
      <c r="AS3404" t="s">
        <v>9925</v>
      </c>
      <c r="BA3404" t="s">
        <v>11739</v>
      </c>
      <c r="BB3404">
        <v>0</v>
      </c>
      <c r="BC3404">
        <v>0</v>
      </c>
      <c r="BD3404">
        <v>0</v>
      </c>
      <c r="BE3404">
        <v>0</v>
      </c>
      <c r="BF3404">
        <v>4</v>
      </c>
      <c r="BG3404">
        <v>0</v>
      </c>
    </row>
    <row r="3405" spans="1:59">
      <c r="A3405" s="1">
        <f>HYPERLINK("https://lsnyc.legalserver.org/matter/dynamic-profile/view/1907483","19-1907483")</f>
        <v>0</v>
      </c>
      <c r="B3405" t="s">
        <v>2855</v>
      </c>
      <c r="C3405" t="s">
        <v>7645</v>
      </c>
      <c r="D3405" t="s">
        <v>9930</v>
      </c>
      <c r="E3405" t="s">
        <v>10075</v>
      </c>
      <c r="F3405">
        <v>11373</v>
      </c>
      <c r="G3405" t="s">
        <v>10092</v>
      </c>
      <c r="H3405" t="s">
        <v>10120</v>
      </c>
      <c r="I3405" t="s">
        <v>10169</v>
      </c>
      <c r="J3405" t="s">
        <v>10212</v>
      </c>
      <c r="K3405" t="s">
        <v>10217</v>
      </c>
      <c r="M3405" t="s">
        <v>10347</v>
      </c>
      <c r="N3405" t="s">
        <v>10693</v>
      </c>
      <c r="P3405" t="s">
        <v>10749</v>
      </c>
      <c r="Q3405" t="s">
        <v>10765</v>
      </c>
      <c r="R3405" t="s">
        <v>10821</v>
      </c>
      <c r="T3405">
        <v>0</v>
      </c>
      <c r="U3405">
        <v>0</v>
      </c>
      <c r="V3405">
        <v>65</v>
      </c>
      <c r="W3405">
        <v>1</v>
      </c>
      <c r="X3405">
        <v>0</v>
      </c>
      <c r="Z3405">
        <v>0</v>
      </c>
      <c r="AA3405">
        <v>40.745829</v>
      </c>
      <c r="AB3405">
        <v>-73.890947</v>
      </c>
      <c r="AD3405" t="s">
        <v>10839</v>
      </c>
      <c r="AG3405" t="s">
        <v>10858</v>
      </c>
      <c r="AH3405" t="s">
        <v>10862</v>
      </c>
      <c r="AI3405">
        <v>237</v>
      </c>
      <c r="AJ3405" t="s">
        <v>10212</v>
      </c>
      <c r="AL3405">
        <v>9.1</v>
      </c>
      <c r="AM3405" t="s">
        <v>10885</v>
      </c>
      <c r="AN3405" t="s">
        <v>10949</v>
      </c>
      <c r="AO3405" t="s">
        <v>11009</v>
      </c>
      <c r="AP3405" t="s">
        <v>11053</v>
      </c>
      <c r="AR3405" t="s">
        <v>11279</v>
      </c>
      <c r="AS3405" t="s">
        <v>11594</v>
      </c>
      <c r="AT3405" t="s">
        <v>11641</v>
      </c>
      <c r="AX3405" t="s">
        <v>10838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</row>
    <row r="3406" spans="1:59">
      <c r="A3406" s="1">
        <f>HYPERLINK("https://lsnyc.legalserver.org/matter/dynamic-profile/view/1907485","19-1907485")</f>
        <v>0</v>
      </c>
      <c r="B3406" t="s">
        <v>2316</v>
      </c>
      <c r="C3406" t="s">
        <v>7101</v>
      </c>
      <c r="D3406" t="s">
        <v>9926</v>
      </c>
      <c r="E3406" t="s">
        <v>10075</v>
      </c>
      <c r="F3406">
        <v>10455</v>
      </c>
      <c r="G3406" t="s">
        <v>10090</v>
      </c>
      <c r="H3406" t="s">
        <v>10120</v>
      </c>
      <c r="I3406" t="s">
        <v>10168</v>
      </c>
      <c r="J3406" t="s">
        <v>10210</v>
      </c>
      <c r="K3406" t="s">
        <v>10217</v>
      </c>
      <c r="M3406" t="s">
        <v>10397</v>
      </c>
      <c r="N3406" t="s">
        <v>10650</v>
      </c>
      <c r="P3406" t="s">
        <v>10749</v>
      </c>
      <c r="Q3406" t="s">
        <v>10765</v>
      </c>
      <c r="R3406" t="s">
        <v>10821</v>
      </c>
      <c r="T3406">
        <v>10400</v>
      </c>
      <c r="U3406">
        <v>866.67</v>
      </c>
      <c r="V3406">
        <v>42</v>
      </c>
      <c r="W3406">
        <v>2</v>
      </c>
      <c r="X3406">
        <v>0</v>
      </c>
      <c r="Z3406">
        <v>61.5</v>
      </c>
      <c r="AA3406">
        <v>40.81463</v>
      </c>
      <c r="AB3406">
        <v>-73.898206</v>
      </c>
      <c r="AD3406" t="s">
        <v>10840</v>
      </c>
      <c r="AG3406" t="s">
        <v>10858</v>
      </c>
      <c r="AH3406" t="s">
        <v>10862</v>
      </c>
      <c r="AI3406">
        <v>230</v>
      </c>
      <c r="AJ3406" t="s">
        <v>10210</v>
      </c>
      <c r="AL3406">
        <v>6.5</v>
      </c>
      <c r="AM3406" t="s">
        <v>10884</v>
      </c>
      <c r="AN3406" t="s">
        <v>10968</v>
      </c>
      <c r="AO3406" t="s">
        <v>11001</v>
      </c>
      <c r="AP3406" t="s">
        <v>11066</v>
      </c>
      <c r="AR3406" t="s">
        <v>11257</v>
      </c>
      <c r="AS3406" t="s">
        <v>9926</v>
      </c>
      <c r="AT3406" t="s">
        <v>11642</v>
      </c>
      <c r="BA3406" t="s">
        <v>11740</v>
      </c>
      <c r="BB3406">
        <v>0</v>
      </c>
      <c r="BC3406">
        <v>0</v>
      </c>
      <c r="BD3406">
        <v>0</v>
      </c>
      <c r="BE3406">
        <v>0</v>
      </c>
      <c r="BF3406">
        <v>2</v>
      </c>
      <c r="BG3406">
        <v>0</v>
      </c>
    </row>
    <row r="3407" spans="1:59">
      <c r="A3407" s="1">
        <f>HYPERLINK("https://lsnyc.legalserver.org/matter/dynamic-profile/view/1907487","19-1907487")</f>
        <v>0</v>
      </c>
      <c r="B3407" t="s">
        <v>1509</v>
      </c>
      <c r="C3407" t="s">
        <v>6331</v>
      </c>
      <c r="D3407" t="s">
        <v>9926</v>
      </c>
      <c r="E3407" t="s">
        <v>10075</v>
      </c>
      <c r="F3407">
        <v>10460</v>
      </c>
      <c r="G3407" t="s">
        <v>10090</v>
      </c>
      <c r="H3407" t="s">
        <v>10120</v>
      </c>
      <c r="I3407" t="s">
        <v>10168</v>
      </c>
      <c r="J3407" t="s">
        <v>10210</v>
      </c>
      <c r="K3407" t="s">
        <v>10217</v>
      </c>
      <c r="M3407" t="s">
        <v>10415</v>
      </c>
      <c r="N3407" t="s">
        <v>10666</v>
      </c>
      <c r="P3407" t="s">
        <v>10749</v>
      </c>
      <c r="Q3407" t="s">
        <v>10774</v>
      </c>
      <c r="R3407" t="s">
        <v>10824</v>
      </c>
      <c r="T3407">
        <v>9252</v>
      </c>
      <c r="U3407">
        <v>771</v>
      </c>
      <c r="V3407">
        <v>56</v>
      </c>
      <c r="W3407">
        <v>1</v>
      </c>
      <c r="X3407">
        <v>0</v>
      </c>
      <c r="Z3407">
        <v>74.08</v>
      </c>
      <c r="AA3407">
        <v>40.844371</v>
      </c>
      <c r="AB3407">
        <v>-73.878775</v>
      </c>
      <c r="AD3407" t="s">
        <v>10839</v>
      </c>
      <c r="AG3407" t="s">
        <v>10858</v>
      </c>
      <c r="AH3407" t="s">
        <v>10862</v>
      </c>
      <c r="AI3407">
        <v>230</v>
      </c>
      <c r="AJ3407" t="s">
        <v>10210</v>
      </c>
      <c r="AL3407">
        <v>1</v>
      </c>
      <c r="AM3407" t="s">
        <v>10884</v>
      </c>
      <c r="AN3407" t="s">
        <v>10908</v>
      </c>
      <c r="AO3407" t="s">
        <v>11001</v>
      </c>
      <c r="AP3407" t="s">
        <v>11056</v>
      </c>
      <c r="AR3407" t="s">
        <v>11263</v>
      </c>
      <c r="AS3407" t="s">
        <v>9926</v>
      </c>
      <c r="BA3407" t="s">
        <v>11740</v>
      </c>
      <c r="BB3407">
        <v>0</v>
      </c>
      <c r="BC3407">
        <v>0</v>
      </c>
      <c r="BD3407">
        <v>0</v>
      </c>
      <c r="BE3407">
        <v>0</v>
      </c>
      <c r="BF3407">
        <v>2</v>
      </c>
      <c r="BG3407">
        <v>0</v>
      </c>
    </row>
    <row r="3408" spans="1:59">
      <c r="A3408" s="1">
        <f>HYPERLINK("https://lsnyc.legalserver.org/matter/dynamic-profile/view/1907488","19-1907488")</f>
        <v>0</v>
      </c>
      <c r="B3408" t="s">
        <v>2856</v>
      </c>
      <c r="C3408" t="s">
        <v>7646</v>
      </c>
      <c r="D3408" t="s">
        <v>9926</v>
      </c>
      <c r="E3408" t="s">
        <v>10075</v>
      </c>
      <c r="F3408">
        <v>10474</v>
      </c>
      <c r="G3408" t="s">
        <v>10090</v>
      </c>
      <c r="H3408" t="s">
        <v>10120</v>
      </c>
      <c r="I3408" t="s">
        <v>10169</v>
      </c>
      <c r="J3408" t="s">
        <v>10210</v>
      </c>
      <c r="K3408" t="s">
        <v>10217</v>
      </c>
      <c r="M3408" t="s">
        <v>10495</v>
      </c>
      <c r="N3408" t="s">
        <v>10658</v>
      </c>
      <c r="P3408" t="s">
        <v>10749</v>
      </c>
      <c r="Q3408" t="s">
        <v>10806</v>
      </c>
      <c r="R3408" t="s">
        <v>10823</v>
      </c>
      <c r="T3408">
        <v>61400</v>
      </c>
      <c r="U3408">
        <v>5116.67</v>
      </c>
      <c r="V3408">
        <v>49</v>
      </c>
      <c r="W3408">
        <v>2</v>
      </c>
      <c r="X3408">
        <v>3</v>
      </c>
      <c r="Z3408">
        <v>203.51</v>
      </c>
      <c r="AA3408">
        <v>40.818275</v>
      </c>
      <c r="AB3408">
        <v>-73.88973300000001</v>
      </c>
      <c r="AD3408" t="s">
        <v>10839</v>
      </c>
      <c r="AG3408" t="s">
        <v>10858</v>
      </c>
      <c r="AH3408" t="s">
        <v>10860</v>
      </c>
      <c r="AI3408">
        <v>230</v>
      </c>
      <c r="AJ3408" t="s">
        <v>10210</v>
      </c>
      <c r="AL3408">
        <v>4</v>
      </c>
      <c r="AM3408" t="s">
        <v>10884</v>
      </c>
      <c r="AN3408" t="s">
        <v>10968</v>
      </c>
      <c r="AO3408" t="s">
        <v>11001</v>
      </c>
      <c r="AP3408" t="s">
        <v>11062</v>
      </c>
      <c r="AR3408" t="s">
        <v>11466</v>
      </c>
      <c r="AS3408" t="s">
        <v>9926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</row>
    <row r="3409" spans="1:59">
      <c r="A3409" s="1">
        <f>HYPERLINK("https://lsnyc.legalserver.org/matter/dynamic-profile/view/1907491","19-1907491")</f>
        <v>0</v>
      </c>
      <c r="B3409" t="s">
        <v>2857</v>
      </c>
      <c r="C3409" t="s">
        <v>6651</v>
      </c>
      <c r="D3409" t="s">
        <v>9925</v>
      </c>
      <c r="E3409" t="s">
        <v>10075</v>
      </c>
      <c r="F3409">
        <v>10016</v>
      </c>
      <c r="G3409" t="s">
        <v>10089</v>
      </c>
      <c r="H3409" t="s">
        <v>10120</v>
      </c>
      <c r="I3409" t="s">
        <v>10168</v>
      </c>
      <c r="J3409" t="s">
        <v>10209</v>
      </c>
      <c r="K3409" t="s">
        <v>10217</v>
      </c>
      <c r="M3409" t="s">
        <v>10529</v>
      </c>
      <c r="N3409" t="s">
        <v>10691</v>
      </c>
      <c r="P3409" t="s">
        <v>10756</v>
      </c>
      <c r="Q3409" t="s">
        <v>10787</v>
      </c>
      <c r="R3409" t="s">
        <v>10820</v>
      </c>
      <c r="T3409">
        <v>39000</v>
      </c>
      <c r="U3409">
        <v>3250</v>
      </c>
      <c r="V3409">
        <v>96</v>
      </c>
      <c r="W3409">
        <v>1</v>
      </c>
      <c r="X3409">
        <v>0</v>
      </c>
      <c r="Z3409">
        <v>312.25</v>
      </c>
      <c r="AA3409">
        <v>40.748893</v>
      </c>
      <c r="AB3409">
        <v>-73.973091</v>
      </c>
      <c r="AC3409" t="s">
        <v>10837</v>
      </c>
      <c r="AD3409" t="s">
        <v>10840</v>
      </c>
      <c r="AG3409" t="s">
        <v>10858</v>
      </c>
      <c r="AH3409" t="s">
        <v>10861</v>
      </c>
      <c r="AI3409">
        <v>234</v>
      </c>
      <c r="AJ3409" t="s">
        <v>10214</v>
      </c>
      <c r="AL3409">
        <v>0.5</v>
      </c>
      <c r="AM3409" t="s">
        <v>10891</v>
      </c>
      <c r="AN3409" t="s">
        <v>10970</v>
      </c>
      <c r="AO3409" t="s">
        <v>11021</v>
      </c>
      <c r="AP3409" t="s">
        <v>11091</v>
      </c>
      <c r="AQ3409" t="s">
        <v>11149</v>
      </c>
      <c r="AR3409" t="s">
        <v>11422</v>
      </c>
      <c r="AS3409" t="s">
        <v>9925</v>
      </c>
      <c r="AT3409" t="s">
        <v>11642</v>
      </c>
      <c r="AX3409" t="s">
        <v>10838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</row>
    <row r="3410" spans="1:59">
      <c r="A3410" s="1">
        <f>HYPERLINK("https://lsnyc.legalserver.org/matter/dynamic-profile/view/1907492","19-1907492")</f>
        <v>0</v>
      </c>
      <c r="B3410" t="s">
        <v>2858</v>
      </c>
      <c r="C3410" t="s">
        <v>7647</v>
      </c>
      <c r="D3410" t="s">
        <v>9926</v>
      </c>
      <c r="E3410" t="s">
        <v>10075</v>
      </c>
      <c r="F3410">
        <v>10472</v>
      </c>
      <c r="G3410" t="s">
        <v>10091</v>
      </c>
      <c r="H3410" t="s">
        <v>10120</v>
      </c>
      <c r="I3410" t="s">
        <v>10168</v>
      </c>
      <c r="J3410" t="s">
        <v>10214</v>
      </c>
      <c r="K3410" t="s">
        <v>10217</v>
      </c>
      <c r="M3410" t="s">
        <v>10286</v>
      </c>
      <c r="N3410" t="s">
        <v>10646</v>
      </c>
      <c r="P3410" t="s">
        <v>10751</v>
      </c>
      <c r="Q3410" t="s">
        <v>10780</v>
      </c>
      <c r="R3410" t="s">
        <v>10821</v>
      </c>
      <c r="T3410">
        <v>35360</v>
      </c>
      <c r="U3410">
        <v>2946.67</v>
      </c>
      <c r="V3410">
        <v>40</v>
      </c>
      <c r="W3410">
        <v>2</v>
      </c>
      <c r="X3410">
        <v>2</v>
      </c>
      <c r="Z3410">
        <v>137.32</v>
      </c>
      <c r="AA3410">
        <v>40.827358</v>
      </c>
      <c r="AB3410">
        <v>-73.86412900000001</v>
      </c>
      <c r="AD3410" t="s">
        <v>10839</v>
      </c>
      <c r="AG3410" t="s">
        <v>10858</v>
      </c>
      <c r="AH3410" t="s">
        <v>10861</v>
      </c>
      <c r="AI3410">
        <v>234</v>
      </c>
      <c r="AJ3410" t="s">
        <v>10214</v>
      </c>
      <c r="AL3410">
        <v>1</v>
      </c>
      <c r="AM3410" t="s">
        <v>10884</v>
      </c>
      <c r="AN3410" t="s">
        <v>10968</v>
      </c>
      <c r="AO3410" t="s">
        <v>11001</v>
      </c>
      <c r="AP3410" t="s">
        <v>11046</v>
      </c>
      <c r="AR3410" t="s">
        <v>11272</v>
      </c>
      <c r="AS3410" t="s">
        <v>9926</v>
      </c>
      <c r="AT3410" t="s">
        <v>11641</v>
      </c>
      <c r="AX3410" t="s">
        <v>10838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</row>
    <row r="3411" spans="1:59">
      <c r="A3411" s="1">
        <f>HYPERLINK("https://lsnyc.legalserver.org/matter/dynamic-profile/view/1907493","19-1907493")</f>
        <v>0</v>
      </c>
      <c r="B3411" t="s">
        <v>2859</v>
      </c>
      <c r="C3411" t="s">
        <v>7648</v>
      </c>
      <c r="D3411" t="s">
        <v>9926</v>
      </c>
      <c r="E3411" t="s">
        <v>10075</v>
      </c>
      <c r="F3411">
        <v>10452</v>
      </c>
      <c r="G3411" t="s">
        <v>10090</v>
      </c>
      <c r="H3411" t="s">
        <v>10120</v>
      </c>
      <c r="I3411" t="s">
        <v>10168</v>
      </c>
      <c r="J3411" t="s">
        <v>10210</v>
      </c>
      <c r="K3411" t="s">
        <v>10217</v>
      </c>
      <c r="M3411" t="s">
        <v>10244</v>
      </c>
      <c r="N3411" t="s">
        <v>10650</v>
      </c>
      <c r="P3411" t="s">
        <v>10749</v>
      </c>
      <c r="Q3411" t="s">
        <v>10765</v>
      </c>
      <c r="R3411" t="s">
        <v>10828</v>
      </c>
      <c r="T3411">
        <v>20000</v>
      </c>
      <c r="U3411">
        <v>1666.67</v>
      </c>
      <c r="V3411">
        <v>44</v>
      </c>
      <c r="W3411">
        <v>2</v>
      </c>
      <c r="X3411">
        <v>3</v>
      </c>
      <c r="Z3411">
        <v>66.29000000000001</v>
      </c>
      <c r="AA3411">
        <v>40.834497</v>
      </c>
      <c r="AB3411">
        <v>-73.91848400000001</v>
      </c>
      <c r="AD3411" t="s">
        <v>10840</v>
      </c>
      <c r="AG3411" t="s">
        <v>10858</v>
      </c>
      <c r="AH3411" t="s">
        <v>10862</v>
      </c>
      <c r="AI3411">
        <v>230</v>
      </c>
      <c r="AJ3411" t="s">
        <v>10210</v>
      </c>
      <c r="AL3411">
        <v>0</v>
      </c>
      <c r="AM3411" t="s">
        <v>10884</v>
      </c>
      <c r="AN3411" t="s">
        <v>10929</v>
      </c>
      <c r="AO3411" t="s">
        <v>11013</v>
      </c>
      <c r="AP3411" t="s">
        <v>11055</v>
      </c>
      <c r="AR3411" t="s">
        <v>11257</v>
      </c>
      <c r="AS3411" t="s">
        <v>9926</v>
      </c>
      <c r="AT3411" t="s">
        <v>11642</v>
      </c>
      <c r="AU3411" t="s">
        <v>10838</v>
      </c>
      <c r="AW3411" t="s">
        <v>11673</v>
      </c>
      <c r="AX3411" t="s">
        <v>10838</v>
      </c>
      <c r="BA3411" t="s">
        <v>11741</v>
      </c>
      <c r="BB3411">
        <v>0</v>
      </c>
      <c r="BC3411">
        <v>0</v>
      </c>
      <c r="BD3411">
        <v>0</v>
      </c>
      <c r="BE3411">
        <v>0</v>
      </c>
      <c r="BF3411">
        <v>1</v>
      </c>
      <c r="BG3411">
        <v>0</v>
      </c>
    </row>
    <row r="3412" spans="1:59">
      <c r="A3412" s="1">
        <f>HYPERLINK("https://lsnyc.legalserver.org/matter/dynamic-profile/view/1907494","19-1907494")</f>
        <v>0</v>
      </c>
      <c r="B3412" t="s">
        <v>2860</v>
      </c>
      <c r="C3412" t="s">
        <v>7649</v>
      </c>
      <c r="D3412" t="s">
        <v>9925</v>
      </c>
      <c r="E3412" t="s">
        <v>10075</v>
      </c>
      <c r="F3412">
        <v>10027</v>
      </c>
      <c r="G3412" t="s">
        <v>10089</v>
      </c>
      <c r="H3412" t="s">
        <v>10120</v>
      </c>
      <c r="I3412" t="s">
        <v>10168</v>
      </c>
      <c r="J3412" t="s">
        <v>10209</v>
      </c>
      <c r="K3412" t="s">
        <v>10218</v>
      </c>
      <c r="L3412" t="s">
        <v>10141</v>
      </c>
      <c r="M3412" t="s">
        <v>10270</v>
      </c>
      <c r="N3412" t="s">
        <v>10716</v>
      </c>
      <c r="P3412" t="s">
        <v>10754</v>
      </c>
      <c r="Q3412" t="s">
        <v>10775</v>
      </c>
      <c r="R3412" t="s">
        <v>10823</v>
      </c>
      <c r="T3412">
        <v>6948</v>
      </c>
      <c r="U3412">
        <v>579</v>
      </c>
      <c r="V3412">
        <v>52</v>
      </c>
      <c r="W3412">
        <v>1</v>
      </c>
      <c r="X3412">
        <v>0</v>
      </c>
      <c r="Y3412" t="s">
        <v>10829</v>
      </c>
      <c r="Z3412">
        <v>55.63</v>
      </c>
      <c r="AA3412">
        <v>40.807865</v>
      </c>
      <c r="AB3412">
        <v>-73.943043</v>
      </c>
      <c r="AD3412" t="s">
        <v>10839</v>
      </c>
      <c r="AG3412" t="s">
        <v>10858</v>
      </c>
      <c r="AH3412" t="s">
        <v>10861</v>
      </c>
      <c r="AI3412">
        <v>234</v>
      </c>
      <c r="AJ3412" t="s">
        <v>10214</v>
      </c>
      <c r="AK3412" t="s">
        <v>10837</v>
      </c>
      <c r="AL3412">
        <v>1.25</v>
      </c>
      <c r="AM3412" t="s">
        <v>10887</v>
      </c>
      <c r="AN3412" t="s">
        <v>10936</v>
      </c>
      <c r="AO3412" t="s">
        <v>11016</v>
      </c>
      <c r="AP3412" t="s">
        <v>11076</v>
      </c>
      <c r="AR3412" t="s">
        <v>11274</v>
      </c>
      <c r="AS3412" t="s">
        <v>9925</v>
      </c>
      <c r="AT3412" t="s">
        <v>11641</v>
      </c>
      <c r="AX3412" t="s">
        <v>10838</v>
      </c>
      <c r="AY3412" t="s">
        <v>10829</v>
      </c>
      <c r="AZ3412" t="s">
        <v>11683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</row>
    <row r="3413" spans="1:59">
      <c r="A3413" s="1">
        <f>HYPERLINK("https://lsnyc.legalserver.org/matter/dynamic-profile/view/1907495","19-1907495")</f>
        <v>0</v>
      </c>
      <c r="B3413" t="s">
        <v>2861</v>
      </c>
      <c r="C3413" t="s">
        <v>7650</v>
      </c>
      <c r="D3413" t="s">
        <v>10029</v>
      </c>
      <c r="E3413" t="s">
        <v>10084</v>
      </c>
      <c r="F3413">
        <v>40065</v>
      </c>
      <c r="G3413" t="s">
        <v>10092</v>
      </c>
      <c r="H3413" t="s">
        <v>10120</v>
      </c>
      <c r="I3413" t="s">
        <v>10168</v>
      </c>
      <c r="J3413" t="s">
        <v>10212</v>
      </c>
      <c r="K3413" t="s">
        <v>10217</v>
      </c>
      <c r="M3413" t="s">
        <v>10260</v>
      </c>
      <c r="N3413" t="s">
        <v>10665</v>
      </c>
      <c r="P3413" t="s">
        <v>10751</v>
      </c>
      <c r="Q3413" t="s">
        <v>10773</v>
      </c>
      <c r="R3413" t="s">
        <v>10824</v>
      </c>
      <c r="T3413">
        <v>20400</v>
      </c>
      <c r="U3413">
        <v>1700</v>
      </c>
      <c r="V3413">
        <v>77</v>
      </c>
      <c r="W3413">
        <v>1</v>
      </c>
      <c r="X3413">
        <v>0</v>
      </c>
      <c r="Z3413">
        <v>163.33</v>
      </c>
      <c r="AA3413">
        <v>38.233307</v>
      </c>
      <c r="AB3413">
        <v>-85.238584</v>
      </c>
      <c r="AD3413" t="s">
        <v>10839</v>
      </c>
      <c r="AG3413" t="s">
        <v>10858</v>
      </c>
      <c r="AH3413" t="s">
        <v>10861</v>
      </c>
      <c r="AI3413">
        <v>234</v>
      </c>
      <c r="AJ3413" t="s">
        <v>10214</v>
      </c>
      <c r="AL3413">
        <v>6.75</v>
      </c>
      <c r="AR3413" t="s">
        <v>11300</v>
      </c>
      <c r="AS3413" t="s">
        <v>11626</v>
      </c>
      <c r="AT3413" t="s">
        <v>11641</v>
      </c>
      <c r="AX3413" t="s">
        <v>10838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</row>
    <row r="3414" spans="1:59">
      <c r="A3414" s="1">
        <f>HYPERLINK("https://lsnyc.legalserver.org/matter/dynamic-profile/view/1907496","19-1907496")</f>
        <v>0</v>
      </c>
      <c r="B3414" t="s">
        <v>2862</v>
      </c>
      <c r="C3414" t="s">
        <v>7651</v>
      </c>
      <c r="D3414" t="s">
        <v>9928</v>
      </c>
      <c r="E3414" t="s">
        <v>10075</v>
      </c>
      <c r="F3414">
        <v>11212</v>
      </c>
      <c r="G3414" t="s">
        <v>10093</v>
      </c>
      <c r="H3414" t="s">
        <v>10120</v>
      </c>
      <c r="I3414" t="s">
        <v>10168</v>
      </c>
      <c r="J3414" t="s">
        <v>10213</v>
      </c>
      <c r="K3414" t="s">
        <v>10217</v>
      </c>
      <c r="M3414" t="s">
        <v>10505</v>
      </c>
      <c r="N3414" t="s">
        <v>10650</v>
      </c>
      <c r="P3414" t="s">
        <v>10749</v>
      </c>
      <c r="Q3414" t="s">
        <v>10765</v>
      </c>
      <c r="R3414" t="s">
        <v>10824</v>
      </c>
      <c r="T3414">
        <v>23000</v>
      </c>
      <c r="U3414">
        <v>1916.67</v>
      </c>
      <c r="V3414">
        <v>67</v>
      </c>
      <c r="W3414">
        <v>1</v>
      </c>
      <c r="X3414">
        <v>0</v>
      </c>
      <c r="Z3414">
        <v>184.15</v>
      </c>
      <c r="AA3414">
        <v>40.659102</v>
      </c>
      <c r="AB3414">
        <v>-73.920571</v>
      </c>
      <c r="AD3414" t="s">
        <v>10839</v>
      </c>
      <c r="AG3414" t="s">
        <v>10858</v>
      </c>
      <c r="AH3414" t="s">
        <v>10862</v>
      </c>
      <c r="AI3414">
        <v>239</v>
      </c>
      <c r="AJ3414" t="s">
        <v>10213</v>
      </c>
      <c r="AL3414">
        <v>2.5</v>
      </c>
      <c r="AM3414" t="s">
        <v>10888</v>
      </c>
      <c r="AN3414" t="s">
        <v>10925</v>
      </c>
      <c r="AO3414" t="s">
        <v>11005</v>
      </c>
      <c r="AP3414" t="s">
        <v>11064</v>
      </c>
      <c r="AQ3414" t="s">
        <v>11101</v>
      </c>
      <c r="AR3414" t="s">
        <v>11257</v>
      </c>
      <c r="AS3414" t="s">
        <v>11595</v>
      </c>
      <c r="AT3414" t="s">
        <v>11641</v>
      </c>
      <c r="BA3414" t="s">
        <v>11738</v>
      </c>
      <c r="BB3414">
        <v>0</v>
      </c>
      <c r="BC3414">
        <v>0</v>
      </c>
      <c r="BD3414">
        <v>0</v>
      </c>
      <c r="BE3414">
        <v>0</v>
      </c>
      <c r="BF3414">
        <v>5</v>
      </c>
      <c r="BG3414">
        <v>0</v>
      </c>
    </row>
    <row r="3415" spans="1:59">
      <c r="A3415" s="1">
        <f>HYPERLINK("https://lsnyc.legalserver.org/matter/dynamic-profile/view/1907497","19-1907497")</f>
        <v>0</v>
      </c>
      <c r="B3415" t="s">
        <v>1423</v>
      </c>
      <c r="C3415" t="s">
        <v>7652</v>
      </c>
      <c r="D3415" t="s">
        <v>9928</v>
      </c>
      <c r="E3415" t="s">
        <v>10075</v>
      </c>
      <c r="F3415">
        <v>11233</v>
      </c>
      <c r="G3415" t="s">
        <v>10093</v>
      </c>
      <c r="H3415" t="s">
        <v>10152</v>
      </c>
      <c r="I3415" t="s">
        <v>10168</v>
      </c>
      <c r="J3415" t="s">
        <v>10213</v>
      </c>
      <c r="K3415" t="s">
        <v>10218</v>
      </c>
      <c r="L3415" t="s">
        <v>10101</v>
      </c>
      <c r="M3415" t="s">
        <v>10470</v>
      </c>
      <c r="N3415" t="s">
        <v>10720</v>
      </c>
      <c r="P3415" t="s">
        <v>10749</v>
      </c>
      <c r="Q3415" t="s">
        <v>10759</v>
      </c>
      <c r="R3415" t="s">
        <v>10821</v>
      </c>
      <c r="T3415">
        <v>110200</v>
      </c>
      <c r="U3415">
        <v>9183.33</v>
      </c>
      <c r="V3415">
        <v>45</v>
      </c>
      <c r="W3415">
        <v>2</v>
      </c>
      <c r="X3415">
        <v>1</v>
      </c>
      <c r="Y3415" t="s">
        <v>10829</v>
      </c>
      <c r="Z3415">
        <v>516.64</v>
      </c>
      <c r="AA3415">
        <v>40.68436</v>
      </c>
      <c r="AB3415">
        <v>-73.935923</v>
      </c>
      <c r="AC3415" t="s">
        <v>10838</v>
      </c>
      <c r="AD3415" t="s">
        <v>10839</v>
      </c>
      <c r="AG3415" t="s">
        <v>10858</v>
      </c>
      <c r="AH3415" t="s">
        <v>10860</v>
      </c>
      <c r="AI3415">
        <v>239</v>
      </c>
      <c r="AJ3415" t="s">
        <v>10213</v>
      </c>
      <c r="AK3415" t="s">
        <v>10838</v>
      </c>
      <c r="AL3415">
        <v>8.800000000000001</v>
      </c>
      <c r="AM3415" t="s">
        <v>10889</v>
      </c>
      <c r="AN3415" t="s">
        <v>10914</v>
      </c>
      <c r="AO3415" t="s">
        <v>11007</v>
      </c>
      <c r="AP3415" t="s">
        <v>11052</v>
      </c>
      <c r="AQ3415" t="s">
        <v>11098</v>
      </c>
      <c r="AR3415" t="s">
        <v>11356</v>
      </c>
      <c r="AS3415" t="s">
        <v>11595</v>
      </c>
      <c r="AY3415" t="s">
        <v>10829</v>
      </c>
      <c r="AZ3415" t="s">
        <v>11681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</row>
    <row r="3416" spans="1:59">
      <c r="A3416" s="1">
        <f>HYPERLINK("https://lsnyc.legalserver.org/matter/dynamic-profile/view/1907499","19-1907499")</f>
        <v>0</v>
      </c>
      <c r="B3416" t="s">
        <v>2863</v>
      </c>
      <c r="C3416" t="s">
        <v>7653</v>
      </c>
      <c r="D3416" t="s">
        <v>9926</v>
      </c>
      <c r="E3416" t="s">
        <v>10075</v>
      </c>
      <c r="F3416">
        <v>10464</v>
      </c>
      <c r="G3416" t="s">
        <v>10090</v>
      </c>
      <c r="H3416" t="s">
        <v>10147</v>
      </c>
      <c r="I3416" t="s">
        <v>10168</v>
      </c>
      <c r="J3416" t="s">
        <v>10210</v>
      </c>
      <c r="K3416" t="s">
        <v>10217</v>
      </c>
      <c r="M3416" t="s">
        <v>10498</v>
      </c>
      <c r="N3416" t="s">
        <v>10650</v>
      </c>
      <c r="P3416" t="s">
        <v>10749</v>
      </c>
      <c r="Q3416" t="s">
        <v>10765</v>
      </c>
      <c r="R3416" t="s">
        <v>10824</v>
      </c>
      <c r="T3416">
        <v>9768</v>
      </c>
      <c r="U3416">
        <v>814</v>
      </c>
      <c r="V3416">
        <v>62</v>
      </c>
      <c r="W3416">
        <v>1</v>
      </c>
      <c r="X3416">
        <v>0</v>
      </c>
      <c r="Z3416">
        <v>78.20999999999999</v>
      </c>
      <c r="AA3416">
        <v>40.851396</v>
      </c>
      <c r="AB3416">
        <v>-73.78845800000001</v>
      </c>
      <c r="AD3416" t="s">
        <v>10839</v>
      </c>
      <c r="AG3416" t="s">
        <v>10858</v>
      </c>
      <c r="AH3416" t="s">
        <v>10862</v>
      </c>
      <c r="AI3416">
        <v>230</v>
      </c>
      <c r="AJ3416" t="s">
        <v>10210</v>
      </c>
      <c r="AL3416">
        <v>0.5</v>
      </c>
      <c r="AM3416" t="s">
        <v>10885</v>
      </c>
      <c r="AN3416" t="s">
        <v>10911</v>
      </c>
      <c r="AO3416" t="s">
        <v>11002</v>
      </c>
      <c r="AP3416" t="s">
        <v>11049</v>
      </c>
      <c r="AR3416" t="s">
        <v>11258</v>
      </c>
      <c r="AS3416" t="s">
        <v>9926</v>
      </c>
      <c r="AT3416" t="s">
        <v>11641</v>
      </c>
      <c r="AX3416" t="s">
        <v>10838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</row>
    <row r="3417" spans="1:59">
      <c r="A3417" s="1">
        <f>HYPERLINK("https://lsnyc.legalserver.org/matter/dynamic-profile/view/1907500","19-1907500")</f>
        <v>0</v>
      </c>
      <c r="B3417" t="s">
        <v>2864</v>
      </c>
      <c r="C3417" t="s">
        <v>7654</v>
      </c>
      <c r="D3417" t="s">
        <v>9926</v>
      </c>
      <c r="E3417" t="s">
        <v>10075</v>
      </c>
      <c r="F3417">
        <v>10455</v>
      </c>
      <c r="G3417" t="s">
        <v>10090</v>
      </c>
      <c r="H3417" t="s">
        <v>10120</v>
      </c>
      <c r="J3417" t="s">
        <v>10210</v>
      </c>
      <c r="K3417" t="s">
        <v>10218</v>
      </c>
      <c r="L3417" t="s">
        <v>10137</v>
      </c>
      <c r="M3417" t="s">
        <v>10262</v>
      </c>
      <c r="N3417" t="s">
        <v>10646</v>
      </c>
      <c r="P3417" t="s">
        <v>10749</v>
      </c>
      <c r="Q3417" t="s">
        <v>10765</v>
      </c>
      <c r="R3417" t="s">
        <v>10821</v>
      </c>
      <c r="T3417">
        <v>31200</v>
      </c>
      <c r="U3417">
        <v>2600</v>
      </c>
      <c r="V3417">
        <v>59</v>
      </c>
      <c r="W3417">
        <v>1</v>
      </c>
      <c r="X3417">
        <v>0</v>
      </c>
      <c r="Y3417" t="s">
        <v>10829</v>
      </c>
      <c r="Z3417">
        <v>249.8</v>
      </c>
      <c r="AA3417">
        <v>40.816121</v>
      </c>
      <c r="AB3417">
        <v>-73.901004</v>
      </c>
      <c r="AD3417" t="s">
        <v>10840</v>
      </c>
      <c r="AG3417" t="s">
        <v>10858</v>
      </c>
      <c r="AH3417" t="s">
        <v>10861</v>
      </c>
      <c r="AI3417">
        <v>230</v>
      </c>
      <c r="AJ3417" t="s">
        <v>10210</v>
      </c>
      <c r="AK3417" t="s">
        <v>10838</v>
      </c>
      <c r="AL3417">
        <v>1</v>
      </c>
      <c r="AM3417" t="s">
        <v>10884</v>
      </c>
      <c r="AN3417" t="s">
        <v>10924</v>
      </c>
      <c r="AO3417" t="s">
        <v>11001</v>
      </c>
      <c r="AP3417" t="s">
        <v>11062</v>
      </c>
      <c r="AR3417" t="s">
        <v>11257</v>
      </c>
      <c r="AS3417" t="s">
        <v>9926</v>
      </c>
      <c r="AT3417" t="s">
        <v>11642</v>
      </c>
      <c r="AX3417" t="s">
        <v>10838</v>
      </c>
      <c r="AY3417" t="s">
        <v>10829</v>
      </c>
      <c r="AZ3417" t="s">
        <v>11681</v>
      </c>
      <c r="BA3417" t="s">
        <v>11741</v>
      </c>
      <c r="BB3417">
        <v>0</v>
      </c>
      <c r="BC3417">
        <v>0</v>
      </c>
      <c r="BD3417">
        <v>0</v>
      </c>
      <c r="BE3417">
        <v>0</v>
      </c>
      <c r="BF3417">
        <v>1</v>
      </c>
      <c r="BG3417">
        <v>0</v>
      </c>
    </row>
    <row r="3418" spans="1:59">
      <c r="A3418" s="1">
        <f>HYPERLINK("https://lsnyc.legalserver.org/matter/dynamic-profile/view/1907501","19-1907501")</f>
        <v>0</v>
      </c>
      <c r="B3418" t="s">
        <v>2865</v>
      </c>
      <c r="C3418" t="s">
        <v>7655</v>
      </c>
      <c r="D3418" t="s">
        <v>9938</v>
      </c>
      <c r="E3418" t="s">
        <v>10075</v>
      </c>
      <c r="F3418">
        <v>11434</v>
      </c>
      <c r="G3418" t="s">
        <v>10092</v>
      </c>
      <c r="H3418" t="s">
        <v>10120</v>
      </c>
      <c r="I3418" t="s">
        <v>10168</v>
      </c>
      <c r="J3418" t="s">
        <v>10212</v>
      </c>
      <c r="K3418" t="s">
        <v>10217</v>
      </c>
      <c r="M3418" t="s">
        <v>10486</v>
      </c>
      <c r="N3418" t="s">
        <v>10673</v>
      </c>
      <c r="P3418" t="s">
        <v>10753</v>
      </c>
      <c r="Q3418" t="s">
        <v>10763</v>
      </c>
      <c r="R3418" t="s">
        <v>10824</v>
      </c>
      <c r="T3418">
        <v>16000</v>
      </c>
      <c r="U3418">
        <v>1333.33</v>
      </c>
      <c r="V3418">
        <v>58</v>
      </c>
      <c r="W3418">
        <v>2</v>
      </c>
      <c r="X3418">
        <v>4</v>
      </c>
      <c r="Z3418">
        <v>46.26</v>
      </c>
      <c r="AA3418">
        <v>40.66846</v>
      </c>
      <c r="AB3418">
        <v>-73.773293</v>
      </c>
      <c r="AD3418" t="s">
        <v>10839</v>
      </c>
      <c r="AF3418" t="s">
        <v>10844</v>
      </c>
      <c r="AG3418" t="s">
        <v>10859</v>
      </c>
      <c r="AH3418" t="s">
        <v>10864</v>
      </c>
      <c r="AI3418">
        <v>237</v>
      </c>
      <c r="AJ3418" t="s">
        <v>10212</v>
      </c>
      <c r="AL3418">
        <v>2.5</v>
      </c>
      <c r="AM3418" t="s">
        <v>10892</v>
      </c>
      <c r="AN3418" t="s">
        <v>10951</v>
      </c>
      <c r="AO3418" t="s">
        <v>11017</v>
      </c>
      <c r="AP3418" t="s">
        <v>11082</v>
      </c>
      <c r="AQ3418" t="s">
        <v>11096</v>
      </c>
      <c r="AR3418" t="s">
        <v>11257</v>
      </c>
      <c r="AS3418" t="s">
        <v>11594</v>
      </c>
      <c r="AT3418" t="s">
        <v>11641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</row>
    <row r="3419" spans="1:59">
      <c r="A3419" s="1">
        <f>HYPERLINK("https://lsnyc.legalserver.org/matter/dynamic-profile/view/1907502","19-1907502")</f>
        <v>0</v>
      </c>
      <c r="B3419" t="s">
        <v>2450</v>
      </c>
      <c r="C3419" t="s">
        <v>5647</v>
      </c>
      <c r="D3419" t="s">
        <v>9926</v>
      </c>
      <c r="E3419" t="s">
        <v>10075</v>
      </c>
      <c r="F3419">
        <v>10467</v>
      </c>
      <c r="G3419" t="s">
        <v>10090</v>
      </c>
      <c r="H3419" t="s">
        <v>10120</v>
      </c>
      <c r="I3419" t="s">
        <v>10169</v>
      </c>
      <c r="J3419" t="s">
        <v>10210</v>
      </c>
      <c r="K3419" t="s">
        <v>10217</v>
      </c>
      <c r="M3419" t="s">
        <v>10310</v>
      </c>
      <c r="N3419" t="s">
        <v>10683</v>
      </c>
      <c r="P3419" t="s">
        <v>10753</v>
      </c>
      <c r="Q3419" t="s">
        <v>10763</v>
      </c>
      <c r="R3419" t="s">
        <v>10821</v>
      </c>
      <c r="T3419">
        <v>20800</v>
      </c>
      <c r="U3419">
        <v>1733.33</v>
      </c>
      <c r="V3419">
        <v>60</v>
      </c>
      <c r="W3419">
        <v>3</v>
      </c>
      <c r="X3419">
        <v>0</v>
      </c>
      <c r="Z3419">
        <v>97.52</v>
      </c>
      <c r="AA3419">
        <v>40.8793</v>
      </c>
      <c r="AB3419">
        <v>-73.87622500000001</v>
      </c>
      <c r="AD3419" t="s">
        <v>10839</v>
      </c>
      <c r="AF3419" t="s">
        <v>10842</v>
      </c>
      <c r="AG3419" t="s">
        <v>10859</v>
      </c>
      <c r="AH3419" t="s">
        <v>10865</v>
      </c>
      <c r="AI3419">
        <v>230</v>
      </c>
      <c r="AJ3419" t="s">
        <v>10210</v>
      </c>
      <c r="AL3419">
        <v>8</v>
      </c>
      <c r="AM3419" t="s">
        <v>10887</v>
      </c>
      <c r="AN3419" t="s">
        <v>10919</v>
      </c>
      <c r="AO3419" t="s">
        <v>11010</v>
      </c>
      <c r="AP3419" t="s">
        <v>11057</v>
      </c>
      <c r="AR3419" t="s">
        <v>11257</v>
      </c>
      <c r="AS3419" t="s">
        <v>9926</v>
      </c>
      <c r="AT3419" t="s">
        <v>11641</v>
      </c>
      <c r="AV3419" t="s">
        <v>11656</v>
      </c>
      <c r="AW3419" t="s">
        <v>11645</v>
      </c>
      <c r="AX3419" t="s">
        <v>10838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</row>
    <row r="3420" spans="1:59">
      <c r="A3420" s="1">
        <f>HYPERLINK("https://lsnyc.legalserver.org/matter/dynamic-profile/view/1907503","19-1907503")</f>
        <v>0</v>
      </c>
      <c r="B3420" t="s">
        <v>2866</v>
      </c>
      <c r="C3420" t="s">
        <v>7656</v>
      </c>
      <c r="D3420" t="s">
        <v>9925</v>
      </c>
      <c r="E3420" t="s">
        <v>10075</v>
      </c>
      <c r="F3420">
        <v>10035</v>
      </c>
      <c r="G3420" t="s">
        <v>10089</v>
      </c>
      <c r="H3420" t="s">
        <v>10120</v>
      </c>
      <c r="I3420" t="s">
        <v>10168</v>
      </c>
      <c r="J3420" t="s">
        <v>10209</v>
      </c>
      <c r="K3420" t="s">
        <v>10218</v>
      </c>
      <c r="L3420" t="s">
        <v>4843</v>
      </c>
      <c r="M3420" t="s">
        <v>10229</v>
      </c>
      <c r="N3420" t="s">
        <v>10645</v>
      </c>
      <c r="O3420" t="s">
        <v>10645</v>
      </c>
      <c r="P3420" t="s">
        <v>10750</v>
      </c>
      <c r="Q3420" t="s">
        <v>10781</v>
      </c>
      <c r="R3420" t="s">
        <v>10821</v>
      </c>
      <c r="T3420">
        <v>4464</v>
      </c>
      <c r="U3420">
        <v>372</v>
      </c>
      <c r="V3420">
        <v>31</v>
      </c>
      <c r="W3420">
        <v>1</v>
      </c>
      <c r="X3420">
        <v>2</v>
      </c>
      <c r="Y3420" t="s">
        <v>10829</v>
      </c>
      <c r="Z3420">
        <v>20.93</v>
      </c>
      <c r="AA3420">
        <v>40.797718</v>
      </c>
      <c r="AB3420">
        <v>-73.932102</v>
      </c>
      <c r="AD3420" t="s">
        <v>10839</v>
      </c>
      <c r="AG3420" t="s">
        <v>10858</v>
      </c>
      <c r="AH3420" t="s">
        <v>10871</v>
      </c>
      <c r="AI3420">
        <v>234</v>
      </c>
      <c r="AJ3420" t="s">
        <v>10214</v>
      </c>
      <c r="AK3420" t="s">
        <v>10838</v>
      </c>
      <c r="AL3420">
        <v>3.01</v>
      </c>
      <c r="AM3420" t="s">
        <v>10887</v>
      </c>
      <c r="AN3420" t="s">
        <v>10926</v>
      </c>
      <c r="AO3420" t="s">
        <v>11016</v>
      </c>
      <c r="AP3420" t="s">
        <v>11066</v>
      </c>
      <c r="AR3420" t="s">
        <v>11359</v>
      </c>
      <c r="AS3420" t="s">
        <v>9925</v>
      </c>
      <c r="AT3420" t="s">
        <v>11641</v>
      </c>
      <c r="AX3420" t="s">
        <v>10838</v>
      </c>
      <c r="AY3420" t="s">
        <v>10829</v>
      </c>
      <c r="AZ3420" t="s">
        <v>11679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</row>
    <row r="3421" spans="1:59">
      <c r="A3421" s="1">
        <f>HYPERLINK("https://lsnyc.legalserver.org/matter/dynamic-profile/view/1907505","19-1907505")</f>
        <v>0</v>
      </c>
      <c r="B3421" t="s">
        <v>2867</v>
      </c>
      <c r="C3421" t="s">
        <v>7657</v>
      </c>
      <c r="D3421" t="s">
        <v>9926</v>
      </c>
      <c r="E3421" t="s">
        <v>10075</v>
      </c>
      <c r="F3421">
        <v>10458</v>
      </c>
      <c r="G3421" t="s">
        <v>10090</v>
      </c>
      <c r="H3421" t="s">
        <v>10120</v>
      </c>
      <c r="I3421" t="s">
        <v>10168</v>
      </c>
      <c r="J3421" t="s">
        <v>10210</v>
      </c>
      <c r="K3421" t="s">
        <v>10217</v>
      </c>
      <c r="M3421" t="s">
        <v>10310</v>
      </c>
      <c r="N3421" t="s">
        <v>10683</v>
      </c>
      <c r="P3421" t="s">
        <v>10754</v>
      </c>
      <c r="Q3421" t="s">
        <v>10775</v>
      </c>
      <c r="R3421" t="s">
        <v>10822</v>
      </c>
      <c r="T3421">
        <v>0</v>
      </c>
      <c r="U3421">
        <v>0</v>
      </c>
      <c r="V3421">
        <v>34</v>
      </c>
      <c r="W3421">
        <v>1</v>
      </c>
      <c r="X3421">
        <v>1</v>
      </c>
      <c r="Z3421">
        <v>0</v>
      </c>
      <c r="AA3421">
        <v>40.866239</v>
      </c>
      <c r="AB3421">
        <v>-73.89313</v>
      </c>
      <c r="AD3421" t="s">
        <v>10839</v>
      </c>
      <c r="AG3421" t="s">
        <v>10858</v>
      </c>
      <c r="AH3421" t="s">
        <v>10865</v>
      </c>
      <c r="AI3421">
        <v>230</v>
      </c>
      <c r="AJ3421" t="s">
        <v>10210</v>
      </c>
      <c r="AL3421">
        <v>2</v>
      </c>
      <c r="AM3421" t="s">
        <v>10887</v>
      </c>
      <c r="AN3421" t="s">
        <v>10907</v>
      </c>
      <c r="AO3421" t="s">
        <v>11000</v>
      </c>
      <c r="AP3421" t="s">
        <v>11056</v>
      </c>
      <c r="AQ3421" t="s">
        <v>11114</v>
      </c>
      <c r="AR3421" t="s">
        <v>11267</v>
      </c>
      <c r="AS3421" t="s">
        <v>9926</v>
      </c>
      <c r="AT3421" t="s">
        <v>11641</v>
      </c>
      <c r="AV3421" t="s">
        <v>11656</v>
      </c>
      <c r="AW3421" t="s">
        <v>11645</v>
      </c>
      <c r="AX3421" t="s">
        <v>10838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</row>
    <row r="3422" spans="1:59">
      <c r="A3422" s="1">
        <f>HYPERLINK("https://lsnyc.legalserver.org/matter/dynamic-profile/view/1907506","19-1907506")</f>
        <v>0</v>
      </c>
      <c r="B3422" t="s">
        <v>2868</v>
      </c>
      <c r="C3422" t="s">
        <v>7658</v>
      </c>
      <c r="D3422" t="s">
        <v>9926</v>
      </c>
      <c r="E3422" t="s">
        <v>10075</v>
      </c>
      <c r="F3422">
        <v>10456</v>
      </c>
      <c r="G3422" t="s">
        <v>10090</v>
      </c>
      <c r="H3422" t="s">
        <v>10120</v>
      </c>
      <c r="I3422" t="s">
        <v>10168</v>
      </c>
      <c r="J3422" t="s">
        <v>10210</v>
      </c>
      <c r="K3422" t="s">
        <v>10218</v>
      </c>
      <c r="L3422" t="s">
        <v>10158</v>
      </c>
      <c r="M3422" t="s">
        <v>10514</v>
      </c>
      <c r="N3422" t="s">
        <v>10666</v>
      </c>
      <c r="P3422" t="s">
        <v>10749</v>
      </c>
      <c r="Q3422" t="s">
        <v>10765</v>
      </c>
      <c r="R3422" t="s">
        <v>10821</v>
      </c>
      <c r="T3422">
        <v>0</v>
      </c>
      <c r="U3422">
        <v>0</v>
      </c>
      <c r="V3422">
        <v>26</v>
      </c>
      <c r="W3422">
        <v>2</v>
      </c>
      <c r="X3422">
        <v>0</v>
      </c>
      <c r="Y3422" t="s">
        <v>10830</v>
      </c>
      <c r="Z3422">
        <v>0</v>
      </c>
      <c r="AA3422">
        <v>40.830374</v>
      </c>
      <c r="AB3422">
        <v>-73.91295</v>
      </c>
      <c r="AD3422" t="s">
        <v>10839</v>
      </c>
      <c r="AG3422" t="s">
        <v>10858</v>
      </c>
      <c r="AH3422" t="s">
        <v>10861</v>
      </c>
      <c r="AI3422">
        <v>230</v>
      </c>
      <c r="AJ3422" t="s">
        <v>10210</v>
      </c>
      <c r="AK3422" t="s">
        <v>10838</v>
      </c>
      <c r="AL3422">
        <v>1.4</v>
      </c>
      <c r="AM3422" t="s">
        <v>10884</v>
      </c>
      <c r="AN3422" t="s">
        <v>10929</v>
      </c>
      <c r="AO3422" t="s">
        <v>11001</v>
      </c>
      <c r="AP3422" t="s">
        <v>11055</v>
      </c>
      <c r="AR3422" t="s">
        <v>11267</v>
      </c>
      <c r="AS3422" t="s">
        <v>9926</v>
      </c>
      <c r="AT3422" t="s">
        <v>11641</v>
      </c>
      <c r="AX3422" t="s">
        <v>10838</v>
      </c>
      <c r="AY3422" t="s">
        <v>10830</v>
      </c>
      <c r="AZ3422" t="s">
        <v>11729</v>
      </c>
      <c r="BA3422" t="s">
        <v>11738</v>
      </c>
      <c r="BB3422">
        <v>0</v>
      </c>
      <c r="BC3422">
        <v>0</v>
      </c>
      <c r="BD3422">
        <v>3624.96</v>
      </c>
      <c r="BE3422">
        <v>0</v>
      </c>
      <c r="BF3422">
        <v>5</v>
      </c>
      <c r="BG3422">
        <v>0</v>
      </c>
    </row>
    <row r="3423" spans="1:59">
      <c r="A3423" s="1">
        <f>HYPERLINK("https://lsnyc.legalserver.org/matter/dynamic-profile/view/1907507","19-1907507")</f>
        <v>0</v>
      </c>
      <c r="B3423" t="s">
        <v>2869</v>
      </c>
      <c r="C3423" t="s">
        <v>7472</v>
      </c>
      <c r="D3423" t="s">
        <v>9928</v>
      </c>
      <c r="E3423" t="s">
        <v>10075</v>
      </c>
      <c r="F3423">
        <v>11225</v>
      </c>
      <c r="G3423" t="s">
        <v>10093</v>
      </c>
      <c r="H3423" t="s">
        <v>10120</v>
      </c>
      <c r="I3423" t="s">
        <v>10168</v>
      </c>
      <c r="J3423" t="s">
        <v>10213</v>
      </c>
      <c r="K3423" t="s">
        <v>10217</v>
      </c>
      <c r="M3423" t="s">
        <v>10263</v>
      </c>
      <c r="N3423" t="s">
        <v>10650</v>
      </c>
      <c r="P3423" t="s">
        <v>10749</v>
      </c>
      <c r="Q3423" t="s">
        <v>10765</v>
      </c>
      <c r="R3423" t="s">
        <v>10825</v>
      </c>
      <c r="T3423">
        <v>142000</v>
      </c>
      <c r="U3423">
        <v>11833.33</v>
      </c>
      <c r="V3423">
        <v>38</v>
      </c>
      <c r="W3423">
        <v>1</v>
      </c>
      <c r="X3423">
        <v>0</v>
      </c>
      <c r="Z3423">
        <v>1136.91</v>
      </c>
      <c r="AA3423">
        <v>40.66729</v>
      </c>
      <c r="AB3423">
        <v>-73.957122</v>
      </c>
      <c r="AD3423" t="s">
        <v>10839</v>
      </c>
      <c r="AG3423" t="s">
        <v>10858</v>
      </c>
      <c r="AH3423" t="s">
        <v>10862</v>
      </c>
      <c r="AI3423">
        <v>239</v>
      </c>
      <c r="AJ3423" t="s">
        <v>10213</v>
      </c>
      <c r="AL3423">
        <v>0</v>
      </c>
      <c r="AM3423" t="s">
        <v>10888</v>
      </c>
      <c r="AN3423" t="s">
        <v>10923</v>
      </c>
      <c r="AO3423" t="s">
        <v>11005</v>
      </c>
      <c r="AP3423" t="s">
        <v>11061</v>
      </c>
      <c r="AR3423" t="s">
        <v>11257</v>
      </c>
      <c r="AS3423" t="s">
        <v>11595</v>
      </c>
      <c r="BA3423" t="s">
        <v>11737</v>
      </c>
      <c r="BB3423">
        <v>0</v>
      </c>
      <c r="BC3423">
        <v>0</v>
      </c>
      <c r="BD3423">
        <v>0</v>
      </c>
      <c r="BE3423">
        <v>0</v>
      </c>
      <c r="BF3423">
        <v>3</v>
      </c>
      <c r="BG3423">
        <v>0</v>
      </c>
    </row>
    <row r="3424" spans="1:59">
      <c r="A3424" s="1">
        <f>HYPERLINK("https://lsnyc.legalserver.org/matter/dynamic-profile/view/1907508","19-1907508")</f>
        <v>0</v>
      </c>
      <c r="B3424" t="s">
        <v>2870</v>
      </c>
      <c r="C3424" t="s">
        <v>7659</v>
      </c>
      <c r="D3424" t="s">
        <v>9950</v>
      </c>
      <c r="E3424" t="s">
        <v>10075</v>
      </c>
      <c r="F3424">
        <v>11418</v>
      </c>
      <c r="G3424" t="s">
        <v>10092</v>
      </c>
      <c r="H3424" t="s">
        <v>10120</v>
      </c>
      <c r="J3424" t="s">
        <v>10212</v>
      </c>
      <c r="K3424" t="s">
        <v>10217</v>
      </c>
      <c r="M3424" t="s">
        <v>10343</v>
      </c>
      <c r="N3424" t="s">
        <v>10695</v>
      </c>
      <c r="P3424" t="s">
        <v>10749</v>
      </c>
      <c r="Q3424" t="s">
        <v>10765</v>
      </c>
      <c r="R3424" t="s">
        <v>10821</v>
      </c>
      <c r="T3424">
        <v>0</v>
      </c>
      <c r="U3424">
        <v>0</v>
      </c>
      <c r="V3424">
        <v>24</v>
      </c>
      <c r="W3424">
        <v>1</v>
      </c>
      <c r="X3424">
        <v>2</v>
      </c>
      <c r="Z3424">
        <v>0</v>
      </c>
      <c r="AA3424">
        <v>40.695236</v>
      </c>
      <c r="AB3424">
        <v>-73.838756</v>
      </c>
      <c r="AD3424" t="s">
        <v>10839</v>
      </c>
      <c r="AG3424" t="s">
        <v>10858</v>
      </c>
      <c r="AH3424" t="s">
        <v>10862</v>
      </c>
      <c r="AI3424">
        <v>237</v>
      </c>
      <c r="AJ3424" t="s">
        <v>10212</v>
      </c>
      <c r="AL3424">
        <v>1.2</v>
      </c>
      <c r="AM3424" t="s">
        <v>10892</v>
      </c>
      <c r="AN3424" t="s">
        <v>10945</v>
      </c>
      <c r="AO3424" t="s">
        <v>11017</v>
      </c>
      <c r="AP3424" t="s">
        <v>11088</v>
      </c>
      <c r="AR3424" t="s">
        <v>11279</v>
      </c>
      <c r="AS3424" t="s">
        <v>11594</v>
      </c>
      <c r="AT3424" t="s">
        <v>11641</v>
      </c>
      <c r="AX3424" t="s">
        <v>11678</v>
      </c>
      <c r="BA3424" t="s">
        <v>11741</v>
      </c>
      <c r="BB3424">
        <v>0</v>
      </c>
      <c r="BC3424">
        <v>0</v>
      </c>
      <c r="BD3424">
        <v>0</v>
      </c>
      <c r="BE3424">
        <v>0</v>
      </c>
      <c r="BF3424">
        <v>1</v>
      </c>
      <c r="BG3424">
        <v>0</v>
      </c>
    </row>
    <row r="3425" spans="1:59">
      <c r="A3425" s="1">
        <f>HYPERLINK("https://lsnyc.legalserver.org/matter/dynamic-profile/view/1907509","19-1907509")</f>
        <v>0</v>
      </c>
      <c r="B3425" t="s">
        <v>2871</v>
      </c>
      <c r="C3425" t="s">
        <v>7660</v>
      </c>
      <c r="D3425" t="s">
        <v>9928</v>
      </c>
      <c r="E3425" t="s">
        <v>10075</v>
      </c>
      <c r="F3425">
        <v>11207</v>
      </c>
      <c r="G3425" t="s">
        <v>10093</v>
      </c>
      <c r="H3425" t="s">
        <v>10120</v>
      </c>
      <c r="I3425" t="s">
        <v>10168</v>
      </c>
      <c r="J3425" t="s">
        <v>10213</v>
      </c>
      <c r="K3425" t="s">
        <v>10218</v>
      </c>
      <c r="L3425" t="s">
        <v>10140</v>
      </c>
      <c r="M3425" t="s">
        <v>10268</v>
      </c>
      <c r="N3425" t="s">
        <v>10657</v>
      </c>
      <c r="P3425" t="s">
        <v>10754</v>
      </c>
      <c r="Q3425" t="s">
        <v>10771</v>
      </c>
      <c r="R3425" t="s">
        <v>10824</v>
      </c>
      <c r="T3425">
        <v>20000</v>
      </c>
      <c r="U3425">
        <v>1666.67</v>
      </c>
      <c r="V3425">
        <v>54</v>
      </c>
      <c r="W3425">
        <v>1</v>
      </c>
      <c r="X3425">
        <v>0</v>
      </c>
      <c r="Y3425" t="s">
        <v>10829</v>
      </c>
      <c r="Z3425">
        <v>160.13</v>
      </c>
      <c r="AA3425">
        <v>40.65739</v>
      </c>
      <c r="AB3425">
        <v>-73.88724999999999</v>
      </c>
      <c r="AD3425" t="s">
        <v>10840</v>
      </c>
      <c r="AG3425" t="s">
        <v>10858</v>
      </c>
      <c r="AH3425" t="s">
        <v>10862</v>
      </c>
      <c r="AI3425">
        <v>239</v>
      </c>
      <c r="AJ3425" t="s">
        <v>10213</v>
      </c>
      <c r="AK3425" t="s">
        <v>10838</v>
      </c>
      <c r="AL3425">
        <v>1</v>
      </c>
      <c r="AM3425" t="s">
        <v>10889</v>
      </c>
      <c r="AN3425" t="s">
        <v>10946</v>
      </c>
      <c r="AO3425" t="s">
        <v>11012</v>
      </c>
      <c r="AP3425" t="s">
        <v>11060</v>
      </c>
      <c r="AQ3425" t="s">
        <v>11209</v>
      </c>
      <c r="AR3425" t="s">
        <v>11257</v>
      </c>
      <c r="AS3425" t="s">
        <v>11595</v>
      </c>
      <c r="AX3425" t="s">
        <v>10838</v>
      </c>
      <c r="AY3425" t="s">
        <v>10829</v>
      </c>
      <c r="AZ3425" t="s">
        <v>11683</v>
      </c>
      <c r="BA3425" t="s">
        <v>11741</v>
      </c>
      <c r="BB3425">
        <v>0</v>
      </c>
      <c r="BC3425">
        <v>0</v>
      </c>
      <c r="BD3425">
        <v>0</v>
      </c>
      <c r="BE3425">
        <v>0</v>
      </c>
      <c r="BF3425">
        <v>1</v>
      </c>
      <c r="BG3425">
        <v>0</v>
      </c>
    </row>
    <row r="3426" spans="1:59">
      <c r="A3426" s="1">
        <f>HYPERLINK("https://lsnyc.legalserver.org/matter/dynamic-profile/view/1907510","19-1907510")</f>
        <v>0</v>
      </c>
      <c r="B3426" t="s">
        <v>2872</v>
      </c>
      <c r="C3426" t="s">
        <v>7661</v>
      </c>
      <c r="D3426" t="s">
        <v>9926</v>
      </c>
      <c r="E3426" t="s">
        <v>10075</v>
      </c>
      <c r="F3426">
        <v>10453</v>
      </c>
      <c r="G3426" t="s">
        <v>10090</v>
      </c>
      <c r="H3426" t="s">
        <v>10120</v>
      </c>
      <c r="I3426" t="s">
        <v>10169</v>
      </c>
      <c r="J3426" t="s">
        <v>10210</v>
      </c>
      <c r="K3426" t="s">
        <v>10218</v>
      </c>
      <c r="L3426" t="s">
        <v>10100</v>
      </c>
      <c r="M3426" t="s">
        <v>10262</v>
      </c>
      <c r="N3426" t="s">
        <v>10646</v>
      </c>
      <c r="P3426" t="s">
        <v>10749</v>
      </c>
      <c r="Q3426" t="s">
        <v>10765</v>
      </c>
      <c r="R3426" t="s">
        <v>10823</v>
      </c>
      <c r="T3426">
        <v>43200</v>
      </c>
      <c r="U3426">
        <v>3600</v>
      </c>
      <c r="V3426">
        <v>53</v>
      </c>
      <c r="W3426">
        <v>1</v>
      </c>
      <c r="X3426">
        <v>0</v>
      </c>
      <c r="Y3426" t="s">
        <v>10829</v>
      </c>
      <c r="Z3426">
        <v>345.88</v>
      </c>
      <c r="AA3426">
        <v>40.855759</v>
      </c>
      <c r="AB3426">
        <v>-73.902553</v>
      </c>
      <c r="AD3426" t="s">
        <v>10839</v>
      </c>
      <c r="AF3426" t="s">
        <v>10843</v>
      </c>
      <c r="AG3426" t="s">
        <v>10859</v>
      </c>
      <c r="AH3426" t="s">
        <v>10862</v>
      </c>
      <c r="AI3426">
        <v>230</v>
      </c>
      <c r="AJ3426" t="s">
        <v>10210</v>
      </c>
      <c r="AK3426" t="s">
        <v>10838</v>
      </c>
      <c r="AL3426">
        <v>1</v>
      </c>
      <c r="AM3426" t="s">
        <v>10884</v>
      </c>
      <c r="AN3426" t="s">
        <v>10931</v>
      </c>
      <c r="AO3426" t="s">
        <v>11000</v>
      </c>
      <c r="AP3426" t="s">
        <v>11045</v>
      </c>
      <c r="AR3426" t="s">
        <v>11257</v>
      </c>
      <c r="AS3426" t="s">
        <v>9926</v>
      </c>
      <c r="AT3426" t="s">
        <v>11641</v>
      </c>
      <c r="AX3426" t="s">
        <v>10838</v>
      </c>
      <c r="AY3426" t="s">
        <v>10829</v>
      </c>
      <c r="AZ3426" t="s">
        <v>11681</v>
      </c>
      <c r="BA3426" t="s">
        <v>11741</v>
      </c>
      <c r="BB3426">
        <v>0</v>
      </c>
      <c r="BC3426">
        <v>0</v>
      </c>
      <c r="BD3426">
        <v>0</v>
      </c>
      <c r="BE3426">
        <v>0</v>
      </c>
      <c r="BF3426">
        <v>1</v>
      </c>
      <c r="BG3426">
        <v>0</v>
      </c>
    </row>
    <row r="3427" spans="1:59">
      <c r="A3427" s="1">
        <f>HYPERLINK("https://lsnyc.legalserver.org/matter/dynamic-profile/view/1907511","19-1907511")</f>
        <v>0</v>
      </c>
      <c r="B3427" t="s">
        <v>2873</v>
      </c>
      <c r="C3427" t="s">
        <v>7662</v>
      </c>
      <c r="D3427" t="s">
        <v>9949</v>
      </c>
      <c r="E3427" t="s">
        <v>10075</v>
      </c>
      <c r="F3427">
        <v>11413</v>
      </c>
      <c r="G3427" t="s">
        <v>10092</v>
      </c>
      <c r="H3427" t="s">
        <v>10120</v>
      </c>
      <c r="I3427" t="s">
        <v>10168</v>
      </c>
      <c r="J3427" t="s">
        <v>10212</v>
      </c>
      <c r="K3427" t="s">
        <v>10218</v>
      </c>
      <c r="L3427" t="s">
        <v>10167</v>
      </c>
      <c r="M3427" t="s">
        <v>10342</v>
      </c>
      <c r="N3427" t="s">
        <v>10650</v>
      </c>
      <c r="P3427" t="s">
        <v>10749</v>
      </c>
      <c r="Q3427" t="s">
        <v>10765</v>
      </c>
      <c r="R3427" t="s">
        <v>10824</v>
      </c>
      <c r="T3427">
        <v>5000</v>
      </c>
      <c r="U3427">
        <v>416.67</v>
      </c>
      <c r="V3427">
        <v>28</v>
      </c>
      <c r="W3427">
        <v>1</v>
      </c>
      <c r="X3427">
        <v>1</v>
      </c>
      <c r="Y3427" t="s">
        <v>10829</v>
      </c>
      <c r="Z3427">
        <v>29.57</v>
      </c>
      <c r="AA3427">
        <v>40.669675</v>
      </c>
      <c r="AB3427">
        <v>-73.762163</v>
      </c>
      <c r="AD3427" t="s">
        <v>10840</v>
      </c>
      <c r="AG3427" t="s">
        <v>10858</v>
      </c>
      <c r="AH3427" t="s">
        <v>10862</v>
      </c>
      <c r="AI3427">
        <v>237</v>
      </c>
      <c r="AJ3427" t="s">
        <v>10212</v>
      </c>
      <c r="AK3427" t="s">
        <v>10882</v>
      </c>
      <c r="AL3427">
        <v>2.01</v>
      </c>
      <c r="AM3427" t="s">
        <v>10892</v>
      </c>
      <c r="AN3427" t="s">
        <v>10955</v>
      </c>
      <c r="AO3427" t="s">
        <v>11017</v>
      </c>
      <c r="AP3427" t="s">
        <v>11082</v>
      </c>
      <c r="AR3427" t="s">
        <v>11262</v>
      </c>
      <c r="AS3427" t="s">
        <v>11594</v>
      </c>
      <c r="AT3427" t="s">
        <v>11642</v>
      </c>
      <c r="AX3427" t="s">
        <v>10838</v>
      </c>
      <c r="AY3427" t="s">
        <v>10829</v>
      </c>
      <c r="AZ3427" t="s">
        <v>11681</v>
      </c>
      <c r="BA3427" t="s">
        <v>11741</v>
      </c>
      <c r="BB3427">
        <v>0</v>
      </c>
      <c r="BC3427">
        <v>0</v>
      </c>
      <c r="BD3427">
        <v>0</v>
      </c>
      <c r="BE3427">
        <v>0</v>
      </c>
      <c r="BF3427">
        <v>1</v>
      </c>
      <c r="BG3427">
        <v>0</v>
      </c>
    </row>
    <row r="3428" spans="1:59">
      <c r="A3428" s="1">
        <f>HYPERLINK("https://lsnyc.legalserver.org/matter/dynamic-profile/view/1907512","19-1907512")</f>
        <v>0</v>
      </c>
      <c r="B3428" t="s">
        <v>2874</v>
      </c>
      <c r="C3428" t="s">
        <v>7663</v>
      </c>
      <c r="D3428" t="s">
        <v>9950</v>
      </c>
      <c r="E3428" t="s">
        <v>10075</v>
      </c>
      <c r="F3428">
        <v>11418</v>
      </c>
      <c r="G3428" t="s">
        <v>10092</v>
      </c>
      <c r="H3428" t="s">
        <v>10120</v>
      </c>
      <c r="J3428" t="s">
        <v>10212</v>
      </c>
      <c r="K3428" t="s">
        <v>10217</v>
      </c>
      <c r="M3428" t="s">
        <v>10410</v>
      </c>
      <c r="N3428" t="s">
        <v>10695</v>
      </c>
      <c r="P3428" t="s">
        <v>10749</v>
      </c>
      <c r="Q3428" t="s">
        <v>10765</v>
      </c>
      <c r="R3428" t="s">
        <v>10820</v>
      </c>
      <c r="T3428">
        <v>10608</v>
      </c>
      <c r="U3428">
        <v>884</v>
      </c>
      <c r="V3428">
        <v>41</v>
      </c>
      <c r="W3428">
        <v>1</v>
      </c>
      <c r="X3428">
        <v>1</v>
      </c>
      <c r="Z3428">
        <v>62.73</v>
      </c>
      <c r="AA3428">
        <v>40.701267</v>
      </c>
      <c r="AB3428">
        <v>-73.84075799999999</v>
      </c>
      <c r="AD3428" t="s">
        <v>10839</v>
      </c>
      <c r="AG3428" t="s">
        <v>10858</v>
      </c>
      <c r="AH3428" t="s">
        <v>10862</v>
      </c>
      <c r="AI3428">
        <v>237</v>
      </c>
      <c r="AJ3428" t="s">
        <v>10212</v>
      </c>
      <c r="AL3428">
        <v>1.9</v>
      </c>
      <c r="AM3428" t="s">
        <v>10890</v>
      </c>
      <c r="AN3428" t="s">
        <v>10952</v>
      </c>
      <c r="AO3428" t="s">
        <v>11024</v>
      </c>
      <c r="AP3428" t="s">
        <v>11088</v>
      </c>
      <c r="AR3428" t="s">
        <v>11320</v>
      </c>
      <c r="AS3428" t="s">
        <v>11594</v>
      </c>
      <c r="AT3428" t="s">
        <v>11641</v>
      </c>
      <c r="AX3428" t="s">
        <v>10838</v>
      </c>
      <c r="BA3428" t="s">
        <v>11741</v>
      </c>
      <c r="BB3428">
        <v>0</v>
      </c>
      <c r="BC3428">
        <v>0</v>
      </c>
      <c r="BD3428">
        <v>0</v>
      </c>
      <c r="BE3428">
        <v>0</v>
      </c>
      <c r="BF3428">
        <v>1</v>
      </c>
      <c r="BG3428">
        <v>0</v>
      </c>
    </row>
    <row r="3429" spans="1:59">
      <c r="A3429" s="1">
        <f>HYPERLINK("https://lsnyc.legalserver.org/matter/dynamic-profile/view/1907513","19-1907513")</f>
        <v>0</v>
      </c>
      <c r="B3429" t="s">
        <v>2875</v>
      </c>
      <c r="C3429" t="s">
        <v>7664</v>
      </c>
      <c r="D3429" t="s">
        <v>9926</v>
      </c>
      <c r="E3429" t="s">
        <v>10075</v>
      </c>
      <c r="F3429">
        <v>10452</v>
      </c>
      <c r="G3429" t="s">
        <v>10090</v>
      </c>
      <c r="H3429" t="s">
        <v>10120</v>
      </c>
      <c r="J3429" t="s">
        <v>10210</v>
      </c>
      <c r="K3429" t="s">
        <v>10217</v>
      </c>
      <c r="M3429" t="s">
        <v>10535</v>
      </c>
      <c r="N3429" t="s">
        <v>10650</v>
      </c>
      <c r="P3429" t="s">
        <v>10749</v>
      </c>
      <c r="Q3429" t="s">
        <v>10765</v>
      </c>
      <c r="R3429" t="s">
        <v>10824</v>
      </c>
      <c r="T3429">
        <v>8400</v>
      </c>
      <c r="U3429">
        <v>700</v>
      </c>
      <c r="V3429">
        <v>51</v>
      </c>
      <c r="W3429">
        <v>1</v>
      </c>
      <c r="X3429">
        <v>0</v>
      </c>
      <c r="Z3429">
        <v>67.25</v>
      </c>
      <c r="AA3429">
        <v>40.838282</v>
      </c>
      <c r="AB3429">
        <v>-73.916257</v>
      </c>
      <c r="AD3429" t="s">
        <v>10840</v>
      </c>
      <c r="AG3429" t="s">
        <v>10858</v>
      </c>
      <c r="AH3429" t="s">
        <v>10862</v>
      </c>
      <c r="AI3429">
        <v>230</v>
      </c>
      <c r="AJ3429" t="s">
        <v>10210</v>
      </c>
      <c r="AL3429">
        <v>0.6</v>
      </c>
      <c r="AM3429" t="s">
        <v>10884</v>
      </c>
      <c r="AN3429" t="s">
        <v>10924</v>
      </c>
      <c r="AO3429" t="s">
        <v>11013</v>
      </c>
      <c r="AP3429" t="s">
        <v>11055</v>
      </c>
      <c r="AR3429" t="s">
        <v>11263</v>
      </c>
      <c r="AS3429" t="s">
        <v>9926</v>
      </c>
      <c r="AX3429" t="s">
        <v>10837</v>
      </c>
      <c r="BA3429" t="s">
        <v>11741</v>
      </c>
      <c r="BB3429">
        <v>0</v>
      </c>
      <c r="BC3429">
        <v>0</v>
      </c>
      <c r="BD3429">
        <v>0</v>
      </c>
      <c r="BE3429">
        <v>0</v>
      </c>
      <c r="BF3429">
        <v>1</v>
      </c>
      <c r="BG3429">
        <v>0</v>
      </c>
    </row>
    <row r="3430" spans="1:59">
      <c r="A3430" s="1">
        <f>HYPERLINK("https://lsnyc.legalserver.org/matter/dynamic-profile/view/1907514","19-1907514")</f>
        <v>0</v>
      </c>
      <c r="B3430" t="s">
        <v>2625</v>
      </c>
      <c r="C3430" t="s">
        <v>7472</v>
      </c>
      <c r="D3430" t="s">
        <v>9928</v>
      </c>
      <c r="E3430" t="s">
        <v>10075</v>
      </c>
      <c r="F3430">
        <v>11225</v>
      </c>
      <c r="G3430" t="s">
        <v>10093</v>
      </c>
      <c r="H3430" t="s">
        <v>10120</v>
      </c>
      <c r="I3430" t="s">
        <v>10168</v>
      </c>
      <c r="J3430" t="s">
        <v>10213</v>
      </c>
      <c r="K3430" t="s">
        <v>10217</v>
      </c>
      <c r="M3430" t="s">
        <v>10263</v>
      </c>
      <c r="N3430" t="s">
        <v>10650</v>
      </c>
      <c r="O3430" t="s">
        <v>10653</v>
      </c>
      <c r="P3430" t="s">
        <v>10749</v>
      </c>
      <c r="Q3430" t="s">
        <v>10765</v>
      </c>
      <c r="R3430" t="s">
        <v>10824</v>
      </c>
      <c r="T3430">
        <v>0</v>
      </c>
      <c r="U3430">
        <v>0</v>
      </c>
      <c r="V3430">
        <v>41</v>
      </c>
      <c r="W3430">
        <v>3</v>
      </c>
      <c r="X3430">
        <v>2</v>
      </c>
      <c r="Z3430">
        <v>0</v>
      </c>
      <c r="AA3430">
        <v>40.66729</v>
      </c>
      <c r="AB3430">
        <v>-73.957122</v>
      </c>
      <c r="AD3430" t="s">
        <v>10840</v>
      </c>
      <c r="AG3430" t="s">
        <v>10858</v>
      </c>
      <c r="AH3430" t="s">
        <v>10862</v>
      </c>
      <c r="AI3430">
        <v>239</v>
      </c>
      <c r="AJ3430" t="s">
        <v>10213</v>
      </c>
      <c r="AL3430">
        <v>0</v>
      </c>
      <c r="AM3430" t="s">
        <v>10888</v>
      </c>
      <c r="AN3430" t="s">
        <v>10923</v>
      </c>
      <c r="AO3430" t="s">
        <v>11005</v>
      </c>
      <c r="AP3430" t="s">
        <v>11061</v>
      </c>
      <c r="AR3430" t="s">
        <v>10180</v>
      </c>
      <c r="AS3430" t="s">
        <v>11595</v>
      </c>
      <c r="BA3430" t="s">
        <v>11737</v>
      </c>
      <c r="BB3430">
        <v>0</v>
      </c>
      <c r="BC3430">
        <v>0</v>
      </c>
      <c r="BD3430">
        <v>0</v>
      </c>
      <c r="BE3430">
        <v>0</v>
      </c>
      <c r="BF3430">
        <v>3</v>
      </c>
      <c r="BG3430">
        <v>0</v>
      </c>
    </row>
    <row r="3431" spans="1:59">
      <c r="A3431" s="1">
        <f>HYPERLINK("https://lsnyc.legalserver.org/matter/dynamic-profile/view/1907515","19-1907515")</f>
        <v>0</v>
      </c>
      <c r="B3431" t="s">
        <v>1440</v>
      </c>
      <c r="C3431" t="s">
        <v>7665</v>
      </c>
      <c r="D3431" t="s">
        <v>9926</v>
      </c>
      <c r="E3431" t="s">
        <v>10075</v>
      </c>
      <c r="F3431">
        <v>10466</v>
      </c>
      <c r="G3431" t="s">
        <v>10090</v>
      </c>
      <c r="H3431" t="s">
        <v>10120</v>
      </c>
      <c r="I3431" t="s">
        <v>10168</v>
      </c>
      <c r="J3431" t="s">
        <v>10210</v>
      </c>
      <c r="K3431" t="s">
        <v>10218</v>
      </c>
      <c r="L3431" t="s">
        <v>10166</v>
      </c>
      <c r="M3431" t="s">
        <v>10262</v>
      </c>
      <c r="N3431" t="s">
        <v>10646</v>
      </c>
      <c r="P3431" t="s">
        <v>10749</v>
      </c>
      <c r="Q3431" t="s">
        <v>10767</v>
      </c>
      <c r="R3431" t="s">
        <v>10821</v>
      </c>
      <c r="T3431">
        <v>45500</v>
      </c>
      <c r="U3431">
        <v>3791.67</v>
      </c>
      <c r="V3431">
        <v>56</v>
      </c>
      <c r="W3431">
        <v>2</v>
      </c>
      <c r="X3431">
        <v>1</v>
      </c>
      <c r="Y3431" t="s">
        <v>10829</v>
      </c>
      <c r="Z3431">
        <v>213.31</v>
      </c>
      <c r="AA3431">
        <v>40.88372</v>
      </c>
      <c r="AB3431">
        <v>-73.84714200000001</v>
      </c>
      <c r="AD3431" t="s">
        <v>10839</v>
      </c>
      <c r="AG3431" t="s">
        <v>10858</v>
      </c>
      <c r="AH3431" t="s">
        <v>10861</v>
      </c>
      <c r="AI3431">
        <v>230</v>
      </c>
      <c r="AJ3431" t="s">
        <v>10210</v>
      </c>
      <c r="AK3431" t="s">
        <v>10838</v>
      </c>
      <c r="AL3431">
        <v>0.6</v>
      </c>
      <c r="AM3431" t="s">
        <v>10893</v>
      </c>
      <c r="AN3431" t="s">
        <v>10956</v>
      </c>
      <c r="AO3431" t="s">
        <v>11010</v>
      </c>
      <c r="AP3431" t="s">
        <v>11085</v>
      </c>
      <c r="AR3431" t="s">
        <v>11257</v>
      </c>
      <c r="AS3431" t="s">
        <v>9926</v>
      </c>
      <c r="AT3431" t="s">
        <v>11641</v>
      </c>
      <c r="AX3431" t="s">
        <v>10838</v>
      </c>
      <c r="AY3431" t="s">
        <v>10829</v>
      </c>
      <c r="AZ3431" t="s">
        <v>11681</v>
      </c>
      <c r="BA3431" t="s">
        <v>11741</v>
      </c>
      <c r="BB3431">
        <v>0</v>
      </c>
      <c r="BC3431">
        <v>0</v>
      </c>
      <c r="BD3431">
        <v>0</v>
      </c>
      <c r="BE3431">
        <v>0</v>
      </c>
      <c r="BF3431">
        <v>1</v>
      </c>
      <c r="BG3431">
        <v>0</v>
      </c>
    </row>
    <row r="3432" spans="1:59">
      <c r="A3432" s="1">
        <f>HYPERLINK("https://lsnyc.legalserver.org/matter/dynamic-profile/view/1907516","19-1907516")</f>
        <v>0</v>
      </c>
      <c r="B3432" t="s">
        <v>1414</v>
      </c>
      <c r="C3432" t="s">
        <v>6238</v>
      </c>
      <c r="D3432" t="s">
        <v>9926</v>
      </c>
      <c r="E3432" t="s">
        <v>10075</v>
      </c>
      <c r="F3432">
        <v>10456</v>
      </c>
      <c r="G3432" t="s">
        <v>10090</v>
      </c>
      <c r="H3432" t="s">
        <v>10120</v>
      </c>
      <c r="J3432" t="s">
        <v>10210</v>
      </c>
      <c r="K3432" t="s">
        <v>10217</v>
      </c>
      <c r="M3432" t="s">
        <v>10244</v>
      </c>
      <c r="N3432" t="s">
        <v>10650</v>
      </c>
      <c r="O3432" t="s">
        <v>10650</v>
      </c>
      <c r="P3432" t="s">
        <v>10749</v>
      </c>
      <c r="Q3432" t="s">
        <v>10765</v>
      </c>
      <c r="R3432" t="s">
        <v>10824</v>
      </c>
      <c r="T3432">
        <v>0</v>
      </c>
      <c r="U3432">
        <v>0</v>
      </c>
      <c r="V3432">
        <v>49</v>
      </c>
      <c r="W3432">
        <v>1</v>
      </c>
      <c r="X3432">
        <v>0</v>
      </c>
      <c r="Z3432">
        <v>0</v>
      </c>
      <c r="AA3432">
        <v>40.821187</v>
      </c>
      <c r="AB3432">
        <v>-73.90337100000001</v>
      </c>
      <c r="AD3432" t="s">
        <v>10840</v>
      </c>
      <c r="AG3432" t="s">
        <v>10858</v>
      </c>
      <c r="AH3432" t="s">
        <v>10862</v>
      </c>
      <c r="AI3432">
        <v>230</v>
      </c>
      <c r="AJ3432" t="s">
        <v>10210</v>
      </c>
      <c r="AL3432">
        <v>0.9</v>
      </c>
      <c r="AM3432" t="s">
        <v>10884</v>
      </c>
      <c r="AN3432" t="s">
        <v>10918</v>
      </c>
      <c r="AO3432" t="s">
        <v>11001</v>
      </c>
      <c r="AP3432" t="s">
        <v>11062</v>
      </c>
      <c r="AR3432" t="s">
        <v>11267</v>
      </c>
      <c r="AS3432" t="s">
        <v>9926</v>
      </c>
      <c r="BA3432" t="s">
        <v>11741</v>
      </c>
      <c r="BB3432">
        <v>0</v>
      </c>
      <c r="BC3432">
        <v>0</v>
      </c>
      <c r="BD3432">
        <v>0</v>
      </c>
      <c r="BE3432">
        <v>0</v>
      </c>
      <c r="BF3432">
        <v>1</v>
      </c>
      <c r="BG3432">
        <v>0</v>
      </c>
    </row>
    <row r="3433" spans="1:59">
      <c r="A3433" s="1">
        <f>HYPERLINK("https://lsnyc.legalserver.org/matter/dynamic-profile/view/1907517","19-1907517")</f>
        <v>0</v>
      </c>
      <c r="B3433" t="s">
        <v>2876</v>
      </c>
      <c r="C3433" t="s">
        <v>5401</v>
      </c>
      <c r="D3433" t="s">
        <v>9928</v>
      </c>
      <c r="E3433" t="s">
        <v>10075</v>
      </c>
      <c r="F3433">
        <v>11233</v>
      </c>
      <c r="G3433" t="s">
        <v>10093</v>
      </c>
      <c r="H3433" t="s">
        <v>10120</v>
      </c>
      <c r="I3433" t="s">
        <v>10168</v>
      </c>
      <c r="J3433" t="s">
        <v>10213</v>
      </c>
      <c r="K3433" t="s">
        <v>10217</v>
      </c>
      <c r="M3433" t="s">
        <v>10439</v>
      </c>
      <c r="N3433" t="s">
        <v>10650</v>
      </c>
      <c r="P3433" t="s">
        <v>10749</v>
      </c>
      <c r="Q3433" t="s">
        <v>10765</v>
      </c>
      <c r="R3433" t="s">
        <v>10824</v>
      </c>
      <c r="T3433">
        <v>0</v>
      </c>
      <c r="U3433">
        <v>0</v>
      </c>
      <c r="V3433">
        <v>55</v>
      </c>
      <c r="W3433">
        <v>3</v>
      </c>
      <c r="X3433">
        <v>0</v>
      </c>
      <c r="Z3433">
        <v>0</v>
      </c>
      <c r="AA3433">
        <v>40.675515</v>
      </c>
      <c r="AB3433">
        <v>-73.911641</v>
      </c>
      <c r="AD3433" t="s">
        <v>10839</v>
      </c>
      <c r="AG3433" t="s">
        <v>10858</v>
      </c>
      <c r="AH3433" t="s">
        <v>10862</v>
      </c>
      <c r="AI3433">
        <v>239</v>
      </c>
      <c r="AJ3433" t="s">
        <v>10213</v>
      </c>
      <c r="AL3433">
        <v>18.5</v>
      </c>
      <c r="AM3433" t="s">
        <v>10889</v>
      </c>
      <c r="AN3433" t="s">
        <v>10922</v>
      </c>
      <c r="AO3433" t="s">
        <v>11007</v>
      </c>
      <c r="AP3433" t="s">
        <v>11064</v>
      </c>
      <c r="AQ3433" t="s">
        <v>11101</v>
      </c>
      <c r="AR3433" t="s">
        <v>11267</v>
      </c>
      <c r="AS3433" t="s">
        <v>11595</v>
      </c>
      <c r="AT3433" t="s">
        <v>11641</v>
      </c>
      <c r="BA3433" t="s">
        <v>11738</v>
      </c>
      <c r="BB3433">
        <v>0</v>
      </c>
      <c r="BC3433">
        <v>0</v>
      </c>
      <c r="BD3433">
        <v>0</v>
      </c>
      <c r="BE3433">
        <v>0</v>
      </c>
      <c r="BF3433">
        <v>5</v>
      </c>
      <c r="BG3433">
        <v>0</v>
      </c>
    </row>
    <row r="3434" spans="1:59">
      <c r="A3434" s="1">
        <f>HYPERLINK("https://lsnyc.legalserver.org/matter/dynamic-profile/view/1907518","19-1907518")</f>
        <v>0</v>
      </c>
      <c r="B3434" t="s">
        <v>2877</v>
      </c>
      <c r="C3434" t="s">
        <v>7666</v>
      </c>
      <c r="D3434" t="s">
        <v>9928</v>
      </c>
      <c r="E3434" t="s">
        <v>10075</v>
      </c>
      <c r="F3434">
        <v>11214</v>
      </c>
      <c r="G3434" t="s">
        <v>10093</v>
      </c>
      <c r="H3434" t="s">
        <v>10120</v>
      </c>
      <c r="I3434" t="s">
        <v>10169</v>
      </c>
      <c r="J3434" t="s">
        <v>10213</v>
      </c>
      <c r="K3434" t="s">
        <v>10217</v>
      </c>
      <c r="M3434" t="s">
        <v>10420</v>
      </c>
      <c r="N3434" t="s">
        <v>10673</v>
      </c>
      <c r="P3434" t="s">
        <v>10753</v>
      </c>
      <c r="Q3434" t="s">
        <v>10763</v>
      </c>
      <c r="R3434" t="s">
        <v>10821</v>
      </c>
      <c r="T3434">
        <v>14400</v>
      </c>
      <c r="U3434">
        <v>1200</v>
      </c>
      <c r="V3434">
        <v>23</v>
      </c>
      <c r="W3434">
        <v>1</v>
      </c>
      <c r="X3434">
        <v>1</v>
      </c>
      <c r="Z3434">
        <v>85.16</v>
      </c>
      <c r="AA3434">
        <v>40.605014</v>
      </c>
      <c r="AB3434">
        <v>-74.00769099999999</v>
      </c>
      <c r="AD3434" t="s">
        <v>10839</v>
      </c>
      <c r="AF3434" t="s">
        <v>10842</v>
      </c>
      <c r="AG3434" t="s">
        <v>10859</v>
      </c>
      <c r="AH3434" t="s">
        <v>10864</v>
      </c>
      <c r="AI3434">
        <v>239</v>
      </c>
      <c r="AJ3434" t="s">
        <v>10213</v>
      </c>
      <c r="AL3434">
        <v>1</v>
      </c>
      <c r="AM3434" t="s">
        <v>10883</v>
      </c>
      <c r="AN3434" t="s">
        <v>10969</v>
      </c>
      <c r="AO3434" t="s">
        <v>11023</v>
      </c>
      <c r="AP3434" t="s">
        <v>11086</v>
      </c>
      <c r="AQ3434" t="s">
        <v>11109</v>
      </c>
      <c r="AR3434" t="s">
        <v>11257</v>
      </c>
      <c r="AS3434" t="s">
        <v>11595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</row>
    <row r="3435" spans="1:59">
      <c r="A3435" s="1">
        <f>HYPERLINK("https://lsnyc.legalserver.org/matter/dynamic-profile/view/1907519","19-1907519")</f>
        <v>0</v>
      </c>
      <c r="B3435" t="s">
        <v>2878</v>
      </c>
      <c r="C3435" t="s">
        <v>7667</v>
      </c>
      <c r="D3435" t="s">
        <v>9926</v>
      </c>
      <c r="E3435" t="s">
        <v>10075</v>
      </c>
      <c r="F3435">
        <v>10473</v>
      </c>
      <c r="G3435" t="s">
        <v>10090</v>
      </c>
      <c r="H3435" t="s">
        <v>10120</v>
      </c>
      <c r="I3435" t="s">
        <v>10168</v>
      </c>
      <c r="J3435" t="s">
        <v>10210</v>
      </c>
      <c r="K3435" t="s">
        <v>10217</v>
      </c>
      <c r="M3435" t="s">
        <v>10346</v>
      </c>
      <c r="N3435" t="s">
        <v>10682</v>
      </c>
      <c r="P3435" t="s">
        <v>10757</v>
      </c>
      <c r="Q3435" t="s">
        <v>10808</v>
      </c>
      <c r="R3435" t="s">
        <v>10824</v>
      </c>
      <c r="T3435">
        <v>10800</v>
      </c>
      <c r="U3435">
        <v>900</v>
      </c>
      <c r="V3435">
        <v>59</v>
      </c>
      <c r="W3435">
        <v>1</v>
      </c>
      <c r="X3435">
        <v>0</v>
      </c>
      <c r="Z3435">
        <v>86.47</v>
      </c>
      <c r="AA3435">
        <v>40.824382</v>
      </c>
      <c r="AB3435">
        <v>-73.862056</v>
      </c>
      <c r="AD3435" t="s">
        <v>10840</v>
      </c>
      <c r="AG3435" t="s">
        <v>10858</v>
      </c>
      <c r="AH3435" t="s">
        <v>10874</v>
      </c>
      <c r="AI3435">
        <v>230</v>
      </c>
      <c r="AJ3435" t="s">
        <v>10210</v>
      </c>
      <c r="AL3435">
        <v>0.5</v>
      </c>
      <c r="AM3435" t="s">
        <v>10884</v>
      </c>
      <c r="AN3435" t="s">
        <v>10968</v>
      </c>
      <c r="AO3435" t="s">
        <v>11001</v>
      </c>
      <c r="AP3435" t="s">
        <v>11046</v>
      </c>
      <c r="AQ3435" t="s">
        <v>11237</v>
      </c>
      <c r="AR3435" t="s">
        <v>11494</v>
      </c>
      <c r="AS3435" t="s">
        <v>9926</v>
      </c>
      <c r="AT3435" t="s">
        <v>11642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</row>
    <row r="3436" spans="1:59">
      <c r="A3436" s="1">
        <f>HYPERLINK("https://lsnyc.legalserver.org/matter/dynamic-profile/view/1907520","19-1907520")</f>
        <v>0</v>
      </c>
      <c r="B3436" t="s">
        <v>2818</v>
      </c>
      <c r="C3436" t="s">
        <v>7605</v>
      </c>
      <c r="D3436" t="s">
        <v>9926</v>
      </c>
      <c r="E3436" t="s">
        <v>10075</v>
      </c>
      <c r="F3436">
        <v>10458</v>
      </c>
      <c r="G3436" t="s">
        <v>10090</v>
      </c>
      <c r="H3436" t="s">
        <v>10120</v>
      </c>
      <c r="I3436" t="s">
        <v>10169</v>
      </c>
      <c r="J3436" t="s">
        <v>10210</v>
      </c>
      <c r="K3436" t="s">
        <v>10217</v>
      </c>
      <c r="M3436" t="s">
        <v>10334</v>
      </c>
      <c r="N3436" t="s">
        <v>10671</v>
      </c>
      <c r="P3436" t="s">
        <v>10751</v>
      </c>
      <c r="Q3436" t="s">
        <v>10761</v>
      </c>
      <c r="R3436" t="s">
        <v>10823</v>
      </c>
      <c r="T3436">
        <v>31200</v>
      </c>
      <c r="U3436">
        <v>2600</v>
      </c>
      <c r="V3436">
        <v>43</v>
      </c>
      <c r="W3436">
        <v>2</v>
      </c>
      <c r="X3436">
        <v>3</v>
      </c>
      <c r="Z3436">
        <v>103.41</v>
      </c>
      <c r="AA3436">
        <v>40.873706</v>
      </c>
      <c r="AB3436">
        <v>-73.886351</v>
      </c>
      <c r="AD3436" t="s">
        <v>10839</v>
      </c>
      <c r="AF3436" t="s">
        <v>10843</v>
      </c>
      <c r="AG3436" t="s">
        <v>10859</v>
      </c>
      <c r="AH3436" t="s">
        <v>10862</v>
      </c>
      <c r="AI3436">
        <v>230</v>
      </c>
      <c r="AJ3436" t="s">
        <v>10210</v>
      </c>
      <c r="AL3436">
        <v>1.5</v>
      </c>
      <c r="AR3436" t="s">
        <v>11262</v>
      </c>
      <c r="AS3436" t="s">
        <v>9926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</row>
    <row r="3437" spans="1:59">
      <c r="A3437" s="1">
        <f>HYPERLINK("https://lsnyc.legalserver.org/matter/dynamic-profile/view/1907521","19-1907521")</f>
        <v>0</v>
      </c>
      <c r="B3437" t="s">
        <v>2879</v>
      </c>
      <c r="C3437" t="s">
        <v>7668</v>
      </c>
      <c r="D3437" t="s">
        <v>9926</v>
      </c>
      <c r="E3437" t="s">
        <v>10075</v>
      </c>
      <c r="F3437">
        <v>10460</v>
      </c>
      <c r="G3437" t="s">
        <v>10090</v>
      </c>
      <c r="H3437" t="s">
        <v>10120</v>
      </c>
      <c r="I3437" t="s">
        <v>10168</v>
      </c>
      <c r="J3437" t="s">
        <v>10210</v>
      </c>
      <c r="K3437" t="s">
        <v>10218</v>
      </c>
      <c r="L3437" t="s">
        <v>10154</v>
      </c>
      <c r="M3437" t="s">
        <v>10262</v>
      </c>
      <c r="N3437" t="s">
        <v>10666</v>
      </c>
      <c r="P3437" t="s">
        <v>10749</v>
      </c>
      <c r="Q3437" t="s">
        <v>10765</v>
      </c>
      <c r="R3437" t="s">
        <v>10824</v>
      </c>
      <c r="T3437">
        <v>16222</v>
      </c>
      <c r="U3437">
        <v>1351.83</v>
      </c>
      <c r="V3437">
        <v>46</v>
      </c>
      <c r="W3437">
        <v>4</v>
      </c>
      <c r="X3437">
        <v>0</v>
      </c>
      <c r="Y3437" t="s">
        <v>10829</v>
      </c>
      <c r="Z3437">
        <v>63</v>
      </c>
      <c r="AA3437">
        <v>40.845834</v>
      </c>
      <c r="AB3437">
        <v>-73.884895</v>
      </c>
      <c r="AD3437" t="s">
        <v>10839</v>
      </c>
      <c r="AG3437" t="s">
        <v>10858</v>
      </c>
      <c r="AH3437" t="s">
        <v>10861</v>
      </c>
      <c r="AI3437">
        <v>230</v>
      </c>
      <c r="AJ3437" t="s">
        <v>10210</v>
      </c>
      <c r="AK3437" t="s">
        <v>10838</v>
      </c>
      <c r="AL3437">
        <v>0.5</v>
      </c>
      <c r="AM3437" t="s">
        <v>10884</v>
      </c>
      <c r="AN3437" t="s">
        <v>10918</v>
      </c>
      <c r="AO3437" t="s">
        <v>11000</v>
      </c>
      <c r="AP3437" t="s">
        <v>11056</v>
      </c>
      <c r="AR3437" t="s">
        <v>11372</v>
      </c>
      <c r="AS3437" t="s">
        <v>9926</v>
      </c>
      <c r="AT3437" t="s">
        <v>11641</v>
      </c>
      <c r="AX3437" t="s">
        <v>10838</v>
      </c>
      <c r="AY3437" t="s">
        <v>10829</v>
      </c>
      <c r="AZ3437" t="s">
        <v>11681</v>
      </c>
      <c r="BA3437" t="s">
        <v>11741</v>
      </c>
      <c r="BB3437">
        <v>0</v>
      </c>
      <c r="BC3437">
        <v>0</v>
      </c>
      <c r="BD3437">
        <v>0</v>
      </c>
      <c r="BE3437">
        <v>0</v>
      </c>
      <c r="BF3437">
        <v>1</v>
      </c>
      <c r="BG3437">
        <v>0</v>
      </c>
    </row>
    <row r="3438" spans="1:59">
      <c r="A3438" s="1">
        <f>HYPERLINK("https://lsnyc.legalserver.org/matter/dynamic-profile/view/1907522","19-1907522")</f>
        <v>0</v>
      </c>
      <c r="B3438" t="s">
        <v>2880</v>
      </c>
      <c r="C3438" t="s">
        <v>7669</v>
      </c>
      <c r="D3438" t="s">
        <v>9928</v>
      </c>
      <c r="E3438" t="s">
        <v>10075</v>
      </c>
      <c r="F3438">
        <v>11205</v>
      </c>
      <c r="G3438" t="s">
        <v>10093</v>
      </c>
      <c r="H3438" t="s">
        <v>10120</v>
      </c>
      <c r="I3438" t="s">
        <v>10168</v>
      </c>
      <c r="J3438" t="s">
        <v>10213</v>
      </c>
      <c r="K3438" t="s">
        <v>10218</v>
      </c>
      <c r="L3438" t="s">
        <v>10152</v>
      </c>
      <c r="M3438" t="s">
        <v>10268</v>
      </c>
      <c r="N3438" t="s">
        <v>10657</v>
      </c>
      <c r="P3438" t="s">
        <v>10749</v>
      </c>
      <c r="Q3438" t="s">
        <v>10767</v>
      </c>
      <c r="R3438" t="s">
        <v>10824</v>
      </c>
      <c r="T3438">
        <v>8760</v>
      </c>
      <c r="U3438">
        <v>730</v>
      </c>
      <c r="V3438">
        <v>31</v>
      </c>
      <c r="W3438">
        <v>1</v>
      </c>
      <c r="X3438">
        <v>0</v>
      </c>
      <c r="Y3438" t="s">
        <v>10829</v>
      </c>
      <c r="Z3438">
        <v>70.14</v>
      </c>
      <c r="AA3438">
        <v>40.694516</v>
      </c>
      <c r="AB3438">
        <v>-73.979328</v>
      </c>
      <c r="AD3438" t="s">
        <v>10840</v>
      </c>
      <c r="AG3438" t="s">
        <v>10858</v>
      </c>
      <c r="AH3438" t="s">
        <v>10862</v>
      </c>
      <c r="AI3438">
        <v>239</v>
      </c>
      <c r="AJ3438" t="s">
        <v>10213</v>
      </c>
      <c r="AK3438" t="s">
        <v>10838</v>
      </c>
      <c r="AL3438">
        <v>1.3</v>
      </c>
      <c r="AM3438" t="s">
        <v>10889</v>
      </c>
      <c r="AN3438" t="s">
        <v>10923</v>
      </c>
      <c r="AO3438" t="s">
        <v>11007</v>
      </c>
      <c r="AP3438" t="s">
        <v>11061</v>
      </c>
      <c r="AR3438" t="s">
        <v>11263</v>
      </c>
      <c r="AS3438" t="s">
        <v>11595</v>
      </c>
      <c r="AX3438" t="s">
        <v>10838</v>
      </c>
      <c r="AY3438" t="s">
        <v>10829</v>
      </c>
      <c r="AZ3438" t="s">
        <v>11681</v>
      </c>
      <c r="BA3438" t="s">
        <v>11741</v>
      </c>
      <c r="BB3438">
        <v>0</v>
      </c>
      <c r="BC3438">
        <v>0</v>
      </c>
      <c r="BD3438">
        <v>0</v>
      </c>
      <c r="BE3438">
        <v>0</v>
      </c>
      <c r="BF3438">
        <v>1</v>
      </c>
      <c r="BG3438">
        <v>0</v>
      </c>
    </row>
    <row r="3439" spans="1:59">
      <c r="A3439" s="1">
        <f>HYPERLINK("https://lsnyc.legalserver.org/matter/dynamic-profile/view/1907523","19-1907523")</f>
        <v>0</v>
      </c>
      <c r="B3439" t="s">
        <v>1822</v>
      </c>
      <c r="C3439" t="s">
        <v>6590</v>
      </c>
      <c r="D3439" t="s">
        <v>9926</v>
      </c>
      <c r="E3439" t="s">
        <v>10075</v>
      </c>
      <c r="F3439">
        <v>10474</v>
      </c>
      <c r="G3439" t="s">
        <v>10090</v>
      </c>
      <c r="H3439" t="s">
        <v>10120</v>
      </c>
      <c r="I3439" t="s">
        <v>10168</v>
      </c>
      <c r="J3439" t="s">
        <v>10210</v>
      </c>
      <c r="K3439" t="s">
        <v>10217</v>
      </c>
      <c r="M3439" t="s">
        <v>10517</v>
      </c>
      <c r="N3439" t="s">
        <v>10650</v>
      </c>
      <c r="P3439" t="s">
        <v>10749</v>
      </c>
      <c r="Q3439" t="s">
        <v>10765</v>
      </c>
      <c r="R3439" t="s">
        <v>10824</v>
      </c>
      <c r="T3439">
        <v>49400</v>
      </c>
      <c r="U3439">
        <v>4116.67</v>
      </c>
      <c r="V3439">
        <v>70</v>
      </c>
      <c r="W3439">
        <v>2</v>
      </c>
      <c r="X3439">
        <v>0</v>
      </c>
      <c r="Z3439">
        <v>292.13</v>
      </c>
      <c r="AA3439">
        <v>40.816635</v>
      </c>
      <c r="AB3439">
        <v>-73.886374</v>
      </c>
      <c r="AD3439" t="s">
        <v>10840</v>
      </c>
      <c r="AG3439" t="s">
        <v>10858</v>
      </c>
      <c r="AH3439" t="s">
        <v>10862</v>
      </c>
      <c r="AI3439">
        <v>230</v>
      </c>
      <c r="AJ3439" t="s">
        <v>10210</v>
      </c>
      <c r="AL3439">
        <v>9.5</v>
      </c>
      <c r="AQ3439" t="s">
        <v>11120</v>
      </c>
      <c r="AR3439" t="s">
        <v>11257</v>
      </c>
      <c r="AS3439" t="s">
        <v>9926</v>
      </c>
      <c r="BA3439" t="s">
        <v>11739</v>
      </c>
      <c r="BB3439">
        <v>0</v>
      </c>
      <c r="BC3439">
        <v>0</v>
      </c>
      <c r="BD3439">
        <v>0</v>
      </c>
      <c r="BE3439">
        <v>0</v>
      </c>
      <c r="BF3439">
        <v>4</v>
      </c>
      <c r="BG3439">
        <v>0</v>
      </c>
    </row>
    <row r="3440" spans="1:59">
      <c r="A3440" s="1">
        <f>HYPERLINK("https://lsnyc.legalserver.org/matter/dynamic-profile/view/1907524","19-1907524")</f>
        <v>0</v>
      </c>
      <c r="B3440" t="s">
        <v>1825</v>
      </c>
      <c r="C3440" t="s">
        <v>6590</v>
      </c>
      <c r="D3440" t="s">
        <v>9926</v>
      </c>
      <c r="E3440" t="s">
        <v>10075</v>
      </c>
      <c r="F3440">
        <v>10474</v>
      </c>
      <c r="G3440" t="s">
        <v>10090</v>
      </c>
      <c r="H3440" t="s">
        <v>10120</v>
      </c>
      <c r="I3440" t="s">
        <v>10168</v>
      </c>
      <c r="J3440" t="s">
        <v>10210</v>
      </c>
      <c r="K3440" t="s">
        <v>10217</v>
      </c>
      <c r="M3440" t="s">
        <v>10234</v>
      </c>
      <c r="N3440" t="s">
        <v>10650</v>
      </c>
      <c r="P3440" t="s">
        <v>10749</v>
      </c>
      <c r="Q3440" t="s">
        <v>10765</v>
      </c>
      <c r="R3440" t="s">
        <v>10821</v>
      </c>
      <c r="T3440">
        <v>62000</v>
      </c>
      <c r="U3440">
        <v>5166.67</v>
      </c>
      <c r="V3440">
        <v>58</v>
      </c>
      <c r="W3440">
        <v>2</v>
      </c>
      <c r="X3440">
        <v>0</v>
      </c>
      <c r="Z3440">
        <v>366.65</v>
      </c>
      <c r="AA3440">
        <v>40.816635</v>
      </c>
      <c r="AB3440">
        <v>-73.886374</v>
      </c>
      <c r="AD3440" t="s">
        <v>10839</v>
      </c>
      <c r="AG3440" t="s">
        <v>10858</v>
      </c>
      <c r="AH3440" t="s">
        <v>10862</v>
      </c>
      <c r="AI3440">
        <v>230</v>
      </c>
      <c r="AJ3440" t="s">
        <v>10210</v>
      </c>
      <c r="AL3440">
        <v>0</v>
      </c>
      <c r="AQ3440" t="s">
        <v>11120</v>
      </c>
      <c r="AR3440" t="s">
        <v>11328</v>
      </c>
      <c r="AS3440" t="s">
        <v>9926</v>
      </c>
      <c r="BA3440" t="s">
        <v>11739</v>
      </c>
      <c r="BB3440">
        <v>0</v>
      </c>
      <c r="BC3440">
        <v>0</v>
      </c>
      <c r="BD3440">
        <v>0</v>
      </c>
      <c r="BE3440">
        <v>0</v>
      </c>
      <c r="BF3440">
        <v>4</v>
      </c>
      <c r="BG3440">
        <v>0</v>
      </c>
    </row>
    <row r="3441" spans="1:59">
      <c r="A3441" s="1">
        <f>HYPERLINK("https://lsnyc.legalserver.org/matter/dynamic-profile/view/1907525","19-1907525")</f>
        <v>0</v>
      </c>
      <c r="B3441" t="s">
        <v>2322</v>
      </c>
      <c r="C3441" t="s">
        <v>7670</v>
      </c>
      <c r="D3441" t="s">
        <v>9926</v>
      </c>
      <c r="E3441" t="s">
        <v>10075</v>
      </c>
      <c r="F3441">
        <v>10456</v>
      </c>
      <c r="G3441" t="s">
        <v>10090</v>
      </c>
      <c r="H3441" t="s">
        <v>10120</v>
      </c>
      <c r="I3441" t="s">
        <v>10168</v>
      </c>
      <c r="J3441" t="s">
        <v>10210</v>
      </c>
      <c r="K3441" t="s">
        <v>10217</v>
      </c>
      <c r="M3441" t="s">
        <v>10244</v>
      </c>
      <c r="N3441" t="s">
        <v>10650</v>
      </c>
      <c r="P3441" t="s">
        <v>10749</v>
      </c>
      <c r="Q3441" t="s">
        <v>10765</v>
      </c>
      <c r="R3441" t="s">
        <v>10823</v>
      </c>
      <c r="T3441">
        <v>0</v>
      </c>
      <c r="U3441">
        <v>0</v>
      </c>
      <c r="V3441">
        <v>50</v>
      </c>
      <c r="W3441">
        <v>2</v>
      </c>
      <c r="X3441">
        <v>0</v>
      </c>
      <c r="Z3441">
        <v>0</v>
      </c>
      <c r="AA3441">
        <v>40.834671</v>
      </c>
      <c r="AB3441">
        <v>-73.91646299999999</v>
      </c>
      <c r="AD3441" t="s">
        <v>10840</v>
      </c>
      <c r="AG3441" t="s">
        <v>10858</v>
      </c>
      <c r="AH3441" t="s">
        <v>10862</v>
      </c>
      <c r="AI3441">
        <v>230</v>
      </c>
      <c r="AJ3441" t="s">
        <v>10210</v>
      </c>
      <c r="AL3441">
        <v>0</v>
      </c>
      <c r="AM3441" t="s">
        <v>10884</v>
      </c>
      <c r="AN3441" t="s">
        <v>10929</v>
      </c>
      <c r="AO3441" t="s">
        <v>11013</v>
      </c>
      <c r="AP3441" t="s">
        <v>11055</v>
      </c>
      <c r="AR3441" t="s">
        <v>11267</v>
      </c>
      <c r="AS3441" t="s">
        <v>9926</v>
      </c>
      <c r="BA3441" t="s">
        <v>11741</v>
      </c>
      <c r="BB3441">
        <v>0</v>
      </c>
      <c r="BC3441">
        <v>0</v>
      </c>
      <c r="BD3441">
        <v>0</v>
      </c>
      <c r="BE3441">
        <v>0</v>
      </c>
      <c r="BF3441">
        <v>1</v>
      </c>
      <c r="BG3441">
        <v>0</v>
      </c>
    </row>
    <row r="3442" spans="1:59">
      <c r="A3442" s="1">
        <f>HYPERLINK("https://lsnyc.legalserver.org/matter/dynamic-profile/view/1907526","19-1907526")</f>
        <v>0</v>
      </c>
      <c r="B3442" t="s">
        <v>1834</v>
      </c>
      <c r="C3442" t="s">
        <v>6590</v>
      </c>
      <c r="D3442" t="s">
        <v>9926</v>
      </c>
      <c r="E3442" t="s">
        <v>10075</v>
      </c>
      <c r="F3442">
        <v>10474</v>
      </c>
      <c r="G3442" t="s">
        <v>10090</v>
      </c>
      <c r="H3442" t="s">
        <v>10120</v>
      </c>
      <c r="I3442" t="s">
        <v>10168</v>
      </c>
      <c r="J3442" t="s">
        <v>10210</v>
      </c>
      <c r="K3442" t="s">
        <v>10217</v>
      </c>
      <c r="M3442" t="s">
        <v>10234</v>
      </c>
      <c r="N3442" t="s">
        <v>10650</v>
      </c>
      <c r="P3442" t="s">
        <v>10749</v>
      </c>
      <c r="Q3442" t="s">
        <v>10765</v>
      </c>
      <c r="R3442" t="s">
        <v>10824</v>
      </c>
      <c r="T3442">
        <v>58000</v>
      </c>
      <c r="U3442">
        <v>4833.33</v>
      </c>
      <c r="V3442">
        <v>27</v>
      </c>
      <c r="W3442">
        <v>2</v>
      </c>
      <c r="X3442">
        <v>1</v>
      </c>
      <c r="Z3442">
        <v>271.92</v>
      </c>
      <c r="AA3442">
        <v>40.816635</v>
      </c>
      <c r="AB3442">
        <v>-73.886374</v>
      </c>
      <c r="AD3442" t="s">
        <v>10839</v>
      </c>
      <c r="AG3442" t="s">
        <v>10858</v>
      </c>
      <c r="AH3442" t="s">
        <v>10862</v>
      </c>
      <c r="AI3442">
        <v>230</v>
      </c>
      <c r="AJ3442" t="s">
        <v>10210</v>
      </c>
      <c r="AL3442">
        <v>0</v>
      </c>
      <c r="AR3442" t="s">
        <v>11257</v>
      </c>
      <c r="AS3442" t="s">
        <v>9926</v>
      </c>
      <c r="BA3442" t="s">
        <v>11739</v>
      </c>
      <c r="BB3442">
        <v>0</v>
      </c>
      <c r="BC3442">
        <v>0</v>
      </c>
      <c r="BD3442">
        <v>0</v>
      </c>
      <c r="BE3442">
        <v>0</v>
      </c>
      <c r="BF3442">
        <v>4</v>
      </c>
      <c r="BG3442">
        <v>0</v>
      </c>
    </row>
    <row r="3443" spans="1:59">
      <c r="A3443" s="1">
        <f>HYPERLINK("https://lsnyc.legalserver.org/matter/dynamic-profile/view/1907527","19-1907527")</f>
        <v>0</v>
      </c>
      <c r="B3443" t="s">
        <v>1837</v>
      </c>
      <c r="C3443" t="s">
        <v>6590</v>
      </c>
      <c r="D3443" t="s">
        <v>9926</v>
      </c>
      <c r="E3443" t="s">
        <v>10075</v>
      </c>
      <c r="F3443">
        <v>10474</v>
      </c>
      <c r="G3443" t="s">
        <v>10090</v>
      </c>
      <c r="H3443" t="s">
        <v>10120</v>
      </c>
      <c r="I3443" t="s">
        <v>10173</v>
      </c>
      <c r="J3443" t="s">
        <v>10210</v>
      </c>
      <c r="K3443" t="s">
        <v>10217</v>
      </c>
      <c r="M3443" t="s">
        <v>10234</v>
      </c>
      <c r="N3443" t="s">
        <v>10650</v>
      </c>
      <c r="P3443" t="s">
        <v>10749</v>
      </c>
      <c r="Q3443" t="s">
        <v>10765</v>
      </c>
      <c r="R3443" t="s">
        <v>10827</v>
      </c>
      <c r="T3443">
        <v>115000</v>
      </c>
      <c r="U3443">
        <v>9583.33</v>
      </c>
      <c r="V3443">
        <v>27</v>
      </c>
      <c r="W3443">
        <v>2</v>
      </c>
      <c r="X3443">
        <v>0</v>
      </c>
      <c r="Z3443">
        <v>680.0700000000001</v>
      </c>
      <c r="AA3443">
        <v>40.816635</v>
      </c>
      <c r="AB3443">
        <v>-73.886374</v>
      </c>
      <c r="AD3443" t="s">
        <v>10839</v>
      </c>
      <c r="AF3443" t="s">
        <v>10843</v>
      </c>
      <c r="AG3443" t="s">
        <v>10859</v>
      </c>
      <c r="AH3443" t="s">
        <v>10862</v>
      </c>
      <c r="AI3443">
        <v>230</v>
      </c>
      <c r="AJ3443" t="s">
        <v>10210</v>
      </c>
      <c r="AL3443">
        <v>0</v>
      </c>
      <c r="AQ3443" t="s">
        <v>11120</v>
      </c>
      <c r="AR3443" t="s">
        <v>11257</v>
      </c>
      <c r="AS3443" t="s">
        <v>9926</v>
      </c>
      <c r="BA3443" t="s">
        <v>11739</v>
      </c>
      <c r="BB3443">
        <v>0</v>
      </c>
      <c r="BC3443">
        <v>0</v>
      </c>
      <c r="BD3443">
        <v>0</v>
      </c>
      <c r="BE3443">
        <v>0</v>
      </c>
      <c r="BF3443">
        <v>4</v>
      </c>
      <c r="BG3443">
        <v>0</v>
      </c>
    </row>
    <row r="3444" spans="1:59">
      <c r="A3444" s="1">
        <f>HYPERLINK("https://lsnyc.legalserver.org/matter/dynamic-profile/view/1907528","19-1907528")</f>
        <v>0</v>
      </c>
      <c r="B3444" t="s">
        <v>2567</v>
      </c>
      <c r="C3444" t="s">
        <v>6590</v>
      </c>
      <c r="D3444" t="s">
        <v>9926</v>
      </c>
      <c r="E3444" t="s">
        <v>10075</v>
      </c>
      <c r="F3444">
        <v>10474</v>
      </c>
      <c r="G3444" t="s">
        <v>10090</v>
      </c>
      <c r="H3444" t="s">
        <v>10120</v>
      </c>
      <c r="I3444" t="s">
        <v>10168</v>
      </c>
      <c r="J3444" t="s">
        <v>10210</v>
      </c>
      <c r="K3444" t="s">
        <v>10217</v>
      </c>
      <c r="M3444" t="s">
        <v>10234</v>
      </c>
      <c r="N3444" t="s">
        <v>10650</v>
      </c>
      <c r="P3444" t="s">
        <v>10749</v>
      </c>
      <c r="Q3444" t="s">
        <v>10765</v>
      </c>
      <c r="R3444" t="s">
        <v>10821</v>
      </c>
      <c r="T3444">
        <v>4548</v>
      </c>
      <c r="U3444">
        <v>379</v>
      </c>
      <c r="V3444">
        <v>48</v>
      </c>
      <c r="W3444">
        <v>1</v>
      </c>
      <c r="X3444">
        <v>0</v>
      </c>
      <c r="Z3444">
        <v>36.41</v>
      </c>
      <c r="AA3444">
        <v>40.816635</v>
      </c>
      <c r="AB3444">
        <v>-73.886374</v>
      </c>
      <c r="AD3444" t="s">
        <v>10839</v>
      </c>
      <c r="AG3444" t="s">
        <v>10858</v>
      </c>
      <c r="AH3444" t="s">
        <v>10862</v>
      </c>
      <c r="AI3444">
        <v>230</v>
      </c>
      <c r="AJ3444" t="s">
        <v>10210</v>
      </c>
      <c r="AL3444">
        <v>0</v>
      </c>
      <c r="AR3444" t="s">
        <v>10180</v>
      </c>
      <c r="AS3444" t="s">
        <v>9926</v>
      </c>
      <c r="BA3444" t="s">
        <v>11739</v>
      </c>
      <c r="BB3444">
        <v>0</v>
      </c>
      <c r="BC3444">
        <v>0</v>
      </c>
      <c r="BD3444">
        <v>0</v>
      </c>
      <c r="BE3444">
        <v>0</v>
      </c>
      <c r="BF3444">
        <v>4</v>
      </c>
      <c r="BG3444">
        <v>0</v>
      </c>
    </row>
    <row r="3445" spans="1:59">
      <c r="A3445" s="1">
        <f>HYPERLINK("https://lsnyc.legalserver.org/matter/dynamic-profile/view/1907529","19-1907529")</f>
        <v>0</v>
      </c>
      <c r="B3445" t="s">
        <v>2569</v>
      </c>
      <c r="C3445" t="s">
        <v>6590</v>
      </c>
      <c r="D3445" t="s">
        <v>9926</v>
      </c>
      <c r="E3445" t="s">
        <v>10075</v>
      </c>
      <c r="F3445">
        <v>10474</v>
      </c>
      <c r="G3445" t="s">
        <v>10090</v>
      </c>
      <c r="H3445" t="s">
        <v>10120</v>
      </c>
      <c r="I3445" t="s">
        <v>10169</v>
      </c>
      <c r="J3445" t="s">
        <v>10210</v>
      </c>
      <c r="K3445" t="s">
        <v>10217</v>
      </c>
      <c r="M3445" t="s">
        <v>10234</v>
      </c>
      <c r="N3445" t="s">
        <v>10650</v>
      </c>
      <c r="P3445" t="s">
        <v>10749</v>
      </c>
      <c r="Q3445" t="s">
        <v>10765</v>
      </c>
      <c r="R3445" t="s">
        <v>10821</v>
      </c>
      <c r="T3445">
        <v>9240</v>
      </c>
      <c r="U3445">
        <v>770</v>
      </c>
      <c r="V3445">
        <v>70</v>
      </c>
      <c r="W3445">
        <v>1</v>
      </c>
      <c r="X3445">
        <v>0</v>
      </c>
      <c r="Z3445">
        <v>73.98</v>
      </c>
      <c r="AA3445">
        <v>40.816635</v>
      </c>
      <c r="AB3445">
        <v>-73.886374</v>
      </c>
      <c r="AD3445" t="s">
        <v>10839</v>
      </c>
      <c r="AG3445" t="s">
        <v>10858</v>
      </c>
      <c r="AH3445" t="s">
        <v>10862</v>
      </c>
      <c r="AI3445">
        <v>230</v>
      </c>
      <c r="AJ3445" t="s">
        <v>10210</v>
      </c>
      <c r="AL3445">
        <v>0</v>
      </c>
      <c r="AQ3445" t="s">
        <v>11120</v>
      </c>
      <c r="AR3445" t="s">
        <v>11263</v>
      </c>
      <c r="AS3445" t="s">
        <v>9926</v>
      </c>
      <c r="BA3445" t="s">
        <v>11739</v>
      </c>
      <c r="BB3445">
        <v>0</v>
      </c>
      <c r="BC3445">
        <v>0</v>
      </c>
      <c r="BD3445">
        <v>0</v>
      </c>
      <c r="BE3445">
        <v>0</v>
      </c>
      <c r="BF3445">
        <v>4</v>
      </c>
      <c r="BG3445">
        <v>0</v>
      </c>
    </row>
    <row r="3446" spans="1:59">
      <c r="A3446" s="1">
        <f>HYPERLINK("https://lsnyc.legalserver.org/matter/dynamic-profile/view/1907530","19-1907530")</f>
        <v>0</v>
      </c>
      <c r="B3446" t="s">
        <v>2570</v>
      </c>
      <c r="C3446" t="s">
        <v>6590</v>
      </c>
      <c r="D3446" t="s">
        <v>9926</v>
      </c>
      <c r="E3446" t="s">
        <v>10075</v>
      </c>
      <c r="F3446">
        <v>10474</v>
      </c>
      <c r="G3446" t="s">
        <v>10090</v>
      </c>
      <c r="H3446" t="s">
        <v>10120</v>
      </c>
      <c r="I3446" t="s">
        <v>10169</v>
      </c>
      <c r="J3446" t="s">
        <v>10210</v>
      </c>
      <c r="K3446" t="s">
        <v>10217</v>
      </c>
      <c r="M3446" t="s">
        <v>10234</v>
      </c>
      <c r="N3446" t="s">
        <v>10650</v>
      </c>
      <c r="P3446" t="s">
        <v>10749</v>
      </c>
      <c r="Q3446" t="s">
        <v>10765</v>
      </c>
      <c r="R3446" t="s">
        <v>10821</v>
      </c>
      <c r="T3446">
        <v>57200</v>
      </c>
      <c r="U3446">
        <v>4766.67</v>
      </c>
      <c r="V3446">
        <v>52</v>
      </c>
      <c r="W3446">
        <v>4</v>
      </c>
      <c r="X3446">
        <v>1</v>
      </c>
      <c r="Z3446">
        <v>189.59</v>
      </c>
      <c r="AA3446">
        <v>40.816635</v>
      </c>
      <c r="AB3446">
        <v>-73.886374</v>
      </c>
      <c r="AD3446" t="s">
        <v>10840</v>
      </c>
      <c r="AF3446" t="s">
        <v>10843</v>
      </c>
      <c r="AG3446" t="s">
        <v>10859</v>
      </c>
      <c r="AH3446" t="s">
        <v>10862</v>
      </c>
      <c r="AI3446">
        <v>230</v>
      </c>
      <c r="AJ3446" t="s">
        <v>10210</v>
      </c>
      <c r="AL3446">
        <v>0</v>
      </c>
      <c r="AQ3446" t="s">
        <v>11120</v>
      </c>
      <c r="AR3446" t="s">
        <v>11280</v>
      </c>
      <c r="AS3446" t="s">
        <v>9926</v>
      </c>
      <c r="BA3446" t="s">
        <v>11739</v>
      </c>
      <c r="BB3446">
        <v>0</v>
      </c>
      <c r="BC3446">
        <v>0</v>
      </c>
      <c r="BD3446">
        <v>0</v>
      </c>
      <c r="BE3446">
        <v>0</v>
      </c>
      <c r="BF3446">
        <v>4</v>
      </c>
      <c r="BG3446">
        <v>0</v>
      </c>
    </row>
    <row r="3447" spans="1:59">
      <c r="A3447" s="1">
        <f>HYPERLINK("https://lsnyc.legalserver.org/matter/dynamic-profile/view/1907531","19-1907531")</f>
        <v>0</v>
      </c>
      <c r="B3447" t="s">
        <v>2572</v>
      </c>
      <c r="C3447" t="s">
        <v>6590</v>
      </c>
      <c r="D3447" t="s">
        <v>9926</v>
      </c>
      <c r="E3447" t="s">
        <v>10075</v>
      </c>
      <c r="F3447">
        <v>10474</v>
      </c>
      <c r="G3447" t="s">
        <v>10090</v>
      </c>
      <c r="H3447" t="s">
        <v>10120</v>
      </c>
      <c r="I3447" t="s">
        <v>10168</v>
      </c>
      <c r="J3447" t="s">
        <v>10210</v>
      </c>
      <c r="K3447" t="s">
        <v>10217</v>
      </c>
      <c r="M3447" t="s">
        <v>10234</v>
      </c>
      <c r="N3447" t="s">
        <v>10650</v>
      </c>
      <c r="P3447" t="s">
        <v>10749</v>
      </c>
      <c r="Q3447" t="s">
        <v>10765</v>
      </c>
      <c r="R3447" t="s">
        <v>10824</v>
      </c>
      <c r="T3447">
        <v>11700</v>
      </c>
      <c r="U3447">
        <v>975</v>
      </c>
      <c r="V3447">
        <v>60</v>
      </c>
      <c r="W3447">
        <v>1</v>
      </c>
      <c r="X3447">
        <v>0</v>
      </c>
      <c r="Z3447">
        <v>93.67</v>
      </c>
      <c r="AA3447">
        <v>40.816635</v>
      </c>
      <c r="AB3447">
        <v>-73.886374</v>
      </c>
      <c r="AD3447" t="s">
        <v>10840</v>
      </c>
      <c r="AG3447" t="s">
        <v>10858</v>
      </c>
      <c r="AH3447" t="s">
        <v>10862</v>
      </c>
      <c r="AI3447">
        <v>230</v>
      </c>
      <c r="AJ3447" t="s">
        <v>10210</v>
      </c>
      <c r="AL3447">
        <v>0</v>
      </c>
      <c r="AQ3447" t="s">
        <v>11120</v>
      </c>
      <c r="AR3447" t="s">
        <v>11254</v>
      </c>
      <c r="AS3447" t="s">
        <v>9926</v>
      </c>
      <c r="BA3447" t="s">
        <v>11739</v>
      </c>
      <c r="BB3447">
        <v>0</v>
      </c>
      <c r="BC3447">
        <v>0</v>
      </c>
      <c r="BD3447">
        <v>0</v>
      </c>
      <c r="BE3447">
        <v>0</v>
      </c>
      <c r="BF3447">
        <v>4</v>
      </c>
      <c r="BG3447">
        <v>0</v>
      </c>
    </row>
    <row r="3448" spans="1:59">
      <c r="A3448" s="1">
        <f>HYPERLINK("https://lsnyc.legalserver.org/matter/dynamic-profile/view/1907532","19-1907532")</f>
        <v>0</v>
      </c>
      <c r="B3448" t="s">
        <v>2575</v>
      </c>
      <c r="C3448" t="s">
        <v>6590</v>
      </c>
      <c r="D3448" t="s">
        <v>9926</v>
      </c>
      <c r="E3448" t="s">
        <v>10075</v>
      </c>
      <c r="F3448">
        <v>10474</v>
      </c>
      <c r="G3448" t="s">
        <v>10090</v>
      </c>
      <c r="H3448" t="s">
        <v>10120</v>
      </c>
      <c r="I3448" t="s">
        <v>10169</v>
      </c>
      <c r="J3448" t="s">
        <v>10210</v>
      </c>
      <c r="K3448" t="s">
        <v>10217</v>
      </c>
      <c r="M3448" t="s">
        <v>10234</v>
      </c>
      <c r="N3448" t="s">
        <v>10650</v>
      </c>
      <c r="P3448" t="s">
        <v>10749</v>
      </c>
      <c r="Q3448" t="s">
        <v>10765</v>
      </c>
      <c r="R3448" t="s">
        <v>10821</v>
      </c>
      <c r="T3448">
        <v>0</v>
      </c>
      <c r="U3448">
        <v>0</v>
      </c>
      <c r="V3448">
        <v>41</v>
      </c>
      <c r="W3448">
        <v>2</v>
      </c>
      <c r="X3448">
        <v>3</v>
      </c>
      <c r="Z3448">
        <v>0</v>
      </c>
      <c r="AA3448">
        <v>40.816635</v>
      </c>
      <c r="AB3448">
        <v>-73.886374</v>
      </c>
      <c r="AD3448" t="s">
        <v>10839</v>
      </c>
      <c r="AF3448" t="s">
        <v>10843</v>
      </c>
      <c r="AG3448" t="s">
        <v>10859</v>
      </c>
      <c r="AH3448" t="s">
        <v>10862</v>
      </c>
      <c r="AI3448">
        <v>230</v>
      </c>
      <c r="AJ3448" t="s">
        <v>10210</v>
      </c>
      <c r="AL3448">
        <v>0</v>
      </c>
      <c r="AQ3448" t="s">
        <v>11120</v>
      </c>
      <c r="AR3448" t="s">
        <v>11266</v>
      </c>
      <c r="AS3448" t="s">
        <v>9926</v>
      </c>
      <c r="BA3448" t="s">
        <v>11739</v>
      </c>
      <c r="BB3448">
        <v>0</v>
      </c>
      <c r="BC3448">
        <v>0</v>
      </c>
      <c r="BD3448">
        <v>0</v>
      </c>
      <c r="BE3448">
        <v>0</v>
      </c>
      <c r="BF3448">
        <v>4</v>
      </c>
      <c r="BG3448">
        <v>0</v>
      </c>
    </row>
    <row r="3449" spans="1:59">
      <c r="A3449" s="1">
        <f>HYPERLINK("https://lsnyc.legalserver.org/matter/dynamic-profile/view/1907533","19-1907533")</f>
        <v>0</v>
      </c>
      <c r="B3449" t="s">
        <v>2881</v>
      </c>
      <c r="C3449" t="s">
        <v>7671</v>
      </c>
      <c r="D3449" t="s">
        <v>9928</v>
      </c>
      <c r="E3449" t="s">
        <v>10075</v>
      </c>
      <c r="F3449">
        <v>11209</v>
      </c>
      <c r="G3449" t="s">
        <v>10093</v>
      </c>
      <c r="H3449" t="s">
        <v>10120</v>
      </c>
      <c r="I3449" t="s">
        <v>10168</v>
      </c>
      <c r="J3449" t="s">
        <v>10213</v>
      </c>
      <c r="K3449" t="s">
        <v>10218</v>
      </c>
      <c r="L3449" t="s">
        <v>10100</v>
      </c>
      <c r="M3449" t="s">
        <v>10317</v>
      </c>
      <c r="N3449" t="s">
        <v>10657</v>
      </c>
      <c r="P3449" t="s">
        <v>10749</v>
      </c>
      <c r="Q3449" t="s">
        <v>10765</v>
      </c>
      <c r="R3449" t="s">
        <v>10821</v>
      </c>
      <c r="T3449">
        <v>123000</v>
      </c>
      <c r="U3449">
        <v>10250</v>
      </c>
      <c r="V3449">
        <v>51</v>
      </c>
      <c r="W3449">
        <v>2</v>
      </c>
      <c r="X3449">
        <v>1</v>
      </c>
      <c r="Y3449" t="s">
        <v>10829</v>
      </c>
      <c r="Z3449">
        <v>576.65</v>
      </c>
      <c r="AA3449">
        <v>40.634673</v>
      </c>
      <c r="AB3449">
        <v>-74.026719</v>
      </c>
      <c r="AD3449" t="s">
        <v>10840</v>
      </c>
      <c r="AG3449" t="s">
        <v>10858</v>
      </c>
      <c r="AH3449" t="s">
        <v>10862</v>
      </c>
      <c r="AI3449">
        <v>239</v>
      </c>
      <c r="AJ3449" t="s">
        <v>10213</v>
      </c>
      <c r="AK3449" t="s">
        <v>10838</v>
      </c>
      <c r="AL3449">
        <v>1.5</v>
      </c>
      <c r="AM3449" t="s">
        <v>10883</v>
      </c>
      <c r="AN3449" t="s">
        <v>10921</v>
      </c>
      <c r="AO3449" t="s">
        <v>11023</v>
      </c>
      <c r="AP3449" t="s">
        <v>11086</v>
      </c>
      <c r="AR3449" t="s">
        <v>11257</v>
      </c>
      <c r="AS3449" t="s">
        <v>11595</v>
      </c>
      <c r="AX3449" t="s">
        <v>10838</v>
      </c>
      <c r="AY3449" t="s">
        <v>10829</v>
      </c>
      <c r="AZ3449" t="s">
        <v>11681</v>
      </c>
      <c r="BA3449" t="s">
        <v>11741</v>
      </c>
      <c r="BB3449">
        <v>0</v>
      </c>
      <c r="BC3449">
        <v>0</v>
      </c>
      <c r="BD3449">
        <v>0</v>
      </c>
      <c r="BE3449">
        <v>0</v>
      </c>
      <c r="BF3449">
        <v>1</v>
      </c>
      <c r="BG3449">
        <v>0</v>
      </c>
    </row>
    <row r="3450" spans="1:59">
      <c r="A3450" s="1">
        <f>HYPERLINK("https://lsnyc.legalserver.org/matter/dynamic-profile/view/1907535","19-1907535")</f>
        <v>0</v>
      </c>
      <c r="B3450" t="s">
        <v>2882</v>
      </c>
      <c r="C3450" t="s">
        <v>7672</v>
      </c>
      <c r="D3450" t="s">
        <v>9928</v>
      </c>
      <c r="E3450" t="s">
        <v>10075</v>
      </c>
      <c r="F3450">
        <v>11217</v>
      </c>
      <c r="G3450" t="s">
        <v>10093</v>
      </c>
      <c r="H3450" t="s">
        <v>10140</v>
      </c>
      <c r="I3450" t="s">
        <v>10168</v>
      </c>
      <c r="J3450" t="s">
        <v>10213</v>
      </c>
      <c r="K3450" t="s">
        <v>10218</v>
      </c>
      <c r="L3450" t="s">
        <v>10152</v>
      </c>
      <c r="M3450" t="s">
        <v>10268</v>
      </c>
      <c r="N3450" t="s">
        <v>10657</v>
      </c>
      <c r="P3450" t="s">
        <v>10749</v>
      </c>
      <c r="Q3450" t="s">
        <v>10767</v>
      </c>
      <c r="R3450" t="s">
        <v>10821</v>
      </c>
      <c r="T3450">
        <v>24000</v>
      </c>
      <c r="U3450">
        <v>2000</v>
      </c>
      <c r="V3450">
        <v>44</v>
      </c>
      <c r="W3450">
        <v>2</v>
      </c>
      <c r="X3450">
        <v>3</v>
      </c>
      <c r="Y3450" t="s">
        <v>10829</v>
      </c>
      <c r="Z3450">
        <v>79.55</v>
      </c>
      <c r="AA3450">
        <v>40.683177</v>
      </c>
      <c r="AB3450">
        <v>-73.98828899999999</v>
      </c>
      <c r="AD3450" t="s">
        <v>10840</v>
      </c>
      <c r="AG3450" t="s">
        <v>10858</v>
      </c>
      <c r="AH3450" t="s">
        <v>10862</v>
      </c>
      <c r="AI3450">
        <v>239</v>
      </c>
      <c r="AJ3450" t="s">
        <v>10213</v>
      </c>
      <c r="AK3450" t="s">
        <v>10837</v>
      </c>
      <c r="AL3450">
        <v>0.5</v>
      </c>
      <c r="AM3450" t="s">
        <v>10886</v>
      </c>
      <c r="AN3450" t="s">
        <v>10917</v>
      </c>
      <c r="AO3450" t="s">
        <v>11007</v>
      </c>
      <c r="AP3450" t="s">
        <v>11054</v>
      </c>
      <c r="AR3450" t="s">
        <v>11257</v>
      </c>
      <c r="AS3450" t="s">
        <v>11595</v>
      </c>
      <c r="AX3450" t="s">
        <v>10838</v>
      </c>
      <c r="AY3450" t="s">
        <v>10829</v>
      </c>
      <c r="AZ3450" t="s">
        <v>11681</v>
      </c>
      <c r="BA3450" t="s">
        <v>11741</v>
      </c>
      <c r="BB3450">
        <v>0</v>
      </c>
      <c r="BC3450">
        <v>0</v>
      </c>
      <c r="BD3450">
        <v>0</v>
      </c>
      <c r="BE3450">
        <v>0</v>
      </c>
      <c r="BF3450">
        <v>1</v>
      </c>
      <c r="BG3450">
        <v>0</v>
      </c>
    </row>
    <row r="3451" spans="1:59">
      <c r="A3451" s="1">
        <f>HYPERLINK("https://lsnyc.legalserver.org/matter/dynamic-profile/view/1907536","19-1907536")</f>
        <v>0</v>
      </c>
      <c r="B3451" t="s">
        <v>2883</v>
      </c>
      <c r="C3451" t="s">
        <v>5918</v>
      </c>
      <c r="D3451" t="s">
        <v>9925</v>
      </c>
      <c r="E3451" t="s">
        <v>10075</v>
      </c>
      <c r="F3451">
        <v>10026</v>
      </c>
      <c r="G3451" t="s">
        <v>10089</v>
      </c>
      <c r="H3451" t="s">
        <v>10120</v>
      </c>
      <c r="I3451" t="s">
        <v>10168</v>
      </c>
      <c r="J3451" t="s">
        <v>10209</v>
      </c>
      <c r="K3451" t="s">
        <v>10217</v>
      </c>
      <c r="M3451" t="s">
        <v>10447</v>
      </c>
      <c r="N3451" t="s">
        <v>10691</v>
      </c>
      <c r="P3451" t="s">
        <v>10749</v>
      </c>
      <c r="Q3451" t="s">
        <v>10765</v>
      </c>
      <c r="R3451" t="s">
        <v>10824</v>
      </c>
      <c r="T3451">
        <v>12000</v>
      </c>
      <c r="U3451">
        <v>1000</v>
      </c>
      <c r="V3451">
        <v>32</v>
      </c>
      <c r="W3451">
        <v>1</v>
      </c>
      <c r="X3451">
        <v>0</v>
      </c>
      <c r="Z3451">
        <v>96.08</v>
      </c>
      <c r="AA3451">
        <v>40.799499</v>
      </c>
      <c r="AB3451">
        <v>-73.950838</v>
      </c>
      <c r="AD3451" t="s">
        <v>10839</v>
      </c>
      <c r="AG3451" t="s">
        <v>10858</v>
      </c>
      <c r="AH3451" t="s">
        <v>10862</v>
      </c>
      <c r="AI3451">
        <v>236</v>
      </c>
      <c r="AJ3451" t="s">
        <v>10209</v>
      </c>
      <c r="AL3451">
        <v>10.5</v>
      </c>
      <c r="AM3451" t="s">
        <v>10887</v>
      </c>
      <c r="AN3451" t="s">
        <v>10926</v>
      </c>
      <c r="AO3451" t="s">
        <v>11016</v>
      </c>
      <c r="AP3451" t="s">
        <v>11076</v>
      </c>
      <c r="AR3451" t="s">
        <v>11263</v>
      </c>
      <c r="AS3451" t="s">
        <v>9925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</row>
    <row r="3452" spans="1:59">
      <c r="A3452" s="1">
        <f>HYPERLINK("https://lsnyc.legalserver.org/matter/dynamic-profile/view/1907537","19-1907537")</f>
        <v>0</v>
      </c>
      <c r="B3452" t="s">
        <v>2884</v>
      </c>
      <c r="C3452" t="s">
        <v>7673</v>
      </c>
      <c r="D3452" t="s">
        <v>9926</v>
      </c>
      <c r="E3452" t="s">
        <v>10075</v>
      </c>
      <c r="F3452">
        <v>10467</v>
      </c>
      <c r="G3452" t="s">
        <v>10090</v>
      </c>
      <c r="H3452" t="s">
        <v>10120</v>
      </c>
      <c r="I3452" t="s">
        <v>10169</v>
      </c>
      <c r="J3452" t="s">
        <v>10210</v>
      </c>
      <c r="K3452" t="s">
        <v>10217</v>
      </c>
      <c r="M3452" t="s">
        <v>10283</v>
      </c>
      <c r="N3452" t="s">
        <v>10705</v>
      </c>
      <c r="P3452" t="s">
        <v>10757</v>
      </c>
      <c r="Q3452" t="s">
        <v>10797</v>
      </c>
      <c r="R3452" t="s">
        <v>10821</v>
      </c>
      <c r="T3452">
        <v>32472</v>
      </c>
      <c r="U3452">
        <v>2706</v>
      </c>
      <c r="V3452">
        <v>42</v>
      </c>
      <c r="W3452">
        <v>4</v>
      </c>
      <c r="X3452">
        <v>6</v>
      </c>
      <c r="Z3452">
        <v>62.12</v>
      </c>
      <c r="AA3452">
        <v>40.874278</v>
      </c>
      <c r="AB3452">
        <v>-73.879987</v>
      </c>
      <c r="AD3452" t="s">
        <v>10839</v>
      </c>
      <c r="AG3452" t="s">
        <v>10858</v>
      </c>
      <c r="AH3452" t="s">
        <v>10874</v>
      </c>
      <c r="AI3452">
        <v>230</v>
      </c>
      <c r="AJ3452" t="s">
        <v>10210</v>
      </c>
      <c r="AL3452">
        <v>24.4</v>
      </c>
      <c r="AM3452" t="s">
        <v>10887</v>
      </c>
      <c r="AN3452" t="s">
        <v>10938</v>
      </c>
      <c r="AO3452" t="s">
        <v>11010</v>
      </c>
      <c r="AP3452" t="s">
        <v>11057</v>
      </c>
      <c r="AR3452" t="s">
        <v>11508</v>
      </c>
      <c r="AS3452" t="s">
        <v>9926</v>
      </c>
      <c r="AT3452" t="s">
        <v>11641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</row>
    <row r="3453" spans="1:59">
      <c r="A3453" s="1">
        <f>HYPERLINK("https://lsnyc.legalserver.org/matter/dynamic-profile/view/1907538","19-1907538")</f>
        <v>0</v>
      </c>
      <c r="B3453" t="s">
        <v>2678</v>
      </c>
      <c r="C3453" t="s">
        <v>7461</v>
      </c>
      <c r="D3453" t="s">
        <v>9926</v>
      </c>
      <c r="E3453" t="s">
        <v>10075</v>
      </c>
      <c r="F3453">
        <v>10470</v>
      </c>
      <c r="G3453" t="s">
        <v>10090</v>
      </c>
      <c r="H3453" t="s">
        <v>10120</v>
      </c>
      <c r="I3453" t="s">
        <v>10168</v>
      </c>
      <c r="J3453" t="s">
        <v>10210</v>
      </c>
      <c r="K3453" t="s">
        <v>10217</v>
      </c>
      <c r="M3453" t="s">
        <v>10244</v>
      </c>
      <c r="N3453" t="s">
        <v>10650</v>
      </c>
      <c r="O3453" t="s">
        <v>10650</v>
      </c>
      <c r="P3453" t="s">
        <v>10749</v>
      </c>
      <c r="Q3453" t="s">
        <v>10765</v>
      </c>
      <c r="R3453" t="s">
        <v>10824</v>
      </c>
      <c r="T3453">
        <v>0</v>
      </c>
      <c r="U3453">
        <v>0</v>
      </c>
      <c r="V3453">
        <v>62</v>
      </c>
      <c r="W3453">
        <v>1</v>
      </c>
      <c r="X3453">
        <v>4</v>
      </c>
      <c r="Z3453">
        <v>0</v>
      </c>
      <c r="AA3453">
        <v>40.905036</v>
      </c>
      <c r="AB3453">
        <v>-73.85033</v>
      </c>
      <c r="AC3453" t="s">
        <v>10837</v>
      </c>
      <c r="AD3453" t="s">
        <v>10839</v>
      </c>
      <c r="AG3453" t="s">
        <v>10858</v>
      </c>
      <c r="AH3453" t="s">
        <v>10862</v>
      </c>
      <c r="AI3453">
        <v>230</v>
      </c>
      <c r="AJ3453" t="s">
        <v>10210</v>
      </c>
      <c r="AL3453">
        <v>0.2</v>
      </c>
      <c r="AM3453" t="s">
        <v>10893</v>
      </c>
      <c r="AN3453" t="s">
        <v>10919</v>
      </c>
      <c r="AO3453" t="s">
        <v>11010</v>
      </c>
      <c r="AP3453" t="s">
        <v>11057</v>
      </c>
      <c r="AR3453" t="s">
        <v>11267</v>
      </c>
      <c r="AS3453" t="s">
        <v>9926</v>
      </c>
      <c r="BA3453" t="s">
        <v>11741</v>
      </c>
      <c r="BB3453">
        <v>0</v>
      </c>
      <c r="BC3453">
        <v>0</v>
      </c>
      <c r="BD3453">
        <v>0</v>
      </c>
      <c r="BE3453">
        <v>0</v>
      </c>
      <c r="BF3453">
        <v>1</v>
      </c>
      <c r="BG3453">
        <v>0</v>
      </c>
    </row>
    <row r="3454" spans="1:59">
      <c r="A3454" s="1">
        <f>HYPERLINK("https://lsnyc.legalserver.org/matter/dynamic-profile/view/1907539","19-1907539")</f>
        <v>0</v>
      </c>
      <c r="B3454" t="s">
        <v>2885</v>
      </c>
      <c r="C3454" t="s">
        <v>7674</v>
      </c>
      <c r="D3454" t="s">
        <v>9926</v>
      </c>
      <c r="E3454" t="s">
        <v>10075</v>
      </c>
      <c r="F3454">
        <v>10466</v>
      </c>
      <c r="G3454" t="s">
        <v>10090</v>
      </c>
      <c r="H3454" t="s">
        <v>10140</v>
      </c>
      <c r="I3454" t="s">
        <v>10169</v>
      </c>
      <c r="J3454" t="s">
        <v>10210</v>
      </c>
      <c r="K3454" t="s">
        <v>10217</v>
      </c>
      <c r="M3454" t="s">
        <v>10262</v>
      </c>
      <c r="N3454" t="s">
        <v>10666</v>
      </c>
      <c r="P3454" t="s">
        <v>10749</v>
      </c>
      <c r="Q3454" t="s">
        <v>10765</v>
      </c>
      <c r="R3454" t="s">
        <v>10821</v>
      </c>
      <c r="T3454">
        <v>16312</v>
      </c>
      <c r="U3454">
        <v>1359.33</v>
      </c>
      <c r="V3454">
        <v>43</v>
      </c>
      <c r="W3454">
        <v>2</v>
      </c>
      <c r="X3454">
        <v>2</v>
      </c>
      <c r="Z3454">
        <v>63.35</v>
      </c>
      <c r="AA3454">
        <v>40.888336</v>
      </c>
      <c r="AB3454">
        <v>-73.848326</v>
      </c>
      <c r="AD3454" t="s">
        <v>10839</v>
      </c>
      <c r="AG3454" t="s">
        <v>10858</v>
      </c>
      <c r="AH3454" t="s">
        <v>10861</v>
      </c>
      <c r="AI3454">
        <v>230</v>
      </c>
      <c r="AJ3454" t="s">
        <v>10210</v>
      </c>
      <c r="AL3454">
        <v>0.6</v>
      </c>
      <c r="AM3454" t="s">
        <v>10893</v>
      </c>
      <c r="AN3454" t="s">
        <v>10956</v>
      </c>
      <c r="AO3454" t="s">
        <v>11010</v>
      </c>
      <c r="AP3454" t="s">
        <v>11085</v>
      </c>
      <c r="AR3454" t="s">
        <v>11404</v>
      </c>
      <c r="AS3454" t="s">
        <v>9926</v>
      </c>
      <c r="AT3454" t="s">
        <v>11641</v>
      </c>
      <c r="AX3454" t="s">
        <v>10838</v>
      </c>
      <c r="BA3454" t="s">
        <v>11741</v>
      </c>
      <c r="BB3454">
        <v>0</v>
      </c>
      <c r="BC3454">
        <v>0</v>
      </c>
      <c r="BD3454">
        <v>0</v>
      </c>
      <c r="BE3454">
        <v>0</v>
      </c>
      <c r="BF3454">
        <v>1</v>
      </c>
      <c r="BG3454">
        <v>0</v>
      </c>
    </row>
    <row r="3455" spans="1:59">
      <c r="A3455" s="1">
        <f>HYPERLINK("https://lsnyc.legalserver.org/matter/dynamic-profile/view/1907540","19-1907540")</f>
        <v>0</v>
      </c>
      <c r="B3455" t="s">
        <v>2886</v>
      </c>
      <c r="C3455" t="s">
        <v>7675</v>
      </c>
      <c r="D3455" t="s">
        <v>9926</v>
      </c>
      <c r="E3455" t="s">
        <v>10075</v>
      </c>
      <c r="F3455">
        <v>10456</v>
      </c>
      <c r="G3455" t="s">
        <v>10092</v>
      </c>
      <c r="H3455" t="s">
        <v>10140</v>
      </c>
      <c r="I3455" t="s">
        <v>10168</v>
      </c>
      <c r="J3455" t="s">
        <v>10212</v>
      </c>
      <c r="K3455" t="s">
        <v>10217</v>
      </c>
      <c r="M3455" t="s">
        <v>10602</v>
      </c>
      <c r="N3455" t="s">
        <v>10695</v>
      </c>
      <c r="P3455" t="s">
        <v>10749</v>
      </c>
      <c r="Q3455" t="s">
        <v>10767</v>
      </c>
      <c r="R3455" t="s">
        <v>10824</v>
      </c>
      <c r="T3455">
        <v>11700</v>
      </c>
      <c r="U3455">
        <v>975</v>
      </c>
      <c r="V3455">
        <v>79</v>
      </c>
      <c r="W3455">
        <v>1</v>
      </c>
      <c r="X3455">
        <v>0</v>
      </c>
      <c r="Z3455">
        <v>93.67</v>
      </c>
      <c r="AA3455">
        <v>40.83227</v>
      </c>
      <c r="AB3455">
        <v>-73.899083</v>
      </c>
      <c r="AC3455" t="s">
        <v>10837</v>
      </c>
      <c r="AD3455" t="s">
        <v>10840</v>
      </c>
      <c r="AG3455" t="s">
        <v>10858</v>
      </c>
      <c r="AH3455" t="s">
        <v>10862</v>
      </c>
      <c r="AI3455">
        <v>237</v>
      </c>
      <c r="AJ3455" t="s">
        <v>10212</v>
      </c>
      <c r="AL3455">
        <v>1.48</v>
      </c>
      <c r="AM3455" t="s">
        <v>10884</v>
      </c>
      <c r="AN3455" t="s">
        <v>10918</v>
      </c>
      <c r="AO3455" t="s">
        <v>11000</v>
      </c>
      <c r="AP3455" t="s">
        <v>11055</v>
      </c>
      <c r="AR3455" t="s">
        <v>11268</v>
      </c>
      <c r="AS3455" t="s">
        <v>9926</v>
      </c>
      <c r="BA3455" t="s">
        <v>11742</v>
      </c>
      <c r="BB3455">
        <v>0</v>
      </c>
      <c r="BC3455">
        <v>0</v>
      </c>
      <c r="BD3455">
        <v>0</v>
      </c>
      <c r="BE3455">
        <v>0</v>
      </c>
      <c r="BF3455">
        <v>7</v>
      </c>
      <c r="BG3455">
        <v>0</v>
      </c>
    </row>
    <row r="3456" spans="1:59">
      <c r="A3456" s="1">
        <f>HYPERLINK("https://lsnyc.legalserver.org/matter/dynamic-profile/view/1907541","19-1907541")</f>
        <v>0</v>
      </c>
      <c r="B3456" t="s">
        <v>2887</v>
      </c>
      <c r="C3456" t="s">
        <v>7676</v>
      </c>
      <c r="D3456" t="s">
        <v>9938</v>
      </c>
      <c r="E3456" t="s">
        <v>10075</v>
      </c>
      <c r="F3456">
        <v>11433</v>
      </c>
      <c r="G3456" t="s">
        <v>10092</v>
      </c>
      <c r="H3456" t="s">
        <v>10140</v>
      </c>
      <c r="I3456" t="s">
        <v>10168</v>
      </c>
      <c r="J3456" t="s">
        <v>10212</v>
      </c>
      <c r="K3456" t="s">
        <v>10217</v>
      </c>
      <c r="M3456" t="s">
        <v>10347</v>
      </c>
      <c r="N3456" t="s">
        <v>10693</v>
      </c>
      <c r="P3456" t="s">
        <v>10749</v>
      </c>
      <c r="Q3456" t="s">
        <v>10767</v>
      </c>
      <c r="R3456" t="s">
        <v>10821</v>
      </c>
      <c r="T3456">
        <v>41424</v>
      </c>
      <c r="U3456">
        <v>3452</v>
      </c>
      <c r="V3456">
        <v>59</v>
      </c>
      <c r="W3456">
        <v>5</v>
      </c>
      <c r="X3456">
        <v>2</v>
      </c>
      <c r="Z3456">
        <v>106.19</v>
      </c>
      <c r="AA3456">
        <v>40.69348</v>
      </c>
      <c r="AB3456">
        <v>-73.792838</v>
      </c>
      <c r="AD3456" t="s">
        <v>10839</v>
      </c>
      <c r="AG3456" t="s">
        <v>10858</v>
      </c>
      <c r="AH3456" t="s">
        <v>10862</v>
      </c>
      <c r="AI3456">
        <v>237</v>
      </c>
      <c r="AJ3456" t="s">
        <v>10212</v>
      </c>
      <c r="AL3456">
        <v>1.38</v>
      </c>
      <c r="AM3456" t="s">
        <v>10892</v>
      </c>
      <c r="AN3456" t="s">
        <v>10951</v>
      </c>
      <c r="AO3456" t="s">
        <v>11017</v>
      </c>
      <c r="AP3456" t="s">
        <v>11070</v>
      </c>
      <c r="AR3456" t="s">
        <v>11296</v>
      </c>
      <c r="AS3456" t="s">
        <v>11594</v>
      </c>
      <c r="BA3456" t="s">
        <v>11738</v>
      </c>
      <c r="BB3456">
        <v>0</v>
      </c>
      <c r="BC3456">
        <v>0</v>
      </c>
      <c r="BD3456">
        <v>0</v>
      </c>
      <c r="BE3456">
        <v>0</v>
      </c>
      <c r="BF3456">
        <v>5</v>
      </c>
      <c r="BG3456">
        <v>0</v>
      </c>
    </row>
    <row r="3457" spans="1:59">
      <c r="A3457" s="1">
        <f>HYPERLINK("https://lsnyc.legalserver.org/matter/dynamic-profile/view/1907542","19-1907542")</f>
        <v>0</v>
      </c>
      <c r="B3457" t="s">
        <v>177</v>
      </c>
      <c r="C3457" t="s">
        <v>7677</v>
      </c>
      <c r="D3457" t="s">
        <v>9936</v>
      </c>
      <c r="E3457" t="s">
        <v>10075</v>
      </c>
      <c r="F3457">
        <v>11105</v>
      </c>
      <c r="G3457" t="s">
        <v>10092</v>
      </c>
      <c r="H3457" t="s">
        <v>10140</v>
      </c>
      <c r="I3457" t="s">
        <v>10169</v>
      </c>
      <c r="J3457" t="s">
        <v>10212</v>
      </c>
      <c r="K3457" t="s">
        <v>10218</v>
      </c>
      <c r="L3457" t="s">
        <v>10100</v>
      </c>
      <c r="M3457" t="s">
        <v>10366</v>
      </c>
      <c r="N3457" t="s">
        <v>10678</v>
      </c>
      <c r="P3457" t="s">
        <v>10749</v>
      </c>
      <c r="Q3457" t="s">
        <v>10769</v>
      </c>
      <c r="R3457" t="s">
        <v>10823</v>
      </c>
      <c r="T3457">
        <v>9000</v>
      </c>
      <c r="U3457">
        <v>750</v>
      </c>
      <c r="V3457">
        <v>62</v>
      </c>
      <c r="W3457">
        <v>1</v>
      </c>
      <c r="X3457">
        <v>0</v>
      </c>
      <c r="Y3457" t="s">
        <v>10829</v>
      </c>
      <c r="Z3457">
        <v>72.06</v>
      </c>
      <c r="AA3457">
        <v>40.770623</v>
      </c>
      <c r="AB3457">
        <v>-73.900198</v>
      </c>
      <c r="AD3457" t="s">
        <v>10840</v>
      </c>
      <c r="AG3457" t="s">
        <v>10858</v>
      </c>
      <c r="AH3457" t="s">
        <v>10860</v>
      </c>
      <c r="AI3457">
        <v>237</v>
      </c>
      <c r="AJ3457" t="s">
        <v>10212</v>
      </c>
      <c r="AK3457" t="s">
        <v>10838</v>
      </c>
      <c r="AL3457">
        <v>2.7</v>
      </c>
      <c r="AM3457" t="s">
        <v>10885</v>
      </c>
      <c r="AN3457" t="s">
        <v>10954</v>
      </c>
      <c r="AO3457" t="s">
        <v>11014</v>
      </c>
      <c r="AP3457" t="s">
        <v>11084</v>
      </c>
      <c r="AR3457" t="s">
        <v>11296</v>
      </c>
      <c r="AS3457" t="s">
        <v>11594</v>
      </c>
      <c r="AY3457" t="s">
        <v>10829</v>
      </c>
      <c r="AZ3457" t="s">
        <v>11681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</row>
    <row r="3458" spans="1:59">
      <c r="A3458" s="1">
        <f>HYPERLINK("https://lsnyc.legalserver.org/matter/dynamic-profile/view/1907543","19-1907543")</f>
        <v>0</v>
      </c>
      <c r="B3458" t="s">
        <v>2888</v>
      </c>
      <c r="C3458" t="s">
        <v>7678</v>
      </c>
      <c r="D3458" t="s">
        <v>9926</v>
      </c>
      <c r="E3458" t="s">
        <v>10075</v>
      </c>
      <c r="F3458">
        <v>10457</v>
      </c>
      <c r="G3458" t="s">
        <v>10091</v>
      </c>
      <c r="H3458" t="s">
        <v>10140</v>
      </c>
      <c r="I3458" t="s">
        <v>10169</v>
      </c>
      <c r="J3458" t="s">
        <v>10211</v>
      </c>
      <c r="K3458" t="s">
        <v>10217</v>
      </c>
      <c r="M3458" t="s">
        <v>10307</v>
      </c>
      <c r="N3458" t="s">
        <v>10671</v>
      </c>
      <c r="P3458" t="s">
        <v>10752</v>
      </c>
      <c r="Q3458" t="s">
        <v>10762</v>
      </c>
      <c r="R3458" t="s">
        <v>10821</v>
      </c>
      <c r="T3458">
        <v>27720</v>
      </c>
      <c r="U3458">
        <v>2310</v>
      </c>
      <c r="V3458">
        <v>26</v>
      </c>
      <c r="W3458">
        <v>1</v>
      </c>
      <c r="X3458">
        <v>3</v>
      </c>
      <c r="Z3458">
        <v>107.65</v>
      </c>
      <c r="AA3458">
        <v>40.844493</v>
      </c>
      <c r="AB3458">
        <v>-73.906431</v>
      </c>
      <c r="AD3458" t="s">
        <v>10839</v>
      </c>
      <c r="AG3458" t="s">
        <v>10858</v>
      </c>
      <c r="AH3458" t="s">
        <v>10861</v>
      </c>
      <c r="AI3458">
        <v>234</v>
      </c>
      <c r="AJ3458" t="s">
        <v>10214</v>
      </c>
      <c r="AL3458">
        <v>0.5</v>
      </c>
      <c r="AM3458" t="s">
        <v>10884</v>
      </c>
      <c r="AN3458" t="s">
        <v>10931</v>
      </c>
      <c r="AO3458" t="s">
        <v>11000</v>
      </c>
      <c r="AP3458" t="s">
        <v>11056</v>
      </c>
      <c r="AR3458" t="s">
        <v>11509</v>
      </c>
      <c r="AS3458" t="s">
        <v>9926</v>
      </c>
      <c r="AT3458" t="s">
        <v>11641</v>
      </c>
      <c r="AX3458" t="s">
        <v>10838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</row>
    <row r="3459" spans="1:59">
      <c r="A3459" s="1">
        <f>HYPERLINK("https://lsnyc.legalserver.org/matter/dynamic-profile/view/1907544","19-1907544")</f>
        <v>0</v>
      </c>
      <c r="B3459" t="s">
        <v>2889</v>
      </c>
      <c r="C3459" t="s">
        <v>7679</v>
      </c>
      <c r="D3459" t="s">
        <v>9929</v>
      </c>
      <c r="E3459" t="s">
        <v>10075</v>
      </c>
      <c r="F3459">
        <v>10312</v>
      </c>
      <c r="G3459" t="s">
        <v>10088</v>
      </c>
      <c r="H3459" t="s">
        <v>10108</v>
      </c>
      <c r="I3459" t="s">
        <v>10184</v>
      </c>
      <c r="J3459" t="s">
        <v>10208</v>
      </c>
      <c r="K3459" t="s">
        <v>10217</v>
      </c>
      <c r="M3459" t="s">
        <v>10243</v>
      </c>
      <c r="N3459" t="s">
        <v>10650</v>
      </c>
      <c r="P3459" t="s">
        <v>10749</v>
      </c>
      <c r="Q3459" t="s">
        <v>10765</v>
      </c>
      <c r="R3459" t="s">
        <v>10825</v>
      </c>
      <c r="T3459">
        <v>11208</v>
      </c>
      <c r="U3459">
        <v>934</v>
      </c>
      <c r="V3459">
        <v>40</v>
      </c>
      <c r="W3459">
        <v>1</v>
      </c>
      <c r="X3459">
        <v>2</v>
      </c>
      <c r="Z3459">
        <v>52.55</v>
      </c>
      <c r="AA3459">
        <v>40.529113</v>
      </c>
      <c r="AB3459">
        <v>-74.16366600000001</v>
      </c>
      <c r="AD3459" t="s">
        <v>10839</v>
      </c>
      <c r="AF3459" t="s">
        <v>10843</v>
      </c>
      <c r="AG3459" t="s">
        <v>10859</v>
      </c>
      <c r="AH3459" t="s">
        <v>10862</v>
      </c>
      <c r="AI3459">
        <v>285</v>
      </c>
      <c r="AJ3459" t="s">
        <v>10208</v>
      </c>
      <c r="AL3459">
        <v>4.5</v>
      </c>
      <c r="AM3459" t="s">
        <v>10883</v>
      </c>
      <c r="AN3459" t="s">
        <v>10906</v>
      </c>
      <c r="AO3459" t="s">
        <v>10999</v>
      </c>
      <c r="AP3459" t="s">
        <v>11044</v>
      </c>
      <c r="AR3459" t="s">
        <v>11322</v>
      </c>
      <c r="AS3459" t="s">
        <v>11593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</row>
    <row r="3460" spans="1:59">
      <c r="A3460" s="1">
        <f>HYPERLINK("https://lsnyc.legalserver.org/matter/dynamic-profile/view/1907546","19-1907546")</f>
        <v>0</v>
      </c>
      <c r="B3460" t="s">
        <v>2890</v>
      </c>
      <c r="C3460" t="s">
        <v>7680</v>
      </c>
      <c r="D3460" t="s">
        <v>9925</v>
      </c>
      <c r="E3460" t="s">
        <v>10075</v>
      </c>
      <c r="F3460">
        <v>10038</v>
      </c>
      <c r="G3460" t="s">
        <v>10091</v>
      </c>
      <c r="H3460" t="s">
        <v>10140</v>
      </c>
      <c r="I3460" t="s">
        <v>10168</v>
      </c>
      <c r="J3460" t="s">
        <v>10214</v>
      </c>
      <c r="K3460" t="s">
        <v>10217</v>
      </c>
      <c r="M3460" t="s">
        <v>10286</v>
      </c>
      <c r="N3460" t="s">
        <v>10671</v>
      </c>
      <c r="P3460" t="s">
        <v>10757</v>
      </c>
      <c r="Q3460" t="s">
        <v>10789</v>
      </c>
      <c r="R3460" t="s">
        <v>10821</v>
      </c>
      <c r="T3460">
        <v>10632</v>
      </c>
      <c r="U3460">
        <v>886</v>
      </c>
      <c r="V3460">
        <v>48</v>
      </c>
      <c r="W3460">
        <v>1</v>
      </c>
      <c r="X3460">
        <v>0</v>
      </c>
      <c r="Z3460">
        <v>85.12</v>
      </c>
      <c r="AA3460">
        <v>40.710624</v>
      </c>
      <c r="AB3460">
        <v>-73.99878699999999</v>
      </c>
      <c r="AD3460" t="s">
        <v>10839</v>
      </c>
      <c r="AG3460" t="s">
        <v>10858</v>
      </c>
      <c r="AH3460" t="s">
        <v>10861</v>
      </c>
      <c r="AI3460">
        <v>234</v>
      </c>
      <c r="AJ3460" t="s">
        <v>10214</v>
      </c>
      <c r="AL3460">
        <v>0.5</v>
      </c>
      <c r="AM3460" t="s">
        <v>10886</v>
      </c>
      <c r="AN3460" t="s">
        <v>10963</v>
      </c>
      <c r="AO3460" t="s">
        <v>11004</v>
      </c>
      <c r="AP3460" t="s">
        <v>11093</v>
      </c>
      <c r="AR3460" t="s">
        <v>11274</v>
      </c>
      <c r="AS3460" t="s">
        <v>9925</v>
      </c>
      <c r="AT3460" t="s">
        <v>11641</v>
      </c>
      <c r="AX3460" t="s">
        <v>10838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</row>
    <row r="3461" spans="1:59">
      <c r="A3461" s="1">
        <f>HYPERLINK("https://lsnyc.legalserver.org/matter/dynamic-profile/view/1907547","19-1907547")</f>
        <v>0</v>
      </c>
      <c r="B3461" t="s">
        <v>2891</v>
      </c>
      <c r="C3461" t="s">
        <v>7681</v>
      </c>
      <c r="D3461" t="s">
        <v>9932</v>
      </c>
      <c r="E3461" t="s">
        <v>10075</v>
      </c>
      <c r="F3461">
        <v>11368</v>
      </c>
      <c r="G3461" t="s">
        <v>10092</v>
      </c>
      <c r="H3461" t="s">
        <v>10140</v>
      </c>
      <c r="I3461" t="s">
        <v>10169</v>
      </c>
      <c r="J3461" t="s">
        <v>10212</v>
      </c>
      <c r="K3461" t="s">
        <v>10217</v>
      </c>
      <c r="M3461" t="s">
        <v>10520</v>
      </c>
      <c r="N3461" t="s">
        <v>10678</v>
      </c>
      <c r="P3461" t="s">
        <v>10749</v>
      </c>
      <c r="Q3461" t="s">
        <v>10769</v>
      </c>
      <c r="R3461" t="s">
        <v>10822</v>
      </c>
      <c r="T3461">
        <v>54000</v>
      </c>
      <c r="U3461">
        <v>4500</v>
      </c>
      <c r="V3461">
        <v>50</v>
      </c>
      <c r="W3461">
        <v>4</v>
      </c>
      <c r="X3461">
        <v>1</v>
      </c>
      <c r="Z3461">
        <v>178.99</v>
      </c>
      <c r="AA3461">
        <v>40.752656</v>
      </c>
      <c r="AB3461">
        <v>-73.864895</v>
      </c>
      <c r="AD3461" t="s">
        <v>10840</v>
      </c>
      <c r="AG3461" t="s">
        <v>10858</v>
      </c>
      <c r="AH3461" t="s">
        <v>10860</v>
      </c>
      <c r="AI3461">
        <v>237</v>
      </c>
      <c r="AJ3461" t="s">
        <v>10212</v>
      </c>
      <c r="AL3461">
        <v>14.8</v>
      </c>
      <c r="AR3461" t="s">
        <v>11257</v>
      </c>
      <c r="AS3461" t="s">
        <v>11594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</row>
    <row r="3462" spans="1:59">
      <c r="A3462" s="1">
        <f>HYPERLINK("https://lsnyc.legalserver.org/matter/dynamic-profile/view/1907548","19-1907548")</f>
        <v>0</v>
      </c>
      <c r="B3462" t="s">
        <v>2892</v>
      </c>
      <c r="C3462" t="s">
        <v>7682</v>
      </c>
      <c r="D3462" t="s">
        <v>9925</v>
      </c>
      <c r="E3462" t="s">
        <v>10075</v>
      </c>
      <c r="F3462">
        <v>10002</v>
      </c>
      <c r="G3462" t="s">
        <v>10089</v>
      </c>
      <c r="H3462" t="s">
        <v>10153</v>
      </c>
      <c r="I3462" t="s">
        <v>10168</v>
      </c>
      <c r="J3462" t="s">
        <v>10209</v>
      </c>
      <c r="K3462" t="s">
        <v>10217</v>
      </c>
      <c r="M3462" t="s">
        <v>10476</v>
      </c>
      <c r="N3462" t="s">
        <v>10691</v>
      </c>
      <c r="P3462" t="s">
        <v>10749</v>
      </c>
      <c r="Q3462" t="s">
        <v>10767</v>
      </c>
      <c r="R3462" t="s">
        <v>10824</v>
      </c>
      <c r="T3462">
        <v>41400</v>
      </c>
      <c r="U3462">
        <v>3450</v>
      </c>
      <c r="V3462">
        <v>84</v>
      </c>
      <c r="W3462">
        <v>2</v>
      </c>
      <c r="X3462">
        <v>0</v>
      </c>
      <c r="Z3462">
        <v>244.83</v>
      </c>
      <c r="AA3462">
        <v>40.710881</v>
      </c>
      <c r="AB3462">
        <v>-73.98629</v>
      </c>
      <c r="AC3462" t="s">
        <v>10837</v>
      </c>
      <c r="AD3462" t="s">
        <v>10840</v>
      </c>
      <c r="AG3462" t="s">
        <v>10858</v>
      </c>
      <c r="AH3462" t="s">
        <v>10862</v>
      </c>
      <c r="AI3462">
        <v>237</v>
      </c>
      <c r="AJ3462" t="s">
        <v>10212</v>
      </c>
      <c r="AL3462">
        <v>5.05</v>
      </c>
      <c r="AM3462" t="s">
        <v>10886</v>
      </c>
      <c r="AN3462" t="s">
        <v>10963</v>
      </c>
      <c r="AO3462" t="s">
        <v>11004</v>
      </c>
      <c r="AP3462" t="s">
        <v>11093</v>
      </c>
      <c r="AR3462" t="s">
        <v>11257</v>
      </c>
      <c r="AS3462" t="s">
        <v>9925</v>
      </c>
      <c r="BA3462" t="s">
        <v>11742</v>
      </c>
      <c r="BB3462">
        <v>0</v>
      </c>
      <c r="BC3462">
        <v>0</v>
      </c>
      <c r="BD3462">
        <v>0</v>
      </c>
      <c r="BE3462">
        <v>0</v>
      </c>
      <c r="BF3462">
        <v>7</v>
      </c>
      <c r="BG3462">
        <v>0</v>
      </c>
    </row>
    <row r="3463" spans="1:59">
      <c r="A3463" s="1">
        <f>HYPERLINK("https://lsnyc.legalserver.org/matter/dynamic-profile/view/1907549","19-1907549")</f>
        <v>0</v>
      </c>
      <c r="B3463" t="s">
        <v>2893</v>
      </c>
      <c r="C3463" t="s">
        <v>7683</v>
      </c>
      <c r="D3463" t="s">
        <v>9926</v>
      </c>
      <c r="E3463" t="s">
        <v>10075</v>
      </c>
      <c r="F3463">
        <v>10461</v>
      </c>
      <c r="G3463" t="s">
        <v>10090</v>
      </c>
      <c r="H3463" t="s">
        <v>10140</v>
      </c>
      <c r="I3463" t="s">
        <v>10168</v>
      </c>
      <c r="J3463" t="s">
        <v>10210</v>
      </c>
      <c r="K3463" t="s">
        <v>10217</v>
      </c>
      <c r="M3463" t="s">
        <v>10316</v>
      </c>
      <c r="N3463" t="s">
        <v>10666</v>
      </c>
      <c r="P3463" t="s">
        <v>10749</v>
      </c>
      <c r="Q3463" t="s">
        <v>10765</v>
      </c>
      <c r="R3463" t="s">
        <v>10824</v>
      </c>
      <c r="T3463">
        <v>10140</v>
      </c>
      <c r="U3463">
        <v>845</v>
      </c>
      <c r="V3463">
        <v>54</v>
      </c>
      <c r="W3463">
        <v>1</v>
      </c>
      <c r="X3463">
        <v>0</v>
      </c>
      <c r="Z3463">
        <v>81.18000000000001</v>
      </c>
      <c r="AA3463">
        <v>40.854929</v>
      </c>
      <c r="AB3463">
        <v>-73.829397</v>
      </c>
      <c r="AD3463" t="s">
        <v>10840</v>
      </c>
      <c r="AG3463" t="s">
        <v>10858</v>
      </c>
      <c r="AH3463" t="s">
        <v>10862</v>
      </c>
      <c r="AI3463">
        <v>230</v>
      </c>
      <c r="AJ3463" t="s">
        <v>10210</v>
      </c>
      <c r="AL3463">
        <v>5</v>
      </c>
      <c r="AM3463" t="s">
        <v>10885</v>
      </c>
      <c r="AN3463" t="s">
        <v>10911</v>
      </c>
      <c r="AO3463" t="s">
        <v>11002</v>
      </c>
      <c r="AP3463" t="s">
        <v>11049</v>
      </c>
      <c r="AR3463" t="s">
        <v>11296</v>
      </c>
      <c r="AS3463" t="s">
        <v>9926</v>
      </c>
      <c r="BA3463" t="s">
        <v>11738</v>
      </c>
      <c r="BB3463">
        <v>0</v>
      </c>
      <c r="BC3463">
        <v>0</v>
      </c>
      <c r="BD3463">
        <v>0</v>
      </c>
      <c r="BE3463">
        <v>0</v>
      </c>
      <c r="BF3463">
        <v>5</v>
      </c>
      <c r="BG3463">
        <v>0</v>
      </c>
    </row>
    <row r="3464" spans="1:59">
      <c r="A3464" s="1">
        <f>HYPERLINK("https://lsnyc.legalserver.org/matter/dynamic-profile/view/1907552","19-1907552")</f>
        <v>0</v>
      </c>
      <c r="B3464" t="s">
        <v>2894</v>
      </c>
      <c r="C3464" t="s">
        <v>7684</v>
      </c>
      <c r="D3464" t="s">
        <v>9926</v>
      </c>
      <c r="E3464" t="s">
        <v>10075</v>
      </c>
      <c r="F3464">
        <v>10459</v>
      </c>
      <c r="G3464" t="s">
        <v>10090</v>
      </c>
      <c r="H3464" t="s">
        <v>10140</v>
      </c>
      <c r="I3464" t="s">
        <v>10169</v>
      </c>
      <c r="J3464" t="s">
        <v>10210</v>
      </c>
      <c r="K3464" t="s">
        <v>10218</v>
      </c>
      <c r="L3464" t="s">
        <v>10162</v>
      </c>
      <c r="M3464" t="s">
        <v>10262</v>
      </c>
      <c r="N3464" t="s">
        <v>10666</v>
      </c>
      <c r="P3464" t="s">
        <v>10749</v>
      </c>
      <c r="Q3464" t="s">
        <v>10765</v>
      </c>
      <c r="R3464" t="s">
        <v>10821</v>
      </c>
      <c r="T3464">
        <v>9600</v>
      </c>
      <c r="U3464">
        <v>800</v>
      </c>
      <c r="V3464">
        <v>52</v>
      </c>
      <c r="W3464">
        <v>1</v>
      </c>
      <c r="X3464">
        <v>0</v>
      </c>
      <c r="Y3464" t="s">
        <v>10829</v>
      </c>
      <c r="Z3464">
        <v>76.86</v>
      </c>
      <c r="AA3464">
        <v>40.823034</v>
      </c>
      <c r="AB3464">
        <v>-73.901462</v>
      </c>
      <c r="AD3464" t="s">
        <v>10840</v>
      </c>
      <c r="AG3464" t="s">
        <v>10858</v>
      </c>
      <c r="AH3464" t="s">
        <v>10861</v>
      </c>
      <c r="AI3464">
        <v>230</v>
      </c>
      <c r="AJ3464" t="s">
        <v>10210</v>
      </c>
      <c r="AK3464" t="s">
        <v>10838</v>
      </c>
      <c r="AL3464">
        <v>0.7</v>
      </c>
      <c r="AM3464" t="s">
        <v>10884</v>
      </c>
      <c r="AN3464" t="s">
        <v>10918</v>
      </c>
      <c r="AO3464" t="s">
        <v>11001</v>
      </c>
      <c r="AP3464" t="s">
        <v>11062</v>
      </c>
      <c r="AR3464" t="s">
        <v>11263</v>
      </c>
      <c r="AS3464" t="s">
        <v>9926</v>
      </c>
      <c r="AT3464" t="s">
        <v>11642</v>
      </c>
      <c r="AX3464" t="s">
        <v>10838</v>
      </c>
      <c r="AY3464" t="s">
        <v>10829</v>
      </c>
      <c r="AZ3464" t="s">
        <v>11681</v>
      </c>
      <c r="BA3464" t="s">
        <v>11741</v>
      </c>
      <c r="BB3464">
        <v>0</v>
      </c>
      <c r="BC3464">
        <v>0</v>
      </c>
      <c r="BD3464">
        <v>0</v>
      </c>
      <c r="BE3464">
        <v>0</v>
      </c>
      <c r="BF3464">
        <v>1</v>
      </c>
      <c r="BG3464">
        <v>0</v>
      </c>
    </row>
    <row r="3465" spans="1:59">
      <c r="A3465" s="1">
        <f>HYPERLINK("https://lsnyc.legalserver.org/matter/dynamic-profile/view/1907553","19-1907553")</f>
        <v>0</v>
      </c>
      <c r="B3465" t="s">
        <v>2895</v>
      </c>
      <c r="C3465" t="s">
        <v>7685</v>
      </c>
      <c r="D3465" t="s">
        <v>9925</v>
      </c>
      <c r="E3465" t="s">
        <v>10075</v>
      </c>
      <c r="F3465">
        <v>10037</v>
      </c>
      <c r="G3465" t="s">
        <v>10089</v>
      </c>
      <c r="H3465" t="s">
        <v>10140</v>
      </c>
      <c r="I3465" t="s">
        <v>10168</v>
      </c>
      <c r="J3465" t="s">
        <v>10209</v>
      </c>
      <c r="K3465" t="s">
        <v>10218</v>
      </c>
      <c r="L3465" t="s">
        <v>10163</v>
      </c>
      <c r="M3465" t="s">
        <v>10493</v>
      </c>
      <c r="N3465" t="s">
        <v>10707</v>
      </c>
      <c r="P3465" t="s">
        <v>10749</v>
      </c>
      <c r="Q3465" t="s">
        <v>10765</v>
      </c>
      <c r="R3465" t="s">
        <v>10824</v>
      </c>
      <c r="T3465">
        <v>25500</v>
      </c>
      <c r="U3465">
        <v>2125</v>
      </c>
      <c r="V3465">
        <v>51</v>
      </c>
      <c r="W3465">
        <v>1</v>
      </c>
      <c r="X3465">
        <v>0</v>
      </c>
      <c r="Y3465" t="s">
        <v>10830</v>
      </c>
      <c r="Z3465">
        <v>204.16</v>
      </c>
      <c r="AA3465">
        <v>40.816442</v>
      </c>
      <c r="AB3465">
        <v>-73.937153</v>
      </c>
      <c r="AD3465" t="s">
        <v>10840</v>
      </c>
      <c r="AG3465" t="s">
        <v>10858</v>
      </c>
      <c r="AH3465" t="s">
        <v>10861</v>
      </c>
      <c r="AI3465">
        <v>234</v>
      </c>
      <c r="AJ3465" t="s">
        <v>10214</v>
      </c>
      <c r="AK3465" t="s">
        <v>10838</v>
      </c>
      <c r="AL3465">
        <v>5.25</v>
      </c>
      <c r="AM3465" t="s">
        <v>10887</v>
      </c>
      <c r="AN3465" t="s">
        <v>10936</v>
      </c>
      <c r="AO3465" t="s">
        <v>11016</v>
      </c>
      <c r="AP3465" t="s">
        <v>11076</v>
      </c>
      <c r="AR3465" t="s">
        <v>11510</v>
      </c>
      <c r="AS3465" t="s">
        <v>9925</v>
      </c>
      <c r="AT3465" t="s">
        <v>11642</v>
      </c>
      <c r="AX3465" t="s">
        <v>10837</v>
      </c>
      <c r="AY3465" t="s">
        <v>10830</v>
      </c>
      <c r="AZ3465" t="s">
        <v>11697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</row>
    <row r="3466" spans="1:59">
      <c r="A3466" s="1">
        <f>HYPERLINK("https://lsnyc.legalserver.org/matter/dynamic-profile/view/1907554","19-1907554")</f>
        <v>0</v>
      </c>
      <c r="B3466" t="s">
        <v>2896</v>
      </c>
      <c r="C3466" t="s">
        <v>7686</v>
      </c>
      <c r="D3466" t="s">
        <v>9926</v>
      </c>
      <c r="E3466" t="s">
        <v>10075</v>
      </c>
      <c r="F3466">
        <v>10473</v>
      </c>
      <c r="G3466" t="s">
        <v>10092</v>
      </c>
      <c r="H3466" t="s">
        <v>10153</v>
      </c>
      <c r="I3466" t="s">
        <v>10168</v>
      </c>
      <c r="J3466" t="s">
        <v>10212</v>
      </c>
      <c r="K3466" t="s">
        <v>10217</v>
      </c>
      <c r="M3466" t="s">
        <v>10408</v>
      </c>
      <c r="N3466" t="s">
        <v>10693</v>
      </c>
      <c r="P3466" t="s">
        <v>10749</v>
      </c>
      <c r="Q3466" t="s">
        <v>10767</v>
      </c>
      <c r="R3466" t="s">
        <v>10824</v>
      </c>
      <c r="T3466">
        <v>13848</v>
      </c>
      <c r="U3466">
        <v>1154</v>
      </c>
      <c r="V3466">
        <v>73</v>
      </c>
      <c r="W3466">
        <v>1</v>
      </c>
      <c r="X3466">
        <v>0</v>
      </c>
      <c r="Z3466">
        <v>110.87</v>
      </c>
      <c r="AA3466">
        <v>40.813261</v>
      </c>
      <c r="AB3466">
        <v>-73.861766</v>
      </c>
      <c r="AC3466" t="s">
        <v>10837</v>
      </c>
      <c r="AD3466" t="s">
        <v>10840</v>
      </c>
      <c r="AG3466" t="s">
        <v>10858</v>
      </c>
      <c r="AH3466" t="s">
        <v>10862</v>
      </c>
      <c r="AI3466">
        <v>237</v>
      </c>
      <c r="AJ3466" t="s">
        <v>10212</v>
      </c>
      <c r="AL3466">
        <v>2.07</v>
      </c>
      <c r="AM3466" t="s">
        <v>10884</v>
      </c>
      <c r="AN3466" t="s">
        <v>10968</v>
      </c>
      <c r="AO3466" t="s">
        <v>11002</v>
      </c>
      <c r="AP3466" t="s">
        <v>11046</v>
      </c>
      <c r="AR3466" t="s">
        <v>11296</v>
      </c>
      <c r="AS3466" t="s">
        <v>9926</v>
      </c>
      <c r="AT3466" t="s">
        <v>11642</v>
      </c>
      <c r="BA3466" t="s">
        <v>11741</v>
      </c>
      <c r="BB3466">
        <v>0</v>
      </c>
      <c r="BC3466">
        <v>0</v>
      </c>
      <c r="BD3466">
        <v>0</v>
      </c>
      <c r="BE3466">
        <v>0</v>
      </c>
      <c r="BF3466">
        <v>1</v>
      </c>
      <c r="BG3466">
        <v>0</v>
      </c>
    </row>
    <row r="3467" spans="1:59">
      <c r="A3467" s="1">
        <f>HYPERLINK("https://lsnyc.legalserver.org/matter/dynamic-profile/view/1907555","19-1907555")</f>
        <v>0</v>
      </c>
      <c r="B3467" t="s">
        <v>2897</v>
      </c>
      <c r="C3467" t="s">
        <v>7687</v>
      </c>
      <c r="D3467" t="s">
        <v>9983</v>
      </c>
      <c r="E3467" t="s">
        <v>10075</v>
      </c>
      <c r="F3467">
        <v>11694</v>
      </c>
      <c r="G3467" t="s">
        <v>10092</v>
      </c>
      <c r="H3467" t="s">
        <v>10140</v>
      </c>
      <c r="I3467" t="s">
        <v>10168</v>
      </c>
      <c r="J3467" t="s">
        <v>10212</v>
      </c>
      <c r="K3467" t="s">
        <v>10217</v>
      </c>
      <c r="M3467" t="s">
        <v>10325</v>
      </c>
      <c r="N3467" t="s">
        <v>10671</v>
      </c>
      <c r="P3467" t="s">
        <v>10757</v>
      </c>
      <c r="Q3467" t="s">
        <v>10789</v>
      </c>
      <c r="R3467" t="s">
        <v>10820</v>
      </c>
      <c r="T3467">
        <v>10368</v>
      </c>
      <c r="U3467">
        <v>864</v>
      </c>
      <c r="V3467">
        <v>48</v>
      </c>
      <c r="W3467">
        <v>1</v>
      </c>
      <c r="X3467">
        <v>0</v>
      </c>
      <c r="Z3467">
        <v>83.01000000000001</v>
      </c>
      <c r="AA3467">
        <v>40.582424</v>
      </c>
      <c r="AB3467">
        <v>-73.82294899999999</v>
      </c>
      <c r="AD3467" t="s">
        <v>10839</v>
      </c>
      <c r="AG3467" t="s">
        <v>10858</v>
      </c>
      <c r="AH3467" t="s">
        <v>10861</v>
      </c>
      <c r="AI3467">
        <v>234</v>
      </c>
      <c r="AJ3467" t="s">
        <v>10214</v>
      </c>
      <c r="AL3467">
        <v>2.5</v>
      </c>
      <c r="AM3467" t="s">
        <v>10892</v>
      </c>
      <c r="AN3467" t="s">
        <v>10958</v>
      </c>
      <c r="AO3467" t="s">
        <v>11024</v>
      </c>
      <c r="AP3467" t="s">
        <v>11088</v>
      </c>
      <c r="AR3467" t="s">
        <v>11296</v>
      </c>
      <c r="AS3467" t="s">
        <v>11594</v>
      </c>
      <c r="AT3467" t="s">
        <v>11641</v>
      </c>
      <c r="AX3467" t="s">
        <v>10838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</row>
    <row r="3468" spans="1:59">
      <c r="A3468" s="1">
        <f>HYPERLINK("https://lsnyc.legalserver.org/matter/dynamic-profile/view/1907556","19-1907556")</f>
        <v>0</v>
      </c>
      <c r="B3468" t="s">
        <v>2898</v>
      </c>
      <c r="C3468" t="s">
        <v>7688</v>
      </c>
      <c r="D3468" t="s">
        <v>9925</v>
      </c>
      <c r="E3468" t="s">
        <v>10075</v>
      </c>
      <c r="F3468">
        <v>10030</v>
      </c>
      <c r="G3468" t="s">
        <v>10091</v>
      </c>
      <c r="H3468" t="s">
        <v>10140</v>
      </c>
      <c r="I3468" t="s">
        <v>10168</v>
      </c>
      <c r="J3468" t="s">
        <v>10214</v>
      </c>
      <c r="K3468" t="s">
        <v>10217</v>
      </c>
      <c r="M3468" t="s">
        <v>10286</v>
      </c>
      <c r="N3468" t="s">
        <v>10671</v>
      </c>
      <c r="P3468" t="s">
        <v>10751</v>
      </c>
      <c r="Q3468" t="s">
        <v>10780</v>
      </c>
      <c r="R3468" t="s">
        <v>10825</v>
      </c>
      <c r="T3468">
        <v>0</v>
      </c>
      <c r="U3468">
        <v>0</v>
      </c>
      <c r="V3468">
        <v>37</v>
      </c>
      <c r="W3468">
        <v>1</v>
      </c>
      <c r="X3468">
        <v>0</v>
      </c>
      <c r="Z3468">
        <v>0</v>
      </c>
      <c r="AA3468">
        <v>40.819532</v>
      </c>
      <c r="AB3468">
        <v>-73.940962</v>
      </c>
      <c r="AD3468" t="s">
        <v>10840</v>
      </c>
      <c r="AG3468" t="s">
        <v>10858</v>
      </c>
      <c r="AH3468" t="s">
        <v>10871</v>
      </c>
      <c r="AI3468">
        <v>234</v>
      </c>
      <c r="AJ3468" t="s">
        <v>10214</v>
      </c>
      <c r="AL3468">
        <v>0.9</v>
      </c>
      <c r="AM3468" t="s">
        <v>10887</v>
      </c>
      <c r="AN3468" t="s">
        <v>10936</v>
      </c>
      <c r="AO3468" t="s">
        <v>11016</v>
      </c>
      <c r="AP3468" t="s">
        <v>11076</v>
      </c>
      <c r="AR3468" t="s">
        <v>11279</v>
      </c>
      <c r="AS3468" t="s">
        <v>9925</v>
      </c>
      <c r="AT3468" t="s">
        <v>11642</v>
      </c>
      <c r="AX3468" t="s">
        <v>10838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</row>
    <row r="3469" spans="1:59">
      <c r="A3469" s="1">
        <f>HYPERLINK("https://lsnyc.legalserver.org/matter/dynamic-profile/view/1907557","19-1907557")</f>
        <v>0</v>
      </c>
      <c r="B3469" t="s">
        <v>2899</v>
      </c>
      <c r="C3469" t="s">
        <v>7689</v>
      </c>
      <c r="D3469" t="s">
        <v>9926</v>
      </c>
      <c r="E3469" t="s">
        <v>10075</v>
      </c>
      <c r="F3469">
        <v>10452</v>
      </c>
      <c r="G3469" t="s">
        <v>10090</v>
      </c>
      <c r="H3469" t="s">
        <v>10140</v>
      </c>
      <c r="I3469" t="s">
        <v>10168</v>
      </c>
      <c r="J3469" t="s">
        <v>10210</v>
      </c>
      <c r="K3469" t="s">
        <v>10217</v>
      </c>
      <c r="M3469" t="s">
        <v>10593</v>
      </c>
      <c r="N3469" t="s">
        <v>10677</v>
      </c>
      <c r="P3469" t="s">
        <v>10757</v>
      </c>
      <c r="Q3469" t="s">
        <v>10789</v>
      </c>
      <c r="R3469" t="s">
        <v>10825</v>
      </c>
      <c r="T3469">
        <v>16764</v>
      </c>
      <c r="U3469">
        <v>1397</v>
      </c>
      <c r="V3469">
        <v>65</v>
      </c>
      <c r="W3469">
        <v>1</v>
      </c>
      <c r="X3469">
        <v>2</v>
      </c>
      <c r="Z3469">
        <v>78.59</v>
      </c>
      <c r="AA3469">
        <v>40.843885</v>
      </c>
      <c r="AB3469">
        <v>-73.918392</v>
      </c>
      <c r="AC3469" t="s">
        <v>10837</v>
      </c>
      <c r="AD3469" t="s">
        <v>10840</v>
      </c>
      <c r="AG3469" t="s">
        <v>10858</v>
      </c>
      <c r="AH3469" t="s">
        <v>10861</v>
      </c>
      <c r="AI3469">
        <v>234</v>
      </c>
      <c r="AJ3469" t="s">
        <v>10214</v>
      </c>
      <c r="AL3469">
        <v>17.8</v>
      </c>
      <c r="AM3469" t="s">
        <v>10884</v>
      </c>
      <c r="AN3469" t="s">
        <v>10929</v>
      </c>
      <c r="AO3469" t="s">
        <v>11013</v>
      </c>
      <c r="AP3469" t="s">
        <v>11055</v>
      </c>
      <c r="AQ3469" t="s">
        <v>11121</v>
      </c>
      <c r="AR3469" t="s">
        <v>11298</v>
      </c>
      <c r="AS3469" t="s">
        <v>9926</v>
      </c>
      <c r="AT3469" t="s">
        <v>11642</v>
      </c>
      <c r="AX3469" t="s">
        <v>10838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</row>
    <row r="3470" spans="1:59">
      <c r="A3470" s="1">
        <f>HYPERLINK("https://lsnyc.legalserver.org/matter/dynamic-profile/view/1907558","19-1907558")</f>
        <v>0</v>
      </c>
      <c r="B3470" t="s">
        <v>2900</v>
      </c>
      <c r="C3470" t="s">
        <v>6565</v>
      </c>
      <c r="D3470" t="s">
        <v>10030</v>
      </c>
      <c r="E3470" t="s">
        <v>10075</v>
      </c>
      <c r="F3470">
        <v>10301</v>
      </c>
      <c r="G3470" t="s">
        <v>10088</v>
      </c>
      <c r="H3470" t="s">
        <v>10143</v>
      </c>
      <c r="I3470" t="s">
        <v>10168</v>
      </c>
      <c r="J3470" t="s">
        <v>10208</v>
      </c>
      <c r="K3470" t="s">
        <v>10217</v>
      </c>
      <c r="M3470" t="s">
        <v>10259</v>
      </c>
      <c r="N3470" t="s">
        <v>10650</v>
      </c>
      <c r="P3470" t="s">
        <v>10749</v>
      </c>
      <c r="Q3470" t="s">
        <v>10765</v>
      </c>
      <c r="R3470" t="s">
        <v>10825</v>
      </c>
      <c r="T3470">
        <v>21180</v>
      </c>
      <c r="U3470">
        <v>1765</v>
      </c>
      <c r="V3470">
        <v>28</v>
      </c>
      <c r="W3470">
        <v>2</v>
      </c>
      <c r="X3470">
        <v>0</v>
      </c>
      <c r="Z3470">
        <v>125.25</v>
      </c>
      <c r="AA3470">
        <v>40.625975</v>
      </c>
      <c r="AB3470">
        <v>-74.091649</v>
      </c>
      <c r="AD3470" t="s">
        <v>10839</v>
      </c>
      <c r="AG3470" t="s">
        <v>10858</v>
      </c>
      <c r="AH3470" t="s">
        <v>10862</v>
      </c>
      <c r="AI3470">
        <v>285</v>
      </c>
      <c r="AJ3470" t="s">
        <v>10208</v>
      </c>
      <c r="AL3470">
        <v>5.35</v>
      </c>
      <c r="AM3470" t="s">
        <v>10883</v>
      </c>
      <c r="AN3470" t="s">
        <v>10913</v>
      </c>
      <c r="AO3470" t="s">
        <v>11006</v>
      </c>
      <c r="AP3470" t="s">
        <v>11051</v>
      </c>
      <c r="AR3470" t="s">
        <v>11296</v>
      </c>
      <c r="AS3470" t="s">
        <v>11593</v>
      </c>
      <c r="BA3470" t="s">
        <v>11738</v>
      </c>
      <c r="BB3470">
        <v>0</v>
      </c>
      <c r="BC3470">
        <v>0</v>
      </c>
      <c r="BD3470">
        <v>0</v>
      </c>
      <c r="BE3470">
        <v>0</v>
      </c>
      <c r="BF3470">
        <v>5</v>
      </c>
      <c r="BG3470">
        <v>0</v>
      </c>
    </row>
    <row r="3471" spans="1:59">
      <c r="A3471" s="1">
        <f>HYPERLINK("https://lsnyc.legalserver.org/matter/dynamic-profile/view/1907559","19-1907559")</f>
        <v>0</v>
      </c>
      <c r="B3471" t="s">
        <v>2901</v>
      </c>
      <c r="C3471" t="s">
        <v>7690</v>
      </c>
      <c r="D3471" t="s">
        <v>9926</v>
      </c>
      <c r="E3471" t="s">
        <v>10075</v>
      </c>
      <c r="F3471">
        <v>10467</v>
      </c>
      <c r="G3471" t="s">
        <v>10090</v>
      </c>
      <c r="H3471" t="s">
        <v>10140</v>
      </c>
      <c r="I3471" t="s">
        <v>10168</v>
      </c>
      <c r="J3471" t="s">
        <v>10210</v>
      </c>
      <c r="K3471" t="s">
        <v>10217</v>
      </c>
      <c r="M3471" t="s">
        <v>10306</v>
      </c>
      <c r="N3471" t="s">
        <v>10651</v>
      </c>
      <c r="P3471" t="s">
        <v>10749</v>
      </c>
      <c r="Q3471" t="s">
        <v>10765</v>
      </c>
      <c r="R3471" t="s">
        <v>10823</v>
      </c>
      <c r="T3471">
        <v>23400</v>
      </c>
      <c r="U3471">
        <v>1950</v>
      </c>
      <c r="V3471">
        <v>56</v>
      </c>
      <c r="W3471">
        <v>5</v>
      </c>
      <c r="X3471">
        <v>0</v>
      </c>
      <c r="Z3471">
        <v>77.56</v>
      </c>
      <c r="AA3471">
        <v>40.884718</v>
      </c>
      <c r="AB3471">
        <v>-73.87854799999999</v>
      </c>
      <c r="AD3471" t="s">
        <v>10839</v>
      </c>
      <c r="AG3471" t="s">
        <v>10858</v>
      </c>
      <c r="AH3471" t="s">
        <v>10861</v>
      </c>
      <c r="AI3471">
        <v>230</v>
      </c>
      <c r="AJ3471" t="s">
        <v>10210</v>
      </c>
      <c r="AL3471">
        <v>7.75</v>
      </c>
      <c r="AR3471" t="s">
        <v>11257</v>
      </c>
      <c r="AS3471" t="s">
        <v>9926</v>
      </c>
      <c r="AT3471" t="s">
        <v>11641</v>
      </c>
      <c r="AX3471" t="s">
        <v>10838</v>
      </c>
      <c r="BA3471" t="s">
        <v>11738</v>
      </c>
      <c r="BB3471">
        <v>0</v>
      </c>
      <c r="BC3471">
        <v>0</v>
      </c>
      <c r="BD3471">
        <v>0</v>
      </c>
      <c r="BE3471">
        <v>0</v>
      </c>
      <c r="BF3471">
        <v>5</v>
      </c>
      <c r="BG3471">
        <v>0</v>
      </c>
    </row>
    <row r="3472" spans="1:59">
      <c r="A3472" s="1">
        <f>HYPERLINK("https://lsnyc.legalserver.org/matter/dynamic-profile/view/1907560","19-1907560")</f>
        <v>0</v>
      </c>
      <c r="B3472" t="s">
        <v>2902</v>
      </c>
      <c r="C3472" t="s">
        <v>7691</v>
      </c>
      <c r="D3472" t="s">
        <v>9926</v>
      </c>
      <c r="E3472" t="s">
        <v>10075</v>
      </c>
      <c r="F3472">
        <v>10460</v>
      </c>
      <c r="G3472" t="s">
        <v>10090</v>
      </c>
      <c r="H3472" t="s">
        <v>10140</v>
      </c>
      <c r="I3472" t="s">
        <v>10168</v>
      </c>
      <c r="J3472" t="s">
        <v>10210</v>
      </c>
      <c r="K3472" t="s">
        <v>10217</v>
      </c>
      <c r="M3472" t="s">
        <v>10272</v>
      </c>
      <c r="N3472" t="s">
        <v>10650</v>
      </c>
      <c r="P3472" t="s">
        <v>10749</v>
      </c>
      <c r="Q3472" t="s">
        <v>10791</v>
      </c>
      <c r="R3472" t="s">
        <v>10821</v>
      </c>
      <c r="T3472">
        <v>10392</v>
      </c>
      <c r="U3472">
        <v>866</v>
      </c>
      <c r="V3472">
        <v>81</v>
      </c>
      <c r="W3472">
        <v>2</v>
      </c>
      <c r="X3472">
        <v>0</v>
      </c>
      <c r="Z3472">
        <v>61.45</v>
      </c>
      <c r="AA3472">
        <v>40.841921</v>
      </c>
      <c r="AB3472">
        <v>-73.879324</v>
      </c>
      <c r="AD3472" t="s">
        <v>10839</v>
      </c>
      <c r="AG3472" t="s">
        <v>10858</v>
      </c>
      <c r="AH3472" t="s">
        <v>10871</v>
      </c>
      <c r="AI3472">
        <v>234</v>
      </c>
      <c r="AJ3472" t="s">
        <v>10214</v>
      </c>
      <c r="AL3472">
        <v>1.1</v>
      </c>
      <c r="AM3472" t="s">
        <v>10884</v>
      </c>
      <c r="AN3472" t="s">
        <v>10908</v>
      </c>
      <c r="AO3472" t="s">
        <v>11001</v>
      </c>
      <c r="AP3472" t="s">
        <v>11056</v>
      </c>
      <c r="AR3472" t="s">
        <v>11253</v>
      </c>
      <c r="AS3472" t="s">
        <v>9926</v>
      </c>
      <c r="AT3472" t="s">
        <v>11641</v>
      </c>
      <c r="AX3472" t="s">
        <v>10838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</row>
    <row r="3473" spans="1:59">
      <c r="A3473" s="1">
        <f>HYPERLINK("https://lsnyc.legalserver.org/matter/dynamic-profile/view/1907561","19-1907561")</f>
        <v>0</v>
      </c>
      <c r="B3473" t="s">
        <v>2903</v>
      </c>
      <c r="C3473" t="s">
        <v>5139</v>
      </c>
      <c r="D3473" t="s">
        <v>9928</v>
      </c>
      <c r="E3473" t="s">
        <v>10075</v>
      </c>
      <c r="F3473">
        <v>11226</v>
      </c>
      <c r="G3473" t="s">
        <v>10093</v>
      </c>
      <c r="H3473" t="s">
        <v>10120</v>
      </c>
      <c r="I3473" t="s">
        <v>10168</v>
      </c>
      <c r="J3473" t="s">
        <v>10213</v>
      </c>
      <c r="K3473" t="s">
        <v>10217</v>
      </c>
      <c r="M3473" t="s">
        <v>10425</v>
      </c>
      <c r="N3473" t="s">
        <v>10667</v>
      </c>
      <c r="P3473" t="s">
        <v>10749</v>
      </c>
      <c r="Q3473" t="s">
        <v>10765</v>
      </c>
      <c r="R3473" t="s">
        <v>10824</v>
      </c>
      <c r="T3473">
        <v>24000</v>
      </c>
      <c r="U3473">
        <v>2000</v>
      </c>
      <c r="V3473">
        <v>49</v>
      </c>
      <c r="W3473">
        <v>1</v>
      </c>
      <c r="X3473">
        <v>2</v>
      </c>
      <c r="Z3473">
        <v>112.52</v>
      </c>
      <c r="AA3473">
        <v>40.655673</v>
      </c>
      <c r="AB3473">
        <v>-73.955586</v>
      </c>
      <c r="AD3473" t="s">
        <v>10839</v>
      </c>
      <c r="AG3473" t="s">
        <v>10858</v>
      </c>
      <c r="AH3473" t="s">
        <v>10862</v>
      </c>
      <c r="AI3473">
        <v>239</v>
      </c>
      <c r="AJ3473" t="s">
        <v>10213</v>
      </c>
      <c r="AL3473">
        <v>9.800000000000001</v>
      </c>
      <c r="AM3473" t="s">
        <v>10888</v>
      </c>
      <c r="AN3473" t="s">
        <v>10912</v>
      </c>
      <c r="AO3473" t="s">
        <v>11005</v>
      </c>
      <c r="AP3473" t="s">
        <v>11050</v>
      </c>
      <c r="AR3473" t="s">
        <v>11257</v>
      </c>
      <c r="AS3473" t="s">
        <v>11595</v>
      </c>
      <c r="AX3473" t="s">
        <v>10838</v>
      </c>
      <c r="BA3473" t="s">
        <v>11738</v>
      </c>
      <c r="BB3473">
        <v>0</v>
      </c>
      <c r="BC3473">
        <v>0</v>
      </c>
      <c r="BD3473">
        <v>0</v>
      </c>
      <c r="BE3473">
        <v>0</v>
      </c>
      <c r="BF3473">
        <v>5</v>
      </c>
      <c r="BG3473">
        <v>0</v>
      </c>
    </row>
    <row r="3474" spans="1:59">
      <c r="A3474" s="1">
        <f>HYPERLINK("https://lsnyc.legalserver.org/matter/dynamic-profile/view/1907562","19-1907562")</f>
        <v>0</v>
      </c>
      <c r="B3474" t="s">
        <v>2904</v>
      </c>
      <c r="C3474" t="s">
        <v>7692</v>
      </c>
      <c r="D3474" t="s">
        <v>9925</v>
      </c>
      <c r="E3474" t="s">
        <v>10075</v>
      </c>
      <c r="F3474">
        <v>10019</v>
      </c>
      <c r="G3474" t="s">
        <v>10091</v>
      </c>
      <c r="H3474" t="s">
        <v>10140</v>
      </c>
      <c r="I3474" t="s">
        <v>10171</v>
      </c>
      <c r="J3474" t="s">
        <v>10214</v>
      </c>
      <c r="K3474" t="s">
        <v>10217</v>
      </c>
      <c r="M3474" t="s">
        <v>10550</v>
      </c>
      <c r="N3474" t="s">
        <v>10671</v>
      </c>
      <c r="P3474" t="s">
        <v>10753</v>
      </c>
      <c r="Q3474" t="s">
        <v>10763</v>
      </c>
      <c r="R3474" t="s">
        <v>10820</v>
      </c>
      <c r="T3474">
        <v>18200</v>
      </c>
      <c r="U3474">
        <v>1516.67</v>
      </c>
      <c r="V3474">
        <v>28</v>
      </c>
      <c r="W3474">
        <v>1</v>
      </c>
      <c r="X3474">
        <v>0</v>
      </c>
      <c r="Z3474">
        <v>145.72</v>
      </c>
      <c r="AA3474">
        <v>40.765452</v>
      </c>
      <c r="AB3474">
        <v>-73.97736399999999</v>
      </c>
      <c r="AD3474" t="s">
        <v>10840</v>
      </c>
      <c r="AF3474" t="s">
        <v>10846</v>
      </c>
      <c r="AG3474" t="s">
        <v>10859</v>
      </c>
      <c r="AH3474" t="s">
        <v>10861</v>
      </c>
      <c r="AI3474">
        <v>234</v>
      </c>
      <c r="AJ3474" t="s">
        <v>10214</v>
      </c>
      <c r="AL3474">
        <v>0.8</v>
      </c>
      <c r="AM3474" t="s">
        <v>10891</v>
      </c>
      <c r="AN3474" t="s">
        <v>10966</v>
      </c>
      <c r="AO3474" t="s">
        <v>11026</v>
      </c>
      <c r="AP3474" t="s">
        <v>11091</v>
      </c>
      <c r="AQ3474" t="s">
        <v>11142</v>
      </c>
      <c r="AR3474" t="s">
        <v>11257</v>
      </c>
      <c r="AS3474" t="s">
        <v>9925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</row>
    <row r="3475" spans="1:59">
      <c r="A3475" s="1">
        <f>HYPERLINK("https://lsnyc.legalserver.org/matter/dynamic-profile/view/1907563","19-1907563")</f>
        <v>0</v>
      </c>
      <c r="B3475" t="s">
        <v>2901</v>
      </c>
      <c r="C3475" t="s">
        <v>7693</v>
      </c>
      <c r="D3475" t="s">
        <v>9926</v>
      </c>
      <c r="E3475" t="s">
        <v>10075</v>
      </c>
      <c r="F3475">
        <v>10467</v>
      </c>
      <c r="G3475" t="s">
        <v>10090</v>
      </c>
      <c r="H3475" t="s">
        <v>10140</v>
      </c>
      <c r="I3475" t="s">
        <v>10168</v>
      </c>
      <c r="J3475" t="s">
        <v>10210</v>
      </c>
      <c r="K3475" t="s">
        <v>10217</v>
      </c>
      <c r="M3475" t="s">
        <v>10303</v>
      </c>
      <c r="N3475" t="s">
        <v>10671</v>
      </c>
      <c r="P3475" t="s">
        <v>10751</v>
      </c>
      <c r="Q3475" t="s">
        <v>10761</v>
      </c>
      <c r="R3475" t="s">
        <v>10823</v>
      </c>
      <c r="T3475">
        <v>23400</v>
      </c>
      <c r="U3475">
        <v>1950</v>
      </c>
      <c r="V3475">
        <v>56</v>
      </c>
      <c r="W3475">
        <v>5</v>
      </c>
      <c r="X3475">
        <v>0</v>
      </c>
      <c r="Z3475">
        <v>77.56</v>
      </c>
      <c r="AA3475">
        <v>40.871333</v>
      </c>
      <c r="AB3475">
        <v>-73.862393</v>
      </c>
      <c r="AD3475" t="s">
        <v>10839</v>
      </c>
      <c r="AG3475" t="s">
        <v>10858</v>
      </c>
      <c r="AH3475" t="s">
        <v>10861</v>
      </c>
      <c r="AI3475">
        <v>230</v>
      </c>
      <c r="AJ3475" t="s">
        <v>10210</v>
      </c>
      <c r="AL3475">
        <v>0</v>
      </c>
      <c r="AR3475" t="s">
        <v>11257</v>
      </c>
      <c r="AS3475" t="s">
        <v>9926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</row>
    <row r="3476" spans="1:59">
      <c r="A3476" s="1">
        <f>HYPERLINK("https://lsnyc.legalserver.org/matter/dynamic-profile/view/1907564","19-1907564")</f>
        <v>0</v>
      </c>
      <c r="B3476" t="s">
        <v>2905</v>
      </c>
      <c r="C3476" t="s">
        <v>7694</v>
      </c>
      <c r="D3476" t="s">
        <v>9937</v>
      </c>
      <c r="E3476" t="s">
        <v>10075</v>
      </c>
      <c r="F3476">
        <v>11412</v>
      </c>
      <c r="G3476" t="s">
        <v>10092</v>
      </c>
      <c r="H3476" t="s">
        <v>10140</v>
      </c>
      <c r="I3476" t="s">
        <v>10168</v>
      </c>
      <c r="J3476" t="s">
        <v>10212</v>
      </c>
      <c r="K3476" t="s">
        <v>10217</v>
      </c>
      <c r="M3476" t="s">
        <v>10416</v>
      </c>
      <c r="N3476" t="s">
        <v>10678</v>
      </c>
      <c r="P3476" t="s">
        <v>10749</v>
      </c>
      <c r="Q3476" t="s">
        <v>10769</v>
      </c>
      <c r="R3476" t="s">
        <v>10824</v>
      </c>
      <c r="T3476">
        <v>18804</v>
      </c>
      <c r="U3476">
        <v>1567</v>
      </c>
      <c r="V3476">
        <v>45</v>
      </c>
      <c r="W3476">
        <v>1</v>
      </c>
      <c r="X3476">
        <v>2</v>
      </c>
      <c r="Z3476">
        <v>88.16</v>
      </c>
      <c r="AA3476">
        <v>40.700614</v>
      </c>
      <c r="AB3476">
        <v>-73.754682</v>
      </c>
      <c r="AD3476" t="s">
        <v>10839</v>
      </c>
      <c r="AG3476" t="s">
        <v>10858</v>
      </c>
      <c r="AH3476" t="s">
        <v>10861</v>
      </c>
      <c r="AI3476">
        <v>234</v>
      </c>
      <c r="AJ3476" t="s">
        <v>10214</v>
      </c>
      <c r="AL3476">
        <v>6.4</v>
      </c>
      <c r="AM3476" t="s">
        <v>10892</v>
      </c>
      <c r="AN3476" t="s">
        <v>10940</v>
      </c>
      <c r="AO3476" t="s">
        <v>11020</v>
      </c>
      <c r="AP3476" t="s">
        <v>11075</v>
      </c>
      <c r="AR3476" t="s">
        <v>11357</v>
      </c>
      <c r="AS3476" t="s">
        <v>11594</v>
      </c>
      <c r="AT3476" t="s">
        <v>11641</v>
      </c>
      <c r="AX3476" t="s">
        <v>10838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</row>
    <row r="3477" spans="1:59">
      <c r="A3477" s="1">
        <f>HYPERLINK("https://lsnyc.legalserver.org/matter/dynamic-profile/view/1907565","19-1907565")</f>
        <v>0</v>
      </c>
      <c r="B3477" t="s">
        <v>2906</v>
      </c>
      <c r="C3477" t="s">
        <v>7695</v>
      </c>
      <c r="D3477" t="s">
        <v>9932</v>
      </c>
      <c r="E3477" t="s">
        <v>10075</v>
      </c>
      <c r="F3477">
        <v>11368</v>
      </c>
      <c r="G3477" t="s">
        <v>10092</v>
      </c>
      <c r="H3477" t="s">
        <v>10140</v>
      </c>
      <c r="I3477" t="s">
        <v>10168</v>
      </c>
      <c r="J3477" t="s">
        <v>10212</v>
      </c>
      <c r="K3477" t="s">
        <v>10218</v>
      </c>
      <c r="L3477" t="s">
        <v>10160</v>
      </c>
      <c r="M3477" t="s">
        <v>10555</v>
      </c>
      <c r="N3477" t="s">
        <v>10695</v>
      </c>
      <c r="P3477" t="s">
        <v>10749</v>
      </c>
      <c r="Q3477" t="s">
        <v>10765</v>
      </c>
      <c r="R3477" t="s">
        <v>10821</v>
      </c>
      <c r="T3477">
        <v>37255.4</v>
      </c>
      <c r="U3477">
        <v>3104.62</v>
      </c>
      <c r="V3477">
        <v>49</v>
      </c>
      <c r="W3477">
        <v>2</v>
      </c>
      <c r="X3477">
        <v>1</v>
      </c>
      <c r="Y3477" t="s">
        <v>10829</v>
      </c>
      <c r="Z3477">
        <v>174.66</v>
      </c>
      <c r="AA3477">
        <v>40.753397</v>
      </c>
      <c r="AB3477">
        <v>-73.868478</v>
      </c>
      <c r="AD3477" t="s">
        <v>10839</v>
      </c>
      <c r="AG3477" t="s">
        <v>10858</v>
      </c>
      <c r="AH3477" t="s">
        <v>10862</v>
      </c>
      <c r="AI3477">
        <v>237</v>
      </c>
      <c r="AJ3477" t="s">
        <v>10212</v>
      </c>
      <c r="AK3477" t="s">
        <v>10882</v>
      </c>
      <c r="AL3477">
        <v>0.7</v>
      </c>
      <c r="AM3477" t="s">
        <v>10885</v>
      </c>
      <c r="AN3477" t="s">
        <v>10916</v>
      </c>
      <c r="AO3477" t="s">
        <v>11014</v>
      </c>
      <c r="AP3477" t="s">
        <v>11068</v>
      </c>
      <c r="AR3477" t="s">
        <v>11257</v>
      </c>
      <c r="AS3477" t="s">
        <v>11594</v>
      </c>
      <c r="AX3477" t="s">
        <v>10838</v>
      </c>
      <c r="AY3477" t="s">
        <v>10829</v>
      </c>
      <c r="AZ3477" t="s">
        <v>11681</v>
      </c>
      <c r="BA3477" t="s">
        <v>11741</v>
      </c>
      <c r="BB3477">
        <v>0</v>
      </c>
      <c r="BC3477">
        <v>0</v>
      </c>
      <c r="BD3477">
        <v>0</v>
      </c>
      <c r="BE3477">
        <v>0</v>
      </c>
      <c r="BF3477">
        <v>1</v>
      </c>
      <c r="BG3477">
        <v>0</v>
      </c>
    </row>
    <row r="3478" spans="1:59">
      <c r="A3478" s="1">
        <f>HYPERLINK("https://lsnyc.legalserver.org/matter/dynamic-profile/view/1907567","19-1907567")</f>
        <v>0</v>
      </c>
      <c r="B3478" t="s">
        <v>2907</v>
      </c>
      <c r="C3478" t="s">
        <v>7696</v>
      </c>
      <c r="D3478" t="s">
        <v>9928</v>
      </c>
      <c r="E3478" t="s">
        <v>10075</v>
      </c>
      <c r="F3478">
        <v>11224</v>
      </c>
      <c r="G3478" t="s">
        <v>10093</v>
      </c>
      <c r="H3478" t="s">
        <v>10140</v>
      </c>
      <c r="I3478" t="s">
        <v>10171</v>
      </c>
      <c r="J3478" t="s">
        <v>10213</v>
      </c>
      <c r="K3478" t="s">
        <v>10218</v>
      </c>
      <c r="L3478" t="s">
        <v>10143</v>
      </c>
      <c r="M3478" t="s">
        <v>10390</v>
      </c>
      <c r="N3478" t="s">
        <v>10644</v>
      </c>
      <c r="P3478" t="s">
        <v>10756</v>
      </c>
      <c r="Q3478" t="s">
        <v>10802</v>
      </c>
      <c r="R3478" t="s">
        <v>10820</v>
      </c>
      <c r="T3478">
        <v>14400</v>
      </c>
      <c r="U3478">
        <v>1200</v>
      </c>
      <c r="V3478">
        <v>80</v>
      </c>
      <c r="W3478">
        <v>1</v>
      </c>
      <c r="X3478">
        <v>0</v>
      </c>
      <c r="Y3478" t="s">
        <v>10829</v>
      </c>
      <c r="Z3478">
        <v>115.29</v>
      </c>
      <c r="AA3478">
        <v>40.579802</v>
      </c>
      <c r="AB3478">
        <v>-73.969947</v>
      </c>
      <c r="AD3478" t="s">
        <v>10839</v>
      </c>
      <c r="AG3478" t="s">
        <v>10858</v>
      </c>
      <c r="AH3478" t="s">
        <v>10869</v>
      </c>
      <c r="AI3478">
        <v>239</v>
      </c>
      <c r="AJ3478" t="s">
        <v>10213</v>
      </c>
      <c r="AK3478" t="s">
        <v>10838</v>
      </c>
      <c r="AL3478">
        <v>1.75</v>
      </c>
      <c r="AM3478" t="s">
        <v>10889</v>
      </c>
      <c r="AN3478" t="s">
        <v>10960</v>
      </c>
      <c r="AO3478" t="s">
        <v>11006</v>
      </c>
      <c r="AP3478" t="s">
        <v>11092</v>
      </c>
      <c r="AR3478" t="s">
        <v>11268</v>
      </c>
      <c r="AS3478" t="s">
        <v>11595</v>
      </c>
      <c r="AY3478" t="s">
        <v>10829</v>
      </c>
      <c r="AZ3478" t="s">
        <v>11708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</row>
    <row r="3479" spans="1:59">
      <c r="A3479" s="1">
        <f>HYPERLINK("https://lsnyc.legalserver.org/matter/dynamic-profile/view/1907568","19-1907568")</f>
        <v>0</v>
      </c>
      <c r="B3479" t="s">
        <v>2908</v>
      </c>
      <c r="C3479" t="s">
        <v>7697</v>
      </c>
      <c r="D3479" t="s">
        <v>9926</v>
      </c>
      <c r="E3479" t="s">
        <v>10075</v>
      </c>
      <c r="F3479">
        <v>10457</v>
      </c>
      <c r="G3479" t="s">
        <v>10090</v>
      </c>
      <c r="H3479" t="s">
        <v>10140</v>
      </c>
      <c r="I3479" t="s">
        <v>10168</v>
      </c>
      <c r="J3479" t="s">
        <v>10210</v>
      </c>
      <c r="K3479" t="s">
        <v>10217</v>
      </c>
      <c r="M3479" t="s">
        <v>10306</v>
      </c>
      <c r="N3479" t="s">
        <v>10651</v>
      </c>
      <c r="P3479" t="s">
        <v>10749</v>
      </c>
      <c r="Q3479" t="s">
        <v>10765</v>
      </c>
      <c r="R3479" t="s">
        <v>10821</v>
      </c>
      <c r="T3479">
        <v>37272</v>
      </c>
      <c r="U3479">
        <v>3106</v>
      </c>
      <c r="V3479">
        <v>53</v>
      </c>
      <c r="W3479">
        <v>3</v>
      </c>
      <c r="X3479">
        <v>0</v>
      </c>
      <c r="Z3479">
        <v>174.74</v>
      </c>
      <c r="AA3479">
        <v>40.850448</v>
      </c>
      <c r="AB3479">
        <v>-73.885075</v>
      </c>
      <c r="AD3479" t="s">
        <v>10839</v>
      </c>
      <c r="AG3479" t="s">
        <v>10858</v>
      </c>
      <c r="AH3479" t="s">
        <v>10861</v>
      </c>
      <c r="AI3479">
        <v>230</v>
      </c>
      <c r="AJ3479" t="s">
        <v>10210</v>
      </c>
      <c r="AL3479">
        <v>7.25</v>
      </c>
      <c r="AM3479" t="s">
        <v>10884</v>
      </c>
      <c r="AN3479" t="s">
        <v>10907</v>
      </c>
      <c r="AO3479" t="s">
        <v>11000</v>
      </c>
      <c r="AP3479" t="s">
        <v>11056</v>
      </c>
      <c r="AR3479" t="s">
        <v>11295</v>
      </c>
      <c r="AS3479" t="s">
        <v>9926</v>
      </c>
      <c r="AT3479" t="s">
        <v>11641</v>
      </c>
      <c r="AX3479" t="s">
        <v>10838</v>
      </c>
      <c r="BA3479" t="s">
        <v>11738</v>
      </c>
      <c r="BB3479">
        <v>0</v>
      </c>
      <c r="BC3479">
        <v>0</v>
      </c>
      <c r="BD3479">
        <v>0</v>
      </c>
      <c r="BE3479">
        <v>0</v>
      </c>
      <c r="BF3479">
        <v>5</v>
      </c>
      <c r="BG3479">
        <v>0</v>
      </c>
    </row>
    <row r="3480" spans="1:59">
      <c r="A3480" s="1">
        <f>HYPERLINK("https://lsnyc.legalserver.org/matter/dynamic-profile/view/1907569","19-1907569")</f>
        <v>0</v>
      </c>
      <c r="B3480" t="s">
        <v>2909</v>
      </c>
      <c r="C3480" t="s">
        <v>7698</v>
      </c>
      <c r="D3480" t="s">
        <v>9929</v>
      </c>
      <c r="E3480" t="s">
        <v>10075</v>
      </c>
      <c r="F3480">
        <v>10301</v>
      </c>
      <c r="G3480" t="s">
        <v>10089</v>
      </c>
      <c r="H3480" t="s">
        <v>10140</v>
      </c>
      <c r="I3480" t="s">
        <v>10168</v>
      </c>
      <c r="J3480" t="s">
        <v>10209</v>
      </c>
      <c r="K3480" t="s">
        <v>10217</v>
      </c>
      <c r="M3480" t="s">
        <v>10229</v>
      </c>
      <c r="N3480" t="s">
        <v>10645</v>
      </c>
      <c r="P3480" t="s">
        <v>10750</v>
      </c>
      <c r="Q3480" t="s">
        <v>10779</v>
      </c>
      <c r="R3480" t="s">
        <v>10824</v>
      </c>
      <c r="T3480">
        <v>28080</v>
      </c>
      <c r="U3480">
        <v>2340</v>
      </c>
      <c r="V3480">
        <v>34</v>
      </c>
      <c r="W3480">
        <v>1</v>
      </c>
      <c r="X3480">
        <v>0</v>
      </c>
      <c r="Z3480">
        <v>224.82</v>
      </c>
      <c r="AA3480">
        <v>40.643661</v>
      </c>
      <c r="AB3480">
        <v>-74.077698</v>
      </c>
      <c r="AD3480" t="s">
        <v>10840</v>
      </c>
      <c r="AG3480" t="s">
        <v>10858</v>
      </c>
      <c r="AH3480" t="s">
        <v>10861</v>
      </c>
      <c r="AI3480">
        <v>234</v>
      </c>
      <c r="AJ3480" t="s">
        <v>10214</v>
      </c>
      <c r="AL3480">
        <v>7.1</v>
      </c>
      <c r="AM3480" t="s">
        <v>10883</v>
      </c>
      <c r="AN3480" t="s">
        <v>10913</v>
      </c>
      <c r="AO3480" t="s">
        <v>11006</v>
      </c>
      <c r="AP3480" t="s">
        <v>11051</v>
      </c>
      <c r="AQ3480" t="s">
        <v>11095</v>
      </c>
      <c r="AR3480" t="s">
        <v>11257</v>
      </c>
      <c r="AS3480" t="s">
        <v>11593</v>
      </c>
      <c r="AT3480" t="s">
        <v>11642</v>
      </c>
      <c r="AX3480" t="s">
        <v>10838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</row>
    <row r="3481" spans="1:59">
      <c r="A3481" s="1">
        <f>HYPERLINK("https://lsnyc.legalserver.org/matter/dynamic-profile/view/1907570","19-1907570")</f>
        <v>0</v>
      </c>
      <c r="B3481" t="s">
        <v>2910</v>
      </c>
      <c r="C3481" t="s">
        <v>7699</v>
      </c>
      <c r="D3481" t="s">
        <v>9930</v>
      </c>
      <c r="E3481" t="s">
        <v>10075</v>
      </c>
      <c r="F3481">
        <v>11373</v>
      </c>
      <c r="G3481" t="s">
        <v>10092</v>
      </c>
      <c r="H3481" t="s">
        <v>10120</v>
      </c>
      <c r="I3481" t="s">
        <v>10169</v>
      </c>
      <c r="J3481" t="s">
        <v>10212</v>
      </c>
      <c r="K3481" t="s">
        <v>10217</v>
      </c>
      <c r="M3481" t="s">
        <v>10422</v>
      </c>
      <c r="N3481" t="s">
        <v>10673</v>
      </c>
      <c r="P3481" t="s">
        <v>10753</v>
      </c>
      <c r="Q3481" t="s">
        <v>10763</v>
      </c>
      <c r="R3481" t="s">
        <v>10823</v>
      </c>
      <c r="T3481">
        <v>15600</v>
      </c>
      <c r="U3481">
        <v>1300</v>
      </c>
      <c r="V3481">
        <v>49</v>
      </c>
      <c r="W3481">
        <v>1</v>
      </c>
      <c r="X3481">
        <v>1</v>
      </c>
      <c r="Z3481">
        <v>92.25</v>
      </c>
      <c r="AA3481">
        <v>40.747595</v>
      </c>
      <c r="AB3481">
        <v>-73.877512</v>
      </c>
      <c r="AD3481" t="s">
        <v>10839</v>
      </c>
      <c r="AF3481" t="s">
        <v>10842</v>
      </c>
      <c r="AG3481" t="s">
        <v>10859</v>
      </c>
      <c r="AH3481" t="s">
        <v>10864</v>
      </c>
      <c r="AI3481">
        <v>237</v>
      </c>
      <c r="AJ3481" t="s">
        <v>10212</v>
      </c>
      <c r="AL3481">
        <v>7.25</v>
      </c>
      <c r="AM3481" t="s">
        <v>10885</v>
      </c>
      <c r="AN3481" t="s">
        <v>10909</v>
      </c>
      <c r="AO3481" t="s">
        <v>11014</v>
      </c>
      <c r="AP3481" t="s">
        <v>11068</v>
      </c>
      <c r="AQ3481" t="s">
        <v>11194</v>
      </c>
      <c r="AR3481" t="s">
        <v>11257</v>
      </c>
      <c r="AS3481" t="s">
        <v>11594</v>
      </c>
      <c r="BA3481" t="s">
        <v>11741</v>
      </c>
      <c r="BB3481">
        <v>0</v>
      </c>
      <c r="BC3481">
        <v>0</v>
      </c>
      <c r="BD3481">
        <v>0</v>
      </c>
      <c r="BE3481">
        <v>0</v>
      </c>
      <c r="BF3481">
        <v>1</v>
      </c>
      <c r="BG3481">
        <v>0</v>
      </c>
    </row>
    <row r="3482" spans="1:59">
      <c r="A3482" s="1">
        <f>HYPERLINK("https://lsnyc.legalserver.org/matter/dynamic-profile/view/1907572","19-1907572")</f>
        <v>0</v>
      </c>
      <c r="C3482" t="s">
        <v>7700</v>
      </c>
      <c r="D3482" t="s">
        <v>9953</v>
      </c>
      <c r="E3482" t="s">
        <v>10075</v>
      </c>
      <c r="F3482">
        <v>11104</v>
      </c>
      <c r="G3482" t="s">
        <v>10092</v>
      </c>
      <c r="H3482" t="s">
        <v>10140</v>
      </c>
      <c r="I3482" t="s">
        <v>10189</v>
      </c>
      <c r="J3482" t="s">
        <v>10212</v>
      </c>
      <c r="K3482" t="s">
        <v>10217</v>
      </c>
      <c r="M3482" t="s">
        <v>10342</v>
      </c>
      <c r="N3482" t="s">
        <v>10650</v>
      </c>
      <c r="P3482" t="s">
        <v>10749</v>
      </c>
      <c r="Q3482" t="s">
        <v>10765</v>
      </c>
      <c r="R3482" t="s">
        <v>10827</v>
      </c>
      <c r="T3482">
        <v>0</v>
      </c>
      <c r="U3482">
        <v>0</v>
      </c>
      <c r="V3482">
        <v>0</v>
      </c>
      <c r="W3482">
        <v>1</v>
      </c>
      <c r="X3482">
        <v>0</v>
      </c>
      <c r="Z3482">
        <v>0</v>
      </c>
      <c r="AA3482">
        <v>40.744703</v>
      </c>
      <c r="AB3482">
        <v>-73.917709</v>
      </c>
      <c r="AD3482" t="s">
        <v>10839</v>
      </c>
      <c r="AG3482" t="s">
        <v>10858</v>
      </c>
      <c r="AH3482" t="s">
        <v>10862</v>
      </c>
      <c r="AI3482">
        <v>237</v>
      </c>
      <c r="AJ3482" t="s">
        <v>10212</v>
      </c>
      <c r="AL3482">
        <v>0.2</v>
      </c>
      <c r="AM3482" t="s">
        <v>10885</v>
      </c>
      <c r="AN3482" t="s">
        <v>10961</v>
      </c>
      <c r="AO3482" t="s">
        <v>11003</v>
      </c>
      <c r="AP3482" t="s">
        <v>11047</v>
      </c>
      <c r="AR3482" t="s">
        <v>11268</v>
      </c>
      <c r="AS3482" t="s">
        <v>11594</v>
      </c>
      <c r="BA3482" t="s">
        <v>11741</v>
      </c>
      <c r="BB3482">
        <v>0</v>
      </c>
      <c r="BC3482">
        <v>0</v>
      </c>
      <c r="BD3482">
        <v>0</v>
      </c>
      <c r="BE3482">
        <v>0</v>
      </c>
      <c r="BF3482">
        <v>1</v>
      </c>
      <c r="BG3482">
        <v>0</v>
      </c>
    </row>
    <row r="3483" spans="1:59">
      <c r="A3483" s="1">
        <f>HYPERLINK("https://lsnyc.legalserver.org/matter/dynamic-profile/view/1907573","19-1907573")</f>
        <v>0</v>
      </c>
      <c r="B3483" t="s">
        <v>2911</v>
      </c>
      <c r="C3483" t="s">
        <v>7701</v>
      </c>
      <c r="D3483" t="s">
        <v>9928</v>
      </c>
      <c r="E3483" t="s">
        <v>10075</v>
      </c>
      <c r="F3483">
        <v>11210</v>
      </c>
      <c r="G3483" t="s">
        <v>10093</v>
      </c>
      <c r="H3483" t="s">
        <v>10140</v>
      </c>
      <c r="I3483" t="s">
        <v>10168</v>
      </c>
      <c r="J3483" t="s">
        <v>10213</v>
      </c>
      <c r="K3483" t="s">
        <v>10218</v>
      </c>
      <c r="L3483" t="s">
        <v>10155</v>
      </c>
      <c r="M3483" t="s">
        <v>10405</v>
      </c>
      <c r="N3483" t="s">
        <v>10650</v>
      </c>
      <c r="P3483" t="s">
        <v>10749</v>
      </c>
      <c r="Q3483" t="s">
        <v>10765</v>
      </c>
      <c r="R3483" t="s">
        <v>10824</v>
      </c>
      <c r="T3483">
        <v>29640</v>
      </c>
      <c r="U3483">
        <v>2470</v>
      </c>
      <c r="V3483">
        <v>22</v>
      </c>
      <c r="W3483">
        <v>1</v>
      </c>
      <c r="X3483">
        <v>2</v>
      </c>
      <c r="Y3483" t="s">
        <v>10829</v>
      </c>
      <c r="Z3483">
        <v>138.96</v>
      </c>
      <c r="AA3483">
        <v>40.629338</v>
      </c>
      <c r="AB3483">
        <v>-73.94174599999999</v>
      </c>
      <c r="AD3483" t="s">
        <v>10839</v>
      </c>
      <c r="AG3483" t="s">
        <v>10858</v>
      </c>
      <c r="AH3483" t="s">
        <v>10871</v>
      </c>
      <c r="AI3483">
        <v>234</v>
      </c>
      <c r="AJ3483" t="s">
        <v>10214</v>
      </c>
      <c r="AK3483" t="s">
        <v>10838</v>
      </c>
      <c r="AL3483">
        <v>1</v>
      </c>
      <c r="AM3483" t="s">
        <v>10888</v>
      </c>
      <c r="AN3483" t="s">
        <v>10957</v>
      </c>
      <c r="AO3483" t="s">
        <v>11008</v>
      </c>
      <c r="AP3483" t="s">
        <v>11065</v>
      </c>
      <c r="AR3483" t="s">
        <v>11257</v>
      </c>
      <c r="AS3483" t="s">
        <v>11595</v>
      </c>
      <c r="AT3483" t="s">
        <v>11641</v>
      </c>
      <c r="AX3483" t="s">
        <v>10838</v>
      </c>
      <c r="AY3483" t="s">
        <v>10829</v>
      </c>
      <c r="AZ3483" t="s">
        <v>11681</v>
      </c>
      <c r="BA3483" t="s">
        <v>11741</v>
      </c>
      <c r="BB3483">
        <v>0</v>
      </c>
      <c r="BC3483">
        <v>0</v>
      </c>
      <c r="BD3483">
        <v>0</v>
      </c>
      <c r="BE3483">
        <v>0</v>
      </c>
      <c r="BF3483">
        <v>1</v>
      </c>
      <c r="BG3483">
        <v>0</v>
      </c>
    </row>
    <row r="3484" spans="1:59">
      <c r="A3484" s="1">
        <f>HYPERLINK("https://lsnyc.legalserver.org/matter/dynamic-profile/view/1907574","19-1907574")</f>
        <v>0</v>
      </c>
      <c r="B3484" t="s">
        <v>2912</v>
      </c>
      <c r="C3484" t="s">
        <v>7702</v>
      </c>
      <c r="D3484" t="s">
        <v>9928</v>
      </c>
      <c r="E3484" t="s">
        <v>10075</v>
      </c>
      <c r="F3484">
        <v>11224</v>
      </c>
      <c r="G3484" t="s">
        <v>10093</v>
      </c>
      <c r="H3484" t="s">
        <v>10140</v>
      </c>
      <c r="I3484" t="s">
        <v>10171</v>
      </c>
      <c r="J3484" t="s">
        <v>10213</v>
      </c>
      <c r="K3484" t="s">
        <v>10217</v>
      </c>
      <c r="M3484" t="s">
        <v>10390</v>
      </c>
      <c r="N3484" t="s">
        <v>10644</v>
      </c>
      <c r="P3484" t="s">
        <v>10749</v>
      </c>
      <c r="Q3484" t="s">
        <v>10774</v>
      </c>
      <c r="R3484" t="s">
        <v>10820</v>
      </c>
      <c r="T3484">
        <v>10296</v>
      </c>
      <c r="U3484">
        <v>858</v>
      </c>
      <c r="V3484">
        <v>87</v>
      </c>
      <c r="W3484">
        <v>1</v>
      </c>
      <c r="X3484">
        <v>0</v>
      </c>
      <c r="Z3484">
        <v>82.43000000000001</v>
      </c>
      <c r="AA3484">
        <v>40.573711</v>
      </c>
      <c r="AB3484">
        <v>-73.99744200000001</v>
      </c>
      <c r="AD3484" t="s">
        <v>10839</v>
      </c>
      <c r="AG3484" t="s">
        <v>10858</v>
      </c>
      <c r="AH3484" t="s">
        <v>10869</v>
      </c>
      <c r="AI3484">
        <v>239</v>
      </c>
      <c r="AJ3484" t="s">
        <v>10213</v>
      </c>
      <c r="AL3484">
        <v>1.5</v>
      </c>
      <c r="AM3484" t="s">
        <v>10889</v>
      </c>
      <c r="AN3484" t="s">
        <v>10960</v>
      </c>
      <c r="AO3484" t="s">
        <v>11006</v>
      </c>
      <c r="AP3484" t="s">
        <v>11087</v>
      </c>
      <c r="AR3484" t="s">
        <v>11263</v>
      </c>
      <c r="AS3484" t="s">
        <v>11595</v>
      </c>
      <c r="BA3484" t="s">
        <v>11741</v>
      </c>
      <c r="BB3484">
        <v>0</v>
      </c>
      <c r="BC3484">
        <v>0</v>
      </c>
      <c r="BD3484">
        <v>0</v>
      </c>
      <c r="BE3484">
        <v>0</v>
      </c>
      <c r="BF3484">
        <v>1</v>
      </c>
      <c r="BG3484">
        <v>0</v>
      </c>
    </row>
    <row r="3485" spans="1:59">
      <c r="A3485" s="1">
        <f>HYPERLINK("https://lsnyc.legalserver.org/matter/dynamic-profile/view/1907575","19-1907575")</f>
        <v>0</v>
      </c>
      <c r="B3485" t="s">
        <v>2908</v>
      </c>
      <c r="C3485" t="s">
        <v>7697</v>
      </c>
      <c r="D3485" t="s">
        <v>9926</v>
      </c>
      <c r="E3485" t="s">
        <v>10075</v>
      </c>
      <c r="F3485">
        <v>10457</v>
      </c>
      <c r="G3485" t="s">
        <v>10090</v>
      </c>
      <c r="H3485" t="s">
        <v>10140</v>
      </c>
      <c r="I3485" t="s">
        <v>10168</v>
      </c>
      <c r="J3485" t="s">
        <v>10210</v>
      </c>
      <c r="K3485" t="s">
        <v>10217</v>
      </c>
      <c r="M3485" t="s">
        <v>10303</v>
      </c>
      <c r="N3485" t="s">
        <v>10671</v>
      </c>
      <c r="P3485" t="s">
        <v>10751</v>
      </c>
      <c r="Q3485" t="s">
        <v>10761</v>
      </c>
      <c r="R3485" t="s">
        <v>10821</v>
      </c>
      <c r="T3485">
        <v>37272</v>
      </c>
      <c r="U3485">
        <v>3106</v>
      </c>
      <c r="V3485">
        <v>53</v>
      </c>
      <c r="W3485">
        <v>3</v>
      </c>
      <c r="X3485">
        <v>0</v>
      </c>
      <c r="Z3485">
        <v>174.74</v>
      </c>
      <c r="AA3485">
        <v>40.850448</v>
      </c>
      <c r="AB3485">
        <v>-73.885075</v>
      </c>
      <c r="AD3485" t="s">
        <v>10839</v>
      </c>
      <c r="AG3485" t="s">
        <v>10858</v>
      </c>
      <c r="AH3485" t="s">
        <v>10861</v>
      </c>
      <c r="AI3485">
        <v>230</v>
      </c>
      <c r="AJ3485" t="s">
        <v>10210</v>
      </c>
      <c r="AL3485">
        <v>0</v>
      </c>
      <c r="AM3485" t="s">
        <v>10884</v>
      </c>
      <c r="AN3485" t="s">
        <v>10907</v>
      </c>
      <c r="AO3485" t="s">
        <v>11000</v>
      </c>
      <c r="AP3485" t="s">
        <v>11056</v>
      </c>
      <c r="AR3485" t="s">
        <v>11295</v>
      </c>
      <c r="AS3485" t="s">
        <v>9926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</row>
    <row r="3486" spans="1:59">
      <c r="A3486" s="1">
        <f>HYPERLINK("https://lsnyc.legalserver.org/matter/dynamic-profile/view/1907576","19-1907576")</f>
        <v>0</v>
      </c>
      <c r="B3486" t="s">
        <v>1501</v>
      </c>
      <c r="C3486" t="s">
        <v>7703</v>
      </c>
      <c r="D3486" t="s">
        <v>9925</v>
      </c>
      <c r="E3486" t="s">
        <v>10075</v>
      </c>
      <c r="F3486">
        <v>10034</v>
      </c>
      <c r="G3486" t="s">
        <v>10089</v>
      </c>
      <c r="H3486" t="s">
        <v>10140</v>
      </c>
      <c r="I3486" t="s">
        <v>10169</v>
      </c>
      <c r="J3486" t="s">
        <v>10209</v>
      </c>
      <c r="K3486" t="s">
        <v>10217</v>
      </c>
      <c r="M3486" t="s">
        <v>10393</v>
      </c>
      <c r="N3486" t="s">
        <v>10650</v>
      </c>
      <c r="P3486" t="s">
        <v>10749</v>
      </c>
      <c r="Q3486" t="s">
        <v>10765</v>
      </c>
      <c r="R3486" t="s">
        <v>10821</v>
      </c>
      <c r="T3486">
        <v>30240</v>
      </c>
      <c r="U3486">
        <v>2520</v>
      </c>
      <c r="V3486">
        <v>58</v>
      </c>
      <c r="W3486">
        <v>3</v>
      </c>
      <c r="X3486">
        <v>0</v>
      </c>
      <c r="Z3486">
        <v>141.77</v>
      </c>
      <c r="AA3486">
        <v>40.863223</v>
      </c>
      <c r="AB3486">
        <v>-73.92447799999999</v>
      </c>
      <c r="AD3486" t="s">
        <v>10840</v>
      </c>
      <c r="AG3486" t="s">
        <v>10858</v>
      </c>
      <c r="AH3486" t="s">
        <v>10862</v>
      </c>
      <c r="AI3486">
        <v>236</v>
      </c>
      <c r="AJ3486" t="s">
        <v>10209</v>
      </c>
      <c r="AL3486">
        <v>1.7</v>
      </c>
      <c r="AM3486" t="s">
        <v>10887</v>
      </c>
      <c r="AN3486" t="s">
        <v>10937</v>
      </c>
      <c r="AO3486" t="s">
        <v>11019</v>
      </c>
      <c r="AP3486" t="s">
        <v>11074</v>
      </c>
      <c r="AR3486" t="s">
        <v>11257</v>
      </c>
      <c r="AS3486" t="s">
        <v>9925</v>
      </c>
      <c r="AT3486" t="s">
        <v>11642</v>
      </c>
      <c r="AX3486" t="s">
        <v>10838</v>
      </c>
      <c r="BA3486" t="s">
        <v>11740</v>
      </c>
      <c r="BB3486">
        <v>0</v>
      </c>
      <c r="BC3486">
        <v>0</v>
      </c>
      <c r="BD3486">
        <v>0</v>
      </c>
      <c r="BE3486">
        <v>0</v>
      </c>
      <c r="BF3486">
        <v>2</v>
      </c>
      <c r="BG3486">
        <v>0</v>
      </c>
    </row>
    <row r="3487" spans="1:59">
      <c r="A3487" s="1">
        <f>HYPERLINK("https://lsnyc.legalserver.org/matter/dynamic-profile/view/1907578","19-1907578")</f>
        <v>0</v>
      </c>
      <c r="B3487" t="s">
        <v>2913</v>
      </c>
      <c r="C3487" t="s">
        <v>7704</v>
      </c>
      <c r="D3487" t="s">
        <v>9928</v>
      </c>
      <c r="E3487" t="s">
        <v>10075</v>
      </c>
      <c r="F3487">
        <v>11226</v>
      </c>
      <c r="G3487" t="s">
        <v>10093</v>
      </c>
      <c r="H3487" t="s">
        <v>10140</v>
      </c>
      <c r="I3487" t="s">
        <v>10168</v>
      </c>
      <c r="J3487" t="s">
        <v>10213</v>
      </c>
      <c r="K3487" t="s">
        <v>10217</v>
      </c>
      <c r="M3487" t="s">
        <v>10414</v>
      </c>
      <c r="N3487" t="s">
        <v>10646</v>
      </c>
      <c r="P3487" t="s">
        <v>10749</v>
      </c>
      <c r="Q3487" t="s">
        <v>10765</v>
      </c>
      <c r="R3487" t="s">
        <v>10824</v>
      </c>
      <c r="T3487">
        <v>31812</v>
      </c>
      <c r="U3487">
        <v>2651</v>
      </c>
      <c r="V3487">
        <v>66</v>
      </c>
      <c r="W3487">
        <v>1</v>
      </c>
      <c r="X3487">
        <v>0</v>
      </c>
      <c r="Z3487">
        <v>254.7</v>
      </c>
      <c r="AA3487">
        <v>40.654857</v>
      </c>
      <c r="AB3487">
        <v>-73.958326</v>
      </c>
      <c r="AC3487" t="s">
        <v>10837</v>
      </c>
      <c r="AD3487" t="s">
        <v>10840</v>
      </c>
      <c r="AG3487" t="s">
        <v>10858</v>
      </c>
      <c r="AH3487" t="s">
        <v>10871</v>
      </c>
      <c r="AI3487">
        <v>234</v>
      </c>
      <c r="AJ3487" t="s">
        <v>10214</v>
      </c>
      <c r="AL3487">
        <v>11.4</v>
      </c>
      <c r="AM3487" t="s">
        <v>10888</v>
      </c>
      <c r="AN3487" t="s">
        <v>10912</v>
      </c>
      <c r="AO3487" t="s">
        <v>11008</v>
      </c>
      <c r="AP3487" t="s">
        <v>11050</v>
      </c>
      <c r="AR3487" t="s">
        <v>11379</v>
      </c>
      <c r="AS3487" t="s">
        <v>11595</v>
      </c>
      <c r="AT3487" t="s">
        <v>11642</v>
      </c>
      <c r="AX3487" t="s">
        <v>10838</v>
      </c>
      <c r="BA3487" t="s">
        <v>11738</v>
      </c>
      <c r="BB3487">
        <v>0</v>
      </c>
      <c r="BC3487">
        <v>0</v>
      </c>
      <c r="BD3487">
        <v>0</v>
      </c>
      <c r="BE3487">
        <v>0</v>
      </c>
      <c r="BF3487">
        <v>5</v>
      </c>
      <c r="BG3487">
        <v>0</v>
      </c>
    </row>
    <row r="3488" spans="1:59">
      <c r="A3488" s="1">
        <f>HYPERLINK("https://lsnyc.legalserver.org/matter/dynamic-profile/view/1907579","19-1907579")</f>
        <v>0</v>
      </c>
      <c r="B3488" t="s">
        <v>2914</v>
      </c>
      <c r="C3488" t="s">
        <v>7705</v>
      </c>
      <c r="D3488" t="s">
        <v>9926</v>
      </c>
      <c r="E3488" t="s">
        <v>10075</v>
      </c>
      <c r="F3488">
        <v>10457</v>
      </c>
      <c r="G3488" t="s">
        <v>10091</v>
      </c>
      <c r="H3488" t="s">
        <v>10140</v>
      </c>
      <c r="I3488" t="s">
        <v>10168</v>
      </c>
      <c r="J3488" t="s">
        <v>10214</v>
      </c>
      <c r="K3488" t="s">
        <v>10217</v>
      </c>
      <c r="M3488" t="s">
        <v>10537</v>
      </c>
      <c r="N3488" t="s">
        <v>10671</v>
      </c>
      <c r="P3488" t="s">
        <v>10753</v>
      </c>
      <c r="Q3488" t="s">
        <v>10763</v>
      </c>
      <c r="R3488" t="s">
        <v>10821</v>
      </c>
      <c r="T3488">
        <v>29000</v>
      </c>
      <c r="U3488">
        <v>2416.67</v>
      </c>
      <c r="V3488">
        <v>52</v>
      </c>
      <c r="W3488">
        <v>3</v>
      </c>
      <c r="X3488">
        <v>0</v>
      </c>
      <c r="Z3488">
        <v>135.96</v>
      </c>
      <c r="AA3488">
        <v>40.840612</v>
      </c>
      <c r="AB3488">
        <v>-73.910033</v>
      </c>
      <c r="AD3488" t="s">
        <v>10839</v>
      </c>
      <c r="AF3488" t="s">
        <v>10843</v>
      </c>
      <c r="AG3488" t="s">
        <v>10859</v>
      </c>
      <c r="AH3488" t="s">
        <v>10861</v>
      </c>
      <c r="AI3488">
        <v>234</v>
      </c>
      <c r="AJ3488" t="s">
        <v>10214</v>
      </c>
      <c r="AL3488">
        <v>0.8</v>
      </c>
      <c r="AM3488" t="s">
        <v>10884</v>
      </c>
      <c r="AN3488" t="s">
        <v>10929</v>
      </c>
      <c r="AO3488" t="s">
        <v>11000</v>
      </c>
      <c r="AP3488" t="s">
        <v>11055</v>
      </c>
      <c r="AR3488" t="s">
        <v>11257</v>
      </c>
      <c r="AS3488" t="s">
        <v>9926</v>
      </c>
      <c r="AT3488" t="s">
        <v>11641</v>
      </c>
      <c r="AX3488" t="s">
        <v>10838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</row>
    <row r="3489" spans="1:59">
      <c r="A3489" s="1">
        <f>HYPERLINK("https://lsnyc.legalserver.org/matter/dynamic-profile/view/1907580","19-1907580")</f>
        <v>0</v>
      </c>
      <c r="B3489" t="s">
        <v>2915</v>
      </c>
      <c r="C3489" t="s">
        <v>7706</v>
      </c>
      <c r="D3489" t="s">
        <v>9926</v>
      </c>
      <c r="E3489" t="s">
        <v>10075</v>
      </c>
      <c r="F3489">
        <v>10462</v>
      </c>
      <c r="G3489" t="s">
        <v>10090</v>
      </c>
      <c r="H3489" t="s">
        <v>10140</v>
      </c>
      <c r="I3489" t="s">
        <v>10169</v>
      </c>
      <c r="J3489" t="s">
        <v>10210</v>
      </c>
      <c r="K3489" t="s">
        <v>10217</v>
      </c>
      <c r="M3489" t="s">
        <v>10399</v>
      </c>
      <c r="N3489" t="s">
        <v>10651</v>
      </c>
      <c r="P3489" t="s">
        <v>10749</v>
      </c>
      <c r="Q3489" t="s">
        <v>10765</v>
      </c>
      <c r="R3489" t="s">
        <v>10823</v>
      </c>
      <c r="T3489">
        <v>30400</v>
      </c>
      <c r="U3489">
        <v>2533.33</v>
      </c>
      <c r="V3489">
        <v>34</v>
      </c>
      <c r="W3489">
        <v>1</v>
      </c>
      <c r="X3489">
        <v>1</v>
      </c>
      <c r="Z3489">
        <v>179.78</v>
      </c>
      <c r="AA3489">
        <v>40.836572</v>
      </c>
      <c r="AB3489">
        <v>-73.85397</v>
      </c>
      <c r="AD3489" t="s">
        <v>10839</v>
      </c>
      <c r="AF3489" t="s">
        <v>10843</v>
      </c>
      <c r="AG3489" t="s">
        <v>10859</v>
      </c>
      <c r="AH3489" t="s">
        <v>10861</v>
      </c>
      <c r="AI3489">
        <v>230</v>
      </c>
      <c r="AJ3489" t="s">
        <v>10210</v>
      </c>
      <c r="AL3489">
        <v>4.5</v>
      </c>
      <c r="AM3489" t="s">
        <v>10885</v>
      </c>
      <c r="AN3489" t="s">
        <v>10908</v>
      </c>
      <c r="AO3489" t="s">
        <v>11001</v>
      </c>
      <c r="AP3489" t="s">
        <v>11046</v>
      </c>
      <c r="AR3489" t="s">
        <v>11335</v>
      </c>
      <c r="AS3489" t="s">
        <v>9926</v>
      </c>
      <c r="AT3489" t="s">
        <v>11641</v>
      </c>
      <c r="AX3489" t="s">
        <v>10838</v>
      </c>
      <c r="BA3489" t="s">
        <v>11738</v>
      </c>
      <c r="BB3489">
        <v>0</v>
      </c>
      <c r="BC3489">
        <v>0</v>
      </c>
      <c r="BD3489">
        <v>0</v>
      </c>
      <c r="BE3489">
        <v>0</v>
      </c>
      <c r="BF3489">
        <v>5</v>
      </c>
      <c r="BG3489">
        <v>0</v>
      </c>
    </row>
    <row r="3490" spans="1:59">
      <c r="A3490" s="1">
        <f>HYPERLINK("https://lsnyc.legalserver.org/matter/dynamic-profile/view/1907581","19-1907581")</f>
        <v>0</v>
      </c>
      <c r="B3490" t="s">
        <v>2916</v>
      </c>
      <c r="C3490" t="s">
        <v>5489</v>
      </c>
      <c r="D3490" t="s">
        <v>9925</v>
      </c>
      <c r="E3490" t="s">
        <v>10075</v>
      </c>
      <c r="F3490">
        <v>10034</v>
      </c>
      <c r="G3490" t="s">
        <v>10089</v>
      </c>
      <c r="H3490" t="s">
        <v>10140</v>
      </c>
      <c r="I3490" t="s">
        <v>10171</v>
      </c>
      <c r="J3490" t="s">
        <v>10209</v>
      </c>
      <c r="K3490" t="s">
        <v>10217</v>
      </c>
      <c r="M3490" t="s">
        <v>10393</v>
      </c>
      <c r="N3490" t="s">
        <v>10650</v>
      </c>
      <c r="P3490" t="s">
        <v>10749</v>
      </c>
      <c r="Q3490" t="s">
        <v>10765</v>
      </c>
      <c r="R3490" t="s">
        <v>10820</v>
      </c>
      <c r="T3490">
        <v>51600</v>
      </c>
      <c r="U3490">
        <v>4300</v>
      </c>
      <c r="V3490">
        <v>83</v>
      </c>
      <c r="W3490">
        <v>2</v>
      </c>
      <c r="X3490">
        <v>0</v>
      </c>
      <c r="Z3490">
        <v>305.14</v>
      </c>
      <c r="AA3490">
        <v>40.867043</v>
      </c>
      <c r="AB3490">
        <v>-73.930609</v>
      </c>
      <c r="AD3490" t="s">
        <v>10839</v>
      </c>
      <c r="AG3490" t="s">
        <v>10858</v>
      </c>
      <c r="AH3490" t="s">
        <v>10862</v>
      </c>
      <c r="AI3490">
        <v>236</v>
      </c>
      <c r="AJ3490" t="s">
        <v>10209</v>
      </c>
      <c r="AL3490">
        <v>1.4</v>
      </c>
      <c r="AM3490" t="s">
        <v>10887</v>
      </c>
      <c r="AN3490" t="s">
        <v>10937</v>
      </c>
      <c r="AO3490" t="s">
        <v>11019</v>
      </c>
      <c r="AP3490" t="s">
        <v>11074</v>
      </c>
      <c r="AR3490" t="s">
        <v>11355</v>
      </c>
      <c r="AS3490" t="s">
        <v>9925</v>
      </c>
      <c r="AT3490" t="s">
        <v>11641</v>
      </c>
      <c r="AX3490" t="s">
        <v>10838</v>
      </c>
      <c r="BA3490" t="s">
        <v>11741</v>
      </c>
      <c r="BB3490">
        <v>0</v>
      </c>
      <c r="BC3490">
        <v>0</v>
      </c>
      <c r="BD3490">
        <v>0</v>
      </c>
      <c r="BE3490">
        <v>0</v>
      </c>
      <c r="BF3490">
        <v>1</v>
      </c>
      <c r="BG3490">
        <v>0</v>
      </c>
    </row>
    <row r="3491" spans="1:59">
      <c r="A3491" s="1">
        <f>HYPERLINK("https://lsnyc.legalserver.org/matter/dynamic-profile/view/1907582","19-1907582")</f>
        <v>0</v>
      </c>
      <c r="B3491" t="s">
        <v>2917</v>
      </c>
      <c r="C3491" t="s">
        <v>7707</v>
      </c>
      <c r="D3491" t="s">
        <v>9925</v>
      </c>
      <c r="E3491" t="s">
        <v>10075</v>
      </c>
      <c r="F3491">
        <v>10034</v>
      </c>
      <c r="G3491" t="s">
        <v>10089</v>
      </c>
      <c r="H3491" t="s">
        <v>10140</v>
      </c>
      <c r="I3491" t="s">
        <v>10169</v>
      </c>
      <c r="J3491" t="s">
        <v>10209</v>
      </c>
      <c r="K3491" t="s">
        <v>10217</v>
      </c>
      <c r="M3491" t="s">
        <v>10573</v>
      </c>
      <c r="N3491" t="s">
        <v>10650</v>
      </c>
      <c r="P3491" t="s">
        <v>10749</v>
      </c>
      <c r="Q3491" t="s">
        <v>10765</v>
      </c>
      <c r="R3491" t="s">
        <v>10821</v>
      </c>
      <c r="T3491">
        <v>12360</v>
      </c>
      <c r="U3491">
        <v>1030</v>
      </c>
      <c r="V3491">
        <v>64</v>
      </c>
      <c r="W3491">
        <v>1</v>
      </c>
      <c r="X3491">
        <v>0</v>
      </c>
      <c r="Z3491">
        <v>98.95999999999999</v>
      </c>
      <c r="AA3491">
        <v>40.863797</v>
      </c>
      <c r="AB3491">
        <v>-73.919025</v>
      </c>
      <c r="AD3491" t="s">
        <v>10839</v>
      </c>
      <c r="AG3491" t="s">
        <v>10858</v>
      </c>
      <c r="AH3491" t="s">
        <v>10862</v>
      </c>
      <c r="AI3491">
        <v>236</v>
      </c>
      <c r="AJ3491" t="s">
        <v>10209</v>
      </c>
      <c r="AL3491">
        <v>8.199999999999999</v>
      </c>
      <c r="AM3491" t="s">
        <v>10887</v>
      </c>
      <c r="AN3491" t="s">
        <v>10937</v>
      </c>
      <c r="AO3491" t="s">
        <v>11019</v>
      </c>
      <c r="AP3491" t="s">
        <v>11074</v>
      </c>
      <c r="AR3491" t="s">
        <v>11256</v>
      </c>
      <c r="AS3491" t="s">
        <v>9925</v>
      </c>
      <c r="AT3491" t="s">
        <v>11641</v>
      </c>
      <c r="AX3491" t="s">
        <v>10838</v>
      </c>
      <c r="BA3491" t="s">
        <v>11740</v>
      </c>
      <c r="BB3491">
        <v>0</v>
      </c>
      <c r="BC3491">
        <v>0</v>
      </c>
      <c r="BD3491">
        <v>0</v>
      </c>
      <c r="BE3491">
        <v>0</v>
      </c>
      <c r="BF3491">
        <v>2</v>
      </c>
      <c r="BG3491">
        <v>0</v>
      </c>
    </row>
    <row r="3492" spans="1:59">
      <c r="A3492" s="1">
        <f>HYPERLINK("https://lsnyc.legalserver.org/matter/dynamic-profile/view/1907583","19-1907583")</f>
        <v>0</v>
      </c>
      <c r="B3492" t="s">
        <v>2915</v>
      </c>
      <c r="C3492" t="s">
        <v>7706</v>
      </c>
      <c r="D3492" t="s">
        <v>9926</v>
      </c>
      <c r="E3492" t="s">
        <v>10075</v>
      </c>
      <c r="F3492">
        <v>10462</v>
      </c>
      <c r="G3492" t="s">
        <v>10090</v>
      </c>
      <c r="H3492" t="s">
        <v>10140</v>
      </c>
      <c r="I3492" t="s">
        <v>10169</v>
      </c>
      <c r="J3492" t="s">
        <v>10210</v>
      </c>
      <c r="K3492" t="s">
        <v>10217</v>
      </c>
      <c r="M3492" t="s">
        <v>10406</v>
      </c>
      <c r="N3492" t="s">
        <v>10671</v>
      </c>
      <c r="P3492" t="s">
        <v>10751</v>
      </c>
      <c r="Q3492" t="s">
        <v>10761</v>
      </c>
      <c r="R3492" t="s">
        <v>10823</v>
      </c>
      <c r="T3492">
        <v>5200</v>
      </c>
      <c r="U3492">
        <v>433.33</v>
      </c>
      <c r="V3492">
        <v>34</v>
      </c>
      <c r="W3492">
        <v>1</v>
      </c>
      <c r="X3492">
        <v>1</v>
      </c>
      <c r="Z3492">
        <v>30.75</v>
      </c>
      <c r="AA3492">
        <v>40.836572</v>
      </c>
      <c r="AB3492">
        <v>-73.85397</v>
      </c>
      <c r="AD3492" t="s">
        <v>10839</v>
      </c>
      <c r="AF3492" t="s">
        <v>10843</v>
      </c>
      <c r="AG3492" t="s">
        <v>10859</v>
      </c>
      <c r="AH3492" t="s">
        <v>10861</v>
      </c>
      <c r="AI3492">
        <v>230</v>
      </c>
      <c r="AJ3492" t="s">
        <v>10210</v>
      </c>
      <c r="AL3492">
        <v>0</v>
      </c>
      <c r="AM3492" t="s">
        <v>10885</v>
      </c>
      <c r="AN3492" t="s">
        <v>10908</v>
      </c>
      <c r="AO3492" t="s">
        <v>11001</v>
      </c>
      <c r="AP3492" t="s">
        <v>11046</v>
      </c>
      <c r="AR3492" t="s">
        <v>11335</v>
      </c>
      <c r="AS3492" t="s">
        <v>9926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</row>
    <row r="3493" spans="1:59">
      <c r="A3493" s="1">
        <f>HYPERLINK("https://lsnyc.legalserver.org/matter/dynamic-profile/view/1907584","19-1907584")</f>
        <v>0</v>
      </c>
      <c r="B3493" t="s">
        <v>2918</v>
      </c>
      <c r="C3493" t="s">
        <v>7708</v>
      </c>
      <c r="D3493" t="s">
        <v>9925</v>
      </c>
      <c r="E3493" t="s">
        <v>10075</v>
      </c>
      <c r="F3493">
        <v>10040</v>
      </c>
      <c r="G3493" t="s">
        <v>10089</v>
      </c>
      <c r="H3493" t="s">
        <v>10140</v>
      </c>
      <c r="I3493" t="s">
        <v>10169</v>
      </c>
      <c r="J3493" t="s">
        <v>10209</v>
      </c>
      <c r="K3493" t="s">
        <v>10218</v>
      </c>
      <c r="L3493" t="s">
        <v>10136</v>
      </c>
      <c r="M3493" t="s">
        <v>10573</v>
      </c>
      <c r="N3493" t="s">
        <v>10650</v>
      </c>
      <c r="P3493" t="s">
        <v>10749</v>
      </c>
      <c r="Q3493" t="s">
        <v>10765</v>
      </c>
      <c r="R3493" t="s">
        <v>10821</v>
      </c>
      <c r="T3493">
        <v>0</v>
      </c>
      <c r="U3493">
        <v>0</v>
      </c>
      <c r="V3493">
        <v>56</v>
      </c>
      <c r="W3493">
        <v>1</v>
      </c>
      <c r="X3493">
        <v>0</v>
      </c>
      <c r="Y3493" t="s">
        <v>10829</v>
      </c>
      <c r="Z3493">
        <v>0</v>
      </c>
      <c r="AA3493">
        <v>40.861606</v>
      </c>
      <c r="AB3493">
        <v>-73.928314</v>
      </c>
      <c r="AD3493" t="s">
        <v>10840</v>
      </c>
      <c r="AG3493" t="s">
        <v>10858</v>
      </c>
      <c r="AH3493" t="s">
        <v>10862</v>
      </c>
      <c r="AI3493">
        <v>236</v>
      </c>
      <c r="AJ3493" t="s">
        <v>10209</v>
      </c>
      <c r="AK3493" t="s">
        <v>10838</v>
      </c>
      <c r="AL3493">
        <v>2.9</v>
      </c>
      <c r="AM3493" t="s">
        <v>10887</v>
      </c>
      <c r="AN3493" t="s">
        <v>10937</v>
      </c>
      <c r="AO3493" t="s">
        <v>11019</v>
      </c>
      <c r="AP3493" t="s">
        <v>11074</v>
      </c>
      <c r="AR3493" t="s">
        <v>11267</v>
      </c>
      <c r="AS3493" t="s">
        <v>9925</v>
      </c>
      <c r="AT3493" t="s">
        <v>11642</v>
      </c>
      <c r="AX3493" t="s">
        <v>10838</v>
      </c>
      <c r="AY3493" t="s">
        <v>10829</v>
      </c>
      <c r="AZ3493" t="s">
        <v>11681</v>
      </c>
      <c r="BA3493" t="s">
        <v>11741</v>
      </c>
      <c r="BB3493">
        <v>0</v>
      </c>
      <c r="BC3493">
        <v>0</v>
      </c>
      <c r="BD3493">
        <v>0</v>
      </c>
      <c r="BE3493">
        <v>0</v>
      </c>
      <c r="BF3493">
        <v>1</v>
      </c>
      <c r="BG3493">
        <v>0</v>
      </c>
    </row>
    <row r="3494" spans="1:59">
      <c r="A3494" s="1">
        <f>HYPERLINK("https://lsnyc.legalserver.org/matter/dynamic-profile/view/1907585","19-1907585")</f>
        <v>0</v>
      </c>
      <c r="B3494" t="s">
        <v>896</v>
      </c>
      <c r="C3494" t="s">
        <v>7709</v>
      </c>
      <c r="D3494" t="s">
        <v>9928</v>
      </c>
      <c r="E3494" t="s">
        <v>10075</v>
      </c>
      <c r="F3494">
        <v>11226</v>
      </c>
      <c r="G3494" t="s">
        <v>10093</v>
      </c>
      <c r="H3494" t="s">
        <v>10140</v>
      </c>
      <c r="I3494" t="s">
        <v>10168</v>
      </c>
      <c r="J3494" t="s">
        <v>10213</v>
      </c>
      <c r="K3494" t="s">
        <v>10217</v>
      </c>
      <c r="M3494" t="s">
        <v>10384</v>
      </c>
      <c r="N3494" t="s">
        <v>10650</v>
      </c>
      <c r="P3494" t="s">
        <v>10749</v>
      </c>
      <c r="Q3494" t="s">
        <v>10765</v>
      </c>
      <c r="R3494" t="s">
        <v>10822</v>
      </c>
      <c r="T3494">
        <v>50000</v>
      </c>
      <c r="U3494">
        <v>4166.67</v>
      </c>
      <c r="V3494">
        <v>56</v>
      </c>
      <c r="W3494">
        <v>1</v>
      </c>
      <c r="X3494">
        <v>0</v>
      </c>
      <c r="Z3494">
        <v>400.32</v>
      </c>
      <c r="AA3494">
        <v>40.642682</v>
      </c>
      <c r="AB3494">
        <v>-73.953731</v>
      </c>
      <c r="AD3494" t="s">
        <v>10839</v>
      </c>
      <c r="AG3494" t="s">
        <v>10858</v>
      </c>
      <c r="AH3494" t="s">
        <v>10862</v>
      </c>
      <c r="AI3494">
        <v>239</v>
      </c>
      <c r="AJ3494" t="s">
        <v>10213</v>
      </c>
      <c r="AL3494">
        <v>9.699999999999999</v>
      </c>
      <c r="AM3494" t="s">
        <v>10888</v>
      </c>
      <c r="AN3494" t="s">
        <v>10932</v>
      </c>
      <c r="AO3494" t="s">
        <v>11008</v>
      </c>
      <c r="AP3494" t="s">
        <v>11065</v>
      </c>
      <c r="AR3494" t="s">
        <v>11257</v>
      </c>
      <c r="AS3494" t="s">
        <v>11595</v>
      </c>
      <c r="AT3494" t="s">
        <v>11641</v>
      </c>
      <c r="AX3494" t="s">
        <v>10838</v>
      </c>
      <c r="BA3494" t="s">
        <v>11738</v>
      </c>
      <c r="BB3494">
        <v>0</v>
      </c>
      <c r="BC3494">
        <v>0</v>
      </c>
      <c r="BD3494">
        <v>0</v>
      </c>
      <c r="BE3494">
        <v>0</v>
      </c>
      <c r="BF3494">
        <v>5</v>
      </c>
      <c r="BG3494">
        <v>0</v>
      </c>
    </row>
    <row r="3495" spans="1:59">
      <c r="A3495" s="1">
        <f>HYPERLINK("https://lsnyc.legalserver.org/matter/dynamic-profile/view/1907586","19-1907586")</f>
        <v>0</v>
      </c>
      <c r="B3495" t="s">
        <v>2919</v>
      </c>
      <c r="C3495" t="s">
        <v>7710</v>
      </c>
      <c r="D3495" t="s">
        <v>9926</v>
      </c>
      <c r="E3495" t="s">
        <v>10075</v>
      </c>
      <c r="F3495">
        <v>10457</v>
      </c>
      <c r="G3495" t="s">
        <v>10090</v>
      </c>
      <c r="H3495" t="s">
        <v>10140</v>
      </c>
      <c r="I3495" t="s">
        <v>10168</v>
      </c>
      <c r="J3495" t="s">
        <v>10210</v>
      </c>
      <c r="K3495" t="s">
        <v>10217</v>
      </c>
      <c r="M3495" t="s">
        <v>10399</v>
      </c>
      <c r="N3495" t="s">
        <v>10651</v>
      </c>
      <c r="P3495" t="s">
        <v>10749</v>
      </c>
      <c r="Q3495" t="s">
        <v>10765</v>
      </c>
      <c r="R3495" t="s">
        <v>10823</v>
      </c>
      <c r="T3495">
        <v>15000</v>
      </c>
      <c r="U3495">
        <v>1250</v>
      </c>
      <c r="V3495">
        <v>45</v>
      </c>
      <c r="W3495">
        <v>1</v>
      </c>
      <c r="X3495">
        <v>1</v>
      </c>
      <c r="Z3495">
        <v>88.7</v>
      </c>
      <c r="AA3495">
        <v>40.841143</v>
      </c>
      <c r="AB3495">
        <v>-73.91159500000001</v>
      </c>
      <c r="AD3495" t="s">
        <v>10839</v>
      </c>
      <c r="AG3495" t="s">
        <v>10858</v>
      </c>
      <c r="AH3495" t="s">
        <v>10861</v>
      </c>
      <c r="AI3495">
        <v>230</v>
      </c>
      <c r="AJ3495" t="s">
        <v>10210</v>
      </c>
      <c r="AL3495">
        <v>2</v>
      </c>
      <c r="AM3495" t="s">
        <v>10884</v>
      </c>
      <c r="AN3495" t="s">
        <v>10929</v>
      </c>
      <c r="AO3495" t="s">
        <v>11013</v>
      </c>
      <c r="AP3495" t="s">
        <v>11055</v>
      </c>
      <c r="AR3495" t="s">
        <v>11262</v>
      </c>
      <c r="AS3495" t="s">
        <v>9926</v>
      </c>
      <c r="AT3495" t="s">
        <v>11641</v>
      </c>
      <c r="AX3495" t="s">
        <v>11678</v>
      </c>
      <c r="BA3495" t="s">
        <v>11738</v>
      </c>
      <c r="BB3495">
        <v>0</v>
      </c>
      <c r="BC3495">
        <v>0</v>
      </c>
      <c r="BD3495">
        <v>0</v>
      </c>
      <c r="BE3495">
        <v>0</v>
      </c>
      <c r="BF3495">
        <v>5</v>
      </c>
      <c r="BG3495">
        <v>0</v>
      </c>
    </row>
    <row r="3496" spans="1:59">
      <c r="A3496" s="1">
        <f>HYPERLINK("https://lsnyc.legalserver.org/matter/dynamic-profile/view/1907588","19-1907588")</f>
        <v>0</v>
      </c>
      <c r="B3496" t="s">
        <v>482</v>
      </c>
      <c r="C3496" t="s">
        <v>7711</v>
      </c>
      <c r="D3496" t="s">
        <v>9928</v>
      </c>
      <c r="E3496" t="s">
        <v>10075</v>
      </c>
      <c r="F3496">
        <v>11204</v>
      </c>
      <c r="G3496" t="s">
        <v>10093</v>
      </c>
      <c r="H3496" t="s">
        <v>10140</v>
      </c>
      <c r="I3496" t="s">
        <v>10168</v>
      </c>
      <c r="J3496" t="s">
        <v>10213</v>
      </c>
      <c r="K3496" t="s">
        <v>10217</v>
      </c>
      <c r="M3496" t="s">
        <v>10425</v>
      </c>
      <c r="N3496" t="s">
        <v>10664</v>
      </c>
      <c r="P3496" t="s">
        <v>10749</v>
      </c>
      <c r="Q3496" t="s">
        <v>10765</v>
      </c>
      <c r="R3496" t="s">
        <v>10828</v>
      </c>
      <c r="T3496">
        <v>17986.2</v>
      </c>
      <c r="U3496">
        <v>1498.85</v>
      </c>
      <c r="V3496">
        <v>35</v>
      </c>
      <c r="W3496">
        <v>1</v>
      </c>
      <c r="X3496">
        <v>2</v>
      </c>
      <c r="Z3496">
        <v>84.31999999999999</v>
      </c>
      <c r="AA3496">
        <v>40.609139</v>
      </c>
      <c r="AB3496">
        <v>-73.97953699999999</v>
      </c>
      <c r="AD3496" t="s">
        <v>10839</v>
      </c>
      <c r="AG3496" t="s">
        <v>10858</v>
      </c>
      <c r="AH3496" t="s">
        <v>10861</v>
      </c>
      <c r="AI3496">
        <v>239</v>
      </c>
      <c r="AJ3496" t="s">
        <v>10213</v>
      </c>
      <c r="AL3496">
        <v>8.4</v>
      </c>
      <c r="AM3496" t="s">
        <v>10894</v>
      </c>
      <c r="AN3496" t="s">
        <v>10969</v>
      </c>
      <c r="AO3496" t="s">
        <v>11015</v>
      </c>
      <c r="AP3496" t="s">
        <v>11079</v>
      </c>
      <c r="AR3496" t="s">
        <v>11257</v>
      </c>
      <c r="AS3496" t="s">
        <v>11595</v>
      </c>
      <c r="BA3496" t="s">
        <v>11738</v>
      </c>
      <c r="BB3496">
        <v>0</v>
      </c>
      <c r="BC3496">
        <v>0</v>
      </c>
      <c r="BD3496">
        <v>0</v>
      </c>
      <c r="BE3496">
        <v>0</v>
      </c>
      <c r="BF3496">
        <v>5</v>
      </c>
      <c r="BG3496">
        <v>0</v>
      </c>
    </row>
    <row r="3497" spans="1:59">
      <c r="A3497" s="1">
        <f>HYPERLINK("https://lsnyc.legalserver.org/matter/dynamic-profile/view/1907589","19-1907589")</f>
        <v>0</v>
      </c>
      <c r="B3497" t="s">
        <v>2920</v>
      </c>
      <c r="C3497" t="s">
        <v>7712</v>
      </c>
      <c r="D3497" t="s">
        <v>9928</v>
      </c>
      <c r="E3497" t="s">
        <v>10075</v>
      </c>
      <c r="F3497">
        <v>11210</v>
      </c>
      <c r="G3497" t="s">
        <v>10093</v>
      </c>
      <c r="H3497" t="s">
        <v>10140</v>
      </c>
      <c r="I3497" t="s">
        <v>10177</v>
      </c>
      <c r="J3497" t="s">
        <v>10213</v>
      </c>
      <c r="K3497" t="s">
        <v>10217</v>
      </c>
      <c r="M3497" t="s">
        <v>10239</v>
      </c>
      <c r="N3497" t="s">
        <v>10650</v>
      </c>
      <c r="P3497" t="s">
        <v>10749</v>
      </c>
      <c r="Q3497" t="s">
        <v>10765</v>
      </c>
      <c r="R3497" t="s">
        <v>10824</v>
      </c>
      <c r="T3497">
        <v>31200</v>
      </c>
      <c r="U3497">
        <v>2600</v>
      </c>
      <c r="V3497">
        <v>73</v>
      </c>
      <c r="W3497">
        <v>6</v>
      </c>
      <c r="X3497">
        <v>2</v>
      </c>
      <c r="Z3497">
        <v>71.84</v>
      </c>
      <c r="AA3497">
        <v>40.632167</v>
      </c>
      <c r="AB3497">
        <v>-73.94300800000001</v>
      </c>
      <c r="AD3497" t="s">
        <v>10840</v>
      </c>
      <c r="AG3497" t="s">
        <v>10858</v>
      </c>
      <c r="AH3497" t="s">
        <v>10862</v>
      </c>
      <c r="AI3497">
        <v>239</v>
      </c>
      <c r="AJ3497" t="s">
        <v>10213</v>
      </c>
      <c r="AL3497">
        <v>2.5</v>
      </c>
      <c r="AM3497" t="s">
        <v>10888</v>
      </c>
      <c r="AN3497" t="s">
        <v>10925</v>
      </c>
      <c r="AO3497" t="s">
        <v>11008</v>
      </c>
      <c r="AP3497" t="s">
        <v>11065</v>
      </c>
      <c r="AR3497" t="s">
        <v>11287</v>
      </c>
      <c r="AS3497" t="s">
        <v>11595</v>
      </c>
      <c r="AT3497" t="s">
        <v>11642</v>
      </c>
      <c r="BA3497" t="s">
        <v>11738</v>
      </c>
      <c r="BB3497">
        <v>0</v>
      </c>
      <c r="BC3497">
        <v>0</v>
      </c>
      <c r="BD3497">
        <v>0</v>
      </c>
      <c r="BE3497">
        <v>0</v>
      </c>
      <c r="BF3497">
        <v>5</v>
      </c>
      <c r="BG3497">
        <v>0</v>
      </c>
    </row>
    <row r="3498" spans="1:59">
      <c r="A3498" s="1">
        <f>HYPERLINK("https://lsnyc.legalserver.org/matter/dynamic-profile/view/1907591","19-1907591")</f>
        <v>0</v>
      </c>
      <c r="B3498" t="s">
        <v>2270</v>
      </c>
      <c r="C3498" t="s">
        <v>7713</v>
      </c>
      <c r="D3498" t="s">
        <v>9928</v>
      </c>
      <c r="E3498" t="s">
        <v>10075</v>
      </c>
      <c r="F3498">
        <v>11226</v>
      </c>
      <c r="G3498" t="s">
        <v>10093</v>
      </c>
      <c r="H3498" t="s">
        <v>10120</v>
      </c>
      <c r="I3498" t="s">
        <v>10168</v>
      </c>
      <c r="J3498" t="s">
        <v>10213</v>
      </c>
      <c r="K3498" t="s">
        <v>10217</v>
      </c>
      <c r="M3498" t="s">
        <v>10425</v>
      </c>
      <c r="N3498" t="s">
        <v>10646</v>
      </c>
      <c r="P3498" t="s">
        <v>10749</v>
      </c>
      <c r="Q3498" t="s">
        <v>10765</v>
      </c>
      <c r="R3498" t="s">
        <v>10824</v>
      </c>
      <c r="T3498">
        <v>30000</v>
      </c>
      <c r="U3498">
        <v>2500</v>
      </c>
      <c r="V3498">
        <v>69</v>
      </c>
      <c r="W3498">
        <v>1</v>
      </c>
      <c r="X3498">
        <v>0</v>
      </c>
      <c r="Z3498">
        <v>240.19</v>
      </c>
      <c r="AA3498">
        <v>40.648983</v>
      </c>
      <c r="AB3498">
        <v>-73.95318</v>
      </c>
      <c r="AD3498" t="s">
        <v>10839</v>
      </c>
      <c r="AF3498" t="s">
        <v>10843</v>
      </c>
      <c r="AG3498" t="s">
        <v>10859</v>
      </c>
      <c r="AH3498" t="s">
        <v>10862</v>
      </c>
      <c r="AI3498">
        <v>239</v>
      </c>
      <c r="AJ3498" t="s">
        <v>10213</v>
      </c>
      <c r="AL3498">
        <v>1.4</v>
      </c>
      <c r="AM3498" t="s">
        <v>10888</v>
      </c>
      <c r="AN3498" t="s">
        <v>10932</v>
      </c>
      <c r="AO3498" t="s">
        <v>11008</v>
      </c>
      <c r="AP3498" t="s">
        <v>11050</v>
      </c>
      <c r="AR3498" t="s">
        <v>11264</v>
      </c>
      <c r="AS3498" t="s">
        <v>11595</v>
      </c>
      <c r="AX3498" t="s">
        <v>10838</v>
      </c>
      <c r="BA3498" t="s">
        <v>11742</v>
      </c>
      <c r="BB3498">
        <v>0</v>
      </c>
      <c r="BC3498">
        <v>0</v>
      </c>
      <c r="BD3498">
        <v>0</v>
      </c>
      <c r="BE3498">
        <v>0</v>
      </c>
      <c r="BF3498">
        <v>7</v>
      </c>
      <c r="BG3498">
        <v>0</v>
      </c>
    </row>
    <row r="3499" spans="1:59">
      <c r="A3499" s="1">
        <f>HYPERLINK("https://lsnyc.legalserver.org/matter/dynamic-profile/view/1907593","19-1907593")</f>
        <v>0</v>
      </c>
      <c r="B3499" t="s">
        <v>2921</v>
      </c>
      <c r="C3499" t="s">
        <v>6215</v>
      </c>
      <c r="D3499" t="s">
        <v>9938</v>
      </c>
      <c r="E3499" t="s">
        <v>10075</v>
      </c>
      <c r="F3499">
        <v>11433</v>
      </c>
      <c r="G3499" t="s">
        <v>10092</v>
      </c>
      <c r="H3499" t="s">
        <v>10140</v>
      </c>
      <c r="I3499" t="s">
        <v>10168</v>
      </c>
      <c r="J3499" t="s">
        <v>10212</v>
      </c>
      <c r="K3499" t="s">
        <v>10218</v>
      </c>
      <c r="L3499" t="s">
        <v>10101</v>
      </c>
      <c r="M3499" t="s">
        <v>10360</v>
      </c>
      <c r="N3499" t="s">
        <v>10693</v>
      </c>
      <c r="P3499" t="s">
        <v>10749</v>
      </c>
      <c r="Q3499" t="s">
        <v>10767</v>
      </c>
      <c r="R3499" t="s">
        <v>10824</v>
      </c>
      <c r="T3499">
        <v>14016</v>
      </c>
      <c r="U3499">
        <v>1168</v>
      </c>
      <c r="V3499">
        <v>55</v>
      </c>
      <c r="W3499">
        <v>1</v>
      </c>
      <c r="X3499">
        <v>0</v>
      </c>
      <c r="Y3499" t="s">
        <v>10831</v>
      </c>
      <c r="Z3499">
        <v>112.22</v>
      </c>
      <c r="AA3499">
        <v>40.693</v>
      </c>
      <c r="AB3499">
        <v>-73.792394</v>
      </c>
      <c r="AD3499" t="s">
        <v>10839</v>
      </c>
      <c r="AG3499" t="s">
        <v>10858</v>
      </c>
      <c r="AH3499" t="s">
        <v>10862</v>
      </c>
      <c r="AI3499">
        <v>237</v>
      </c>
      <c r="AJ3499" t="s">
        <v>10212</v>
      </c>
      <c r="AK3499" t="s">
        <v>10838</v>
      </c>
      <c r="AL3499">
        <v>2.55</v>
      </c>
      <c r="AM3499" t="s">
        <v>10892</v>
      </c>
      <c r="AN3499" t="s">
        <v>10951</v>
      </c>
      <c r="AO3499" t="s">
        <v>11017</v>
      </c>
      <c r="AP3499" t="s">
        <v>11070</v>
      </c>
      <c r="AR3499" t="s">
        <v>11257</v>
      </c>
      <c r="AS3499" t="s">
        <v>11594</v>
      </c>
      <c r="AY3499" t="s">
        <v>10831</v>
      </c>
      <c r="AZ3499" t="s">
        <v>11685</v>
      </c>
      <c r="BA3499" t="s">
        <v>11738</v>
      </c>
      <c r="BB3499">
        <v>0</v>
      </c>
      <c r="BC3499">
        <v>0</v>
      </c>
      <c r="BD3499">
        <v>0</v>
      </c>
      <c r="BE3499">
        <v>0</v>
      </c>
      <c r="BF3499">
        <v>5</v>
      </c>
      <c r="BG3499">
        <v>0</v>
      </c>
    </row>
    <row r="3500" spans="1:59">
      <c r="A3500" s="1">
        <f>HYPERLINK("https://lsnyc.legalserver.org/matter/dynamic-profile/view/1907594","19-1907594")</f>
        <v>0</v>
      </c>
      <c r="B3500" t="s">
        <v>2922</v>
      </c>
      <c r="C3500" t="s">
        <v>7714</v>
      </c>
      <c r="D3500" t="s">
        <v>9938</v>
      </c>
      <c r="E3500" t="s">
        <v>10075</v>
      </c>
      <c r="F3500">
        <v>11433</v>
      </c>
      <c r="G3500" t="s">
        <v>10092</v>
      </c>
      <c r="H3500" t="s">
        <v>10140</v>
      </c>
      <c r="I3500" t="s">
        <v>10168</v>
      </c>
      <c r="J3500" t="s">
        <v>10212</v>
      </c>
      <c r="K3500" t="s">
        <v>10218</v>
      </c>
      <c r="L3500" t="s">
        <v>4843</v>
      </c>
      <c r="M3500" t="s">
        <v>10360</v>
      </c>
      <c r="N3500" t="s">
        <v>10646</v>
      </c>
      <c r="P3500" t="s">
        <v>10749</v>
      </c>
      <c r="Q3500" t="s">
        <v>10767</v>
      </c>
      <c r="R3500" t="s">
        <v>10824</v>
      </c>
      <c r="T3500">
        <v>43000</v>
      </c>
      <c r="U3500">
        <v>3583.33</v>
      </c>
      <c r="V3500">
        <v>63</v>
      </c>
      <c r="W3500">
        <v>2</v>
      </c>
      <c r="X3500">
        <v>0</v>
      </c>
      <c r="Y3500" t="s">
        <v>10829</v>
      </c>
      <c r="Z3500">
        <v>254.29</v>
      </c>
      <c r="AA3500">
        <v>40.694309</v>
      </c>
      <c r="AB3500">
        <v>-73.79374799999999</v>
      </c>
      <c r="AD3500" t="s">
        <v>10839</v>
      </c>
      <c r="AG3500" t="s">
        <v>10858</v>
      </c>
      <c r="AH3500" t="s">
        <v>10862</v>
      </c>
      <c r="AI3500">
        <v>237</v>
      </c>
      <c r="AJ3500" t="s">
        <v>10212</v>
      </c>
      <c r="AK3500" t="s">
        <v>10838</v>
      </c>
      <c r="AL3500">
        <v>1.3</v>
      </c>
      <c r="AM3500" t="s">
        <v>10892</v>
      </c>
      <c r="AN3500" t="s">
        <v>10951</v>
      </c>
      <c r="AO3500" t="s">
        <v>11017</v>
      </c>
      <c r="AP3500" t="s">
        <v>11070</v>
      </c>
      <c r="AR3500" t="s">
        <v>11257</v>
      </c>
      <c r="AS3500" t="s">
        <v>11594</v>
      </c>
      <c r="AY3500" t="s">
        <v>10829</v>
      </c>
      <c r="AZ3500" t="s">
        <v>11681</v>
      </c>
      <c r="BA3500" t="s">
        <v>11741</v>
      </c>
      <c r="BB3500">
        <v>0</v>
      </c>
      <c r="BC3500">
        <v>0</v>
      </c>
      <c r="BD3500">
        <v>0</v>
      </c>
      <c r="BE3500">
        <v>0</v>
      </c>
      <c r="BF3500">
        <v>1</v>
      </c>
      <c r="BG3500">
        <v>0</v>
      </c>
    </row>
    <row r="3501" spans="1:59">
      <c r="A3501" s="1">
        <f>HYPERLINK("https://lsnyc.legalserver.org/matter/dynamic-profile/view/1907595","19-1907595")</f>
        <v>0</v>
      </c>
      <c r="B3501" t="s">
        <v>2923</v>
      </c>
      <c r="C3501" t="s">
        <v>7715</v>
      </c>
      <c r="D3501" t="s">
        <v>9928</v>
      </c>
      <c r="E3501" t="s">
        <v>10075</v>
      </c>
      <c r="F3501">
        <v>11212</v>
      </c>
      <c r="G3501" t="s">
        <v>10093</v>
      </c>
      <c r="H3501" t="s">
        <v>10140</v>
      </c>
      <c r="I3501" t="s">
        <v>10168</v>
      </c>
      <c r="J3501" t="s">
        <v>10213</v>
      </c>
      <c r="K3501" t="s">
        <v>10217</v>
      </c>
      <c r="M3501" t="s">
        <v>10280</v>
      </c>
      <c r="N3501" t="s">
        <v>10656</v>
      </c>
      <c r="P3501" t="s">
        <v>10751</v>
      </c>
      <c r="Q3501" t="s">
        <v>10780</v>
      </c>
      <c r="R3501" t="s">
        <v>10824</v>
      </c>
      <c r="T3501">
        <v>7200</v>
      </c>
      <c r="U3501">
        <v>600</v>
      </c>
      <c r="V3501">
        <v>37</v>
      </c>
      <c r="W3501">
        <v>2</v>
      </c>
      <c r="X3501">
        <v>3</v>
      </c>
      <c r="Z3501">
        <v>23.86</v>
      </c>
      <c r="AA3501">
        <v>40.65667</v>
      </c>
      <c r="AB3501">
        <v>-73.90320699999999</v>
      </c>
      <c r="AD3501" t="s">
        <v>10839</v>
      </c>
      <c r="AG3501" t="s">
        <v>10858</v>
      </c>
      <c r="AH3501" t="s">
        <v>10861</v>
      </c>
      <c r="AI3501">
        <v>234</v>
      </c>
      <c r="AJ3501" t="s">
        <v>10214</v>
      </c>
      <c r="AL3501">
        <v>2.8</v>
      </c>
      <c r="AM3501" t="s">
        <v>10889</v>
      </c>
      <c r="AN3501" t="s">
        <v>10946</v>
      </c>
      <c r="AO3501" t="s">
        <v>11012</v>
      </c>
      <c r="AP3501" t="s">
        <v>11060</v>
      </c>
      <c r="AR3501" t="s">
        <v>11511</v>
      </c>
      <c r="AS3501" t="s">
        <v>11595</v>
      </c>
      <c r="AT3501" t="s">
        <v>11641</v>
      </c>
      <c r="AX3501" t="s">
        <v>10838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</row>
    <row r="3502" spans="1:59">
      <c r="A3502" s="1">
        <f>HYPERLINK("https://lsnyc.legalserver.org/matter/dynamic-profile/view/1907596","19-1907596")</f>
        <v>0</v>
      </c>
      <c r="B3502" t="s">
        <v>2924</v>
      </c>
      <c r="C3502" t="s">
        <v>7716</v>
      </c>
      <c r="D3502" t="s">
        <v>9926</v>
      </c>
      <c r="E3502" t="s">
        <v>10075</v>
      </c>
      <c r="F3502">
        <v>10462</v>
      </c>
      <c r="G3502" t="s">
        <v>10090</v>
      </c>
      <c r="H3502" t="s">
        <v>10140</v>
      </c>
      <c r="J3502" t="s">
        <v>10210</v>
      </c>
      <c r="K3502" t="s">
        <v>10217</v>
      </c>
      <c r="M3502" t="s">
        <v>10419</v>
      </c>
      <c r="N3502" t="s">
        <v>10651</v>
      </c>
      <c r="P3502" t="s">
        <v>10749</v>
      </c>
      <c r="Q3502" t="s">
        <v>10765</v>
      </c>
      <c r="R3502" t="s">
        <v>10823</v>
      </c>
      <c r="T3502">
        <v>62400</v>
      </c>
      <c r="U3502">
        <v>5200</v>
      </c>
      <c r="V3502">
        <v>42</v>
      </c>
      <c r="W3502">
        <v>2</v>
      </c>
      <c r="X3502">
        <v>0</v>
      </c>
      <c r="Z3502">
        <v>369.01</v>
      </c>
      <c r="AA3502">
        <v>40.852108</v>
      </c>
      <c r="AB3502">
        <v>-73.866049</v>
      </c>
      <c r="AD3502" t="s">
        <v>10839</v>
      </c>
      <c r="AG3502" t="s">
        <v>10858</v>
      </c>
      <c r="AH3502" t="s">
        <v>10861</v>
      </c>
      <c r="AI3502">
        <v>230</v>
      </c>
      <c r="AJ3502" t="s">
        <v>10210</v>
      </c>
      <c r="AL3502">
        <v>0.1</v>
      </c>
      <c r="AM3502" t="s">
        <v>10885</v>
      </c>
      <c r="AN3502" t="s">
        <v>10938</v>
      </c>
      <c r="AO3502" t="s">
        <v>11002</v>
      </c>
      <c r="AP3502" t="s">
        <v>11049</v>
      </c>
      <c r="AR3502" t="s">
        <v>11257</v>
      </c>
      <c r="AS3502" t="s">
        <v>9926</v>
      </c>
      <c r="AT3502" t="s">
        <v>11641</v>
      </c>
      <c r="AX3502" t="s">
        <v>10838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</row>
    <row r="3503" spans="1:59">
      <c r="A3503" s="1">
        <f>HYPERLINK("https://lsnyc.legalserver.org/matter/dynamic-profile/view/1907597","19-1907597")</f>
        <v>0</v>
      </c>
      <c r="B3503" t="s">
        <v>2925</v>
      </c>
      <c r="C3503" t="s">
        <v>7717</v>
      </c>
      <c r="D3503" t="s">
        <v>9938</v>
      </c>
      <c r="E3503" t="s">
        <v>10075</v>
      </c>
      <c r="F3503">
        <v>11434</v>
      </c>
      <c r="G3503" t="s">
        <v>10092</v>
      </c>
      <c r="H3503" t="s">
        <v>10140</v>
      </c>
      <c r="I3503" t="s">
        <v>10168</v>
      </c>
      <c r="J3503" t="s">
        <v>10212</v>
      </c>
      <c r="K3503" t="s">
        <v>10217</v>
      </c>
      <c r="M3503" t="s">
        <v>10484</v>
      </c>
      <c r="N3503" t="s">
        <v>10693</v>
      </c>
      <c r="P3503" t="s">
        <v>10749</v>
      </c>
      <c r="Q3503" t="s">
        <v>10765</v>
      </c>
      <c r="R3503" t="s">
        <v>10824</v>
      </c>
      <c r="T3503">
        <v>14400</v>
      </c>
      <c r="U3503">
        <v>1200</v>
      </c>
      <c r="V3503">
        <v>33</v>
      </c>
      <c r="W3503">
        <v>1</v>
      </c>
      <c r="X3503">
        <v>1</v>
      </c>
      <c r="Z3503">
        <v>85.16</v>
      </c>
      <c r="AA3503">
        <v>40.666227</v>
      </c>
      <c r="AB3503">
        <v>-73.779124</v>
      </c>
      <c r="AD3503" t="s">
        <v>10839</v>
      </c>
      <c r="AF3503" t="s">
        <v>10843</v>
      </c>
      <c r="AG3503" t="s">
        <v>10859</v>
      </c>
      <c r="AH3503" t="s">
        <v>10862</v>
      </c>
      <c r="AI3503">
        <v>237</v>
      </c>
      <c r="AJ3503" t="s">
        <v>10212</v>
      </c>
      <c r="AL3503">
        <v>11.28</v>
      </c>
      <c r="AM3503" t="s">
        <v>10892</v>
      </c>
      <c r="AN3503" t="s">
        <v>10930</v>
      </c>
      <c r="AO3503" t="s">
        <v>11017</v>
      </c>
      <c r="AP3503" t="s">
        <v>11082</v>
      </c>
      <c r="AR3503" t="s">
        <v>11262</v>
      </c>
      <c r="AS3503" t="s">
        <v>11594</v>
      </c>
      <c r="BA3503" t="s">
        <v>11742</v>
      </c>
      <c r="BB3503">
        <v>0</v>
      </c>
      <c r="BC3503">
        <v>0</v>
      </c>
      <c r="BD3503">
        <v>0</v>
      </c>
      <c r="BE3503">
        <v>0</v>
      </c>
      <c r="BF3503">
        <v>7</v>
      </c>
      <c r="BG3503">
        <v>0</v>
      </c>
    </row>
    <row r="3504" spans="1:59">
      <c r="A3504" s="1">
        <f>HYPERLINK("https://lsnyc.legalserver.org/matter/dynamic-profile/view/1907598","19-1907598")</f>
        <v>0</v>
      </c>
      <c r="B3504" t="s">
        <v>2926</v>
      </c>
      <c r="C3504" t="s">
        <v>7718</v>
      </c>
      <c r="D3504" t="s">
        <v>9938</v>
      </c>
      <c r="E3504" t="s">
        <v>10075</v>
      </c>
      <c r="F3504">
        <v>11433</v>
      </c>
      <c r="G3504" t="s">
        <v>10092</v>
      </c>
      <c r="H3504" t="s">
        <v>10140</v>
      </c>
      <c r="I3504" t="s">
        <v>10168</v>
      </c>
      <c r="J3504" t="s">
        <v>10212</v>
      </c>
      <c r="K3504" t="s">
        <v>10217</v>
      </c>
      <c r="M3504" t="s">
        <v>10347</v>
      </c>
      <c r="N3504" t="s">
        <v>10693</v>
      </c>
      <c r="P3504" t="s">
        <v>10749</v>
      </c>
      <c r="Q3504" t="s">
        <v>10767</v>
      </c>
      <c r="R3504" t="s">
        <v>10824</v>
      </c>
      <c r="T3504">
        <v>29900</v>
      </c>
      <c r="U3504">
        <v>2491.67</v>
      </c>
      <c r="V3504">
        <v>43</v>
      </c>
      <c r="W3504">
        <v>1</v>
      </c>
      <c r="X3504">
        <v>1</v>
      </c>
      <c r="Z3504">
        <v>176.82</v>
      </c>
      <c r="AA3504">
        <v>40.694033</v>
      </c>
      <c r="AB3504">
        <v>-73.793425</v>
      </c>
      <c r="AD3504" t="s">
        <v>10839</v>
      </c>
      <c r="AG3504" t="s">
        <v>10858</v>
      </c>
      <c r="AH3504" t="s">
        <v>10862</v>
      </c>
      <c r="AI3504">
        <v>237</v>
      </c>
      <c r="AJ3504" t="s">
        <v>10212</v>
      </c>
      <c r="AL3504">
        <v>2.1</v>
      </c>
      <c r="AM3504" t="s">
        <v>10892</v>
      </c>
      <c r="AN3504" t="s">
        <v>10951</v>
      </c>
      <c r="AO3504" t="s">
        <v>11017</v>
      </c>
      <c r="AP3504" t="s">
        <v>11070</v>
      </c>
      <c r="AR3504" t="s">
        <v>11257</v>
      </c>
      <c r="AS3504" t="s">
        <v>11594</v>
      </c>
      <c r="BA3504" t="s">
        <v>11738</v>
      </c>
      <c r="BB3504">
        <v>0</v>
      </c>
      <c r="BC3504">
        <v>0</v>
      </c>
      <c r="BD3504">
        <v>0</v>
      </c>
      <c r="BE3504">
        <v>0</v>
      </c>
      <c r="BF3504">
        <v>5</v>
      </c>
      <c r="BG3504">
        <v>0</v>
      </c>
    </row>
    <row r="3505" spans="1:59">
      <c r="A3505" s="1">
        <f>HYPERLINK("https://lsnyc.legalserver.org/matter/dynamic-profile/view/1907599","19-1907599")</f>
        <v>0</v>
      </c>
      <c r="B3505" t="s">
        <v>2927</v>
      </c>
      <c r="C3505" t="s">
        <v>7719</v>
      </c>
      <c r="D3505" t="s">
        <v>9968</v>
      </c>
      <c r="E3505" t="s">
        <v>10075</v>
      </c>
      <c r="F3505">
        <v>11411</v>
      </c>
      <c r="G3505" t="s">
        <v>10092</v>
      </c>
      <c r="H3505" t="s">
        <v>10140</v>
      </c>
      <c r="I3505" t="s">
        <v>10168</v>
      </c>
      <c r="J3505" t="s">
        <v>10212</v>
      </c>
      <c r="K3505" t="s">
        <v>10217</v>
      </c>
      <c r="M3505" t="s">
        <v>10294</v>
      </c>
      <c r="N3505" t="s">
        <v>10682</v>
      </c>
      <c r="P3505" t="s">
        <v>10749</v>
      </c>
      <c r="Q3505" t="s">
        <v>10769</v>
      </c>
      <c r="R3505" t="s">
        <v>10824</v>
      </c>
      <c r="T3505">
        <v>11412</v>
      </c>
      <c r="U3505">
        <v>951</v>
      </c>
      <c r="V3505">
        <v>67</v>
      </c>
      <c r="W3505">
        <v>1</v>
      </c>
      <c r="X3505">
        <v>0</v>
      </c>
      <c r="Z3505">
        <v>91.37</v>
      </c>
      <c r="AA3505">
        <v>40.700777</v>
      </c>
      <c r="AB3505">
        <v>-73.739896</v>
      </c>
      <c r="AD3505" t="s">
        <v>10839</v>
      </c>
      <c r="AG3505" t="s">
        <v>10858</v>
      </c>
      <c r="AH3505" t="s">
        <v>10860</v>
      </c>
      <c r="AI3505">
        <v>237</v>
      </c>
      <c r="AJ3505" t="s">
        <v>10212</v>
      </c>
      <c r="AL3505">
        <v>0.9</v>
      </c>
      <c r="AM3505" t="s">
        <v>10892</v>
      </c>
      <c r="AN3505" t="s">
        <v>10940</v>
      </c>
      <c r="AO3505" t="s">
        <v>11020</v>
      </c>
      <c r="AP3505" t="s">
        <v>11075</v>
      </c>
      <c r="AR3505" t="s">
        <v>11268</v>
      </c>
      <c r="AS3505" t="s">
        <v>11594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</row>
    <row r="3506" spans="1:59">
      <c r="A3506" s="1">
        <f>HYPERLINK("https://lsnyc.legalserver.org/matter/dynamic-profile/view/1907601","19-1907601")</f>
        <v>0</v>
      </c>
      <c r="B3506" t="s">
        <v>2928</v>
      </c>
      <c r="C3506" t="s">
        <v>7720</v>
      </c>
      <c r="D3506" t="s">
        <v>9928</v>
      </c>
      <c r="E3506" t="s">
        <v>10075</v>
      </c>
      <c r="F3506">
        <v>11225</v>
      </c>
      <c r="G3506" t="s">
        <v>10093</v>
      </c>
      <c r="H3506" t="s">
        <v>10140</v>
      </c>
      <c r="I3506" t="s">
        <v>10168</v>
      </c>
      <c r="J3506" t="s">
        <v>10213</v>
      </c>
      <c r="K3506" t="s">
        <v>10218</v>
      </c>
      <c r="L3506" t="s">
        <v>10143</v>
      </c>
      <c r="M3506" t="s">
        <v>10435</v>
      </c>
      <c r="N3506" t="s">
        <v>10665</v>
      </c>
      <c r="P3506" t="s">
        <v>10750</v>
      </c>
      <c r="Q3506" t="s">
        <v>10779</v>
      </c>
      <c r="R3506" t="s">
        <v>10823</v>
      </c>
      <c r="T3506">
        <v>51000</v>
      </c>
      <c r="U3506">
        <v>4250</v>
      </c>
      <c r="V3506">
        <v>36</v>
      </c>
      <c r="W3506">
        <v>2</v>
      </c>
      <c r="X3506">
        <v>1</v>
      </c>
      <c r="Y3506" t="s">
        <v>10829</v>
      </c>
      <c r="Z3506">
        <v>239.1</v>
      </c>
      <c r="AA3506">
        <v>40.657579</v>
      </c>
      <c r="AB3506">
        <v>-73.95863799999999</v>
      </c>
      <c r="AD3506" t="s">
        <v>10839</v>
      </c>
      <c r="AG3506" t="s">
        <v>10858</v>
      </c>
      <c r="AH3506" t="s">
        <v>10861</v>
      </c>
      <c r="AI3506">
        <v>234</v>
      </c>
      <c r="AJ3506" t="s">
        <v>10214</v>
      </c>
      <c r="AK3506" t="s">
        <v>10838</v>
      </c>
      <c r="AL3506">
        <v>1.75</v>
      </c>
      <c r="AM3506" t="s">
        <v>10888</v>
      </c>
      <c r="AN3506" t="s">
        <v>10912</v>
      </c>
      <c r="AO3506" t="s">
        <v>11005</v>
      </c>
      <c r="AP3506" t="s">
        <v>11050</v>
      </c>
      <c r="AR3506" t="s">
        <v>11257</v>
      </c>
      <c r="AS3506" t="s">
        <v>11595</v>
      </c>
      <c r="AT3506" t="s">
        <v>11641</v>
      </c>
      <c r="AX3506" t="s">
        <v>10838</v>
      </c>
      <c r="AY3506" t="s">
        <v>10829</v>
      </c>
      <c r="AZ3506" t="s">
        <v>11679</v>
      </c>
      <c r="BA3506" t="s">
        <v>11741</v>
      </c>
      <c r="BB3506">
        <v>0</v>
      </c>
      <c r="BC3506">
        <v>0</v>
      </c>
      <c r="BD3506">
        <v>0</v>
      </c>
      <c r="BE3506">
        <v>0</v>
      </c>
      <c r="BF3506">
        <v>1</v>
      </c>
      <c r="BG3506">
        <v>0</v>
      </c>
    </row>
    <row r="3507" spans="1:59">
      <c r="A3507" s="1">
        <f>HYPERLINK("https://lsnyc.legalserver.org/matter/dynamic-profile/view/1907602","19-1907602")</f>
        <v>0</v>
      </c>
      <c r="B3507" t="s">
        <v>2929</v>
      </c>
      <c r="C3507" t="s">
        <v>7721</v>
      </c>
      <c r="D3507" t="s">
        <v>9940</v>
      </c>
      <c r="E3507" t="s">
        <v>10075</v>
      </c>
      <c r="F3507">
        <v>11421</v>
      </c>
      <c r="G3507" t="s">
        <v>10092</v>
      </c>
      <c r="H3507" t="s">
        <v>10140</v>
      </c>
      <c r="I3507" t="s">
        <v>10169</v>
      </c>
      <c r="J3507" t="s">
        <v>10212</v>
      </c>
      <c r="K3507" t="s">
        <v>10217</v>
      </c>
      <c r="M3507" t="s">
        <v>10363</v>
      </c>
      <c r="N3507" t="s">
        <v>10706</v>
      </c>
      <c r="P3507" t="s">
        <v>10751</v>
      </c>
      <c r="Q3507" t="s">
        <v>10761</v>
      </c>
      <c r="R3507" t="s">
        <v>10821</v>
      </c>
      <c r="T3507">
        <v>10728</v>
      </c>
      <c r="U3507">
        <v>894</v>
      </c>
      <c r="V3507">
        <v>51</v>
      </c>
      <c r="W3507">
        <v>2</v>
      </c>
      <c r="X3507">
        <v>2</v>
      </c>
      <c r="Z3507">
        <v>41.66</v>
      </c>
      <c r="AA3507">
        <v>40.693677</v>
      </c>
      <c r="AB3507">
        <v>-73.850876</v>
      </c>
      <c r="AD3507" t="s">
        <v>10840</v>
      </c>
      <c r="AG3507" t="s">
        <v>10858</v>
      </c>
      <c r="AH3507" t="s">
        <v>10861</v>
      </c>
      <c r="AI3507">
        <v>234</v>
      </c>
      <c r="AJ3507" t="s">
        <v>10214</v>
      </c>
      <c r="AL3507">
        <v>5.9</v>
      </c>
      <c r="AM3507" t="s">
        <v>10886</v>
      </c>
      <c r="AN3507" t="s">
        <v>10945</v>
      </c>
      <c r="AO3507" t="s">
        <v>11017</v>
      </c>
      <c r="AP3507" t="s">
        <v>11088</v>
      </c>
      <c r="AR3507" t="s">
        <v>11344</v>
      </c>
      <c r="AS3507" t="s">
        <v>11594</v>
      </c>
      <c r="AT3507" t="s">
        <v>11641</v>
      </c>
      <c r="AX3507" t="s">
        <v>10838</v>
      </c>
      <c r="BA3507" t="s">
        <v>11741</v>
      </c>
      <c r="BB3507">
        <v>0</v>
      </c>
      <c r="BC3507">
        <v>0</v>
      </c>
      <c r="BD3507">
        <v>0</v>
      </c>
      <c r="BE3507">
        <v>0</v>
      </c>
      <c r="BF3507">
        <v>1</v>
      </c>
      <c r="BG3507">
        <v>0</v>
      </c>
    </row>
    <row r="3508" spans="1:59">
      <c r="A3508" s="1">
        <f>HYPERLINK("https://lsnyc.legalserver.org/matter/dynamic-profile/view/1907603","19-1907603")</f>
        <v>0</v>
      </c>
      <c r="B3508" t="s">
        <v>2930</v>
      </c>
      <c r="C3508" t="s">
        <v>7722</v>
      </c>
      <c r="D3508" t="s">
        <v>9926</v>
      </c>
      <c r="E3508" t="s">
        <v>10075</v>
      </c>
      <c r="F3508">
        <v>10455</v>
      </c>
      <c r="G3508" t="s">
        <v>10090</v>
      </c>
      <c r="H3508" t="s">
        <v>10140</v>
      </c>
      <c r="I3508" t="s">
        <v>10169</v>
      </c>
      <c r="J3508" t="s">
        <v>10210</v>
      </c>
      <c r="K3508" t="s">
        <v>10217</v>
      </c>
      <c r="M3508" t="s">
        <v>10353</v>
      </c>
      <c r="N3508" t="s">
        <v>10682</v>
      </c>
      <c r="P3508" t="s">
        <v>10751</v>
      </c>
      <c r="Q3508" t="s">
        <v>10780</v>
      </c>
      <c r="R3508" t="s">
        <v>10821</v>
      </c>
      <c r="T3508">
        <v>9072</v>
      </c>
      <c r="U3508">
        <v>756</v>
      </c>
      <c r="V3508">
        <v>56</v>
      </c>
      <c r="W3508">
        <v>1</v>
      </c>
      <c r="X3508">
        <v>0</v>
      </c>
      <c r="Z3508">
        <v>72.63</v>
      </c>
      <c r="AA3508">
        <v>40.819157</v>
      </c>
      <c r="AB3508">
        <v>-73.911295</v>
      </c>
      <c r="AD3508" t="s">
        <v>10839</v>
      </c>
      <c r="AG3508" t="s">
        <v>10858</v>
      </c>
      <c r="AH3508" t="s">
        <v>10861</v>
      </c>
      <c r="AI3508">
        <v>230</v>
      </c>
      <c r="AJ3508" t="s">
        <v>10210</v>
      </c>
      <c r="AL3508">
        <v>0.5</v>
      </c>
      <c r="AM3508" t="s">
        <v>10884</v>
      </c>
      <c r="AN3508" t="s">
        <v>10918</v>
      </c>
      <c r="AO3508" t="s">
        <v>11001</v>
      </c>
      <c r="AP3508" t="s">
        <v>11062</v>
      </c>
      <c r="AQ3508" t="s">
        <v>11150</v>
      </c>
      <c r="AR3508" t="s">
        <v>11263</v>
      </c>
      <c r="AS3508" t="s">
        <v>9926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</row>
    <row r="3509" spans="1:59">
      <c r="A3509" s="1">
        <f>HYPERLINK("https://lsnyc.legalserver.org/matter/dynamic-profile/view/1907604","19-1907604")</f>
        <v>0</v>
      </c>
      <c r="B3509" t="s">
        <v>2931</v>
      </c>
      <c r="C3509" t="s">
        <v>7723</v>
      </c>
      <c r="D3509" t="s">
        <v>9982</v>
      </c>
      <c r="E3509" t="s">
        <v>10075</v>
      </c>
      <c r="F3509">
        <v>11375</v>
      </c>
      <c r="G3509" t="s">
        <v>10092</v>
      </c>
      <c r="H3509" t="s">
        <v>10140</v>
      </c>
      <c r="I3509" t="s">
        <v>10168</v>
      </c>
      <c r="J3509" t="s">
        <v>10212</v>
      </c>
      <c r="K3509" t="s">
        <v>10217</v>
      </c>
      <c r="M3509" t="s">
        <v>10410</v>
      </c>
      <c r="N3509" t="s">
        <v>10695</v>
      </c>
      <c r="P3509" t="s">
        <v>10749</v>
      </c>
      <c r="Q3509" t="s">
        <v>10765</v>
      </c>
      <c r="R3509" t="s">
        <v>10820</v>
      </c>
      <c r="T3509">
        <v>15600</v>
      </c>
      <c r="U3509">
        <v>1300</v>
      </c>
      <c r="V3509">
        <v>78</v>
      </c>
      <c r="W3509">
        <v>1</v>
      </c>
      <c r="X3509">
        <v>0</v>
      </c>
      <c r="Z3509">
        <v>124.9</v>
      </c>
      <c r="AA3509">
        <v>40.716011</v>
      </c>
      <c r="AB3509">
        <v>-73.83373</v>
      </c>
      <c r="AC3509" t="s">
        <v>10837</v>
      </c>
      <c r="AD3509" t="s">
        <v>10840</v>
      </c>
      <c r="AG3509" t="s">
        <v>10858</v>
      </c>
      <c r="AH3509" t="s">
        <v>10862</v>
      </c>
      <c r="AI3509">
        <v>237</v>
      </c>
      <c r="AJ3509" t="s">
        <v>10212</v>
      </c>
      <c r="AL3509">
        <v>1.3</v>
      </c>
      <c r="AM3509" t="s">
        <v>10890</v>
      </c>
      <c r="AN3509" t="s">
        <v>10952</v>
      </c>
      <c r="AO3509" t="s">
        <v>11024</v>
      </c>
      <c r="AP3509" t="s">
        <v>11083</v>
      </c>
      <c r="AR3509" t="s">
        <v>11268</v>
      </c>
      <c r="AS3509" t="s">
        <v>11594</v>
      </c>
      <c r="BA3509" t="s">
        <v>11742</v>
      </c>
      <c r="BB3509">
        <v>0</v>
      </c>
      <c r="BC3509">
        <v>0</v>
      </c>
      <c r="BD3509">
        <v>0</v>
      </c>
      <c r="BE3509">
        <v>0</v>
      </c>
      <c r="BF3509">
        <v>7</v>
      </c>
      <c r="BG3509">
        <v>0</v>
      </c>
    </row>
    <row r="3510" spans="1:59">
      <c r="A3510" s="1">
        <f>HYPERLINK("https://lsnyc.legalserver.org/matter/dynamic-profile/view/1907605","19-1907605")</f>
        <v>0</v>
      </c>
      <c r="B3510" t="s">
        <v>514</v>
      </c>
      <c r="C3510" t="s">
        <v>7724</v>
      </c>
      <c r="D3510" t="s">
        <v>10031</v>
      </c>
      <c r="E3510" t="s">
        <v>10078</v>
      </c>
      <c r="F3510">
        <v>33145</v>
      </c>
      <c r="G3510" t="s">
        <v>10093</v>
      </c>
      <c r="H3510" t="s">
        <v>10140</v>
      </c>
      <c r="I3510" t="s">
        <v>10168</v>
      </c>
      <c r="J3510" t="s">
        <v>10213</v>
      </c>
      <c r="K3510" t="s">
        <v>10218</v>
      </c>
      <c r="L3510" t="s">
        <v>10156</v>
      </c>
      <c r="M3510" t="s">
        <v>10330</v>
      </c>
      <c r="N3510" t="s">
        <v>10710</v>
      </c>
      <c r="P3510" t="s">
        <v>10750</v>
      </c>
      <c r="Q3510" t="s">
        <v>10760</v>
      </c>
      <c r="R3510" t="s">
        <v>10820</v>
      </c>
      <c r="T3510">
        <v>72000</v>
      </c>
      <c r="U3510">
        <v>6000</v>
      </c>
      <c r="V3510">
        <v>58</v>
      </c>
      <c r="W3510">
        <v>2</v>
      </c>
      <c r="X3510">
        <v>0</v>
      </c>
      <c r="Y3510" t="s">
        <v>10829</v>
      </c>
      <c r="Z3510">
        <v>425.78</v>
      </c>
      <c r="AA3510">
        <v>25.751822</v>
      </c>
      <c r="AB3510">
        <v>-80.251408</v>
      </c>
      <c r="AD3510" t="s">
        <v>10840</v>
      </c>
      <c r="AG3510" t="s">
        <v>10858</v>
      </c>
      <c r="AH3510" t="s">
        <v>10861</v>
      </c>
      <c r="AI3510">
        <v>234</v>
      </c>
      <c r="AJ3510" t="s">
        <v>10214</v>
      </c>
      <c r="AK3510" t="s">
        <v>10838</v>
      </c>
      <c r="AL3510">
        <v>2.95</v>
      </c>
      <c r="AR3510" t="s">
        <v>11276</v>
      </c>
      <c r="AS3510" t="s">
        <v>11627</v>
      </c>
      <c r="AT3510" t="s">
        <v>11642</v>
      </c>
      <c r="AX3510" t="s">
        <v>10837</v>
      </c>
      <c r="AY3510" t="s">
        <v>10829</v>
      </c>
      <c r="AZ3510" t="s">
        <v>11679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</row>
    <row r="3511" spans="1:59">
      <c r="A3511" s="1">
        <f>HYPERLINK("https://lsnyc.legalserver.org/matter/dynamic-profile/view/1907606","19-1907606")</f>
        <v>0</v>
      </c>
      <c r="B3511" t="s">
        <v>2200</v>
      </c>
      <c r="C3511" t="s">
        <v>7725</v>
      </c>
      <c r="D3511" t="s">
        <v>9931</v>
      </c>
      <c r="E3511" t="s">
        <v>10075</v>
      </c>
      <c r="F3511">
        <v>11367</v>
      </c>
      <c r="G3511" t="s">
        <v>10092</v>
      </c>
      <c r="H3511" t="s">
        <v>10140</v>
      </c>
      <c r="J3511" t="s">
        <v>10212</v>
      </c>
      <c r="K3511" t="s">
        <v>10217</v>
      </c>
      <c r="M3511" t="s">
        <v>10410</v>
      </c>
      <c r="N3511" t="s">
        <v>10695</v>
      </c>
      <c r="P3511" t="s">
        <v>10749</v>
      </c>
      <c r="Q3511" t="s">
        <v>10765</v>
      </c>
      <c r="R3511" t="s">
        <v>10820</v>
      </c>
      <c r="T3511">
        <v>29292</v>
      </c>
      <c r="U3511">
        <v>2441</v>
      </c>
      <c r="V3511">
        <v>67</v>
      </c>
      <c r="W3511">
        <v>1</v>
      </c>
      <c r="X3511">
        <v>0</v>
      </c>
      <c r="Z3511">
        <v>234.52</v>
      </c>
      <c r="AA3511">
        <v>40.728188</v>
      </c>
      <c r="AB3511">
        <v>-73.81967899999999</v>
      </c>
      <c r="AD3511" t="s">
        <v>10839</v>
      </c>
      <c r="AG3511" t="s">
        <v>10858</v>
      </c>
      <c r="AH3511" t="s">
        <v>10862</v>
      </c>
      <c r="AI3511">
        <v>237</v>
      </c>
      <c r="AJ3511" t="s">
        <v>10212</v>
      </c>
      <c r="AL3511">
        <v>5.7</v>
      </c>
      <c r="AM3511" t="s">
        <v>10890</v>
      </c>
      <c r="AN3511" t="s">
        <v>10962</v>
      </c>
      <c r="AO3511" t="s">
        <v>11009</v>
      </c>
      <c r="AP3511" t="s">
        <v>11081</v>
      </c>
      <c r="AR3511" t="s">
        <v>11355</v>
      </c>
      <c r="AS3511" t="s">
        <v>11594</v>
      </c>
      <c r="AX3511" t="s">
        <v>10838</v>
      </c>
      <c r="BA3511" t="s">
        <v>11741</v>
      </c>
      <c r="BB3511">
        <v>0</v>
      </c>
      <c r="BC3511">
        <v>0</v>
      </c>
      <c r="BD3511">
        <v>0</v>
      </c>
      <c r="BE3511">
        <v>0</v>
      </c>
      <c r="BF3511">
        <v>1</v>
      </c>
      <c r="BG3511">
        <v>0</v>
      </c>
    </row>
    <row r="3512" spans="1:59">
      <c r="A3512" s="1">
        <f>HYPERLINK("https://lsnyc.legalserver.org/matter/dynamic-profile/view/1907608","19-1907608")</f>
        <v>0</v>
      </c>
      <c r="B3512" t="s">
        <v>2932</v>
      </c>
      <c r="C3512" t="s">
        <v>6590</v>
      </c>
      <c r="D3512" t="s">
        <v>9926</v>
      </c>
      <c r="E3512" t="s">
        <v>10075</v>
      </c>
      <c r="F3512">
        <v>10474</v>
      </c>
      <c r="G3512" t="s">
        <v>10090</v>
      </c>
      <c r="H3512" t="s">
        <v>10120</v>
      </c>
      <c r="I3512" t="s">
        <v>10168</v>
      </c>
      <c r="J3512" t="s">
        <v>10210</v>
      </c>
      <c r="K3512" t="s">
        <v>10217</v>
      </c>
      <c r="M3512" t="s">
        <v>10517</v>
      </c>
      <c r="N3512" t="s">
        <v>10650</v>
      </c>
      <c r="P3512" t="s">
        <v>10749</v>
      </c>
      <c r="Q3512" t="s">
        <v>10765</v>
      </c>
      <c r="R3512" t="s">
        <v>10821</v>
      </c>
      <c r="T3512">
        <v>42588</v>
      </c>
      <c r="U3512">
        <v>3549</v>
      </c>
      <c r="V3512">
        <v>39</v>
      </c>
      <c r="W3512">
        <v>1</v>
      </c>
      <c r="X3512">
        <v>2</v>
      </c>
      <c r="Z3512">
        <v>199.66</v>
      </c>
      <c r="AA3512">
        <v>40.816635</v>
      </c>
      <c r="AB3512">
        <v>-73.886374</v>
      </c>
      <c r="AD3512" t="s">
        <v>10839</v>
      </c>
      <c r="AG3512" t="s">
        <v>10858</v>
      </c>
      <c r="AH3512" t="s">
        <v>10862</v>
      </c>
      <c r="AI3512">
        <v>230</v>
      </c>
      <c r="AJ3512" t="s">
        <v>10210</v>
      </c>
      <c r="AL3512">
        <v>0</v>
      </c>
      <c r="AM3512" t="s">
        <v>10884</v>
      </c>
      <c r="AN3512" t="s">
        <v>10924</v>
      </c>
      <c r="AO3512" t="s">
        <v>11001</v>
      </c>
      <c r="AP3512" t="s">
        <v>11062</v>
      </c>
      <c r="AR3512" t="s">
        <v>11257</v>
      </c>
      <c r="AS3512" t="s">
        <v>9926</v>
      </c>
      <c r="AT3512" t="s">
        <v>11641</v>
      </c>
      <c r="AX3512" t="s">
        <v>10838</v>
      </c>
      <c r="BA3512" t="s">
        <v>11738</v>
      </c>
      <c r="BB3512">
        <v>0</v>
      </c>
      <c r="BC3512">
        <v>0</v>
      </c>
      <c r="BD3512">
        <v>0</v>
      </c>
      <c r="BE3512">
        <v>0</v>
      </c>
      <c r="BF3512">
        <v>5</v>
      </c>
      <c r="BG3512">
        <v>0</v>
      </c>
    </row>
    <row r="3513" spans="1:59">
      <c r="A3513" s="1">
        <f>HYPERLINK("https://lsnyc.legalserver.org/matter/dynamic-profile/view/1907609","19-1907609")</f>
        <v>0</v>
      </c>
      <c r="B3513" t="s">
        <v>2920</v>
      </c>
      <c r="C3513" t="s">
        <v>7712</v>
      </c>
      <c r="D3513" t="s">
        <v>9928</v>
      </c>
      <c r="E3513" t="s">
        <v>10075</v>
      </c>
      <c r="F3513">
        <v>11210</v>
      </c>
      <c r="G3513" t="s">
        <v>10093</v>
      </c>
      <c r="H3513" t="s">
        <v>10140</v>
      </c>
      <c r="I3513" t="s">
        <v>10177</v>
      </c>
      <c r="J3513" t="s">
        <v>10213</v>
      </c>
      <c r="K3513" t="s">
        <v>10217</v>
      </c>
      <c r="M3513" t="s">
        <v>10239</v>
      </c>
      <c r="N3513" t="s">
        <v>10650</v>
      </c>
      <c r="P3513" t="s">
        <v>10749</v>
      </c>
      <c r="Q3513" t="s">
        <v>10765</v>
      </c>
      <c r="R3513" t="s">
        <v>10824</v>
      </c>
      <c r="T3513">
        <v>31200</v>
      </c>
      <c r="U3513">
        <v>2600</v>
      </c>
      <c r="V3513">
        <v>73</v>
      </c>
      <c r="W3513">
        <v>6</v>
      </c>
      <c r="X3513">
        <v>2</v>
      </c>
      <c r="Z3513">
        <v>71.84</v>
      </c>
      <c r="AA3513">
        <v>40.632167</v>
      </c>
      <c r="AB3513">
        <v>-73.94300800000001</v>
      </c>
      <c r="AD3513" t="s">
        <v>10840</v>
      </c>
      <c r="AG3513" t="s">
        <v>10858</v>
      </c>
      <c r="AH3513" t="s">
        <v>10862</v>
      </c>
      <c r="AI3513">
        <v>239</v>
      </c>
      <c r="AJ3513" t="s">
        <v>10213</v>
      </c>
      <c r="AL3513">
        <v>0</v>
      </c>
      <c r="AM3513" t="s">
        <v>10888</v>
      </c>
      <c r="AN3513" t="s">
        <v>10925</v>
      </c>
      <c r="AO3513" t="s">
        <v>11008</v>
      </c>
      <c r="AP3513" t="s">
        <v>11065</v>
      </c>
      <c r="AR3513" t="s">
        <v>11287</v>
      </c>
      <c r="AS3513" t="s">
        <v>11595</v>
      </c>
      <c r="BA3513" t="s">
        <v>11737</v>
      </c>
      <c r="BB3513">
        <v>0</v>
      </c>
      <c r="BC3513">
        <v>0</v>
      </c>
      <c r="BD3513">
        <v>0</v>
      </c>
      <c r="BE3513">
        <v>0</v>
      </c>
      <c r="BF3513">
        <v>3</v>
      </c>
      <c r="BG3513">
        <v>0</v>
      </c>
    </row>
    <row r="3514" spans="1:59">
      <c r="A3514" s="1">
        <f>HYPERLINK("https://lsnyc.legalserver.org/matter/dynamic-profile/view/1907610","19-1907610")</f>
        <v>0</v>
      </c>
      <c r="B3514" t="s">
        <v>2933</v>
      </c>
      <c r="C3514" t="s">
        <v>7726</v>
      </c>
      <c r="D3514" t="s">
        <v>9926</v>
      </c>
      <c r="E3514" t="s">
        <v>10075</v>
      </c>
      <c r="F3514">
        <v>10467</v>
      </c>
      <c r="G3514" t="s">
        <v>10090</v>
      </c>
      <c r="H3514" t="s">
        <v>10140</v>
      </c>
      <c r="J3514" t="s">
        <v>10210</v>
      </c>
      <c r="K3514" t="s">
        <v>10217</v>
      </c>
      <c r="M3514" t="s">
        <v>10511</v>
      </c>
      <c r="N3514" t="s">
        <v>10651</v>
      </c>
      <c r="P3514" t="s">
        <v>10749</v>
      </c>
      <c r="Q3514" t="s">
        <v>10765</v>
      </c>
      <c r="R3514" t="s">
        <v>10824</v>
      </c>
      <c r="T3514">
        <v>9252</v>
      </c>
      <c r="U3514">
        <v>771</v>
      </c>
      <c r="V3514">
        <v>43</v>
      </c>
      <c r="W3514">
        <v>1</v>
      </c>
      <c r="X3514">
        <v>0</v>
      </c>
      <c r="Z3514">
        <v>74.08</v>
      </c>
      <c r="AA3514">
        <v>40.878235</v>
      </c>
      <c r="AB3514">
        <v>-73.86287799999999</v>
      </c>
      <c r="AD3514" t="s">
        <v>10839</v>
      </c>
      <c r="AG3514" t="s">
        <v>10858</v>
      </c>
      <c r="AH3514" t="s">
        <v>10861</v>
      </c>
      <c r="AI3514">
        <v>230</v>
      </c>
      <c r="AJ3514" t="s">
        <v>10210</v>
      </c>
      <c r="AL3514">
        <v>1.5</v>
      </c>
      <c r="AM3514" t="s">
        <v>10893</v>
      </c>
      <c r="AN3514" t="s">
        <v>10956</v>
      </c>
      <c r="AO3514" t="s">
        <v>11010</v>
      </c>
      <c r="AP3514" t="s">
        <v>11085</v>
      </c>
      <c r="AR3514" t="s">
        <v>11263</v>
      </c>
      <c r="AS3514" t="s">
        <v>9926</v>
      </c>
      <c r="AT3514" t="s">
        <v>11641</v>
      </c>
      <c r="AX3514" t="s">
        <v>10838</v>
      </c>
      <c r="BA3514" t="s">
        <v>11738</v>
      </c>
      <c r="BB3514">
        <v>0</v>
      </c>
      <c r="BC3514">
        <v>0</v>
      </c>
      <c r="BD3514">
        <v>0</v>
      </c>
      <c r="BE3514">
        <v>0</v>
      </c>
      <c r="BF3514">
        <v>5</v>
      </c>
      <c r="BG3514">
        <v>0</v>
      </c>
    </row>
    <row r="3515" spans="1:59">
      <c r="A3515" s="1">
        <f>HYPERLINK("https://lsnyc.legalserver.org/matter/dynamic-profile/view/1907611","19-1907611")</f>
        <v>0</v>
      </c>
      <c r="B3515" t="s">
        <v>2934</v>
      </c>
      <c r="C3515" t="s">
        <v>7727</v>
      </c>
      <c r="D3515" t="s">
        <v>9928</v>
      </c>
      <c r="E3515" t="s">
        <v>10075</v>
      </c>
      <c r="F3515">
        <v>11211</v>
      </c>
      <c r="G3515" t="s">
        <v>10091</v>
      </c>
      <c r="H3515" t="s">
        <v>10140</v>
      </c>
      <c r="I3515" t="s">
        <v>10168</v>
      </c>
      <c r="J3515" t="s">
        <v>10211</v>
      </c>
      <c r="K3515" t="s">
        <v>10217</v>
      </c>
      <c r="M3515" t="s">
        <v>10307</v>
      </c>
      <c r="N3515" t="s">
        <v>10671</v>
      </c>
      <c r="P3515" t="s">
        <v>10752</v>
      </c>
      <c r="Q3515" t="s">
        <v>10762</v>
      </c>
      <c r="R3515" t="s">
        <v>10825</v>
      </c>
      <c r="T3515">
        <v>0</v>
      </c>
      <c r="U3515">
        <v>0</v>
      </c>
      <c r="V3515">
        <v>43</v>
      </c>
      <c r="W3515">
        <v>2</v>
      </c>
      <c r="X3515">
        <v>0</v>
      </c>
      <c r="Z3515">
        <v>0</v>
      </c>
      <c r="AA3515">
        <v>40.716931</v>
      </c>
      <c r="AB3515">
        <v>-73.95092</v>
      </c>
      <c r="AD3515" t="s">
        <v>10839</v>
      </c>
      <c r="AG3515" t="s">
        <v>10858</v>
      </c>
      <c r="AH3515" t="s">
        <v>10861</v>
      </c>
      <c r="AI3515">
        <v>234</v>
      </c>
      <c r="AJ3515" t="s">
        <v>10214</v>
      </c>
      <c r="AL3515">
        <v>0.5</v>
      </c>
      <c r="AM3515" t="s">
        <v>10891</v>
      </c>
      <c r="AN3515" t="s">
        <v>10939</v>
      </c>
      <c r="AO3515" t="s">
        <v>11011</v>
      </c>
      <c r="AP3515" t="s">
        <v>11054</v>
      </c>
      <c r="AR3515" t="s">
        <v>11267</v>
      </c>
      <c r="AS3515" t="s">
        <v>11595</v>
      </c>
      <c r="AT3515" t="s">
        <v>11641</v>
      </c>
      <c r="AX3515" t="s">
        <v>10837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</row>
    <row r="3516" spans="1:59">
      <c r="A3516" s="1">
        <f>HYPERLINK("https://lsnyc.legalserver.org/matter/dynamic-profile/view/1907612","19-1907612")</f>
        <v>0</v>
      </c>
      <c r="B3516" t="s">
        <v>2935</v>
      </c>
      <c r="C3516" t="s">
        <v>7728</v>
      </c>
      <c r="D3516" t="s">
        <v>9938</v>
      </c>
      <c r="E3516" t="s">
        <v>10075</v>
      </c>
      <c r="F3516">
        <v>11433</v>
      </c>
      <c r="G3516" t="s">
        <v>10092</v>
      </c>
      <c r="H3516" t="s">
        <v>10140</v>
      </c>
      <c r="I3516" t="s">
        <v>10168</v>
      </c>
      <c r="J3516" t="s">
        <v>10212</v>
      </c>
      <c r="K3516" t="s">
        <v>10217</v>
      </c>
      <c r="M3516" t="s">
        <v>10347</v>
      </c>
      <c r="N3516" t="s">
        <v>10693</v>
      </c>
      <c r="P3516" t="s">
        <v>10749</v>
      </c>
      <c r="Q3516" t="s">
        <v>10767</v>
      </c>
      <c r="R3516" t="s">
        <v>10824</v>
      </c>
      <c r="T3516">
        <v>44000</v>
      </c>
      <c r="U3516">
        <v>3666.67</v>
      </c>
      <c r="V3516">
        <v>39</v>
      </c>
      <c r="W3516">
        <v>2</v>
      </c>
      <c r="X3516">
        <v>1</v>
      </c>
      <c r="Z3516">
        <v>206.28</v>
      </c>
      <c r="AA3516">
        <v>40.693698</v>
      </c>
      <c r="AB3516">
        <v>-73.792123</v>
      </c>
      <c r="AD3516" t="s">
        <v>10839</v>
      </c>
      <c r="AG3516" t="s">
        <v>10858</v>
      </c>
      <c r="AH3516" t="s">
        <v>10862</v>
      </c>
      <c r="AI3516">
        <v>237</v>
      </c>
      <c r="AJ3516" t="s">
        <v>10212</v>
      </c>
      <c r="AL3516">
        <v>1.98</v>
      </c>
      <c r="AM3516" t="s">
        <v>10892</v>
      </c>
      <c r="AN3516" t="s">
        <v>10951</v>
      </c>
      <c r="AO3516" t="s">
        <v>11017</v>
      </c>
      <c r="AP3516" t="s">
        <v>11070</v>
      </c>
      <c r="AR3516" t="s">
        <v>11257</v>
      </c>
      <c r="AS3516" t="s">
        <v>11594</v>
      </c>
      <c r="BA3516" t="s">
        <v>11738</v>
      </c>
      <c r="BB3516">
        <v>0</v>
      </c>
      <c r="BC3516">
        <v>0</v>
      </c>
      <c r="BD3516">
        <v>0</v>
      </c>
      <c r="BE3516">
        <v>0</v>
      </c>
      <c r="BF3516">
        <v>5</v>
      </c>
      <c r="BG3516">
        <v>0</v>
      </c>
    </row>
    <row r="3517" spans="1:59">
      <c r="A3517" s="1">
        <f>HYPERLINK("https://lsnyc.legalserver.org/matter/dynamic-profile/view/1907613","19-1907613")</f>
        <v>0</v>
      </c>
      <c r="B3517" t="s">
        <v>2936</v>
      </c>
      <c r="C3517" t="s">
        <v>7729</v>
      </c>
      <c r="D3517" t="s">
        <v>9938</v>
      </c>
      <c r="E3517" t="s">
        <v>10075</v>
      </c>
      <c r="F3517">
        <v>11433</v>
      </c>
      <c r="G3517" t="s">
        <v>10092</v>
      </c>
      <c r="H3517" t="s">
        <v>10140</v>
      </c>
      <c r="I3517" t="s">
        <v>10168</v>
      </c>
      <c r="J3517" t="s">
        <v>10212</v>
      </c>
      <c r="K3517" t="s">
        <v>10217</v>
      </c>
      <c r="M3517" t="s">
        <v>10347</v>
      </c>
      <c r="N3517" t="s">
        <v>10693</v>
      </c>
      <c r="P3517" t="s">
        <v>10749</v>
      </c>
      <c r="Q3517" t="s">
        <v>10765</v>
      </c>
      <c r="R3517" t="s">
        <v>10824</v>
      </c>
      <c r="T3517">
        <v>20000</v>
      </c>
      <c r="U3517">
        <v>1666.67</v>
      </c>
      <c r="V3517">
        <v>58</v>
      </c>
      <c r="W3517">
        <v>2</v>
      </c>
      <c r="X3517">
        <v>3</v>
      </c>
      <c r="Z3517">
        <v>66.29000000000001</v>
      </c>
      <c r="AA3517">
        <v>40.703929</v>
      </c>
      <c r="AB3517">
        <v>-73.780925</v>
      </c>
      <c r="AD3517" t="s">
        <v>10840</v>
      </c>
      <c r="AG3517" t="s">
        <v>10858</v>
      </c>
      <c r="AH3517" t="s">
        <v>10862</v>
      </c>
      <c r="AI3517">
        <v>237</v>
      </c>
      <c r="AJ3517" t="s">
        <v>10212</v>
      </c>
      <c r="AL3517">
        <v>3.53</v>
      </c>
      <c r="AM3517" t="s">
        <v>10892</v>
      </c>
      <c r="AN3517" t="s">
        <v>10955</v>
      </c>
      <c r="AO3517" t="s">
        <v>11020</v>
      </c>
      <c r="AP3517" t="s">
        <v>11075</v>
      </c>
      <c r="AR3517" t="s">
        <v>11257</v>
      </c>
      <c r="AS3517" t="s">
        <v>11594</v>
      </c>
      <c r="BA3517" t="s">
        <v>11738</v>
      </c>
      <c r="BB3517">
        <v>0</v>
      </c>
      <c r="BC3517">
        <v>0</v>
      </c>
      <c r="BD3517">
        <v>0</v>
      </c>
      <c r="BE3517">
        <v>0</v>
      </c>
      <c r="BF3517">
        <v>5</v>
      </c>
      <c r="BG3517">
        <v>0</v>
      </c>
    </row>
    <row r="3518" spans="1:59">
      <c r="A3518" s="1">
        <f>HYPERLINK("https://lsnyc.legalserver.org/matter/dynamic-profile/view/1907614","19-1907614")</f>
        <v>0</v>
      </c>
      <c r="B3518" t="s">
        <v>2937</v>
      </c>
      <c r="C3518" t="s">
        <v>5647</v>
      </c>
      <c r="D3518" t="s">
        <v>9926</v>
      </c>
      <c r="E3518" t="s">
        <v>10075</v>
      </c>
      <c r="F3518">
        <v>10467</v>
      </c>
      <c r="G3518" t="s">
        <v>10090</v>
      </c>
      <c r="H3518" t="s">
        <v>10140</v>
      </c>
      <c r="I3518" t="s">
        <v>10168</v>
      </c>
      <c r="J3518" t="s">
        <v>10210</v>
      </c>
      <c r="K3518" t="s">
        <v>10218</v>
      </c>
      <c r="L3518" t="s">
        <v>10101</v>
      </c>
      <c r="M3518" t="s">
        <v>10372</v>
      </c>
      <c r="N3518" t="s">
        <v>10677</v>
      </c>
      <c r="P3518" t="s">
        <v>10754</v>
      </c>
      <c r="Q3518" t="s">
        <v>10775</v>
      </c>
      <c r="R3518" t="s">
        <v>10822</v>
      </c>
      <c r="T3518">
        <v>30000</v>
      </c>
      <c r="U3518">
        <v>2500</v>
      </c>
      <c r="V3518">
        <v>86</v>
      </c>
      <c r="W3518">
        <v>1</v>
      </c>
      <c r="X3518">
        <v>0</v>
      </c>
      <c r="Y3518" t="s">
        <v>10829</v>
      </c>
      <c r="Z3518">
        <v>240.19</v>
      </c>
      <c r="AA3518">
        <v>40.8793</v>
      </c>
      <c r="AB3518">
        <v>-73.87622500000001</v>
      </c>
      <c r="AD3518" t="s">
        <v>10840</v>
      </c>
      <c r="AG3518" t="s">
        <v>10858</v>
      </c>
      <c r="AH3518" t="s">
        <v>10869</v>
      </c>
      <c r="AI3518">
        <v>230</v>
      </c>
      <c r="AJ3518" t="s">
        <v>10210</v>
      </c>
      <c r="AK3518" t="s">
        <v>10882</v>
      </c>
      <c r="AL3518">
        <v>1.6</v>
      </c>
      <c r="AM3518" t="s">
        <v>10887</v>
      </c>
      <c r="AN3518" t="s">
        <v>10919</v>
      </c>
      <c r="AO3518" t="s">
        <v>11010</v>
      </c>
      <c r="AP3518" t="s">
        <v>11057</v>
      </c>
      <c r="AQ3518" t="s">
        <v>11137</v>
      </c>
      <c r="AR3518" t="s">
        <v>11270</v>
      </c>
      <c r="AS3518" t="s">
        <v>9926</v>
      </c>
      <c r="AY3518" t="s">
        <v>10829</v>
      </c>
      <c r="AZ3518" t="s">
        <v>11730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</row>
    <row r="3519" spans="1:59">
      <c r="A3519" s="1">
        <f>HYPERLINK("https://lsnyc.legalserver.org/matter/dynamic-profile/view/1907615","19-1907615")</f>
        <v>0</v>
      </c>
      <c r="B3519" t="s">
        <v>2938</v>
      </c>
      <c r="C3519" t="s">
        <v>7730</v>
      </c>
      <c r="D3519" t="s">
        <v>9929</v>
      </c>
      <c r="E3519" t="s">
        <v>10075</v>
      </c>
      <c r="F3519">
        <v>10301</v>
      </c>
      <c r="G3519" t="s">
        <v>10088</v>
      </c>
      <c r="H3519" t="s">
        <v>10140</v>
      </c>
      <c r="I3519" t="s">
        <v>10169</v>
      </c>
      <c r="J3519" t="s">
        <v>10208</v>
      </c>
      <c r="K3519" t="s">
        <v>10217</v>
      </c>
      <c r="M3519" t="s">
        <v>10409</v>
      </c>
      <c r="N3519" t="s">
        <v>10649</v>
      </c>
      <c r="P3519" t="s">
        <v>10753</v>
      </c>
      <c r="Q3519" t="s">
        <v>10763</v>
      </c>
      <c r="R3519" t="s">
        <v>10821</v>
      </c>
      <c r="T3519">
        <v>31200</v>
      </c>
      <c r="U3519">
        <v>2600</v>
      </c>
      <c r="V3519">
        <v>31</v>
      </c>
      <c r="W3519">
        <v>3</v>
      </c>
      <c r="X3519">
        <v>0</v>
      </c>
      <c r="Z3519">
        <v>146.27</v>
      </c>
      <c r="AA3519">
        <v>40.640927</v>
      </c>
      <c r="AB3519">
        <v>-74.076413</v>
      </c>
      <c r="AD3519" t="s">
        <v>10840</v>
      </c>
      <c r="AF3519" t="s">
        <v>10845</v>
      </c>
      <c r="AG3519" t="s">
        <v>10859</v>
      </c>
      <c r="AH3519" t="s">
        <v>10870</v>
      </c>
      <c r="AI3519">
        <v>285</v>
      </c>
      <c r="AJ3519" t="s">
        <v>10208</v>
      </c>
      <c r="AL3519">
        <v>8.300000000000001</v>
      </c>
      <c r="AM3519" t="s">
        <v>10883</v>
      </c>
      <c r="AN3519" t="s">
        <v>10913</v>
      </c>
      <c r="AO3519" t="s">
        <v>11006</v>
      </c>
      <c r="AP3519" t="s">
        <v>11051</v>
      </c>
      <c r="AQ3519" t="s">
        <v>11108</v>
      </c>
      <c r="AR3519" t="s">
        <v>11257</v>
      </c>
      <c r="AS3519" t="s">
        <v>11593</v>
      </c>
      <c r="AT3519" t="s">
        <v>11642</v>
      </c>
      <c r="AX3519" t="s">
        <v>10838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</row>
    <row r="3520" spans="1:59">
      <c r="A3520" s="1">
        <f>HYPERLINK("https://lsnyc.legalserver.org/matter/dynamic-profile/view/1907616","19-1907616")</f>
        <v>0</v>
      </c>
      <c r="B3520" t="s">
        <v>2932</v>
      </c>
      <c r="C3520" t="s">
        <v>6590</v>
      </c>
      <c r="D3520" t="s">
        <v>9926</v>
      </c>
      <c r="E3520" t="s">
        <v>10075</v>
      </c>
      <c r="F3520">
        <v>10474</v>
      </c>
      <c r="G3520" t="s">
        <v>10090</v>
      </c>
      <c r="H3520" t="s">
        <v>10140</v>
      </c>
      <c r="I3520" t="s">
        <v>10168</v>
      </c>
      <c r="J3520" t="s">
        <v>10210</v>
      </c>
      <c r="K3520" t="s">
        <v>10217</v>
      </c>
      <c r="M3520" t="s">
        <v>10234</v>
      </c>
      <c r="N3520" t="s">
        <v>10650</v>
      </c>
      <c r="P3520" t="s">
        <v>10749</v>
      </c>
      <c r="Q3520" t="s">
        <v>10765</v>
      </c>
      <c r="R3520" t="s">
        <v>10821</v>
      </c>
      <c r="T3520">
        <v>42588</v>
      </c>
      <c r="U3520">
        <v>3549</v>
      </c>
      <c r="V3520">
        <v>39</v>
      </c>
      <c r="W3520">
        <v>1</v>
      </c>
      <c r="X3520">
        <v>2</v>
      </c>
      <c r="Z3520">
        <v>199.66</v>
      </c>
      <c r="AA3520">
        <v>40.816635</v>
      </c>
      <c r="AB3520">
        <v>-73.886374</v>
      </c>
      <c r="AD3520" t="s">
        <v>10839</v>
      </c>
      <c r="AG3520" t="s">
        <v>10858</v>
      </c>
      <c r="AH3520" t="s">
        <v>10862</v>
      </c>
      <c r="AI3520">
        <v>230</v>
      </c>
      <c r="AJ3520" t="s">
        <v>10210</v>
      </c>
      <c r="AL3520">
        <v>0</v>
      </c>
      <c r="AM3520" t="s">
        <v>10884</v>
      </c>
      <c r="AN3520" t="s">
        <v>10924</v>
      </c>
      <c r="AO3520" t="s">
        <v>11001</v>
      </c>
      <c r="AP3520" t="s">
        <v>11062</v>
      </c>
      <c r="AQ3520" t="s">
        <v>11120</v>
      </c>
      <c r="AR3520" t="s">
        <v>11257</v>
      </c>
      <c r="AS3520" t="s">
        <v>9926</v>
      </c>
      <c r="AT3520" t="s">
        <v>11641</v>
      </c>
      <c r="AX3520" t="s">
        <v>10838</v>
      </c>
      <c r="BA3520" t="s">
        <v>11739</v>
      </c>
      <c r="BB3520">
        <v>0</v>
      </c>
      <c r="BC3520">
        <v>0</v>
      </c>
      <c r="BD3520">
        <v>0</v>
      </c>
      <c r="BE3520">
        <v>0</v>
      </c>
      <c r="BF3520">
        <v>4</v>
      </c>
      <c r="BG3520">
        <v>0</v>
      </c>
    </row>
    <row r="3521" spans="1:59">
      <c r="A3521" s="1">
        <f>HYPERLINK("https://lsnyc.legalserver.org/matter/dynamic-profile/view/1907617","19-1907617")</f>
        <v>0</v>
      </c>
      <c r="B3521" t="s">
        <v>2933</v>
      </c>
      <c r="C3521" t="s">
        <v>7726</v>
      </c>
      <c r="D3521" t="s">
        <v>9926</v>
      </c>
      <c r="E3521" t="s">
        <v>10075</v>
      </c>
      <c r="F3521">
        <v>10467</v>
      </c>
      <c r="G3521" t="s">
        <v>10090</v>
      </c>
      <c r="H3521" t="s">
        <v>10140</v>
      </c>
      <c r="J3521" t="s">
        <v>10210</v>
      </c>
      <c r="K3521" t="s">
        <v>10217</v>
      </c>
      <c r="M3521" t="s">
        <v>10283</v>
      </c>
      <c r="N3521" t="s">
        <v>10671</v>
      </c>
      <c r="P3521" t="s">
        <v>10751</v>
      </c>
      <c r="Q3521" t="s">
        <v>10761</v>
      </c>
      <c r="R3521" t="s">
        <v>10824</v>
      </c>
      <c r="T3521">
        <v>9252</v>
      </c>
      <c r="U3521">
        <v>771</v>
      </c>
      <c r="V3521">
        <v>43</v>
      </c>
      <c r="W3521">
        <v>1</v>
      </c>
      <c r="X3521">
        <v>0</v>
      </c>
      <c r="Z3521">
        <v>74.08</v>
      </c>
      <c r="AA3521">
        <v>40.878235</v>
      </c>
      <c r="AB3521">
        <v>-73.86287799999999</v>
      </c>
      <c r="AD3521" t="s">
        <v>10839</v>
      </c>
      <c r="AG3521" t="s">
        <v>10858</v>
      </c>
      <c r="AH3521" t="s">
        <v>10861</v>
      </c>
      <c r="AI3521">
        <v>230</v>
      </c>
      <c r="AJ3521" t="s">
        <v>10210</v>
      </c>
      <c r="AL3521">
        <v>0</v>
      </c>
      <c r="AM3521" t="s">
        <v>10893</v>
      </c>
      <c r="AN3521" t="s">
        <v>10956</v>
      </c>
      <c r="AO3521" t="s">
        <v>11010</v>
      </c>
      <c r="AP3521" t="s">
        <v>11085</v>
      </c>
      <c r="AR3521" t="s">
        <v>11263</v>
      </c>
      <c r="AS3521" t="s">
        <v>9926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</row>
    <row r="3522" spans="1:59">
      <c r="A3522" s="1">
        <f>HYPERLINK("https://lsnyc.legalserver.org/matter/dynamic-profile/view/1907618","19-1907618")</f>
        <v>0</v>
      </c>
      <c r="B3522" t="s">
        <v>2934</v>
      </c>
      <c r="C3522" t="s">
        <v>7727</v>
      </c>
      <c r="D3522" t="s">
        <v>9928</v>
      </c>
      <c r="E3522" t="s">
        <v>10075</v>
      </c>
      <c r="F3522">
        <v>11211</v>
      </c>
      <c r="G3522" t="s">
        <v>10093</v>
      </c>
      <c r="H3522" t="s">
        <v>10140</v>
      </c>
      <c r="I3522" t="s">
        <v>10168</v>
      </c>
      <c r="J3522" t="s">
        <v>10213</v>
      </c>
      <c r="K3522" t="s">
        <v>10217</v>
      </c>
      <c r="M3522" t="s">
        <v>10358</v>
      </c>
      <c r="N3522" t="s">
        <v>10671</v>
      </c>
      <c r="P3522" t="s">
        <v>10752</v>
      </c>
      <c r="Q3522" t="s">
        <v>10783</v>
      </c>
      <c r="R3522" t="s">
        <v>10825</v>
      </c>
      <c r="T3522">
        <v>0</v>
      </c>
      <c r="U3522">
        <v>0</v>
      </c>
      <c r="V3522">
        <v>43</v>
      </c>
      <c r="W3522">
        <v>2</v>
      </c>
      <c r="X3522">
        <v>0</v>
      </c>
      <c r="Z3522">
        <v>0</v>
      </c>
      <c r="AA3522">
        <v>40.716931</v>
      </c>
      <c r="AB3522">
        <v>-73.95092</v>
      </c>
      <c r="AC3522" t="s">
        <v>10838</v>
      </c>
      <c r="AD3522" t="s">
        <v>10839</v>
      </c>
      <c r="AG3522" t="s">
        <v>10858</v>
      </c>
      <c r="AH3522" t="s">
        <v>10861</v>
      </c>
      <c r="AI3522">
        <v>234</v>
      </c>
      <c r="AJ3522" t="s">
        <v>10214</v>
      </c>
      <c r="AL3522">
        <v>1.75</v>
      </c>
      <c r="AR3522" t="s">
        <v>11267</v>
      </c>
      <c r="AS3522" t="s">
        <v>11595</v>
      </c>
      <c r="AT3522" t="s">
        <v>11641</v>
      </c>
      <c r="AX3522" t="s">
        <v>10837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</row>
    <row r="3523" spans="1:59">
      <c r="A3523" s="1">
        <f>HYPERLINK("https://lsnyc.legalserver.org/matter/dynamic-profile/view/1907619","19-1907619")</f>
        <v>0</v>
      </c>
      <c r="B3523" t="s">
        <v>2939</v>
      </c>
      <c r="C3523" t="s">
        <v>7731</v>
      </c>
      <c r="D3523" t="s">
        <v>9936</v>
      </c>
      <c r="E3523" t="s">
        <v>10075</v>
      </c>
      <c r="F3523">
        <v>11106</v>
      </c>
      <c r="G3523" t="s">
        <v>10092</v>
      </c>
      <c r="H3523" t="s">
        <v>10140</v>
      </c>
      <c r="I3523" t="s">
        <v>10168</v>
      </c>
      <c r="J3523" t="s">
        <v>10212</v>
      </c>
      <c r="K3523" t="s">
        <v>10217</v>
      </c>
      <c r="M3523" t="s">
        <v>10410</v>
      </c>
      <c r="N3523" t="s">
        <v>10695</v>
      </c>
      <c r="P3523" t="s">
        <v>10749</v>
      </c>
      <c r="Q3523" t="s">
        <v>10767</v>
      </c>
      <c r="R3523" t="s">
        <v>10821</v>
      </c>
      <c r="T3523">
        <v>20354</v>
      </c>
      <c r="U3523">
        <v>1696.17</v>
      </c>
      <c r="V3523">
        <v>38</v>
      </c>
      <c r="W3523">
        <v>1</v>
      </c>
      <c r="X3523">
        <v>3</v>
      </c>
      <c r="Z3523">
        <v>79.04000000000001</v>
      </c>
      <c r="AA3523">
        <v>40.762042</v>
      </c>
      <c r="AB3523">
        <v>-73.934302</v>
      </c>
      <c r="AD3523" t="s">
        <v>10839</v>
      </c>
      <c r="AG3523" t="s">
        <v>10858</v>
      </c>
      <c r="AH3523" t="s">
        <v>10862</v>
      </c>
      <c r="AI3523">
        <v>237</v>
      </c>
      <c r="AJ3523" t="s">
        <v>10212</v>
      </c>
      <c r="AL3523">
        <v>0.83</v>
      </c>
      <c r="AM3523" t="s">
        <v>10891</v>
      </c>
      <c r="AN3523" t="s">
        <v>10961</v>
      </c>
      <c r="AO3523" t="s">
        <v>11003</v>
      </c>
      <c r="AP3523" t="s">
        <v>11047</v>
      </c>
      <c r="AR3523" t="s">
        <v>11488</v>
      </c>
      <c r="AS3523" t="s">
        <v>11594</v>
      </c>
      <c r="AX3523" t="s">
        <v>10838</v>
      </c>
      <c r="BA3523" t="s">
        <v>11742</v>
      </c>
      <c r="BB3523">
        <v>0</v>
      </c>
      <c r="BC3523">
        <v>0</v>
      </c>
      <c r="BD3523">
        <v>0</v>
      </c>
      <c r="BE3523">
        <v>0</v>
      </c>
      <c r="BF3523">
        <v>7</v>
      </c>
      <c r="BG3523">
        <v>0</v>
      </c>
    </row>
    <row r="3524" spans="1:59">
      <c r="A3524" s="1">
        <f>HYPERLINK("https://lsnyc.legalserver.org/matter/dynamic-profile/view/1907620","19-1907620")</f>
        <v>0</v>
      </c>
      <c r="B3524" t="s">
        <v>2531</v>
      </c>
      <c r="C3524" t="s">
        <v>7309</v>
      </c>
      <c r="D3524" t="s">
        <v>9926</v>
      </c>
      <c r="E3524" t="s">
        <v>10075</v>
      </c>
      <c r="F3524">
        <v>10457</v>
      </c>
      <c r="G3524" t="s">
        <v>10090</v>
      </c>
      <c r="H3524" t="s">
        <v>10140</v>
      </c>
      <c r="I3524" t="s">
        <v>10168</v>
      </c>
      <c r="J3524" t="s">
        <v>10210</v>
      </c>
      <c r="K3524" t="s">
        <v>10217</v>
      </c>
      <c r="M3524" t="s">
        <v>10303</v>
      </c>
      <c r="N3524" t="s">
        <v>10688</v>
      </c>
      <c r="P3524" t="s">
        <v>10751</v>
      </c>
      <c r="Q3524" t="s">
        <v>10776</v>
      </c>
      <c r="R3524" t="s">
        <v>10824</v>
      </c>
      <c r="T3524">
        <v>6000</v>
      </c>
      <c r="U3524">
        <v>500</v>
      </c>
      <c r="V3524">
        <v>59</v>
      </c>
      <c r="W3524">
        <v>1</v>
      </c>
      <c r="X3524">
        <v>0</v>
      </c>
      <c r="Z3524">
        <v>48.04</v>
      </c>
      <c r="AA3524">
        <v>40.853791</v>
      </c>
      <c r="AB3524">
        <v>-73.89463600000001</v>
      </c>
      <c r="AD3524" t="s">
        <v>10840</v>
      </c>
      <c r="AG3524" t="s">
        <v>10858</v>
      </c>
      <c r="AH3524" t="s">
        <v>10862</v>
      </c>
      <c r="AI3524">
        <v>230</v>
      </c>
      <c r="AJ3524" t="s">
        <v>10210</v>
      </c>
      <c r="AL3524">
        <v>4.85</v>
      </c>
      <c r="AR3524" t="s">
        <v>11257</v>
      </c>
      <c r="AS3524" t="s">
        <v>9926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</row>
    <row r="3525" spans="1:59">
      <c r="A3525" s="1">
        <f>HYPERLINK("https://lsnyc.legalserver.org/matter/dynamic-profile/view/1907621","19-1907621")</f>
        <v>0</v>
      </c>
      <c r="B3525" t="s">
        <v>2940</v>
      </c>
      <c r="C3525" t="s">
        <v>7732</v>
      </c>
      <c r="D3525" t="s">
        <v>9930</v>
      </c>
      <c r="E3525" t="s">
        <v>10075</v>
      </c>
      <c r="F3525">
        <v>11373</v>
      </c>
      <c r="G3525" t="s">
        <v>10092</v>
      </c>
      <c r="H3525" t="s">
        <v>10140</v>
      </c>
      <c r="I3525" t="s">
        <v>10169</v>
      </c>
      <c r="J3525" t="s">
        <v>10212</v>
      </c>
      <c r="K3525" t="s">
        <v>10217</v>
      </c>
      <c r="M3525" t="s">
        <v>10312</v>
      </c>
      <c r="N3525" t="s">
        <v>10693</v>
      </c>
      <c r="P3525" t="s">
        <v>10749</v>
      </c>
      <c r="Q3525" t="s">
        <v>10765</v>
      </c>
      <c r="R3525" t="s">
        <v>10821</v>
      </c>
      <c r="T3525">
        <v>6136</v>
      </c>
      <c r="U3525">
        <v>511.33</v>
      </c>
      <c r="V3525">
        <v>48</v>
      </c>
      <c r="W3525">
        <v>1</v>
      </c>
      <c r="X3525">
        <v>0</v>
      </c>
      <c r="Z3525">
        <v>49.13</v>
      </c>
      <c r="AA3525">
        <v>40.738513</v>
      </c>
      <c r="AB3525">
        <v>-73.87054500000001</v>
      </c>
      <c r="AD3525" t="s">
        <v>10840</v>
      </c>
      <c r="AF3525" t="s">
        <v>10842</v>
      </c>
      <c r="AG3525" t="s">
        <v>10859</v>
      </c>
      <c r="AH3525" t="s">
        <v>10862</v>
      </c>
      <c r="AI3525">
        <v>237</v>
      </c>
      <c r="AJ3525" t="s">
        <v>10212</v>
      </c>
      <c r="AL3525">
        <v>1.2</v>
      </c>
      <c r="AM3525" t="s">
        <v>10890</v>
      </c>
      <c r="AN3525" t="s">
        <v>10916</v>
      </c>
      <c r="AO3525" t="s">
        <v>11014</v>
      </c>
      <c r="AP3525" t="s">
        <v>11053</v>
      </c>
      <c r="AR3525" t="s">
        <v>11400</v>
      </c>
      <c r="AS3525" t="s">
        <v>11594</v>
      </c>
      <c r="AX3525" t="s">
        <v>10838</v>
      </c>
      <c r="BA3525" t="s">
        <v>11744</v>
      </c>
      <c r="BB3525">
        <v>0</v>
      </c>
      <c r="BC3525">
        <v>0</v>
      </c>
      <c r="BD3525">
        <v>0</v>
      </c>
      <c r="BE3525">
        <v>0</v>
      </c>
      <c r="BF3525">
        <v>6</v>
      </c>
      <c r="BG3525">
        <v>0</v>
      </c>
    </row>
    <row r="3526" spans="1:59">
      <c r="A3526" s="1">
        <f>HYPERLINK("https://lsnyc.legalserver.org/matter/dynamic-profile/view/1907622","19-1907622")</f>
        <v>0</v>
      </c>
      <c r="B3526" t="s">
        <v>2941</v>
      </c>
      <c r="C3526" t="s">
        <v>7733</v>
      </c>
      <c r="D3526" t="s">
        <v>9926</v>
      </c>
      <c r="E3526" t="s">
        <v>10075</v>
      </c>
      <c r="F3526">
        <v>10470</v>
      </c>
      <c r="G3526" t="s">
        <v>10090</v>
      </c>
      <c r="H3526" t="s">
        <v>10140</v>
      </c>
      <c r="I3526" t="s">
        <v>10168</v>
      </c>
      <c r="J3526" t="s">
        <v>10210</v>
      </c>
      <c r="K3526" t="s">
        <v>10217</v>
      </c>
      <c r="M3526" t="s">
        <v>10450</v>
      </c>
      <c r="N3526" t="s">
        <v>10650</v>
      </c>
      <c r="P3526" t="s">
        <v>10749</v>
      </c>
      <c r="Q3526" t="s">
        <v>10765</v>
      </c>
      <c r="R3526" t="s">
        <v>10824</v>
      </c>
      <c r="T3526">
        <v>0</v>
      </c>
      <c r="U3526">
        <v>0</v>
      </c>
      <c r="V3526">
        <v>35</v>
      </c>
      <c r="W3526">
        <v>1</v>
      </c>
      <c r="X3526">
        <v>0</v>
      </c>
      <c r="Z3526">
        <v>0</v>
      </c>
      <c r="AA3526">
        <v>40.905455</v>
      </c>
      <c r="AB3526">
        <v>-73.849763</v>
      </c>
      <c r="AD3526" t="s">
        <v>10839</v>
      </c>
      <c r="AG3526" t="s">
        <v>10858</v>
      </c>
      <c r="AH3526" t="s">
        <v>10862</v>
      </c>
      <c r="AI3526">
        <v>230</v>
      </c>
      <c r="AJ3526" t="s">
        <v>10210</v>
      </c>
      <c r="AL3526">
        <v>0.2</v>
      </c>
      <c r="AM3526" t="s">
        <v>10893</v>
      </c>
      <c r="AN3526" t="s">
        <v>10919</v>
      </c>
      <c r="AO3526" t="s">
        <v>11010</v>
      </c>
      <c r="AP3526" t="s">
        <v>11057</v>
      </c>
      <c r="AR3526" t="s">
        <v>11267</v>
      </c>
      <c r="AS3526" t="s">
        <v>9926</v>
      </c>
      <c r="BA3526" t="s">
        <v>11741</v>
      </c>
      <c r="BB3526">
        <v>0</v>
      </c>
      <c r="BC3526">
        <v>0</v>
      </c>
      <c r="BD3526">
        <v>0</v>
      </c>
      <c r="BE3526">
        <v>0</v>
      </c>
      <c r="BF3526">
        <v>1</v>
      </c>
      <c r="BG3526">
        <v>0</v>
      </c>
    </row>
    <row r="3527" spans="1:59">
      <c r="A3527" s="1">
        <f>HYPERLINK("https://lsnyc.legalserver.org/matter/dynamic-profile/view/1907623","19-1907623")</f>
        <v>0</v>
      </c>
      <c r="B3527" t="s">
        <v>2815</v>
      </c>
      <c r="C3527" t="s">
        <v>7232</v>
      </c>
      <c r="D3527" t="s">
        <v>9925</v>
      </c>
      <c r="E3527" t="s">
        <v>10075</v>
      </c>
      <c r="F3527">
        <v>10002</v>
      </c>
      <c r="G3527" t="s">
        <v>10089</v>
      </c>
      <c r="H3527" t="s">
        <v>10140</v>
      </c>
      <c r="I3527" t="s">
        <v>10169</v>
      </c>
      <c r="J3527" t="s">
        <v>10209</v>
      </c>
      <c r="K3527" t="s">
        <v>10217</v>
      </c>
      <c r="M3527" t="s">
        <v>10488</v>
      </c>
      <c r="N3527" t="s">
        <v>10649</v>
      </c>
      <c r="P3527" t="s">
        <v>10753</v>
      </c>
      <c r="Q3527" t="s">
        <v>10763</v>
      </c>
      <c r="R3527" t="s">
        <v>10821</v>
      </c>
      <c r="T3527">
        <v>25824</v>
      </c>
      <c r="U3527">
        <v>2152</v>
      </c>
      <c r="V3527">
        <v>52</v>
      </c>
      <c r="W3527">
        <v>3</v>
      </c>
      <c r="X3527">
        <v>0</v>
      </c>
      <c r="Z3527">
        <v>121.07</v>
      </c>
      <c r="AA3527">
        <v>40.717382</v>
      </c>
      <c r="AB3527">
        <v>-73.983149</v>
      </c>
      <c r="AD3527" t="s">
        <v>10840</v>
      </c>
      <c r="AF3527" t="s">
        <v>10843</v>
      </c>
      <c r="AG3527" t="s">
        <v>10859</v>
      </c>
      <c r="AH3527" t="s">
        <v>10864</v>
      </c>
      <c r="AI3527">
        <v>236</v>
      </c>
      <c r="AJ3527" t="s">
        <v>10209</v>
      </c>
      <c r="AL3527">
        <v>1</v>
      </c>
      <c r="AQ3527" t="s">
        <v>11104</v>
      </c>
      <c r="AR3527" t="s">
        <v>11506</v>
      </c>
      <c r="AS3527" t="s">
        <v>9925</v>
      </c>
      <c r="BA3527" t="s">
        <v>11739</v>
      </c>
      <c r="BB3527">
        <v>0</v>
      </c>
      <c r="BC3527">
        <v>0</v>
      </c>
      <c r="BD3527">
        <v>0</v>
      </c>
      <c r="BE3527">
        <v>0</v>
      </c>
      <c r="BF3527">
        <v>4</v>
      </c>
      <c r="BG3527">
        <v>0</v>
      </c>
    </row>
    <row r="3528" spans="1:59">
      <c r="A3528" s="1">
        <f>HYPERLINK("https://lsnyc.legalserver.org/matter/dynamic-profile/view/1907624","19-1907624")</f>
        <v>0</v>
      </c>
      <c r="B3528" t="s">
        <v>1077</v>
      </c>
      <c r="C3528" t="s">
        <v>7232</v>
      </c>
      <c r="D3528" t="s">
        <v>9925</v>
      </c>
      <c r="E3528" t="s">
        <v>10075</v>
      </c>
      <c r="F3528">
        <v>10002</v>
      </c>
      <c r="G3528" t="s">
        <v>10089</v>
      </c>
      <c r="H3528" t="s">
        <v>10140</v>
      </c>
      <c r="I3528" t="s">
        <v>10169</v>
      </c>
      <c r="J3528" t="s">
        <v>10209</v>
      </c>
      <c r="K3528" t="s">
        <v>10218</v>
      </c>
      <c r="L3528" t="s">
        <v>10135</v>
      </c>
      <c r="M3528" t="s">
        <v>10488</v>
      </c>
      <c r="N3528" t="s">
        <v>10649</v>
      </c>
      <c r="P3528" t="s">
        <v>10753</v>
      </c>
      <c r="Q3528" t="s">
        <v>10763</v>
      </c>
      <c r="R3528" t="s">
        <v>10821</v>
      </c>
      <c r="T3528">
        <v>2379</v>
      </c>
      <c r="U3528">
        <v>198.25</v>
      </c>
      <c r="V3528">
        <v>49</v>
      </c>
      <c r="W3528">
        <v>1</v>
      </c>
      <c r="X3528">
        <v>0</v>
      </c>
      <c r="Y3528" t="s">
        <v>10833</v>
      </c>
      <c r="Z3528">
        <v>19.05</v>
      </c>
      <c r="AA3528">
        <v>40.717382</v>
      </c>
      <c r="AB3528">
        <v>-73.983149</v>
      </c>
      <c r="AD3528" t="s">
        <v>10840</v>
      </c>
      <c r="AF3528" t="s">
        <v>10843</v>
      </c>
      <c r="AG3528" t="s">
        <v>10859</v>
      </c>
      <c r="AH3528" t="s">
        <v>10864</v>
      </c>
      <c r="AI3528">
        <v>236</v>
      </c>
      <c r="AJ3528" t="s">
        <v>10209</v>
      </c>
      <c r="AK3528" t="s">
        <v>10838</v>
      </c>
      <c r="AL3528">
        <v>2.25</v>
      </c>
      <c r="AQ3528" t="s">
        <v>11104</v>
      </c>
      <c r="AR3528" t="s">
        <v>11255</v>
      </c>
      <c r="AS3528" t="s">
        <v>9925</v>
      </c>
      <c r="AY3528" t="s">
        <v>10833</v>
      </c>
      <c r="AZ3528" t="s">
        <v>11699</v>
      </c>
      <c r="BA3528" t="s">
        <v>11739</v>
      </c>
      <c r="BB3528">
        <v>455</v>
      </c>
      <c r="BC3528">
        <v>0</v>
      </c>
      <c r="BD3528">
        <v>0</v>
      </c>
      <c r="BE3528">
        <v>0</v>
      </c>
      <c r="BF3528">
        <v>4</v>
      </c>
      <c r="BG3528">
        <v>0</v>
      </c>
    </row>
    <row r="3529" spans="1:59">
      <c r="A3529" s="1">
        <f>HYPERLINK("https://lsnyc.legalserver.org/matter/dynamic-profile/view/1907625","19-1907625")</f>
        <v>0</v>
      </c>
      <c r="B3529" t="s">
        <v>2847</v>
      </c>
      <c r="C3529" t="s">
        <v>7636</v>
      </c>
      <c r="D3529" t="s">
        <v>9925</v>
      </c>
      <c r="E3529" t="s">
        <v>10075</v>
      </c>
      <c r="F3529">
        <v>10002</v>
      </c>
      <c r="G3529" t="s">
        <v>10089</v>
      </c>
      <c r="H3529" t="s">
        <v>10140</v>
      </c>
      <c r="I3529" t="s">
        <v>10168</v>
      </c>
      <c r="J3529" t="s">
        <v>10209</v>
      </c>
      <c r="K3529" t="s">
        <v>10217</v>
      </c>
      <c r="M3529" t="s">
        <v>10488</v>
      </c>
      <c r="N3529" t="s">
        <v>10649</v>
      </c>
      <c r="P3529" t="s">
        <v>10753</v>
      </c>
      <c r="Q3529" t="s">
        <v>10763</v>
      </c>
      <c r="R3529" t="s">
        <v>10821</v>
      </c>
      <c r="T3529">
        <v>1920</v>
      </c>
      <c r="U3529">
        <v>160</v>
      </c>
      <c r="V3529">
        <v>34</v>
      </c>
      <c r="W3529">
        <v>1</v>
      </c>
      <c r="X3529">
        <v>0</v>
      </c>
      <c r="Z3529">
        <v>15.37</v>
      </c>
      <c r="AA3529">
        <v>40.711999</v>
      </c>
      <c r="AB3529">
        <v>-73.985429</v>
      </c>
      <c r="AD3529" t="s">
        <v>10839</v>
      </c>
      <c r="AF3529" t="s">
        <v>10843</v>
      </c>
      <c r="AG3529" t="s">
        <v>10859</v>
      </c>
      <c r="AH3529" t="s">
        <v>10864</v>
      </c>
      <c r="AI3529">
        <v>236</v>
      </c>
      <c r="AJ3529" t="s">
        <v>10209</v>
      </c>
      <c r="AL3529">
        <v>1.75</v>
      </c>
      <c r="AQ3529" t="s">
        <v>11104</v>
      </c>
      <c r="AR3529" t="s">
        <v>11255</v>
      </c>
      <c r="AS3529" t="s">
        <v>9925</v>
      </c>
      <c r="BA3529" t="s">
        <v>11739</v>
      </c>
      <c r="BB3529">
        <v>0</v>
      </c>
      <c r="BC3529">
        <v>0</v>
      </c>
      <c r="BD3529">
        <v>0</v>
      </c>
      <c r="BE3529">
        <v>0</v>
      </c>
      <c r="BF3529">
        <v>4</v>
      </c>
      <c r="BG3529">
        <v>0</v>
      </c>
    </row>
    <row r="3530" spans="1:59">
      <c r="A3530" s="1">
        <f>HYPERLINK("https://lsnyc.legalserver.org/matter/dynamic-profile/view/1907626","19-1907626")</f>
        <v>0</v>
      </c>
      <c r="B3530" t="s">
        <v>2831</v>
      </c>
      <c r="C3530" t="s">
        <v>7619</v>
      </c>
      <c r="D3530" t="s">
        <v>9925</v>
      </c>
      <c r="E3530" t="s">
        <v>10075</v>
      </c>
      <c r="F3530">
        <v>10002</v>
      </c>
      <c r="G3530" t="s">
        <v>10089</v>
      </c>
      <c r="H3530" t="s">
        <v>10140</v>
      </c>
      <c r="I3530" t="s">
        <v>10169</v>
      </c>
      <c r="J3530" t="s">
        <v>10209</v>
      </c>
      <c r="K3530" t="s">
        <v>10217</v>
      </c>
      <c r="M3530" t="s">
        <v>10488</v>
      </c>
      <c r="N3530" t="s">
        <v>10649</v>
      </c>
      <c r="P3530" t="s">
        <v>10753</v>
      </c>
      <c r="Q3530" t="s">
        <v>10763</v>
      </c>
      <c r="R3530" t="s">
        <v>10821</v>
      </c>
      <c r="T3530">
        <v>5160</v>
      </c>
      <c r="U3530">
        <v>430</v>
      </c>
      <c r="V3530">
        <v>66</v>
      </c>
      <c r="W3530">
        <v>2</v>
      </c>
      <c r="X3530">
        <v>0</v>
      </c>
      <c r="Z3530">
        <v>30.51</v>
      </c>
      <c r="AA3530">
        <v>40.71762</v>
      </c>
      <c r="AB3530">
        <v>-73.978487</v>
      </c>
      <c r="AD3530" t="s">
        <v>10839</v>
      </c>
      <c r="AF3530" t="s">
        <v>10843</v>
      </c>
      <c r="AG3530" t="s">
        <v>10859</v>
      </c>
      <c r="AH3530" t="s">
        <v>10864</v>
      </c>
      <c r="AI3530">
        <v>236</v>
      </c>
      <c r="AJ3530" t="s">
        <v>10209</v>
      </c>
      <c r="AL3530">
        <v>2.5</v>
      </c>
      <c r="AQ3530" t="s">
        <v>11104</v>
      </c>
      <c r="AR3530" t="s">
        <v>11300</v>
      </c>
      <c r="AS3530" t="s">
        <v>9925</v>
      </c>
      <c r="BA3530" t="s">
        <v>11739</v>
      </c>
      <c r="BB3530">
        <v>0</v>
      </c>
      <c r="BC3530">
        <v>0</v>
      </c>
      <c r="BD3530">
        <v>0</v>
      </c>
      <c r="BE3530">
        <v>0</v>
      </c>
      <c r="BF3530">
        <v>4</v>
      </c>
      <c r="BG3530">
        <v>0</v>
      </c>
    </row>
    <row r="3531" spans="1:59">
      <c r="A3531" s="1">
        <f>HYPERLINK("https://lsnyc.legalserver.org/matter/dynamic-profile/view/1907627","19-1907627")</f>
        <v>0</v>
      </c>
      <c r="B3531" t="s">
        <v>275</v>
      </c>
      <c r="C3531" t="s">
        <v>7644</v>
      </c>
      <c r="D3531" t="s">
        <v>9925</v>
      </c>
      <c r="E3531" t="s">
        <v>10075</v>
      </c>
      <c r="F3531">
        <v>10002</v>
      </c>
      <c r="G3531" t="s">
        <v>10089</v>
      </c>
      <c r="H3531" t="s">
        <v>10140</v>
      </c>
      <c r="I3531" t="s">
        <v>10169</v>
      </c>
      <c r="J3531" t="s">
        <v>10209</v>
      </c>
      <c r="K3531" t="s">
        <v>10218</v>
      </c>
      <c r="L3531" t="s">
        <v>10161</v>
      </c>
      <c r="M3531" t="s">
        <v>10488</v>
      </c>
      <c r="N3531" t="s">
        <v>10649</v>
      </c>
      <c r="P3531" t="s">
        <v>10753</v>
      </c>
      <c r="Q3531" t="s">
        <v>10763</v>
      </c>
      <c r="R3531" t="s">
        <v>10821</v>
      </c>
      <c r="T3531">
        <v>23400</v>
      </c>
      <c r="U3531">
        <v>1950</v>
      </c>
      <c r="V3531">
        <v>57</v>
      </c>
      <c r="W3531">
        <v>3</v>
      </c>
      <c r="X3531">
        <v>0</v>
      </c>
      <c r="Y3531" t="s">
        <v>10829</v>
      </c>
      <c r="Z3531">
        <v>109.7</v>
      </c>
      <c r="AA3531">
        <v>40.716688</v>
      </c>
      <c r="AB3531">
        <v>-73.978754</v>
      </c>
      <c r="AD3531" t="s">
        <v>10839</v>
      </c>
      <c r="AF3531" t="s">
        <v>10843</v>
      </c>
      <c r="AG3531" t="s">
        <v>10859</v>
      </c>
      <c r="AH3531" t="s">
        <v>10864</v>
      </c>
      <c r="AI3531">
        <v>236</v>
      </c>
      <c r="AJ3531" t="s">
        <v>10209</v>
      </c>
      <c r="AK3531" t="s">
        <v>10838</v>
      </c>
      <c r="AL3531">
        <v>1.75</v>
      </c>
      <c r="AQ3531" t="s">
        <v>11104</v>
      </c>
      <c r="AR3531" t="s">
        <v>11257</v>
      </c>
      <c r="AS3531" t="s">
        <v>9925</v>
      </c>
      <c r="AY3531" t="s">
        <v>10829</v>
      </c>
      <c r="AZ3531" t="s">
        <v>11709</v>
      </c>
      <c r="BA3531" t="s">
        <v>11739</v>
      </c>
      <c r="BB3531">
        <v>0</v>
      </c>
      <c r="BC3531">
        <v>0</v>
      </c>
      <c r="BD3531">
        <v>0</v>
      </c>
      <c r="BE3531">
        <v>0</v>
      </c>
      <c r="BF3531">
        <v>4</v>
      </c>
      <c r="BG3531">
        <v>0</v>
      </c>
    </row>
    <row r="3532" spans="1:59">
      <c r="A3532" s="1">
        <f>HYPERLINK("https://lsnyc.legalserver.org/matter/dynamic-profile/view/1907628","19-1907628")</f>
        <v>0</v>
      </c>
      <c r="C3532" t="s">
        <v>7734</v>
      </c>
      <c r="D3532" t="s">
        <v>9932</v>
      </c>
      <c r="E3532" t="s">
        <v>10075</v>
      </c>
      <c r="F3532">
        <v>11368</v>
      </c>
      <c r="G3532" t="s">
        <v>10092</v>
      </c>
      <c r="H3532" t="s">
        <v>10142</v>
      </c>
      <c r="I3532" t="s">
        <v>10168</v>
      </c>
      <c r="J3532" t="s">
        <v>10212</v>
      </c>
      <c r="K3532" t="s">
        <v>10217</v>
      </c>
      <c r="M3532" t="s">
        <v>10365</v>
      </c>
      <c r="N3532" t="s">
        <v>10650</v>
      </c>
      <c r="P3532" t="s">
        <v>10749</v>
      </c>
      <c r="Q3532" t="s">
        <v>10765</v>
      </c>
      <c r="R3532" t="s">
        <v>10825</v>
      </c>
      <c r="T3532">
        <v>35000</v>
      </c>
      <c r="U3532">
        <v>2916.67</v>
      </c>
      <c r="V3532">
        <v>0</v>
      </c>
      <c r="W3532">
        <v>1</v>
      </c>
      <c r="X3532">
        <v>0</v>
      </c>
      <c r="Z3532">
        <v>280.22</v>
      </c>
      <c r="AA3532">
        <v>40.736838</v>
      </c>
      <c r="AB3532">
        <v>-73.86327</v>
      </c>
      <c r="AD3532" t="s">
        <v>10839</v>
      </c>
      <c r="AG3532" t="s">
        <v>10858</v>
      </c>
      <c r="AH3532" t="s">
        <v>10862</v>
      </c>
      <c r="AI3532">
        <v>237</v>
      </c>
      <c r="AJ3532" t="s">
        <v>10212</v>
      </c>
      <c r="AL3532">
        <v>0</v>
      </c>
      <c r="AM3532" t="s">
        <v>10885</v>
      </c>
      <c r="AN3532" t="s">
        <v>10916</v>
      </c>
      <c r="AO3532" t="s">
        <v>11014</v>
      </c>
      <c r="AP3532" t="s">
        <v>11068</v>
      </c>
      <c r="AR3532" t="s">
        <v>11268</v>
      </c>
      <c r="AS3532" t="s">
        <v>11594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</row>
    <row r="3533" spans="1:59">
      <c r="A3533" s="1">
        <f>HYPERLINK("https://lsnyc.legalserver.org/matter/dynamic-profile/view/1907629","19-1907629")</f>
        <v>0</v>
      </c>
      <c r="B3533" t="s">
        <v>2732</v>
      </c>
      <c r="C3533" t="s">
        <v>7735</v>
      </c>
      <c r="D3533" t="s">
        <v>9928</v>
      </c>
      <c r="E3533" t="s">
        <v>10075</v>
      </c>
      <c r="F3533">
        <v>11208</v>
      </c>
      <c r="G3533" t="s">
        <v>10093</v>
      </c>
      <c r="H3533" t="s">
        <v>10109</v>
      </c>
      <c r="I3533" t="s">
        <v>10168</v>
      </c>
      <c r="J3533" t="s">
        <v>10213</v>
      </c>
      <c r="K3533" t="s">
        <v>10217</v>
      </c>
      <c r="M3533" t="s">
        <v>10425</v>
      </c>
      <c r="N3533" t="s">
        <v>10664</v>
      </c>
      <c r="P3533" t="s">
        <v>10749</v>
      </c>
      <c r="Q3533" t="s">
        <v>10767</v>
      </c>
      <c r="R3533" t="s">
        <v>10824</v>
      </c>
      <c r="T3533">
        <v>6914</v>
      </c>
      <c r="U3533">
        <v>576.17</v>
      </c>
      <c r="V3533">
        <v>61</v>
      </c>
      <c r="W3533">
        <v>3</v>
      </c>
      <c r="X3533">
        <v>0</v>
      </c>
      <c r="Z3533">
        <v>32.41</v>
      </c>
      <c r="AA3533">
        <v>40.668155</v>
      </c>
      <c r="AB3533">
        <v>-73.86315999999999</v>
      </c>
      <c r="AD3533" t="s">
        <v>10840</v>
      </c>
      <c r="AG3533" t="s">
        <v>10858</v>
      </c>
      <c r="AH3533" t="s">
        <v>10862</v>
      </c>
      <c r="AI3533">
        <v>239</v>
      </c>
      <c r="AJ3533" t="s">
        <v>10213</v>
      </c>
      <c r="AL3533">
        <v>14.9</v>
      </c>
      <c r="AM3533" t="s">
        <v>10889</v>
      </c>
      <c r="AN3533" t="s">
        <v>10946</v>
      </c>
      <c r="AO3533" t="s">
        <v>11012</v>
      </c>
      <c r="AP3533" t="s">
        <v>11060</v>
      </c>
      <c r="AR3533" t="s">
        <v>11257</v>
      </c>
      <c r="AS3533" t="s">
        <v>11595</v>
      </c>
      <c r="BA3533" t="s">
        <v>11744</v>
      </c>
      <c r="BB3533">
        <v>0</v>
      </c>
      <c r="BC3533">
        <v>0</v>
      </c>
      <c r="BD3533">
        <v>0</v>
      </c>
      <c r="BE3533">
        <v>0</v>
      </c>
      <c r="BF3533">
        <v>6</v>
      </c>
      <c r="BG3533">
        <v>0</v>
      </c>
    </row>
    <row r="3534" spans="1:59">
      <c r="A3534" s="1">
        <f>HYPERLINK("https://lsnyc.legalserver.org/matter/dynamic-profile/view/1907630","19-1907630")</f>
        <v>0</v>
      </c>
      <c r="B3534" t="s">
        <v>2942</v>
      </c>
      <c r="C3534" t="s">
        <v>7736</v>
      </c>
      <c r="D3534" t="s">
        <v>9938</v>
      </c>
      <c r="E3534" t="s">
        <v>10075</v>
      </c>
      <c r="F3534">
        <v>11434</v>
      </c>
      <c r="G3534" t="s">
        <v>10092</v>
      </c>
      <c r="H3534" t="s">
        <v>10142</v>
      </c>
      <c r="I3534" t="s">
        <v>10168</v>
      </c>
      <c r="J3534" t="s">
        <v>10212</v>
      </c>
      <c r="K3534" t="s">
        <v>10218</v>
      </c>
      <c r="L3534" t="s">
        <v>10158</v>
      </c>
      <c r="M3534" t="s">
        <v>10360</v>
      </c>
      <c r="N3534" t="s">
        <v>10693</v>
      </c>
      <c r="P3534" t="s">
        <v>10749</v>
      </c>
      <c r="Q3534" t="s">
        <v>10767</v>
      </c>
      <c r="R3534" t="s">
        <v>10824</v>
      </c>
      <c r="T3534">
        <v>13089</v>
      </c>
      <c r="U3534">
        <v>1090.75</v>
      </c>
      <c r="V3534">
        <v>57</v>
      </c>
      <c r="W3534">
        <v>3</v>
      </c>
      <c r="X3534">
        <v>0</v>
      </c>
      <c r="Y3534" t="s">
        <v>10831</v>
      </c>
      <c r="Z3534">
        <v>61.36</v>
      </c>
      <c r="AA3534">
        <v>40.684809</v>
      </c>
      <c r="AB3534">
        <v>-73.782892</v>
      </c>
      <c r="AD3534" t="s">
        <v>10839</v>
      </c>
      <c r="AG3534" t="s">
        <v>10858</v>
      </c>
      <c r="AH3534" t="s">
        <v>10862</v>
      </c>
      <c r="AI3534">
        <v>237</v>
      </c>
      <c r="AJ3534" t="s">
        <v>10212</v>
      </c>
      <c r="AK3534" t="s">
        <v>10838</v>
      </c>
      <c r="AL3534">
        <v>2.45</v>
      </c>
      <c r="AM3534" t="s">
        <v>10892</v>
      </c>
      <c r="AN3534" t="s">
        <v>10951</v>
      </c>
      <c r="AO3534" t="s">
        <v>11020</v>
      </c>
      <c r="AP3534" t="s">
        <v>11070</v>
      </c>
      <c r="AR3534" t="s">
        <v>11512</v>
      </c>
      <c r="AS3534" t="s">
        <v>11594</v>
      </c>
      <c r="AY3534" t="s">
        <v>10831</v>
      </c>
      <c r="AZ3534" t="s">
        <v>11685</v>
      </c>
      <c r="BA3534" t="s">
        <v>11738</v>
      </c>
      <c r="BB3534">
        <v>0</v>
      </c>
      <c r="BC3534">
        <v>0</v>
      </c>
      <c r="BD3534">
        <v>0</v>
      </c>
      <c r="BE3534">
        <v>0</v>
      </c>
      <c r="BF3534">
        <v>5</v>
      </c>
      <c r="BG3534">
        <v>0</v>
      </c>
    </row>
    <row r="3535" spans="1:59">
      <c r="A3535" s="1">
        <f>HYPERLINK("https://lsnyc.legalserver.org/matter/dynamic-profile/view/1907631","19-1907631")</f>
        <v>0</v>
      </c>
      <c r="B3535" t="s">
        <v>2943</v>
      </c>
      <c r="C3535" t="s">
        <v>7737</v>
      </c>
      <c r="D3535" t="s">
        <v>9938</v>
      </c>
      <c r="E3535" t="s">
        <v>10075</v>
      </c>
      <c r="F3535">
        <v>11436</v>
      </c>
      <c r="G3535" t="s">
        <v>10092</v>
      </c>
      <c r="H3535" t="s">
        <v>10129</v>
      </c>
      <c r="I3535" t="s">
        <v>10168</v>
      </c>
      <c r="J3535" t="s">
        <v>10212</v>
      </c>
      <c r="K3535" t="s">
        <v>10217</v>
      </c>
      <c r="M3535" t="s">
        <v>10350</v>
      </c>
      <c r="N3535" t="s">
        <v>10669</v>
      </c>
      <c r="P3535" t="s">
        <v>10754</v>
      </c>
      <c r="Q3535" t="s">
        <v>10775</v>
      </c>
      <c r="R3535" t="s">
        <v>10825</v>
      </c>
      <c r="T3535">
        <v>27600</v>
      </c>
      <c r="U3535">
        <v>2300</v>
      </c>
      <c r="V3535">
        <v>44</v>
      </c>
      <c r="W3535">
        <v>1</v>
      </c>
      <c r="X3535">
        <v>2</v>
      </c>
      <c r="Z3535">
        <v>129.4</v>
      </c>
      <c r="AA3535">
        <v>40.672741</v>
      </c>
      <c r="AB3535">
        <v>-73.792531</v>
      </c>
      <c r="AD3535" t="s">
        <v>10839</v>
      </c>
      <c r="AG3535" t="s">
        <v>10858</v>
      </c>
      <c r="AH3535" t="s">
        <v>10865</v>
      </c>
      <c r="AI3535">
        <v>237</v>
      </c>
      <c r="AJ3535" t="s">
        <v>10212</v>
      </c>
      <c r="AL3535">
        <v>19.05</v>
      </c>
      <c r="AM3535" t="s">
        <v>10892</v>
      </c>
      <c r="AN3535" t="s">
        <v>10951</v>
      </c>
      <c r="AO3535" t="s">
        <v>11017</v>
      </c>
      <c r="AP3535" t="s">
        <v>11070</v>
      </c>
      <c r="AQ3535" t="s">
        <v>11106</v>
      </c>
      <c r="AR3535" t="s">
        <v>11335</v>
      </c>
      <c r="AS3535" t="s">
        <v>11594</v>
      </c>
      <c r="AT3535" t="s">
        <v>11641</v>
      </c>
      <c r="AX3535" t="s">
        <v>10838</v>
      </c>
      <c r="BA3535" t="s">
        <v>11738</v>
      </c>
      <c r="BB3535">
        <v>0</v>
      </c>
      <c r="BC3535">
        <v>0</v>
      </c>
      <c r="BD3535">
        <v>0</v>
      </c>
      <c r="BE3535">
        <v>0</v>
      </c>
      <c r="BF3535">
        <v>5</v>
      </c>
      <c r="BG3535">
        <v>0</v>
      </c>
    </row>
    <row r="3536" spans="1:59">
      <c r="A3536" s="1">
        <f>HYPERLINK("https://lsnyc.legalserver.org/matter/dynamic-profile/view/1907632","19-1907632")</f>
        <v>0</v>
      </c>
      <c r="B3536" t="s">
        <v>2944</v>
      </c>
      <c r="C3536" t="s">
        <v>7738</v>
      </c>
      <c r="D3536" t="s">
        <v>9926</v>
      </c>
      <c r="E3536" t="s">
        <v>10075</v>
      </c>
      <c r="F3536">
        <v>10467</v>
      </c>
      <c r="G3536" t="s">
        <v>10090</v>
      </c>
      <c r="H3536" t="s">
        <v>10142</v>
      </c>
      <c r="I3536" t="s">
        <v>10168</v>
      </c>
      <c r="J3536" t="s">
        <v>10210</v>
      </c>
      <c r="K3536" t="s">
        <v>10217</v>
      </c>
      <c r="M3536" t="s">
        <v>10316</v>
      </c>
      <c r="N3536" t="s">
        <v>10651</v>
      </c>
      <c r="P3536" t="s">
        <v>10749</v>
      </c>
      <c r="Q3536" t="s">
        <v>10765</v>
      </c>
      <c r="R3536" t="s">
        <v>10824</v>
      </c>
      <c r="T3536">
        <v>11796</v>
      </c>
      <c r="U3536">
        <v>983</v>
      </c>
      <c r="V3536">
        <v>32</v>
      </c>
      <c r="W3536">
        <v>1</v>
      </c>
      <c r="X3536">
        <v>2</v>
      </c>
      <c r="Z3536">
        <v>55.3</v>
      </c>
      <c r="AA3536">
        <v>40.870377</v>
      </c>
      <c r="AB3536">
        <v>-73.862696</v>
      </c>
      <c r="AD3536" t="s">
        <v>10839</v>
      </c>
      <c r="AG3536" t="s">
        <v>10858</v>
      </c>
      <c r="AH3536" t="s">
        <v>10862</v>
      </c>
      <c r="AI3536">
        <v>230</v>
      </c>
      <c r="AJ3536" t="s">
        <v>10210</v>
      </c>
      <c r="AL3536">
        <v>4.1</v>
      </c>
      <c r="AM3536" t="s">
        <v>10893</v>
      </c>
      <c r="AN3536" t="s">
        <v>10956</v>
      </c>
      <c r="AO3536" t="s">
        <v>11010</v>
      </c>
      <c r="AP3536" t="s">
        <v>11085</v>
      </c>
      <c r="AR3536" t="s">
        <v>11309</v>
      </c>
      <c r="AS3536" t="s">
        <v>9926</v>
      </c>
      <c r="AT3536" t="s">
        <v>11641</v>
      </c>
      <c r="AX3536" t="s">
        <v>10838</v>
      </c>
      <c r="BA3536" t="s">
        <v>11738</v>
      </c>
      <c r="BB3536">
        <v>0</v>
      </c>
      <c r="BC3536">
        <v>0</v>
      </c>
      <c r="BD3536">
        <v>0</v>
      </c>
      <c r="BE3536">
        <v>0</v>
      </c>
      <c r="BF3536">
        <v>5</v>
      </c>
      <c r="BG3536">
        <v>0</v>
      </c>
    </row>
    <row r="3537" spans="1:59">
      <c r="A3537" s="1">
        <f>HYPERLINK("https://lsnyc.legalserver.org/matter/dynamic-profile/view/1907634","19-1907634")</f>
        <v>0</v>
      </c>
      <c r="B3537" t="s">
        <v>2945</v>
      </c>
      <c r="C3537" t="s">
        <v>6682</v>
      </c>
      <c r="D3537" t="s">
        <v>9925</v>
      </c>
      <c r="E3537" t="s">
        <v>10075</v>
      </c>
      <c r="F3537">
        <v>10031</v>
      </c>
      <c r="G3537" t="s">
        <v>10089</v>
      </c>
      <c r="H3537" t="s">
        <v>10120</v>
      </c>
      <c r="I3537" t="s">
        <v>10168</v>
      </c>
      <c r="J3537" t="s">
        <v>10209</v>
      </c>
      <c r="K3537" t="s">
        <v>10217</v>
      </c>
      <c r="M3537" t="s">
        <v>10503</v>
      </c>
      <c r="N3537" t="s">
        <v>10721</v>
      </c>
      <c r="P3537" t="s">
        <v>10754</v>
      </c>
      <c r="Q3537" t="s">
        <v>10777</v>
      </c>
      <c r="R3537" t="s">
        <v>10821</v>
      </c>
      <c r="T3537">
        <v>3640</v>
      </c>
      <c r="U3537">
        <v>303.33</v>
      </c>
      <c r="V3537">
        <v>28</v>
      </c>
      <c r="W3537">
        <v>1</v>
      </c>
      <c r="X3537">
        <v>1</v>
      </c>
      <c r="Z3537">
        <v>21.53</v>
      </c>
      <c r="AA3537">
        <v>40.822163</v>
      </c>
      <c r="AB3537">
        <v>-73.95256000000001</v>
      </c>
      <c r="AD3537" t="s">
        <v>10839</v>
      </c>
      <c r="AF3537" t="s">
        <v>10843</v>
      </c>
      <c r="AG3537" t="s">
        <v>10859</v>
      </c>
      <c r="AH3537" t="s">
        <v>10865</v>
      </c>
      <c r="AI3537">
        <v>236</v>
      </c>
      <c r="AJ3537" t="s">
        <v>10209</v>
      </c>
      <c r="AK3537" t="s">
        <v>10837</v>
      </c>
      <c r="AL3537">
        <v>1.5</v>
      </c>
      <c r="AM3537" t="s">
        <v>10887</v>
      </c>
      <c r="AN3537" t="s">
        <v>10936</v>
      </c>
      <c r="AO3537" t="s">
        <v>11019</v>
      </c>
      <c r="AP3537" t="s">
        <v>11073</v>
      </c>
      <c r="AQ3537" t="s">
        <v>11128</v>
      </c>
      <c r="AR3537" t="s">
        <v>11306</v>
      </c>
      <c r="AS3537" t="s">
        <v>9925</v>
      </c>
      <c r="AT3537" t="s">
        <v>11641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</row>
    <row r="3538" spans="1:59">
      <c r="A3538" s="1">
        <f>HYPERLINK("https://lsnyc.legalserver.org/matter/dynamic-profile/view/1907635","19-1907635")</f>
        <v>0</v>
      </c>
      <c r="B3538" t="s">
        <v>2225</v>
      </c>
      <c r="C3538" t="s">
        <v>7739</v>
      </c>
      <c r="D3538" t="s">
        <v>9926</v>
      </c>
      <c r="E3538" t="s">
        <v>10075</v>
      </c>
      <c r="F3538">
        <v>10469</v>
      </c>
      <c r="G3538" t="s">
        <v>10093</v>
      </c>
      <c r="H3538" t="s">
        <v>10142</v>
      </c>
      <c r="I3538" t="s">
        <v>10168</v>
      </c>
      <c r="J3538" t="s">
        <v>10213</v>
      </c>
      <c r="K3538" t="s">
        <v>10217</v>
      </c>
      <c r="M3538" t="s">
        <v>10358</v>
      </c>
      <c r="N3538" t="s">
        <v>10671</v>
      </c>
      <c r="P3538" t="s">
        <v>10752</v>
      </c>
      <c r="Q3538" t="s">
        <v>10783</v>
      </c>
      <c r="R3538" t="s">
        <v>10825</v>
      </c>
      <c r="T3538">
        <v>514</v>
      </c>
      <c r="U3538">
        <v>42.83</v>
      </c>
      <c r="V3538">
        <v>26</v>
      </c>
      <c r="W3538">
        <v>1</v>
      </c>
      <c r="X3538">
        <v>3</v>
      </c>
      <c r="Z3538">
        <v>2</v>
      </c>
      <c r="AA3538">
        <v>40.87137</v>
      </c>
      <c r="AB3538">
        <v>-73.83534299999999</v>
      </c>
      <c r="AD3538" t="s">
        <v>10839</v>
      </c>
      <c r="AG3538" t="s">
        <v>10858</v>
      </c>
      <c r="AH3538" t="s">
        <v>10871</v>
      </c>
      <c r="AI3538">
        <v>234</v>
      </c>
      <c r="AJ3538" t="s">
        <v>10214</v>
      </c>
      <c r="AL3538">
        <v>1.24</v>
      </c>
      <c r="AM3538" t="s">
        <v>10893</v>
      </c>
      <c r="AN3538" t="s">
        <v>10956</v>
      </c>
      <c r="AO3538" t="s">
        <v>11010</v>
      </c>
      <c r="AP3538" t="s">
        <v>11085</v>
      </c>
      <c r="AR3538" t="s">
        <v>11263</v>
      </c>
      <c r="AS3538" t="s">
        <v>9926</v>
      </c>
      <c r="AT3538" t="s">
        <v>11641</v>
      </c>
      <c r="AX3538" t="s">
        <v>10838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</row>
    <row r="3539" spans="1:59">
      <c r="A3539" s="1">
        <f>HYPERLINK("https://lsnyc.legalserver.org/matter/dynamic-profile/view/1907636","19-1907636")</f>
        <v>0</v>
      </c>
      <c r="B3539" t="s">
        <v>2946</v>
      </c>
      <c r="C3539" t="s">
        <v>7059</v>
      </c>
      <c r="D3539" t="s">
        <v>9928</v>
      </c>
      <c r="E3539" t="s">
        <v>10075</v>
      </c>
      <c r="F3539">
        <v>11215</v>
      </c>
      <c r="G3539" t="s">
        <v>10093</v>
      </c>
      <c r="H3539" t="s">
        <v>10142</v>
      </c>
      <c r="I3539" t="s">
        <v>10168</v>
      </c>
      <c r="J3539" t="s">
        <v>10213</v>
      </c>
      <c r="K3539" t="s">
        <v>10217</v>
      </c>
      <c r="M3539" t="s">
        <v>10304</v>
      </c>
      <c r="N3539" t="s">
        <v>10646</v>
      </c>
      <c r="P3539" t="s">
        <v>10749</v>
      </c>
      <c r="Q3539" t="s">
        <v>10765</v>
      </c>
      <c r="R3539" t="s">
        <v>10825</v>
      </c>
      <c r="T3539">
        <v>35000</v>
      </c>
      <c r="U3539">
        <v>2916.67</v>
      </c>
      <c r="V3539">
        <v>69</v>
      </c>
      <c r="W3539">
        <v>1</v>
      </c>
      <c r="X3539">
        <v>0</v>
      </c>
      <c r="Z3539">
        <v>280.22</v>
      </c>
      <c r="AA3539">
        <v>40.665</v>
      </c>
      <c r="AB3539">
        <v>-73.98763</v>
      </c>
      <c r="AD3539" t="s">
        <v>10839</v>
      </c>
      <c r="AG3539" t="s">
        <v>10858</v>
      </c>
      <c r="AH3539" t="s">
        <v>10861</v>
      </c>
      <c r="AI3539">
        <v>234</v>
      </c>
      <c r="AJ3539" t="s">
        <v>10214</v>
      </c>
      <c r="AL3539">
        <v>0.75</v>
      </c>
      <c r="AM3539" t="s">
        <v>10886</v>
      </c>
      <c r="AN3539" t="s">
        <v>10917</v>
      </c>
      <c r="AO3539" t="s">
        <v>11008</v>
      </c>
      <c r="AP3539" t="s">
        <v>11059</v>
      </c>
      <c r="AR3539" t="s">
        <v>11276</v>
      </c>
      <c r="AS3539" t="s">
        <v>11595</v>
      </c>
      <c r="AT3539" t="s">
        <v>11641</v>
      </c>
      <c r="AX3539" t="s">
        <v>10838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</row>
    <row r="3540" spans="1:59">
      <c r="A3540" s="1">
        <f>HYPERLINK("https://lsnyc.legalserver.org/matter/dynamic-profile/view/1907638","19-1907638")</f>
        <v>0</v>
      </c>
      <c r="B3540" t="s">
        <v>2947</v>
      </c>
      <c r="C3540" t="s">
        <v>7740</v>
      </c>
      <c r="D3540" t="s">
        <v>9926</v>
      </c>
      <c r="E3540" t="s">
        <v>10075</v>
      </c>
      <c r="F3540">
        <v>10458</v>
      </c>
      <c r="G3540" t="s">
        <v>10091</v>
      </c>
      <c r="H3540" t="s">
        <v>10142</v>
      </c>
      <c r="I3540" t="s">
        <v>10169</v>
      </c>
      <c r="J3540" t="s">
        <v>10214</v>
      </c>
      <c r="K3540" t="s">
        <v>10217</v>
      </c>
      <c r="M3540" t="s">
        <v>10286</v>
      </c>
      <c r="N3540" t="s">
        <v>10671</v>
      </c>
      <c r="P3540" t="s">
        <v>10751</v>
      </c>
      <c r="Q3540" t="s">
        <v>10768</v>
      </c>
      <c r="R3540" t="s">
        <v>10821</v>
      </c>
      <c r="T3540">
        <v>8820</v>
      </c>
      <c r="U3540">
        <v>735</v>
      </c>
      <c r="V3540">
        <v>43</v>
      </c>
      <c r="W3540">
        <v>3</v>
      </c>
      <c r="X3540">
        <v>2</v>
      </c>
      <c r="Z3540">
        <v>29.23</v>
      </c>
      <c r="AA3540">
        <v>40.85245</v>
      </c>
      <c r="AB3540">
        <v>-73.88401500000001</v>
      </c>
      <c r="AD3540" t="s">
        <v>10840</v>
      </c>
      <c r="AG3540" t="s">
        <v>10858</v>
      </c>
      <c r="AH3540" t="s">
        <v>10871</v>
      </c>
      <c r="AI3540">
        <v>234</v>
      </c>
      <c r="AJ3540" t="s">
        <v>10214</v>
      </c>
      <c r="AL3540">
        <v>0.76</v>
      </c>
      <c r="AM3540" t="s">
        <v>10884</v>
      </c>
      <c r="AN3540" t="s">
        <v>10907</v>
      </c>
      <c r="AO3540" t="s">
        <v>11000</v>
      </c>
      <c r="AP3540" t="s">
        <v>11056</v>
      </c>
      <c r="AR3540" t="s">
        <v>11298</v>
      </c>
      <c r="AS3540" t="s">
        <v>9926</v>
      </c>
      <c r="AT3540" t="s">
        <v>11641</v>
      </c>
      <c r="AX3540" t="s">
        <v>10838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</row>
    <row r="3541" spans="1:59">
      <c r="A3541" s="1">
        <f>HYPERLINK("https://lsnyc.legalserver.org/matter/dynamic-profile/view/1907639","19-1907639")</f>
        <v>0</v>
      </c>
      <c r="B3541" t="s">
        <v>2948</v>
      </c>
      <c r="C3541" t="s">
        <v>7741</v>
      </c>
      <c r="D3541" t="s">
        <v>9926</v>
      </c>
      <c r="E3541" t="s">
        <v>10075</v>
      </c>
      <c r="F3541">
        <v>10452</v>
      </c>
      <c r="G3541" t="s">
        <v>10090</v>
      </c>
      <c r="H3541" t="s">
        <v>10142</v>
      </c>
      <c r="I3541" t="s">
        <v>10168</v>
      </c>
      <c r="J3541" t="s">
        <v>10215</v>
      </c>
      <c r="K3541" t="s">
        <v>10217</v>
      </c>
      <c r="M3541" t="s">
        <v>10316</v>
      </c>
      <c r="N3541" t="s">
        <v>10666</v>
      </c>
      <c r="P3541" t="s">
        <v>10749</v>
      </c>
      <c r="Q3541" t="s">
        <v>10765</v>
      </c>
      <c r="R3541" t="s">
        <v>10821</v>
      </c>
      <c r="S3541" t="s">
        <v>10821</v>
      </c>
      <c r="T3541">
        <v>16420</v>
      </c>
      <c r="U3541">
        <v>1368.33</v>
      </c>
      <c r="V3541">
        <v>63</v>
      </c>
      <c r="W3541">
        <v>1</v>
      </c>
      <c r="X3541">
        <v>1</v>
      </c>
      <c r="Z3541">
        <v>97.09999999999999</v>
      </c>
      <c r="AA3541">
        <v>40.842562</v>
      </c>
      <c r="AB3541">
        <v>-73.9183</v>
      </c>
      <c r="AD3541" t="s">
        <v>10839</v>
      </c>
      <c r="AG3541" t="s">
        <v>10858</v>
      </c>
      <c r="AH3541" t="s">
        <v>10861</v>
      </c>
      <c r="AI3541">
        <v>231</v>
      </c>
      <c r="AJ3541" t="s">
        <v>10215</v>
      </c>
      <c r="AL3541">
        <v>8.65</v>
      </c>
      <c r="AM3541" t="s">
        <v>10884</v>
      </c>
      <c r="AN3541" t="s">
        <v>10929</v>
      </c>
      <c r="AO3541" t="s">
        <v>11013</v>
      </c>
      <c r="AP3541" t="s">
        <v>11055</v>
      </c>
      <c r="AR3541" t="s">
        <v>11328</v>
      </c>
      <c r="AS3541" t="s">
        <v>9926</v>
      </c>
      <c r="AT3541" t="s">
        <v>11641</v>
      </c>
      <c r="AX3541" t="s">
        <v>10838</v>
      </c>
      <c r="BA3541" t="s">
        <v>11740</v>
      </c>
      <c r="BB3541">
        <v>0</v>
      </c>
      <c r="BC3541">
        <v>0</v>
      </c>
      <c r="BD3541">
        <v>0</v>
      </c>
      <c r="BE3541">
        <v>0</v>
      </c>
      <c r="BF3541">
        <v>2</v>
      </c>
      <c r="BG3541">
        <v>0</v>
      </c>
    </row>
    <row r="3542" spans="1:59">
      <c r="A3542" s="1">
        <f>HYPERLINK("https://lsnyc.legalserver.org/matter/dynamic-profile/view/1907640","19-1907640")</f>
        <v>0</v>
      </c>
      <c r="B3542" t="s">
        <v>2949</v>
      </c>
      <c r="C3542" t="s">
        <v>7742</v>
      </c>
      <c r="D3542" t="s">
        <v>9938</v>
      </c>
      <c r="E3542" t="s">
        <v>10075</v>
      </c>
      <c r="F3542">
        <v>11434</v>
      </c>
      <c r="G3542" t="s">
        <v>10092</v>
      </c>
      <c r="H3542" t="s">
        <v>10142</v>
      </c>
      <c r="I3542" t="s">
        <v>10168</v>
      </c>
      <c r="J3542" t="s">
        <v>10212</v>
      </c>
      <c r="K3542" t="s">
        <v>10217</v>
      </c>
      <c r="M3542" t="s">
        <v>10347</v>
      </c>
      <c r="N3542" t="s">
        <v>10693</v>
      </c>
      <c r="P3542" t="s">
        <v>10749</v>
      </c>
      <c r="Q3542" t="s">
        <v>10765</v>
      </c>
      <c r="R3542" t="s">
        <v>10825</v>
      </c>
      <c r="T3542">
        <v>44000</v>
      </c>
      <c r="U3542">
        <v>3666.67</v>
      </c>
      <c r="V3542">
        <v>67</v>
      </c>
      <c r="W3542">
        <v>2</v>
      </c>
      <c r="X3542">
        <v>0</v>
      </c>
      <c r="Z3542">
        <v>260.2</v>
      </c>
      <c r="AA3542">
        <v>40.675955</v>
      </c>
      <c r="AB3542">
        <v>-73.77158900000001</v>
      </c>
      <c r="AD3542" t="s">
        <v>10840</v>
      </c>
      <c r="AG3542" t="s">
        <v>10858</v>
      </c>
      <c r="AH3542" t="s">
        <v>10862</v>
      </c>
      <c r="AI3542">
        <v>237</v>
      </c>
      <c r="AJ3542" t="s">
        <v>10212</v>
      </c>
      <c r="AL3542">
        <v>5.43</v>
      </c>
      <c r="AM3542" t="s">
        <v>10892</v>
      </c>
      <c r="AN3542" t="s">
        <v>10951</v>
      </c>
      <c r="AO3542" t="s">
        <v>11017</v>
      </c>
      <c r="AP3542" t="s">
        <v>11070</v>
      </c>
      <c r="AR3542" t="s">
        <v>11257</v>
      </c>
      <c r="AS3542" t="s">
        <v>11594</v>
      </c>
      <c r="BA3542" t="s">
        <v>11738</v>
      </c>
      <c r="BB3542">
        <v>0</v>
      </c>
      <c r="BC3542">
        <v>0</v>
      </c>
      <c r="BD3542">
        <v>0</v>
      </c>
      <c r="BE3542">
        <v>0</v>
      </c>
      <c r="BF3542">
        <v>5</v>
      </c>
      <c r="BG3542">
        <v>0</v>
      </c>
    </row>
    <row r="3543" spans="1:59">
      <c r="A3543" s="1">
        <f>HYPERLINK("https://lsnyc.legalserver.org/matter/dynamic-profile/view/1907641","19-1907641")</f>
        <v>0</v>
      </c>
      <c r="B3543" t="s">
        <v>1131</v>
      </c>
      <c r="C3543" t="s">
        <v>7743</v>
      </c>
      <c r="D3543" t="s">
        <v>9938</v>
      </c>
      <c r="E3543" t="s">
        <v>10075</v>
      </c>
      <c r="F3543">
        <v>11433</v>
      </c>
      <c r="G3543" t="s">
        <v>10092</v>
      </c>
      <c r="H3543" t="s">
        <v>10142</v>
      </c>
      <c r="I3543" t="s">
        <v>10168</v>
      </c>
      <c r="J3543" t="s">
        <v>10212</v>
      </c>
      <c r="K3543" t="s">
        <v>10218</v>
      </c>
      <c r="L3543" t="s">
        <v>10158</v>
      </c>
      <c r="M3543" t="s">
        <v>10360</v>
      </c>
      <c r="N3543" t="s">
        <v>10693</v>
      </c>
      <c r="P3543" t="s">
        <v>10749</v>
      </c>
      <c r="Q3543" t="s">
        <v>10767</v>
      </c>
      <c r="R3543" t="s">
        <v>10824</v>
      </c>
      <c r="T3543">
        <v>10116</v>
      </c>
      <c r="U3543">
        <v>843</v>
      </c>
      <c r="V3543">
        <v>54</v>
      </c>
      <c r="W3543">
        <v>1</v>
      </c>
      <c r="X3543">
        <v>0</v>
      </c>
      <c r="Y3543" t="s">
        <v>10831</v>
      </c>
      <c r="Z3543">
        <v>80.98999999999999</v>
      </c>
      <c r="AA3543">
        <v>40.694163</v>
      </c>
      <c r="AB3543">
        <v>-73.793013</v>
      </c>
      <c r="AD3543" t="s">
        <v>10839</v>
      </c>
      <c r="AG3543" t="s">
        <v>10858</v>
      </c>
      <c r="AH3543" t="s">
        <v>10862</v>
      </c>
      <c r="AI3543">
        <v>237</v>
      </c>
      <c r="AJ3543" t="s">
        <v>10212</v>
      </c>
      <c r="AK3543" t="s">
        <v>10838</v>
      </c>
      <c r="AL3543">
        <v>2.5</v>
      </c>
      <c r="AM3543" t="s">
        <v>10892</v>
      </c>
      <c r="AN3543" t="s">
        <v>10951</v>
      </c>
      <c r="AO3543" t="s">
        <v>11017</v>
      </c>
      <c r="AP3543" t="s">
        <v>11070</v>
      </c>
      <c r="AR3543" t="s">
        <v>11258</v>
      </c>
      <c r="AS3543" t="s">
        <v>11594</v>
      </c>
      <c r="AY3543" t="s">
        <v>10831</v>
      </c>
      <c r="AZ3543" t="s">
        <v>11685</v>
      </c>
      <c r="BA3543" t="s">
        <v>11738</v>
      </c>
      <c r="BB3543">
        <v>0</v>
      </c>
      <c r="BC3543">
        <v>0</v>
      </c>
      <c r="BD3543">
        <v>0</v>
      </c>
      <c r="BE3543">
        <v>0</v>
      </c>
      <c r="BF3543">
        <v>5</v>
      </c>
      <c r="BG3543">
        <v>0</v>
      </c>
    </row>
    <row r="3544" spans="1:59">
      <c r="A3544" s="1">
        <f>HYPERLINK("https://lsnyc.legalserver.org/matter/dynamic-profile/view/1907642","19-1907642")</f>
        <v>0</v>
      </c>
      <c r="B3544" t="s">
        <v>555</v>
      </c>
      <c r="C3544" t="s">
        <v>7744</v>
      </c>
      <c r="D3544" t="s">
        <v>9925</v>
      </c>
      <c r="E3544" t="s">
        <v>10075</v>
      </c>
      <c r="F3544">
        <v>10003</v>
      </c>
      <c r="G3544" t="s">
        <v>10089</v>
      </c>
      <c r="H3544" t="s">
        <v>10120</v>
      </c>
      <c r="I3544" t="s">
        <v>10168</v>
      </c>
      <c r="J3544" t="s">
        <v>10209</v>
      </c>
      <c r="K3544" t="s">
        <v>10218</v>
      </c>
      <c r="L3544" t="s">
        <v>10098</v>
      </c>
      <c r="M3544" t="s">
        <v>10503</v>
      </c>
      <c r="N3544" t="s">
        <v>10721</v>
      </c>
      <c r="P3544" t="s">
        <v>10754</v>
      </c>
      <c r="Q3544" t="s">
        <v>10775</v>
      </c>
      <c r="R3544" t="s">
        <v>10820</v>
      </c>
      <c r="T3544">
        <v>57600</v>
      </c>
      <c r="U3544">
        <v>4800</v>
      </c>
      <c r="V3544">
        <v>74</v>
      </c>
      <c r="W3544">
        <v>2</v>
      </c>
      <c r="X3544">
        <v>0</v>
      </c>
      <c r="Y3544" t="s">
        <v>10829</v>
      </c>
      <c r="Z3544">
        <v>340.63</v>
      </c>
      <c r="AA3544">
        <v>40.736734</v>
      </c>
      <c r="AB3544">
        <v>-73.985409</v>
      </c>
      <c r="AD3544" t="s">
        <v>10839</v>
      </c>
      <c r="AG3544" t="s">
        <v>10858</v>
      </c>
      <c r="AH3544" t="s">
        <v>10865</v>
      </c>
      <c r="AI3544">
        <v>236</v>
      </c>
      <c r="AJ3544" t="s">
        <v>10209</v>
      </c>
      <c r="AK3544" t="s">
        <v>10837</v>
      </c>
      <c r="AL3544">
        <v>4</v>
      </c>
      <c r="AQ3544" t="s">
        <v>11114</v>
      </c>
      <c r="AR3544" t="s">
        <v>11257</v>
      </c>
      <c r="AS3544" t="s">
        <v>9925</v>
      </c>
      <c r="AT3544" t="s">
        <v>11641</v>
      </c>
      <c r="AY3544" t="s">
        <v>10829</v>
      </c>
      <c r="AZ3544" t="s">
        <v>11683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</row>
    <row r="3545" spans="1:59">
      <c r="A3545" s="1">
        <f>HYPERLINK("https://lsnyc.legalserver.org/matter/dynamic-profile/view/1907643","19-1907643")</f>
        <v>0</v>
      </c>
      <c r="B3545" t="s">
        <v>2762</v>
      </c>
      <c r="C3545" t="s">
        <v>7545</v>
      </c>
      <c r="D3545" t="s">
        <v>9925</v>
      </c>
      <c r="E3545" t="s">
        <v>10075</v>
      </c>
      <c r="F3545">
        <v>10027</v>
      </c>
      <c r="G3545" t="s">
        <v>10089</v>
      </c>
      <c r="H3545" t="s">
        <v>10142</v>
      </c>
      <c r="I3545" t="s">
        <v>10168</v>
      </c>
      <c r="J3545" t="s">
        <v>10209</v>
      </c>
      <c r="K3545" t="s">
        <v>10217</v>
      </c>
      <c r="M3545" t="s">
        <v>10267</v>
      </c>
      <c r="N3545" t="s">
        <v>10688</v>
      </c>
      <c r="P3545" t="s">
        <v>10751</v>
      </c>
      <c r="Q3545" t="s">
        <v>10776</v>
      </c>
      <c r="R3545" t="s">
        <v>10824</v>
      </c>
      <c r="T3545">
        <v>5330</v>
      </c>
      <c r="U3545">
        <v>444.17</v>
      </c>
      <c r="V3545">
        <v>37</v>
      </c>
      <c r="W3545">
        <v>2</v>
      </c>
      <c r="X3545">
        <v>2</v>
      </c>
      <c r="Z3545">
        <v>20.7</v>
      </c>
      <c r="AA3545">
        <v>40.813016</v>
      </c>
      <c r="AB3545">
        <v>-73.954555</v>
      </c>
      <c r="AD3545" t="s">
        <v>10839</v>
      </c>
      <c r="AG3545" t="s">
        <v>10858</v>
      </c>
      <c r="AH3545" t="s">
        <v>10862</v>
      </c>
      <c r="AI3545">
        <v>236</v>
      </c>
      <c r="AJ3545" t="s">
        <v>10209</v>
      </c>
      <c r="AL3545">
        <v>8.5</v>
      </c>
      <c r="AR3545" t="s">
        <v>11260</v>
      </c>
      <c r="AS3545" t="s">
        <v>9925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</row>
    <row r="3546" spans="1:59">
      <c r="A3546" s="1">
        <f>HYPERLINK("https://lsnyc.legalserver.org/matter/dynamic-profile/view/1907644","19-1907644")</f>
        <v>0</v>
      </c>
      <c r="B3546" t="s">
        <v>2950</v>
      </c>
      <c r="C3546" t="s">
        <v>7745</v>
      </c>
      <c r="D3546" t="s">
        <v>9938</v>
      </c>
      <c r="E3546" t="s">
        <v>10075</v>
      </c>
      <c r="F3546">
        <v>11433</v>
      </c>
      <c r="G3546" t="s">
        <v>10092</v>
      </c>
      <c r="H3546" t="s">
        <v>10142</v>
      </c>
      <c r="I3546" t="s">
        <v>10168</v>
      </c>
      <c r="J3546" t="s">
        <v>10212</v>
      </c>
      <c r="K3546" t="s">
        <v>10218</v>
      </c>
      <c r="L3546" t="s">
        <v>10158</v>
      </c>
      <c r="M3546" t="s">
        <v>10360</v>
      </c>
      <c r="N3546" t="s">
        <v>10693</v>
      </c>
      <c r="P3546" t="s">
        <v>10749</v>
      </c>
      <c r="Q3546" t="s">
        <v>10767</v>
      </c>
      <c r="R3546" t="s">
        <v>10824</v>
      </c>
      <c r="T3546">
        <v>31680</v>
      </c>
      <c r="U3546">
        <v>2640</v>
      </c>
      <c r="V3546">
        <v>54</v>
      </c>
      <c r="W3546">
        <v>1</v>
      </c>
      <c r="X3546">
        <v>1</v>
      </c>
      <c r="Y3546" t="s">
        <v>10831</v>
      </c>
      <c r="Z3546">
        <v>187.34</v>
      </c>
      <c r="AA3546">
        <v>40.694536</v>
      </c>
      <c r="AB3546">
        <v>-73.79378199999999</v>
      </c>
      <c r="AD3546" t="s">
        <v>10839</v>
      </c>
      <c r="AG3546" t="s">
        <v>10858</v>
      </c>
      <c r="AH3546" t="s">
        <v>10862</v>
      </c>
      <c r="AI3546">
        <v>237</v>
      </c>
      <c r="AJ3546" t="s">
        <v>10212</v>
      </c>
      <c r="AK3546" t="s">
        <v>10838</v>
      </c>
      <c r="AL3546">
        <v>2.5</v>
      </c>
      <c r="AM3546" t="s">
        <v>10892</v>
      </c>
      <c r="AN3546" t="s">
        <v>10951</v>
      </c>
      <c r="AO3546" t="s">
        <v>11017</v>
      </c>
      <c r="AP3546" t="s">
        <v>11070</v>
      </c>
      <c r="AR3546" t="s">
        <v>11280</v>
      </c>
      <c r="AS3546" t="s">
        <v>11594</v>
      </c>
      <c r="AY3546" t="s">
        <v>10831</v>
      </c>
      <c r="AZ3546" t="s">
        <v>11685</v>
      </c>
      <c r="BA3546" t="s">
        <v>11738</v>
      </c>
      <c r="BB3546">
        <v>0</v>
      </c>
      <c r="BC3546">
        <v>0</v>
      </c>
      <c r="BD3546">
        <v>0</v>
      </c>
      <c r="BE3546">
        <v>0</v>
      </c>
      <c r="BF3546">
        <v>5</v>
      </c>
      <c r="BG3546">
        <v>0</v>
      </c>
    </row>
    <row r="3547" spans="1:59">
      <c r="A3547" s="1">
        <f>HYPERLINK("https://lsnyc.legalserver.org/matter/dynamic-profile/view/1907645","19-1907645")</f>
        <v>0</v>
      </c>
      <c r="B3547" t="s">
        <v>2951</v>
      </c>
      <c r="C3547" t="s">
        <v>7746</v>
      </c>
      <c r="D3547" t="s">
        <v>9928</v>
      </c>
      <c r="E3547" t="s">
        <v>10075</v>
      </c>
      <c r="F3547">
        <v>11233</v>
      </c>
      <c r="G3547" t="s">
        <v>10093</v>
      </c>
      <c r="H3547" t="s">
        <v>10142</v>
      </c>
      <c r="I3547" t="s">
        <v>10168</v>
      </c>
      <c r="J3547" t="s">
        <v>10213</v>
      </c>
      <c r="K3547" t="s">
        <v>10217</v>
      </c>
      <c r="M3547" t="s">
        <v>10280</v>
      </c>
      <c r="N3547" t="s">
        <v>10671</v>
      </c>
      <c r="P3547" t="s">
        <v>10751</v>
      </c>
      <c r="Q3547" t="s">
        <v>10780</v>
      </c>
      <c r="R3547" t="s">
        <v>10824</v>
      </c>
      <c r="T3547">
        <v>0</v>
      </c>
      <c r="U3547">
        <v>0</v>
      </c>
      <c r="V3547">
        <v>53</v>
      </c>
      <c r="W3547">
        <v>1</v>
      </c>
      <c r="X3547">
        <v>0</v>
      </c>
      <c r="Z3547">
        <v>0</v>
      </c>
      <c r="AA3547">
        <v>40.670213</v>
      </c>
      <c r="AB3547">
        <v>-73.921177</v>
      </c>
      <c r="AD3547" t="s">
        <v>10839</v>
      </c>
      <c r="AG3547" t="s">
        <v>10858</v>
      </c>
      <c r="AH3547" t="s">
        <v>10861</v>
      </c>
      <c r="AI3547">
        <v>234</v>
      </c>
      <c r="AJ3547" t="s">
        <v>10214</v>
      </c>
      <c r="AL3547">
        <v>3.5</v>
      </c>
      <c r="AM3547" t="s">
        <v>10888</v>
      </c>
      <c r="AN3547" t="s">
        <v>10922</v>
      </c>
      <c r="AO3547" t="s">
        <v>11005</v>
      </c>
      <c r="AP3547" t="s">
        <v>11064</v>
      </c>
      <c r="AR3547" t="s">
        <v>11279</v>
      </c>
      <c r="AS3547" t="s">
        <v>11595</v>
      </c>
      <c r="AT3547" t="s">
        <v>11641</v>
      </c>
      <c r="AX3547" t="s">
        <v>10838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</row>
    <row r="3548" spans="1:59">
      <c r="A3548" s="1">
        <f>HYPERLINK("https://lsnyc.legalserver.org/matter/dynamic-profile/view/1907646","19-1907646")</f>
        <v>0</v>
      </c>
      <c r="B3548" t="s">
        <v>2952</v>
      </c>
      <c r="C3548" t="s">
        <v>7747</v>
      </c>
      <c r="D3548" t="s">
        <v>9926</v>
      </c>
      <c r="E3548" t="s">
        <v>10075</v>
      </c>
      <c r="F3548">
        <v>10460</v>
      </c>
      <c r="G3548" t="s">
        <v>10091</v>
      </c>
      <c r="H3548" t="s">
        <v>10142</v>
      </c>
      <c r="I3548" t="s">
        <v>10168</v>
      </c>
      <c r="J3548" t="s">
        <v>10211</v>
      </c>
      <c r="K3548" t="s">
        <v>10217</v>
      </c>
      <c r="M3548" t="s">
        <v>10231</v>
      </c>
      <c r="N3548" t="s">
        <v>10647</v>
      </c>
      <c r="P3548" t="s">
        <v>10752</v>
      </c>
      <c r="Q3548" t="s">
        <v>10762</v>
      </c>
      <c r="R3548" t="s">
        <v>10824</v>
      </c>
      <c r="T3548">
        <v>12396</v>
      </c>
      <c r="U3548">
        <v>1033</v>
      </c>
      <c r="V3548">
        <v>39</v>
      </c>
      <c r="W3548">
        <v>1</v>
      </c>
      <c r="X3548">
        <v>1</v>
      </c>
      <c r="Z3548">
        <v>73.31</v>
      </c>
      <c r="AA3548">
        <v>40.843264</v>
      </c>
      <c r="AB3548">
        <v>-73.86854200000001</v>
      </c>
      <c r="AD3548" t="s">
        <v>10839</v>
      </c>
      <c r="AG3548" t="s">
        <v>10858</v>
      </c>
      <c r="AH3548" t="s">
        <v>10861</v>
      </c>
      <c r="AI3548">
        <v>234</v>
      </c>
      <c r="AJ3548" t="s">
        <v>10214</v>
      </c>
      <c r="AL3548">
        <v>0.7</v>
      </c>
      <c r="AM3548" t="s">
        <v>10885</v>
      </c>
      <c r="AN3548" t="s">
        <v>10908</v>
      </c>
      <c r="AO3548" t="s">
        <v>11000</v>
      </c>
      <c r="AP3548" t="s">
        <v>11056</v>
      </c>
      <c r="AR3548" t="s">
        <v>11338</v>
      </c>
      <c r="AS3548" t="s">
        <v>9926</v>
      </c>
      <c r="AT3548" t="s">
        <v>11641</v>
      </c>
      <c r="AX3548" t="s">
        <v>10838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</row>
    <row r="3549" spans="1:59">
      <c r="A3549" s="1">
        <f>HYPERLINK("https://lsnyc.legalserver.org/matter/dynamic-profile/view/1907647","19-1907647")</f>
        <v>0</v>
      </c>
      <c r="B3549" t="s">
        <v>2953</v>
      </c>
      <c r="C3549" t="s">
        <v>7748</v>
      </c>
      <c r="D3549" t="s">
        <v>9949</v>
      </c>
      <c r="E3549" t="s">
        <v>10075</v>
      </c>
      <c r="F3549">
        <v>11413</v>
      </c>
      <c r="G3549" t="s">
        <v>10091</v>
      </c>
      <c r="H3549" t="s">
        <v>10142</v>
      </c>
      <c r="I3549" t="s">
        <v>10168</v>
      </c>
      <c r="J3549" t="s">
        <v>10214</v>
      </c>
      <c r="K3549" t="s">
        <v>10217</v>
      </c>
      <c r="M3549" t="s">
        <v>10286</v>
      </c>
      <c r="N3549" t="s">
        <v>10671</v>
      </c>
      <c r="P3549" t="s">
        <v>10750</v>
      </c>
      <c r="Q3549" t="s">
        <v>10760</v>
      </c>
      <c r="R3549" t="s">
        <v>10824</v>
      </c>
      <c r="T3549">
        <v>0</v>
      </c>
      <c r="U3549">
        <v>0</v>
      </c>
      <c r="V3549">
        <v>52</v>
      </c>
      <c r="W3549">
        <v>1</v>
      </c>
      <c r="X3549">
        <v>1</v>
      </c>
      <c r="Z3549">
        <v>0</v>
      </c>
      <c r="AA3549">
        <v>40.661833</v>
      </c>
      <c r="AB3549">
        <v>-73.75032400000001</v>
      </c>
      <c r="AD3549" t="s">
        <v>10839</v>
      </c>
      <c r="AF3549" t="s">
        <v>10843</v>
      </c>
      <c r="AG3549" t="s">
        <v>10859</v>
      </c>
      <c r="AH3549" t="s">
        <v>10861</v>
      </c>
      <c r="AI3549">
        <v>234</v>
      </c>
      <c r="AJ3549" t="s">
        <v>10214</v>
      </c>
      <c r="AL3549">
        <v>1.2</v>
      </c>
      <c r="AM3549" t="s">
        <v>10892</v>
      </c>
      <c r="AN3549" t="s">
        <v>10930</v>
      </c>
      <c r="AO3549" t="s">
        <v>11017</v>
      </c>
      <c r="AP3549" t="s">
        <v>11082</v>
      </c>
      <c r="AR3549" t="s">
        <v>11267</v>
      </c>
      <c r="AS3549" t="s">
        <v>11594</v>
      </c>
      <c r="AT3549" t="s">
        <v>11641</v>
      </c>
      <c r="AX3549" t="s">
        <v>10838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</row>
    <row r="3550" spans="1:59">
      <c r="A3550" s="1">
        <f>HYPERLINK("https://lsnyc.legalserver.org/matter/dynamic-profile/view/1907648","19-1907648")</f>
        <v>0</v>
      </c>
      <c r="B3550" t="s">
        <v>2954</v>
      </c>
      <c r="C3550" t="s">
        <v>7749</v>
      </c>
      <c r="D3550" t="s">
        <v>9954</v>
      </c>
      <c r="E3550" t="s">
        <v>10075</v>
      </c>
      <c r="F3550">
        <v>11372</v>
      </c>
      <c r="G3550" t="s">
        <v>10092</v>
      </c>
      <c r="H3550" t="s">
        <v>10142</v>
      </c>
      <c r="I3550" t="s">
        <v>10169</v>
      </c>
      <c r="J3550" t="s">
        <v>10212</v>
      </c>
      <c r="K3550" t="s">
        <v>10217</v>
      </c>
      <c r="M3550" t="s">
        <v>10311</v>
      </c>
      <c r="N3550" t="s">
        <v>10684</v>
      </c>
      <c r="P3550" t="s">
        <v>10751</v>
      </c>
      <c r="Q3550" t="s">
        <v>10786</v>
      </c>
      <c r="R3550" t="s">
        <v>10821</v>
      </c>
      <c r="T3550">
        <v>9600</v>
      </c>
      <c r="U3550">
        <v>800</v>
      </c>
      <c r="V3550">
        <v>79</v>
      </c>
      <c r="W3550">
        <v>1</v>
      </c>
      <c r="X3550">
        <v>0</v>
      </c>
      <c r="Z3550">
        <v>76.86</v>
      </c>
      <c r="AA3550">
        <v>40.751993</v>
      </c>
      <c r="AB3550">
        <v>-73.891999</v>
      </c>
      <c r="AD3550" t="s">
        <v>10839</v>
      </c>
      <c r="AG3550" t="s">
        <v>10858</v>
      </c>
      <c r="AH3550" t="s">
        <v>10873</v>
      </c>
      <c r="AI3550">
        <v>237</v>
      </c>
      <c r="AJ3550" t="s">
        <v>10212</v>
      </c>
      <c r="AL3550">
        <v>3.5</v>
      </c>
      <c r="AM3550" t="s">
        <v>10885</v>
      </c>
      <c r="AN3550" t="s">
        <v>10909</v>
      </c>
      <c r="AO3550" t="s">
        <v>11014</v>
      </c>
      <c r="AP3550" t="s">
        <v>11053</v>
      </c>
      <c r="AR3550" t="s">
        <v>11268</v>
      </c>
      <c r="AS3550" t="s">
        <v>11594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</row>
    <row r="3551" spans="1:59">
      <c r="A3551" s="1">
        <f>HYPERLINK("https://lsnyc.legalserver.org/matter/dynamic-profile/view/1907649","19-1907649")</f>
        <v>0</v>
      </c>
      <c r="B3551" t="s">
        <v>2955</v>
      </c>
      <c r="C3551" t="s">
        <v>7750</v>
      </c>
      <c r="D3551" t="s">
        <v>9926</v>
      </c>
      <c r="E3551" t="s">
        <v>10075</v>
      </c>
      <c r="F3551">
        <v>10452</v>
      </c>
      <c r="G3551" t="s">
        <v>10090</v>
      </c>
      <c r="H3551" t="s">
        <v>10142</v>
      </c>
      <c r="I3551" t="s">
        <v>10168</v>
      </c>
      <c r="J3551" t="s">
        <v>10210</v>
      </c>
      <c r="K3551" t="s">
        <v>10218</v>
      </c>
      <c r="L3551" t="s">
        <v>10156</v>
      </c>
      <c r="M3551" t="s">
        <v>10316</v>
      </c>
      <c r="N3551" t="s">
        <v>10666</v>
      </c>
      <c r="P3551" t="s">
        <v>10749</v>
      </c>
      <c r="Q3551" t="s">
        <v>10765</v>
      </c>
      <c r="R3551" t="s">
        <v>10824</v>
      </c>
      <c r="T3551">
        <v>28600</v>
      </c>
      <c r="U3551">
        <v>2383.33</v>
      </c>
      <c r="V3551">
        <v>46</v>
      </c>
      <c r="W3551">
        <v>1</v>
      </c>
      <c r="X3551">
        <v>0</v>
      </c>
      <c r="Y3551" t="s">
        <v>10831</v>
      </c>
      <c r="Z3551">
        <v>228.98</v>
      </c>
      <c r="AA3551">
        <v>40.830372</v>
      </c>
      <c r="AB3551">
        <v>-73.922526</v>
      </c>
      <c r="AD3551" t="s">
        <v>10840</v>
      </c>
      <c r="AG3551" t="s">
        <v>10858</v>
      </c>
      <c r="AH3551" t="s">
        <v>10862</v>
      </c>
      <c r="AI3551">
        <v>230</v>
      </c>
      <c r="AJ3551" t="s">
        <v>10210</v>
      </c>
      <c r="AK3551" t="s">
        <v>10882</v>
      </c>
      <c r="AL3551">
        <v>10</v>
      </c>
      <c r="AM3551" t="s">
        <v>10884</v>
      </c>
      <c r="AN3551" t="s">
        <v>10924</v>
      </c>
      <c r="AO3551" t="s">
        <v>11013</v>
      </c>
      <c r="AP3551" t="s">
        <v>11066</v>
      </c>
      <c r="AR3551" t="s">
        <v>11257</v>
      </c>
      <c r="AS3551" t="s">
        <v>9926</v>
      </c>
      <c r="AX3551" t="s">
        <v>10838</v>
      </c>
      <c r="AY3551" t="s">
        <v>10831</v>
      </c>
      <c r="AZ3551" t="s">
        <v>11687</v>
      </c>
      <c r="BA3551" t="s">
        <v>11738</v>
      </c>
      <c r="BB3551">
        <v>0</v>
      </c>
      <c r="BC3551">
        <v>0</v>
      </c>
      <c r="BD3551">
        <v>0</v>
      </c>
      <c r="BE3551">
        <v>0</v>
      </c>
      <c r="BF3551">
        <v>5</v>
      </c>
      <c r="BG3551">
        <v>0</v>
      </c>
    </row>
    <row r="3552" spans="1:59">
      <c r="A3552" s="1">
        <f>HYPERLINK("https://lsnyc.legalserver.org/matter/dynamic-profile/view/1907650","19-1907650")</f>
        <v>0</v>
      </c>
      <c r="C3552" t="s">
        <v>7751</v>
      </c>
      <c r="D3552" t="s">
        <v>9928</v>
      </c>
      <c r="E3552" t="s">
        <v>10075</v>
      </c>
      <c r="F3552">
        <v>11215</v>
      </c>
      <c r="G3552" t="s">
        <v>10089</v>
      </c>
      <c r="H3552" t="s">
        <v>10142</v>
      </c>
      <c r="J3552" t="s">
        <v>10209</v>
      </c>
      <c r="K3552" t="s">
        <v>10217</v>
      </c>
      <c r="M3552" t="s">
        <v>10490</v>
      </c>
      <c r="N3552" t="s">
        <v>10718</v>
      </c>
      <c r="T3552">
        <v>0</v>
      </c>
      <c r="U3552">
        <v>0</v>
      </c>
      <c r="V3552">
        <v>0</v>
      </c>
      <c r="W3552">
        <v>0</v>
      </c>
      <c r="X3552">
        <v>0</v>
      </c>
      <c r="Z3552">
        <v>0</v>
      </c>
      <c r="AA3552">
        <v>40.670669</v>
      </c>
      <c r="AB3552">
        <v>-73.98482799999999</v>
      </c>
      <c r="AH3552" t="s">
        <v>10861</v>
      </c>
      <c r="AI3552">
        <v>234</v>
      </c>
      <c r="AJ3552" t="s">
        <v>10214</v>
      </c>
      <c r="AL3552">
        <v>12</v>
      </c>
      <c r="AM3552" t="s">
        <v>10886</v>
      </c>
      <c r="AN3552" t="s">
        <v>10917</v>
      </c>
      <c r="AO3552" t="s">
        <v>11008</v>
      </c>
      <c r="AP3552" t="s">
        <v>11059</v>
      </c>
      <c r="AS3552" t="s">
        <v>11595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</row>
    <row r="3553" spans="1:59">
      <c r="A3553" s="1">
        <f>HYPERLINK("https://lsnyc.legalserver.org/matter/dynamic-profile/view/1907651","19-1907651")</f>
        <v>0</v>
      </c>
      <c r="B3553" t="s">
        <v>2956</v>
      </c>
      <c r="C3553" t="s">
        <v>7752</v>
      </c>
      <c r="D3553" t="s">
        <v>9925</v>
      </c>
      <c r="E3553" t="s">
        <v>10075</v>
      </c>
      <c r="F3553">
        <v>10033</v>
      </c>
      <c r="G3553" t="s">
        <v>10089</v>
      </c>
      <c r="H3553" t="s">
        <v>10142</v>
      </c>
      <c r="I3553" t="s">
        <v>10168</v>
      </c>
      <c r="J3553" t="s">
        <v>10209</v>
      </c>
      <c r="K3553" t="s">
        <v>10217</v>
      </c>
      <c r="M3553" t="s">
        <v>10459</v>
      </c>
      <c r="N3553" t="s">
        <v>10656</v>
      </c>
      <c r="P3553" t="s">
        <v>10751</v>
      </c>
      <c r="Q3553" t="s">
        <v>10780</v>
      </c>
      <c r="R3553" t="s">
        <v>10821</v>
      </c>
      <c r="T3553">
        <v>2304</v>
      </c>
      <c r="U3553">
        <v>192</v>
      </c>
      <c r="V3553">
        <v>32</v>
      </c>
      <c r="W3553">
        <v>1</v>
      </c>
      <c r="X3553">
        <v>0</v>
      </c>
      <c r="Z3553">
        <v>18.45</v>
      </c>
      <c r="AA3553">
        <v>40.845535</v>
      </c>
      <c r="AB3553">
        <v>-73.932827</v>
      </c>
      <c r="AD3553" t="s">
        <v>10840</v>
      </c>
      <c r="AG3553" t="s">
        <v>10858</v>
      </c>
      <c r="AH3553" t="s">
        <v>10861</v>
      </c>
      <c r="AI3553">
        <v>234</v>
      </c>
      <c r="AJ3553" t="s">
        <v>10214</v>
      </c>
      <c r="AL3553">
        <v>3.35</v>
      </c>
      <c r="AM3553" t="s">
        <v>10887</v>
      </c>
      <c r="AN3553" t="s">
        <v>10937</v>
      </c>
      <c r="AO3553" t="s">
        <v>11019</v>
      </c>
      <c r="AP3553" t="s">
        <v>11074</v>
      </c>
      <c r="AQ3553" t="s">
        <v>11118</v>
      </c>
      <c r="AR3553" t="s">
        <v>11279</v>
      </c>
      <c r="AS3553" t="s">
        <v>9925</v>
      </c>
      <c r="AT3553" t="s">
        <v>11641</v>
      </c>
      <c r="AX3553" t="s">
        <v>10838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</row>
    <row r="3554" spans="1:59">
      <c r="A3554" s="1">
        <f>HYPERLINK("https://lsnyc.legalserver.org/matter/dynamic-profile/view/1907652","19-1907652")</f>
        <v>0</v>
      </c>
      <c r="B3554" t="s">
        <v>2957</v>
      </c>
      <c r="C3554" t="s">
        <v>7753</v>
      </c>
      <c r="D3554" t="s">
        <v>9928</v>
      </c>
      <c r="E3554" t="s">
        <v>10075</v>
      </c>
      <c r="F3554">
        <v>11207</v>
      </c>
      <c r="G3554" t="s">
        <v>10093</v>
      </c>
      <c r="H3554" t="s">
        <v>10142</v>
      </c>
      <c r="I3554" t="s">
        <v>10168</v>
      </c>
      <c r="J3554" t="s">
        <v>10213</v>
      </c>
      <c r="K3554" t="s">
        <v>10218</v>
      </c>
      <c r="L3554" t="s">
        <v>10166</v>
      </c>
      <c r="M3554" t="s">
        <v>10457</v>
      </c>
      <c r="N3554" t="s">
        <v>10698</v>
      </c>
      <c r="P3554" t="s">
        <v>10749</v>
      </c>
      <c r="Q3554" t="s">
        <v>10765</v>
      </c>
      <c r="R3554" t="s">
        <v>10824</v>
      </c>
      <c r="T3554">
        <v>4888</v>
      </c>
      <c r="U3554">
        <v>407.33</v>
      </c>
      <c r="V3554">
        <v>33</v>
      </c>
      <c r="W3554">
        <v>1</v>
      </c>
      <c r="X3554">
        <v>0</v>
      </c>
      <c r="Y3554" t="s">
        <v>10830</v>
      </c>
      <c r="Z3554">
        <v>39.14</v>
      </c>
      <c r="AA3554">
        <v>40.671671</v>
      </c>
      <c r="AB3554">
        <v>-73.890317</v>
      </c>
      <c r="AD3554" t="s">
        <v>10840</v>
      </c>
      <c r="AG3554" t="s">
        <v>10858</v>
      </c>
      <c r="AH3554" t="s">
        <v>10871</v>
      </c>
      <c r="AI3554">
        <v>234</v>
      </c>
      <c r="AJ3554" t="s">
        <v>10214</v>
      </c>
      <c r="AK3554" t="s">
        <v>10838</v>
      </c>
      <c r="AL3554">
        <v>8.25</v>
      </c>
      <c r="AM3554" t="s">
        <v>10889</v>
      </c>
      <c r="AN3554" t="s">
        <v>10922</v>
      </c>
      <c r="AO3554" t="s">
        <v>11012</v>
      </c>
      <c r="AP3554" t="s">
        <v>11058</v>
      </c>
      <c r="AR3554" t="s">
        <v>11321</v>
      </c>
      <c r="AS3554" t="s">
        <v>11595</v>
      </c>
      <c r="AT3554" t="s">
        <v>11642</v>
      </c>
      <c r="AX3554" t="s">
        <v>10837</v>
      </c>
      <c r="AY3554" t="s">
        <v>10830</v>
      </c>
      <c r="AZ3554" t="s">
        <v>11690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</row>
    <row r="3555" spans="1:59">
      <c r="A3555" s="1">
        <f>HYPERLINK("https://lsnyc.legalserver.org/matter/dynamic-profile/view/1907653","19-1907653")</f>
        <v>0</v>
      </c>
      <c r="B3555" t="s">
        <v>2958</v>
      </c>
      <c r="C3555" t="s">
        <v>7754</v>
      </c>
      <c r="D3555" t="s">
        <v>9929</v>
      </c>
      <c r="E3555" t="s">
        <v>10075</v>
      </c>
      <c r="F3555">
        <v>10305</v>
      </c>
      <c r="G3555" t="s">
        <v>10091</v>
      </c>
      <c r="H3555" t="s">
        <v>10142</v>
      </c>
      <c r="I3555" t="s">
        <v>10171</v>
      </c>
      <c r="J3555" t="s">
        <v>10214</v>
      </c>
      <c r="K3555" t="s">
        <v>10217</v>
      </c>
      <c r="M3555" t="s">
        <v>10537</v>
      </c>
      <c r="N3555" t="s">
        <v>10671</v>
      </c>
      <c r="P3555" t="s">
        <v>10753</v>
      </c>
      <c r="Q3555" t="s">
        <v>10763</v>
      </c>
      <c r="R3555" t="s">
        <v>10820</v>
      </c>
      <c r="T3555">
        <v>10284</v>
      </c>
      <c r="U3555">
        <v>857</v>
      </c>
      <c r="V3555">
        <v>60</v>
      </c>
      <c r="W3555">
        <v>2</v>
      </c>
      <c r="X3555">
        <v>0</v>
      </c>
      <c r="Z3555">
        <v>60.82</v>
      </c>
      <c r="AA3555">
        <v>40.59417</v>
      </c>
      <c r="AB3555">
        <v>-74.0707</v>
      </c>
      <c r="AD3555" t="s">
        <v>10840</v>
      </c>
      <c r="AF3555" t="s">
        <v>10843</v>
      </c>
      <c r="AG3555" t="s">
        <v>10859</v>
      </c>
      <c r="AH3555" t="s">
        <v>10861</v>
      </c>
      <c r="AI3555">
        <v>234</v>
      </c>
      <c r="AJ3555" t="s">
        <v>10214</v>
      </c>
      <c r="AL3555">
        <v>1.15</v>
      </c>
      <c r="AM3555" t="s">
        <v>10883</v>
      </c>
      <c r="AN3555" t="s">
        <v>10915</v>
      </c>
      <c r="AO3555" t="s">
        <v>11006</v>
      </c>
      <c r="AP3555" t="s">
        <v>11063</v>
      </c>
      <c r="AR3555" t="s">
        <v>11298</v>
      </c>
      <c r="AS3555" t="s">
        <v>11593</v>
      </c>
      <c r="AT3555" t="s">
        <v>11642</v>
      </c>
      <c r="AX3555" t="s">
        <v>10838</v>
      </c>
      <c r="BA3555" t="s">
        <v>11742</v>
      </c>
      <c r="BB3555">
        <v>0</v>
      </c>
      <c r="BC3555">
        <v>0</v>
      </c>
      <c r="BD3555">
        <v>0</v>
      </c>
      <c r="BE3555">
        <v>0</v>
      </c>
      <c r="BF3555">
        <v>7</v>
      </c>
      <c r="BG3555">
        <v>0</v>
      </c>
    </row>
    <row r="3556" spans="1:59">
      <c r="A3556" s="1">
        <f>HYPERLINK("https://lsnyc.legalserver.org/matter/dynamic-profile/view/1907654","19-1907654")</f>
        <v>0</v>
      </c>
      <c r="B3556" t="s">
        <v>2959</v>
      </c>
      <c r="C3556" t="s">
        <v>6758</v>
      </c>
      <c r="D3556" t="s">
        <v>9926</v>
      </c>
      <c r="E3556" t="s">
        <v>10075</v>
      </c>
      <c r="F3556">
        <v>10467</v>
      </c>
      <c r="G3556" t="s">
        <v>10090</v>
      </c>
      <c r="H3556" t="s">
        <v>10142</v>
      </c>
      <c r="I3556" t="s">
        <v>10168</v>
      </c>
      <c r="J3556" t="s">
        <v>10210</v>
      </c>
      <c r="K3556" t="s">
        <v>10217</v>
      </c>
      <c r="M3556" t="s">
        <v>10511</v>
      </c>
      <c r="N3556" t="s">
        <v>10651</v>
      </c>
      <c r="P3556" t="s">
        <v>10749</v>
      </c>
      <c r="Q3556" t="s">
        <v>10765</v>
      </c>
      <c r="R3556" t="s">
        <v>10821</v>
      </c>
      <c r="T3556">
        <v>26000</v>
      </c>
      <c r="U3556">
        <v>2166.67</v>
      </c>
      <c r="V3556">
        <v>32</v>
      </c>
      <c r="W3556">
        <v>2</v>
      </c>
      <c r="X3556">
        <v>4</v>
      </c>
      <c r="Z3556">
        <v>75.17</v>
      </c>
      <c r="AA3556">
        <v>40.875112</v>
      </c>
      <c r="AB3556">
        <v>-73.877989</v>
      </c>
      <c r="AD3556" t="s">
        <v>10839</v>
      </c>
      <c r="AF3556" t="s">
        <v>10850</v>
      </c>
      <c r="AG3556" t="s">
        <v>10859</v>
      </c>
      <c r="AH3556" t="s">
        <v>10861</v>
      </c>
      <c r="AI3556">
        <v>230</v>
      </c>
      <c r="AJ3556" t="s">
        <v>10210</v>
      </c>
      <c r="AL3556">
        <v>6.5</v>
      </c>
      <c r="AM3556" t="s">
        <v>10887</v>
      </c>
      <c r="AN3556" t="s">
        <v>10938</v>
      </c>
      <c r="AO3556" t="s">
        <v>11010</v>
      </c>
      <c r="AP3556" t="s">
        <v>11057</v>
      </c>
      <c r="AR3556" t="s">
        <v>11257</v>
      </c>
      <c r="AS3556" t="s">
        <v>9926</v>
      </c>
      <c r="AT3556" t="s">
        <v>11641</v>
      </c>
      <c r="AX3556" t="s">
        <v>10838</v>
      </c>
      <c r="BA3556" t="s">
        <v>11738</v>
      </c>
      <c r="BB3556">
        <v>0</v>
      </c>
      <c r="BC3556">
        <v>0</v>
      </c>
      <c r="BD3556">
        <v>0</v>
      </c>
      <c r="BE3556">
        <v>0</v>
      </c>
      <c r="BF3556">
        <v>5</v>
      </c>
      <c r="BG3556">
        <v>0</v>
      </c>
    </row>
    <row r="3557" spans="1:59">
      <c r="A3557" s="1">
        <f>HYPERLINK("https://lsnyc.legalserver.org/matter/dynamic-profile/view/1907655","19-1907655")</f>
        <v>0</v>
      </c>
      <c r="B3557" t="s">
        <v>2960</v>
      </c>
      <c r="C3557" t="s">
        <v>7755</v>
      </c>
      <c r="D3557" t="s">
        <v>9925</v>
      </c>
      <c r="E3557" t="s">
        <v>10075</v>
      </c>
      <c r="F3557">
        <v>10009</v>
      </c>
      <c r="G3557" t="s">
        <v>10089</v>
      </c>
      <c r="H3557" t="s">
        <v>10120</v>
      </c>
      <c r="I3557" t="s">
        <v>10168</v>
      </c>
      <c r="J3557" t="s">
        <v>10209</v>
      </c>
      <c r="K3557" t="s">
        <v>10217</v>
      </c>
      <c r="M3557" t="s">
        <v>10503</v>
      </c>
      <c r="N3557" t="s">
        <v>10721</v>
      </c>
      <c r="P3557" t="s">
        <v>10754</v>
      </c>
      <c r="Q3557" t="s">
        <v>10777</v>
      </c>
      <c r="R3557" t="s">
        <v>10821</v>
      </c>
      <c r="T3557">
        <v>15600</v>
      </c>
      <c r="U3557">
        <v>1300</v>
      </c>
      <c r="V3557">
        <v>50</v>
      </c>
      <c r="W3557">
        <v>1</v>
      </c>
      <c r="X3557">
        <v>1</v>
      </c>
      <c r="Z3557">
        <v>92.25</v>
      </c>
      <c r="AA3557">
        <v>40.733408</v>
      </c>
      <c r="AB3557">
        <v>-73.97834400000001</v>
      </c>
      <c r="AD3557" t="s">
        <v>10839</v>
      </c>
      <c r="AG3557" t="s">
        <v>10858</v>
      </c>
      <c r="AH3557" t="s">
        <v>10865</v>
      </c>
      <c r="AI3557">
        <v>236</v>
      </c>
      <c r="AJ3557" t="s">
        <v>10209</v>
      </c>
      <c r="AK3557" t="s">
        <v>10837</v>
      </c>
      <c r="AL3557">
        <v>8.9</v>
      </c>
      <c r="AM3557" t="s">
        <v>10891</v>
      </c>
      <c r="AN3557" t="s">
        <v>10910</v>
      </c>
      <c r="AO3557" t="s">
        <v>11021</v>
      </c>
      <c r="AP3557" t="s">
        <v>11091</v>
      </c>
      <c r="AQ3557" t="s">
        <v>11128</v>
      </c>
      <c r="AR3557" t="s">
        <v>11257</v>
      </c>
      <c r="AS3557" t="s">
        <v>9925</v>
      </c>
      <c r="AT3557" t="s">
        <v>11641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</row>
    <row r="3558" spans="1:59">
      <c r="A3558" s="1">
        <f>HYPERLINK("https://lsnyc.legalserver.org/matter/dynamic-profile/view/1907656","19-1907656")</f>
        <v>0</v>
      </c>
      <c r="B3558" t="s">
        <v>2961</v>
      </c>
      <c r="C3558" t="s">
        <v>7756</v>
      </c>
      <c r="D3558" t="s">
        <v>9938</v>
      </c>
      <c r="E3558" t="s">
        <v>10075</v>
      </c>
      <c r="F3558">
        <v>11433</v>
      </c>
      <c r="G3558" t="s">
        <v>10092</v>
      </c>
      <c r="H3558" t="s">
        <v>10142</v>
      </c>
      <c r="I3558" t="s">
        <v>10168</v>
      </c>
      <c r="J3558" t="s">
        <v>10212</v>
      </c>
      <c r="K3558" t="s">
        <v>10217</v>
      </c>
      <c r="M3558" t="s">
        <v>10335</v>
      </c>
      <c r="N3558" t="s">
        <v>10693</v>
      </c>
      <c r="P3558" t="s">
        <v>10749</v>
      </c>
      <c r="Q3558" t="s">
        <v>10767</v>
      </c>
      <c r="R3558" t="s">
        <v>10824</v>
      </c>
      <c r="T3558">
        <v>0</v>
      </c>
      <c r="U3558">
        <v>0</v>
      </c>
      <c r="V3558">
        <v>43</v>
      </c>
      <c r="W3558">
        <v>3</v>
      </c>
      <c r="X3558">
        <v>1</v>
      </c>
      <c r="Z3558">
        <v>0</v>
      </c>
      <c r="AA3558">
        <v>40.698339</v>
      </c>
      <c r="AB3558">
        <v>-73.79605599999999</v>
      </c>
      <c r="AD3558" t="s">
        <v>10839</v>
      </c>
      <c r="AG3558" t="s">
        <v>10858</v>
      </c>
      <c r="AH3558" t="s">
        <v>10862</v>
      </c>
      <c r="AI3558">
        <v>237</v>
      </c>
      <c r="AJ3558" t="s">
        <v>10212</v>
      </c>
      <c r="AL3558">
        <v>8</v>
      </c>
      <c r="AM3558" t="s">
        <v>10892</v>
      </c>
      <c r="AN3558" t="s">
        <v>10951</v>
      </c>
      <c r="AO3558" t="s">
        <v>11020</v>
      </c>
      <c r="AP3558" t="s">
        <v>11070</v>
      </c>
      <c r="AR3558" t="s">
        <v>11267</v>
      </c>
      <c r="AS3558" t="s">
        <v>11594</v>
      </c>
      <c r="BA3558" t="s">
        <v>11738</v>
      </c>
      <c r="BB3558">
        <v>0</v>
      </c>
      <c r="BC3558">
        <v>0</v>
      </c>
      <c r="BD3558">
        <v>0</v>
      </c>
      <c r="BE3558">
        <v>0</v>
      </c>
      <c r="BF3558">
        <v>5</v>
      </c>
      <c r="BG3558">
        <v>0</v>
      </c>
    </row>
    <row r="3559" spans="1:59">
      <c r="A3559" s="1">
        <f>HYPERLINK("https://lsnyc.legalserver.org/matter/dynamic-profile/view/1907657","19-1907657")</f>
        <v>0</v>
      </c>
      <c r="B3559" t="s">
        <v>2962</v>
      </c>
      <c r="C3559" t="s">
        <v>7757</v>
      </c>
      <c r="D3559" t="s">
        <v>9925</v>
      </c>
      <c r="E3559" t="s">
        <v>10075</v>
      </c>
      <c r="F3559">
        <v>10036</v>
      </c>
      <c r="G3559" t="s">
        <v>10089</v>
      </c>
      <c r="H3559" t="s">
        <v>10142</v>
      </c>
      <c r="I3559" t="s">
        <v>10168</v>
      </c>
      <c r="J3559" t="s">
        <v>10209</v>
      </c>
      <c r="K3559" t="s">
        <v>10217</v>
      </c>
      <c r="M3559" t="s">
        <v>10381</v>
      </c>
      <c r="N3559" t="s">
        <v>10656</v>
      </c>
      <c r="P3559" t="s">
        <v>10751</v>
      </c>
      <c r="Q3559" t="s">
        <v>10780</v>
      </c>
      <c r="R3559" t="s">
        <v>10820</v>
      </c>
      <c r="T3559">
        <v>10980</v>
      </c>
      <c r="U3559">
        <v>915</v>
      </c>
      <c r="V3559">
        <v>44</v>
      </c>
      <c r="W3559">
        <v>1</v>
      </c>
      <c r="X3559">
        <v>0</v>
      </c>
      <c r="Z3559">
        <v>87.91</v>
      </c>
      <c r="AA3559">
        <v>40.76041</v>
      </c>
      <c r="AB3559">
        <v>-73.98705200000001</v>
      </c>
      <c r="AD3559" t="s">
        <v>10839</v>
      </c>
      <c r="AG3559" t="s">
        <v>10858</v>
      </c>
      <c r="AH3559" t="s">
        <v>10861</v>
      </c>
      <c r="AI3559">
        <v>234</v>
      </c>
      <c r="AJ3559" t="s">
        <v>10214</v>
      </c>
      <c r="AL3559">
        <v>3.55</v>
      </c>
      <c r="AM3559" t="s">
        <v>10891</v>
      </c>
      <c r="AN3559" t="s">
        <v>10966</v>
      </c>
      <c r="AO3559" t="s">
        <v>11021</v>
      </c>
      <c r="AP3559" t="s">
        <v>11090</v>
      </c>
      <c r="AR3559" t="s">
        <v>11298</v>
      </c>
      <c r="AS3559" t="s">
        <v>9925</v>
      </c>
      <c r="AT3559" t="s">
        <v>11641</v>
      </c>
      <c r="AX3559" t="s">
        <v>10838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</row>
    <row r="3560" spans="1:59">
      <c r="A3560" s="1">
        <f>HYPERLINK("https://lsnyc.legalserver.org/matter/dynamic-profile/view/1907658","19-1907658")</f>
        <v>0</v>
      </c>
      <c r="B3560" t="s">
        <v>2963</v>
      </c>
      <c r="C3560" t="s">
        <v>7758</v>
      </c>
      <c r="D3560" t="s">
        <v>9938</v>
      </c>
      <c r="E3560" t="s">
        <v>10075</v>
      </c>
      <c r="F3560">
        <v>11433</v>
      </c>
      <c r="G3560" t="s">
        <v>10092</v>
      </c>
      <c r="H3560" t="s">
        <v>10142</v>
      </c>
      <c r="I3560" t="s">
        <v>10168</v>
      </c>
      <c r="J3560" t="s">
        <v>10212</v>
      </c>
      <c r="K3560" t="s">
        <v>10218</v>
      </c>
      <c r="L3560" t="s">
        <v>10158</v>
      </c>
      <c r="M3560" t="s">
        <v>10360</v>
      </c>
      <c r="N3560" t="s">
        <v>10693</v>
      </c>
      <c r="P3560" t="s">
        <v>10749</v>
      </c>
      <c r="Q3560" t="s">
        <v>10767</v>
      </c>
      <c r="R3560" t="s">
        <v>10820</v>
      </c>
      <c r="T3560">
        <v>5184</v>
      </c>
      <c r="U3560">
        <v>432</v>
      </c>
      <c r="V3560">
        <v>39</v>
      </c>
      <c r="W3560">
        <v>1</v>
      </c>
      <c r="X3560">
        <v>0</v>
      </c>
      <c r="Y3560" t="s">
        <v>10831</v>
      </c>
      <c r="Z3560">
        <v>41.51</v>
      </c>
      <c r="AA3560">
        <v>40.695778</v>
      </c>
      <c r="AB3560">
        <v>-73.794573</v>
      </c>
      <c r="AD3560" t="s">
        <v>10840</v>
      </c>
      <c r="AG3560" t="s">
        <v>10858</v>
      </c>
      <c r="AH3560" t="s">
        <v>10862</v>
      </c>
      <c r="AI3560">
        <v>237</v>
      </c>
      <c r="AJ3560" t="s">
        <v>10212</v>
      </c>
      <c r="AK3560" t="s">
        <v>10838</v>
      </c>
      <c r="AL3560">
        <v>2.7</v>
      </c>
      <c r="AM3560" t="s">
        <v>10892</v>
      </c>
      <c r="AN3560" t="s">
        <v>10951</v>
      </c>
      <c r="AO3560" t="s">
        <v>11020</v>
      </c>
      <c r="AP3560" t="s">
        <v>11070</v>
      </c>
      <c r="AR3560" t="s">
        <v>11257</v>
      </c>
      <c r="AS3560" t="s">
        <v>11594</v>
      </c>
      <c r="AY3560" t="s">
        <v>10831</v>
      </c>
      <c r="AZ3560" t="s">
        <v>11685</v>
      </c>
      <c r="BA3560" t="s">
        <v>11738</v>
      </c>
      <c r="BB3560">
        <v>0</v>
      </c>
      <c r="BC3560">
        <v>0</v>
      </c>
      <c r="BD3560">
        <v>0</v>
      </c>
      <c r="BE3560">
        <v>0</v>
      </c>
      <c r="BF3560">
        <v>5</v>
      </c>
      <c r="BG3560">
        <v>0</v>
      </c>
    </row>
    <row r="3561" spans="1:59">
      <c r="A3561" s="1">
        <f>HYPERLINK("https://lsnyc.legalserver.org/matter/dynamic-profile/view/1907659","19-1907659")</f>
        <v>0</v>
      </c>
      <c r="B3561" t="s">
        <v>2964</v>
      </c>
      <c r="C3561" t="s">
        <v>7759</v>
      </c>
      <c r="D3561" t="s">
        <v>9953</v>
      </c>
      <c r="E3561" t="s">
        <v>10075</v>
      </c>
      <c r="F3561">
        <v>11104</v>
      </c>
      <c r="G3561" t="s">
        <v>10092</v>
      </c>
      <c r="H3561" t="s">
        <v>10142</v>
      </c>
      <c r="I3561" t="s">
        <v>10169</v>
      </c>
      <c r="J3561" t="s">
        <v>10212</v>
      </c>
      <c r="K3561" t="s">
        <v>10217</v>
      </c>
      <c r="M3561" t="s">
        <v>10242</v>
      </c>
      <c r="N3561" t="s">
        <v>10694</v>
      </c>
      <c r="P3561" t="s">
        <v>10751</v>
      </c>
      <c r="Q3561" t="s">
        <v>10768</v>
      </c>
      <c r="R3561" t="s">
        <v>10821</v>
      </c>
      <c r="T3561">
        <v>14808</v>
      </c>
      <c r="U3561">
        <v>1234</v>
      </c>
      <c r="V3561">
        <v>62</v>
      </c>
      <c r="W3561">
        <v>1</v>
      </c>
      <c r="X3561">
        <v>0</v>
      </c>
      <c r="Z3561">
        <v>118.56</v>
      </c>
      <c r="AA3561">
        <v>40.743124</v>
      </c>
      <c r="AB3561">
        <v>-73.925614</v>
      </c>
      <c r="AD3561" t="s">
        <v>10840</v>
      </c>
      <c r="AF3561" t="s">
        <v>10843</v>
      </c>
      <c r="AG3561" t="s">
        <v>10859</v>
      </c>
      <c r="AH3561" t="s">
        <v>10861</v>
      </c>
      <c r="AI3561">
        <v>237</v>
      </c>
      <c r="AJ3561" t="s">
        <v>10212</v>
      </c>
      <c r="AL3561">
        <v>3.4</v>
      </c>
      <c r="AM3561" t="s">
        <v>10885</v>
      </c>
      <c r="AN3561" t="s">
        <v>10961</v>
      </c>
      <c r="AO3561" t="s">
        <v>11003</v>
      </c>
      <c r="AP3561" t="s">
        <v>11047</v>
      </c>
      <c r="AR3561" t="s">
        <v>11345</v>
      </c>
      <c r="AS3561" t="s">
        <v>11594</v>
      </c>
      <c r="AT3561" t="s">
        <v>11642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</row>
    <row r="3562" spans="1:59">
      <c r="A3562" s="1">
        <f>HYPERLINK("https://lsnyc.legalserver.org/matter/dynamic-profile/view/1907660","19-1907660")</f>
        <v>0</v>
      </c>
      <c r="B3562" t="s">
        <v>2965</v>
      </c>
      <c r="C3562" t="s">
        <v>7760</v>
      </c>
      <c r="D3562" t="s">
        <v>9938</v>
      </c>
      <c r="E3562" t="s">
        <v>10075</v>
      </c>
      <c r="F3562">
        <v>11433</v>
      </c>
      <c r="G3562" t="s">
        <v>10092</v>
      </c>
      <c r="H3562" t="s">
        <v>10153</v>
      </c>
      <c r="I3562" t="s">
        <v>10168</v>
      </c>
      <c r="J3562" t="s">
        <v>10212</v>
      </c>
      <c r="K3562" t="s">
        <v>10218</v>
      </c>
      <c r="L3562" t="s">
        <v>10158</v>
      </c>
      <c r="M3562" t="s">
        <v>10360</v>
      </c>
      <c r="N3562" t="s">
        <v>10693</v>
      </c>
      <c r="P3562" t="s">
        <v>10749</v>
      </c>
      <c r="Q3562" t="s">
        <v>10767</v>
      </c>
      <c r="R3562" t="s">
        <v>10824</v>
      </c>
      <c r="T3562">
        <v>14400</v>
      </c>
      <c r="U3562">
        <v>1200</v>
      </c>
      <c r="V3562">
        <v>42</v>
      </c>
      <c r="W3562">
        <v>2</v>
      </c>
      <c r="X3562">
        <v>0</v>
      </c>
      <c r="Y3562" t="s">
        <v>10831</v>
      </c>
      <c r="Z3562">
        <v>85.16</v>
      </c>
      <c r="AA3562">
        <v>40.697481</v>
      </c>
      <c r="AB3562">
        <v>-73.79593199999999</v>
      </c>
      <c r="AD3562" t="s">
        <v>10839</v>
      </c>
      <c r="AG3562" t="s">
        <v>10858</v>
      </c>
      <c r="AH3562" t="s">
        <v>10862</v>
      </c>
      <c r="AI3562">
        <v>237</v>
      </c>
      <c r="AJ3562" t="s">
        <v>10212</v>
      </c>
      <c r="AK3562" t="s">
        <v>10837</v>
      </c>
      <c r="AL3562">
        <v>1.75</v>
      </c>
      <c r="AM3562" t="s">
        <v>10892</v>
      </c>
      <c r="AN3562" t="s">
        <v>10951</v>
      </c>
      <c r="AO3562" t="s">
        <v>11020</v>
      </c>
      <c r="AP3562" t="s">
        <v>11070</v>
      </c>
      <c r="AR3562" t="s">
        <v>11257</v>
      </c>
      <c r="AS3562" t="s">
        <v>11594</v>
      </c>
      <c r="AT3562" t="s">
        <v>11641</v>
      </c>
      <c r="AX3562" t="s">
        <v>10838</v>
      </c>
      <c r="AY3562" t="s">
        <v>10831</v>
      </c>
      <c r="AZ3562" t="s">
        <v>11685</v>
      </c>
      <c r="BA3562" t="s">
        <v>11738</v>
      </c>
      <c r="BB3562">
        <v>0</v>
      </c>
      <c r="BC3562">
        <v>0</v>
      </c>
      <c r="BD3562">
        <v>0</v>
      </c>
      <c r="BE3562">
        <v>0</v>
      </c>
      <c r="BF3562">
        <v>5</v>
      </c>
      <c r="BG3562">
        <v>0</v>
      </c>
    </row>
    <row r="3563" spans="1:59">
      <c r="A3563" s="1">
        <f>HYPERLINK("https://lsnyc.legalserver.org/matter/dynamic-profile/view/1907661","19-1907661")</f>
        <v>0</v>
      </c>
      <c r="B3563" t="s">
        <v>2966</v>
      </c>
      <c r="C3563" t="s">
        <v>7761</v>
      </c>
      <c r="D3563" t="s">
        <v>9940</v>
      </c>
      <c r="E3563" t="s">
        <v>10075</v>
      </c>
      <c r="F3563">
        <v>11421</v>
      </c>
      <c r="G3563" t="s">
        <v>10092</v>
      </c>
      <c r="H3563" t="s">
        <v>10142</v>
      </c>
      <c r="I3563" t="s">
        <v>10169</v>
      </c>
      <c r="J3563" t="s">
        <v>10212</v>
      </c>
      <c r="K3563" t="s">
        <v>10217</v>
      </c>
      <c r="M3563" t="s">
        <v>10547</v>
      </c>
      <c r="N3563" t="s">
        <v>10649</v>
      </c>
      <c r="P3563" t="s">
        <v>10753</v>
      </c>
      <c r="Q3563" t="s">
        <v>10763</v>
      </c>
      <c r="R3563" t="s">
        <v>10821</v>
      </c>
      <c r="T3563">
        <v>0</v>
      </c>
      <c r="U3563">
        <v>0</v>
      </c>
      <c r="V3563">
        <v>58</v>
      </c>
      <c r="W3563">
        <v>2</v>
      </c>
      <c r="X3563">
        <v>0</v>
      </c>
      <c r="Z3563">
        <v>0</v>
      </c>
      <c r="AA3563">
        <v>40.68805</v>
      </c>
      <c r="AB3563">
        <v>-73.86454000000001</v>
      </c>
      <c r="AD3563" t="s">
        <v>10840</v>
      </c>
      <c r="AF3563" t="s">
        <v>10843</v>
      </c>
      <c r="AG3563" t="s">
        <v>10859</v>
      </c>
      <c r="AH3563" t="s">
        <v>10864</v>
      </c>
      <c r="AI3563">
        <v>237</v>
      </c>
      <c r="AJ3563" t="s">
        <v>10212</v>
      </c>
      <c r="AL3563">
        <v>4.09</v>
      </c>
      <c r="AM3563" t="s">
        <v>10886</v>
      </c>
      <c r="AN3563" t="s">
        <v>10945</v>
      </c>
      <c r="AO3563" t="s">
        <v>11003</v>
      </c>
      <c r="AP3563" t="s">
        <v>11077</v>
      </c>
      <c r="AQ3563" t="s">
        <v>11131</v>
      </c>
      <c r="AR3563" t="s">
        <v>11267</v>
      </c>
      <c r="AS3563" t="s">
        <v>11594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</row>
    <row r="3564" spans="1:59">
      <c r="A3564" s="1">
        <f>HYPERLINK("https://lsnyc.legalserver.org/matter/dynamic-profile/view/1907662","19-1907662")</f>
        <v>0</v>
      </c>
      <c r="B3564" t="s">
        <v>2967</v>
      </c>
      <c r="C3564" t="s">
        <v>7762</v>
      </c>
      <c r="D3564" t="s">
        <v>9928</v>
      </c>
      <c r="E3564" t="s">
        <v>10075</v>
      </c>
      <c r="F3564">
        <v>11238</v>
      </c>
      <c r="G3564" t="s">
        <v>10093</v>
      </c>
      <c r="H3564" t="s">
        <v>10142</v>
      </c>
      <c r="I3564" t="s">
        <v>10168</v>
      </c>
      <c r="J3564" t="s">
        <v>10213</v>
      </c>
      <c r="K3564" t="s">
        <v>10217</v>
      </c>
      <c r="M3564" t="s">
        <v>10411</v>
      </c>
      <c r="N3564" t="s">
        <v>10650</v>
      </c>
      <c r="P3564" t="s">
        <v>10749</v>
      </c>
      <c r="Q3564" t="s">
        <v>10765</v>
      </c>
      <c r="R3564" t="s">
        <v>10824</v>
      </c>
      <c r="T3564">
        <v>9000</v>
      </c>
      <c r="U3564">
        <v>750</v>
      </c>
      <c r="V3564">
        <v>57</v>
      </c>
      <c r="W3564">
        <v>2</v>
      </c>
      <c r="X3564">
        <v>0</v>
      </c>
      <c r="Z3564">
        <v>53.22</v>
      </c>
      <c r="AA3564">
        <v>40.682939</v>
      </c>
      <c r="AB3564">
        <v>-73.96139100000001</v>
      </c>
      <c r="AD3564" t="s">
        <v>10840</v>
      </c>
      <c r="AG3564" t="s">
        <v>10858</v>
      </c>
      <c r="AH3564" t="s">
        <v>10862</v>
      </c>
      <c r="AI3564">
        <v>239</v>
      </c>
      <c r="AJ3564" t="s">
        <v>10213</v>
      </c>
      <c r="AL3564">
        <v>5</v>
      </c>
      <c r="AM3564" t="s">
        <v>10889</v>
      </c>
      <c r="AN3564" t="s">
        <v>10923</v>
      </c>
      <c r="AO3564" t="s">
        <v>11007</v>
      </c>
      <c r="AP3564" t="s">
        <v>11061</v>
      </c>
      <c r="AR3564" t="s">
        <v>11263</v>
      </c>
      <c r="AS3564" t="s">
        <v>11595</v>
      </c>
      <c r="BA3564" t="s">
        <v>11737</v>
      </c>
      <c r="BB3564">
        <v>0</v>
      </c>
      <c r="BC3564">
        <v>0</v>
      </c>
      <c r="BD3564">
        <v>0</v>
      </c>
      <c r="BE3564">
        <v>0</v>
      </c>
      <c r="BF3564">
        <v>3</v>
      </c>
      <c r="BG3564">
        <v>0</v>
      </c>
    </row>
    <row r="3565" spans="1:59">
      <c r="A3565" s="1">
        <f>HYPERLINK("https://lsnyc.legalserver.org/matter/dynamic-profile/view/1907663","19-1907663")</f>
        <v>0</v>
      </c>
      <c r="B3565" t="s">
        <v>2968</v>
      </c>
      <c r="C3565" t="s">
        <v>7763</v>
      </c>
      <c r="D3565" t="s">
        <v>9954</v>
      </c>
      <c r="E3565" t="s">
        <v>10075</v>
      </c>
      <c r="F3565">
        <v>11372</v>
      </c>
      <c r="G3565" t="s">
        <v>10092</v>
      </c>
      <c r="H3565" t="s">
        <v>10142</v>
      </c>
      <c r="I3565" t="s">
        <v>10168</v>
      </c>
      <c r="J3565" t="s">
        <v>10212</v>
      </c>
      <c r="K3565" t="s">
        <v>10217</v>
      </c>
      <c r="M3565" t="s">
        <v>10408</v>
      </c>
      <c r="N3565" t="s">
        <v>10671</v>
      </c>
      <c r="P3565" t="s">
        <v>10751</v>
      </c>
      <c r="Q3565" t="s">
        <v>10761</v>
      </c>
      <c r="R3565" t="s">
        <v>10821</v>
      </c>
      <c r="T3565">
        <v>22800</v>
      </c>
      <c r="U3565">
        <v>1900</v>
      </c>
      <c r="V3565">
        <v>59</v>
      </c>
      <c r="W3565">
        <v>3</v>
      </c>
      <c r="X3565">
        <v>0</v>
      </c>
      <c r="Z3565">
        <v>106.89</v>
      </c>
      <c r="AA3565">
        <v>40.750297</v>
      </c>
      <c r="AB3565">
        <v>-73.87657</v>
      </c>
      <c r="AD3565" t="s">
        <v>10839</v>
      </c>
      <c r="AG3565" t="s">
        <v>10858</v>
      </c>
      <c r="AH3565" t="s">
        <v>10862</v>
      </c>
      <c r="AI3565">
        <v>237</v>
      </c>
      <c r="AJ3565" t="s">
        <v>10212</v>
      </c>
      <c r="AL3565">
        <v>0.43</v>
      </c>
      <c r="AM3565" t="s">
        <v>10885</v>
      </c>
      <c r="AN3565" t="s">
        <v>10909</v>
      </c>
      <c r="AO3565" t="s">
        <v>11014</v>
      </c>
      <c r="AP3565" t="s">
        <v>11068</v>
      </c>
      <c r="AR3565" t="s">
        <v>11287</v>
      </c>
      <c r="AS3565" t="s">
        <v>11594</v>
      </c>
      <c r="BA3565" t="s">
        <v>11740</v>
      </c>
      <c r="BB3565">
        <v>0</v>
      </c>
      <c r="BC3565">
        <v>0</v>
      </c>
      <c r="BD3565">
        <v>0</v>
      </c>
      <c r="BE3565">
        <v>0</v>
      </c>
      <c r="BF3565">
        <v>2</v>
      </c>
      <c r="BG3565">
        <v>0</v>
      </c>
    </row>
    <row r="3566" spans="1:59">
      <c r="A3566" s="1">
        <f>HYPERLINK("https://lsnyc.legalserver.org/matter/dynamic-profile/view/1907664","19-1907664")</f>
        <v>0</v>
      </c>
      <c r="B3566" t="s">
        <v>2969</v>
      </c>
      <c r="C3566" t="s">
        <v>5249</v>
      </c>
      <c r="D3566" t="s">
        <v>9928</v>
      </c>
      <c r="E3566" t="s">
        <v>10075</v>
      </c>
      <c r="F3566">
        <v>11226</v>
      </c>
      <c r="G3566" t="s">
        <v>10093</v>
      </c>
      <c r="H3566" t="s">
        <v>10142</v>
      </c>
      <c r="I3566" t="s">
        <v>10176</v>
      </c>
      <c r="J3566" t="s">
        <v>10213</v>
      </c>
      <c r="K3566" t="s">
        <v>10217</v>
      </c>
      <c r="M3566" t="s">
        <v>10384</v>
      </c>
      <c r="N3566" t="s">
        <v>10650</v>
      </c>
      <c r="P3566" t="s">
        <v>10749</v>
      </c>
      <c r="Q3566" t="s">
        <v>10765</v>
      </c>
      <c r="R3566" t="s">
        <v>10824</v>
      </c>
      <c r="T3566">
        <v>18200</v>
      </c>
      <c r="U3566">
        <v>1516.67</v>
      </c>
      <c r="V3566">
        <v>73</v>
      </c>
      <c r="W3566">
        <v>3</v>
      </c>
      <c r="X3566">
        <v>0</v>
      </c>
      <c r="Z3566">
        <v>85.33</v>
      </c>
      <c r="AA3566">
        <v>40.646763</v>
      </c>
      <c r="AB3566">
        <v>-73.962706</v>
      </c>
      <c r="AD3566" t="s">
        <v>10840</v>
      </c>
      <c r="AG3566" t="s">
        <v>10858</v>
      </c>
      <c r="AH3566" t="s">
        <v>10862</v>
      </c>
      <c r="AI3566">
        <v>239</v>
      </c>
      <c r="AJ3566" t="s">
        <v>10213</v>
      </c>
      <c r="AL3566">
        <v>0.2</v>
      </c>
      <c r="AM3566" t="s">
        <v>10888</v>
      </c>
      <c r="AN3566" t="s">
        <v>10932</v>
      </c>
      <c r="AO3566" t="s">
        <v>11008</v>
      </c>
      <c r="AP3566" t="s">
        <v>11050</v>
      </c>
      <c r="AR3566" t="s">
        <v>11276</v>
      </c>
      <c r="AS3566" t="s">
        <v>11595</v>
      </c>
      <c r="BA3566" t="s">
        <v>11739</v>
      </c>
      <c r="BB3566">
        <v>0</v>
      </c>
      <c r="BC3566">
        <v>0</v>
      </c>
      <c r="BD3566">
        <v>0</v>
      </c>
      <c r="BE3566">
        <v>0</v>
      </c>
      <c r="BF3566">
        <v>4</v>
      </c>
      <c r="BG3566">
        <v>0</v>
      </c>
    </row>
    <row r="3567" spans="1:59">
      <c r="A3567" s="1">
        <f>HYPERLINK("https://lsnyc.legalserver.org/matter/dynamic-profile/view/1907665","19-1907665")</f>
        <v>0</v>
      </c>
      <c r="B3567" t="s">
        <v>2970</v>
      </c>
      <c r="C3567" t="s">
        <v>6758</v>
      </c>
      <c r="D3567" t="s">
        <v>9926</v>
      </c>
      <c r="E3567" t="s">
        <v>10075</v>
      </c>
      <c r="F3567">
        <v>10467</v>
      </c>
      <c r="G3567" t="s">
        <v>10090</v>
      </c>
      <c r="H3567" t="s">
        <v>10142</v>
      </c>
      <c r="I3567" t="s">
        <v>10168</v>
      </c>
      <c r="J3567" t="s">
        <v>10210</v>
      </c>
      <c r="K3567" t="s">
        <v>10217</v>
      </c>
      <c r="M3567" t="s">
        <v>10401</v>
      </c>
      <c r="N3567" t="s">
        <v>10671</v>
      </c>
      <c r="P3567" t="s">
        <v>10751</v>
      </c>
      <c r="Q3567" t="s">
        <v>10761</v>
      </c>
      <c r="R3567" t="s">
        <v>10821</v>
      </c>
      <c r="T3567">
        <v>26000</v>
      </c>
      <c r="U3567">
        <v>2166.67</v>
      </c>
      <c r="V3567">
        <v>52</v>
      </c>
      <c r="W3567">
        <v>2</v>
      </c>
      <c r="X3567">
        <v>4</v>
      </c>
      <c r="Z3567">
        <v>75.17</v>
      </c>
      <c r="AA3567">
        <v>40.875112</v>
      </c>
      <c r="AB3567">
        <v>-73.877989</v>
      </c>
      <c r="AD3567" t="s">
        <v>10839</v>
      </c>
      <c r="AF3567" t="s">
        <v>10850</v>
      </c>
      <c r="AG3567" t="s">
        <v>10859</v>
      </c>
      <c r="AH3567" t="s">
        <v>10861</v>
      </c>
      <c r="AI3567">
        <v>230</v>
      </c>
      <c r="AJ3567" t="s">
        <v>10210</v>
      </c>
      <c r="AL3567">
        <v>0.25</v>
      </c>
      <c r="AM3567" t="s">
        <v>10887</v>
      </c>
      <c r="AN3567" t="s">
        <v>10938</v>
      </c>
      <c r="AO3567" t="s">
        <v>11010</v>
      </c>
      <c r="AP3567" t="s">
        <v>11057</v>
      </c>
      <c r="AR3567" t="s">
        <v>11257</v>
      </c>
      <c r="AS3567" t="s">
        <v>9926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</row>
    <row r="3568" spans="1:59">
      <c r="A3568" s="1">
        <f>HYPERLINK("https://lsnyc.legalserver.org/matter/dynamic-profile/view/1907666","19-1907666")</f>
        <v>0</v>
      </c>
      <c r="B3568" t="s">
        <v>2971</v>
      </c>
      <c r="C3568" t="s">
        <v>5249</v>
      </c>
      <c r="D3568" t="s">
        <v>9928</v>
      </c>
      <c r="E3568" t="s">
        <v>10075</v>
      </c>
      <c r="F3568">
        <v>11226</v>
      </c>
      <c r="G3568" t="s">
        <v>10093</v>
      </c>
      <c r="H3568" t="s">
        <v>10142</v>
      </c>
      <c r="I3568" t="s">
        <v>10169</v>
      </c>
      <c r="J3568" t="s">
        <v>10213</v>
      </c>
      <c r="K3568" t="s">
        <v>10217</v>
      </c>
      <c r="M3568" t="s">
        <v>10384</v>
      </c>
      <c r="N3568" t="s">
        <v>10650</v>
      </c>
      <c r="P3568" t="s">
        <v>10749</v>
      </c>
      <c r="Q3568" t="s">
        <v>10765</v>
      </c>
      <c r="R3568" t="s">
        <v>10821</v>
      </c>
      <c r="T3568">
        <v>10400</v>
      </c>
      <c r="U3568">
        <v>866.67</v>
      </c>
      <c r="V3568">
        <v>63</v>
      </c>
      <c r="W3568">
        <v>2</v>
      </c>
      <c r="X3568">
        <v>1</v>
      </c>
      <c r="Z3568">
        <v>48.76</v>
      </c>
      <c r="AA3568">
        <v>40.646763</v>
      </c>
      <c r="AB3568">
        <v>-73.962706</v>
      </c>
      <c r="AD3568" t="s">
        <v>10839</v>
      </c>
      <c r="AG3568" t="s">
        <v>10858</v>
      </c>
      <c r="AH3568" t="s">
        <v>10862</v>
      </c>
      <c r="AI3568">
        <v>239</v>
      </c>
      <c r="AJ3568" t="s">
        <v>10213</v>
      </c>
      <c r="AL3568">
        <v>0.2</v>
      </c>
      <c r="AM3568" t="s">
        <v>10888</v>
      </c>
      <c r="AN3568" t="s">
        <v>10932</v>
      </c>
      <c r="AO3568" t="s">
        <v>11008</v>
      </c>
      <c r="AP3568" t="s">
        <v>11050</v>
      </c>
      <c r="AR3568" t="s">
        <v>11257</v>
      </c>
      <c r="AS3568" t="s">
        <v>11595</v>
      </c>
      <c r="BA3568" t="s">
        <v>11739</v>
      </c>
      <c r="BB3568">
        <v>0</v>
      </c>
      <c r="BC3568">
        <v>0</v>
      </c>
      <c r="BD3568">
        <v>0</v>
      </c>
      <c r="BE3568">
        <v>0</v>
      </c>
      <c r="BF3568">
        <v>4</v>
      </c>
      <c r="BG3568">
        <v>0</v>
      </c>
    </row>
    <row r="3569" spans="1:59">
      <c r="A3569" s="1">
        <f>HYPERLINK("https://lsnyc.legalserver.org/matter/dynamic-profile/view/1907667","19-1907667")</f>
        <v>0</v>
      </c>
      <c r="B3569" t="s">
        <v>2972</v>
      </c>
      <c r="C3569" t="s">
        <v>5249</v>
      </c>
      <c r="D3569" t="s">
        <v>9928</v>
      </c>
      <c r="E3569" t="s">
        <v>10075</v>
      </c>
      <c r="F3569">
        <v>11226</v>
      </c>
      <c r="G3569" t="s">
        <v>10093</v>
      </c>
      <c r="H3569" t="s">
        <v>10142</v>
      </c>
      <c r="I3569" t="s">
        <v>10176</v>
      </c>
      <c r="J3569" t="s">
        <v>10213</v>
      </c>
      <c r="K3569" t="s">
        <v>10217</v>
      </c>
      <c r="M3569" t="s">
        <v>10384</v>
      </c>
      <c r="N3569" t="s">
        <v>10650</v>
      </c>
      <c r="P3569" t="s">
        <v>10749</v>
      </c>
      <c r="Q3569" t="s">
        <v>10765</v>
      </c>
      <c r="R3569" t="s">
        <v>10824</v>
      </c>
      <c r="T3569">
        <v>15600</v>
      </c>
      <c r="U3569">
        <v>1300</v>
      </c>
      <c r="V3569">
        <v>75</v>
      </c>
      <c r="W3569">
        <v>1</v>
      </c>
      <c r="X3569">
        <v>0</v>
      </c>
      <c r="Z3569">
        <v>124.9</v>
      </c>
      <c r="AA3569">
        <v>40.646763</v>
      </c>
      <c r="AB3569">
        <v>-73.962706</v>
      </c>
      <c r="AD3569" t="s">
        <v>10839</v>
      </c>
      <c r="AG3569" t="s">
        <v>10858</v>
      </c>
      <c r="AH3569" t="s">
        <v>10862</v>
      </c>
      <c r="AI3569">
        <v>239</v>
      </c>
      <c r="AJ3569" t="s">
        <v>10213</v>
      </c>
      <c r="AL3569">
        <v>0.2</v>
      </c>
      <c r="AM3569" t="s">
        <v>10888</v>
      </c>
      <c r="AN3569" t="s">
        <v>10932</v>
      </c>
      <c r="AO3569" t="s">
        <v>11008</v>
      </c>
      <c r="AP3569" t="s">
        <v>11050</v>
      </c>
      <c r="AR3569" t="s">
        <v>11268</v>
      </c>
      <c r="AS3569" t="s">
        <v>11595</v>
      </c>
      <c r="BA3569" t="s">
        <v>11739</v>
      </c>
      <c r="BB3569">
        <v>0</v>
      </c>
      <c r="BC3569">
        <v>0</v>
      </c>
      <c r="BD3569">
        <v>0</v>
      </c>
      <c r="BE3569">
        <v>0</v>
      </c>
      <c r="BF3569">
        <v>4</v>
      </c>
      <c r="BG3569">
        <v>0</v>
      </c>
    </row>
    <row r="3570" spans="1:59">
      <c r="A3570" s="1">
        <f>HYPERLINK("https://lsnyc.legalserver.org/matter/dynamic-profile/view/1907668","19-1907668")</f>
        <v>0</v>
      </c>
      <c r="B3570" t="s">
        <v>2973</v>
      </c>
      <c r="C3570" t="s">
        <v>7764</v>
      </c>
      <c r="D3570" t="s">
        <v>9926</v>
      </c>
      <c r="E3570" t="s">
        <v>10075</v>
      </c>
      <c r="F3570">
        <v>10467</v>
      </c>
      <c r="G3570" t="s">
        <v>10090</v>
      </c>
      <c r="H3570" t="s">
        <v>10142</v>
      </c>
      <c r="I3570" t="s">
        <v>10169</v>
      </c>
      <c r="J3570" t="s">
        <v>10210</v>
      </c>
      <c r="K3570" t="s">
        <v>10217</v>
      </c>
      <c r="M3570" t="s">
        <v>10419</v>
      </c>
      <c r="N3570" t="s">
        <v>10651</v>
      </c>
      <c r="P3570" t="s">
        <v>10749</v>
      </c>
      <c r="Q3570" t="s">
        <v>10765</v>
      </c>
      <c r="R3570" t="s">
        <v>10821</v>
      </c>
      <c r="T3570">
        <v>19040</v>
      </c>
      <c r="U3570">
        <v>1586.67</v>
      </c>
      <c r="V3570">
        <v>32</v>
      </c>
      <c r="W3570">
        <v>1</v>
      </c>
      <c r="X3570">
        <v>2</v>
      </c>
      <c r="Z3570">
        <v>89.26000000000001</v>
      </c>
      <c r="AA3570">
        <v>40.880042</v>
      </c>
      <c r="AB3570">
        <v>-73.871723</v>
      </c>
      <c r="AD3570" t="s">
        <v>10839</v>
      </c>
      <c r="AG3570" t="s">
        <v>10858</v>
      </c>
      <c r="AH3570" t="s">
        <v>10861</v>
      </c>
      <c r="AI3570">
        <v>230</v>
      </c>
      <c r="AJ3570" t="s">
        <v>10210</v>
      </c>
      <c r="AL3570">
        <v>5</v>
      </c>
      <c r="AM3570" t="s">
        <v>10887</v>
      </c>
      <c r="AN3570" t="s">
        <v>10938</v>
      </c>
      <c r="AO3570" t="s">
        <v>11010</v>
      </c>
      <c r="AP3570" t="s">
        <v>11057</v>
      </c>
      <c r="AR3570" t="s">
        <v>11359</v>
      </c>
      <c r="AS3570" t="s">
        <v>9926</v>
      </c>
      <c r="AT3570" t="s">
        <v>11641</v>
      </c>
      <c r="AX3570" t="s">
        <v>10838</v>
      </c>
      <c r="BA3570" t="s">
        <v>11738</v>
      </c>
      <c r="BB3570">
        <v>0</v>
      </c>
      <c r="BC3570">
        <v>0</v>
      </c>
      <c r="BD3570">
        <v>0</v>
      </c>
      <c r="BE3570">
        <v>0</v>
      </c>
      <c r="BF3570">
        <v>5</v>
      </c>
      <c r="BG3570">
        <v>0</v>
      </c>
    </row>
    <row r="3571" spans="1:59">
      <c r="A3571" s="1">
        <f>HYPERLINK("https://lsnyc.legalserver.org/matter/dynamic-profile/view/1907669","19-1907669")</f>
        <v>0</v>
      </c>
      <c r="B3571" t="s">
        <v>2974</v>
      </c>
      <c r="C3571" t="s">
        <v>7765</v>
      </c>
      <c r="D3571" t="s">
        <v>9959</v>
      </c>
      <c r="E3571" t="s">
        <v>10075</v>
      </c>
      <c r="F3571">
        <v>11356</v>
      </c>
      <c r="G3571" t="s">
        <v>10092</v>
      </c>
      <c r="H3571" t="s">
        <v>10140</v>
      </c>
      <c r="I3571" t="s">
        <v>10169</v>
      </c>
      <c r="J3571" t="s">
        <v>10212</v>
      </c>
      <c r="K3571" t="s">
        <v>10217</v>
      </c>
      <c r="M3571" t="s">
        <v>10320</v>
      </c>
      <c r="N3571" t="s">
        <v>10730</v>
      </c>
      <c r="P3571" t="s">
        <v>10753</v>
      </c>
      <c r="Q3571" t="s">
        <v>10763</v>
      </c>
      <c r="R3571" t="s">
        <v>10821</v>
      </c>
      <c r="T3571">
        <v>15600</v>
      </c>
      <c r="U3571">
        <v>1300</v>
      </c>
      <c r="V3571">
        <v>29</v>
      </c>
      <c r="W3571">
        <v>1</v>
      </c>
      <c r="X3571">
        <v>1</v>
      </c>
      <c r="Z3571">
        <v>92.25</v>
      </c>
      <c r="AA3571">
        <v>40.776858</v>
      </c>
      <c r="AB3571">
        <v>-73.83922200000001</v>
      </c>
      <c r="AD3571" t="s">
        <v>10839</v>
      </c>
      <c r="AF3571" t="s">
        <v>10842</v>
      </c>
      <c r="AG3571" t="s">
        <v>10859</v>
      </c>
      <c r="AH3571" t="s">
        <v>10864</v>
      </c>
      <c r="AI3571">
        <v>237</v>
      </c>
      <c r="AJ3571" t="s">
        <v>10212</v>
      </c>
      <c r="AL3571">
        <v>8.800000000000001</v>
      </c>
      <c r="AM3571" t="s">
        <v>10885</v>
      </c>
      <c r="AN3571" t="s">
        <v>10962</v>
      </c>
      <c r="AO3571" t="s">
        <v>11022</v>
      </c>
      <c r="AP3571" t="s">
        <v>11080</v>
      </c>
      <c r="AR3571" t="s">
        <v>11257</v>
      </c>
      <c r="AS3571" t="s">
        <v>11594</v>
      </c>
      <c r="BA3571" t="s">
        <v>11741</v>
      </c>
      <c r="BB3571">
        <v>0</v>
      </c>
      <c r="BC3571">
        <v>0</v>
      </c>
      <c r="BD3571">
        <v>0</v>
      </c>
      <c r="BE3571">
        <v>0</v>
      </c>
      <c r="BF3571">
        <v>1</v>
      </c>
      <c r="BG3571">
        <v>0</v>
      </c>
    </row>
    <row r="3572" spans="1:59">
      <c r="A3572" s="1">
        <f>HYPERLINK("https://lsnyc.legalserver.org/matter/dynamic-profile/view/1907671","19-1907671")</f>
        <v>0</v>
      </c>
      <c r="B3572" t="s">
        <v>2975</v>
      </c>
      <c r="C3572" t="s">
        <v>7766</v>
      </c>
      <c r="D3572" t="s">
        <v>9928</v>
      </c>
      <c r="E3572" t="s">
        <v>10075</v>
      </c>
      <c r="F3572">
        <v>11212</v>
      </c>
      <c r="G3572" t="s">
        <v>10093</v>
      </c>
      <c r="H3572" t="s">
        <v>10142</v>
      </c>
      <c r="I3572" t="s">
        <v>10168</v>
      </c>
      <c r="J3572" t="s">
        <v>10213</v>
      </c>
      <c r="K3572" t="s">
        <v>10217</v>
      </c>
      <c r="M3572" t="s">
        <v>10382</v>
      </c>
      <c r="N3572" t="s">
        <v>10664</v>
      </c>
      <c r="P3572" t="s">
        <v>10749</v>
      </c>
      <c r="Q3572" t="s">
        <v>10767</v>
      </c>
      <c r="R3572" t="s">
        <v>10824</v>
      </c>
      <c r="T3572">
        <v>19200</v>
      </c>
      <c r="U3572">
        <v>1600</v>
      </c>
      <c r="V3572">
        <v>32</v>
      </c>
      <c r="W3572">
        <v>1</v>
      </c>
      <c r="X3572">
        <v>2</v>
      </c>
      <c r="Z3572">
        <v>90.01000000000001</v>
      </c>
      <c r="AA3572">
        <v>40.665272</v>
      </c>
      <c r="AB3572">
        <v>-73.904843</v>
      </c>
      <c r="AD3572" t="s">
        <v>10839</v>
      </c>
      <c r="AG3572" t="s">
        <v>10858</v>
      </c>
      <c r="AH3572" t="s">
        <v>10862</v>
      </c>
      <c r="AI3572">
        <v>239</v>
      </c>
      <c r="AJ3572" t="s">
        <v>10213</v>
      </c>
      <c r="AL3572">
        <v>4.5</v>
      </c>
      <c r="AM3572" t="s">
        <v>10888</v>
      </c>
      <c r="AN3572" t="s">
        <v>10922</v>
      </c>
      <c r="AO3572" t="s">
        <v>11005</v>
      </c>
      <c r="AP3572" t="s">
        <v>11064</v>
      </c>
      <c r="AQ3572" t="s">
        <v>11144</v>
      </c>
      <c r="AR3572" t="s">
        <v>11257</v>
      </c>
      <c r="AS3572" t="s">
        <v>11595</v>
      </c>
      <c r="BA3572" t="s">
        <v>11738</v>
      </c>
      <c r="BB3572">
        <v>0</v>
      </c>
      <c r="BC3572">
        <v>0</v>
      </c>
      <c r="BD3572">
        <v>0</v>
      </c>
      <c r="BE3572">
        <v>0</v>
      </c>
      <c r="BF3572">
        <v>5</v>
      </c>
      <c r="BG3572">
        <v>0</v>
      </c>
    </row>
    <row r="3573" spans="1:59">
      <c r="A3573" s="1">
        <f>HYPERLINK("https://lsnyc.legalserver.org/matter/dynamic-profile/view/1907672","19-1907672")</f>
        <v>0</v>
      </c>
      <c r="B3573" t="s">
        <v>2976</v>
      </c>
      <c r="C3573" t="s">
        <v>7767</v>
      </c>
      <c r="D3573" t="s">
        <v>9929</v>
      </c>
      <c r="E3573" t="s">
        <v>10075</v>
      </c>
      <c r="F3573">
        <v>10309</v>
      </c>
      <c r="G3573" t="s">
        <v>10091</v>
      </c>
      <c r="H3573" t="s">
        <v>10142</v>
      </c>
      <c r="I3573" t="s">
        <v>10168</v>
      </c>
      <c r="J3573" t="s">
        <v>10211</v>
      </c>
      <c r="K3573" t="s">
        <v>10217</v>
      </c>
      <c r="M3573" t="s">
        <v>10231</v>
      </c>
      <c r="N3573" t="s">
        <v>10647</v>
      </c>
      <c r="P3573" t="s">
        <v>10752</v>
      </c>
      <c r="Q3573" t="s">
        <v>10762</v>
      </c>
      <c r="R3573" t="s">
        <v>10820</v>
      </c>
      <c r="T3573">
        <v>32240</v>
      </c>
      <c r="U3573">
        <v>2686.67</v>
      </c>
      <c r="V3573">
        <v>30</v>
      </c>
      <c r="W3573">
        <v>1</v>
      </c>
      <c r="X3573">
        <v>1</v>
      </c>
      <c r="Z3573">
        <v>190.66</v>
      </c>
      <c r="AA3573">
        <v>40.546227</v>
      </c>
      <c r="AB3573">
        <v>-74.217489</v>
      </c>
      <c r="AD3573" t="s">
        <v>10839</v>
      </c>
      <c r="AG3573" t="s">
        <v>10858</v>
      </c>
      <c r="AH3573" t="s">
        <v>10861</v>
      </c>
      <c r="AI3573">
        <v>234</v>
      </c>
      <c r="AJ3573" t="s">
        <v>10214</v>
      </c>
      <c r="AL3573">
        <v>1.2</v>
      </c>
      <c r="AM3573" t="s">
        <v>10883</v>
      </c>
      <c r="AN3573" t="s">
        <v>10906</v>
      </c>
      <c r="AO3573" t="s">
        <v>10999</v>
      </c>
      <c r="AP3573" t="s">
        <v>11044</v>
      </c>
      <c r="AR3573" t="s">
        <v>11257</v>
      </c>
      <c r="AS3573" t="s">
        <v>11593</v>
      </c>
      <c r="AT3573" t="s">
        <v>11641</v>
      </c>
      <c r="AX3573" t="s">
        <v>10838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</row>
    <row r="3574" spans="1:59">
      <c r="A3574" s="1">
        <f>HYPERLINK("https://lsnyc.legalserver.org/matter/dynamic-profile/view/1907673","19-1907673")</f>
        <v>0</v>
      </c>
      <c r="B3574" t="s">
        <v>2977</v>
      </c>
      <c r="C3574" t="s">
        <v>7768</v>
      </c>
      <c r="D3574" t="s">
        <v>9928</v>
      </c>
      <c r="E3574" t="s">
        <v>10075</v>
      </c>
      <c r="F3574">
        <v>11213</v>
      </c>
      <c r="G3574" t="s">
        <v>10093</v>
      </c>
      <c r="H3574" t="s">
        <v>10142</v>
      </c>
      <c r="I3574" t="s">
        <v>10168</v>
      </c>
      <c r="J3574" t="s">
        <v>10213</v>
      </c>
      <c r="K3574" t="s">
        <v>10218</v>
      </c>
      <c r="L3574" t="s">
        <v>10135</v>
      </c>
      <c r="M3574" t="s">
        <v>10317</v>
      </c>
      <c r="N3574" t="s">
        <v>10671</v>
      </c>
      <c r="P3574" t="s">
        <v>10751</v>
      </c>
      <c r="Q3574" t="s">
        <v>10761</v>
      </c>
      <c r="R3574" t="s">
        <v>10824</v>
      </c>
      <c r="T3574">
        <v>13052</v>
      </c>
      <c r="U3574">
        <v>1087.67</v>
      </c>
      <c r="V3574">
        <v>50</v>
      </c>
      <c r="W3574">
        <v>2</v>
      </c>
      <c r="X3574">
        <v>1</v>
      </c>
      <c r="Y3574" t="s">
        <v>10829</v>
      </c>
      <c r="Z3574">
        <v>61.19</v>
      </c>
      <c r="AA3574">
        <v>40.671151</v>
      </c>
      <c r="AB3574">
        <v>-73.929828</v>
      </c>
      <c r="AD3574" t="s">
        <v>10839</v>
      </c>
      <c r="AG3574" t="s">
        <v>10858</v>
      </c>
      <c r="AH3574" t="s">
        <v>10861</v>
      </c>
      <c r="AI3574">
        <v>234</v>
      </c>
      <c r="AJ3574" t="s">
        <v>10214</v>
      </c>
      <c r="AK3574" t="s">
        <v>10882</v>
      </c>
      <c r="AL3574">
        <v>4.2</v>
      </c>
      <c r="AM3574" t="s">
        <v>10888</v>
      </c>
      <c r="AN3574" t="s">
        <v>10922</v>
      </c>
      <c r="AO3574" t="s">
        <v>11005</v>
      </c>
      <c r="AP3574" t="s">
        <v>11052</v>
      </c>
      <c r="AR3574" t="s">
        <v>11262</v>
      </c>
      <c r="AS3574" t="s">
        <v>11595</v>
      </c>
      <c r="AT3574" t="s">
        <v>11641</v>
      </c>
      <c r="AX3574" t="s">
        <v>10838</v>
      </c>
      <c r="AY3574" t="s">
        <v>10829</v>
      </c>
      <c r="AZ3574" t="s">
        <v>11682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</row>
    <row r="3575" spans="1:59">
      <c r="A3575" s="1">
        <f>HYPERLINK("https://lsnyc.legalserver.org/matter/dynamic-profile/view/1907674","19-1907674")</f>
        <v>0</v>
      </c>
      <c r="B3575" t="s">
        <v>2978</v>
      </c>
      <c r="C3575" t="s">
        <v>7769</v>
      </c>
      <c r="D3575" t="s">
        <v>9928</v>
      </c>
      <c r="E3575" t="s">
        <v>10075</v>
      </c>
      <c r="F3575">
        <v>11215</v>
      </c>
      <c r="G3575" t="s">
        <v>10093</v>
      </c>
      <c r="H3575" t="s">
        <v>10142</v>
      </c>
      <c r="I3575" t="s">
        <v>10168</v>
      </c>
      <c r="J3575" t="s">
        <v>10213</v>
      </c>
      <c r="K3575" t="s">
        <v>10218</v>
      </c>
      <c r="L3575" t="s">
        <v>10142</v>
      </c>
      <c r="M3575" t="s">
        <v>10435</v>
      </c>
      <c r="N3575" t="s">
        <v>10657</v>
      </c>
      <c r="P3575" t="s">
        <v>10749</v>
      </c>
      <c r="Q3575" t="s">
        <v>10765</v>
      </c>
      <c r="R3575" t="s">
        <v>10821</v>
      </c>
      <c r="T3575">
        <v>19000</v>
      </c>
      <c r="U3575">
        <v>1583.33</v>
      </c>
      <c r="V3575">
        <v>59</v>
      </c>
      <c r="W3575">
        <v>1</v>
      </c>
      <c r="X3575">
        <v>0</v>
      </c>
      <c r="Y3575" t="s">
        <v>10829</v>
      </c>
      <c r="Z3575">
        <v>152.12</v>
      </c>
      <c r="AA3575">
        <v>40.66067</v>
      </c>
      <c r="AB3575">
        <v>-73.98654999999999</v>
      </c>
      <c r="AD3575" t="s">
        <v>10840</v>
      </c>
      <c r="AG3575" t="s">
        <v>10858</v>
      </c>
      <c r="AH3575" t="s">
        <v>10876</v>
      </c>
      <c r="AI3575">
        <v>239</v>
      </c>
      <c r="AJ3575" t="s">
        <v>10213</v>
      </c>
      <c r="AK3575" t="s">
        <v>10838</v>
      </c>
      <c r="AL3575">
        <v>1</v>
      </c>
      <c r="AM3575" t="s">
        <v>10888</v>
      </c>
      <c r="AN3575" t="s">
        <v>10941</v>
      </c>
      <c r="AO3575" t="s">
        <v>11008</v>
      </c>
      <c r="AP3575" t="s">
        <v>11069</v>
      </c>
      <c r="AR3575" t="s">
        <v>11257</v>
      </c>
      <c r="AS3575" t="s">
        <v>11595</v>
      </c>
      <c r="AY3575" t="s">
        <v>10829</v>
      </c>
      <c r="AZ3575" t="s">
        <v>11681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</row>
    <row r="3576" spans="1:59">
      <c r="A3576" s="1">
        <f>HYPERLINK("https://lsnyc.legalserver.org/matter/dynamic-profile/view/1907675","19-1907675")</f>
        <v>0</v>
      </c>
      <c r="B3576" t="s">
        <v>2979</v>
      </c>
      <c r="C3576" t="s">
        <v>7770</v>
      </c>
      <c r="D3576" t="s">
        <v>9928</v>
      </c>
      <c r="E3576" t="s">
        <v>10075</v>
      </c>
      <c r="F3576">
        <v>11231</v>
      </c>
      <c r="G3576" t="s">
        <v>10093</v>
      </c>
      <c r="H3576" t="s">
        <v>10142</v>
      </c>
      <c r="I3576" t="s">
        <v>10169</v>
      </c>
      <c r="J3576" t="s">
        <v>10213</v>
      </c>
      <c r="K3576" t="s">
        <v>10218</v>
      </c>
      <c r="L3576" t="s">
        <v>10142</v>
      </c>
      <c r="M3576" t="s">
        <v>10443</v>
      </c>
      <c r="N3576" t="s">
        <v>10644</v>
      </c>
      <c r="P3576" t="s">
        <v>10749</v>
      </c>
      <c r="Q3576" t="s">
        <v>10767</v>
      </c>
      <c r="R3576" t="s">
        <v>10821</v>
      </c>
      <c r="T3576">
        <v>9252</v>
      </c>
      <c r="U3576">
        <v>771</v>
      </c>
      <c r="V3576">
        <v>67</v>
      </c>
      <c r="W3576">
        <v>1</v>
      </c>
      <c r="X3576">
        <v>0</v>
      </c>
      <c r="Y3576" t="s">
        <v>10830</v>
      </c>
      <c r="Z3576">
        <v>74.08</v>
      </c>
      <c r="AA3576">
        <v>40.675073</v>
      </c>
      <c r="AB3576">
        <v>-74.002303</v>
      </c>
      <c r="AD3576" t="s">
        <v>10839</v>
      </c>
      <c r="AG3576" t="s">
        <v>10858</v>
      </c>
      <c r="AH3576" t="s">
        <v>10869</v>
      </c>
      <c r="AI3576">
        <v>239</v>
      </c>
      <c r="AJ3576" t="s">
        <v>10213</v>
      </c>
      <c r="AK3576" t="s">
        <v>10838</v>
      </c>
      <c r="AL3576">
        <v>1.5</v>
      </c>
      <c r="AM3576" t="s">
        <v>10886</v>
      </c>
      <c r="AN3576" t="s">
        <v>10921</v>
      </c>
      <c r="AO3576" t="s">
        <v>11007</v>
      </c>
      <c r="AP3576" t="s">
        <v>11069</v>
      </c>
      <c r="AR3576" t="s">
        <v>11348</v>
      </c>
      <c r="AS3576" t="s">
        <v>11595</v>
      </c>
      <c r="AT3576" t="s">
        <v>11641</v>
      </c>
      <c r="AV3576" t="s">
        <v>11656</v>
      </c>
      <c r="AW3576" t="s">
        <v>11645</v>
      </c>
      <c r="AY3576" t="s">
        <v>10830</v>
      </c>
      <c r="AZ3576" t="s">
        <v>11690</v>
      </c>
      <c r="BA3576" t="s">
        <v>11740</v>
      </c>
      <c r="BB3576">
        <v>0</v>
      </c>
      <c r="BC3576">
        <v>0</v>
      </c>
      <c r="BD3576">
        <v>0</v>
      </c>
      <c r="BE3576">
        <v>0</v>
      </c>
      <c r="BF3576">
        <v>2</v>
      </c>
      <c r="BG3576">
        <v>0</v>
      </c>
    </row>
    <row r="3577" spans="1:59">
      <c r="A3577" s="1">
        <f>HYPERLINK("https://lsnyc.legalserver.org/matter/dynamic-profile/view/1907676","19-1907676")</f>
        <v>0</v>
      </c>
      <c r="B3577" t="s">
        <v>2980</v>
      </c>
      <c r="C3577" t="s">
        <v>7771</v>
      </c>
      <c r="D3577" t="s">
        <v>9926</v>
      </c>
      <c r="E3577" t="s">
        <v>10075</v>
      </c>
      <c r="F3577">
        <v>10457</v>
      </c>
      <c r="G3577" t="s">
        <v>10090</v>
      </c>
      <c r="H3577" t="s">
        <v>10142</v>
      </c>
      <c r="I3577" t="s">
        <v>10168</v>
      </c>
      <c r="J3577" t="s">
        <v>10210</v>
      </c>
      <c r="K3577" t="s">
        <v>10217</v>
      </c>
      <c r="M3577" t="s">
        <v>10477</v>
      </c>
      <c r="N3577" t="s">
        <v>10650</v>
      </c>
      <c r="P3577" t="s">
        <v>10749</v>
      </c>
      <c r="Q3577" t="s">
        <v>10774</v>
      </c>
      <c r="R3577" t="s">
        <v>10822</v>
      </c>
      <c r="T3577">
        <v>0</v>
      </c>
      <c r="U3577">
        <v>0</v>
      </c>
      <c r="V3577">
        <v>34</v>
      </c>
      <c r="W3577">
        <v>1</v>
      </c>
      <c r="X3577">
        <v>1</v>
      </c>
      <c r="Z3577">
        <v>0</v>
      </c>
      <c r="AA3577">
        <v>40.852731</v>
      </c>
      <c r="AB3577">
        <v>-73.898736</v>
      </c>
      <c r="AD3577" t="s">
        <v>10822</v>
      </c>
      <c r="AG3577" t="s">
        <v>10858</v>
      </c>
      <c r="AH3577" t="s">
        <v>10861</v>
      </c>
      <c r="AI3577">
        <v>234</v>
      </c>
      <c r="AJ3577" t="s">
        <v>10214</v>
      </c>
      <c r="AL3577">
        <v>1</v>
      </c>
      <c r="AM3577" t="s">
        <v>10884</v>
      </c>
      <c r="AN3577" t="s">
        <v>10931</v>
      </c>
      <c r="AO3577" t="s">
        <v>11000</v>
      </c>
      <c r="AP3577" t="s">
        <v>11056</v>
      </c>
      <c r="AR3577" t="s">
        <v>11279</v>
      </c>
      <c r="AS3577" t="s">
        <v>9926</v>
      </c>
      <c r="AT3577" t="s">
        <v>10822</v>
      </c>
      <c r="AX3577" t="s">
        <v>10838</v>
      </c>
      <c r="BA3577" t="s">
        <v>11739</v>
      </c>
      <c r="BB3577">
        <v>0</v>
      </c>
      <c r="BC3577">
        <v>0</v>
      </c>
      <c r="BD3577">
        <v>0</v>
      </c>
      <c r="BE3577">
        <v>0</v>
      </c>
      <c r="BF3577">
        <v>4</v>
      </c>
      <c r="BG3577">
        <v>0</v>
      </c>
    </row>
    <row r="3578" spans="1:59">
      <c r="A3578" s="1">
        <f>HYPERLINK("https://lsnyc.legalserver.org/matter/dynamic-profile/view/1907677","19-1907677")</f>
        <v>0</v>
      </c>
      <c r="B3578" t="s">
        <v>2613</v>
      </c>
      <c r="C3578" t="s">
        <v>7772</v>
      </c>
      <c r="D3578" t="s">
        <v>9926</v>
      </c>
      <c r="E3578" t="s">
        <v>10075</v>
      </c>
      <c r="F3578">
        <v>10456</v>
      </c>
      <c r="G3578" t="s">
        <v>10090</v>
      </c>
      <c r="H3578" t="s">
        <v>10142</v>
      </c>
      <c r="I3578" t="s">
        <v>10169</v>
      </c>
      <c r="J3578" t="s">
        <v>10210</v>
      </c>
      <c r="K3578" t="s">
        <v>10218</v>
      </c>
      <c r="L3578" t="s">
        <v>10155</v>
      </c>
      <c r="M3578" t="s">
        <v>10336</v>
      </c>
      <c r="N3578" t="s">
        <v>10671</v>
      </c>
      <c r="P3578" t="s">
        <v>10754</v>
      </c>
      <c r="Q3578" t="s">
        <v>10770</v>
      </c>
      <c r="R3578" t="s">
        <v>10821</v>
      </c>
      <c r="T3578">
        <v>19463.6</v>
      </c>
      <c r="U3578">
        <v>1621.97</v>
      </c>
      <c r="V3578">
        <v>48</v>
      </c>
      <c r="W3578">
        <v>1</v>
      </c>
      <c r="X3578">
        <v>1</v>
      </c>
      <c r="Y3578" t="s">
        <v>10829</v>
      </c>
      <c r="Z3578">
        <v>115.1</v>
      </c>
      <c r="AA3578">
        <v>40.837225</v>
      </c>
      <c r="AB3578">
        <v>-73.903209</v>
      </c>
      <c r="AD3578" t="s">
        <v>10839</v>
      </c>
      <c r="AG3578" t="s">
        <v>10858</v>
      </c>
      <c r="AH3578" t="s">
        <v>10861</v>
      </c>
      <c r="AI3578">
        <v>234</v>
      </c>
      <c r="AJ3578" t="s">
        <v>10214</v>
      </c>
      <c r="AK3578" t="s">
        <v>10882</v>
      </c>
      <c r="AL3578">
        <v>1.5</v>
      </c>
      <c r="AM3578" t="s">
        <v>10884</v>
      </c>
      <c r="AN3578" t="s">
        <v>10918</v>
      </c>
      <c r="AO3578" t="s">
        <v>11000</v>
      </c>
      <c r="AP3578" t="s">
        <v>11055</v>
      </c>
      <c r="AR3578" t="s">
        <v>11262</v>
      </c>
      <c r="AS3578" t="s">
        <v>9926</v>
      </c>
      <c r="AT3578" t="s">
        <v>11641</v>
      </c>
      <c r="AX3578" t="s">
        <v>10838</v>
      </c>
      <c r="AY3578" t="s">
        <v>10829</v>
      </c>
      <c r="AZ3578" t="s">
        <v>11683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</row>
    <row r="3579" spans="1:59">
      <c r="A3579" s="1">
        <f>HYPERLINK("https://lsnyc.legalserver.org/matter/dynamic-profile/view/1907678","19-1907678")</f>
        <v>0</v>
      </c>
      <c r="B3579" t="s">
        <v>2981</v>
      </c>
      <c r="C3579" t="s">
        <v>7773</v>
      </c>
      <c r="D3579" t="s">
        <v>9925</v>
      </c>
      <c r="E3579" t="s">
        <v>10075</v>
      </c>
      <c r="F3579">
        <v>10036</v>
      </c>
      <c r="G3579" t="s">
        <v>10090</v>
      </c>
      <c r="H3579" t="s">
        <v>10142</v>
      </c>
      <c r="J3579" t="s">
        <v>10210</v>
      </c>
      <c r="K3579" t="s">
        <v>10217</v>
      </c>
      <c r="M3579" t="s">
        <v>10338</v>
      </c>
      <c r="N3579" t="s">
        <v>10677</v>
      </c>
      <c r="P3579" t="s">
        <v>10757</v>
      </c>
      <c r="Q3579" t="s">
        <v>10789</v>
      </c>
      <c r="R3579" t="s">
        <v>10824</v>
      </c>
      <c r="T3579">
        <v>12540</v>
      </c>
      <c r="U3579">
        <v>1045</v>
      </c>
      <c r="V3579">
        <v>66</v>
      </c>
      <c r="W3579">
        <v>1</v>
      </c>
      <c r="X3579">
        <v>0</v>
      </c>
      <c r="Z3579">
        <v>100.4</v>
      </c>
      <c r="AA3579">
        <v>40.760003</v>
      </c>
      <c r="AB3579">
        <v>-73.99486</v>
      </c>
      <c r="AD3579" t="s">
        <v>10839</v>
      </c>
      <c r="AG3579" t="s">
        <v>10858</v>
      </c>
      <c r="AH3579" t="s">
        <v>10874</v>
      </c>
      <c r="AI3579">
        <v>230</v>
      </c>
      <c r="AJ3579" t="s">
        <v>10210</v>
      </c>
      <c r="AL3579">
        <v>1.3</v>
      </c>
      <c r="AM3579" t="s">
        <v>10894</v>
      </c>
      <c r="AN3579" t="s">
        <v>10966</v>
      </c>
      <c r="AO3579" t="s">
        <v>11021</v>
      </c>
      <c r="AP3579" t="s">
        <v>11090</v>
      </c>
      <c r="AQ3579" t="s">
        <v>11121</v>
      </c>
      <c r="AR3579" t="s">
        <v>11296</v>
      </c>
      <c r="AS3579" t="s">
        <v>9925</v>
      </c>
      <c r="AT3579" t="s">
        <v>11641</v>
      </c>
      <c r="AX3579" t="s">
        <v>11678</v>
      </c>
      <c r="BA3579" t="s">
        <v>11739</v>
      </c>
      <c r="BB3579">
        <v>0</v>
      </c>
      <c r="BC3579">
        <v>0</v>
      </c>
      <c r="BD3579">
        <v>0</v>
      </c>
      <c r="BE3579">
        <v>0</v>
      </c>
      <c r="BF3579">
        <v>4</v>
      </c>
      <c r="BG3579">
        <v>0</v>
      </c>
    </row>
    <row r="3580" spans="1:59">
      <c r="A3580" s="1">
        <f>HYPERLINK("https://lsnyc.legalserver.org/matter/dynamic-profile/view/1907679","19-1907679")</f>
        <v>0</v>
      </c>
      <c r="B3580" t="s">
        <v>2982</v>
      </c>
      <c r="C3580" t="s">
        <v>7774</v>
      </c>
      <c r="D3580" t="s">
        <v>9926</v>
      </c>
      <c r="E3580" t="s">
        <v>10075</v>
      </c>
      <c r="F3580">
        <v>10469</v>
      </c>
      <c r="G3580" t="s">
        <v>10091</v>
      </c>
      <c r="H3580" t="s">
        <v>10142</v>
      </c>
      <c r="I3580" t="s">
        <v>10168</v>
      </c>
      <c r="J3580" t="s">
        <v>10214</v>
      </c>
      <c r="K3580" t="s">
        <v>10217</v>
      </c>
      <c r="M3580" t="s">
        <v>10537</v>
      </c>
      <c r="N3580" t="s">
        <v>10671</v>
      </c>
      <c r="P3580" t="s">
        <v>10753</v>
      </c>
      <c r="Q3580" t="s">
        <v>10763</v>
      </c>
      <c r="R3580" t="s">
        <v>10825</v>
      </c>
      <c r="T3580">
        <v>3770</v>
      </c>
      <c r="U3580">
        <v>314.17</v>
      </c>
      <c r="V3580">
        <v>35</v>
      </c>
      <c r="W3580">
        <v>1</v>
      </c>
      <c r="X3580">
        <v>2</v>
      </c>
      <c r="Z3580">
        <v>17.67</v>
      </c>
      <c r="AA3580">
        <v>40.875573</v>
      </c>
      <c r="AB3580">
        <v>-73.841629</v>
      </c>
      <c r="AD3580" t="s">
        <v>10839</v>
      </c>
      <c r="AF3580" t="s">
        <v>10843</v>
      </c>
      <c r="AG3580" t="s">
        <v>10859</v>
      </c>
      <c r="AH3580" t="s">
        <v>10871</v>
      </c>
      <c r="AI3580">
        <v>234</v>
      </c>
      <c r="AJ3580" t="s">
        <v>10214</v>
      </c>
      <c r="AL3580">
        <v>0.35</v>
      </c>
      <c r="AM3580" t="s">
        <v>10893</v>
      </c>
      <c r="AN3580" t="s">
        <v>10956</v>
      </c>
      <c r="AO3580" t="s">
        <v>11010</v>
      </c>
      <c r="AP3580" t="s">
        <v>11085</v>
      </c>
      <c r="AR3580" t="s">
        <v>11292</v>
      </c>
      <c r="AS3580" t="s">
        <v>9926</v>
      </c>
      <c r="AT3580" t="s">
        <v>11641</v>
      </c>
      <c r="AX3580" t="s">
        <v>10838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</row>
    <row r="3581" spans="1:59">
      <c r="A3581" s="1">
        <f>HYPERLINK("https://lsnyc.legalserver.org/matter/dynamic-profile/view/1907680","19-1907680")</f>
        <v>0</v>
      </c>
      <c r="B3581" t="s">
        <v>2735</v>
      </c>
      <c r="C3581" t="s">
        <v>7775</v>
      </c>
      <c r="D3581" t="s">
        <v>9928</v>
      </c>
      <c r="E3581" t="s">
        <v>10075</v>
      </c>
      <c r="F3581">
        <v>11218</v>
      </c>
      <c r="G3581" t="s">
        <v>10093</v>
      </c>
      <c r="H3581" t="s">
        <v>10142</v>
      </c>
      <c r="I3581" t="s">
        <v>10169</v>
      </c>
      <c r="J3581" t="s">
        <v>10213</v>
      </c>
      <c r="K3581" t="s">
        <v>10218</v>
      </c>
      <c r="L3581" t="s">
        <v>10154</v>
      </c>
      <c r="M3581" t="s">
        <v>10435</v>
      </c>
      <c r="N3581" t="s">
        <v>10665</v>
      </c>
      <c r="P3581" t="s">
        <v>10750</v>
      </c>
      <c r="Q3581" t="s">
        <v>10799</v>
      </c>
      <c r="R3581" t="s">
        <v>10823</v>
      </c>
      <c r="T3581">
        <v>15600</v>
      </c>
      <c r="U3581">
        <v>1300</v>
      </c>
      <c r="V3581">
        <v>60</v>
      </c>
      <c r="W3581">
        <v>1</v>
      </c>
      <c r="X3581">
        <v>0</v>
      </c>
      <c r="Y3581" t="s">
        <v>10829</v>
      </c>
      <c r="Z3581">
        <v>124.9</v>
      </c>
      <c r="AA3581">
        <v>40.645478</v>
      </c>
      <c r="AB3581">
        <v>-73.970285</v>
      </c>
      <c r="AD3581" t="s">
        <v>10839</v>
      </c>
      <c r="AG3581" t="s">
        <v>10858</v>
      </c>
      <c r="AH3581" t="s">
        <v>10861</v>
      </c>
      <c r="AI3581">
        <v>234</v>
      </c>
      <c r="AJ3581" t="s">
        <v>10214</v>
      </c>
      <c r="AK3581" t="s">
        <v>10838</v>
      </c>
      <c r="AL3581">
        <v>1.5</v>
      </c>
      <c r="AM3581" t="s">
        <v>10888</v>
      </c>
      <c r="AN3581" t="s">
        <v>10932</v>
      </c>
      <c r="AO3581" t="s">
        <v>11008</v>
      </c>
      <c r="AP3581" t="s">
        <v>11050</v>
      </c>
      <c r="AR3581" t="s">
        <v>11257</v>
      </c>
      <c r="AS3581" t="s">
        <v>11595</v>
      </c>
      <c r="AT3581" t="s">
        <v>11641</v>
      </c>
      <c r="AX3581" t="s">
        <v>10838</v>
      </c>
      <c r="AY3581" t="s">
        <v>10829</v>
      </c>
      <c r="AZ3581" t="s">
        <v>11679</v>
      </c>
      <c r="BA3581" t="s">
        <v>11741</v>
      </c>
      <c r="BB3581">
        <v>0</v>
      </c>
      <c r="BC3581">
        <v>0</v>
      </c>
      <c r="BD3581">
        <v>0</v>
      </c>
      <c r="BE3581">
        <v>0</v>
      </c>
      <c r="BF3581">
        <v>1</v>
      </c>
      <c r="BG3581">
        <v>0</v>
      </c>
    </row>
    <row r="3582" spans="1:59">
      <c r="A3582" s="1">
        <f>HYPERLINK("https://lsnyc.legalserver.org/matter/dynamic-profile/view/1907681","19-1907681")</f>
        <v>0</v>
      </c>
      <c r="B3582" t="s">
        <v>2973</v>
      </c>
      <c r="C3582" t="s">
        <v>7764</v>
      </c>
      <c r="D3582" t="s">
        <v>9926</v>
      </c>
      <c r="E3582" t="s">
        <v>10075</v>
      </c>
      <c r="F3582">
        <v>10467</v>
      </c>
      <c r="G3582" t="s">
        <v>10090</v>
      </c>
      <c r="H3582" t="s">
        <v>10142</v>
      </c>
      <c r="I3582" t="s">
        <v>10169</v>
      </c>
      <c r="J3582" t="s">
        <v>10210</v>
      </c>
      <c r="K3582" t="s">
        <v>10217</v>
      </c>
      <c r="M3582" t="s">
        <v>10283</v>
      </c>
      <c r="N3582" t="s">
        <v>10671</v>
      </c>
      <c r="P3582" t="s">
        <v>10751</v>
      </c>
      <c r="Q3582" t="s">
        <v>10761</v>
      </c>
      <c r="R3582" t="s">
        <v>10821</v>
      </c>
      <c r="T3582">
        <v>19040</v>
      </c>
      <c r="U3582">
        <v>1586.67</v>
      </c>
      <c r="V3582">
        <v>32</v>
      </c>
      <c r="W3582">
        <v>1</v>
      </c>
      <c r="X3582">
        <v>2</v>
      </c>
      <c r="Z3582">
        <v>89.26000000000001</v>
      </c>
      <c r="AA3582">
        <v>40.880042</v>
      </c>
      <c r="AB3582">
        <v>-73.871723</v>
      </c>
      <c r="AD3582" t="s">
        <v>10839</v>
      </c>
      <c r="AG3582" t="s">
        <v>10858</v>
      </c>
      <c r="AH3582" t="s">
        <v>10861</v>
      </c>
      <c r="AI3582">
        <v>230</v>
      </c>
      <c r="AJ3582" t="s">
        <v>10210</v>
      </c>
      <c r="AL3582">
        <v>0</v>
      </c>
      <c r="AM3582" t="s">
        <v>10887</v>
      </c>
      <c r="AN3582" t="s">
        <v>10938</v>
      </c>
      <c r="AO3582" t="s">
        <v>11010</v>
      </c>
      <c r="AP3582" t="s">
        <v>11057</v>
      </c>
      <c r="AR3582" t="s">
        <v>11359</v>
      </c>
      <c r="AS3582" t="s">
        <v>9926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</row>
    <row r="3583" spans="1:59">
      <c r="A3583" s="1">
        <f>HYPERLINK("https://lsnyc.legalserver.org/matter/dynamic-profile/view/1907682","19-1907682")</f>
        <v>0</v>
      </c>
      <c r="B3583" t="s">
        <v>2983</v>
      </c>
      <c r="C3583" t="s">
        <v>7776</v>
      </c>
      <c r="D3583" t="s">
        <v>10032</v>
      </c>
      <c r="E3583" t="s">
        <v>10075</v>
      </c>
      <c r="F3583">
        <v>11704</v>
      </c>
      <c r="G3583" t="s">
        <v>10093</v>
      </c>
      <c r="H3583" t="s">
        <v>10142</v>
      </c>
      <c r="I3583" t="s">
        <v>10168</v>
      </c>
      <c r="J3583" t="s">
        <v>10213</v>
      </c>
      <c r="K3583" t="s">
        <v>10218</v>
      </c>
      <c r="L3583" t="s">
        <v>10158</v>
      </c>
      <c r="M3583" t="s">
        <v>10436</v>
      </c>
      <c r="N3583" t="s">
        <v>10710</v>
      </c>
      <c r="P3583" t="s">
        <v>10750</v>
      </c>
      <c r="Q3583" t="s">
        <v>10760</v>
      </c>
      <c r="R3583" t="s">
        <v>10824</v>
      </c>
      <c r="T3583">
        <v>14400</v>
      </c>
      <c r="U3583">
        <v>1200</v>
      </c>
      <c r="V3583">
        <v>62</v>
      </c>
      <c r="W3583">
        <v>1</v>
      </c>
      <c r="X3583">
        <v>0</v>
      </c>
      <c r="Y3583" t="s">
        <v>10829</v>
      </c>
      <c r="Z3583">
        <v>115.29</v>
      </c>
      <c r="AA3583">
        <v>40.737622</v>
      </c>
      <c r="AB3583">
        <v>-73.35782500000001</v>
      </c>
      <c r="AD3583" t="s">
        <v>10839</v>
      </c>
      <c r="AG3583" t="s">
        <v>10858</v>
      </c>
      <c r="AH3583" t="s">
        <v>10861</v>
      </c>
      <c r="AI3583">
        <v>234</v>
      </c>
      <c r="AJ3583" t="s">
        <v>10214</v>
      </c>
      <c r="AK3583" t="s">
        <v>10838</v>
      </c>
      <c r="AL3583">
        <v>1.2</v>
      </c>
      <c r="AM3583" t="s">
        <v>10899</v>
      </c>
      <c r="AN3583" t="s">
        <v>10991</v>
      </c>
      <c r="AO3583" t="s">
        <v>11030</v>
      </c>
      <c r="AR3583" t="s">
        <v>11296</v>
      </c>
      <c r="AS3583" t="s">
        <v>11602</v>
      </c>
      <c r="AT3583" t="s">
        <v>11641</v>
      </c>
      <c r="AX3583" t="s">
        <v>10838</v>
      </c>
      <c r="AY3583" t="s">
        <v>10829</v>
      </c>
      <c r="AZ3583" t="s">
        <v>11679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</row>
    <row r="3584" spans="1:59">
      <c r="A3584" s="1">
        <f>HYPERLINK("https://lsnyc.legalserver.org/matter/dynamic-profile/view/1907683","19-1907683")</f>
        <v>0</v>
      </c>
      <c r="B3584" t="s">
        <v>1105</v>
      </c>
      <c r="C3584" t="s">
        <v>5086</v>
      </c>
      <c r="D3584" t="s">
        <v>9936</v>
      </c>
      <c r="E3584" t="s">
        <v>10075</v>
      </c>
      <c r="F3584">
        <v>11106</v>
      </c>
      <c r="G3584" t="s">
        <v>10092</v>
      </c>
      <c r="H3584" t="s">
        <v>10142</v>
      </c>
      <c r="I3584" t="s">
        <v>10168</v>
      </c>
      <c r="J3584" t="s">
        <v>10212</v>
      </c>
      <c r="K3584" t="s">
        <v>10217</v>
      </c>
      <c r="M3584" t="s">
        <v>10331</v>
      </c>
      <c r="N3584" t="s">
        <v>10675</v>
      </c>
      <c r="P3584" t="s">
        <v>10749</v>
      </c>
      <c r="Q3584" t="s">
        <v>10765</v>
      </c>
      <c r="R3584" t="s">
        <v>10820</v>
      </c>
      <c r="T3584">
        <v>84352</v>
      </c>
      <c r="U3584">
        <v>7029.33</v>
      </c>
      <c r="V3584">
        <v>51</v>
      </c>
      <c r="W3584">
        <v>3</v>
      </c>
      <c r="X3584">
        <v>0</v>
      </c>
      <c r="Z3584">
        <v>395.46</v>
      </c>
      <c r="AA3584">
        <v>40.756676</v>
      </c>
      <c r="AB3584">
        <v>-73.926131</v>
      </c>
      <c r="AC3584" t="s">
        <v>10837</v>
      </c>
      <c r="AD3584" t="s">
        <v>10840</v>
      </c>
      <c r="AG3584" t="s">
        <v>10858</v>
      </c>
      <c r="AH3584" t="s">
        <v>10861</v>
      </c>
      <c r="AI3584">
        <v>234</v>
      </c>
      <c r="AJ3584" t="s">
        <v>10214</v>
      </c>
      <c r="AL3584">
        <v>0.75</v>
      </c>
      <c r="AM3584" t="s">
        <v>10891</v>
      </c>
      <c r="AN3584" t="s">
        <v>10935</v>
      </c>
      <c r="AO3584" t="s">
        <v>11003</v>
      </c>
      <c r="AP3584" t="s">
        <v>11047</v>
      </c>
      <c r="AR3584" t="s">
        <v>11286</v>
      </c>
      <c r="AS3584" t="s">
        <v>11594</v>
      </c>
      <c r="AT3584" t="s">
        <v>11642</v>
      </c>
      <c r="AX3584" t="s">
        <v>10838</v>
      </c>
      <c r="BA3584" t="s">
        <v>11741</v>
      </c>
      <c r="BB3584">
        <v>0</v>
      </c>
      <c r="BC3584">
        <v>0</v>
      </c>
      <c r="BD3584">
        <v>0</v>
      </c>
      <c r="BE3584">
        <v>0</v>
      </c>
      <c r="BF3584">
        <v>1</v>
      </c>
      <c r="BG3584">
        <v>0</v>
      </c>
    </row>
    <row r="3585" spans="1:59">
      <c r="A3585" s="1">
        <f>HYPERLINK("https://lsnyc.legalserver.org/matter/dynamic-profile/view/1907684","19-1907684")</f>
        <v>0</v>
      </c>
      <c r="B3585" t="s">
        <v>1033</v>
      </c>
      <c r="C3585" t="s">
        <v>7777</v>
      </c>
      <c r="D3585" t="s">
        <v>9926</v>
      </c>
      <c r="E3585" t="s">
        <v>10075</v>
      </c>
      <c r="F3585">
        <v>10468</v>
      </c>
      <c r="G3585" t="s">
        <v>10090</v>
      </c>
      <c r="H3585" t="s">
        <v>10142</v>
      </c>
      <c r="I3585" t="s">
        <v>10168</v>
      </c>
      <c r="J3585" t="s">
        <v>10210</v>
      </c>
      <c r="K3585" t="s">
        <v>10217</v>
      </c>
      <c r="M3585" t="s">
        <v>10235</v>
      </c>
      <c r="N3585" t="s">
        <v>10651</v>
      </c>
      <c r="P3585" t="s">
        <v>10749</v>
      </c>
      <c r="Q3585" t="s">
        <v>10765</v>
      </c>
      <c r="R3585" t="s">
        <v>10824</v>
      </c>
      <c r="T3585">
        <v>22320</v>
      </c>
      <c r="U3585">
        <v>1860</v>
      </c>
      <c r="V3585">
        <v>55</v>
      </c>
      <c r="W3585">
        <v>2</v>
      </c>
      <c r="X3585">
        <v>0</v>
      </c>
      <c r="Z3585">
        <v>131.99</v>
      </c>
      <c r="AA3585">
        <v>40.865177</v>
      </c>
      <c r="AB3585">
        <v>-73.895663</v>
      </c>
      <c r="AD3585" t="s">
        <v>10839</v>
      </c>
      <c r="AG3585" t="s">
        <v>10858</v>
      </c>
      <c r="AH3585" t="s">
        <v>10878</v>
      </c>
      <c r="AI3585">
        <v>230</v>
      </c>
      <c r="AJ3585" t="s">
        <v>10210</v>
      </c>
      <c r="AL3585">
        <v>2</v>
      </c>
      <c r="AM3585" t="s">
        <v>10887</v>
      </c>
      <c r="AN3585" t="s">
        <v>10907</v>
      </c>
      <c r="AO3585" t="s">
        <v>11000</v>
      </c>
      <c r="AP3585" t="s">
        <v>11045</v>
      </c>
      <c r="AR3585" t="s">
        <v>11282</v>
      </c>
      <c r="AS3585" t="s">
        <v>9926</v>
      </c>
      <c r="AT3585" t="s">
        <v>11641</v>
      </c>
      <c r="AX3585" t="s">
        <v>10838</v>
      </c>
      <c r="BA3585" t="s">
        <v>11738</v>
      </c>
      <c r="BB3585">
        <v>0</v>
      </c>
      <c r="BC3585">
        <v>0</v>
      </c>
      <c r="BD3585">
        <v>0</v>
      </c>
      <c r="BE3585">
        <v>0</v>
      </c>
      <c r="BF3585">
        <v>5</v>
      </c>
      <c r="BG3585">
        <v>0</v>
      </c>
    </row>
    <row r="3586" spans="1:59">
      <c r="A3586" s="1">
        <f>HYPERLINK("https://lsnyc.legalserver.org/matter/dynamic-profile/view/1907685","19-1907685")</f>
        <v>0</v>
      </c>
      <c r="B3586" t="s">
        <v>2984</v>
      </c>
      <c r="C3586" t="s">
        <v>7778</v>
      </c>
      <c r="D3586" t="s">
        <v>9926</v>
      </c>
      <c r="E3586" t="s">
        <v>10075</v>
      </c>
      <c r="F3586">
        <v>10454</v>
      </c>
      <c r="G3586" t="s">
        <v>10090</v>
      </c>
      <c r="H3586" t="s">
        <v>10142</v>
      </c>
      <c r="I3586" t="s">
        <v>10168</v>
      </c>
      <c r="J3586" t="s">
        <v>10210</v>
      </c>
      <c r="K3586" t="s">
        <v>10217</v>
      </c>
      <c r="M3586" t="s">
        <v>10489</v>
      </c>
      <c r="N3586" t="s">
        <v>10719</v>
      </c>
      <c r="P3586" t="s">
        <v>10753</v>
      </c>
      <c r="Q3586" t="s">
        <v>10763</v>
      </c>
      <c r="R3586" t="s">
        <v>10825</v>
      </c>
      <c r="T3586">
        <v>28800</v>
      </c>
      <c r="U3586">
        <v>2400</v>
      </c>
      <c r="V3586">
        <v>42</v>
      </c>
      <c r="W3586">
        <v>5</v>
      </c>
      <c r="X3586">
        <v>4</v>
      </c>
      <c r="Z3586">
        <v>60.19</v>
      </c>
      <c r="AA3586">
        <v>40.811291</v>
      </c>
      <c r="AB3586">
        <v>-73.916048</v>
      </c>
      <c r="AD3586" t="s">
        <v>10840</v>
      </c>
      <c r="AG3586" t="s">
        <v>10858</v>
      </c>
      <c r="AH3586" t="s">
        <v>10864</v>
      </c>
      <c r="AI3586">
        <v>230</v>
      </c>
      <c r="AJ3586" t="s">
        <v>10210</v>
      </c>
      <c r="AL3586">
        <v>7</v>
      </c>
      <c r="AM3586" t="s">
        <v>10884</v>
      </c>
      <c r="AN3586" t="s">
        <v>10924</v>
      </c>
      <c r="AO3586" t="s">
        <v>11013</v>
      </c>
      <c r="AP3586" t="s">
        <v>11066</v>
      </c>
      <c r="AQ3586" t="s">
        <v>11222</v>
      </c>
      <c r="AR3586" t="s">
        <v>11257</v>
      </c>
      <c r="AS3586" t="s">
        <v>9926</v>
      </c>
      <c r="AT3586" t="s">
        <v>11642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</row>
    <row r="3587" spans="1:59">
      <c r="A3587" s="1">
        <f>HYPERLINK("https://lsnyc.legalserver.org/matter/dynamic-profile/view/1907686","19-1907686")</f>
        <v>0</v>
      </c>
      <c r="B3587" t="s">
        <v>2985</v>
      </c>
      <c r="C3587" t="s">
        <v>7779</v>
      </c>
      <c r="D3587" t="s">
        <v>9928</v>
      </c>
      <c r="E3587" t="s">
        <v>10075</v>
      </c>
      <c r="F3587">
        <v>11238</v>
      </c>
      <c r="G3587" t="s">
        <v>10093</v>
      </c>
      <c r="H3587" t="s">
        <v>10142</v>
      </c>
      <c r="I3587" t="s">
        <v>10168</v>
      </c>
      <c r="J3587" t="s">
        <v>10213</v>
      </c>
      <c r="K3587" t="s">
        <v>10217</v>
      </c>
      <c r="M3587" t="s">
        <v>10583</v>
      </c>
      <c r="N3587" t="s">
        <v>10644</v>
      </c>
      <c r="P3587" t="s">
        <v>10749</v>
      </c>
      <c r="Q3587" t="s">
        <v>10765</v>
      </c>
      <c r="R3587" t="s">
        <v>10824</v>
      </c>
      <c r="T3587">
        <v>12300</v>
      </c>
      <c r="U3587">
        <v>1025</v>
      </c>
      <c r="V3587">
        <v>70</v>
      </c>
      <c r="W3587">
        <v>1</v>
      </c>
      <c r="X3587">
        <v>0</v>
      </c>
      <c r="Z3587">
        <v>98.48</v>
      </c>
      <c r="AA3587">
        <v>40.683992</v>
      </c>
      <c r="AB3587">
        <v>-73.97086899999999</v>
      </c>
      <c r="AD3587" t="s">
        <v>10839</v>
      </c>
      <c r="AG3587" t="s">
        <v>10858</v>
      </c>
      <c r="AH3587" t="s">
        <v>10869</v>
      </c>
      <c r="AI3587">
        <v>239</v>
      </c>
      <c r="AJ3587" t="s">
        <v>10213</v>
      </c>
      <c r="AL3587">
        <v>1.3</v>
      </c>
      <c r="AM3587" t="s">
        <v>10889</v>
      </c>
      <c r="AN3587" t="s">
        <v>10923</v>
      </c>
      <c r="AO3587" t="s">
        <v>11007</v>
      </c>
      <c r="AP3587" t="s">
        <v>11061</v>
      </c>
      <c r="AR3587" t="s">
        <v>11316</v>
      </c>
      <c r="AS3587" t="s">
        <v>11595</v>
      </c>
      <c r="AT3587" t="s">
        <v>11641</v>
      </c>
      <c r="AV3587" t="s">
        <v>11656</v>
      </c>
      <c r="AW3587" t="s">
        <v>11645</v>
      </c>
      <c r="AX3587" t="s">
        <v>10838</v>
      </c>
      <c r="BA3587" t="s">
        <v>11740</v>
      </c>
      <c r="BB3587">
        <v>0</v>
      </c>
      <c r="BC3587">
        <v>0</v>
      </c>
      <c r="BD3587">
        <v>0</v>
      </c>
      <c r="BE3587">
        <v>0</v>
      </c>
      <c r="BF3587">
        <v>2</v>
      </c>
      <c r="BG3587">
        <v>0</v>
      </c>
    </row>
    <row r="3588" spans="1:59">
      <c r="A3588" s="1">
        <f>HYPERLINK("https://lsnyc.legalserver.org/matter/dynamic-profile/view/1907687","19-1907687")</f>
        <v>0</v>
      </c>
      <c r="B3588" t="s">
        <v>2986</v>
      </c>
      <c r="C3588" t="s">
        <v>7780</v>
      </c>
      <c r="D3588" t="s">
        <v>9928</v>
      </c>
      <c r="E3588" t="s">
        <v>10075</v>
      </c>
      <c r="F3588">
        <v>11223</v>
      </c>
      <c r="G3588" t="s">
        <v>10093</v>
      </c>
      <c r="H3588" t="s">
        <v>10142</v>
      </c>
      <c r="I3588" t="s">
        <v>10168</v>
      </c>
      <c r="J3588" t="s">
        <v>10213</v>
      </c>
      <c r="K3588" t="s">
        <v>10217</v>
      </c>
      <c r="M3588" t="s">
        <v>10425</v>
      </c>
      <c r="N3588" t="s">
        <v>10657</v>
      </c>
      <c r="P3588" t="s">
        <v>10749</v>
      </c>
      <c r="Q3588" t="s">
        <v>10767</v>
      </c>
      <c r="R3588" t="s">
        <v>10824</v>
      </c>
      <c r="T3588">
        <v>28800</v>
      </c>
      <c r="U3588">
        <v>2400</v>
      </c>
      <c r="V3588">
        <v>63</v>
      </c>
      <c r="W3588">
        <v>2</v>
      </c>
      <c r="X3588">
        <v>0</v>
      </c>
      <c r="Z3588">
        <v>170.31</v>
      </c>
      <c r="AA3588">
        <v>40.592794</v>
      </c>
      <c r="AB3588">
        <v>-73.97955899999999</v>
      </c>
      <c r="AD3588" t="s">
        <v>10839</v>
      </c>
      <c r="AG3588" t="s">
        <v>10858</v>
      </c>
      <c r="AH3588" t="s">
        <v>10876</v>
      </c>
      <c r="AI3588">
        <v>239</v>
      </c>
      <c r="AJ3588" t="s">
        <v>10213</v>
      </c>
      <c r="AL3588">
        <v>2.15</v>
      </c>
      <c r="AM3588" t="s">
        <v>10883</v>
      </c>
      <c r="AN3588" t="s">
        <v>10965</v>
      </c>
      <c r="AO3588" t="s">
        <v>11006</v>
      </c>
      <c r="AP3588" t="s">
        <v>11087</v>
      </c>
      <c r="AQ3588" t="s">
        <v>11144</v>
      </c>
      <c r="AR3588" t="s">
        <v>11257</v>
      </c>
      <c r="AS3588" t="s">
        <v>11595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</row>
    <row r="3589" spans="1:59">
      <c r="A3589" s="1">
        <f>HYPERLINK("https://lsnyc.legalserver.org/matter/dynamic-profile/view/1907690","19-1907690")</f>
        <v>0</v>
      </c>
      <c r="B3589" t="s">
        <v>2987</v>
      </c>
      <c r="C3589" t="s">
        <v>7781</v>
      </c>
      <c r="D3589" t="s">
        <v>9927</v>
      </c>
      <c r="E3589" t="s">
        <v>10075</v>
      </c>
      <c r="F3589">
        <v>11377</v>
      </c>
      <c r="G3589" t="s">
        <v>10092</v>
      </c>
      <c r="H3589" t="s">
        <v>10142</v>
      </c>
      <c r="I3589" t="s">
        <v>10168</v>
      </c>
      <c r="J3589" t="s">
        <v>10212</v>
      </c>
      <c r="K3589" t="s">
        <v>10217</v>
      </c>
      <c r="M3589" t="s">
        <v>10387</v>
      </c>
      <c r="N3589" t="s">
        <v>10650</v>
      </c>
      <c r="P3589" t="s">
        <v>10749</v>
      </c>
      <c r="Q3589" t="s">
        <v>10765</v>
      </c>
      <c r="R3589" t="s">
        <v>10827</v>
      </c>
      <c r="T3589">
        <v>83000</v>
      </c>
      <c r="U3589">
        <v>6916.67</v>
      </c>
      <c r="V3589">
        <v>54</v>
      </c>
      <c r="W3589">
        <v>3</v>
      </c>
      <c r="X3589">
        <v>1</v>
      </c>
      <c r="Z3589">
        <v>322.33</v>
      </c>
      <c r="AA3589">
        <v>40.741659</v>
      </c>
      <c r="AB3589">
        <v>-73.91630499999999</v>
      </c>
      <c r="AD3589" t="s">
        <v>10840</v>
      </c>
      <c r="AG3589" t="s">
        <v>10858</v>
      </c>
      <c r="AH3589" t="s">
        <v>10862</v>
      </c>
      <c r="AI3589">
        <v>237</v>
      </c>
      <c r="AJ3589" t="s">
        <v>10212</v>
      </c>
      <c r="AL3589">
        <v>0.4</v>
      </c>
      <c r="AM3589" t="s">
        <v>10885</v>
      </c>
      <c r="AN3589" t="s">
        <v>10961</v>
      </c>
      <c r="AO3589" t="s">
        <v>11003</v>
      </c>
      <c r="AP3589" t="s">
        <v>11047</v>
      </c>
      <c r="AR3589" t="s">
        <v>11257</v>
      </c>
      <c r="AS3589" t="s">
        <v>11594</v>
      </c>
      <c r="AX3589" t="s">
        <v>10838</v>
      </c>
      <c r="BA3589" t="s">
        <v>11739</v>
      </c>
      <c r="BB3589">
        <v>0</v>
      </c>
      <c r="BC3589">
        <v>0</v>
      </c>
      <c r="BD3589">
        <v>0</v>
      </c>
      <c r="BE3589">
        <v>0</v>
      </c>
      <c r="BF3589">
        <v>4</v>
      </c>
      <c r="BG3589">
        <v>0</v>
      </c>
    </row>
    <row r="3590" spans="1:59">
      <c r="A3590" s="1">
        <f>HYPERLINK("https://lsnyc.legalserver.org/matter/dynamic-profile/view/1907691","19-1907691")</f>
        <v>0</v>
      </c>
      <c r="B3590" t="s">
        <v>2988</v>
      </c>
      <c r="C3590" t="s">
        <v>7782</v>
      </c>
      <c r="D3590" t="s">
        <v>9928</v>
      </c>
      <c r="E3590" t="s">
        <v>10075</v>
      </c>
      <c r="F3590">
        <v>11203</v>
      </c>
      <c r="G3590" t="s">
        <v>10093</v>
      </c>
      <c r="H3590" t="s">
        <v>10142</v>
      </c>
      <c r="I3590" t="s">
        <v>10168</v>
      </c>
      <c r="J3590" t="s">
        <v>10213</v>
      </c>
      <c r="K3590" t="s">
        <v>10218</v>
      </c>
      <c r="L3590" t="s">
        <v>10141</v>
      </c>
      <c r="M3590" t="s">
        <v>10437</v>
      </c>
      <c r="N3590" t="s">
        <v>10675</v>
      </c>
      <c r="P3590" t="s">
        <v>10754</v>
      </c>
      <c r="Q3590" t="s">
        <v>10782</v>
      </c>
      <c r="R3590" t="s">
        <v>10824</v>
      </c>
      <c r="T3590">
        <v>14952</v>
      </c>
      <c r="U3590">
        <v>1246</v>
      </c>
      <c r="V3590">
        <v>54</v>
      </c>
      <c r="W3590">
        <v>1</v>
      </c>
      <c r="X3590">
        <v>0</v>
      </c>
      <c r="Y3590" t="s">
        <v>10830</v>
      </c>
      <c r="Z3590">
        <v>119.71</v>
      </c>
      <c r="AA3590">
        <v>40.641303</v>
      </c>
      <c r="AB3590">
        <v>-73.93948399999999</v>
      </c>
      <c r="AC3590" t="s">
        <v>10837</v>
      </c>
      <c r="AD3590" t="s">
        <v>10840</v>
      </c>
      <c r="AG3590" t="s">
        <v>10858</v>
      </c>
      <c r="AH3590" t="s">
        <v>10861</v>
      </c>
      <c r="AI3590">
        <v>239</v>
      </c>
      <c r="AJ3590" t="s">
        <v>10213</v>
      </c>
      <c r="AK3590" t="s">
        <v>10838</v>
      </c>
      <c r="AL3590">
        <v>1.75</v>
      </c>
      <c r="AR3590" t="s">
        <v>11465</v>
      </c>
      <c r="AS3590" t="s">
        <v>11595</v>
      </c>
      <c r="AY3590" t="s">
        <v>10830</v>
      </c>
      <c r="AZ3590" t="s">
        <v>11691</v>
      </c>
      <c r="BA3590" t="s">
        <v>11740</v>
      </c>
      <c r="BB3590">
        <v>0</v>
      </c>
      <c r="BC3590">
        <v>0</v>
      </c>
      <c r="BD3590">
        <v>0</v>
      </c>
      <c r="BE3590">
        <v>0</v>
      </c>
      <c r="BF3590">
        <v>2</v>
      </c>
      <c r="BG3590">
        <v>0</v>
      </c>
    </row>
    <row r="3591" spans="1:59">
      <c r="A3591" s="1">
        <f>HYPERLINK("https://lsnyc.legalserver.org/matter/dynamic-profile/view/1907692","19-1907692")</f>
        <v>0</v>
      </c>
      <c r="B3591" t="s">
        <v>2989</v>
      </c>
      <c r="C3591" t="s">
        <v>7783</v>
      </c>
      <c r="D3591" t="s">
        <v>9936</v>
      </c>
      <c r="E3591" t="s">
        <v>10075</v>
      </c>
      <c r="F3591">
        <v>11106</v>
      </c>
      <c r="G3591" t="s">
        <v>10090</v>
      </c>
      <c r="H3591" t="s">
        <v>10142</v>
      </c>
      <c r="I3591" t="s">
        <v>10168</v>
      </c>
      <c r="J3591" t="s">
        <v>10210</v>
      </c>
      <c r="K3591" t="s">
        <v>10217</v>
      </c>
      <c r="M3591" t="s">
        <v>10338</v>
      </c>
      <c r="N3591" t="s">
        <v>10705</v>
      </c>
      <c r="P3591" t="s">
        <v>10757</v>
      </c>
      <c r="Q3591" t="s">
        <v>10808</v>
      </c>
      <c r="R3591" t="s">
        <v>10822</v>
      </c>
      <c r="T3591">
        <v>48000</v>
      </c>
      <c r="U3591">
        <v>4000</v>
      </c>
      <c r="V3591">
        <v>51</v>
      </c>
      <c r="W3591">
        <v>1</v>
      </c>
      <c r="X3591">
        <v>0</v>
      </c>
      <c r="Z3591">
        <v>384.31</v>
      </c>
      <c r="AA3591">
        <v>40.759274</v>
      </c>
      <c r="AB3591">
        <v>-73.93015</v>
      </c>
      <c r="AD3591" t="s">
        <v>10840</v>
      </c>
      <c r="AG3591" t="s">
        <v>10858</v>
      </c>
      <c r="AH3591" t="s">
        <v>10874</v>
      </c>
      <c r="AI3591">
        <v>230</v>
      </c>
      <c r="AJ3591" t="s">
        <v>10210</v>
      </c>
      <c r="AL3591">
        <v>0.3</v>
      </c>
      <c r="AM3591" t="s">
        <v>10891</v>
      </c>
      <c r="AN3591" t="s">
        <v>10935</v>
      </c>
      <c r="AO3591" t="s">
        <v>11003</v>
      </c>
      <c r="AP3591" t="s">
        <v>11047</v>
      </c>
      <c r="AQ3591" t="s">
        <v>11174</v>
      </c>
      <c r="AR3591" t="s">
        <v>11257</v>
      </c>
      <c r="AS3591" t="s">
        <v>11594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</row>
    <row r="3592" spans="1:59">
      <c r="A3592" s="1">
        <f>HYPERLINK("https://lsnyc.legalserver.org/matter/dynamic-profile/view/1907693","19-1907693")</f>
        <v>0</v>
      </c>
      <c r="B3592" t="s">
        <v>2990</v>
      </c>
      <c r="C3592" t="s">
        <v>7784</v>
      </c>
      <c r="D3592" t="s">
        <v>9928</v>
      </c>
      <c r="E3592" t="s">
        <v>10075</v>
      </c>
      <c r="F3592">
        <v>11216</v>
      </c>
      <c r="G3592" t="s">
        <v>10091</v>
      </c>
      <c r="H3592" t="s">
        <v>10142</v>
      </c>
      <c r="I3592" t="s">
        <v>10168</v>
      </c>
      <c r="J3592" t="s">
        <v>10214</v>
      </c>
      <c r="K3592" t="s">
        <v>10217</v>
      </c>
      <c r="M3592" t="s">
        <v>10286</v>
      </c>
      <c r="N3592" t="s">
        <v>10671</v>
      </c>
      <c r="P3592" t="s">
        <v>10751</v>
      </c>
      <c r="Q3592" t="s">
        <v>10768</v>
      </c>
      <c r="R3592" t="s">
        <v>10824</v>
      </c>
      <c r="T3592">
        <v>2340</v>
      </c>
      <c r="U3592">
        <v>195</v>
      </c>
      <c r="V3592">
        <v>47</v>
      </c>
      <c r="W3592">
        <v>1</v>
      </c>
      <c r="X3592">
        <v>0</v>
      </c>
      <c r="Z3592">
        <v>18.73</v>
      </c>
      <c r="AA3592">
        <v>40.690839</v>
      </c>
      <c r="AB3592">
        <v>-73.947355</v>
      </c>
      <c r="AD3592" t="s">
        <v>10839</v>
      </c>
      <c r="AG3592" t="s">
        <v>10858</v>
      </c>
      <c r="AH3592" t="s">
        <v>10861</v>
      </c>
      <c r="AI3592">
        <v>234</v>
      </c>
      <c r="AJ3592" t="s">
        <v>10214</v>
      </c>
      <c r="AL3592">
        <v>0.4</v>
      </c>
      <c r="AM3592" t="s">
        <v>10889</v>
      </c>
      <c r="AN3592" t="s">
        <v>10914</v>
      </c>
      <c r="AO3592" t="s">
        <v>11007</v>
      </c>
      <c r="AP3592" t="s">
        <v>11052</v>
      </c>
      <c r="AR3592" t="s">
        <v>11255</v>
      </c>
      <c r="AS3592" t="s">
        <v>11595</v>
      </c>
      <c r="AT3592" t="s">
        <v>11641</v>
      </c>
      <c r="AX3592" t="s">
        <v>10838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</row>
    <row r="3593" spans="1:59">
      <c r="A3593" s="1">
        <f>HYPERLINK("https://lsnyc.legalserver.org/matter/dynamic-profile/view/1907694","19-1907694")</f>
        <v>0</v>
      </c>
      <c r="B3593" t="s">
        <v>1033</v>
      </c>
      <c r="C3593" t="s">
        <v>7777</v>
      </c>
      <c r="D3593" t="s">
        <v>9926</v>
      </c>
      <c r="E3593" t="s">
        <v>10075</v>
      </c>
      <c r="F3593">
        <v>10468</v>
      </c>
      <c r="G3593" t="s">
        <v>10090</v>
      </c>
      <c r="H3593" t="s">
        <v>10142</v>
      </c>
      <c r="I3593" t="s">
        <v>10168</v>
      </c>
      <c r="J3593" t="s">
        <v>10210</v>
      </c>
      <c r="K3593" t="s">
        <v>10217</v>
      </c>
      <c r="M3593" t="s">
        <v>10334</v>
      </c>
      <c r="N3593" t="s">
        <v>10671</v>
      </c>
      <c r="P3593" t="s">
        <v>10751</v>
      </c>
      <c r="Q3593" t="s">
        <v>10761</v>
      </c>
      <c r="R3593" t="s">
        <v>10824</v>
      </c>
      <c r="T3593">
        <v>22320</v>
      </c>
      <c r="U3593">
        <v>1860</v>
      </c>
      <c r="V3593">
        <v>55</v>
      </c>
      <c r="W3593">
        <v>2</v>
      </c>
      <c r="X3593">
        <v>0</v>
      </c>
      <c r="Z3593">
        <v>131.99</v>
      </c>
      <c r="AA3593">
        <v>40.865177</v>
      </c>
      <c r="AB3593">
        <v>-73.895663</v>
      </c>
      <c r="AD3593" t="s">
        <v>10839</v>
      </c>
      <c r="AG3593" t="s">
        <v>10858</v>
      </c>
      <c r="AH3593" t="s">
        <v>10861</v>
      </c>
      <c r="AI3593">
        <v>230</v>
      </c>
      <c r="AJ3593" t="s">
        <v>10210</v>
      </c>
      <c r="AL3593">
        <v>0.25</v>
      </c>
      <c r="AM3593" t="s">
        <v>10887</v>
      </c>
      <c r="AN3593" t="s">
        <v>10907</v>
      </c>
      <c r="AO3593" t="s">
        <v>11000</v>
      </c>
      <c r="AP3593" t="s">
        <v>11045</v>
      </c>
      <c r="AR3593" t="s">
        <v>11295</v>
      </c>
      <c r="AS3593" t="s">
        <v>9926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</row>
    <row r="3594" spans="1:59">
      <c r="A3594" s="1">
        <f>HYPERLINK("https://lsnyc.legalserver.org/matter/dynamic-profile/view/1907696","19-1907696")</f>
        <v>0</v>
      </c>
      <c r="B3594" t="s">
        <v>2991</v>
      </c>
      <c r="C3594" t="s">
        <v>7785</v>
      </c>
      <c r="D3594" t="s">
        <v>9925</v>
      </c>
      <c r="E3594" t="s">
        <v>10075</v>
      </c>
      <c r="F3594">
        <v>10032</v>
      </c>
      <c r="G3594" t="s">
        <v>10089</v>
      </c>
      <c r="H3594" t="s">
        <v>10142</v>
      </c>
      <c r="I3594" t="s">
        <v>10169</v>
      </c>
      <c r="J3594" t="s">
        <v>10209</v>
      </c>
      <c r="K3594" t="s">
        <v>10217</v>
      </c>
      <c r="M3594" t="s">
        <v>10270</v>
      </c>
      <c r="N3594" t="s">
        <v>10671</v>
      </c>
      <c r="P3594" t="s">
        <v>10753</v>
      </c>
      <c r="Q3594" t="s">
        <v>10763</v>
      </c>
      <c r="R3594" t="s">
        <v>10825</v>
      </c>
      <c r="T3594">
        <v>0</v>
      </c>
      <c r="U3594">
        <v>0</v>
      </c>
      <c r="V3594">
        <v>15</v>
      </c>
      <c r="W3594">
        <v>1</v>
      </c>
      <c r="X3594">
        <v>1</v>
      </c>
      <c r="Z3594">
        <v>0</v>
      </c>
      <c r="AA3594">
        <v>40.844076</v>
      </c>
      <c r="AB3594">
        <v>-73.93670400000001</v>
      </c>
      <c r="AD3594" t="s">
        <v>10840</v>
      </c>
      <c r="AF3594" t="s">
        <v>10842</v>
      </c>
      <c r="AG3594" t="s">
        <v>10859</v>
      </c>
      <c r="AH3594" t="s">
        <v>10861</v>
      </c>
      <c r="AI3594">
        <v>234</v>
      </c>
      <c r="AJ3594" t="s">
        <v>10214</v>
      </c>
      <c r="AL3594">
        <v>0.5</v>
      </c>
      <c r="AM3594" t="s">
        <v>10887</v>
      </c>
      <c r="AN3594" t="s">
        <v>10937</v>
      </c>
      <c r="AO3594" t="s">
        <v>11019</v>
      </c>
      <c r="AP3594" t="s">
        <v>11074</v>
      </c>
      <c r="AR3594" t="s">
        <v>11267</v>
      </c>
      <c r="AS3594" t="s">
        <v>9925</v>
      </c>
      <c r="AT3594" t="s">
        <v>11642</v>
      </c>
      <c r="AX3594" t="s">
        <v>10838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</row>
    <row r="3595" spans="1:59">
      <c r="A3595" s="1">
        <f>HYPERLINK("https://lsnyc.legalserver.org/matter/dynamic-profile/view/1907697","19-1907697")</f>
        <v>0</v>
      </c>
      <c r="B3595" t="s">
        <v>2992</v>
      </c>
      <c r="C3595" t="s">
        <v>7781</v>
      </c>
      <c r="D3595" t="s">
        <v>9927</v>
      </c>
      <c r="E3595" t="s">
        <v>10075</v>
      </c>
      <c r="F3595">
        <v>11377</v>
      </c>
      <c r="G3595" t="s">
        <v>10092</v>
      </c>
      <c r="H3595" t="s">
        <v>10142</v>
      </c>
      <c r="I3595" t="s">
        <v>10169</v>
      </c>
      <c r="J3595" t="s">
        <v>10212</v>
      </c>
      <c r="K3595" t="s">
        <v>10217</v>
      </c>
      <c r="M3595" t="s">
        <v>10387</v>
      </c>
      <c r="N3595" t="s">
        <v>10650</v>
      </c>
      <c r="P3595" t="s">
        <v>10749</v>
      </c>
      <c r="Q3595" t="s">
        <v>10765</v>
      </c>
      <c r="R3595" t="s">
        <v>10821</v>
      </c>
      <c r="T3595">
        <v>100000</v>
      </c>
      <c r="U3595">
        <v>8333.33</v>
      </c>
      <c r="V3595">
        <v>60</v>
      </c>
      <c r="W3595">
        <v>2</v>
      </c>
      <c r="X3595">
        <v>0</v>
      </c>
      <c r="Z3595">
        <v>591.37</v>
      </c>
      <c r="AA3595">
        <v>40.741659</v>
      </c>
      <c r="AB3595">
        <v>-73.91630499999999</v>
      </c>
      <c r="AD3595" t="s">
        <v>10840</v>
      </c>
      <c r="AG3595" t="s">
        <v>10858</v>
      </c>
      <c r="AH3595" t="s">
        <v>10862</v>
      </c>
      <c r="AI3595">
        <v>237</v>
      </c>
      <c r="AJ3595" t="s">
        <v>10212</v>
      </c>
      <c r="AL3595">
        <v>0.4</v>
      </c>
      <c r="AM3595" t="s">
        <v>10885</v>
      </c>
      <c r="AN3595" t="s">
        <v>10961</v>
      </c>
      <c r="AO3595" t="s">
        <v>11003</v>
      </c>
      <c r="AP3595" t="s">
        <v>11047</v>
      </c>
      <c r="AR3595" t="s">
        <v>11257</v>
      </c>
      <c r="AS3595" t="s">
        <v>11594</v>
      </c>
      <c r="AX3595" t="s">
        <v>10838</v>
      </c>
      <c r="BA3595" t="s">
        <v>11739</v>
      </c>
      <c r="BB3595">
        <v>0</v>
      </c>
      <c r="BC3595">
        <v>0</v>
      </c>
      <c r="BD3595">
        <v>0</v>
      </c>
      <c r="BE3595">
        <v>0</v>
      </c>
      <c r="BF3595">
        <v>4</v>
      </c>
      <c r="BG3595">
        <v>0</v>
      </c>
    </row>
    <row r="3596" spans="1:59">
      <c r="A3596" s="1">
        <f>HYPERLINK("https://lsnyc.legalserver.org/matter/dynamic-profile/view/1907698","19-1907698")</f>
        <v>0</v>
      </c>
      <c r="B3596" t="s">
        <v>2993</v>
      </c>
      <c r="C3596" t="s">
        <v>7786</v>
      </c>
      <c r="D3596" t="s">
        <v>9965</v>
      </c>
      <c r="E3596" t="s">
        <v>10075</v>
      </c>
      <c r="F3596">
        <v>11101</v>
      </c>
      <c r="G3596" t="s">
        <v>10092</v>
      </c>
      <c r="H3596" t="s">
        <v>10142</v>
      </c>
      <c r="I3596" t="s">
        <v>10169</v>
      </c>
      <c r="J3596" t="s">
        <v>10212</v>
      </c>
      <c r="K3596" t="s">
        <v>10217</v>
      </c>
      <c r="M3596" t="s">
        <v>10311</v>
      </c>
      <c r="N3596" t="s">
        <v>10684</v>
      </c>
      <c r="P3596" t="s">
        <v>10751</v>
      </c>
      <c r="Q3596" t="s">
        <v>10786</v>
      </c>
      <c r="R3596" t="s">
        <v>10821</v>
      </c>
      <c r="T3596">
        <v>12840</v>
      </c>
      <c r="U3596">
        <v>1070</v>
      </c>
      <c r="V3596">
        <v>76</v>
      </c>
      <c r="W3596">
        <v>2</v>
      </c>
      <c r="X3596">
        <v>0</v>
      </c>
      <c r="Z3596">
        <v>75.93000000000001</v>
      </c>
      <c r="AA3596">
        <v>40.754626</v>
      </c>
      <c r="AB3596">
        <v>-73.933886</v>
      </c>
      <c r="AD3596" t="s">
        <v>10840</v>
      </c>
      <c r="AG3596" t="s">
        <v>10858</v>
      </c>
      <c r="AH3596" t="s">
        <v>10873</v>
      </c>
      <c r="AI3596">
        <v>237</v>
      </c>
      <c r="AJ3596" t="s">
        <v>10212</v>
      </c>
      <c r="AL3596">
        <v>4.5</v>
      </c>
      <c r="AM3596" t="s">
        <v>10891</v>
      </c>
      <c r="AN3596" t="s">
        <v>10935</v>
      </c>
      <c r="AO3596" t="s">
        <v>11003</v>
      </c>
      <c r="AP3596" t="s">
        <v>11047</v>
      </c>
      <c r="AR3596" t="s">
        <v>11346</v>
      </c>
      <c r="AS3596" t="s">
        <v>11594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</row>
    <row r="3597" spans="1:59">
      <c r="A3597" s="1">
        <f>HYPERLINK("https://lsnyc.legalserver.org/matter/dynamic-profile/view/1907699","19-1907699")</f>
        <v>0</v>
      </c>
      <c r="B3597" t="s">
        <v>2994</v>
      </c>
      <c r="C3597" t="s">
        <v>7787</v>
      </c>
      <c r="D3597" t="s">
        <v>9928</v>
      </c>
      <c r="E3597" t="s">
        <v>10075</v>
      </c>
      <c r="F3597">
        <v>11226</v>
      </c>
      <c r="G3597" t="s">
        <v>10093</v>
      </c>
      <c r="H3597" t="s">
        <v>10142</v>
      </c>
      <c r="I3597" t="s">
        <v>10168</v>
      </c>
      <c r="J3597" t="s">
        <v>10213</v>
      </c>
      <c r="K3597" t="s">
        <v>10218</v>
      </c>
      <c r="L3597" t="s">
        <v>10143</v>
      </c>
      <c r="M3597" t="s">
        <v>10361</v>
      </c>
      <c r="N3597" t="s">
        <v>10667</v>
      </c>
      <c r="P3597" t="s">
        <v>10749</v>
      </c>
      <c r="Q3597" t="s">
        <v>10765</v>
      </c>
      <c r="R3597" t="s">
        <v>10820</v>
      </c>
      <c r="T3597">
        <v>0</v>
      </c>
      <c r="U3597">
        <v>0</v>
      </c>
      <c r="V3597">
        <v>58</v>
      </c>
      <c r="W3597">
        <v>1</v>
      </c>
      <c r="X3597">
        <v>0</v>
      </c>
      <c r="Y3597" t="s">
        <v>10829</v>
      </c>
      <c r="Z3597">
        <v>0</v>
      </c>
      <c r="AA3597">
        <v>40.645537</v>
      </c>
      <c r="AB3597">
        <v>-73.959788</v>
      </c>
      <c r="AD3597" t="s">
        <v>10839</v>
      </c>
      <c r="AG3597" t="s">
        <v>10858</v>
      </c>
      <c r="AH3597" t="s">
        <v>10861</v>
      </c>
      <c r="AI3597">
        <v>239</v>
      </c>
      <c r="AJ3597" t="s">
        <v>10213</v>
      </c>
      <c r="AK3597" t="s">
        <v>10882</v>
      </c>
      <c r="AL3597">
        <v>1.5</v>
      </c>
      <c r="AM3597" t="s">
        <v>10888</v>
      </c>
      <c r="AN3597" t="s">
        <v>10932</v>
      </c>
      <c r="AO3597" t="s">
        <v>11008</v>
      </c>
      <c r="AP3597" t="s">
        <v>11050</v>
      </c>
      <c r="AR3597" t="s">
        <v>11267</v>
      </c>
      <c r="AS3597" t="s">
        <v>11595</v>
      </c>
      <c r="AY3597" t="s">
        <v>10829</v>
      </c>
      <c r="AZ3597" t="s">
        <v>11681</v>
      </c>
      <c r="BA3597" t="s">
        <v>11741</v>
      </c>
      <c r="BB3597">
        <v>0</v>
      </c>
      <c r="BC3597">
        <v>0</v>
      </c>
      <c r="BD3597">
        <v>0</v>
      </c>
      <c r="BE3597">
        <v>0</v>
      </c>
      <c r="BF3597">
        <v>1</v>
      </c>
      <c r="BG3597">
        <v>0</v>
      </c>
    </row>
    <row r="3598" spans="1:59">
      <c r="A3598" s="1">
        <f>HYPERLINK("https://lsnyc.legalserver.org/matter/dynamic-profile/view/1907700","19-1907700")</f>
        <v>0</v>
      </c>
      <c r="B3598" t="s">
        <v>2995</v>
      </c>
      <c r="C3598" t="s">
        <v>5824</v>
      </c>
      <c r="D3598" t="s">
        <v>9926</v>
      </c>
      <c r="E3598" t="s">
        <v>10075</v>
      </c>
      <c r="F3598">
        <v>10457</v>
      </c>
      <c r="G3598" t="s">
        <v>10090</v>
      </c>
      <c r="H3598" t="s">
        <v>10142</v>
      </c>
      <c r="I3598" t="s">
        <v>10169</v>
      </c>
      <c r="J3598" t="s">
        <v>10210</v>
      </c>
      <c r="K3598" t="s">
        <v>10217</v>
      </c>
      <c r="M3598" t="s">
        <v>10297</v>
      </c>
      <c r="N3598" t="s">
        <v>10651</v>
      </c>
      <c r="P3598" t="s">
        <v>10749</v>
      </c>
      <c r="Q3598" t="s">
        <v>10765</v>
      </c>
      <c r="R3598" t="s">
        <v>10821</v>
      </c>
      <c r="T3598">
        <v>22534</v>
      </c>
      <c r="U3598">
        <v>1877.83</v>
      </c>
      <c r="V3598">
        <v>32</v>
      </c>
      <c r="W3598">
        <v>1</v>
      </c>
      <c r="X3598">
        <v>5</v>
      </c>
      <c r="Z3598">
        <v>65.15000000000001</v>
      </c>
      <c r="AA3598">
        <v>40.841297</v>
      </c>
      <c r="AB3598">
        <v>-73.91159500000001</v>
      </c>
      <c r="AD3598" t="s">
        <v>10839</v>
      </c>
      <c r="AF3598" t="s">
        <v>10842</v>
      </c>
      <c r="AG3598" t="s">
        <v>10859</v>
      </c>
      <c r="AH3598" t="s">
        <v>10861</v>
      </c>
      <c r="AI3598">
        <v>230</v>
      </c>
      <c r="AJ3598" t="s">
        <v>10210</v>
      </c>
      <c r="AL3598">
        <v>4.65</v>
      </c>
      <c r="AM3598" t="s">
        <v>10884</v>
      </c>
      <c r="AN3598" t="s">
        <v>10929</v>
      </c>
      <c r="AO3598" t="s">
        <v>11013</v>
      </c>
      <c r="AP3598" t="s">
        <v>11055</v>
      </c>
      <c r="AR3598" t="s">
        <v>11488</v>
      </c>
      <c r="AS3598" t="s">
        <v>9926</v>
      </c>
      <c r="AT3598" t="s">
        <v>11641</v>
      </c>
      <c r="AX3598" t="s">
        <v>10838</v>
      </c>
      <c r="BA3598" t="s">
        <v>11738</v>
      </c>
      <c r="BB3598">
        <v>0</v>
      </c>
      <c r="BC3598">
        <v>0</v>
      </c>
      <c r="BD3598">
        <v>0</v>
      </c>
      <c r="BE3598">
        <v>0</v>
      </c>
      <c r="BF3598">
        <v>5</v>
      </c>
      <c r="BG3598">
        <v>0</v>
      </c>
    </row>
    <row r="3599" spans="1:59">
      <c r="A3599" s="1">
        <f>HYPERLINK("https://lsnyc.legalserver.org/matter/dynamic-profile/view/1907702","19-1907702")</f>
        <v>0</v>
      </c>
      <c r="B3599" t="s">
        <v>2966</v>
      </c>
      <c r="C3599" t="s">
        <v>7788</v>
      </c>
      <c r="D3599" t="s">
        <v>9928</v>
      </c>
      <c r="E3599" t="s">
        <v>10075</v>
      </c>
      <c r="F3599">
        <v>11221</v>
      </c>
      <c r="G3599" t="s">
        <v>10093</v>
      </c>
      <c r="H3599" t="s">
        <v>10142</v>
      </c>
      <c r="I3599" t="s">
        <v>10168</v>
      </c>
      <c r="J3599" t="s">
        <v>10213</v>
      </c>
      <c r="K3599" t="s">
        <v>10218</v>
      </c>
      <c r="L3599" t="s">
        <v>10154</v>
      </c>
      <c r="M3599" t="s">
        <v>10315</v>
      </c>
      <c r="N3599" t="s">
        <v>10686</v>
      </c>
      <c r="P3599" t="s">
        <v>10750</v>
      </c>
      <c r="Q3599" t="s">
        <v>10778</v>
      </c>
      <c r="R3599" t="s">
        <v>10824</v>
      </c>
      <c r="T3599">
        <v>51252</v>
      </c>
      <c r="U3599">
        <v>4271</v>
      </c>
      <c r="V3599">
        <v>58</v>
      </c>
      <c r="W3599">
        <v>2</v>
      </c>
      <c r="X3599">
        <v>0</v>
      </c>
      <c r="Y3599" t="s">
        <v>10829</v>
      </c>
      <c r="Z3599">
        <v>303.09</v>
      </c>
      <c r="AA3599">
        <v>40.684679</v>
      </c>
      <c r="AB3599">
        <v>-73.94275500000001</v>
      </c>
      <c r="AD3599" t="s">
        <v>10839</v>
      </c>
      <c r="AG3599" t="s">
        <v>10858</v>
      </c>
      <c r="AH3599" t="s">
        <v>10861</v>
      </c>
      <c r="AI3599">
        <v>234</v>
      </c>
      <c r="AJ3599" t="s">
        <v>10214</v>
      </c>
      <c r="AK3599" t="s">
        <v>10882</v>
      </c>
      <c r="AL3599">
        <v>1.25</v>
      </c>
      <c r="AM3599" t="s">
        <v>10889</v>
      </c>
      <c r="AN3599" t="s">
        <v>10914</v>
      </c>
      <c r="AO3599" t="s">
        <v>11007</v>
      </c>
      <c r="AP3599" t="s">
        <v>11052</v>
      </c>
      <c r="AR3599" t="s">
        <v>11295</v>
      </c>
      <c r="AS3599" t="s">
        <v>11595</v>
      </c>
      <c r="AT3599" t="s">
        <v>11641</v>
      </c>
      <c r="AX3599" t="s">
        <v>10838</v>
      </c>
      <c r="AY3599" t="s">
        <v>10829</v>
      </c>
      <c r="AZ3599" t="s">
        <v>11679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</row>
    <row r="3600" spans="1:59">
      <c r="A3600" s="1">
        <f>HYPERLINK("https://lsnyc.legalserver.org/matter/dynamic-profile/view/1907703","19-1907703")</f>
        <v>0</v>
      </c>
      <c r="B3600" t="s">
        <v>2996</v>
      </c>
      <c r="C3600" t="s">
        <v>7789</v>
      </c>
      <c r="D3600" t="s">
        <v>9939</v>
      </c>
      <c r="E3600" t="s">
        <v>10075</v>
      </c>
      <c r="F3600">
        <v>11419</v>
      </c>
      <c r="G3600" t="s">
        <v>10092</v>
      </c>
      <c r="H3600" t="s">
        <v>10142</v>
      </c>
      <c r="I3600" t="s">
        <v>10174</v>
      </c>
      <c r="J3600" t="s">
        <v>10212</v>
      </c>
      <c r="K3600" t="s">
        <v>10217</v>
      </c>
      <c r="M3600" t="s">
        <v>10547</v>
      </c>
      <c r="N3600" t="s">
        <v>10649</v>
      </c>
      <c r="P3600" t="s">
        <v>10753</v>
      </c>
      <c r="Q3600" t="s">
        <v>10763</v>
      </c>
      <c r="R3600" t="s">
        <v>10827</v>
      </c>
      <c r="T3600">
        <v>0</v>
      </c>
      <c r="U3600">
        <v>0</v>
      </c>
      <c r="V3600">
        <v>50</v>
      </c>
      <c r="W3600">
        <v>5</v>
      </c>
      <c r="X3600">
        <v>1</v>
      </c>
      <c r="Z3600">
        <v>0</v>
      </c>
      <c r="AA3600">
        <v>40.68882</v>
      </c>
      <c r="AB3600">
        <v>-73.830879</v>
      </c>
      <c r="AD3600" t="s">
        <v>10840</v>
      </c>
      <c r="AF3600" t="s">
        <v>10843</v>
      </c>
      <c r="AG3600" t="s">
        <v>10859</v>
      </c>
      <c r="AH3600" t="s">
        <v>10871</v>
      </c>
      <c r="AI3600">
        <v>234</v>
      </c>
      <c r="AJ3600" t="s">
        <v>10214</v>
      </c>
      <c r="AL3600">
        <v>2.5</v>
      </c>
      <c r="AM3600" t="s">
        <v>10892</v>
      </c>
      <c r="AN3600" t="s">
        <v>10945</v>
      </c>
      <c r="AO3600" t="s">
        <v>11017</v>
      </c>
      <c r="AP3600" t="s">
        <v>11070</v>
      </c>
      <c r="AR3600" t="s">
        <v>11267</v>
      </c>
      <c r="AS3600" t="s">
        <v>11594</v>
      </c>
      <c r="AT3600" t="s">
        <v>11642</v>
      </c>
      <c r="AX3600" t="s">
        <v>10838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</row>
    <row r="3601" spans="1:59">
      <c r="A3601" s="1">
        <f>HYPERLINK("https://lsnyc.legalserver.org/matter/dynamic-profile/view/1907704","19-1907704")</f>
        <v>0</v>
      </c>
      <c r="B3601" t="s">
        <v>2997</v>
      </c>
      <c r="C3601" t="s">
        <v>7790</v>
      </c>
      <c r="D3601" t="s">
        <v>9928</v>
      </c>
      <c r="E3601" t="s">
        <v>10075</v>
      </c>
      <c r="F3601">
        <v>11233</v>
      </c>
      <c r="G3601" t="s">
        <v>10093</v>
      </c>
      <c r="H3601" t="s">
        <v>10142</v>
      </c>
      <c r="J3601" t="s">
        <v>10213</v>
      </c>
      <c r="K3601" t="s">
        <v>10217</v>
      </c>
      <c r="M3601" t="s">
        <v>10356</v>
      </c>
      <c r="N3601" t="s">
        <v>10673</v>
      </c>
      <c r="P3601" t="s">
        <v>10753</v>
      </c>
      <c r="Q3601" t="s">
        <v>10763</v>
      </c>
      <c r="R3601" t="s">
        <v>10824</v>
      </c>
      <c r="T3601">
        <v>20200</v>
      </c>
      <c r="U3601">
        <v>1683.33</v>
      </c>
      <c r="V3601">
        <v>54</v>
      </c>
      <c r="W3601">
        <v>1</v>
      </c>
      <c r="X3601">
        <v>1</v>
      </c>
      <c r="Z3601">
        <v>119.46</v>
      </c>
      <c r="AA3601">
        <v>40.669234</v>
      </c>
      <c r="AB3601">
        <v>-73.92416799999999</v>
      </c>
      <c r="AD3601" t="s">
        <v>10839</v>
      </c>
      <c r="AF3601" t="s">
        <v>10843</v>
      </c>
      <c r="AG3601" t="s">
        <v>10859</v>
      </c>
      <c r="AH3601" t="s">
        <v>10864</v>
      </c>
      <c r="AI3601">
        <v>239</v>
      </c>
      <c r="AJ3601" t="s">
        <v>10213</v>
      </c>
      <c r="AL3601">
        <v>3.4</v>
      </c>
      <c r="AM3601" t="s">
        <v>10888</v>
      </c>
      <c r="AN3601" t="s">
        <v>10922</v>
      </c>
      <c r="AO3601" t="s">
        <v>11005</v>
      </c>
      <c r="AP3601" t="s">
        <v>11064</v>
      </c>
      <c r="AQ3601" t="s">
        <v>11161</v>
      </c>
      <c r="AR3601" t="s">
        <v>11257</v>
      </c>
      <c r="AS3601" t="s">
        <v>11595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</row>
    <row r="3602" spans="1:59">
      <c r="A3602" s="1">
        <f>HYPERLINK("https://lsnyc.legalserver.org/matter/dynamic-profile/view/1907705","19-1907705")</f>
        <v>0</v>
      </c>
      <c r="B3602" t="s">
        <v>2998</v>
      </c>
      <c r="C3602" t="s">
        <v>7791</v>
      </c>
      <c r="D3602" t="s">
        <v>9932</v>
      </c>
      <c r="E3602" t="s">
        <v>10075</v>
      </c>
      <c r="F3602">
        <v>11368</v>
      </c>
      <c r="G3602" t="s">
        <v>10092</v>
      </c>
      <c r="H3602" t="s">
        <v>10142</v>
      </c>
      <c r="I3602" t="s">
        <v>10169</v>
      </c>
      <c r="J3602" t="s">
        <v>10212</v>
      </c>
      <c r="K3602" t="s">
        <v>10217</v>
      </c>
      <c r="M3602" t="s">
        <v>10320</v>
      </c>
      <c r="N3602" t="s">
        <v>10730</v>
      </c>
      <c r="P3602" t="s">
        <v>10753</v>
      </c>
      <c r="Q3602" t="s">
        <v>10763</v>
      </c>
      <c r="R3602" t="s">
        <v>10821</v>
      </c>
      <c r="T3602">
        <v>6000</v>
      </c>
      <c r="U3602">
        <v>500</v>
      </c>
      <c r="V3602">
        <v>61</v>
      </c>
      <c r="W3602">
        <v>1</v>
      </c>
      <c r="X3602">
        <v>0</v>
      </c>
      <c r="Z3602">
        <v>48.04</v>
      </c>
      <c r="AA3602">
        <v>40.738545</v>
      </c>
      <c r="AB3602">
        <v>-73.85594</v>
      </c>
      <c r="AD3602" t="s">
        <v>10840</v>
      </c>
      <c r="AF3602" t="s">
        <v>10842</v>
      </c>
      <c r="AG3602" t="s">
        <v>10859</v>
      </c>
      <c r="AH3602" t="s">
        <v>10864</v>
      </c>
      <c r="AI3602">
        <v>237</v>
      </c>
      <c r="AJ3602" t="s">
        <v>10212</v>
      </c>
      <c r="AL3602">
        <v>2</v>
      </c>
      <c r="AM3602" t="s">
        <v>10885</v>
      </c>
      <c r="AN3602" t="s">
        <v>10916</v>
      </c>
      <c r="AO3602" t="s">
        <v>11014</v>
      </c>
      <c r="AP3602" t="s">
        <v>11068</v>
      </c>
      <c r="AR3602" t="s">
        <v>11327</v>
      </c>
      <c r="AS3602" t="s">
        <v>11594</v>
      </c>
      <c r="BA3602" t="s">
        <v>11741</v>
      </c>
      <c r="BB3602">
        <v>0</v>
      </c>
      <c r="BC3602">
        <v>0</v>
      </c>
      <c r="BD3602">
        <v>0</v>
      </c>
      <c r="BE3602">
        <v>0</v>
      </c>
      <c r="BF3602">
        <v>1</v>
      </c>
      <c r="BG3602">
        <v>0</v>
      </c>
    </row>
    <row r="3603" spans="1:59">
      <c r="A3603" s="1">
        <f>HYPERLINK("https://lsnyc.legalserver.org/matter/dynamic-profile/view/1907706","19-1907706")</f>
        <v>0</v>
      </c>
      <c r="B3603" t="s">
        <v>2995</v>
      </c>
      <c r="C3603" t="s">
        <v>5824</v>
      </c>
      <c r="D3603" t="s">
        <v>9926</v>
      </c>
      <c r="E3603" t="s">
        <v>10075</v>
      </c>
      <c r="F3603">
        <v>10457</v>
      </c>
      <c r="G3603" t="s">
        <v>10090</v>
      </c>
      <c r="H3603" t="s">
        <v>10142</v>
      </c>
      <c r="I3603" t="s">
        <v>10169</v>
      </c>
      <c r="J3603" t="s">
        <v>10210</v>
      </c>
      <c r="K3603" t="s">
        <v>10217</v>
      </c>
      <c r="M3603" t="s">
        <v>10334</v>
      </c>
      <c r="N3603" t="s">
        <v>10671</v>
      </c>
      <c r="P3603" t="s">
        <v>10751</v>
      </c>
      <c r="Q3603" t="s">
        <v>10761</v>
      </c>
      <c r="R3603" t="s">
        <v>10821</v>
      </c>
      <c r="T3603">
        <v>22534</v>
      </c>
      <c r="U3603">
        <v>1877.83</v>
      </c>
      <c r="V3603">
        <v>32</v>
      </c>
      <c r="W3603">
        <v>1</v>
      </c>
      <c r="X3603">
        <v>5</v>
      </c>
      <c r="Z3603">
        <v>65.15000000000001</v>
      </c>
      <c r="AA3603">
        <v>40.841297</v>
      </c>
      <c r="AB3603">
        <v>-73.91159500000001</v>
      </c>
      <c r="AD3603" t="s">
        <v>10839</v>
      </c>
      <c r="AF3603" t="s">
        <v>10842</v>
      </c>
      <c r="AG3603" t="s">
        <v>10859</v>
      </c>
      <c r="AH3603" t="s">
        <v>10861</v>
      </c>
      <c r="AI3603">
        <v>230</v>
      </c>
      <c r="AJ3603" t="s">
        <v>10210</v>
      </c>
      <c r="AL3603">
        <v>0.25</v>
      </c>
      <c r="AM3603" t="s">
        <v>10884</v>
      </c>
      <c r="AN3603" t="s">
        <v>10929</v>
      </c>
      <c r="AO3603" t="s">
        <v>11013</v>
      </c>
      <c r="AP3603" t="s">
        <v>11055</v>
      </c>
      <c r="AR3603" t="s">
        <v>11488</v>
      </c>
      <c r="AS3603" t="s">
        <v>9926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</row>
    <row r="3604" spans="1:59">
      <c r="A3604" s="1">
        <f>HYPERLINK("https://lsnyc.legalserver.org/matter/dynamic-profile/view/1907707","19-1907707")</f>
        <v>0</v>
      </c>
      <c r="B3604" t="s">
        <v>2999</v>
      </c>
      <c r="C3604" t="s">
        <v>7792</v>
      </c>
      <c r="D3604" t="s">
        <v>9927</v>
      </c>
      <c r="E3604" t="s">
        <v>10075</v>
      </c>
      <c r="F3604">
        <v>11377</v>
      </c>
      <c r="G3604" t="s">
        <v>10092</v>
      </c>
      <c r="H3604" t="s">
        <v>10142</v>
      </c>
      <c r="I3604" t="s">
        <v>10169</v>
      </c>
      <c r="J3604" t="s">
        <v>10212</v>
      </c>
      <c r="K3604" t="s">
        <v>10217</v>
      </c>
      <c r="M3604" t="s">
        <v>10387</v>
      </c>
      <c r="N3604" t="s">
        <v>10650</v>
      </c>
      <c r="P3604" t="s">
        <v>10749</v>
      </c>
      <c r="Q3604" t="s">
        <v>10765</v>
      </c>
      <c r="R3604" t="s">
        <v>10821</v>
      </c>
      <c r="T3604">
        <v>14124</v>
      </c>
      <c r="U3604">
        <v>1177</v>
      </c>
      <c r="V3604">
        <v>61</v>
      </c>
      <c r="W3604">
        <v>2</v>
      </c>
      <c r="X3604">
        <v>0</v>
      </c>
      <c r="Z3604">
        <v>83.52</v>
      </c>
      <c r="AA3604">
        <v>40.740584</v>
      </c>
      <c r="AB3604">
        <v>-73.91662599999999</v>
      </c>
      <c r="AD3604" t="s">
        <v>10839</v>
      </c>
      <c r="AG3604" t="s">
        <v>10858</v>
      </c>
      <c r="AH3604" t="s">
        <v>10862</v>
      </c>
      <c r="AI3604">
        <v>237</v>
      </c>
      <c r="AJ3604" t="s">
        <v>10212</v>
      </c>
      <c r="AL3604">
        <v>0.01</v>
      </c>
      <c r="AM3604" t="s">
        <v>10885</v>
      </c>
      <c r="AN3604" t="s">
        <v>10961</v>
      </c>
      <c r="AO3604" t="s">
        <v>11003</v>
      </c>
      <c r="AP3604" t="s">
        <v>11047</v>
      </c>
      <c r="AR3604" t="s">
        <v>11263</v>
      </c>
      <c r="AS3604" t="s">
        <v>11594</v>
      </c>
      <c r="AX3604" t="s">
        <v>10838</v>
      </c>
      <c r="BA3604" t="s">
        <v>11739</v>
      </c>
      <c r="BB3604">
        <v>0</v>
      </c>
      <c r="BC3604">
        <v>0</v>
      </c>
      <c r="BD3604">
        <v>0</v>
      </c>
      <c r="BE3604">
        <v>0</v>
      </c>
      <c r="BF3604">
        <v>4</v>
      </c>
      <c r="BG3604">
        <v>0</v>
      </c>
    </row>
    <row r="3605" spans="1:59">
      <c r="A3605" s="1">
        <f>HYPERLINK("https://lsnyc.legalserver.org/matter/dynamic-profile/view/1907708","19-1907708")</f>
        <v>0</v>
      </c>
      <c r="B3605" t="s">
        <v>3000</v>
      </c>
      <c r="C3605" t="s">
        <v>7793</v>
      </c>
      <c r="D3605" t="s">
        <v>9928</v>
      </c>
      <c r="E3605" t="s">
        <v>10075</v>
      </c>
      <c r="F3605">
        <v>11215</v>
      </c>
      <c r="G3605" t="s">
        <v>10093</v>
      </c>
      <c r="H3605" t="s">
        <v>10142</v>
      </c>
      <c r="I3605" t="s">
        <v>10169</v>
      </c>
      <c r="J3605" t="s">
        <v>10213</v>
      </c>
      <c r="K3605" t="s">
        <v>10217</v>
      </c>
      <c r="M3605" t="s">
        <v>10435</v>
      </c>
      <c r="N3605" t="s">
        <v>10657</v>
      </c>
      <c r="P3605" t="s">
        <v>10756</v>
      </c>
      <c r="Q3605" t="s">
        <v>10787</v>
      </c>
      <c r="R3605" t="s">
        <v>10821</v>
      </c>
      <c r="T3605">
        <v>0</v>
      </c>
      <c r="U3605">
        <v>0</v>
      </c>
      <c r="V3605">
        <v>62</v>
      </c>
      <c r="W3605">
        <v>3</v>
      </c>
      <c r="X3605">
        <v>1</v>
      </c>
      <c r="Z3605">
        <v>0</v>
      </c>
      <c r="AA3605">
        <v>40.665583</v>
      </c>
      <c r="AB3605">
        <v>-73.994591</v>
      </c>
      <c r="AD3605" t="s">
        <v>10839</v>
      </c>
      <c r="AG3605" t="s">
        <v>10858</v>
      </c>
      <c r="AH3605" t="s">
        <v>10876</v>
      </c>
      <c r="AI3605">
        <v>239</v>
      </c>
      <c r="AJ3605" t="s">
        <v>10213</v>
      </c>
      <c r="AL3605">
        <v>2.75</v>
      </c>
      <c r="AM3605" t="s">
        <v>10886</v>
      </c>
      <c r="AN3605" t="s">
        <v>10921</v>
      </c>
      <c r="AO3605" t="s">
        <v>11005</v>
      </c>
      <c r="AP3605" t="s">
        <v>11069</v>
      </c>
      <c r="AR3605" t="s">
        <v>11267</v>
      </c>
      <c r="AS3605" t="s">
        <v>11595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</row>
    <row r="3606" spans="1:59">
      <c r="A3606" s="1">
        <f>HYPERLINK("https://lsnyc.legalserver.org/matter/dynamic-profile/view/1907709","19-1907709")</f>
        <v>0</v>
      </c>
      <c r="B3606" t="s">
        <v>3001</v>
      </c>
      <c r="C3606" t="s">
        <v>7794</v>
      </c>
      <c r="D3606" t="s">
        <v>9928</v>
      </c>
      <c r="E3606" t="s">
        <v>10075</v>
      </c>
      <c r="F3606">
        <v>11238</v>
      </c>
      <c r="G3606" t="s">
        <v>10093</v>
      </c>
      <c r="H3606" t="s">
        <v>10142</v>
      </c>
      <c r="I3606" t="s">
        <v>10168</v>
      </c>
      <c r="J3606" t="s">
        <v>10213</v>
      </c>
      <c r="K3606" t="s">
        <v>10217</v>
      </c>
      <c r="M3606" t="s">
        <v>10371</v>
      </c>
      <c r="N3606" t="s">
        <v>10650</v>
      </c>
      <c r="P3606" t="s">
        <v>10749</v>
      </c>
      <c r="Q3606" t="s">
        <v>10765</v>
      </c>
      <c r="R3606" t="s">
        <v>10822</v>
      </c>
      <c r="T3606">
        <v>6888</v>
      </c>
      <c r="U3606">
        <v>574</v>
      </c>
      <c r="V3606">
        <v>26</v>
      </c>
      <c r="W3606">
        <v>1</v>
      </c>
      <c r="X3606">
        <v>1</v>
      </c>
      <c r="Z3606">
        <v>40.73</v>
      </c>
      <c r="AA3606">
        <v>40.688175</v>
      </c>
      <c r="AB3606">
        <v>-73.95687700000001</v>
      </c>
      <c r="AD3606" t="s">
        <v>10839</v>
      </c>
      <c r="AG3606" t="s">
        <v>10858</v>
      </c>
      <c r="AH3606" t="s">
        <v>10862</v>
      </c>
      <c r="AI3606">
        <v>239</v>
      </c>
      <c r="AJ3606" t="s">
        <v>10213</v>
      </c>
      <c r="AL3606">
        <v>2.5</v>
      </c>
      <c r="AM3606" t="s">
        <v>10889</v>
      </c>
      <c r="AN3606" t="s">
        <v>10923</v>
      </c>
      <c r="AO3606" t="s">
        <v>11007</v>
      </c>
      <c r="AP3606" t="s">
        <v>11052</v>
      </c>
      <c r="AR3606" t="s">
        <v>11382</v>
      </c>
      <c r="AS3606" t="s">
        <v>11595</v>
      </c>
      <c r="BA3606" t="s">
        <v>11740</v>
      </c>
      <c r="BB3606">
        <v>0</v>
      </c>
      <c r="BC3606">
        <v>0</v>
      </c>
      <c r="BD3606">
        <v>0</v>
      </c>
      <c r="BE3606">
        <v>0</v>
      </c>
      <c r="BF3606">
        <v>2</v>
      </c>
      <c r="BG3606">
        <v>0</v>
      </c>
    </row>
    <row r="3607" spans="1:59">
      <c r="A3607" s="1">
        <f>HYPERLINK("https://lsnyc.legalserver.org/matter/dynamic-profile/view/1907710","19-1907710")</f>
        <v>0</v>
      </c>
      <c r="B3607" t="s">
        <v>3002</v>
      </c>
      <c r="C3607" t="s">
        <v>7795</v>
      </c>
      <c r="D3607" t="s">
        <v>9938</v>
      </c>
      <c r="E3607" t="s">
        <v>10075</v>
      </c>
      <c r="F3607">
        <v>11434</v>
      </c>
      <c r="G3607" t="s">
        <v>10092</v>
      </c>
      <c r="H3607" t="s">
        <v>10142</v>
      </c>
      <c r="I3607" t="s">
        <v>10168</v>
      </c>
      <c r="J3607" t="s">
        <v>10212</v>
      </c>
      <c r="K3607" t="s">
        <v>10217</v>
      </c>
      <c r="M3607" t="s">
        <v>10325</v>
      </c>
      <c r="N3607" t="s">
        <v>10676</v>
      </c>
      <c r="P3607" t="s">
        <v>10757</v>
      </c>
      <c r="Q3607" t="s">
        <v>10789</v>
      </c>
      <c r="R3607" t="s">
        <v>10824</v>
      </c>
      <c r="T3607">
        <v>9432</v>
      </c>
      <c r="U3607">
        <v>786</v>
      </c>
      <c r="V3607">
        <v>65</v>
      </c>
      <c r="W3607">
        <v>1</v>
      </c>
      <c r="X3607">
        <v>0</v>
      </c>
      <c r="Z3607">
        <v>75.52</v>
      </c>
      <c r="AA3607">
        <v>40.685666</v>
      </c>
      <c r="AB3607">
        <v>-73.767912</v>
      </c>
      <c r="AD3607" t="s">
        <v>10839</v>
      </c>
      <c r="AF3607" t="s">
        <v>10843</v>
      </c>
      <c r="AG3607" t="s">
        <v>10858</v>
      </c>
      <c r="AH3607" t="s">
        <v>10874</v>
      </c>
      <c r="AI3607">
        <v>237</v>
      </c>
      <c r="AJ3607" t="s">
        <v>10212</v>
      </c>
      <c r="AL3607">
        <v>4.25</v>
      </c>
      <c r="AM3607" t="s">
        <v>10892</v>
      </c>
      <c r="AN3607" t="s">
        <v>10955</v>
      </c>
      <c r="AO3607" t="s">
        <v>11020</v>
      </c>
      <c r="AP3607" t="s">
        <v>11075</v>
      </c>
      <c r="AR3607" t="s">
        <v>11316</v>
      </c>
      <c r="AS3607" t="s">
        <v>11594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</row>
    <row r="3608" spans="1:59">
      <c r="A3608" s="1">
        <f>HYPERLINK("https://lsnyc.legalserver.org/matter/dynamic-profile/view/1907711","19-1907711")</f>
        <v>0</v>
      </c>
      <c r="B3608" t="s">
        <v>3003</v>
      </c>
      <c r="C3608" t="s">
        <v>7796</v>
      </c>
      <c r="D3608" t="s">
        <v>9926</v>
      </c>
      <c r="E3608" t="s">
        <v>10075</v>
      </c>
      <c r="F3608">
        <v>10467</v>
      </c>
      <c r="G3608" t="s">
        <v>10090</v>
      </c>
      <c r="H3608" t="s">
        <v>10142</v>
      </c>
      <c r="I3608" t="s">
        <v>10168</v>
      </c>
      <c r="J3608" t="s">
        <v>10210</v>
      </c>
      <c r="K3608" t="s">
        <v>10217</v>
      </c>
      <c r="M3608" t="s">
        <v>10511</v>
      </c>
      <c r="N3608" t="s">
        <v>10651</v>
      </c>
      <c r="P3608" t="s">
        <v>10749</v>
      </c>
      <c r="Q3608" t="s">
        <v>10765</v>
      </c>
      <c r="R3608" t="s">
        <v>10821</v>
      </c>
      <c r="T3608">
        <v>3380</v>
      </c>
      <c r="U3608">
        <v>281.67</v>
      </c>
      <c r="V3608">
        <v>38</v>
      </c>
      <c r="W3608">
        <v>1</v>
      </c>
      <c r="X3608">
        <v>3</v>
      </c>
      <c r="Z3608">
        <v>13.13</v>
      </c>
      <c r="AA3608">
        <v>40.875182</v>
      </c>
      <c r="AB3608">
        <v>-73.876501</v>
      </c>
      <c r="AD3608" t="s">
        <v>10839</v>
      </c>
      <c r="AG3608" t="s">
        <v>10858</v>
      </c>
      <c r="AH3608" t="s">
        <v>10861</v>
      </c>
      <c r="AI3608">
        <v>230</v>
      </c>
      <c r="AJ3608" t="s">
        <v>10210</v>
      </c>
      <c r="AL3608">
        <v>2</v>
      </c>
      <c r="AM3608" t="s">
        <v>10887</v>
      </c>
      <c r="AN3608" t="s">
        <v>10938</v>
      </c>
      <c r="AO3608" t="s">
        <v>11010</v>
      </c>
      <c r="AP3608" t="s">
        <v>11057</v>
      </c>
      <c r="AR3608" t="s">
        <v>11273</v>
      </c>
      <c r="AS3608" t="s">
        <v>9926</v>
      </c>
      <c r="AT3608" t="s">
        <v>11641</v>
      </c>
      <c r="AX3608" t="s">
        <v>10838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</row>
    <row r="3609" spans="1:59">
      <c r="A3609" s="1">
        <f>HYPERLINK("https://lsnyc.legalserver.org/matter/dynamic-profile/view/1907712","19-1907712")</f>
        <v>0</v>
      </c>
      <c r="B3609" t="s">
        <v>3004</v>
      </c>
      <c r="C3609" t="s">
        <v>7781</v>
      </c>
      <c r="D3609" t="s">
        <v>9927</v>
      </c>
      <c r="E3609" t="s">
        <v>10075</v>
      </c>
      <c r="F3609">
        <v>11377</v>
      </c>
      <c r="G3609" t="s">
        <v>10092</v>
      </c>
      <c r="H3609" t="s">
        <v>10142</v>
      </c>
      <c r="I3609" t="s">
        <v>10169</v>
      </c>
      <c r="J3609" t="s">
        <v>10212</v>
      </c>
      <c r="K3609" t="s">
        <v>10217</v>
      </c>
      <c r="M3609" t="s">
        <v>10387</v>
      </c>
      <c r="N3609" t="s">
        <v>10650</v>
      </c>
      <c r="P3609" t="s">
        <v>10749</v>
      </c>
      <c r="Q3609" t="s">
        <v>10765</v>
      </c>
      <c r="R3609" t="s">
        <v>10821</v>
      </c>
      <c r="T3609">
        <v>60000</v>
      </c>
      <c r="U3609">
        <v>5000</v>
      </c>
      <c r="V3609">
        <v>60</v>
      </c>
      <c r="W3609">
        <v>4</v>
      </c>
      <c r="X3609">
        <v>0</v>
      </c>
      <c r="Z3609">
        <v>233.01</v>
      </c>
      <c r="AA3609">
        <v>40.741659</v>
      </c>
      <c r="AB3609">
        <v>-73.91630499999999</v>
      </c>
      <c r="AD3609" t="s">
        <v>10839</v>
      </c>
      <c r="AG3609" t="s">
        <v>10858</v>
      </c>
      <c r="AH3609" t="s">
        <v>10862</v>
      </c>
      <c r="AI3609">
        <v>237</v>
      </c>
      <c r="AJ3609" t="s">
        <v>10212</v>
      </c>
      <c r="AL3609">
        <v>0.45</v>
      </c>
      <c r="AM3609" t="s">
        <v>10885</v>
      </c>
      <c r="AN3609" t="s">
        <v>10961</v>
      </c>
      <c r="AO3609" t="s">
        <v>11003</v>
      </c>
      <c r="AP3609" t="s">
        <v>11047</v>
      </c>
      <c r="AR3609" t="s">
        <v>11257</v>
      </c>
      <c r="AS3609" t="s">
        <v>11594</v>
      </c>
      <c r="AX3609" t="s">
        <v>10838</v>
      </c>
      <c r="BA3609" t="s">
        <v>11739</v>
      </c>
      <c r="BB3609">
        <v>0</v>
      </c>
      <c r="BC3609">
        <v>0</v>
      </c>
      <c r="BD3609">
        <v>0</v>
      </c>
      <c r="BE3609">
        <v>0</v>
      </c>
      <c r="BF3609">
        <v>4</v>
      </c>
      <c r="BG3609">
        <v>0</v>
      </c>
    </row>
    <row r="3610" spans="1:59">
      <c r="A3610" s="1">
        <f>HYPERLINK("https://lsnyc.legalserver.org/matter/dynamic-profile/view/1907713","19-1907713")</f>
        <v>0</v>
      </c>
      <c r="B3610" t="s">
        <v>2997</v>
      </c>
      <c r="C3610" t="s">
        <v>7790</v>
      </c>
      <c r="D3610" t="s">
        <v>9928</v>
      </c>
      <c r="E3610" t="s">
        <v>10075</v>
      </c>
      <c r="F3610">
        <v>11233</v>
      </c>
      <c r="G3610" t="s">
        <v>10093</v>
      </c>
      <c r="H3610" t="s">
        <v>10142</v>
      </c>
      <c r="J3610" t="s">
        <v>10213</v>
      </c>
      <c r="K3610" t="s">
        <v>10217</v>
      </c>
      <c r="M3610" t="s">
        <v>10356</v>
      </c>
      <c r="N3610" t="s">
        <v>10673</v>
      </c>
      <c r="P3610" t="s">
        <v>10753</v>
      </c>
      <c r="Q3610" t="s">
        <v>10763</v>
      </c>
      <c r="R3610" t="s">
        <v>10824</v>
      </c>
      <c r="T3610">
        <v>20000</v>
      </c>
      <c r="U3610">
        <v>1666.67</v>
      </c>
      <c r="V3610">
        <v>54</v>
      </c>
      <c r="W3610">
        <v>1</v>
      </c>
      <c r="X3610">
        <v>1</v>
      </c>
      <c r="Z3610">
        <v>118.27</v>
      </c>
      <c r="AA3610">
        <v>40.669234</v>
      </c>
      <c r="AB3610">
        <v>-73.92416799999999</v>
      </c>
      <c r="AD3610" t="s">
        <v>10839</v>
      </c>
      <c r="AF3610" t="s">
        <v>10843</v>
      </c>
      <c r="AG3610" t="s">
        <v>10859</v>
      </c>
      <c r="AH3610" t="s">
        <v>10864</v>
      </c>
      <c r="AI3610">
        <v>239</v>
      </c>
      <c r="AJ3610" t="s">
        <v>10213</v>
      </c>
      <c r="AL3610">
        <v>3.7</v>
      </c>
      <c r="AM3610" t="s">
        <v>10888</v>
      </c>
      <c r="AN3610" t="s">
        <v>10922</v>
      </c>
      <c r="AO3610" t="s">
        <v>11005</v>
      </c>
      <c r="AP3610" t="s">
        <v>11064</v>
      </c>
      <c r="AQ3610" t="s">
        <v>11142</v>
      </c>
      <c r="AR3610" t="s">
        <v>11257</v>
      </c>
      <c r="AS3610" t="s">
        <v>11595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</row>
    <row r="3611" spans="1:59">
      <c r="A3611" s="1">
        <f>HYPERLINK("https://lsnyc.legalserver.org/matter/dynamic-profile/view/1907714","19-1907714")</f>
        <v>0</v>
      </c>
      <c r="B3611" t="s">
        <v>3005</v>
      </c>
      <c r="C3611" t="s">
        <v>7781</v>
      </c>
      <c r="D3611" t="s">
        <v>9927</v>
      </c>
      <c r="E3611" t="s">
        <v>10075</v>
      </c>
      <c r="F3611">
        <v>11377</v>
      </c>
      <c r="G3611" t="s">
        <v>10092</v>
      </c>
      <c r="H3611" t="s">
        <v>10142</v>
      </c>
      <c r="I3611" t="s">
        <v>10168</v>
      </c>
      <c r="J3611" t="s">
        <v>10212</v>
      </c>
      <c r="K3611" t="s">
        <v>10217</v>
      </c>
      <c r="M3611" t="s">
        <v>10387</v>
      </c>
      <c r="N3611" t="s">
        <v>10650</v>
      </c>
      <c r="P3611" t="s">
        <v>10749</v>
      </c>
      <c r="Q3611" t="s">
        <v>10765</v>
      </c>
      <c r="R3611" t="s">
        <v>10820</v>
      </c>
      <c r="T3611">
        <v>110000</v>
      </c>
      <c r="U3611">
        <v>9166.67</v>
      </c>
      <c r="V3611">
        <v>34</v>
      </c>
      <c r="W3611">
        <v>2</v>
      </c>
      <c r="X3611">
        <v>0</v>
      </c>
      <c r="Z3611">
        <v>650.5</v>
      </c>
      <c r="AA3611">
        <v>40.741659</v>
      </c>
      <c r="AB3611">
        <v>-73.91630499999999</v>
      </c>
      <c r="AD3611" t="s">
        <v>10839</v>
      </c>
      <c r="AG3611" t="s">
        <v>10858</v>
      </c>
      <c r="AH3611" t="s">
        <v>10862</v>
      </c>
      <c r="AI3611">
        <v>237</v>
      </c>
      <c r="AJ3611" t="s">
        <v>10212</v>
      </c>
      <c r="AL3611">
        <v>0.4</v>
      </c>
      <c r="AM3611" t="s">
        <v>10885</v>
      </c>
      <c r="AN3611" t="s">
        <v>10961</v>
      </c>
      <c r="AO3611" t="s">
        <v>11003</v>
      </c>
      <c r="AP3611" t="s">
        <v>11047</v>
      </c>
      <c r="AR3611" t="s">
        <v>11257</v>
      </c>
      <c r="AS3611" t="s">
        <v>11594</v>
      </c>
      <c r="AX3611" t="s">
        <v>10838</v>
      </c>
      <c r="BA3611" t="s">
        <v>11739</v>
      </c>
      <c r="BB3611">
        <v>0</v>
      </c>
      <c r="BC3611">
        <v>0</v>
      </c>
      <c r="BD3611">
        <v>0</v>
      </c>
      <c r="BE3611">
        <v>0</v>
      </c>
      <c r="BF3611">
        <v>4</v>
      </c>
      <c r="BG3611">
        <v>0</v>
      </c>
    </row>
    <row r="3612" spans="1:59">
      <c r="A3612" s="1">
        <f>HYPERLINK("https://lsnyc.legalserver.org/matter/dynamic-profile/view/1907715","19-1907715")</f>
        <v>0</v>
      </c>
      <c r="B3612" t="s">
        <v>3006</v>
      </c>
      <c r="C3612" t="s">
        <v>7797</v>
      </c>
      <c r="D3612" t="s">
        <v>9953</v>
      </c>
      <c r="E3612" t="s">
        <v>10075</v>
      </c>
      <c r="F3612">
        <v>11104</v>
      </c>
      <c r="G3612" t="s">
        <v>10092</v>
      </c>
      <c r="H3612" t="s">
        <v>10142</v>
      </c>
      <c r="I3612" t="s">
        <v>10169</v>
      </c>
      <c r="J3612" t="s">
        <v>10212</v>
      </c>
      <c r="K3612" t="s">
        <v>10217</v>
      </c>
      <c r="M3612" t="s">
        <v>10413</v>
      </c>
      <c r="N3612" t="s">
        <v>10709</v>
      </c>
      <c r="P3612" t="s">
        <v>10754</v>
      </c>
      <c r="Q3612" t="s">
        <v>10766</v>
      </c>
      <c r="R3612" t="s">
        <v>10823</v>
      </c>
      <c r="T3612">
        <v>12000</v>
      </c>
      <c r="U3612">
        <v>1000</v>
      </c>
      <c r="V3612">
        <v>46</v>
      </c>
      <c r="W3612">
        <v>1</v>
      </c>
      <c r="X3612">
        <v>1</v>
      </c>
      <c r="Z3612">
        <v>70.95999999999999</v>
      </c>
      <c r="AA3612">
        <v>40.746653</v>
      </c>
      <c r="AB3612">
        <v>-73.915316</v>
      </c>
      <c r="AD3612" t="s">
        <v>10839</v>
      </c>
      <c r="AF3612" t="s">
        <v>10842</v>
      </c>
      <c r="AG3612" t="s">
        <v>10859</v>
      </c>
      <c r="AH3612" t="s">
        <v>10865</v>
      </c>
      <c r="AI3612">
        <v>237</v>
      </c>
      <c r="AJ3612" t="s">
        <v>10212</v>
      </c>
      <c r="AL3612">
        <v>3.25</v>
      </c>
      <c r="AM3612" t="s">
        <v>10885</v>
      </c>
      <c r="AN3612" t="s">
        <v>10961</v>
      </c>
      <c r="AO3612" t="s">
        <v>11003</v>
      </c>
      <c r="AP3612" t="s">
        <v>11047</v>
      </c>
      <c r="AR3612" t="s">
        <v>11257</v>
      </c>
      <c r="AS3612" t="s">
        <v>11594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</row>
    <row r="3613" spans="1:59">
      <c r="A3613" s="1">
        <f>HYPERLINK("https://lsnyc.legalserver.org/matter/dynamic-profile/view/1907716","19-1907716")</f>
        <v>0</v>
      </c>
      <c r="B3613" t="s">
        <v>3007</v>
      </c>
      <c r="C3613" t="s">
        <v>7798</v>
      </c>
      <c r="D3613" t="s">
        <v>9940</v>
      </c>
      <c r="E3613" t="s">
        <v>10075</v>
      </c>
      <c r="F3613">
        <v>11421</v>
      </c>
      <c r="G3613" t="s">
        <v>10092</v>
      </c>
      <c r="H3613" t="s">
        <v>10142</v>
      </c>
      <c r="I3613" t="s">
        <v>10169</v>
      </c>
      <c r="J3613" t="s">
        <v>10212</v>
      </c>
      <c r="K3613" t="s">
        <v>10217</v>
      </c>
      <c r="M3613" t="s">
        <v>10325</v>
      </c>
      <c r="N3613" t="s">
        <v>10671</v>
      </c>
      <c r="P3613" t="s">
        <v>10757</v>
      </c>
      <c r="Q3613" t="s">
        <v>10789</v>
      </c>
      <c r="R3613" t="s">
        <v>10823</v>
      </c>
      <c r="T3613">
        <v>8883.48</v>
      </c>
      <c r="U3613">
        <v>740.29</v>
      </c>
      <c r="V3613">
        <v>78</v>
      </c>
      <c r="W3613">
        <v>1</v>
      </c>
      <c r="X3613">
        <v>0</v>
      </c>
      <c r="Z3613">
        <v>71.12</v>
      </c>
      <c r="AA3613">
        <v>40.695833</v>
      </c>
      <c r="AB3613">
        <v>-73.852966</v>
      </c>
      <c r="AD3613" t="s">
        <v>10839</v>
      </c>
      <c r="AG3613" t="s">
        <v>10858</v>
      </c>
      <c r="AH3613" t="s">
        <v>10871</v>
      </c>
      <c r="AI3613">
        <v>234</v>
      </c>
      <c r="AJ3613" t="s">
        <v>10214</v>
      </c>
      <c r="AL3613">
        <v>4.6</v>
      </c>
      <c r="AM3613" t="s">
        <v>10886</v>
      </c>
      <c r="AN3613" t="s">
        <v>10945</v>
      </c>
      <c r="AO3613" t="s">
        <v>11024</v>
      </c>
      <c r="AP3613" t="s">
        <v>11088</v>
      </c>
      <c r="AR3613" t="s">
        <v>11423</v>
      </c>
      <c r="AS3613" t="s">
        <v>11594</v>
      </c>
      <c r="AT3613" t="s">
        <v>11641</v>
      </c>
      <c r="AX3613" t="s">
        <v>10838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</row>
    <row r="3614" spans="1:59">
      <c r="A3614" s="1">
        <f>HYPERLINK("https://lsnyc.legalserver.org/matter/dynamic-profile/view/1907717","19-1907717")</f>
        <v>0</v>
      </c>
      <c r="B3614" t="s">
        <v>3008</v>
      </c>
      <c r="C3614" t="s">
        <v>7799</v>
      </c>
      <c r="D3614" t="s">
        <v>9926</v>
      </c>
      <c r="E3614" t="s">
        <v>10075</v>
      </c>
      <c r="F3614">
        <v>10457</v>
      </c>
      <c r="G3614" t="s">
        <v>10090</v>
      </c>
      <c r="H3614" t="s">
        <v>10142</v>
      </c>
      <c r="I3614" t="s">
        <v>10169</v>
      </c>
      <c r="J3614" t="s">
        <v>10210</v>
      </c>
      <c r="K3614" t="s">
        <v>10218</v>
      </c>
      <c r="L3614" t="s">
        <v>10159</v>
      </c>
      <c r="M3614" t="s">
        <v>10579</v>
      </c>
      <c r="N3614" t="s">
        <v>10650</v>
      </c>
      <c r="P3614" t="s">
        <v>10749</v>
      </c>
      <c r="Q3614" t="s">
        <v>10765</v>
      </c>
      <c r="R3614" t="s">
        <v>10821</v>
      </c>
      <c r="T3614">
        <v>24000</v>
      </c>
      <c r="U3614">
        <v>2000</v>
      </c>
      <c r="V3614">
        <v>54</v>
      </c>
      <c r="W3614">
        <v>1</v>
      </c>
      <c r="X3614">
        <v>0</v>
      </c>
      <c r="Y3614" t="s">
        <v>10830</v>
      </c>
      <c r="Z3614">
        <v>192.15</v>
      </c>
      <c r="AA3614">
        <v>40.849936</v>
      </c>
      <c r="AB3614">
        <v>-73.903239</v>
      </c>
      <c r="AD3614" t="s">
        <v>10839</v>
      </c>
      <c r="AG3614" t="s">
        <v>10858</v>
      </c>
      <c r="AH3614" t="s">
        <v>10862</v>
      </c>
      <c r="AI3614">
        <v>230</v>
      </c>
      <c r="AJ3614" t="s">
        <v>10210</v>
      </c>
      <c r="AK3614" t="s">
        <v>10838</v>
      </c>
      <c r="AL3614">
        <v>1.75</v>
      </c>
      <c r="AM3614" t="s">
        <v>10884</v>
      </c>
      <c r="AN3614" t="s">
        <v>10931</v>
      </c>
      <c r="AO3614" t="s">
        <v>11000</v>
      </c>
      <c r="AP3614" t="s">
        <v>11056</v>
      </c>
      <c r="AR3614" t="s">
        <v>11257</v>
      </c>
      <c r="AS3614" t="s">
        <v>9926</v>
      </c>
      <c r="AY3614" t="s">
        <v>10830</v>
      </c>
      <c r="AZ3614" t="s">
        <v>11697</v>
      </c>
      <c r="BA3614" t="s">
        <v>11741</v>
      </c>
      <c r="BB3614">
        <v>0</v>
      </c>
      <c r="BC3614">
        <v>0</v>
      </c>
      <c r="BD3614">
        <v>0</v>
      </c>
      <c r="BE3614">
        <v>0</v>
      </c>
      <c r="BF3614">
        <v>1</v>
      </c>
      <c r="BG3614">
        <v>0</v>
      </c>
    </row>
    <row r="3615" spans="1:59">
      <c r="A3615" s="1">
        <f>HYPERLINK("https://lsnyc.legalserver.org/matter/dynamic-profile/view/1907718","19-1907718")</f>
        <v>0</v>
      </c>
      <c r="B3615" t="s">
        <v>3003</v>
      </c>
      <c r="C3615" t="s">
        <v>7796</v>
      </c>
      <c r="D3615" t="s">
        <v>9926</v>
      </c>
      <c r="E3615" t="s">
        <v>10075</v>
      </c>
      <c r="F3615">
        <v>10467</v>
      </c>
      <c r="G3615" t="s">
        <v>10090</v>
      </c>
      <c r="H3615" t="s">
        <v>10142</v>
      </c>
      <c r="I3615" t="s">
        <v>10168</v>
      </c>
      <c r="J3615" t="s">
        <v>10210</v>
      </c>
      <c r="K3615" t="s">
        <v>10217</v>
      </c>
      <c r="M3615" t="s">
        <v>10401</v>
      </c>
      <c r="N3615" t="s">
        <v>10671</v>
      </c>
      <c r="P3615" t="s">
        <v>10751</v>
      </c>
      <c r="Q3615" t="s">
        <v>10761</v>
      </c>
      <c r="R3615" t="s">
        <v>10821</v>
      </c>
      <c r="T3615">
        <v>3380</v>
      </c>
      <c r="U3615">
        <v>281.67</v>
      </c>
      <c r="V3615">
        <v>38</v>
      </c>
      <c r="W3615">
        <v>1</v>
      </c>
      <c r="X3615">
        <v>3</v>
      </c>
      <c r="Z3615">
        <v>13.13</v>
      </c>
      <c r="AA3615">
        <v>40.875182</v>
      </c>
      <c r="AB3615">
        <v>-73.876501</v>
      </c>
      <c r="AD3615" t="s">
        <v>10839</v>
      </c>
      <c r="AG3615" t="s">
        <v>10858</v>
      </c>
      <c r="AH3615" t="s">
        <v>10861</v>
      </c>
      <c r="AI3615">
        <v>230</v>
      </c>
      <c r="AJ3615" t="s">
        <v>10210</v>
      </c>
      <c r="AL3615">
        <v>0.25</v>
      </c>
      <c r="AM3615" t="s">
        <v>10887</v>
      </c>
      <c r="AN3615" t="s">
        <v>10938</v>
      </c>
      <c r="AO3615" t="s">
        <v>11010</v>
      </c>
      <c r="AP3615" t="s">
        <v>11057</v>
      </c>
      <c r="AR3615" t="s">
        <v>11273</v>
      </c>
      <c r="AS3615" t="s">
        <v>9926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</row>
    <row r="3616" spans="1:59">
      <c r="A3616" s="1">
        <f>HYPERLINK("https://lsnyc.legalserver.org/matter/dynamic-profile/view/1907719","19-1907719")</f>
        <v>0</v>
      </c>
      <c r="B3616" t="s">
        <v>3009</v>
      </c>
      <c r="C3616" t="s">
        <v>7800</v>
      </c>
      <c r="D3616" t="s">
        <v>9928</v>
      </c>
      <c r="E3616" t="s">
        <v>10075</v>
      </c>
      <c r="F3616">
        <v>11215</v>
      </c>
      <c r="G3616" t="s">
        <v>10093</v>
      </c>
      <c r="H3616" t="s">
        <v>10142</v>
      </c>
      <c r="I3616" t="s">
        <v>10168</v>
      </c>
      <c r="J3616" t="s">
        <v>10213</v>
      </c>
      <c r="K3616" t="s">
        <v>10217</v>
      </c>
      <c r="M3616" t="s">
        <v>10400</v>
      </c>
      <c r="N3616" t="s">
        <v>10657</v>
      </c>
      <c r="P3616" t="s">
        <v>10749</v>
      </c>
      <c r="Q3616" t="s">
        <v>10765</v>
      </c>
      <c r="R3616" t="s">
        <v>10821</v>
      </c>
      <c r="T3616">
        <v>21000</v>
      </c>
      <c r="U3616">
        <v>1750</v>
      </c>
      <c r="V3616">
        <v>65</v>
      </c>
      <c r="W3616">
        <v>3</v>
      </c>
      <c r="X3616">
        <v>2</v>
      </c>
      <c r="Z3616">
        <v>69.61</v>
      </c>
      <c r="AA3616">
        <v>40.66563</v>
      </c>
      <c r="AB3616">
        <v>-73.985677</v>
      </c>
      <c r="AD3616" t="s">
        <v>10839</v>
      </c>
      <c r="AG3616" t="s">
        <v>10858</v>
      </c>
      <c r="AH3616" t="s">
        <v>10876</v>
      </c>
      <c r="AI3616">
        <v>239</v>
      </c>
      <c r="AJ3616" t="s">
        <v>10213</v>
      </c>
      <c r="AL3616">
        <v>3.55</v>
      </c>
      <c r="AM3616" t="s">
        <v>10888</v>
      </c>
      <c r="AN3616" t="s">
        <v>10941</v>
      </c>
      <c r="AO3616" t="s">
        <v>11008</v>
      </c>
      <c r="AP3616" t="s">
        <v>11059</v>
      </c>
      <c r="AR3616" t="s">
        <v>10180</v>
      </c>
      <c r="AS3616" t="s">
        <v>11595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</row>
    <row r="3617" spans="1:59">
      <c r="A3617" s="1">
        <f>HYPERLINK("https://lsnyc.legalserver.org/matter/dynamic-profile/view/1907720","19-1907720")</f>
        <v>0</v>
      </c>
      <c r="B3617" t="s">
        <v>3010</v>
      </c>
      <c r="C3617" t="s">
        <v>7801</v>
      </c>
      <c r="D3617" t="s">
        <v>9926</v>
      </c>
      <c r="E3617" t="s">
        <v>10075</v>
      </c>
      <c r="F3617">
        <v>10468</v>
      </c>
      <c r="G3617" t="s">
        <v>10090</v>
      </c>
      <c r="H3617" t="s">
        <v>10142</v>
      </c>
      <c r="I3617" t="s">
        <v>10169</v>
      </c>
      <c r="J3617" t="s">
        <v>10210</v>
      </c>
      <c r="K3617" t="s">
        <v>10218</v>
      </c>
      <c r="L3617" t="s">
        <v>10159</v>
      </c>
      <c r="M3617" t="s">
        <v>10579</v>
      </c>
      <c r="N3617" t="s">
        <v>10650</v>
      </c>
      <c r="P3617" t="s">
        <v>10749</v>
      </c>
      <c r="Q3617" t="s">
        <v>10765</v>
      </c>
      <c r="R3617" t="s">
        <v>10823</v>
      </c>
      <c r="T3617">
        <v>7800</v>
      </c>
      <c r="U3617">
        <v>650</v>
      </c>
      <c r="V3617">
        <v>64</v>
      </c>
      <c r="W3617">
        <v>2</v>
      </c>
      <c r="X3617">
        <v>0</v>
      </c>
      <c r="Y3617" t="s">
        <v>10829</v>
      </c>
      <c r="Z3617">
        <v>46.13</v>
      </c>
      <c r="AA3617">
        <v>40.86545</v>
      </c>
      <c r="AB3617">
        <v>-73.899469</v>
      </c>
      <c r="AD3617" t="s">
        <v>10839</v>
      </c>
      <c r="AF3617" t="s">
        <v>10843</v>
      </c>
      <c r="AG3617" t="s">
        <v>10859</v>
      </c>
      <c r="AH3617" t="s">
        <v>10862</v>
      </c>
      <c r="AI3617">
        <v>230</v>
      </c>
      <c r="AJ3617" t="s">
        <v>10210</v>
      </c>
      <c r="AK3617" t="s">
        <v>10838</v>
      </c>
      <c r="AL3617">
        <v>0.5</v>
      </c>
      <c r="AM3617" t="s">
        <v>10887</v>
      </c>
      <c r="AN3617" t="s">
        <v>10907</v>
      </c>
      <c r="AO3617" t="s">
        <v>11000</v>
      </c>
      <c r="AP3617" t="s">
        <v>11045</v>
      </c>
      <c r="AR3617" t="s">
        <v>11257</v>
      </c>
      <c r="AS3617" t="s">
        <v>9926</v>
      </c>
      <c r="AY3617" t="s">
        <v>10829</v>
      </c>
      <c r="AZ3617" t="s">
        <v>11681</v>
      </c>
      <c r="BA3617" t="s">
        <v>11741</v>
      </c>
      <c r="BB3617">
        <v>0</v>
      </c>
      <c r="BC3617">
        <v>0</v>
      </c>
      <c r="BD3617">
        <v>0</v>
      </c>
      <c r="BE3617">
        <v>0</v>
      </c>
      <c r="BF3617">
        <v>1</v>
      </c>
      <c r="BG3617">
        <v>0</v>
      </c>
    </row>
    <row r="3618" spans="1:59">
      <c r="A3618" s="1">
        <f>HYPERLINK("https://lsnyc.legalserver.org/matter/dynamic-profile/view/1907721","19-1907721")</f>
        <v>0</v>
      </c>
      <c r="B3618" t="s">
        <v>3011</v>
      </c>
      <c r="C3618" t="s">
        <v>7802</v>
      </c>
      <c r="D3618" t="s">
        <v>10033</v>
      </c>
      <c r="E3618" t="s">
        <v>10075</v>
      </c>
      <c r="F3618">
        <v>11004</v>
      </c>
      <c r="G3618" t="s">
        <v>10092</v>
      </c>
      <c r="H3618" t="s">
        <v>10142</v>
      </c>
      <c r="I3618" t="s">
        <v>10168</v>
      </c>
      <c r="J3618" t="s">
        <v>10212</v>
      </c>
      <c r="K3618" t="s">
        <v>10217</v>
      </c>
      <c r="M3618" t="s">
        <v>10520</v>
      </c>
      <c r="N3618" t="s">
        <v>10678</v>
      </c>
      <c r="P3618" t="s">
        <v>10749</v>
      </c>
      <c r="Q3618" t="s">
        <v>10769</v>
      </c>
      <c r="R3618" t="s">
        <v>10820</v>
      </c>
      <c r="T3618">
        <v>42000</v>
      </c>
      <c r="U3618">
        <v>3500</v>
      </c>
      <c r="V3618">
        <v>57</v>
      </c>
      <c r="W3618">
        <v>4</v>
      </c>
      <c r="X3618">
        <v>0</v>
      </c>
      <c r="Z3618">
        <v>163.11</v>
      </c>
      <c r="AA3618">
        <v>40.741761</v>
      </c>
      <c r="AB3618">
        <v>-73.709304</v>
      </c>
      <c r="AD3618" t="s">
        <v>10840</v>
      </c>
      <c r="AG3618" t="s">
        <v>10858</v>
      </c>
      <c r="AH3618" t="s">
        <v>10860</v>
      </c>
      <c r="AI3618">
        <v>237</v>
      </c>
      <c r="AJ3618" t="s">
        <v>10212</v>
      </c>
      <c r="AL3618">
        <v>2.7</v>
      </c>
      <c r="AM3618" t="s">
        <v>10895</v>
      </c>
      <c r="AN3618" t="s">
        <v>10944</v>
      </c>
      <c r="AO3618" t="s">
        <v>11022</v>
      </c>
      <c r="AP3618" t="s">
        <v>11078</v>
      </c>
      <c r="AQ3618" t="s">
        <v>11238</v>
      </c>
      <c r="AR3618" t="s">
        <v>11343</v>
      </c>
      <c r="AS3618" t="s">
        <v>11594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</row>
    <row r="3619" spans="1:59">
      <c r="A3619" s="1">
        <f>HYPERLINK("https://lsnyc.legalserver.org/matter/dynamic-profile/view/1907722","19-1907722")</f>
        <v>0</v>
      </c>
      <c r="B3619" t="s">
        <v>3012</v>
      </c>
      <c r="C3619" t="s">
        <v>7803</v>
      </c>
      <c r="D3619" t="s">
        <v>9926</v>
      </c>
      <c r="E3619" t="s">
        <v>10075</v>
      </c>
      <c r="F3619">
        <v>10457</v>
      </c>
      <c r="G3619" t="s">
        <v>10090</v>
      </c>
      <c r="H3619" t="s">
        <v>10142</v>
      </c>
      <c r="I3619" t="s">
        <v>10168</v>
      </c>
      <c r="J3619" t="s">
        <v>10210</v>
      </c>
      <c r="K3619" t="s">
        <v>10217</v>
      </c>
      <c r="M3619" t="s">
        <v>10557</v>
      </c>
      <c r="N3619" t="s">
        <v>10651</v>
      </c>
      <c r="P3619" t="s">
        <v>10749</v>
      </c>
      <c r="Q3619" t="s">
        <v>10765</v>
      </c>
      <c r="R3619" t="s">
        <v>10824</v>
      </c>
      <c r="T3619">
        <v>24000</v>
      </c>
      <c r="U3619">
        <v>2000</v>
      </c>
      <c r="V3619">
        <v>61</v>
      </c>
      <c r="W3619">
        <v>1</v>
      </c>
      <c r="X3619">
        <v>0</v>
      </c>
      <c r="Z3619">
        <v>192.15</v>
      </c>
      <c r="AA3619">
        <v>40.847269</v>
      </c>
      <c r="AB3619">
        <v>-73.898281</v>
      </c>
      <c r="AD3619" t="s">
        <v>10839</v>
      </c>
      <c r="AG3619" t="s">
        <v>10858</v>
      </c>
      <c r="AH3619" t="s">
        <v>10862</v>
      </c>
      <c r="AI3619">
        <v>230</v>
      </c>
      <c r="AJ3619" t="s">
        <v>10210</v>
      </c>
      <c r="AL3619">
        <v>2.9</v>
      </c>
      <c r="AM3619" t="s">
        <v>10884</v>
      </c>
      <c r="AN3619" t="s">
        <v>10931</v>
      </c>
      <c r="AO3619" t="s">
        <v>11000</v>
      </c>
      <c r="AP3619" t="s">
        <v>11056</v>
      </c>
      <c r="AR3619" t="s">
        <v>11296</v>
      </c>
      <c r="AS3619" t="s">
        <v>9926</v>
      </c>
      <c r="BA3619" t="s">
        <v>11738</v>
      </c>
      <c r="BB3619">
        <v>0</v>
      </c>
      <c r="BC3619">
        <v>0</v>
      </c>
      <c r="BD3619">
        <v>0</v>
      </c>
      <c r="BE3619">
        <v>0</v>
      </c>
      <c r="BF3619">
        <v>5</v>
      </c>
      <c r="BG3619">
        <v>0</v>
      </c>
    </row>
    <row r="3620" spans="1:59">
      <c r="A3620" s="1">
        <f>HYPERLINK("https://lsnyc.legalserver.org/matter/dynamic-profile/view/1907723","19-1907723")</f>
        <v>0</v>
      </c>
      <c r="B3620" t="s">
        <v>3013</v>
      </c>
      <c r="C3620" t="s">
        <v>7804</v>
      </c>
      <c r="D3620" t="s">
        <v>9926</v>
      </c>
      <c r="E3620" t="s">
        <v>10075</v>
      </c>
      <c r="F3620">
        <v>10452</v>
      </c>
      <c r="G3620" t="s">
        <v>10090</v>
      </c>
      <c r="H3620" t="s">
        <v>10142</v>
      </c>
      <c r="I3620" t="s">
        <v>10168</v>
      </c>
      <c r="J3620" t="s">
        <v>10210</v>
      </c>
      <c r="K3620" t="s">
        <v>10217</v>
      </c>
      <c r="M3620" t="s">
        <v>10397</v>
      </c>
      <c r="N3620" t="s">
        <v>10650</v>
      </c>
      <c r="P3620" t="s">
        <v>10749</v>
      </c>
      <c r="Q3620" t="s">
        <v>10765</v>
      </c>
      <c r="R3620" t="s">
        <v>10824</v>
      </c>
      <c r="T3620">
        <v>70000</v>
      </c>
      <c r="U3620">
        <v>5833.33</v>
      </c>
      <c r="V3620">
        <v>51</v>
      </c>
      <c r="W3620">
        <v>1</v>
      </c>
      <c r="X3620">
        <v>0</v>
      </c>
      <c r="Z3620">
        <v>560.45</v>
      </c>
      <c r="AA3620">
        <v>40.831739</v>
      </c>
      <c r="AB3620">
        <v>-73.92941500000001</v>
      </c>
      <c r="AD3620" t="s">
        <v>10839</v>
      </c>
      <c r="AG3620" t="s">
        <v>10858</v>
      </c>
      <c r="AH3620" t="s">
        <v>10862</v>
      </c>
      <c r="AI3620">
        <v>230</v>
      </c>
      <c r="AJ3620" t="s">
        <v>10210</v>
      </c>
      <c r="AL3620">
        <v>0</v>
      </c>
      <c r="AM3620" t="s">
        <v>10884</v>
      </c>
      <c r="AN3620" t="s">
        <v>10924</v>
      </c>
      <c r="AO3620" t="s">
        <v>11013</v>
      </c>
      <c r="AP3620" t="s">
        <v>11066</v>
      </c>
      <c r="AR3620" t="s">
        <v>11257</v>
      </c>
      <c r="AS3620" t="s">
        <v>9926</v>
      </c>
      <c r="AT3620" t="s">
        <v>11641</v>
      </c>
      <c r="AU3620" t="s">
        <v>11648</v>
      </c>
      <c r="AV3620" t="s">
        <v>11648</v>
      </c>
      <c r="AX3620" t="s">
        <v>10837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</row>
    <row r="3621" spans="1:59">
      <c r="A3621" s="1">
        <f>HYPERLINK("https://lsnyc.legalserver.org/matter/dynamic-profile/view/1907724","19-1907724")</f>
        <v>0</v>
      </c>
      <c r="B3621" t="s">
        <v>3014</v>
      </c>
      <c r="C3621" t="s">
        <v>7805</v>
      </c>
      <c r="D3621" t="s">
        <v>9926</v>
      </c>
      <c r="E3621" t="s">
        <v>10075</v>
      </c>
      <c r="F3621">
        <v>10458</v>
      </c>
      <c r="G3621" t="s">
        <v>10090</v>
      </c>
      <c r="H3621" t="s">
        <v>10142</v>
      </c>
      <c r="I3621" t="s">
        <v>10168</v>
      </c>
      <c r="J3621" t="s">
        <v>10210</v>
      </c>
      <c r="K3621" t="s">
        <v>10218</v>
      </c>
      <c r="L3621" t="s">
        <v>10159</v>
      </c>
      <c r="M3621" t="s">
        <v>10579</v>
      </c>
      <c r="N3621" t="s">
        <v>10650</v>
      </c>
      <c r="P3621" t="s">
        <v>10749</v>
      </c>
      <c r="Q3621" t="s">
        <v>10765</v>
      </c>
      <c r="R3621" t="s">
        <v>10821</v>
      </c>
      <c r="T3621">
        <v>0</v>
      </c>
      <c r="U3621">
        <v>0</v>
      </c>
      <c r="V3621">
        <v>36</v>
      </c>
      <c r="W3621">
        <v>1</v>
      </c>
      <c r="X3621">
        <v>0</v>
      </c>
      <c r="Y3621" t="s">
        <v>10829</v>
      </c>
      <c r="Z3621">
        <v>0</v>
      </c>
      <c r="AA3621">
        <v>40.865064</v>
      </c>
      <c r="AB3621">
        <v>-73.893078</v>
      </c>
      <c r="AD3621" t="s">
        <v>10839</v>
      </c>
      <c r="AG3621" t="s">
        <v>10858</v>
      </c>
      <c r="AH3621" t="s">
        <v>10862</v>
      </c>
      <c r="AI3621">
        <v>230</v>
      </c>
      <c r="AJ3621" t="s">
        <v>10210</v>
      </c>
      <c r="AK3621" t="s">
        <v>10838</v>
      </c>
      <c r="AL3621">
        <v>0.25</v>
      </c>
      <c r="AM3621" t="s">
        <v>10887</v>
      </c>
      <c r="AN3621" t="s">
        <v>10907</v>
      </c>
      <c r="AO3621" t="s">
        <v>11000</v>
      </c>
      <c r="AP3621" t="s">
        <v>11056</v>
      </c>
      <c r="AR3621" t="s">
        <v>11267</v>
      </c>
      <c r="AS3621" t="s">
        <v>9926</v>
      </c>
      <c r="AY3621" t="s">
        <v>10829</v>
      </c>
      <c r="AZ3621" t="s">
        <v>11681</v>
      </c>
      <c r="BA3621" t="s">
        <v>11741</v>
      </c>
      <c r="BB3621">
        <v>0</v>
      </c>
      <c r="BC3621">
        <v>0</v>
      </c>
      <c r="BD3621">
        <v>0</v>
      </c>
      <c r="BE3621">
        <v>0</v>
      </c>
      <c r="BF3621">
        <v>1</v>
      </c>
      <c r="BG3621">
        <v>0</v>
      </c>
    </row>
    <row r="3622" spans="1:59">
      <c r="A3622" s="1">
        <f>HYPERLINK("https://lsnyc.legalserver.org/matter/dynamic-profile/view/1907725","19-1907725")</f>
        <v>0</v>
      </c>
      <c r="B3622" t="s">
        <v>3012</v>
      </c>
      <c r="C3622" t="s">
        <v>7803</v>
      </c>
      <c r="D3622" t="s">
        <v>9926</v>
      </c>
      <c r="E3622" t="s">
        <v>10075</v>
      </c>
      <c r="F3622">
        <v>10457</v>
      </c>
      <c r="G3622" t="s">
        <v>10090</v>
      </c>
      <c r="H3622" t="s">
        <v>10142</v>
      </c>
      <c r="I3622" t="s">
        <v>10168</v>
      </c>
      <c r="J3622" t="s">
        <v>10210</v>
      </c>
      <c r="K3622" t="s">
        <v>10217</v>
      </c>
      <c r="M3622" t="s">
        <v>10287</v>
      </c>
      <c r="N3622" t="s">
        <v>10677</v>
      </c>
      <c r="P3622" t="s">
        <v>10751</v>
      </c>
      <c r="Q3622" t="s">
        <v>10761</v>
      </c>
      <c r="R3622" t="s">
        <v>10824</v>
      </c>
      <c r="T3622">
        <v>24000</v>
      </c>
      <c r="U3622">
        <v>2000</v>
      </c>
      <c r="V3622">
        <v>61</v>
      </c>
      <c r="W3622">
        <v>1</v>
      </c>
      <c r="X3622">
        <v>0</v>
      </c>
      <c r="Z3622">
        <v>192.15</v>
      </c>
      <c r="AA3622">
        <v>40.847269</v>
      </c>
      <c r="AB3622">
        <v>-73.898281</v>
      </c>
      <c r="AD3622" t="s">
        <v>10839</v>
      </c>
      <c r="AG3622" t="s">
        <v>10858</v>
      </c>
      <c r="AH3622" t="s">
        <v>10862</v>
      </c>
      <c r="AI3622">
        <v>230</v>
      </c>
      <c r="AJ3622" t="s">
        <v>10210</v>
      </c>
      <c r="AL3622">
        <v>0.5</v>
      </c>
      <c r="AM3622" t="s">
        <v>10884</v>
      </c>
      <c r="AN3622" t="s">
        <v>10931</v>
      </c>
      <c r="AO3622" t="s">
        <v>11000</v>
      </c>
      <c r="AP3622" t="s">
        <v>11056</v>
      </c>
      <c r="AR3622" t="s">
        <v>11296</v>
      </c>
      <c r="AS3622" t="s">
        <v>9926</v>
      </c>
      <c r="BA3622" t="s">
        <v>11741</v>
      </c>
      <c r="BB3622">
        <v>0</v>
      </c>
      <c r="BC3622">
        <v>0</v>
      </c>
      <c r="BD3622">
        <v>0</v>
      </c>
      <c r="BE3622">
        <v>0</v>
      </c>
      <c r="BF3622">
        <v>1</v>
      </c>
      <c r="BG3622">
        <v>0</v>
      </c>
    </row>
    <row r="3623" spans="1:59">
      <c r="A3623" s="1">
        <f>HYPERLINK("https://lsnyc.legalserver.org/matter/dynamic-profile/view/1907726","19-1907726")</f>
        <v>0</v>
      </c>
      <c r="B3623" t="s">
        <v>3015</v>
      </c>
      <c r="C3623" t="s">
        <v>7806</v>
      </c>
      <c r="D3623" t="s">
        <v>9926</v>
      </c>
      <c r="E3623" t="s">
        <v>10075</v>
      </c>
      <c r="F3623">
        <v>10467</v>
      </c>
      <c r="G3623" t="s">
        <v>10090</v>
      </c>
      <c r="H3623" t="s">
        <v>10142</v>
      </c>
      <c r="J3623" t="s">
        <v>10210</v>
      </c>
      <c r="K3623" t="s">
        <v>10217</v>
      </c>
      <c r="M3623" t="s">
        <v>10346</v>
      </c>
      <c r="N3623" t="s">
        <v>10705</v>
      </c>
      <c r="P3623" t="s">
        <v>10751</v>
      </c>
      <c r="Q3623" t="s">
        <v>10796</v>
      </c>
      <c r="R3623" t="s">
        <v>10823</v>
      </c>
      <c r="T3623">
        <v>3498</v>
      </c>
      <c r="U3623">
        <v>291.5</v>
      </c>
      <c r="V3623">
        <v>24</v>
      </c>
      <c r="W3623">
        <v>1</v>
      </c>
      <c r="X3623">
        <v>1</v>
      </c>
      <c r="Z3623">
        <v>20.69</v>
      </c>
      <c r="AA3623">
        <v>40.861982</v>
      </c>
      <c r="AB3623">
        <v>-73.869013</v>
      </c>
      <c r="AD3623" t="s">
        <v>10839</v>
      </c>
      <c r="AG3623" t="s">
        <v>10858</v>
      </c>
      <c r="AH3623" t="s">
        <v>10862</v>
      </c>
      <c r="AI3623">
        <v>230</v>
      </c>
      <c r="AJ3623" t="s">
        <v>10210</v>
      </c>
      <c r="AL3623">
        <v>1.5</v>
      </c>
      <c r="AM3623" t="s">
        <v>10885</v>
      </c>
      <c r="AN3623" t="s">
        <v>10938</v>
      </c>
      <c r="AO3623" t="s">
        <v>11002</v>
      </c>
      <c r="AP3623" t="s">
        <v>11056</v>
      </c>
      <c r="AR3623" t="s">
        <v>11292</v>
      </c>
      <c r="AS3623" t="s">
        <v>9926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</row>
    <row r="3624" spans="1:59">
      <c r="A3624" s="1">
        <f>HYPERLINK("https://lsnyc.legalserver.org/matter/dynamic-profile/view/1907727","19-1907727")</f>
        <v>0</v>
      </c>
      <c r="B3624" t="s">
        <v>3015</v>
      </c>
      <c r="C3624" t="s">
        <v>7806</v>
      </c>
      <c r="D3624" t="s">
        <v>9926</v>
      </c>
      <c r="E3624" t="s">
        <v>10075</v>
      </c>
      <c r="F3624">
        <v>10467</v>
      </c>
      <c r="G3624" t="s">
        <v>10090</v>
      </c>
      <c r="H3624" t="s">
        <v>10142</v>
      </c>
      <c r="J3624" t="s">
        <v>10210</v>
      </c>
      <c r="K3624" t="s">
        <v>10217</v>
      </c>
      <c r="M3624" t="s">
        <v>10346</v>
      </c>
      <c r="N3624" t="s">
        <v>10705</v>
      </c>
      <c r="P3624" t="s">
        <v>10753</v>
      </c>
      <c r="Q3624" t="s">
        <v>10790</v>
      </c>
      <c r="R3624" t="s">
        <v>10823</v>
      </c>
      <c r="T3624">
        <v>3498</v>
      </c>
      <c r="U3624">
        <v>291.5</v>
      </c>
      <c r="V3624">
        <v>24</v>
      </c>
      <c r="W3624">
        <v>1</v>
      </c>
      <c r="X3624">
        <v>1</v>
      </c>
      <c r="Z3624">
        <v>20.69</v>
      </c>
      <c r="AA3624">
        <v>40.861982</v>
      </c>
      <c r="AB3624">
        <v>-73.869013</v>
      </c>
      <c r="AD3624" t="s">
        <v>10839</v>
      </c>
      <c r="AG3624" t="s">
        <v>10858</v>
      </c>
      <c r="AH3624" t="s">
        <v>10862</v>
      </c>
      <c r="AI3624">
        <v>230</v>
      </c>
      <c r="AJ3624" t="s">
        <v>10210</v>
      </c>
      <c r="AL3624">
        <v>0.5</v>
      </c>
      <c r="AQ3624" t="s">
        <v>11125</v>
      </c>
      <c r="AR3624" t="s">
        <v>11292</v>
      </c>
      <c r="AS3624" t="s">
        <v>9926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</row>
    <row r="3625" spans="1:59">
      <c r="A3625" s="1">
        <f>HYPERLINK("https://lsnyc.legalserver.org/matter/dynamic-profile/view/1907728","19-1907728")</f>
        <v>0</v>
      </c>
      <c r="B3625" t="s">
        <v>3016</v>
      </c>
      <c r="C3625" t="s">
        <v>7807</v>
      </c>
      <c r="D3625" t="s">
        <v>9926</v>
      </c>
      <c r="E3625" t="s">
        <v>10075</v>
      </c>
      <c r="F3625">
        <v>10454</v>
      </c>
      <c r="G3625" t="s">
        <v>10090</v>
      </c>
      <c r="H3625" t="s">
        <v>10142</v>
      </c>
      <c r="I3625" t="s">
        <v>10169</v>
      </c>
      <c r="J3625" t="s">
        <v>10210</v>
      </c>
      <c r="K3625" t="s">
        <v>10217</v>
      </c>
      <c r="M3625" t="s">
        <v>10346</v>
      </c>
      <c r="N3625" t="s">
        <v>10677</v>
      </c>
      <c r="P3625" t="s">
        <v>10752</v>
      </c>
      <c r="Q3625" t="s">
        <v>10795</v>
      </c>
      <c r="R3625" t="s">
        <v>10823</v>
      </c>
      <c r="T3625">
        <v>11664</v>
      </c>
      <c r="U3625">
        <v>972</v>
      </c>
      <c r="V3625">
        <v>79</v>
      </c>
      <c r="W3625">
        <v>2</v>
      </c>
      <c r="X3625">
        <v>0</v>
      </c>
      <c r="Z3625">
        <v>68.98</v>
      </c>
      <c r="AA3625">
        <v>40.808377</v>
      </c>
      <c r="AB3625">
        <v>-73.92183199999999</v>
      </c>
      <c r="AD3625" t="s">
        <v>10840</v>
      </c>
      <c r="AG3625" t="s">
        <v>10858</v>
      </c>
      <c r="AH3625" t="s">
        <v>10874</v>
      </c>
      <c r="AI3625">
        <v>230</v>
      </c>
      <c r="AJ3625" t="s">
        <v>10210</v>
      </c>
      <c r="AL3625">
        <v>4.3</v>
      </c>
      <c r="AM3625" t="s">
        <v>10884</v>
      </c>
      <c r="AN3625" t="s">
        <v>10924</v>
      </c>
      <c r="AO3625" t="s">
        <v>11013</v>
      </c>
      <c r="AP3625" t="s">
        <v>11066</v>
      </c>
      <c r="AR3625" t="s">
        <v>11300</v>
      </c>
      <c r="AS3625" t="s">
        <v>9926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</row>
    <row r="3626" spans="1:59">
      <c r="A3626" s="1">
        <f>HYPERLINK("https://lsnyc.legalserver.org/matter/dynamic-profile/view/1907729","19-1907729")</f>
        <v>0</v>
      </c>
      <c r="B3626" t="s">
        <v>962</v>
      </c>
      <c r="C3626" t="s">
        <v>5841</v>
      </c>
      <c r="D3626" t="s">
        <v>9926</v>
      </c>
      <c r="E3626" t="s">
        <v>10075</v>
      </c>
      <c r="F3626">
        <v>10452</v>
      </c>
      <c r="G3626" t="s">
        <v>10090</v>
      </c>
      <c r="H3626" t="s">
        <v>10142</v>
      </c>
      <c r="I3626" t="s">
        <v>10168</v>
      </c>
      <c r="J3626" t="s">
        <v>10210</v>
      </c>
      <c r="K3626" t="s">
        <v>10217</v>
      </c>
      <c r="M3626" t="s">
        <v>10513</v>
      </c>
      <c r="N3626" t="s">
        <v>10650</v>
      </c>
      <c r="P3626" t="s">
        <v>10751</v>
      </c>
      <c r="Q3626" t="s">
        <v>10761</v>
      </c>
      <c r="R3626" t="s">
        <v>10824</v>
      </c>
      <c r="T3626">
        <v>17148</v>
      </c>
      <c r="U3626">
        <v>1429</v>
      </c>
      <c r="V3626">
        <v>58</v>
      </c>
      <c r="W3626">
        <v>1</v>
      </c>
      <c r="X3626">
        <v>0</v>
      </c>
      <c r="Z3626">
        <v>137.29</v>
      </c>
      <c r="AA3626">
        <v>40.833318</v>
      </c>
      <c r="AB3626">
        <v>-73.92610000000001</v>
      </c>
      <c r="AD3626" t="s">
        <v>10840</v>
      </c>
      <c r="AG3626" t="s">
        <v>10858</v>
      </c>
      <c r="AH3626" t="s">
        <v>10861</v>
      </c>
      <c r="AI3626">
        <v>230</v>
      </c>
      <c r="AJ3626" t="s">
        <v>10210</v>
      </c>
      <c r="AL3626">
        <v>2.75</v>
      </c>
      <c r="AM3626" t="s">
        <v>10884</v>
      </c>
      <c r="AN3626" t="s">
        <v>10929</v>
      </c>
      <c r="AO3626" t="s">
        <v>11013</v>
      </c>
      <c r="AP3626" t="s">
        <v>11066</v>
      </c>
      <c r="AR3626" t="s">
        <v>11397</v>
      </c>
      <c r="AS3626" t="s">
        <v>9926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</row>
    <row r="3627" spans="1:59">
      <c r="A3627" s="1">
        <f>HYPERLINK("https://lsnyc.legalserver.org/matter/dynamic-profile/view/1907730","19-1907730")</f>
        <v>0</v>
      </c>
      <c r="B3627" t="s">
        <v>3017</v>
      </c>
      <c r="C3627" t="s">
        <v>7808</v>
      </c>
      <c r="D3627" t="s">
        <v>9926</v>
      </c>
      <c r="E3627" t="s">
        <v>10075</v>
      </c>
      <c r="F3627">
        <v>10456</v>
      </c>
      <c r="G3627" t="s">
        <v>10090</v>
      </c>
      <c r="H3627" t="s">
        <v>10141</v>
      </c>
      <c r="I3627" t="s">
        <v>10168</v>
      </c>
      <c r="J3627" t="s">
        <v>10210</v>
      </c>
      <c r="K3627" t="s">
        <v>10217</v>
      </c>
      <c r="M3627" t="s">
        <v>10513</v>
      </c>
      <c r="N3627" t="s">
        <v>10646</v>
      </c>
      <c r="P3627" t="s">
        <v>10749</v>
      </c>
      <c r="Q3627" t="s">
        <v>10774</v>
      </c>
      <c r="R3627" t="s">
        <v>10823</v>
      </c>
      <c r="T3627">
        <v>24852</v>
      </c>
      <c r="U3627">
        <v>2071</v>
      </c>
      <c r="V3627">
        <v>46</v>
      </c>
      <c r="W3627">
        <v>3</v>
      </c>
      <c r="X3627">
        <v>1</v>
      </c>
      <c r="Z3627">
        <v>96.51000000000001</v>
      </c>
      <c r="AA3627">
        <v>40.822289</v>
      </c>
      <c r="AB3627">
        <v>-73.907605</v>
      </c>
      <c r="AD3627" t="s">
        <v>10839</v>
      </c>
      <c r="AG3627" t="s">
        <v>10858</v>
      </c>
      <c r="AH3627" t="s">
        <v>10862</v>
      </c>
      <c r="AI3627">
        <v>230</v>
      </c>
      <c r="AJ3627" t="s">
        <v>10210</v>
      </c>
      <c r="AL3627">
        <v>9.6</v>
      </c>
      <c r="AM3627" t="s">
        <v>10884</v>
      </c>
      <c r="AN3627" t="s">
        <v>10918</v>
      </c>
      <c r="AO3627" t="s">
        <v>11001</v>
      </c>
      <c r="AP3627" t="s">
        <v>11062</v>
      </c>
      <c r="AR3627" t="s">
        <v>11295</v>
      </c>
      <c r="AS3627" t="s">
        <v>9926</v>
      </c>
      <c r="BA3627" t="s">
        <v>11737</v>
      </c>
      <c r="BB3627">
        <v>0</v>
      </c>
      <c r="BC3627">
        <v>0</v>
      </c>
      <c r="BD3627">
        <v>0</v>
      </c>
      <c r="BE3627">
        <v>0</v>
      </c>
      <c r="BF3627">
        <v>3</v>
      </c>
      <c r="BG3627">
        <v>0</v>
      </c>
    </row>
    <row r="3628" spans="1:59">
      <c r="A3628" s="1">
        <f>HYPERLINK("https://lsnyc.legalserver.org/matter/dynamic-profile/view/1907731","19-1907731")</f>
        <v>0</v>
      </c>
      <c r="B3628" t="s">
        <v>3018</v>
      </c>
      <c r="C3628" t="s">
        <v>7809</v>
      </c>
      <c r="D3628" t="s">
        <v>9928</v>
      </c>
      <c r="E3628" t="s">
        <v>10075</v>
      </c>
      <c r="F3628">
        <v>11221</v>
      </c>
      <c r="G3628" t="s">
        <v>10093</v>
      </c>
      <c r="H3628" t="s">
        <v>10141</v>
      </c>
      <c r="I3628" t="s">
        <v>10168</v>
      </c>
      <c r="J3628" t="s">
        <v>10213</v>
      </c>
      <c r="K3628" t="s">
        <v>10217</v>
      </c>
      <c r="M3628" t="s">
        <v>10361</v>
      </c>
      <c r="N3628" t="s">
        <v>10667</v>
      </c>
      <c r="P3628" t="s">
        <v>10749</v>
      </c>
      <c r="Q3628" t="s">
        <v>10765</v>
      </c>
      <c r="R3628" t="s">
        <v>10824</v>
      </c>
      <c r="T3628">
        <v>17046</v>
      </c>
      <c r="U3628">
        <v>1420.5</v>
      </c>
      <c r="V3628">
        <v>40</v>
      </c>
      <c r="W3628">
        <v>1</v>
      </c>
      <c r="X3628">
        <v>5</v>
      </c>
      <c r="Z3628">
        <v>49.28</v>
      </c>
      <c r="AA3628">
        <v>40.687649</v>
      </c>
      <c r="AB3628">
        <v>-73.936942</v>
      </c>
      <c r="AD3628" t="s">
        <v>10840</v>
      </c>
      <c r="AG3628" t="s">
        <v>10858</v>
      </c>
      <c r="AH3628" t="s">
        <v>10862</v>
      </c>
      <c r="AI3628">
        <v>239</v>
      </c>
      <c r="AJ3628" t="s">
        <v>10213</v>
      </c>
      <c r="AL3628">
        <v>8.4</v>
      </c>
      <c r="AM3628" t="s">
        <v>10889</v>
      </c>
      <c r="AN3628" t="s">
        <v>10914</v>
      </c>
      <c r="AO3628" t="s">
        <v>11007</v>
      </c>
      <c r="AP3628" t="s">
        <v>11052</v>
      </c>
      <c r="AQ3628" t="s">
        <v>11101</v>
      </c>
      <c r="AR3628" t="s">
        <v>11388</v>
      </c>
      <c r="AS3628" t="s">
        <v>11595</v>
      </c>
      <c r="BA3628" t="s">
        <v>11738</v>
      </c>
      <c r="BB3628">
        <v>0</v>
      </c>
      <c r="BC3628">
        <v>0</v>
      </c>
      <c r="BD3628">
        <v>0</v>
      </c>
      <c r="BE3628">
        <v>0</v>
      </c>
      <c r="BF3628">
        <v>5</v>
      </c>
      <c r="BG3628">
        <v>0</v>
      </c>
    </row>
    <row r="3629" spans="1:59">
      <c r="A3629" s="1">
        <f>HYPERLINK("https://lsnyc.legalserver.org/matter/dynamic-profile/view/1907732","19-1907732")</f>
        <v>0</v>
      </c>
      <c r="B3629" t="s">
        <v>3018</v>
      </c>
      <c r="C3629" t="s">
        <v>7809</v>
      </c>
      <c r="D3629" t="s">
        <v>9928</v>
      </c>
      <c r="E3629" t="s">
        <v>10075</v>
      </c>
      <c r="F3629">
        <v>11221</v>
      </c>
      <c r="G3629" t="s">
        <v>10093</v>
      </c>
      <c r="H3629" t="s">
        <v>10141</v>
      </c>
      <c r="I3629" t="s">
        <v>10168</v>
      </c>
      <c r="J3629" t="s">
        <v>10213</v>
      </c>
      <c r="K3629" t="s">
        <v>10217</v>
      </c>
      <c r="M3629" t="s">
        <v>10361</v>
      </c>
      <c r="N3629" t="s">
        <v>10668</v>
      </c>
      <c r="P3629" t="s">
        <v>10751</v>
      </c>
      <c r="Q3629" t="s">
        <v>10761</v>
      </c>
      <c r="R3629" t="s">
        <v>10824</v>
      </c>
      <c r="T3629">
        <v>17046</v>
      </c>
      <c r="U3629">
        <v>1420.5</v>
      </c>
      <c r="V3629">
        <v>40</v>
      </c>
      <c r="W3629">
        <v>1</v>
      </c>
      <c r="X3629">
        <v>5</v>
      </c>
      <c r="Z3629">
        <v>49.28</v>
      </c>
      <c r="AA3629">
        <v>40.687649</v>
      </c>
      <c r="AB3629">
        <v>-73.936942</v>
      </c>
      <c r="AD3629" t="s">
        <v>10840</v>
      </c>
      <c r="AG3629" t="s">
        <v>10858</v>
      </c>
      <c r="AH3629" t="s">
        <v>10862</v>
      </c>
      <c r="AI3629">
        <v>239</v>
      </c>
      <c r="AJ3629" t="s">
        <v>10213</v>
      </c>
      <c r="AL3629">
        <v>1</v>
      </c>
      <c r="AM3629" t="s">
        <v>10889</v>
      </c>
      <c r="AN3629" t="s">
        <v>10914</v>
      </c>
      <c r="AO3629" t="s">
        <v>11007</v>
      </c>
      <c r="AP3629" t="s">
        <v>11052</v>
      </c>
      <c r="AR3629" t="s">
        <v>11388</v>
      </c>
      <c r="AS3629" t="s">
        <v>11595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</row>
    <row r="3630" spans="1:59">
      <c r="A3630" s="1">
        <f>HYPERLINK("https://lsnyc.legalserver.org/matter/dynamic-profile/view/1907733","19-1907733")</f>
        <v>0</v>
      </c>
      <c r="B3630" t="s">
        <v>3019</v>
      </c>
      <c r="C3630" t="s">
        <v>7810</v>
      </c>
      <c r="D3630" t="s">
        <v>9929</v>
      </c>
      <c r="E3630" t="s">
        <v>10075</v>
      </c>
      <c r="F3630">
        <v>10302</v>
      </c>
      <c r="G3630" t="s">
        <v>10088</v>
      </c>
      <c r="H3630" t="s">
        <v>10141</v>
      </c>
      <c r="I3630" t="s">
        <v>10168</v>
      </c>
      <c r="J3630" t="s">
        <v>10208</v>
      </c>
      <c r="K3630" t="s">
        <v>10217</v>
      </c>
      <c r="M3630" t="s">
        <v>10542</v>
      </c>
      <c r="N3630" t="s">
        <v>10729</v>
      </c>
      <c r="P3630" t="s">
        <v>10754</v>
      </c>
      <c r="Q3630" t="s">
        <v>10777</v>
      </c>
      <c r="R3630" t="s">
        <v>10821</v>
      </c>
      <c r="T3630">
        <v>0</v>
      </c>
      <c r="U3630">
        <v>0</v>
      </c>
      <c r="V3630">
        <v>32</v>
      </c>
      <c r="W3630">
        <v>1</v>
      </c>
      <c r="X3630">
        <v>0</v>
      </c>
      <c r="Z3630">
        <v>0</v>
      </c>
      <c r="AA3630">
        <v>40.64026</v>
      </c>
      <c r="AB3630">
        <v>-74.132451</v>
      </c>
      <c r="AD3630" t="s">
        <v>10839</v>
      </c>
      <c r="AG3630" t="s">
        <v>10858</v>
      </c>
      <c r="AH3630" t="s">
        <v>10861</v>
      </c>
      <c r="AI3630">
        <v>285</v>
      </c>
      <c r="AJ3630" t="s">
        <v>10208</v>
      </c>
      <c r="AL3630">
        <v>35</v>
      </c>
      <c r="AM3630" t="s">
        <v>10883</v>
      </c>
      <c r="AN3630" t="s">
        <v>10913</v>
      </c>
      <c r="AO3630" t="s">
        <v>11006</v>
      </c>
      <c r="AP3630" t="s">
        <v>11051</v>
      </c>
      <c r="AQ3630" t="s">
        <v>11216</v>
      </c>
      <c r="AR3630" t="s">
        <v>11267</v>
      </c>
      <c r="AS3630" t="s">
        <v>11593</v>
      </c>
      <c r="AT3630" t="s">
        <v>11641</v>
      </c>
      <c r="AX3630" t="s">
        <v>10838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</row>
    <row r="3631" spans="1:59">
      <c r="A3631" s="1">
        <f>HYPERLINK("https://lsnyc.legalserver.org/matter/dynamic-profile/view/1907734","19-1907734")</f>
        <v>0</v>
      </c>
      <c r="B3631" t="s">
        <v>3020</v>
      </c>
      <c r="C3631" t="s">
        <v>7811</v>
      </c>
      <c r="D3631" t="s">
        <v>9926</v>
      </c>
      <c r="E3631" t="s">
        <v>10075</v>
      </c>
      <c r="F3631">
        <v>10458</v>
      </c>
      <c r="G3631" t="s">
        <v>10090</v>
      </c>
      <c r="H3631" t="s">
        <v>10141</v>
      </c>
      <c r="I3631" t="s">
        <v>10169</v>
      </c>
      <c r="J3631" t="s">
        <v>10210</v>
      </c>
      <c r="K3631" t="s">
        <v>10217</v>
      </c>
      <c r="M3631" t="s">
        <v>10338</v>
      </c>
      <c r="N3631" t="s">
        <v>10677</v>
      </c>
      <c r="P3631" t="s">
        <v>10757</v>
      </c>
      <c r="Q3631" t="s">
        <v>10810</v>
      </c>
      <c r="R3631" t="s">
        <v>10821</v>
      </c>
      <c r="T3631">
        <v>12936</v>
      </c>
      <c r="U3631">
        <v>1078</v>
      </c>
      <c r="V3631">
        <v>79</v>
      </c>
      <c r="W3631">
        <v>1</v>
      </c>
      <c r="X3631">
        <v>0</v>
      </c>
      <c r="Z3631">
        <v>103.57</v>
      </c>
      <c r="AA3631">
        <v>40.869293</v>
      </c>
      <c r="AB3631">
        <v>-73.884683</v>
      </c>
      <c r="AD3631" t="s">
        <v>10839</v>
      </c>
      <c r="AG3631" t="s">
        <v>10858</v>
      </c>
      <c r="AH3631" t="s">
        <v>10874</v>
      </c>
      <c r="AI3631">
        <v>230</v>
      </c>
      <c r="AJ3631" t="s">
        <v>10210</v>
      </c>
      <c r="AL3631">
        <v>14.55</v>
      </c>
      <c r="AM3631" t="s">
        <v>10887</v>
      </c>
      <c r="AN3631" t="s">
        <v>10907</v>
      </c>
      <c r="AO3631" t="s">
        <v>11002</v>
      </c>
      <c r="AP3631" t="s">
        <v>11057</v>
      </c>
      <c r="AR3631" t="s">
        <v>11391</v>
      </c>
      <c r="AS3631" t="s">
        <v>9926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</row>
    <row r="3632" spans="1:59">
      <c r="A3632" s="1">
        <f>HYPERLINK("https://lsnyc.legalserver.org/matter/dynamic-profile/view/1907735","19-1907735")</f>
        <v>0</v>
      </c>
      <c r="B3632" t="s">
        <v>3021</v>
      </c>
      <c r="C3632" t="s">
        <v>7812</v>
      </c>
      <c r="D3632" t="s">
        <v>9951</v>
      </c>
      <c r="E3632" t="s">
        <v>10075</v>
      </c>
      <c r="F3632">
        <v>11417</v>
      </c>
      <c r="G3632" t="s">
        <v>10092</v>
      </c>
      <c r="H3632" t="s">
        <v>10141</v>
      </c>
      <c r="I3632" t="s">
        <v>10168</v>
      </c>
      <c r="J3632" t="s">
        <v>10212</v>
      </c>
      <c r="K3632" t="s">
        <v>10217</v>
      </c>
      <c r="M3632" t="s">
        <v>10311</v>
      </c>
      <c r="N3632" t="s">
        <v>10684</v>
      </c>
      <c r="P3632" t="s">
        <v>10751</v>
      </c>
      <c r="Q3632" t="s">
        <v>10786</v>
      </c>
      <c r="R3632" t="s">
        <v>10827</v>
      </c>
      <c r="T3632">
        <v>2948</v>
      </c>
      <c r="U3632">
        <v>245.67</v>
      </c>
      <c r="V3632">
        <v>55</v>
      </c>
      <c r="W3632">
        <v>1</v>
      </c>
      <c r="X3632">
        <v>0</v>
      </c>
      <c r="Z3632">
        <v>23.6</v>
      </c>
      <c r="AA3632">
        <v>40.6808</v>
      </c>
      <c r="AB3632">
        <v>-73.833062</v>
      </c>
      <c r="AD3632" t="s">
        <v>10839</v>
      </c>
      <c r="AF3632" t="s">
        <v>10843</v>
      </c>
      <c r="AG3632" t="s">
        <v>10859</v>
      </c>
      <c r="AH3632" t="s">
        <v>10873</v>
      </c>
      <c r="AI3632">
        <v>237</v>
      </c>
      <c r="AJ3632" t="s">
        <v>10212</v>
      </c>
      <c r="AL3632">
        <v>2.75</v>
      </c>
      <c r="AM3632" t="s">
        <v>10892</v>
      </c>
      <c r="AN3632" t="s">
        <v>10930</v>
      </c>
      <c r="AO3632" t="s">
        <v>11017</v>
      </c>
      <c r="AP3632" t="s">
        <v>11088</v>
      </c>
      <c r="AR3632" t="s">
        <v>11288</v>
      </c>
      <c r="AS3632" t="s">
        <v>11594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</row>
    <row r="3633" spans="1:59">
      <c r="A3633" s="1">
        <f>HYPERLINK("https://lsnyc.legalserver.org/matter/dynamic-profile/view/1907736","19-1907736")</f>
        <v>0</v>
      </c>
      <c r="B3633" t="s">
        <v>3022</v>
      </c>
      <c r="C3633" t="s">
        <v>7813</v>
      </c>
      <c r="D3633" t="s">
        <v>9926</v>
      </c>
      <c r="E3633" t="s">
        <v>10075</v>
      </c>
      <c r="F3633">
        <v>10453</v>
      </c>
      <c r="G3633" t="s">
        <v>10090</v>
      </c>
      <c r="H3633" t="s">
        <v>10141</v>
      </c>
      <c r="I3633" t="s">
        <v>10168</v>
      </c>
      <c r="J3633" t="s">
        <v>10210</v>
      </c>
      <c r="K3633" t="s">
        <v>10217</v>
      </c>
      <c r="M3633" t="s">
        <v>10367</v>
      </c>
      <c r="N3633" t="s">
        <v>10688</v>
      </c>
      <c r="P3633" t="s">
        <v>10751</v>
      </c>
      <c r="Q3633" t="s">
        <v>10786</v>
      </c>
      <c r="R3633" t="s">
        <v>10821</v>
      </c>
      <c r="T3633">
        <v>16707.08</v>
      </c>
      <c r="U3633">
        <v>1392.26</v>
      </c>
      <c r="V3633">
        <v>25</v>
      </c>
      <c r="W3633">
        <v>1</v>
      </c>
      <c r="X3633">
        <v>2</v>
      </c>
      <c r="Z3633">
        <v>78.33</v>
      </c>
      <c r="AA3633">
        <v>40.854132</v>
      </c>
      <c r="AB3633">
        <v>-73.914332</v>
      </c>
      <c r="AD3633" t="s">
        <v>10839</v>
      </c>
      <c r="AG3633" t="s">
        <v>10858</v>
      </c>
      <c r="AH3633" t="s">
        <v>10874</v>
      </c>
      <c r="AI3633">
        <v>230</v>
      </c>
      <c r="AJ3633" t="s">
        <v>10210</v>
      </c>
      <c r="AL3633">
        <v>0.6</v>
      </c>
      <c r="AM3633" t="s">
        <v>10884</v>
      </c>
      <c r="AN3633" t="s">
        <v>10931</v>
      </c>
      <c r="AO3633" t="s">
        <v>11000</v>
      </c>
      <c r="AP3633" t="s">
        <v>11045</v>
      </c>
      <c r="AR3633" t="s">
        <v>11257</v>
      </c>
      <c r="AS3633" t="s">
        <v>9926</v>
      </c>
      <c r="AT3633" t="s">
        <v>11641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</row>
    <row r="3634" spans="1:59">
      <c r="A3634" s="1">
        <f>HYPERLINK("https://lsnyc.legalserver.org/matter/dynamic-profile/view/1907737","19-1907737")</f>
        <v>0</v>
      </c>
      <c r="B3634" t="s">
        <v>3023</v>
      </c>
      <c r="C3634" t="s">
        <v>6683</v>
      </c>
      <c r="D3634" t="s">
        <v>9926</v>
      </c>
      <c r="E3634" t="s">
        <v>10075</v>
      </c>
      <c r="F3634">
        <v>10469</v>
      </c>
      <c r="G3634" t="s">
        <v>10090</v>
      </c>
      <c r="H3634" t="s">
        <v>10141</v>
      </c>
      <c r="I3634" t="s">
        <v>10168</v>
      </c>
      <c r="J3634" t="s">
        <v>10210</v>
      </c>
      <c r="K3634" t="s">
        <v>10217</v>
      </c>
      <c r="M3634" t="s">
        <v>10297</v>
      </c>
      <c r="N3634" t="s">
        <v>10666</v>
      </c>
      <c r="P3634" t="s">
        <v>10749</v>
      </c>
      <c r="Q3634" t="s">
        <v>10765</v>
      </c>
      <c r="R3634" t="s">
        <v>10824</v>
      </c>
      <c r="T3634">
        <v>30540</v>
      </c>
      <c r="U3634">
        <v>2545</v>
      </c>
      <c r="V3634">
        <v>88</v>
      </c>
      <c r="W3634">
        <v>2</v>
      </c>
      <c r="X3634">
        <v>0</v>
      </c>
      <c r="Z3634">
        <v>180.6</v>
      </c>
      <c r="AA3634">
        <v>40.86839</v>
      </c>
      <c r="AB3634">
        <v>-73.84022899999999</v>
      </c>
      <c r="AC3634" t="s">
        <v>10837</v>
      </c>
      <c r="AD3634" t="s">
        <v>10839</v>
      </c>
      <c r="AG3634" t="s">
        <v>10858</v>
      </c>
      <c r="AH3634" t="s">
        <v>10862</v>
      </c>
      <c r="AI3634">
        <v>230</v>
      </c>
      <c r="AJ3634" t="s">
        <v>10210</v>
      </c>
      <c r="AL3634">
        <v>2.75</v>
      </c>
      <c r="AM3634" t="s">
        <v>10893</v>
      </c>
      <c r="AN3634" t="s">
        <v>10956</v>
      </c>
      <c r="AO3634" t="s">
        <v>11010</v>
      </c>
      <c r="AP3634" t="s">
        <v>11085</v>
      </c>
      <c r="AR3634" t="s">
        <v>11379</v>
      </c>
      <c r="AS3634" t="s">
        <v>9926</v>
      </c>
      <c r="AT3634" t="s">
        <v>11641</v>
      </c>
      <c r="AX3634" t="s">
        <v>10838</v>
      </c>
      <c r="BA3634" t="s">
        <v>11738</v>
      </c>
      <c r="BB3634">
        <v>0</v>
      </c>
      <c r="BC3634">
        <v>0</v>
      </c>
      <c r="BD3634">
        <v>0</v>
      </c>
      <c r="BE3634">
        <v>0</v>
      </c>
      <c r="BF3634">
        <v>5</v>
      </c>
      <c r="BG3634">
        <v>0</v>
      </c>
    </row>
    <row r="3635" spans="1:59">
      <c r="A3635" s="1">
        <f>HYPERLINK("https://lsnyc.legalserver.org/matter/dynamic-profile/view/1907738","19-1907738")</f>
        <v>0</v>
      </c>
      <c r="B3635" t="s">
        <v>3022</v>
      </c>
      <c r="C3635" t="s">
        <v>7813</v>
      </c>
      <c r="D3635" t="s">
        <v>9926</v>
      </c>
      <c r="E3635" t="s">
        <v>10075</v>
      </c>
      <c r="F3635">
        <v>10453</v>
      </c>
      <c r="G3635" t="s">
        <v>10090</v>
      </c>
      <c r="H3635" t="s">
        <v>10141</v>
      </c>
      <c r="I3635" t="s">
        <v>10168</v>
      </c>
      <c r="J3635" t="s">
        <v>10210</v>
      </c>
      <c r="K3635" t="s">
        <v>10217</v>
      </c>
      <c r="M3635" t="s">
        <v>10367</v>
      </c>
      <c r="N3635" t="s">
        <v>10688</v>
      </c>
      <c r="P3635" t="s">
        <v>10751</v>
      </c>
      <c r="Q3635" t="s">
        <v>10796</v>
      </c>
      <c r="R3635" t="s">
        <v>10821</v>
      </c>
      <c r="T3635">
        <v>16707.08</v>
      </c>
      <c r="U3635">
        <v>1392.26</v>
      </c>
      <c r="V3635">
        <v>25</v>
      </c>
      <c r="W3635">
        <v>1</v>
      </c>
      <c r="X3635">
        <v>2</v>
      </c>
      <c r="Z3635">
        <v>78.33</v>
      </c>
      <c r="AA3635">
        <v>40.854132</v>
      </c>
      <c r="AB3635">
        <v>-73.914332</v>
      </c>
      <c r="AD3635" t="s">
        <v>10839</v>
      </c>
      <c r="AG3635" t="s">
        <v>10858</v>
      </c>
      <c r="AH3635" t="s">
        <v>10874</v>
      </c>
      <c r="AI3635">
        <v>230</v>
      </c>
      <c r="AJ3635" t="s">
        <v>10210</v>
      </c>
      <c r="AL3635">
        <v>15.2</v>
      </c>
      <c r="AR3635" t="s">
        <v>11257</v>
      </c>
      <c r="AS3635" t="s">
        <v>9926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</row>
    <row r="3636" spans="1:59">
      <c r="A3636" s="1">
        <f>HYPERLINK("https://lsnyc.legalserver.org/matter/dynamic-profile/view/1907739","19-1907739")</f>
        <v>0</v>
      </c>
      <c r="B3636" t="s">
        <v>3024</v>
      </c>
      <c r="C3636" t="s">
        <v>7814</v>
      </c>
      <c r="D3636" t="s">
        <v>9929</v>
      </c>
      <c r="E3636" t="s">
        <v>10075</v>
      </c>
      <c r="F3636">
        <v>10303</v>
      </c>
      <c r="G3636" t="s">
        <v>10088</v>
      </c>
      <c r="H3636" t="s">
        <v>10141</v>
      </c>
      <c r="I3636" t="s">
        <v>10168</v>
      </c>
      <c r="J3636" t="s">
        <v>10208</v>
      </c>
      <c r="K3636" t="s">
        <v>10217</v>
      </c>
      <c r="M3636" t="s">
        <v>10259</v>
      </c>
      <c r="N3636" t="s">
        <v>10655</v>
      </c>
      <c r="P3636" t="s">
        <v>10749</v>
      </c>
      <c r="Q3636" t="s">
        <v>10765</v>
      </c>
      <c r="R3636" t="s">
        <v>10825</v>
      </c>
      <c r="T3636">
        <v>56406.96</v>
      </c>
      <c r="U3636">
        <v>4700.58</v>
      </c>
      <c r="V3636">
        <v>25</v>
      </c>
      <c r="W3636">
        <v>3</v>
      </c>
      <c r="X3636">
        <v>0</v>
      </c>
      <c r="Z3636">
        <v>264.45</v>
      </c>
      <c r="AA3636">
        <v>40.635759</v>
      </c>
      <c r="AB3636">
        <v>-74.171474</v>
      </c>
      <c r="AD3636" t="s">
        <v>10840</v>
      </c>
      <c r="AG3636" t="s">
        <v>10858</v>
      </c>
      <c r="AH3636" t="s">
        <v>10862</v>
      </c>
      <c r="AI3636">
        <v>285</v>
      </c>
      <c r="AJ3636" t="s">
        <v>10208</v>
      </c>
      <c r="AL3636">
        <v>3.65</v>
      </c>
      <c r="AM3636" t="s">
        <v>10883</v>
      </c>
      <c r="AN3636" t="s">
        <v>10928</v>
      </c>
      <c r="AO3636" t="s">
        <v>11006</v>
      </c>
      <c r="AP3636" t="s">
        <v>11051</v>
      </c>
      <c r="AR3636" t="s">
        <v>11257</v>
      </c>
      <c r="AS3636" t="s">
        <v>11593</v>
      </c>
      <c r="BA3636" t="s">
        <v>11738</v>
      </c>
      <c r="BB3636">
        <v>0</v>
      </c>
      <c r="BC3636">
        <v>0</v>
      </c>
      <c r="BD3636">
        <v>0</v>
      </c>
      <c r="BE3636">
        <v>0</v>
      </c>
      <c r="BF3636">
        <v>5</v>
      </c>
      <c r="BG3636">
        <v>0</v>
      </c>
    </row>
    <row r="3637" spans="1:59">
      <c r="A3637" s="1">
        <f>HYPERLINK("https://lsnyc.legalserver.org/matter/dynamic-profile/view/1907740","19-1907740")</f>
        <v>0</v>
      </c>
      <c r="B3637" t="s">
        <v>3025</v>
      </c>
      <c r="C3637" t="s">
        <v>7815</v>
      </c>
      <c r="D3637" t="s">
        <v>9928</v>
      </c>
      <c r="E3637" t="s">
        <v>10075</v>
      </c>
      <c r="F3637">
        <v>11205</v>
      </c>
      <c r="G3637" t="s">
        <v>10093</v>
      </c>
      <c r="H3637" t="s">
        <v>10141</v>
      </c>
      <c r="I3637" t="s">
        <v>10168</v>
      </c>
      <c r="J3637" t="s">
        <v>10213</v>
      </c>
      <c r="K3637" t="s">
        <v>10218</v>
      </c>
      <c r="L3637" t="s">
        <v>10160</v>
      </c>
      <c r="M3637" t="s">
        <v>10317</v>
      </c>
      <c r="N3637" t="s">
        <v>10671</v>
      </c>
      <c r="P3637" t="s">
        <v>10751</v>
      </c>
      <c r="Q3637" t="s">
        <v>10761</v>
      </c>
      <c r="R3637" t="s">
        <v>10821</v>
      </c>
      <c r="T3637">
        <v>4668</v>
      </c>
      <c r="U3637">
        <v>389</v>
      </c>
      <c r="V3637">
        <v>45</v>
      </c>
      <c r="W3637">
        <v>3</v>
      </c>
      <c r="X3637">
        <v>0</v>
      </c>
      <c r="Y3637" t="s">
        <v>10829</v>
      </c>
      <c r="Z3637">
        <v>21.88</v>
      </c>
      <c r="AA3637">
        <v>40.695721</v>
      </c>
      <c r="AB3637">
        <v>-73.97910899999999</v>
      </c>
      <c r="AD3637" t="s">
        <v>10839</v>
      </c>
      <c r="AG3637" t="s">
        <v>10858</v>
      </c>
      <c r="AH3637" t="s">
        <v>10861</v>
      </c>
      <c r="AI3637">
        <v>234</v>
      </c>
      <c r="AJ3637" t="s">
        <v>10214</v>
      </c>
      <c r="AK3637" t="s">
        <v>10882</v>
      </c>
      <c r="AL3637">
        <v>3.5</v>
      </c>
      <c r="AM3637" t="s">
        <v>10889</v>
      </c>
      <c r="AN3637" t="s">
        <v>10923</v>
      </c>
      <c r="AO3637" t="s">
        <v>11007</v>
      </c>
      <c r="AP3637" t="s">
        <v>11061</v>
      </c>
      <c r="AR3637" t="s">
        <v>11292</v>
      </c>
      <c r="AS3637" t="s">
        <v>11595</v>
      </c>
      <c r="AT3637" t="s">
        <v>11641</v>
      </c>
      <c r="AX3637" t="s">
        <v>10838</v>
      </c>
      <c r="AY3637" t="s">
        <v>10829</v>
      </c>
      <c r="AZ3637" t="s">
        <v>11682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</row>
    <row r="3638" spans="1:59">
      <c r="A3638" s="1">
        <f>HYPERLINK("https://lsnyc.legalserver.org/matter/dynamic-profile/view/1907741","19-1907741")</f>
        <v>0</v>
      </c>
      <c r="B3638" t="s">
        <v>3026</v>
      </c>
      <c r="C3638" t="s">
        <v>7816</v>
      </c>
      <c r="D3638" t="s">
        <v>9926</v>
      </c>
      <c r="E3638" t="s">
        <v>10075</v>
      </c>
      <c r="F3638">
        <v>10458</v>
      </c>
      <c r="G3638" t="s">
        <v>10091</v>
      </c>
      <c r="H3638" t="s">
        <v>10141</v>
      </c>
      <c r="I3638" t="s">
        <v>10168</v>
      </c>
      <c r="J3638" t="s">
        <v>10214</v>
      </c>
      <c r="K3638" t="s">
        <v>10217</v>
      </c>
      <c r="M3638" t="s">
        <v>10286</v>
      </c>
      <c r="N3638" t="s">
        <v>10671</v>
      </c>
      <c r="P3638" t="s">
        <v>10749</v>
      </c>
      <c r="Q3638" t="s">
        <v>10765</v>
      </c>
      <c r="R3638" t="s">
        <v>10824</v>
      </c>
      <c r="T3638">
        <v>6240</v>
      </c>
      <c r="U3638">
        <v>520</v>
      </c>
      <c r="V3638">
        <v>42</v>
      </c>
      <c r="W3638">
        <v>1</v>
      </c>
      <c r="X3638">
        <v>0</v>
      </c>
      <c r="Z3638">
        <v>49.96</v>
      </c>
      <c r="AA3638">
        <v>40.857173</v>
      </c>
      <c r="AB3638">
        <v>-73.89012</v>
      </c>
      <c r="AD3638" t="s">
        <v>10839</v>
      </c>
      <c r="AG3638" t="s">
        <v>10858</v>
      </c>
      <c r="AH3638" t="s">
        <v>10871</v>
      </c>
      <c r="AI3638">
        <v>234</v>
      </c>
      <c r="AJ3638" t="s">
        <v>10214</v>
      </c>
      <c r="AL3638">
        <v>1.1</v>
      </c>
      <c r="AM3638" t="s">
        <v>10884</v>
      </c>
      <c r="AN3638" t="s">
        <v>10907</v>
      </c>
      <c r="AO3638" t="s">
        <v>11000</v>
      </c>
      <c r="AP3638" t="s">
        <v>11056</v>
      </c>
      <c r="AR3638" t="s">
        <v>11311</v>
      </c>
      <c r="AS3638" t="s">
        <v>9926</v>
      </c>
      <c r="AT3638" t="s">
        <v>11641</v>
      </c>
      <c r="AX3638" t="s">
        <v>10838</v>
      </c>
      <c r="BA3638" t="s">
        <v>11741</v>
      </c>
      <c r="BB3638">
        <v>0</v>
      </c>
      <c r="BC3638">
        <v>0</v>
      </c>
      <c r="BD3638">
        <v>0</v>
      </c>
      <c r="BE3638">
        <v>0</v>
      </c>
      <c r="BF3638">
        <v>1</v>
      </c>
      <c r="BG3638">
        <v>0</v>
      </c>
    </row>
    <row r="3639" spans="1:59">
      <c r="A3639" s="1">
        <f>HYPERLINK("https://lsnyc.legalserver.org/matter/dynamic-profile/view/1907742","19-1907742")</f>
        <v>0</v>
      </c>
      <c r="B3639" t="s">
        <v>3027</v>
      </c>
      <c r="C3639" t="s">
        <v>7817</v>
      </c>
      <c r="D3639" t="s">
        <v>9929</v>
      </c>
      <c r="E3639" t="s">
        <v>10075</v>
      </c>
      <c r="F3639">
        <v>10312</v>
      </c>
      <c r="G3639" t="s">
        <v>10088</v>
      </c>
      <c r="H3639" t="s">
        <v>10153</v>
      </c>
      <c r="I3639" t="s">
        <v>10168</v>
      </c>
      <c r="J3639" t="s">
        <v>10208</v>
      </c>
      <c r="K3639" t="s">
        <v>10217</v>
      </c>
      <c r="M3639" t="s">
        <v>10542</v>
      </c>
      <c r="N3639" t="s">
        <v>10729</v>
      </c>
      <c r="P3639" t="s">
        <v>10754</v>
      </c>
      <c r="Q3639" t="s">
        <v>10775</v>
      </c>
      <c r="R3639" t="s">
        <v>10825</v>
      </c>
      <c r="T3639">
        <v>34800</v>
      </c>
      <c r="U3639">
        <v>2900</v>
      </c>
      <c r="V3639">
        <v>50</v>
      </c>
      <c r="W3639">
        <v>2</v>
      </c>
      <c r="X3639">
        <v>0</v>
      </c>
      <c r="Z3639">
        <v>205.8</v>
      </c>
      <c r="AA3639">
        <v>40.539457</v>
      </c>
      <c r="AB3639">
        <v>-74.173378</v>
      </c>
      <c r="AD3639" t="s">
        <v>10839</v>
      </c>
      <c r="AG3639" t="s">
        <v>10858</v>
      </c>
      <c r="AH3639" t="s">
        <v>10865</v>
      </c>
      <c r="AI3639">
        <v>285</v>
      </c>
      <c r="AJ3639" t="s">
        <v>10208</v>
      </c>
      <c r="AL3639">
        <v>1.2</v>
      </c>
      <c r="AM3639" t="s">
        <v>10883</v>
      </c>
      <c r="AN3639" t="s">
        <v>10906</v>
      </c>
      <c r="AO3639" t="s">
        <v>10999</v>
      </c>
      <c r="AP3639" t="s">
        <v>11044</v>
      </c>
      <c r="AR3639" t="s">
        <v>11343</v>
      </c>
      <c r="AS3639" t="s">
        <v>11593</v>
      </c>
      <c r="AX3639" t="s">
        <v>10838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</row>
    <row r="3640" spans="1:59">
      <c r="A3640" s="1">
        <f>HYPERLINK("https://lsnyc.legalserver.org/matter/dynamic-profile/view/1907743","19-1907743")</f>
        <v>0</v>
      </c>
      <c r="B3640" t="s">
        <v>3028</v>
      </c>
      <c r="C3640" t="s">
        <v>7818</v>
      </c>
      <c r="D3640" t="s">
        <v>9928</v>
      </c>
      <c r="E3640" t="s">
        <v>10075</v>
      </c>
      <c r="F3640">
        <v>11210</v>
      </c>
      <c r="G3640" t="s">
        <v>10093</v>
      </c>
      <c r="H3640" t="s">
        <v>10141</v>
      </c>
      <c r="I3640" t="s">
        <v>10168</v>
      </c>
      <c r="J3640" t="s">
        <v>10213</v>
      </c>
      <c r="K3640" t="s">
        <v>10217</v>
      </c>
      <c r="M3640" t="s">
        <v>10263</v>
      </c>
      <c r="N3640" t="s">
        <v>10650</v>
      </c>
      <c r="P3640" t="s">
        <v>10749</v>
      </c>
      <c r="Q3640" t="s">
        <v>10765</v>
      </c>
      <c r="R3640" t="s">
        <v>10824</v>
      </c>
      <c r="T3640">
        <v>0</v>
      </c>
      <c r="U3640">
        <v>0</v>
      </c>
      <c r="V3640">
        <v>44</v>
      </c>
      <c r="W3640">
        <v>1</v>
      </c>
      <c r="X3640">
        <v>2</v>
      </c>
      <c r="Z3640">
        <v>0</v>
      </c>
      <c r="AA3640">
        <v>40.638506</v>
      </c>
      <c r="AB3640">
        <v>-73.94600699999999</v>
      </c>
      <c r="AD3640" t="s">
        <v>10839</v>
      </c>
      <c r="AG3640" t="s">
        <v>10858</v>
      </c>
      <c r="AH3640" t="s">
        <v>10861</v>
      </c>
      <c r="AI3640">
        <v>234</v>
      </c>
      <c r="AJ3640" t="s">
        <v>10214</v>
      </c>
      <c r="AL3640">
        <v>9.85</v>
      </c>
      <c r="AM3640" t="s">
        <v>10888</v>
      </c>
      <c r="AN3640" t="s">
        <v>10925</v>
      </c>
      <c r="AO3640" t="s">
        <v>11008</v>
      </c>
      <c r="AP3640" t="s">
        <v>11065</v>
      </c>
      <c r="AR3640" t="s">
        <v>11267</v>
      </c>
      <c r="AS3640" t="s">
        <v>11595</v>
      </c>
      <c r="AT3640" t="s">
        <v>11641</v>
      </c>
      <c r="AX3640" t="s">
        <v>10838</v>
      </c>
      <c r="BA3640" t="s">
        <v>11738</v>
      </c>
      <c r="BB3640">
        <v>0</v>
      </c>
      <c r="BC3640">
        <v>0</v>
      </c>
      <c r="BD3640">
        <v>0</v>
      </c>
      <c r="BE3640">
        <v>0</v>
      </c>
      <c r="BF3640">
        <v>5</v>
      </c>
      <c r="BG3640">
        <v>0</v>
      </c>
    </row>
    <row r="3641" spans="1:59">
      <c r="A3641" s="1">
        <f>HYPERLINK("https://lsnyc.legalserver.org/matter/dynamic-profile/view/1907744","19-1907744")</f>
        <v>0</v>
      </c>
      <c r="B3641" t="s">
        <v>3029</v>
      </c>
      <c r="C3641" t="s">
        <v>7819</v>
      </c>
      <c r="D3641" t="s">
        <v>9925</v>
      </c>
      <c r="E3641" t="s">
        <v>10075</v>
      </c>
      <c r="F3641">
        <v>10029</v>
      </c>
      <c r="G3641" t="s">
        <v>10089</v>
      </c>
      <c r="H3641" t="s">
        <v>10141</v>
      </c>
      <c r="I3641" t="s">
        <v>10169</v>
      </c>
      <c r="J3641" t="s">
        <v>10209</v>
      </c>
      <c r="K3641" t="s">
        <v>10217</v>
      </c>
      <c r="M3641" t="s">
        <v>10305</v>
      </c>
      <c r="N3641" t="s">
        <v>10688</v>
      </c>
      <c r="P3641" t="s">
        <v>10752</v>
      </c>
      <c r="Q3641" t="s">
        <v>10805</v>
      </c>
      <c r="R3641" t="s">
        <v>10821</v>
      </c>
      <c r="T3641">
        <v>10270</v>
      </c>
      <c r="U3641">
        <v>855.83</v>
      </c>
      <c r="V3641">
        <v>57</v>
      </c>
      <c r="W3641">
        <v>1</v>
      </c>
      <c r="X3641">
        <v>2</v>
      </c>
      <c r="Z3641">
        <v>48.15</v>
      </c>
      <c r="AA3641">
        <v>40.7913</v>
      </c>
      <c r="AB3641">
        <v>-73.94062599999999</v>
      </c>
      <c r="AD3641" t="s">
        <v>10839</v>
      </c>
      <c r="AF3641" t="s">
        <v>10843</v>
      </c>
      <c r="AG3641" t="s">
        <v>10859</v>
      </c>
      <c r="AH3641" t="s">
        <v>10865</v>
      </c>
      <c r="AI3641">
        <v>236</v>
      </c>
      <c r="AJ3641" t="s">
        <v>10209</v>
      </c>
      <c r="AL3641">
        <v>0.9</v>
      </c>
      <c r="AM3641" t="s">
        <v>10887</v>
      </c>
      <c r="AN3641" t="s">
        <v>10926</v>
      </c>
      <c r="AO3641" t="s">
        <v>11013</v>
      </c>
      <c r="AP3641" t="s">
        <v>11066</v>
      </c>
      <c r="AQ3641" t="s">
        <v>11155</v>
      </c>
      <c r="AR3641" t="s">
        <v>11257</v>
      </c>
      <c r="AS3641" t="s">
        <v>9925</v>
      </c>
      <c r="AT3641" t="s">
        <v>11641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</row>
    <row r="3642" spans="1:59">
      <c r="A3642" s="1">
        <f>HYPERLINK("https://lsnyc.legalserver.org/matter/dynamic-profile/view/1907745","19-1907745")</f>
        <v>0</v>
      </c>
      <c r="B3642" t="s">
        <v>3030</v>
      </c>
      <c r="C3642" t="s">
        <v>7820</v>
      </c>
      <c r="D3642" t="s">
        <v>9926</v>
      </c>
      <c r="E3642" t="s">
        <v>10075</v>
      </c>
      <c r="F3642">
        <v>10470</v>
      </c>
      <c r="G3642" t="s">
        <v>10090</v>
      </c>
      <c r="H3642" t="s">
        <v>10141</v>
      </c>
      <c r="I3642" t="s">
        <v>10168</v>
      </c>
      <c r="J3642" t="s">
        <v>10210</v>
      </c>
      <c r="K3642" t="s">
        <v>10217</v>
      </c>
      <c r="M3642" t="s">
        <v>10597</v>
      </c>
      <c r="N3642" t="s">
        <v>10671</v>
      </c>
      <c r="P3642" t="s">
        <v>10751</v>
      </c>
      <c r="Q3642" t="s">
        <v>10786</v>
      </c>
      <c r="R3642" t="s">
        <v>10821</v>
      </c>
      <c r="T3642">
        <v>15600</v>
      </c>
      <c r="U3642">
        <v>1300</v>
      </c>
      <c r="V3642">
        <v>53</v>
      </c>
      <c r="W3642">
        <v>2</v>
      </c>
      <c r="X3642">
        <v>0</v>
      </c>
      <c r="Z3642">
        <v>92.25</v>
      </c>
      <c r="AA3642">
        <v>40.90349</v>
      </c>
      <c r="AB3642">
        <v>-73.84939900000001</v>
      </c>
      <c r="AD3642" t="s">
        <v>10839</v>
      </c>
      <c r="AG3642" t="s">
        <v>10858</v>
      </c>
      <c r="AH3642" t="s">
        <v>10861</v>
      </c>
      <c r="AI3642">
        <v>234</v>
      </c>
      <c r="AJ3642" t="s">
        <v>10214</v>
      </c>
      <c r="AL3642">
        <v>0.75</v>
      </c>
      <c r="AM3642" t="s">
        <v>10893</v>
      </c>
      <c r="AN3642" t="s">
        <v>10919</v>
      </c>
      <c r="AO3642" t="s">
        <v>11010</v>
      </c>
      <c r="AP3642" t="s">
        <v>11057</v>
      </c>
      <c r="AR3642" t="s">
        <v>11392</v>
      </c>
      <c r="AS3642" t="s">
        <v>9926</v>
      </c>
      <c r="AT3642" t="s">
        <v>11641</v>
      </c>
      <c r="AX3642" t="s">
        <v>10838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</row>
    <row r="3643" spans="1:59">
      <c r="A3643" s="1">
        <f>HYPERLINK("https://lsnyc.legalserver.org/matter/dynamic-profile/view/1907746","19-1907746")</f>
        <v>0</v>
      </c>
      <c r="B3643" t="s">
        <v>3031</v>
      </c>
      <c r="C3643" t="s">
        <v>7821</v>
      </c>
      <c r="D3643" t="s">
        <v>9929</v>
      </c>
      <c r="E3643" t="s">
        <v>10075</v>
      </c>
      <c r="F3643">
        <v>10304</v>
      </c>
      <c r="G3643" t="s">
        <v>10088</v>
      </c>
      <c r="H3643" t="s">
        <v>10141</v>
      </c>
      <c r="I3643" t="s">
        <v>10168</v>
      </c>
      <c r="J3643" t="s">
        <v>10208</v>
      </c>
      <c r="K3643" t="s">
        <v>10217</v>
      </c>
      <c r="M3643" t="s">
        <v>10257</v>
      </c>
      <c r="N3643" t="s">
        <v>10650</v>
      </c>
      <c r="P3643" t="s">
        <v>10749</v>
      </c>
      <c r="Q3643" t="s">
        <v>10765</v>
      </c>
      <c r="R3643" t="s">
        <v>10824</v>
      </c>
      <c r="T3643">
        <v>0</v>
      </c>
      <c r="U3643">
        <v>0</v>
      </c>
      <c r="V3643">
        <v>38</v>
      </c>
      <c r="W3643">
        <v>1</v>
      </c>
      <c r="X3643">
        <v>3</v>
      </c>
      <c r="Z3643">
        <v>0</v>
      </c>
      <c r="AA3643">
        <v>40.608777</v>
      </c>
      <c r="AB3643">
        <v>-74.082196</v>
      </c>
      <c r="AD3643" t="s">
        <v>10839</v>
      </c>
      <c r="AG3643" t="s">
        <v>10858</v>
      </c>
      <c r="AH3643" t="s">
        <v>10862</v>
      </c>
      <c r="AI3643">
        <v>285</v>
      </c>
      <c r="AJ3643" t="s">
        <v>10208</v>
      </c>
      <c r="AL3643">
        <v>4.4</v>
      </c>
      <c r="AM3643" t="s">
        <v>10883</v>
      </c>
      <c r="AN3643" t="s">
        <v>10913</v>
      </c>
      <c r="AO3643" t="s">
        <v>11006</v>
      </c>
      <c r="AP3643" t="s">
        <v>11051</v>
      </c>
      <c r="AR3643" t="s">
        <v>11279</v>
      </c>
      <c r="AS3643" t="s">
        <v>11593</v>
      </c>
      <c r="BA3643" t="s">
        <v>11738</v>
      </c>
      <c r="BB3643">
        <v>0</v>
      </c>
      <c r="BC3643">
        <v>0</v>
      </c>
      <c r="BD3643">
        <v>0</v>
      </c>
      <c r="BE3643">
        <v>0</v>
      </c>
      <c r="BF3643">
        <v>5</v>
      </c>
      <c r="BG3643">
        <v>0</v>
      </c>
    </row>
    <row r="3644" spans="1:59">
      <c r="A3644" s="1">
        <f>HYPERLINK("https://lsnyc.legalserver.org/matter/dynamic-profile/view/1907747","19-1907747")</f>
        <v>0</v>
      </c>
      <c r="B3644" t="s">
        <v>3032</v>
      </c>
      <c r="C3644" t="s">
        <v>7822</v>
      </c>
      <c r="D3644" t="s">
        <v>9928</v>
      </c>
      <c r="E3644" t="s">
        <v>10075</v>
      </c>
      <c r="F3644">
        <v>11219</v>
      </c>
      <c r="G3644" t="s">
        <v>10093</v>
      </c>
      <c r="H3644" t="s">
        <v>10141</v>
      </c>
      <c r="I3644" t="s">
        <v>10169</v>
      </c>
      <c r="J3644" t="s">
        <v>10213</v>
      </c>
      <c r="K3644" t="s">
        <v>10217</v>
      </c>
      <c r="M3644" t="s">
        <v>10405</v>
      </c>
      <c r="N3644" t="s">
        <v>10650</v>
      </c>
      <c r="P3644" t="s">
        <v>10749</v>
      </c>
      <c r="Q3644" t="s">
        <v>10765</v>
      </c>
      <c r="R3644" t="s">
        <v>10821</v>
      </c>
      <c r="S3644" t="s">
        <v>10821</v>
      </c>
      <c r="T3644">
        <v>18000</v>
      </c>
      <c r="U3644">
        <v>1500</v>
      </c>
      <c r="V3644">
        <v>57</v>
      </c>
      <c r="W3644">
        <v>3</v>
      </c>
      <c r="X3644">
        <v>0</v>
      </c>
      <c r="Z3644">
        <v>84.39</v>
      </c>
      <c r="AA3644">
        <v>40.640812</v>
      </c>
      <c r="AB3644">
        <v>-73.996466</v>
      </c>
      <c r="AD3644" t="s">
        <v>10839</v>
      </c>
      <c r="AG3644" t="s">
        <v>10858</v>
      </c>
      <c r="AH3644" t="s">
        <v>10862</v>
      </c>
      <c r="AI3644">
        <v>239</v>
      </c>
      <c r="AJ3644" t="s">
        <v>10213</v>
      </c>
      <c r="AL3644">
        <v>5.3</v>
      </c>
      <c r="AM3644" t="s">
        <v>10894</v>
      </c>
      <c r="AN3644" t="s">
        <v>10921</v>
      </c>
      <c r="AO3644" t="s">
        <v>11015</v>
      </c>
      <c r="AP3644" t="s">
        <v>11059</v>
      </c>
      <c r="AQ3644" t="s">
        <v>11101</v>
      </c>
      <c r="AR3644" t="s">
        <v>11263</v>
      </c>
      <c r="AS3644" t="s">
        <v>11595</v>
      </c>
      <c r="AT3644" t="s">
        <v>11641</v>
      </c>
      <c r="BA3644" t="s">
        <v>11738</v>
      </c>
      <c r="BB3644">
        <v>0</v>
      </c>
      <c r="BC3644">
        <v>0</v>
      </c>
      <c r="BD3644">
        <v>0</v>
      </c>
      <c r="BE3644">
        <v>0</v>
      </c>
      <c r="BF3644">
        <v>5</v>
      </c>
      <c r="BG3644">
        <v>0</v>
      </c>
    </row>
    <row r="3645" spans="1:59">
      <c r="A3645" s="1">
        <f>HYPERLINK("https://lsnyc.legalserver.org/matter/dynamic-profile/view/1907748","19-1907748")</f>
        <v>0</v>
      </c>
      <c r="B3645" t="s">
        <v>3033</v>
      </c>
      <c r="C3645" t="s">
        <v>7823</v>
      </c>
      <c r="D3645" t="s">
        <v>9925</v>
      </c>
      <c r="E3645" t="s">
        <v>10075</v>
      </c>
      <c r="F3645">
        <v>10039</v>
      </c>
      <c r="G3645" t="s">
        <v>10091</v>
      </c>
      <c r="H3645" t="s">
        <v>10141</v>
      </c>
      <c r="I3645" t="s">
        <v>10169</v>
      </c>
      <c r="J3645" t="s">
        <v>10214</v>
      </c>
      <c r="K3645" t="s">
        <v>10217</v>
      </c>
      <c r="M3645" t="s">
        <v>10442</v>
      </c>
      <c r="N3645" t="s">
        <v>10671</v>
      </c>
      <c r="P3645" t="s">
        <v>10749</v>
      </c>
      <c r="Q3645" t="s">
        <v>10774</v>
      </c>
      <c r="R3645" t="s">
        <v>10823</v>
      </c>
      <c r="T3645">
        <v>15000</v>
      </c>
      <c r="U3645">
        <v>1250</v>
      </c>
      <c r="V3645">
        <v>41</v>
      </c>
      <c r="W3645">
        <v>2</v>
      </c>
      <c r="X3645">
        <v>1</v>
      </c>
      <c r="Z3645">
        <v>70.31999999999999</v>
      </c>
      <c r="AA3645">
        <v>40.831269</v>
      </c>
      <c r="AB3645">
        <v>-73.93743499999999</v>
      </c>
      <c r="AD3645" t="s">
        <v>10839</v>
      </c>
      <c r="AG3645" t="s">
        <v>10858</v>
      </c>
      <c r="AH3645" t="s">
        <v>10861</v>
      </c>
      <c r="AI3645">
        <v>234</v>
      </c>
      <c r="AJ3645" t="s">
        <v>10214</v>
      </c>
      <c r="AL3645">
        <v>1</v>
      </c>
      <c r="AM3645" t="s">
        <v>10887</v>
      </c>
      <c r="AN3645" t="s">
        <v>10943</v>
      </c>
      <c r="AO3645" t="s">
        <v>11016</v>
      </c>
      <c r="AP3645" t="s">
        <v>11076</v>
      </c>
      <c r="AR3645" t="s">
        <v>11257</v>
      </c>
      <c r="AS3645" t="s">
        <v>9925</v>
      </c>
      <c r="AT3645" t="s">
        <v>11641</v>
      </c>
      <c r="AX3645" t="s">
        <v>10837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</row>
    <row r="3646" spans="1:59">
      <c r="A3646" s="1">
        <f>HYPERLINK("https://lsnyc.legalserver.org/matter/dynamic-profile/view/1907750","19-1907750")</f>
        <v>0</v>
      </c>
      <c r="B3646" t="s">
        <v>3034</v>
      </c>
      <c r="C3646" t="s">
        <v>7824</v>
      </c>
      <c r="D3646" t="s">
        <v>9931</v>
      </c>
      <c r="E3646" t="s">
        <v>10075</v>
      </c>
      <c r="F3646">
        <v>11355</v>
      </c>
      <c r="G3646" t="s">
        <v>10092</v>
      </c>
      <c r="H3646" t="s">
        <v>10141</v>
      </c>
      <c r="I3646" t="s">
        <v>10168</v>
      </c>
      <c r="J3646" t="s">
        <v>10212</v>
      </c>
      <c r="K3646" t="s">
        <v>10217</v>
      </c>
      <c r="M3646" t="s">
        <v>10428</v>
      </c>
      <c r="N3646" t="s">
        <v>10650</v>
      </c>
      <c r="P3646" t="s">
        <v>10749</v>
      </c>
      <c r="Q3646" t="s">
        <v>10765</v>
      </c>
      <c r="R3646" t="s">
        <v>10820</v>
      </c>
      <c r="T3646">
        <v>35800</v>
      </c>
      <c r="U3646">
        <v>2983.33</v>
      </c>
      <c r="V3646">
        <v>37</v>
      </c>
      <c r="W3646">
        <v>2</v>
      </c>
      <c r="X3646">
        <v>0</v>
      </c>
      <c r="Z3646">
        <v>211.71</v>
      </c>
      <c r="AA3646">
        <v>40.756062</v>
      </c>
      <c r="AB3646">
        <v>-73.821777</v>
      </c>
      <c r="AD3646" t="s">
        <v>10840</v>
      </c>
      <c r="AG3646" t="s">
        <v>10858</v>
      </c>
      <c r="AH3646" t="s">
        <v>10862</v>
      </c>
      <c r="AI3646">
        <v>237</v>
      </c>
      <c r="AJ3646" t="s">
        <v>10212</v>
      </c>
      <c r="AL3646">
        <v>14.8</v>
      </c>
      <c r="AM3646" t="s">
        <v>10890</v>
      </c>
      <c r="AN3646" t="s">
        <v>10927</v>
      </c>
      <c r="AO3646" t="s">
        <v>11009</v>
      </c>
      <c r="AP3646" t="s">
        <v>11067</v>
      </c>
      <c r="AR3646" t="s">
        <v>11513</v>
      </c>
      <c r="AS3646" t="s">
        <v>11594</v>
      </c>
      <c r="AX3646" t="s">
        <v>10838</v>
      </c>
      <c r="BA3646" t="s">
        <v>11738</v>
      </c>
      <c r="BB3646">
        <v>0</v>
      </c>
      <c r="BC3646">
        <v>0</v>
      </c>
      <c r="BD3646">
        <v>0</v>
      </c>
      <c r="BE3646">
        <v>0</v>
      </c>
      <c r="BF3646">
        <v>5</v>
      </c>
      <c r="BG3646">
        <v>0</v>
      </c>
    </row>
    <row r="3647" spans="1:59">
      <c r="A3647" s="1">
        <f>HYPERLINK("https://lsnyc.legalserver.org/matter/dynamic-profile/view/1907751","19-1907751")</f>
        <v>0</v>
      </c>
      <c r="B3647" t="s">
        <v>3035</v>
      </c>
      <c r="C3647" t="s">
        <v>7825</v>
      </c>
      <c r="D3647" t="s">
        <v>9929</v>
      </c>
      <c r="E3647" t="s">
        <v>10075</v>
      </c>
      <c r="F3647">
        <v>10308</v>
      </c>
      <c r="G3647" t="s">
        <v>10091</v>
      </c>
      <c r="H3647" t="s">
        <v>10141</v>
      </c>
      <c r="I3647" t="s">
        <v>10168</v>
      </c>
      <c r="J3647" t="s">
        <v>10211</v>
      </c>
      <c r="K3647" t="s">
        <v>10217</v>
      </c>
      <c r="M3647" t="s">
        <v>10231</v>
      </c>
      <c r="N3647" t="s">
        <v>10647</v>
      </c>
      <c r="P3647" t="s">
        <v>10752</v>
      </c>
      <c r="Q3647" t="s">
        <v>10762</v>
      </c>
      <c r="R3647" t="s">
        <v>10824</v>
      </c>
      <c r="T3647">
        <v>30800</v>
      </c>
      <c r="U3647">
        <v>2566.67</v>
      </c>
      <c r="V3647">
        <v>34</v>
      </c>
      <c r="W3647">
        <v>1</v>
      </c>
      <c r="X3647">
        <v>2</v>
      </c>
      <c r="Z3647">
        <v>144.4</v>
      </c>
      <c r="AA3647">
        <v>40.546426</v>
      </c>
      <c r="AB3647">
        <v>-74.152254</v>
      </c>
      <c r="AD3647" t="s">
        <v>10839</v>
      </c>
      <c r="AF3647" t="s">
        <v>10843</v>
      </c>
      <c r="AG3647" t="s">
        <v>10859</v>
      </c>
      <c r="AH3647" t="s">
        <v>10861</v>
      </c>
      <c r="AI3647">
        <v>234</v>
      </c>
      <c r="AJ3647" t="s">
        <v>10214</v>
      </c>
      <c r="AL3647">
        <v>0.7</v>
      </c>
      <c r="AM3647" t="s">
        <v>10883</v>
      </c>
      <c r="AN3647" t="s">
        <v>10915</v>
      </c>
      <c r="AO3647" t="s">
        <v>10999</v>
      </c>
      <c r="AP3647" t="s">
        <v>11044</v>
      </c>
      <c r="AR3647" t="s">
        <v>11297</v>
      </c>
      <c r="AS3647" t="s">
        <v>11593</v>
      </c>
      <c r="AT3647" t="s">
        <v>11641</v>
      </c>
      <c r="AX3647" t="s">
        <v>10838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</row>
    <row r="3648" spans="1:59">
      <c r="A3648" s="1">
        <f>HYPERLINK("https://lsnyc.legalserver.org/matter/dynamic-profile/view/1907752","19-1907752")</f>
        <v>0</v>
      </c>
      <c r="B3648" t="s">
        <v>596</v>
      </c>
      <c r="C3648" t="s">
        <v>7042</v>
      </c>
      <c r="D3648" t="s">
        <v>9926</v>
      </c>
      <c r="E3648" t="s">
        <v>10075</v>
      </c>
      <c r="F3648">
        <v>10456</v>
      </c>
      <c r="G3648" t="s">
        <v>10090</v>
      </c>
      <c r="H3648" t="s">
        <v>10141</v>
      </c>
      <c r="I3648" t="s">
        <v>10168</v>
      </c>
      <c r="J3648" t="s">
        <v>10210</v>
      </c>
      <c r="K3648" t="s">
        <v>10218</v>
      </c>
      <c r="L3648" t="s">
        <v>10159</v>
      </c>
      <c r="M3648" t="s">
        <v>10579</v>
      </c>
      <c r="N3648" t="s">
        <v>10650</v>
      </c>
      <c r="P3648" t="s">
        <v>10749</v>
      </c>
      <c r="Q3648" t="s">
        <v>10765</v>
      </c>
      <c r="R3648" t="s">
        <v>10821</v>
      </c>
      <c r="T3648">
        <v>14000</v>
      </c>
      <c r="U3648">
        <v>1166.67</v>
      </c>
      <c r="V3648">
        <v>36</v>
      </c>
      <c r="W3648">
        <v>1</v>
      </c>
      <c r="X3648">
        <v>2</v>
      </c>
      <c r="Y3648" t="s">
        <v>10829</v>
      </c>
      <c r="Z3648">
        <v>65.64</v>
      </c>
      <c r="AA3648">
        <v>40.829684</v>
      </c>
      <c r="AB3648">
        <v>-73.91986199999999</v>
      </c>
      <c r="AC3648" t="s">
        <v>10837</v>
      </c>
      <c r="AD3648" t="s">
        <v>10839</v>
      </c>
      <c r="AG3648" t="s">
        <v>10858</v>
      </c>
      <c r="AH3648" t="s">
        <v>10862</v>
      </c>
      <c r="AI3648">
        <v>230</v>
      </c>
      <c r="AJ3648" t="s">
        <v>10210</v>
      </c>
      <c r="AK3648" t="s">
        <v>10838</v>
      </c>
      <c r="AL3648">
        <v>0.25</v>
      </c>
      <c r="AM3648" t="s">
        <v>10884</v>
      </c>
      <c r="AN3648" t="s">
        <v>10929</v>
      </c>
      <c r="AO3648" t="s">
        <v>11001</v>
      </c>
      <c r="AP3648" t="s">
        <v>11055</v>
      </c>
      <c r="AR3648" t="s">
        <v>11257</v>
      </c>
      <c r="AS3648" t="s">
        <v>9926</v>
      </c>
      <c r="AY3648" t="s">
        <v>10829</v>
      </c>
      <c r="AZ3648" t="s">
        <v>11681</v>
      </c>
      <c r="BA3648" t="s">
        <v>11741</v>
      </c>
      <c r="BB3648">
        <v>0</v>
      </c>
      <c r="BC3648">
        <v>0</v>
      </c>
      <c r="BD3648">
        <v>0</v>
      </c>
      <c r="BE3648">
        <v>0</v>
      </c>
      <c r="BF3648">
        <v>1</v>
      </c>
      <c r="BG3648">
        <v>0</v>
      </c>
    </row>
    <row r="3649" spans="1:59">
      <c r="A3649" s="1">
        <f>HYPERLINK("https://lsnyc.legalserver.org/matter/dynamic-profile/view/1907753","19-1907753")</f>
        <v>0</v>
      </c>
      <c r="B3649" t="s">
        <v>2997</v>
      </c>
      <c r="C3649" t="s">
        <v>7790</v>
      </c>
      <c r="D3649" t="s">
        <v>9928</v>
      </c>
      <c r="E3649" t="s">
        <v>10075</v>
      </c>
      <c r="F3649">
        <v>11233</v>
      </c>
      <c r="G3649" t="s">
        <v>10093</v>
      </c>
      <c r="H3649" t="s">
        <v>10141</v>
      </c>
      <c r="J3649" t="s">
        <v>10213</v>
      </c>
      <c r="K3649" t="s">
        <v>10217</v>
      </c>
      <c r="M3649" t="s">
        <v>10356</v>
      </c>
      <c r="N3649" t="s">
        <v>10673</v>
      </c>
      <c r="P3649" t="s">
        <v>10753</v>
      </c>
      <c r="Q3649" t="s">
        <v>10763</v>
      </c>
      <c r="R3649" t="s">
        <v>10824</v>
      </c>
      <c r="T3649">
        <v>20000</v>
      </c>
      <c r="U3649">
        <v>1666.67</v>
      </c>
      <c r="V3649">
        <v>54</v>
      </c>
      <c r="W3649">
        <v>1</v>
      </c>
      <c r="X3649">
        <v>1</v>
      </c>
      <c r="Z3649">
        <v>118.27</v>
      </c>
      <c r="AA3649">
        <v>40.669234</v>
      </c>
      <c r="AB3649">
        <v>-73.92416799999999</v>
      </c>
      <c r="AD3649" t="s">
        <v>10839</v>
      </c>
      <c r="AF3649" t="s">
        <v>10843</v>
      </c>
      <c r="AG3649" t="s">
        <v>10859</v>
      </c>
      <c r="AH3649" t="s">
        <v>10864</v>
      </c>
      <c r="AI3649">
        <v>239</v>
      </c>
      <c r="AJ3649" t="s">
        <v>10213</v>
      </c>
      <c r="AL3649">
        <v>2.1</v>
      </c>
      <c r="AM3649" t="s">
        <v>10888</v>
      </c>
      <c r="AN3649" t="s">
        <v>10922</v>
      </c>
      <c r="AO3649" t="s">
        <v>11005</v>
      </c>
      <c r="AP3649" t="s">
        <v>11064</v>
      </c>
      <c r="AQ3649" t="s">
        <v>11109</v>
      </c>
      <c r="AR3649" t="s">
        <v>11257</v>
      </c>
      <c r="AS3649" t="s">
        <v>11595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</row>
    <row r="3650" spans="1:59">
      <c r="A3650" s="1">
        <f>HYPERLINK("https://lsnyc.legalserver.org/matter/dynamic-profile/view/1907755","19-1907755")</f>
        <v>0</v>
      </c>
      <c r="B3650" t="s">
        <v>3036</v>
      </c>
      <c r="C3650" t="s">
        <v>7826</v>
      </c>
      <c r="D3650" t="s">
        <v>9930</v>
      </c>
      <c r="E3650" t="s">
        <v>10075</v>
      </c>
      <c r="F3650">
        <v>11373</v>
      </c>
      <c r="G3650" t="s">
        <v>10091</v>
      </c>
      <c r="H3650" t="s">
        <v>10141</v>
      </c>
      <c r="I3650" t="s">
        <v>10168</v>
      </c>
      <c r="J3650" t="s">
        <v>10211</v>
      </c>
      <c r="K3650" t="s">
        <v>10217</v>
      </c>
      <c r="M3650" t="s">
        <v>10231</v>
      </c>
      <c r="N3650" t="s">
        <v>10647</v>
      </c>
      <c r="P3650" t="s">
        <v>10752</v>
      </c>
      <c r="Q3650" t="s">
        <v>10762</v>
      </c>
      <c r="R3650" t="s">
        <v>10827</v>
      </c>
      <c r="T3650">
        <v>5200</v>
      </c>
      <c r="U3650">
        <v>433.33</v>
      </c>
      <c r="V3650">
        <v>51</v>
      </c>
      <c r="W3650">
        <v>1</v>
      </c>
      <c r="X3650">
        <v>0</v>
      </c>
      <c r="Z3650">
        <v>41.63</v>
      </c>
      <c r="AA3650">
        <v>40.737018</v>
      </c>
      <c r="AB3650">
        <v>-73.882232</v>
      </c>
      <c r="AD3650" t="s">
        <v>10840</v>
      </c>
      <c r="AF3650" t="s">
        <v>10843</v>
      </c>
      <c r="AG3650" t="s">
        <v>10859</v>
      </c>
      <c r="AH3650" t="s">
        <v>10871</v>
      </c>
      <c r="AI3650">
        <v>234</v>
      </c>
      <c r="AJ3650" t="s">
        <v>10214</v>
      </c>
      <c r="AL3650">
        <v>1.4</v>
      </c>
      <c r="AM3650" t="s">
        <v>10890</v>
      </c>
      <c r="AN3650" t="s">
        <v>10916</v>
      </c>
      <c r="AO3650" t="s">
        <v>11009</v>
      </c>
      <c r="AP3650" t="s">
        <v>11053</v>
      </c>
      <c r="AR3650" t="s">
        <v>11257</v>
      </c>
      <c r="AS3650" t="s">
        <v>11594</v>
      </c>
      <c r="AT3650" t="s">
        <v>11642</v>
      </c>
      <c r="AX3650" t="s">
        <v>10838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</row>
    <row r="3651" spans="1:59">
      <c r="A3651" s="1">
        <f>HYPERLINK("https://lsnyc.legalserver.org/matter/dynamic-profile/view/1907756","19-1907756")</f>
        <v>0</v>
      </c>
      <c r="B3651" t="s">
        <v>3037</v>
      </c>
      <c r="C3651" t="s">
        <v>7827</v>
      </c>
      <c r="D3651" t="s">
        <v>9928</v>
      </c>
      <c r="E3651" t="s">
        <v>10075</v>
      </c>
      <c r="F3651">
        <v>11205</v>
      </c>
      <c r="G3651" t="s">
        <v>10093</v>
      </c>
      <c r="H3651" t="s">
        <v>10141</v>
      </c>
      <c r="I3651" t="s">
        <v>10168</v>
      </c>
      <c r="J3651" t="s">
        <v>10213</v>
      </c>
      <c r="K3651" t="s">
        <v>10217</v>
      </c>
      <c r="M3651" t="s">
        <v>10411</v>
      </c>
      <c r="N3651" t="s">
        <v>10650</v>
      </c>
      <c r="P3651" t="s">
        <v>10749</v>
      </c>
      <c r="Q3651" t="s">
        <v>10765</v>
      </c>
      <c r="R3651" t="s">
        <v>10824</v>
      </c>
      <c r="T3651">
        <v>32472</v>
      </c>
      <c r="U3651">
        <v>2706</v>
      </c>
      <c r="V3651">
        <v>31</v>
      </c>
      <c r="W3651">
        <v>1</v>
      </c>
      <c r="X3651">
        <v>1</v>
      </c>
      <c r="Z3651">
        <v>192.03</v>
      </c>
      <c r="AA3651">
        <v>40.691765</v>
      </c>
      <c r="AB3651">
        <v>-73.96909100000001</v>
      </c>
      <c r="AD3651" t="s">
        <v>10839</v>
      </c>
      <c r="AG3651" t="s">
        <v>10858</v>
      </c>
      <c r="AH3651" t="s">
        <v>10862</v>
      </c>
      <c r="AI3651">
        <v>239</v>
      </c>
      <c r="AJ3651" t="s">
        <v>10213</v>
      </c>
      <c r="AL3651">
        <v>0</v>
      </c>
      <c r="AM3651" t="s">
        <v>10889</v>
      </c>
      <c r="AN3651" t="s">
        <v>10923</v>
      </c>
      <c r="AO3651" t="s">
        <v>11007</v>
      </c>
      <c r="AP3651" t="s">
        <v>11061</v>
      </c>
      <c r="AR3651" t="s">
        <v>11295</v>
      </c>
      <c r="AS3651" t="s">
        <v>11595</v>
      </c>
      <c r="BA3651" t="s">
        <v>11738</v>
      </c>
      <c r="BB3651">
        <v>0</v>
      </c>
      <c r="BC3651">
        <v>0</v>
      </c>
      <c r="BD3651">
        <v>0</v>
      </c>
      <c r="BE3651">
        <v>0</v>
      </c>
      <c r="BF3651">
        <v>5</v>
      </c>
      <c r="BG3651">
        <v>0</v>
      </c>
    </row>
    <row r="3652" spans="1:59">
      <c r="A3652" s="1">
        <f>HYPERLINK("https://lsnyc.legalserver.org/matter/dynamic-profile/view/1907757","19-1907757")</f>
        <v>0</v>
      </c>
      <c r="B3652" t="s">
        <v>3038</v>
      </c>
      <c r="C3652" t="s">
        <v>7828</v>
      </c>
      <c r="D3652" t="s">
        <v>9928</v>
      </c>
      <c r="E3652" t="s">
        <v>10075</v>
      </c>
      <c r="F3652">
        <v>11213</v>
      </c>
      <c r="G3652" t="s">
        <v>10090</v>
      </c>
      <c r="H3652" t="s">
        <v>10141</v>
      </c>
      <c r="I3652" t="s">
        <v>10168</v>
      </c>
      <c r="J3652" t="s">
        <v>10210</v>
      </c>
      <c r="K3652" t="s">
        <v>10217</v>
      </c>
      <c r="M3652" t="s">
        <v>10336</v>
      </c>
      <c r="N3652" t="s">
        <v>10671</v>
      </c>
      <c r="P3652" t="s">
        <v>10754</v>
      </c>
      <c r="Q3652" t="s">
        <v>10771</v>
      </c>
      <c r="R3652" t="s">
        <v>10820</v>
      </c>
      <c r="T3652">
        <v>22520</v>
      </c>
      <c r="U3652">
        <v>1876.67</v>
      </c>
      <c r="V3652">
        <v>48</v>
      </c>
      <c r="W3652">
        <v>1</v>
      </c>
      <c r="X3652">
        <v>2</v>
      </c>
      <c r="Z3652">
        <v>105.58</v>
      </c>
      <c r="AA3652">
        <v>40.667431</v>
      </c>
      <c r="AB3652">
        <v>-73.928816</v>
      </c>
      <c r="AD3652" t="s">
        <v>10839</v>
      </c>
      <c r="AF3652" t="s">
        <v>10843</v>
      </c>
      <c r="AG3652" t="s">
        <v>10859</v>
      </c>
      <c r="AH3652" t="s">
        <v>10861</v>
      </c>
      <c r="AI3652">
        <v>234</v>
      </c>
      <c r="AJ3652" t="s">
        <v>10214</v>
      </c>
      <c r="AL3652">
        <v>6.7</v>
      </c>
      <c r="AM3652" t="s">
        <v>10888</v>
      </c>
      <c r="AN3652" t="s">
        <v>10922</v>
      </c>
      <c r="AO3652" t="s">
        <v>11005</v>
      </c>
      <c r="AP3652" t="s">
        <v>11064</v>
      </c>
      <c r="AR3652" t="s">
        <v>11282</v>
      </c>
      <c r="AS3652" t="s">
        <v>11595</v>
      </c>
      <c r="AX3652" t="s">
        <v>10838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</row>
    <row r="3653" spans="1:59">
      <c r="A3653" s="1">
        <f>HYPERLINK("https://lsnyc.legalserver.org/matter/dynamic-profile/view/1907758","19-1907758")</f>
        <v>0</v>
      </c>
      <c r="B3653" t="s">
        <v>3039</v>
      </c>
      <c r="C3653" t="s">
        <v>7829</v>
      </c>
      <c r="D3653" t="s">
        <v>9925</v>
      </c>
      <c r="E3653" t="s">
        <v>10075</v>
      </c>
      <c r="F3653">
        <v>10026</v>
      </c>
      <c r="G3653" t="s">
        <v>10089</v>
      </c>
      <c r="H3653" t="s">
        <v>10141</v>
      </c>
      <c r="I3653" t="s">
        <v>10168</v>
      </c>
      <c r="J3653" t="s">
        <v>10209</v>
      </c>
      <c r="K3653" t="s">
        <v>10217</v>
      </c>
      <c r="M3653" t="s">
        <v>10391</v>
      </c>
      <c r="N3653" t="s">
        <v>10702</v>
      </c>
      <c r="P3653" t="s">
        <v>10749</v>
      </c>
      <c r="Q3653" t="s">
        <v>10767</v>
      </c>
      <c r="R3653" t="s">
        <v>10824</v>
      </c>
      <c r="T3653">
        <v>600</v>
      </c>
      <c r="U3653">
        <v>50</v>
      </c>
      <c r="V3653">
        <v>40</v>
      </c>
      <c r="W3653">
        <v>2</v>
      </c>
      <c r="X3653">
        <v>3</v>
      </c>
      <c r="Z3653">
        <v>1.99</v>
      </c>
      <c r="AA3653">
        <v>40.800816</v>
      </c>
      <c r="AB3653">
        <v>-73.949775</v>
      </c>
      <c r="AD3653" t="s">
        <v>10839</v>
      </c>
      <c r="AG3653" t="s">
        <v>10858</v>
      </c>
      <c r="AH3653" t="s">
        <v>10862</v>
      </c>
      <c r="AI3653">
        <v>236</v>
      </c>
      <c r="AJ3653" t="s">
        <v>10209</v>
      </c>
      <c r="AL3653">
        <v>0</v>
      </c>
      <c r="AM3653" t="s">
        <v>10887</v>
      </c>
      <c r="AN3653" t="s">
        <v>10926</v>
      </c>
      <c r="AO3653" t="s">
        <v>11016</v>
      </c>
      <c r="AP3653" t="s">
        <v>11076</v>
      </c>
      <c r="AR3653" t="s">
        <v>11320</v>
      </c>
      <c r="AS3653" t="s">
        <v>9925</v>
      </c>
      <c r="AX3653" t="s">
        <v>10838</v>
      </c>
      <c r="BA3653" t="s">
        <v>11738</v>
      </c>
      <c r="BB3653">
        <v>0</v>
      </c>
      <c r="BC3653">
        <v>0</v>
      </c>
      <c r="BD3653">
        <v>0</v>
      </c>
      <c r="BE3653">
        <v>0</v>
      </c>
      <c r="BF3653">
        <v>5</v>
      </c>
      <c r="BG3653">
        <v>0</v>
      </c>
    </row>
    <row r="3654" spans="1:59">
      <c r="A3654" s="1">
        <f>HYPERLINK("https://lsnyc.legalserver.org/matter/dynamic-profile/view/1907759","19-1907759")</f>
        <v>0</v>
      </c>
      <c r="B3654" t="s">
        <v>3040</v>
      </c>
      <c r="C3654" t="s">
        <v>7830</v>
      </c>
      <c r="D3654" t="s">
        <v>9928</v>
      </c>
      <c r="E3654" t="s">
        <v>10075</v>
      </c>
      <c r="F3654">
        <v>11212</v>
      </c>
      <c r="G3654" t="s">
        <v>10093</v>
      </c>
      <c r="H3654" t="s">
        <v>10141</v>
      </c>
      <c r="I3654" t="s">
        <v>10168</v>
      </c>
      <c r="J3654" t="s">
        <v>10213</v>
      </c>
      <c r="K3654" t="s">
        <v>10217</v>
      </c>
      <c r="M3654" t="s">
        <v>10371</v>
      </c>
      <c r="N3654" t="s">
        <v>10650</v>
      </c>
      <c r="P3654" t="s">
        <v>10749</v>
      </c>
      <c r="Q3654" t="s">
        <v>10765</v>
      </c>
      <c r="R3654" t="s">
        <v>10824</v>
      </c>
      <c r="T3654">
        <v>10080</v>
      </c>
      <c r="U3654">
        <v>840</v>
      </c>
      <c r="V3654">
        <v>82</v>
      </c>
      <c r="W3654">
        <v>1</v>
      </c>
      <c r="X3654">
        <v>0</v>
      </c>
      <c r="Z3654">
        <v>80.7</v>
      </c>
      <c r="AA3654">
        <v>40.658891</v>
      </c>
      <c r="AB3654">
        <v>-73.920922</v>
      </c>
      <c r="AD3654" t="s">
        <v>10839</v>
      </c>
      <c r="AG3654" t="s">
        <v>10858</v>
      </c>
      <c r="AH3654" t="s">
        <v>10862</v>
      </c>
      <c r="AI3654">
        <v>239</v>
      </c>
      <c r="AJ3654" t="s">
        <v>10213</v>
      </c>
      <c r="AL3654">
        <v>81.90000000000001</v>
      </c>
      <c r="AM3654" t="s">
        <v>10888</v>
      </c>
      <c r="AN3654" t="s">
        <v>10925</v>
      </c>
      <c r="AO3654" t="s">
        <v>11005</v>
      </c>
      <c r="AP3654" t="s">
        <v>11064</v>
      </c>
      <c r="AR3654" t="s">
        <v>11263</v>
      </c>
      <c r="AS3654" t="s">
        <v>11595</v>
      </c>
      <c r="AT3654" t="s">
        <v>11641</v>
      </c>
      <c r="BA3654" t="s">
        <v>11740</v>
      </c>
      <c r="BB3654">
        <v>0</v>
      </c>
      <c r="BC3654">
        <v>0</v>
      </c>
      <c r="BD3654">
        <v>0</v>
      </c>
      <c r="BE3654">
        <v>0</v>
      </c>
      <c r="BF3654">
        <v>2</v>
      </c>
      <c r="BG3654">
        <v>0</v>
      </c>
    </row>
    <row r="3655" spans="1:59">
      <c r="A3655" s="1">
        <f>HYPERLINK("https://lsnyc.legalserver.org/matter/dynamic-profile/view/1907760","19-1907760")</f>
        <v>0</v>
      </c>
      <c r="B3655" t="s">
        <v>3041</v>
      </c>
      <c r="C3655" t="s">
        <v>7660</v>
      </c>
      <c r="D3655" t="s">
        <v>9928</v>
      </c>
      <c r="E3655" t="s">
        <v>10075</v>
      </c>
      <c r="F3655">
        <v>11207</v>
      </c>
      <c r="G3655" t="s">
        <v>10093</v>
      </c>
      <c r="H3655" t="s">
        <v>10141</v>
      </c>
      <c r="I3655" t="s">
        <v>10168</v>
      </c>
      <c r="J3655" t="s">
        <v>10213</v>
      </c>
      <c r="K3655" t="s">
        <v>10218</v>
      </c>
      <c r="L3655" t="s">
        <v>10223</v>
      </c>
      <c r="M3655" t="s">
        <v>10247</v>
      </c>
      <c r="N3655" t="s">
        <v>10657</v>
      </c>
      <c r="P3655" t="s">
        <v>10756</v>
      </c>
      <c r="Q3655" t="s">
        <v>10807</v>
      </c>
      <c r="R3655" t="s">
        <v>10824</v>
      </c>
      <c r="T3655">
        <v>37000</v>
      </c>
      <c r="U3655">
        <v>3083.33</v>
      </c>
      <c r="V3655">
        <v>54</v>
      </c>
      <c r="W3655">
        <v>2</v>
      </c>
      <c r="X3655">
        <v>0</v>
      </c>
      <c r="Y3655" t="s">
        <v>10829</v>
      </c>
      <c r="Z3655">
        <v>218.81</v>
      </c>
      <c r="AA3655">
        <v>40.65739</v>
      </c>
      <c r="AB3655">
        <v>-73.88724999999999</v>
      </c>
      <c r="AD3655" t="s">
        <v>10840</v>
      </c>
      <c r="AG3655" t="s">
        <v>10858</v>
      </c>
      <c r="AH3655" t="s">
        <v>10865</v>
      </c>
      <c r="AI3655">
        <v>239</v>
      </c>
      <c r="AJ3655" t="s">
        <v>10213</v>
      </c>
      <c r="AK3655" t="s">
        <v>10837</v>
      </c>
      <c r="AL3655">
        <v>1.3</v>
      </c>
      <c r="AM3655" t="s">
        <v>10889</v>
      </c>
      <c r="AN3655" t="s">
        <v>10946</v>
      </c>
      <c r="AO3655" t="s">
        <v>11012</v>
      </c>
      <c r="AP3655" t="s">
        <v>11060</v>
      </c>
      <c r="AR3655" t="s">
        <v>11257</v>
      </c>
      <c r="AS3655" t="s">
        <v>11595</v>
      </c>
      <c r="AY3655" t="s">
        <v>10829</v>
      </c>
      <c r="AZ3655" t="s">
        <v>11708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</row>
    <row r="3656" spans="1:59">
      <c r="A3656" s="1">
        <f>HYPERLINK("https://lsnyc.legalserver.org/matter/dynamic-profile/view/1907761","19-1907761")</f>
        <v>0</v>
      </c>
      <c r="B3656" t="s">
        <v>1454</v>
      </c>
      <c r="C3656" t="s">
        <v>6276</v>
      </c>
      <c r="D3656" t="s">
        <v>9926</v>
      </c>
      <c r="E3656" t="s">
        <v>10075</v>
      </c>
      <c r="F3656">
        <v>10467</v>
      </c>
      <c r="G3656" t="s">
        <v>10090</v>
      </c>
      <c r="H3656" t="s">
        <v>10141</v>
      </c>
      <c r="I3656" t="s">
        <v>10168</v>
      </c>
      <c r="J3656" t="s">
        <v>10210</v>
      </c>
      <c r="K3656" t="s">
        <v>10217</v>
      </c>
      <c r="M3656" t="s">
        <v>10406</v>
      </c>
      <c r="N3656" t="s">
        <v>10705</v>
      </c>
      <c r="P3656" t="s">
        <v>10757</v>
      </c>
      <c r="Q3656" t="s">
        <v>10797</v>
      </c>
      <c r="R3656" t="s">
        <v>10821</v>
      </c>
      <c r="T3656">
        <v>8240</v>
      </c>
      <c r="U3656">
        <v>686.67</v>
      </c>
      <c r="V3656">
        <v>29</v>
      </c>
      <c r="W3656">
        <v>1</v>
      </c>
      <c r="X3656">
        <v>0</v>
      </c>
      <c r="Z3656">
        <v>65.97</v>
      </c>
      <c r="AA3656">
        <v>40.860714</v>
      </c>
      <c r="AB3656">
        <v>-73.86795600000001</v>
      </c>
      <c r="AD3656" t="s">
        <v>10839</v>
      </c>
      <c r="AG3656" t="s">
        <v>10858</v>
      </c>
      <c r="AH3656" t="s">
        <v>10874</v>
      </c>
      <c r="AI3656">
        <v>230</v>
      </c>
      <c r="AJ3656" t="s">
        <v>10210</v>
      </c>
      <c r="AL3656">
        <v>6.25</v>
      </c>
      <c r="AR3656" t="s">
        <v>11262</v>
      </c>
      <c r="AS3656" t="s">
        <v>9926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</row>
    <row r="3657" spans="1:59">
      <c r="A3657" s="1">
        <f>HYPERLINK("https://lsnyc.legalserver.org/matter/dynamic-profile/view/1907762","19-1907762")</f>
        <v>0</v>
      </c>
      <c r="B3657" t="s">
        <v>3042</v>
      </c>
      <c r="C3657" t="s">
        <v>7831</v>
      </c>
      <c r="D3657" t="s">
        <v>9925</v>
      </c>
      <c r="E3657" t="s">
        <v>10075</v>
      </c>
      <c r="F3657">
        <v>10034</v>
      </c>
      <c r="G3657" t="s">
        <v>10089</v>
      </c>
      <c r="H3657" t="s">
        <v>10141</v>
      </c>
      <c r="I3657" t="s">
        <v>10168</v>
      </c>
      <c r="J3657" t="s">
        <v>10209</v>
      </c>
      <c r="K3657" t="s">
        <v>10218</v>
      </c>
      <c r="L3657" t="s">
        <v>10160</v>
      </c>
      <c r="M3657" t="s">
        <v>10442</v>
      </c>
      <c r="N3657" t="s">
        <v>10650</v>
      </c>
      <c r="P3657" t="s">
        <v>10749</v>
      </c>
      <c r="Q3657" t="s">
        <v>10765</v>
      </c>
      <c r="R3657" t="s">
        <v>10820</v>
      </c>
      <c r="T3657">
        <v>2160</v>
      </c>
      <c r="U3657">
        <v>180</v>
      </c>
      <c r="V3657">
        <v>51</v>
      </c>
      <c r="W3657">
        <v>1</v>
      </c>
      <c r="X3657">
        <v>0</v>
      </c>
      <c r="Y3657" t="s">
        <v>10829</v>
      </c>
      <c r="Z3657">
        <v>17.29</v>
      </c>
      <c r="AA3657">
        <v>40.866712</v>
      </c>
      <c r="AB3657">
        <v>-73.92566100000001</v>
      </c>
      <c r="AD3657" t="s">
        <v>10840</v>
      </c>
      <c r="AG3657" t="s">
        <v>10858</v>
      </c>
      <c r="AH3657" t="s">
        <v>10861</v>
      </c>
      <c r="AI3657">
        <v>236</v>
      </c>
      <c r="AJ3657" t="s">
        <v>10209</v>
      </c>
      <c r="AK3657" t="s">
        <v>10838</v>
      </c>
      <c r="AL3657">
        <v>2</v>
      </c>
      <c r="AM3657" t="s">
        <v>10887</v>
      </c>
      <c r="AN3657" t="s">
        <v>10937</v>
      </c>
      <c r="AO3657" t="s">
        <v>11019</v>
      </c>
      <c r="AP3657" t="s">
        <v>11074</v>
      </c>
      <c r="AR3657" t="s">
        <v>11255</v>
      </c>
      <c r="AS3657" t="s">
        <v>9925</v>
      </c>
      <c r="AY3657" t="s">
        <v>10829</v>
      </c>
      <c r="AZ3657" t="s">
        <v>11681</v>
      </c>
      <c r="BA3657" t="s">
        <v>11741</v>
      </c>
      <c r="BB3657">
        <v>0</v>
      </c>
      <c r="BC3657">
        <v>0</v>
      </c>
      <c r="BD3657">
        <v>0</v>
      </c>
      <c r="BE3657">
        <v>0</v>
      </c>
      <c r="BF3657">
        <v>1</v>
      </c>
      <c r="BG3657">
        <v>0</v>
      </c>
    </row>
    <row r="3658" spans="1:59">
      <c r="A3658" s="1">
        <f>HYPERLINK("https://lsnyc.legalserver.org/matter/dynamic-profile/view/1907764","19-1907764")</f>
        <v>0</v>
      </c>
      <c r="B3658" t="s">
        <v>3043</v>
      </c>
      <c r="C3658" t="s">
        <v>7832</v>
      </c>
      <c r="D3658" t="s">
        <v>9954</v>
      </c>
      <c r="E3658" t="s">
        <v>10075</v>
      </c>
      <c r="F3658">
        <v>11372</v>
      </c>
      <c r="G3658" t="s">
        <v>10092</v>
      </c>
      <c r="H3658" t="s">
        <v>10141</v>
      </c>
      <c r="I3658" t="s">
        <v>10168</v>
      </c>
      <c r="J3658" t="s">
        <v>10212</v>
      </c>
      <c r="K3658" t="s">
        <v>10218</v>
      </c>
      <c r="L3658" t="s">
        <v>10151</v>
      </c>
      <c r="M3658" t="s">
        <v>10340</v>
      </c>
      <c r="N3658" t="s">
        <v>10671</v>
      </c>
      <c r="P3658" t="s">
        <v>10751</v>
      </c>
      <c r="Q3658" t="s">
        <v>10768</v>
      </c>
      <c r="R3658" t="s">
        <v>10828</v>
      </c>
      <c r="T3658">
        <v>2574</v>
      </c>
      <c r="U3658">
        <v>214.5</v>
      </c>
      <c r="V3658">
        <v>51</v>
      </c>
      <c r="W3658">
        <v>1</v>
      </c>
      <c r="X3658">
        <v>0</v>
      </c>
      <c r="Y3658" t="s">
        <v>10829</v>
      </c>
      <c r="Z3658">
        <v>20.61</v>
      </c>
      <c r="AA3658">
        <v>40.748433</v>
      </c>
      <c r="AB3658">
        <v>-73.894255</v>
      </c>
      <c r="AD3658" t="s">
        <v>10840</v>
      </c>
      <c r="AG3658" t="s">
        <v>10858</v>
      </c>
      <c r="AH3658" t="s">
        <v>10871</v>
      </c>
      <c r="AI3658">
        <v>234</v>
      </c>
      <c r="AJ3658" t="s">
        <v>10214</v>
      </c>
      <c r="AK3658" t="s">
        <v>10838</v>
      </c>
      <c r="AL3658">
        <v>3.2</v>
      </c>
      <c r="AM3658" t="s">
        <v>10885</v>
      </c>
      <c r="AN3658" t="s">
        <v>10949</v>
      </c>
      <c r="AO3658" t="s">
        <v>11009</v>
      </c>
      <c r="AP3658" t="s">
        <v>11053</v>
      </c>
      <c r="AR3658" t="s">
        <v>11311</v>
      </c>
      <c r="AS3658" t="s">
        <v>11594</v>
      </c>
      <c r="AT3658" t="s">
        <v>11642</v>
      </c>
      <c r="AX3658" t="s">
        <v>10838</v>
      </c>
      <c r="AY3658" t="s">
        <v>10829</v>
      </c>
      <c r="AZ3658" t="s">
        <v>11682</v>
      </c>
      <c r="BA3658" t="s">
        <v>11741</v>
      </c>
      <c r="BB3658">
        <v>0</v>
      </c>
      <c r="BC3658">
        <v>0</v>
      </c>
      <c r="BD3658">
        <v>0</v>
      </c>
      <c r="BE3658">
        <v>0</v>
      </c>
      <c r="BF3658">
        <v>1</v>
      </c>
      <c r="BG3658">
        <v>0</v>
      </c>
    </row>
    <row r="3659" spans="1:59">
      <c r="A3659" s="1">
        <f>HYPERLINK("https://lsnyc.legalserver.org/matter/dynamic-profile/view/1907765","19-1907765")</f>
        <v>0</v>
      </c>
      <c r="B3659" t="s">
        <v>3044</v>
      </c>
      <c r="C3659" t="s">
        <v>7833</v>
      </c>
      <c r="D3659" t="s">
        <v>9926</v>
      </c>
      <c r="E3659" t="s">
        <v>10075</v>
      </c>
      <c r="F3659">
        <v>10459</v>
      </c>
      <c r="G3659" t="s">
        <v>10090</v>
      </c>
      <c r="H3659" t="s">
        <v>10141</v>
      </c>
      <c r="I3659" t="s">
        <v>10169</v>
      </c>
      <c r="J3659" t="s">
        <v>10210</v>
      </c>
      <c r="K3659" t="s">
        <v>10217</v>
      </c>
      <c r="M3659" t="s">
        <v>10603</v>
      </c>
      <c r="N3659" t="s">
        <v>10688</v>
      </c>
      <c r="P3659" t="s">
        <v>10755</v>
      </c>
      <c r="Q3659" t="s">
        <v>10772</v>
      </c>
      <c r="R3659" t="s">
        <v>10821</v>
      </c>
      <c r="T3659">
        <v>8796</v>
      </c>
      <c r="U3659">
        <v>733</v>
      </c>
      <c r="V3659">
        <v>16</v>
      </c>
      <c r="W3659">
        <v>1</v>
      </c>
      <c r="X3659">
        <v>1</v>
      </c>
      <c r="Z3659">
        <v>52.02</v>
      </c>
      <c r="AA3659">
        <v>40.818436</v>
      </c>
      <c r="AB3659">
        <v>-73.89346500000001</v>
      </c>
      <c r="AD3659" t="s">
        <v>10839</v>
      </c>
      <c r="AG3659" t="s">
        <v>10858</v>
      </c>
      <c r="AH3659" t="s">
        <v>10877</v>
      </c>
      <c r="AI3659">
        <v>230</v>
      </c>
      <c r="AJ3659" t="s">
        <v>10210</v>
      </c>
      <c r="AL3659">
        <v>4.1</v>
      </c>
      <c r="AM3659" t="s">
        <v>10884</v>
      </c>
      <c r="AN3659" t="s">
        <v>10968</v>
      </c>
      <c r="AO3659" t="s">
        <v>11001</v>
      </c>
      <c r="AP3659" t="s">
        <v>11062</v>
      </c>
      <c r="AR3659" t="s">
        <v>11263</v>
      </c>
      <c r="AS3659" t="s">
        <v>9926</v>
      </c>
      <c r="AT3659" t="s">
        <v>11641</v>
      </c>
      <c r="AX3659" t="s">
        <v>10838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</row>
    <row r="3660" spans="1:59">
      <c r="A3660" s="1">
        <f>HYPERLINK("https://lsnyc.legalserver.org/matter/dynamic-profile/view/1907766","19-1907766")</f>
        <v>0</v>
      </c>
      <c r="B3660" t="s">
        <v>2480</v>
      </c>
      <c r="C3660" t="s">
        <v>7834</v>
      </c>
      <c r="D3660" t="s">
        <v>9925</v>
      </c>
      <c r="E3660" t="s">
        <v>10075</v>
      </c>
      <c r="F3660">
        <v>10011</v>
      </c>
      <c r="G3660" t="s">
        <v>10093</v>
      </c>
      <c r="H3660" t="s">
        <v>10141</v>
      </c>
      <c r="I3660" t="s">
        <v>10168</v>
      </c>
      <c r="J3660" t="s">
        <v>10213</v>
      </c>
      <c r="K3660" t="s">
        <v>10218</v>
      </c>
      <c r="L3660" t="s">
        <v>10152</v>
      </c>
      <c r="M3660" t="s">
        <v>10436</v>
      </c>
      <c r="N3660" t="s">
        <v>10710</v>
      </c>
      <c r="P3660" t="s">
        <v>10750</v>
      </c>
      <c r="Q3660" t="s">
        <v>10760</v>
      </c>
      <c r="R3660" t="s">
        <v>10821</v>
      </c>
      <c r="T3660">
        <v>9252</v>
      </c>
      <c r="U3660">
        <v>771</v>
      </c>
      <c r="V3660">
        <v>62</v>
      </c>
      <c r="W3660">
        <v>1</v>
      </c>
      <c r="X3660">
        <v>0</v>
      </c>
      <c r="Y3660" t="s">
        <v>10829</v>
      </c>
      <c r="Z3660">
        <v>74.08</v>
      </c>
      <c r="AA3660">
        <v>40.742872</v>
      </c>
      <c r="AB3660">
        <v>-73.999944</v>
      </c>
      <c r="AD3660" t="s">
        <v>10839</v>
      </c>
      <c r="AG3660" t="s">
        <v>10858</v>
      </c>
      <c r="AH3660" t="s">
        <v>10861</v>
      </c>
      <c r="AI3660">
        <v>234</v>
      </c>
      <c r="AJ3660" t="s">
        <v>10214</v>
      </c>
      <c r="AK3660" t="s">
        <v>10838</v>
      </c>
      <c r="AL3660">
        <v>1.3</v>
      </c>
      <c r="AM3660" t="s">
        <v>10891</v>
      </c>
      <c r="AN3660" t="s">
        <v>10966</v>
      </c>
      <c r="AO3660" t="s">
        <v>11021</v>
      </c>
      <c r="AP3660" t="s">
        <v>11090</v>
      </c>
      <c r="AR3660" t="s">
        <v>11296</v>
      </c>
      <c r="AS3660" t="s">
        <v>9925</v>
      </c>
      <c r="AT3660" t="s">
        <v>11641</v>
      </c>
      <c r="AX3660" t="s">
        <v>10838</v>
      </c>
      <c r="AY3660" t="s">
        <v>10829</v>
      </c>
      <c r="AZ3660" t="s">
        <v>11679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</row>
    <row r="3661" spans="1:59">
      <c r="A3661" s="1">
        <f>HYPERLINK("https://lsnyc.legalserver.org/matter/dynamic-profile/view/1907767","19-1907767")</f>
        <v>0</v>
      </c>
      <c r="B3661" t="s">
        <v>3045</v>
      </c>
      <c r="C3661" t="s">
        <v>7830</v>
      </c>
      <c r="D3661" t="s">
        <v>9928</v>
      </c>
      <c r="E3661" t="s">
        <v>10075</v>
      </c>
      <c r="F3661">
        <v>11212</v>
      </c>
      <c r="G3661" t="s">
        <v>10093</v>
      </c>
      <c r="H3661" t="s">
        <v>10141</v>
      </c>
      <c r="I3661" t="s">
        <v>10168</v>
      </c>
      <c r="J3661" t="s">
        <v>10213</v>
      </c>
      <c r="K3661" t="s">
        <v>10217</v>
      </c>
      <c r="M3661" t="s">
        <v>10392</v>
      </c>
      <c r="N3661" t="s">
        <v>10650</v>
      </c>
      <c r="P3661" t="s">
        <v>10749</v>
      </c>
      <c r="Q3661" t="s">
        <v>10765</v>
      </c>
      <c r="R3661" t="s">
        <v>10824</v>
      </c>
      <c r="T3661">
        <v>9528</v>
      </c>
      <c r="U3661">
        <v>794</v>
      </c>
      <c r="V3661">
        <v>61</v>
      </c>
      <c r="W3661">
        <v>1</v>
      </c>
      <c r="X3661">
        <v>0</v>
      </c>
      <c r="Z3661">
        <v>76.29000000000001</v>
      </c>
      <c r="AA3661">
        <v>40.658891</v>
      </c>
      <c r="AB3661">
        <v>-73.920922</v>
      </c>
      <c r="AD3661" t="s">
        <v>10840</v>
      </c>
      <c r="AG3661" t="s">
        <v>10858</v>
      </c>
      <c r="AH3661" t="s">
        <v>10862</v>
      </c>
      <c r="AI3661">
        <v>239</v>
      </c>
      <c r="AJ3661" t="s">
        <v>10213</v>
      </c>
      <c r="AL3661">
        <v>0</v>
      </c>
      <c r="AM3661" t="s">
        <v>10888</v>
      </c>
      <c r="AN3661" t="s">
        <v>10925</v>
      </c>
      <c r="AO3661" t="s">
        <v>11005</v>
      </c>
      <c r="AP3661" t="s">
        <v>11064</v>
      </c>
      <c r="AR3661" t="s">
        <v>11263</v>
      </c>
      <c r="AS3661" t="s">
        <v>11595</v>
      </c>
      <c r="AT3661" t="s">
        <v>11642</v>
      </c>
      <c r="BA3661" t="s">
        <v>11740</v>
      </c>
      <c r="BB3661">
        <v>0</v>
      </c>
      <c r="BC3661">
        <v>0</v>
      </c>
      <c r="BD3661">
        <v>0</v>
      </c>
      <c r="BE3661">
        <v>0</v>
      </c>
      <c r="BF3661">
        <v>2</v>
      </c>
      <c r="BG3661">
        <v>0</v>
      </c>
    </row>
    <row r="3662" spans="1:59">
      <c r="A3662" s="1">
        <f>HYPERLINK("https://lsnyc.legalserver.org/matter/dynamic-profile/view/1907768","19-1907768")</f>
        <v>0</v>
      </c>
      <c r="B3662" t="s">
        <v>3046</v>
      </c>
      <c r="C3662" t="s">
        <v>7835</v>
      </c>
      <c r="D3662" t="s">
        <v>9926</v>
      </c>
      <c r="E3662" t="s">
        <v>10075</v>
      </c>
      <c r="F3662">
        <v>10454</v>
      </c>
      <c r="G3662" t="s">
        <v>10089</v>
      </c>
      <c r="H3662" t="s">
        <v>10113</v>
      </c>
      <c r="I3662" t="s">
        <v>10169</v>
      </c>
      <c r="J3662" t="s">
        <v>10209</v>
      </c>
      <c r="K3662" t="s">
        <v>10217</v>
      </c>
      <c r="M3662" t="s">
        <v>10302</v>
      </c>
      <c r="N3662" t="s">
        <v>10681</v>
      </c>
      <c r="P3662" t="s">
        <v>10753</v>
      </c>
      <c r="Q3662" t="s">
        <v>10763</v>
      </c>
      <c r="R3662" t="s">
        <v>10821</v>
      </c>
      <c r="T3662">
        <v>0</v>
      </c>
      <c r="U3662">
        <v>0</v>
      </c>
      <c r="V3662">
        <v>30</v>
      </c>
      <c r="W3662">
        <v>1</v>
      </c>
      <c r="X3662">
        <v>2</v>
      </c>
      <c r="Z3662">
        <v>0</v>
      </c>
      <c r="AA3662">
        <v>40.807382</v>
      </c>
      <c r="AB3662">
        <v>-73.91956399999999</v>
      </c>
      <c r="AD3662" t="s">
        <v>10839</v>
      </c>
      <c r="AF3662" t="s">
        <v>10842</v>
      </c>
      <c r="AG3662" t="s">
        <v>10859</v>
      </c>
      <c r="AH3662" t="s">
        <v>10865</v>
      </c>
      <c r="AI3662">
        <v>236</v>
      </c>
      <c r="AJ3662" t="s">
        <v>10209</v>
      </c>
      <c r="AL3662">
        <v>0</v>
      </c>
      <c r="AM3662" t="s">
        <v>10884</v>
      </c>
      <c r="AN3662" t="s">
        <v>10924</v>
      </c>
      <c r="AO3662" t="s">
        <v>11013</v>
      </c>
      <c r="AP3662" t="s">
        <v>11066</v>
      </c>
      <c r="AR3662" t="s">
        <v>11267</v>
      </c>
      <c r="AS3662" t="s">
        <v>9926</v>
      </c>
      <c r="AT3662" t="s">
        <v>11641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</row>
    <row r="3663" spans="1:59">
      <c r="A3663" s="1">
        <f>HYPERLINK("https://lsnyc.legalserver.org/matter/dynamic-profile/view/1907769","19-1907769")</f>
        <v>0</v>
      </c>
      <c r="B3663" t="s">
        <v>647</v>
      </c>
      <c r="C3663" t="s">
        <v>7830</v>
      </c>
      <c r="D3663" t="s">
        <v>9928</v>
      </c>
      <c r="E3663" t="s">
        <v>10075</v>
      </c>
      <c r="F3663">
        <v>11212</v>
      </c>
      <c r="G3663" t="s">
        <v>10093</v>
      </c>
      <c r="H3663" t="s">
        <v>10141</v>
      </c>
      <c r="I3663" t="s">
        <v>10168</v>
      </c>
      <c r="J3663" t="s">
        <v>10213</v>
      </c>
      <c r="K3663" t="s">
        <v>10217</v>
      </c>
      <c r="M3663" t="s">
        <v>10392</v>
      </c>
      <c r="N3663" t="s">
        <v>10650</v>
      </c>
      <c r="P3663" t="s">
        <v>10749</v>
      </c>
      <c r="Q3663" t="s">
        <v>10765</v>
      </c>
      <c r="R3663" t="s">
        <v>10824</v>
      </c>
      <c r="T3663">
        <v>9492</v>
      </c>
      <c r="U3663">
        <v>791</v>
      </c>
      <c r="V3663">
        <v>69</v>
      </c>
      <c r="W3663">
        <v>1</v>
      </c>
      <c r="X3663">
        <v>0</v>
      </c>
      <c r="Z3663">
        <v>76</v>
      </c>
      <c r="AA3663">
        <v>40.658891</v>
      </c>
      <c r="AB3663">
        <v>-73.920922</v>
      </c>
      <c r="AD3663" t="s">
        <v>10839</v>
      </c>
      <c r="AG3663" t="s">
        <v>10858</v>
      </c>
      <c r="AH3663" t="s">
        <v>10862</v>
      </c>
      <c r="AI3663">
        <v>239</v>
      </c>
      <c r="AJ3663" t="s">
        <v>10213</v>
      </c>
      <c r="AL3663">
        <v>0</v>
      </c>
      <c r="AM3663" t="s">
        <v>10888</v>
      </c>
      <c r="AN3663" t="s">
        <v>10925</v>
      </c>
      <c r="AO3663" t="s">
        <v>11005</v>
      </c>
      <c r="AP3663" t="s">
        <v>11064</v>
      </c>
      <c r="AR3663" t="s">
        <v>11338</v>
      </c>
      <c r="AS3663" t="s">
        <v>11595</v>
      </c>
      <c r="AT3663" t="s">
        <v>11641</v>
      </c>
      <c r="BA3663" t="s">
        <v>11740</v>
      </c>
      <c r="BB3663">
        <v>0</v>
      </c>
      <c r="BC3663">
        <v>0</v>
      </c>
      <c r="BD3663">
        <v>0</v>
      </c>
      <c r="BE3663">
        <v>0</v>
      </c>
      <c r="BF3663">
        <v>2</v>
      </c>
      <c r="BG3663">
        <v>0</v>
      </c>
    </row>
    <row r="3664" spans="1:59">
      <c r="A3664" s="1">
        <f>HYPERLINK("https://lsnyc.legalserver.org/matter/dynamic-profile/view/1907770","19-1907770")</f>
        <v>0</v>
      </c>
      <c r="B3664" t="s">
        <v>3047</v>
      </c>
      <c r="C3664" t="s">
        <v>7836</v>
      </c>
      <c r="D3664" t="s">
        <v>9928</v>
      </c>
      <c r="E3664" t="s">
        <v>10075</v>
      </c>
      <c r="F3664">
        <v>11216</v>
      </c>
      <c r="G3664" t="s">
        <v>10093</v>
      </c>
      <c r="H3664" t="s">
        <v>10141</v>
      </c>
      <c r="I3664" t="s">
        <v>10168</v>
      </c>
      <c r="J3664" t="s">
        <v>10213</v>
      </c>
      <c r="K3664" t="s">
        <v>10217</v>
      </c>
      <c r="M3664" t="s">
        <v>10361</v>
      </c>
      <c r="N3664" t="s">
        <v>10667</v>
      </c>
      <c r="P3664" t="s">
        <v>10749</v>
      </c>
      <c r="Q3664" t="s">
        <v>10765</v>
      </c>
      <c r="R3664" t="s">
        <v>10824</v>
      </c>
      <c r="T3664">
        <v>38372</v>
      </c>
      <c r="U3664">
        <v>3197.67</v>
      </c>
      <c r="V3664">
        <v>73</v>
      </c>
      <c r="W3664">
        <v>2</v>
      </c>
      <c r="X3664">
        <v>1</v>
      </c>
      <c r="Z3664">
        <v>179.9</v>
      </c>
      <c r="AA3664">
        <v>40.684389</v>
      </c>
      <c r="AB3664">
        <v>-73.955384</v>
      </c>
      <c r="AD3664" t="s">
        <v>10839</v>
      </c>
      <c r="AG3664" t="s">
        <v>10858</v>
      </c>
      <c r="AH3664" t="s">
        <v>10862</v>
      </c>
      <c r="AI3664">
        <v>239</v>
      </c>
      <c r="AJ3664" t="s">
        <v>10213</v>
      </c>
      <c r="AL3664">
        <v>7.8</v>
      </c>
      <c r="AM3664" t="s">
        <v>10889</v>
      </c>
      <c r="AN3664" t="s">
        <v>10923</v>
      </c>
      <c r="AO3664" t="s">
        <v>11007</v>
      </c>
      <c r="AP3664" t="s">
        <v>11052</v>
      </c>
      <c r="AQ3664" t="s">
        <v>11101</v>
      </c>
      <c r="AR3664" t="s">
        <v>11437</v>
      </c>
      <c r="AS3664" t="s">
        <v>11595</v>
      </c>
      <c r="BA3664" t="s">
        <v>11738</v>
      </c>
      <c r="BB3664">
        <v>0</v>
      </c>
      <c r="BC3664">
        <v>0</v>
      </c>
      <c r="BD3664">
        <v>0</v>
      </c>
      <c r="BE3664">
        <v>0</v>
      </c>
      <c r="BF3664">
        <v>5</v>
      </c>
      <c r="BG3664">
        <v>0</v>
      </c>
    </row>
    <row r="3665" spans="1:59">
      <c r="A3665" s="1">
        <f>HYPERLINK("https://lsnyc.legalserver.org/matter/dynamic-profile/view/1907771","19-1907771")</f>
        <v>0</v>
      </c>
      <c r="B3665" t="s">
        <v>3048</v>
      </c>
      <c r="C3665" t="s">
        <v>7837</v>
      </c>
      <c r="D3665" t="s">
        <v>9928</v>
      </c>
      <c r="E3665" t="s">
        <v>10075</v>
      </c>
      <c r="F3665">
        <v>11206</v>
      </c>
      <c r="G3665" t="s">
        <v>10093</v>
      </c>
      <c r="H3665" t="s">
        <v>10141</v>
      </c>
      <c r="I3665" t="s">
        <v>10168</v>
      </c>
      <c r="J3665" t="s">
        <v>10213</v>
      </c>
      <c r="K3665" t="s">
        <v>10217</v>
      </c>
      <c r="M3665" t="s">
        <v>10280</v>
      </c>
      <c r="N3665" t="s">
        <v>10656</v>
      </c>
      <c r="P3665" t="s">
        <v>10751</v>
      </c>
      <c r="Q3665" t="s">
        <v>10768</v>
      </c>
      <c r="R3665" t="s">
        <v>10824</v>
      </c>
      <c r="T3665">
        <v>0</v>
      </c>
      <c r="U3665">
        <v>0</v>
      </c>
      <c r="V3665">
        <v>42</v>
      </c>
      <c r="W3665">
        <v>1</v>
      </c>
      <c r="X3665">
        <v>2</v>
      </c>
      <c r="Z3665">
        <v>0</v>
      </c>
      <c r="AA3665">
        <v>40.705831</v>
      </c>
      <c r="AB3665">
        <v>-73.93979400000001</v>
      </c>
      <c r="AD3665" t="s">
        <v>10839</v>
      </c>
      <c r="AG3665" t="s">
        <v>10858</v>
      </c>
      <c r="AH3665" t="s">
        <v>10871</v>
      </c>
      <c r="AI3665">
        <v>234</v>
      </c>
      <c r="AJ3665" t="s">
        <v>10214</v>
      </c>
      <c r="AL3665">
        <v>3.5</v>
      </c>
      <c r="AM3665" t="s">
        <v>10886</v>
      </c>
      <c r="AN3665" t="s">
        <v>10942</v>
      </c>
      <c r="AO3665" t="s">
        <v>11011</v>
      </c>
      <c r="AP3665" t="s">
        <v>11071</v>
      </c>
      <c r="AR3665" t="s">
        <v>11279</v>
      </c>
      <c r="AS3665" t="s">
        <v>11595</v>
      </c>
      <c r="AT3665" t="s">
        <v>11641</v>
      </c>
      <c r="AX3665" t="s">
        <v>10838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</row>
    <row r="3666" spans="1:59">
      <c r="A3666" s="1">
        <f>HYPERLINK("https://lsnyc.legalserver.org/matter/dynamic-profile/view/1907772","19-1907772")</f>
        <v>0</v>
      </c>
      <c r="B3666" t="s">
        <v>2531</v>
      </c>
      <c r="C3666" t="s">
        <v>7309</v>
      </c>
      <c r="D3666" t="s">
        <v>9926</v>
      </c>
      <c r="E3666" t="s">
        <v>10075</v>
      </c>
      <c r="F3666">
        <v>10457</v>
      </c>
      <c r="G3666" t="s">
        <v>10090</v>
      </c>
      <c r="H3666" t="s">
        <v>10141</v>
      </c>
      <c r="I3666" t="s">
        <v>10168</v>
      </c>
      <c r="J3666" t="s">
        <v>10210</v>
      </c>
      <c r="K3666" t="s">
        <v>10217</v>
      </c>
      <c r="M3666" t="s">
        <v>10303</v>
      </c>
      <c r="N3666" t="s">
        <v>10688</v>
      </c>
      <c r="P3666" t="s">
        <v>10757</v>
      </c>
      <c r="Q3666" t="s">
        <v>10789</v>
      </c>
      <c r="R3666" t="s">
        <v>10824</v>
      </c>
      <c r="T3666">
        <v>6000</v>
      </c>
      <c r="U3666">
        <v>500</v>
      </c>
      <c r="V3666">
        <v>59</v>
      </c>
      <c r="W3666">
        <v>1</v>
      </c>
      <c r="X3666">
        <v>0</v>
      </c>
      <c r="Z3666">
        <v>48.04</v>
      </c>
      <c r="AA3666">
        <v>40.853791</v>
      </c>
      <c r="AB3666">
        <v>-73.89463600000001</v>
      </c>
      <c r="AD3666" t="s">
        <v>10840</v>
      </c>
      <c r="AG3666" t="s">
        <v>10858</v>
      </c>
      <c r="AH3666" t="s">
        <v>10862</v>
      </c>
      <c r="AI3666">
        <v>230</v>
      </c>
      <c r="AJ3666" t="s">
        <v>10210</v>
      </c>
      <c r="AL3666">
        <v>2.6</v>
      </c>
      <c r="AR3666" t="s">
        <v>11257</v>
      </c>
      <c r="AS3666" t="s">
        <v>9926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</row>
    <row r="3667" spans="1:59">
      <c r="A3667" s="1">
        <f>HYPERLINK("https://lsnyc.legalserver.org/matter/dynamic-profile/view/1907773","19-1907773")</f>
        <v>0</v>
      </c>
      <c r="B3667" t="s">
        <v>3047</v>
      </c>
      <c r="C3667" t="s">
        <v>7836</v>
      </c>
      <c r="D3667" t="s">
        <v>9928</v>
      </c>
      <c r="E3667" t="s">
        <v>10075</v>
      </c>
      <c r="F3667">
        <v>11216</v>
      </c>
      <c r="G3667" t="s">
        <v>10093</v>
      </c>
      <c r="H3667" t="s">
        <v>10141</v>
      </c>
      <c r="I3667" t="s">
        <v>10168</v>
      </c>
      <c r="J3667" t="s">
        <v>10213</v>
      </c>
      <c r="K3667" t="s">
        <v>10217</v>
      </c>
      <c r="M3667" t="s">
        <v>10361</v>
      </c>
      <c r="N3667" t="s">
        <v>10668</v>
      </c>
      <c r="P3667" t="s">
        <v>10751</v>
      </c>
      <c r="Q3667" t="s">
        <v>10761</v>
      </c>
      <c r="R3667" t="s">
        <v>10824</v>
      </c>
      <c r="T3667">
        <v>38372</v>
      </c>
      <c r="U3667">
        <v>3197.67</v>
      </c>
      <c r="V3667">
        <v>73</v>
      </c>
      <c r="W3667">
        <v>2</v>
      </c>
      <c r="X3667">
        <v>1</v>
      </c>
      <c r="Z3667">
        <v>179.9</v>
      </c>
      <c r="AA3667">
        <v>40.684389</v>
      </c>
      <c r="AB3667">
        <v>-73.955384</v>
      </c>
      <c r="AD3667" t="s">
        <v>10839</v>
      </c>
      <c r="AG3667" t="s">
        <v>10858</v>
      </c>
      <c r="AH3667" t="s">
        <v>10862</v>
      </c>
      <c r="AI3667">
        <v>239</v>
      </c>
      <c r="AJ3667" t="s">
        <v>10213</v>
      </c>
      <c r="AL3667">
        <v>0</v>
      </c>
      <c r="AM3667" t="s">
        <v>10889</v>
      </c>
      <c r="AN3667" t="s">
        <v>10923</v>
      </c>
      <c r="AO3667" t="s">
        <v>11007</v>
      </c>
      <c r="AP3667" t="s">
        <v>11052</v>
      </c>
      <c r="AR3667" t="s">
        <v>11437</v>
      </c>
      <c r="AS3667" t="s">
        <v>11595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</row>
    <row r="3668" spans="1:59">
      <c r="A3668" s="1">
        <f>HYPERLINK("https://lsnyc.legalserver.org/matter/dynamic-profile/view/1907774","19-1907774")</f>
        <v>0</v>
      </c>
      <c r="B3668" t="s">
        <v>3049</v>
      </c>
      <c r="C3668" t="s">
        <v>7830</v>
      </c>
      <c r="D3668" t="s">
        <v>9928</v>
      </c>
      <c r="E3668" t="s">
        <v>10075</v>
      </c>
      <c r="F3668">
        <v>11212</v>
      </c>
      <c r="G3668" t="s">
        <v>10093</v>
      </c>
      <c r="H3668" t="s">
        <v>10141</v>
      </c>
      <c r="I3668" t="s">
        <v>10168</v>
      </c>
      <c r="J3668" t="s">
        <v>10213</v>
      </c>
      <c r="K3668" t="s">
        <v>10217</v>
      </c>
      <c r="M3668" t="s">
        <v>10392</v>
      </c>
      <c r="N3668" t="s">
        <v>10650</v>
      </c>
      <c r="P3668" t="s">
        <v>10749</v>
      </c>
      <c r="Q3668" t="s">
        <v>10765</v>
      </c>
      <c r="R3668" t="s">
        <v>10824</v>
      </c>
      <c r="T3668">
        <v>843</v>
      </c>
      <c r="U3668">
        <v>70.25</v>
      </c>
      <c r="V3668">
        <v>55</v>
      </c>
      <c r="W3668">
        <v>2</v>
      </c>
      <c r="X3668">
        <v>0</v>
      </c>
      <c r="Z3668">
        <v>4.99</v>
      </c>
      <c r="AA3668">
        <v>40.658891</v>
      </c>
      <c r="AB3668">
        <v>-73.920922</v>
      </c>
      <c r="AD3668" t="s">
        <v>10839</v>
      </c>
      <c r="AG3668" t="s">
        <v>10858</v>
      </c>
      <c r="AH3668" t="s">
        <v>10862</v>
      </c>
      <c r="AI3668">
        <v>239</v>
      </c>
      <c r="AJ3668" t="s">
        <v>10213</v>
      </c>
      <c r="AL3668">
        <v>0</v>
      </c>
      <c r="AM3668" t="s">
        <v>10888</v>
      </c>
      <c r="AN3668" t="s">
        <v>10925</v>
      </c>
      <c r="AO3668" t="s">
        <v>11005</v>
      </c>
      <c r="AP3668" t="s">
        <v>11064</v>
      </c>
      <c r="AR3668" t="s">
        <v>11263</v>
      </c>
      <c r="AS3668" t="s">
        <v>11595</v>
      </c>
      <c r="AT3668" t="s">
        <v>11641</v>
      </c>
      <c r="BA3668" t="s">
        <v>11740</v>
      </c>
      <c r="BB3668">
        <v>0</v>
      </c>
      <c r="BC3668">
        <v>0</v>
      </c>
      <c r="BD3668">
        <v>0</v>
      </c>
      <c r="BE3668">
        <v>0</v>
      </c>
      <c r="BF3668">
        <v>2</v>
      </c>
      <c r="BG3668">
        <v>0</v>
      </c>
    </row>
    <row r="3669" spans="1:59">
      <c r="A3669" s="1">
        <f>HYPERLINK("https://lsnyc.legalserver.org/matter/dynamic-profile/view/1907775","19-1907775")</f>
        <v>0</v>
      </c>
      <c r="B3669" t="s">
        <v>2555</v>
      </c>
      <c r="C3669" t="s">
        <v>7336</v>
      </c>
      <c r="D3669" t="s">
        <v>9925</v>
      </c>
      <c r="E3669" t="s">
        <v>10075</v>
      </c>
      <c r="F3669">
        <v>10034</v>
      </c>
      <c r="G3669" t="s">
        <v>10089</v>
      </c>
      <c r="H3669" t="s">
        <v>10141</v>
      </c>
      <c r="I3669" t="s">
        <v>10169</v>
      </c>
      <c r="J3669" t="s">
        <v>10209</v>
      </c>
      <c r="K3669" t="s">
        <v>10218</v>
      </c>
      <c r="L3669" t="s">
        <v>10159</v>
      </c>
      <c r="M3669" t="s">
        <v>10604</v>
      </c>
      <c r="N3669" t="s">
        <v>10650</v>
      </c>
      <c r="P3669" t="s">
        <v>10751</v>
      </c>
      <c r="Q3669" t="s">
        <v>10776</v>
      </c>
      <c r="R3669" t="s">
        <v>10821</v>
      </c>
      <c r="T3669">
        <v>20400</v>
      </c>
      <c r="U3669">
        <v>1700</v>
      </c>
      <c r="V3669">
        <v>64</v>
      </c>
      <c r="W3669">
        <v>1</v>
      </c>
      <c r="X3669">
        <v>0</v>
      </c>
      <c r="Y3669" t="s">
        <v>10829</v>
      </c>
      <c r="Z3669">
        <v>163.33</v>
      </c>
      <c r="AA3669">
        <v>40.86633</v>
      </c>
      <c r="AB3669">
        <v>-73.93021299999999</v>
      </c>
      <c r="AD3669" t="s">
        <v>10839</v>
      </c>
      <c r="AG3669" t="s">
        <v>10858</v>
      </c>
      <c r="AH3669" t="s">
        <v>10862</v>
      </c>
      <c r="AI3669">
        <v>236</v>
      </c>
      <c r="AJ3669" t="s">
        <v>10209</v>
      </c>
      <c r="AK3669" t="s">
        <v>10838</v>
      </c>
      <c r="AL3669">
        <v>0.8</v>
      </c>
      <c r="AM3669" t="s">
        <v>10887</v>
      </c>
      <c r="AN3669" t="s">
        <v>10937</v>
      </c>
      <c r="AO3669" t="s">
        <v>11019</v>
      </c>
      <c r="AP3669" t="s">
        <v>11074</v>
      </c>
      <c r="AR3669" t="s">
        <v>11268</v>
      </c>
      <c r="AS3669" t="s">
        <v>9925</v>
      </c>
      <c r="AY3669" t="s">
        <v>10829</v>
      </c>
      <c r="AZ3669" t="s">
        <v>11682</v>
      </c>
      <c r="BA3669" t="s">
        <v>11741</v>
      </c>
      <c r="BB3669">
        <v>0</v>
      </c>
      <c r="BC3669">
        <v>0</v>
      </c>
      <c r="BD3669">
        <v>0</v>
      </c>
      <c r="BE3669">
        <v>0</v>
      </c>
      <c r="BF3669">
        <v>1</v>
      </c>
      <c r="BG3669">
        <v>0</v>
      </c>
    </row>
    <row r="3670" spans="1:59">
      <c r="A3670" s="1">
        <f>HYPERLINK("https://lsnyc.legalserver.org/matter/dynamic-profile/view/1907776","19-1907776")</f>
        <v>0</v>
      </c>
      <c r="B3670" t="s">
        <v>3050</v>
      </c>
      <c r="C3670" t="s">
        <v>7838</v>
      </c>
      <c r="D3670" t="s">
        <v>9926</v>
      </c>
      <c r="E3670" t="s">
        <v>10075</v>
      </c>
      <c r="F3670">
        <v>10452</v>
      </c>
      <c r="G3670" t="s">
        <v>10090</v>
      </c>
      <c r="H3670" t="s">
        <v>10141</v>
      </c>
      <c r="I3670" t="s">
        <v>10168</v>
      </c>
      <c r="J3670" t="s">
        <v>10210</v>
      </c>
      <c r="K3670" t="s">
        <v>10217</v>
      </c>
      <c r="M3670" t="s">
        <v>10406</v>
      </c>
      <c r="N3670" t="s">
        <v>10688</v>
      </c>
      <c r="P3670" t="s">
        <v>10751</v>
      </c>
      <c r="Q3670" t="s">
        <v>10761</v>
      </c>
      <c r="R3670" t="s">
        <v>10822</v>
      </c>
      <c r="T3670">
        <v>13000</v>
      </c>
      <c r="U3670">
        <v>1083.33</v>
      </c>
      <c r="V3670">
        <v>28</v>
      </c>
      <c r="W3670">
        <v>1</v>
      </c>
      <c r="X3670">
        <v>0</v>
      </c>
      <c r="Z3670">
        <v>104.08</v>
      </c>
      <c r="AA3670">
        <v>40.831255</v>
      </c>
      <c r="AB3670">
        <v>-73.930171</v>
      </c>
      <c r="AD3670" t="s">
        <v>10839</v>
      </c>
      <c r="AG3670" t="s">
        <v>10858</v>
      </c>
      <c r="AH3670" t="s">
        <v>10862</v>
      </c>
      <c r="AI3670">
        <v>230</v>
      </c>
      <c r="AJ3670" t="s">
        <v>10210</v>
      </c>
      <c r="AL3670">
        <v>2.45</v>
      </c>
      <c r="AM3670" t="s">
        <v>10884</v>
      </c>
      <c r="AN3670" t="s">
        <v>10924</v>
      </c>
      <c r="AO3670" t="s">
        <v>11013</v>
      </c>
      <c r="AP3670" t="s">
        <v>11066</v>
      </c>
      <c r="AR3670" t="s">
        <v>11257</v>
      </c>
      <c r="AS3670" t="s">
        <v>9926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</row>
    <row r="3671" spans="1:59">
      <c r="A3671" s="1">
        <f>HYPERLINK("https://lsnyc.legalserver.org/matter/dynamic-profile/view/1907777","19-1907777")</f>
        <v>0</v>
      </c>
      <c r="B3671" t="s">
        <v>3051</v>
      </c>
      <c r="C3671" t="s">
        <v>7839</v>
      </c>
      <c r="D3671" t="s">
        <v>9928</v>
      </c>
      <c r="E3671" t="s">
        <v>10075</v>
      </c>
      <c r="F3671">
        <v>11207</v>
      </c>
      <c r="G3671" t="s">
        <v>10093</v>
      </c>
      <c r="H3671" t="s">
        <v>10141</v>
      </c>
      <c r="I3671" t="s">
        <v>10169</v>
      </c>
      <c r="J3671" t="s">
        <v>10213</v>
      </c>
      <c r="K3671" t="s">
        <v>10217</v>
      </c>
      <c r="M3671" t="s">
        <v>10420</v>
      </c>
      <c r="N3671" t="s">
        <v>10657</v>
      </c>
      <c r="P3671" t="s">
        <v>10754</v>
      </c>
      <c r="Q3671" t="s">
        <v>10775</v>
      </c>
      <c r="R3671" t="s">
        <v>10821</v>
      </c>
      <c r="T3671">
        <v>13644</v>
      </c>
      <c r="U3671">
        <v>1137</v>
      </c>
      <c r="V3671">
        <v>66</v>
      </c>
      <c r="W3671">
        <v>1</v>
      </c>
      <c r="X3671">
        <v>0</v>
      </c>
      <c r="Z3671">
        <v>109.24</v>
      </c>
      <c r="AA3671">
        <v>40.669026</v>
      </c>
      <c r="AB3671">
        <v>-73.887877</v>
      </c>
      <c r="AD3671" t="s">
        <v>10839</v>
      </c>
      <c r="AG3671" t="s">
        <v>10858</v>
      </c>
      <c r="AH3671" t="s">
        <v>10865</v>
      </c>
      <c r="AI3671">
        <v>239</v>
      </c>
      <c r="AJ3671" t="s">
        <v>10213</v>
      </c>
      <c r="AL3671">
        <v>1.5</v>
      </c>
      <c r="AM3671" t="s">
        <v>10889</v>
      </c>
      <c r="AN3671" t="s">
        <v>10946</v>
      </c>
      <c r="AO3671" t="s">
        <v>11011</v>
      </c>
      <c r="AP3671" t="s">
        <v>11060</v>
      </c>
      <c r="AR3671" t="s">
        <v>11263</v>
      </c>
      <c r="AS3671" t="s">
        <v>11595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</row>
    <row r="3672" spans="1:59">
      <c r="A3672" s="1">
        <f>HYPERLINK("https://lsnyc.legalserver.org/matter/dynamic-profile/view/1907779","19-1907779")</f>
        <v>0</v>
      </c>
      <c r="B3672" t="s">
        <v>3052</v>
      </c>
      <c r="C3672" t="s">
        <v>7840</v>
      </c>
      <c r="D3672" t="s">
        <v>9982</v>
      </c>
      <c r="E3672" t="s">
        <v>10075</v>
      </c>
      <c r="F3672">
        <v>11375</v>
      </c>
      <c r="G3672" t="s">
        <v>10092</v>
      </c>
      <c r="H3672" t="s">
        <v>10141</v>
      </c>
      <c r="I3672" t="s">
        <v>10168</v>
      </c>
      <c r="J3672" t="s">
        <v>10212</v>
      </c>
      <c r="K3672" t="s">
        <v>10217</v>
      </c>
      <c r="M3672" t="s">
        <v>10502</v>
      </c>
      <c r="N3672" t="s">
        <v>10671</v>
      </c>
      <c r="P3672" t="s">
        <v>10755</v>
      </c>
      <c r="Q3672" t="s">
        <v>10772</v>
      </c>
      <c r="R3672" t="s">
        <v>10822</v>
      </c>
      <c r="T3672">
        <v>18000</v>
      </c>
      <c r="U3672">
        <v>1500</v>
      </c>
      <c r="V3672">
        <v>3</v>
      </c>
      <c r="W3672">
        <v>2</v>
      </c>
      <c r="X3672">
        <v>2</v>
      </c>
      <c r="Z3672">
        <v>69.90000000000001</v>
      </c>
      <c r="AA3672">
        <v>40.731999</v>
      </c>
      <c r="AB3672">
        <v>-73.852155</v>
      </c>
      <c r="AD3672" t="s">
        <v>10840</v>
      </c>
      <c r="AG3672" t="s">
        <v>10858</v>
      </c>
      <c r="AH3672" t="s">
        <v>10861</v>
      </c>
      <c r="AI3672">
        <v>234</v>
      </c>
      <c r="AJ3672" t="s">
        <v>10214</v>
      </c>
      <c r="AL3672">
        <v>0.8</v>
      </c>
      <c r="AM3672" t="s">
        <v>10890</v>
      </c>
      <c r="AN3672" t="s">
        <v>10962</v>
      </c>
      <c r="AO3672" t="s">
        <v>11009</v>
      </c>
      <c r="AP3672" t="s">
        <v>11083</v>
      </c>
      <c r="AR3672" t="s">
        <v>11318</v>
      </c>
      <c r="AS3672" t="s">
        <v>11594</v>
      </c>
      <c r="AT3672" t="s">
        <v>11642</v>
      </c>
      <c r="AX3672" t="s">
        <v>10838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</row>
    <row r="3673" spans="1:59">
      <c r="A3673" s="1">
        <f>HYPERLINK("https://lsnyc.legalserver.org/matter/dynamic-profile/view/1907780","19-1907780")</f>
        <v>0</v>
      </c>
      <c r="B3673" t="s">
        <v>3053</v>
      </c>
      <c r="C3673" t="s">
        <v>7841</v>
      </c>
      <c r="D3673" t="s">
        <v>9926</v>
      </c>
      <c r="E3673" t="s">
        <v>10075</v>
      </c>
      <c r="F3673">
        <v>10459</v>
      </c>
      <c r="G3673" t="s">
        <v>10090</v>
      </c>
      <c r="H3673" t="s">
        <v>10141</v>
      </c>
      <c r="I3673" t="s">
        <v>10168</v>
      </c>
      <c r="J3673" t="s">
        <v>10210</v>
      </c>
      <c r="K3673" t="s">
        <v>10217</v>
      </c>
      <c r="M3673" t="s">
        <v>10597</v>
      </c>
      <c r="N3673" t="s">
        <v>10671</v>
      </c>
      <c r="P3673" t="s">
        <v>10751</v>
      </c>
      <c r="Q3673" t="s">
        <v>10761</v>
      </c>
      <c r="R3673" t="s">
        <v>10820</v>
      </c>
      <c r="T3673">
        <v>10200</v>
      </c>
      <c r="U3673">
        <v>850</v>
      </c>
      <c r="V3673">
        <v>35</v>
      </c>
      <c r="W3673">
        <v>1</v>
      </c>
      <c r="X3673">
        <v>0</v>
      </c>
      <c r="Z3673">
        <v>81.67</v>
      </c>
      <c r="AA3673">
        <v>40.827344</v>
      </c>
      <c r="AB3673">
        <v>-73.891555</v>
      </c>
      <c r="AD3673" t="s">
        <v>10840</v>
      </c>
      <c r="AG3673" t="s">
        <v>10858</v>
      </c>
      <c r="AH3673" t="s">
        <v>10861</v>
      </c>
      <c r="AI3673">
        <v>234</v>
      </c>
      <c r="AJ3673" t="s">
        <v>10214</v>
      </c>
      <c r="AL3673">
        <v>3.55</v>
      </c>
      <c r="AR3673" t="s">
        <v>11274</v>
      </c>
      <c r="AS3673" t="s">
        <v>9926</v>
      </c>
      <c r="AT3673" t="s">
        <v>11642</v>
      </c>
      <c r="AX3673" t="s">
        <v>10838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</row>
    <row r="3674" spans="1:59">
      <c r="A3674" s="1">
        <f>HYPERLINK("https://lsnyc.legalserver.org/matter/dynamic-profile/view/1907781","19-1907781")</f>
        <v>0</v>
      </c>
      <c r="B3674" t="s">
        <v>3054</v>
      </c>
      <c r="C3674" t="s">
        <v>7842</v>
      </c>
      <c r="D3674" t="s">
        <v>9928</v>
      </c>
      <c r="E3674" t="s">
        <v>10075</v>
      </c>
      <c r="F3674">
        <v>11233</v>
      </c>
      <c r="G3674" t="s">
        <v>10093</v>
      </c>
      <c r="H3674" t="s">
        <v>10141</v>
      </c>
      <c r="I3674" t="s">
        <v>10168</v>
      </c>
      <c r="J3674" t="s">
        <v>10213</v>
      </c>
      <c r="K3674" t="s">
        <v>10217</v>
      </c>
      <c r="M3674" t="s">
        <v>10556</v>
      </c>
      <c r="N3674" t="s">
        <v>10650</v>
      </c>
      <c r="P3674" t="s">
        <v>10749</v>
      </c>
      <c r="Q3674" t="s">
        <v>10765</v>
      </c>
      <c r="R3674" t="s">
        <v>10824</v>
      </c>
      <c r="T3674">
        <v>20000</v>
      </c>
      <c r="U3674">
        <v>1666.67</v>
      </c>
      <c r="V3674">
        <v>31</v>
      </c>
      <c r="W3674">
        <v>1</v>
      </c>
      <c r="X3674">
        <v>0</v>
      </c>
      <c r="Z3674">
        <v>160.13</v>
      </c>
      <c r="AA3674">
        <v>40.685178</v>
      </c>
      <c r="AB3674">
        <v>-73.923467</v>
      </c>
      <c r="AD3674" t="s">
        <v>10839</v>
      </c>
      <c r="AG3674" t="s">
        <v>10858</v>
      </c>
      <c r="AH3674" t="s">
        <v>10862</v>
      </c>
      <c r="AI3674">
        <v>239</v>
      </c>
      <c r="AJ3674" t="s">
        <v>10213</v>
      </c>
      <c r="AL3674">
        <v>2.75</v>
      </c>
      <c r="AM3674" t="s">
        <v>10889</v>
      </c>
      <c r="AN3674" t="s">
        <v>10914</v>
      </c>
      <c r="AO3674" t="s">
        <v>11007</v>
      </c>
      <c r="AP3674" t="s">
        <v>11064</v>
      </c>
      <c r="AR3674" t="s">
        <v>10180</v>
      </c>
      <c r="AS3674" t="s">
        <v>11595</v>
      </c>
      <c r="AT3674" t="s">
        <v>11641</v>
      </c>
      <c r="AX3674" t="s">
        <v>10838</v>
      </c>
      <c r="BA3674" t="s">
        <v>11741</v>
      </c>
      <c r="BB3674">
        <v>0</v>
      </c>
      <c r="BC3674">
        <v>0</v>
      </c>
      <c r="BD3674">
        <v>0</v>
      </c>
      <c r="BE3674">
        <v>0</v>
      </c>
      <c r="BF3674">
        <v>1</v>
      </c>
      <c r="BG3674">
        <v>0</v>
      </c>
    </row>
    <row r="3675" spans="1:59">
      <c r="A3675" s="1">
        <f>HYPERLINK("https://lsnyc.legalserver.org/matter/dynamic-profile/view/1907782","19-1907782")</f>
        <v>0</v>
      </c>
      <c r="B3675" t="s">
        <v>3055</v>
      </c>
      <c r="C3675" t="s">
        <v>7843</v>
      </c>
      <c r="D3675" t="s">
        <v>9928</v>
      </c>
      <c r="E3675" t="s">
        <v>10075</v>
      </c>
      <c r="F3675">
        <v>11201</v>
      </c>
      <c r="G3675" t="s">
        <v>10093</v>
      </c>
      <c r="H3675" t="s">
        <v>10141</v>
      </c>
      <c r="I3675" t="s">
        <v>10168</v>
      </c>
      <c r="J3675" t="s">
        <v>10213</v>
      </c>
      <c r="K3675" t="s">
        <v>10217</v>
      </c>
      <c r="M3675" t="s">
        <v>10539</v>
      </c>
      <c r="N3675" t="s">
        <v>10664</v>
      </c>
      <c r="P3675" t="s">
        <v>10749</v>
      </c>
      <c r="Q3675" t="s">
        <v>10765</v>
      </c>
      <c r="R3675" t="s">
        <v>10820</v>
      </c>
      <c r="T3675">
        <v>0</v>
      </c>
      <c r="U3675">
        <v>0</v>
      </c>
      <c r="V3675">
        <v>53</v>
      </c>
      <c r="W3675">
        <v>1</v>
      </c>
      <c r="X3675">
        <v>0</v>
      </c>
      <c r="Z3675">
        <v>0</v>
      </c>
      <c r="AA3675">
        <v>40.689859</v>
      </c>
      <c r="AB3675">
        <v>-73.989711</v>
      </c>
      <c r="AD3675" t="s">
        <v>10839</v>
      </c>
      <c r="AG3675" t="s">
        <v>10858</v>
      </c>
      <c r="AH3675" t="s">
        <v>10861</v>
      </c>
      <c r="AI3675">
        <v>239</v>
      </c>
      <c r="AJ3675" t="s">
        <v>10213</v>
      </c>
      <c r="AL3675">
        <v>1</v>
      </c>
      <c r="AM3675" t="s">
        <v>10886</v>
      </c>
      <c r="AN3675" t="s">
        <v>10917</v>
      </c>
      <c r="AO3675" t="s">
        <v>11007</v>
      </c>
      <c r="AP3675" t="s">
        <v>11054</v>
      </c>
      <c r="AR3675" t="s">
        <v>11267</v>
      </c>
      <c r="AS3675" t="s">
        <v>11595</v>
      </c>
      <c r="BA3675" t="s">
        <v>11741</v>
      </c>
      <c r="BB3675">
        <v>0</v>
      </c>
      <c r="BC3675">
        <v>0</v>
      </c>
      <c r="BD3675">
        <v>0</v>
      </c>
      <c r="BE3675">
        <v>0</v>
      </c>
      <c r="BF3675">
        <v>1</v>
      </c>
      <c r="BG3675">
        <v>0</v>
      </c>
    </row>
    <row r="3676" spans="1:59">
      <c r="A3676" s="1">
        <f>HYPERLINK("https://lsnyc.legalserver.org/matter/dynamic-profile/view/1907783","19-1907783")</f>
        <v>0</v>
      </c>
      <c r="B3676" t="s">
        <v>3056</v>
      </c>
      <c r="C3676" t="s">
        <v>7844</v>
      </c>
      <c r="D3676" t="s">
        <v>9928</v>
      </c>
      <c r="E3676" t="s">
        <v>10075</v>
      </c>
      <c r="F3676">
        <v>11216</v>
      </c>
      <c r="G3676" t="s">
        <v>10093</v>
      </c>
      <c r="H3676" t="s">
        <v>10141</v>
      </c>
      <c r="I3676" t="s">
        <v>10168</v>
      </c>
      <c r="J3676" t="s">
        <v>10213</v>
      </c>
      <c r="K3676" t="s">
        <v>10218</v>
      </c>
      <c r="L3676" t="s">
        <v>10111</v>
      </c>
      <c r="M3676" t="s">
        <v>10580</v>
      </c>
      <c r="N3676" t="s">
        <v>10657</v>
      </c>
      <c r="P3676" t="s">
        <v>10756</v>
      </c>
      <c r="Q3676" t="s">
        <v>10802</v>
      </c>
      <c r="R3676" t="s">
        <v>10824</v>
      </c>
      <c r="T3676">
        <v>27632</v>
      </c>
      <c r="U3676">
        <v>2302.67</v>
      </c>
      <c r="V3676">
        <v>66</v>
      </c>
      <c r="W3676">
        <v>1</v>
      </c>
      <c r="X3676">
        <v>0</v>
      </c>
      <c r="Y3676" t="s">
        <v>10829</v>
      </c>
      <c r="Z3676">
        <v>221.23</v>
      </c>
      <c r="AA3676">
        <v>40.688923</v>
      </c>
      <c r="AB3676">
        <v>-73.950723</v>
      </c>
      <c r="AD3676" t="s">
        <v>10839</v>
      </c>
      <c r="AG3676" t="s">
        <v>10858</v>
      </c>
      <c r="AH3676" t="s">
        <v>10861</v>
      </c>
      <c r="AI3676">
        <v>239</v>
      </c>
      <c r="AJ3676" t="s">
        <v>10213</v>
      </c>
      <c r="AK3676" t="s">
        <v>10882</v>
      </c>
      <c r="AL3676">
        <v>1.25</v>
      </c>
      <c r="AM3676" t="s">
        <v>10889</v>
      </c>
      <c r="AN3676" t="s">
        <v>10914</v>
      </c>
      <c r="AO3676" t="s">
        <v>11007</v>
      </c>
      <c r="AP3676" t="s">
        <v>11052</v>
      </c>
      <c r="AR3676" t="s">
        <v>11287</v>
      </c>
      <c r="AS3676" t="s">
        <v>11595</v>
      </c>
      <c r="AY3676" t="s">
        <v>10829</v>
      </c>
      <c r="AZ3676" t="s">
        <v>11708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</row>
    <row r="3677" spans="1:59">
      <c r="A3677" s="1">
        <f>HYPERLINK("https://lsnyc.legalserver.org/matter/dynamic-profile/view/1907784","19-1907784")</f>
        <v>0</v>
      </c>
      <c r="B3677" t="s">
        <v>2986</v>
      </c>
      <c r="C3677" t="s">
        <v>7780</v>
      </c>
      <c r="D3677" t="s">
        <v>9928</v>
      </c>
      <c r="E3677" t="s">
        <v>10075</v>
      </c>
      <c r="F3677">
        <v>11223</v>
      </c>
      <c r="G3677" t="s">
        <v>10093</v>
      </c>
      <c r="H3677" t="s">
        <v>10141</v>
      </c>
      <c r="I3677" t="s">
        <v>10168</v>
      </c>
      <c r="J3677" t="s">
        <v>10213</v>
      </c>
      <c r="K3677" t="s">
        <v>10218</v>
      </c>
      <c r="L3677" t="s">
        <v>10143</v>
      </c>
      <c r="M3677" t="s">
        <v>10435</v>
      </c>
      <c r="N3677" t="s">
        <v>10665</v>
      </c>
      <c r="P3677" t="s">
        <v>10750</v>
      </c>
      <c r="Q3677" t="s">
        <v>10779</v>
      </c>
      <c r="R3677" t="s">
        <v>10824</v>
      </c>
      <c r="T3677">
        <v>28800</v>
      </c>
      <c r="U3677">
        <v>2400</v>
      </c>
      <c r="V3677">
        <v>63</v>
      </c>
      <c r="W3677">
        <v>2</v>
      </c>
      <c r="X3677">
        <v>0</v>
      </c>
      <c r="Y3677" t="s">
        <v>10829</v>
      </c>
      <c r="Z3677">
        <v>170.31</v>
      </c>
      <c r="AA3677">
        <v>40.592794</v>
      </c>
      <c r="AB3677">
        <v>-73.97955899999999</v>
      </c>
      <c r="AD3677" t="s">
        <v>10839</v>
      </c>
      <c r="AG3677" t="s">
        <v>10858</v>
      </c>
      <c r="AH3677" t="s">
        <v>10876</v>
      </c>
      <c r="AI3677">
        <v>239</v>
      </c>
      <c r="AJ3677" t="s">
        <v>10213</v>
      </c>
      <c r="AK3677" t="s">
        <v>10838</v>
      </c>
      <c r="AL3677">
        <v>2.5</v>
      </c>
      <c r="AR3677" t="s">
        <v>11257</v>
      </c>
      <c r="AS3677" t="s">
        <v>11595</v>
      </c>
      <c r="AY3677" t="s">
        <v>10829</v>
      </c>
      <c r="AZ3677" t="s">
        <v>11679</v>
      </c>
      <c r="BA3677" t="s">
        <v>11741</v>
      </c>
      <c r="BB3677">
        <v>0</v>
      </c>
      <c r="BC3677">
        <v>0</v>
      </c>
      <c r="BD3677">
        <v>0</v>
      </c>
      <c r="BE3677">
        <v>0</v>
      </c>
      <c r="BF3677">
        <v>1</v>
      </c>
      <c r="BG3677">
        <v>0</v>
      </c>
    </row>
    <row r="3678" spans="1:59">
      <c r="A3678" s="1">
        <f>HYPERLINK("https://lsnyc.legalserver.org/matter/dynamic-profile/view/1907786","19-1907786")</f>
        <v>0</v>
      </c>
      <c r="B3678" t="s">
        <v>3057</v>
      </c>
      <c r="C3678" t="s">
        <v>7845</v>
      </c>
      <c r="D3678" t="s">
        <v>9928</v>
      </c>
      <c r="E3678" t="s">
        <v>10075</v>
      </c>
      <c r="F3678">
        <v>11208</v>
      </c>
      <c r="G3678" t="s">
        <v>10093</v>
      </c>
      <c r="H3678" t="s">
        <v>10141</v>
      </c>
      <c r="I3678" t="s">
        <v>10168</v>
      </c>
      <c r="J3678" t="s">
        <v>10213</v>
      </c>
      <c r="K3678" t="s">
        <v>10218</v>
      </c>
      <c r="L3678" t="s">
        <v>10155</v>
      </c>
      <c r="M3678" t="s">
        <v>10405</v>
      </c>
      <c r="N3678" t="s">
        <v>10650</v>
      </c>
      <c r="P3678" t="s">
        <v>10749</v>
      </c>
      <c r="Q3678" t="s">
        <v>10765</v>
      </c>
      <c r="R3678" t="s">
        <v>10825</v>
      </c>
      <c r="T3678">
        <v>37000</v>
      </c>
      <c r="U3678">
        <v>3083.33</v>
      </c>
      <c r="V3678">
        <v>46</v>
      </c>
      <c r="W3678">
        <v>2</v>
      </c>
      <c r="X3678">
        <v>3</v>
      </c>
      <c r="Y3678" t="s">
        <v>10829</v>
      </c>
      <c r="Z3678">
        <v>122.64</v>
      </c>
      <c r="AA3678">
        <v>40.674391</v>
      </c>
      <c r="AB3678">
        <v>-73.86710600000001</v>
      </c>
      <c r="AD3678" t="s">
        <v>10840</v>
      </c>
      <c r="AG3678" t="s">
        <v>10858</v>
      </c>
      <c r="AH3678" t="s">
        <v>10861</v>
      </c>
      <c r="AI3678">
        <v>234</v>
      </c>
      <c r="AJ3678" t="s">
        <v>10214</v>
      </c>
      <c r="AK3678" t="s">
        <v>10838</v>
      </c>
      <c r="AL3678">
        <v>0.6</v>
      </c>
      <c r="AM3678" t="s">
        <v>10889</v>
      </c>
      <c r="AN3678" t="s">
        <v>10946</v>
      </c>
      <c r="AO3678" t="s">
        <v>11012</v>
      </c>
      <c r="AP3678" t="s">
        <v>11060</v>
      </c>
      <c r="AR3678" t="s">
        <v>11257</v>
      </c>
      <c r="AS3678" t="s">
        <v>11595</v>
      </c>
      <c r="AT3678" t="s">
        <v>11642</v>
      </c>
      <c r="AX3678" t="s">
        <v>10838</v>
      </c>
      <c r="AY3678" t="s">
        <v>10829</v>
      </c>
      <c r="AZ3678" t="s">
        <v>11681</v>
      </c>
      <c r="BA3678" t="s">
        <v>11741</v>
      </c>
      <c r="BB3678">
        <v>0</v>
      </c>
      <c r="BC3678">
        <v>0</v>
      </c>
      <c r="BD3678">
        <v>0</v>
      </c>
      <c r="BE3678">
        <v>0</v>
      </c>
      <c r="BF3678">
        <v>1</v>
      </c>
      <c r="BG3678">
        <v>0</v>
      </c>
    </row>
    <row r="3679" spans="1:59">
      <c r="A3679" s="1">
        <f>HYPERLINK("https://lsnyc.legalserver.org/matter/dynamic-profile/view/1907788","19-1907788")</f>
        <v>0</v>
      </c>
      <c r="B3679" t="s">
        <v>3058</v>
      </c>
      <c r="C3679" t="s">
        <v>7846</v>
      </c>
      <c r="D3679" t="s">
        <v>9925</v>
      </c>
      <c r="E3679" t="s">
        <v>10075</v>
      </c>
      <c r="F3679">
        <v>10029</v>
      </c>
      <c r="G3679" t="s">
        <v>10089</v>
      </c>
      <c r="H3679" t="s">
        <v>10141</v>
      </c>
      <c r="I3679" t="s">
        <v>10169</v>
      </c>
      <c r="J3679" t="s">
        <v>10209</v>
      </c>
      <c r="K3679" t="s">
        <v>10217</v>
      </c>
      <c r="M3679" t="s">
        <v>10488</v>
      </c>
      <c r="N3679" t="s">
        <v>10673</v>
      </c>
      <c r="P3679" t="s">
        <v>10753</v>
      </c>
      <c r="Q3679" t="s">
        <v>10763</v>
      </c>
      <c r="R3679" t="s">
        <v>10821</v>
      </c>
      <c r="T3679">
        <v>20800</v>
      </c>
      <c r="U3679">
        <v>1733.33</v>
      </c>
      <c r="V3679">
        <v>52</v>
      </c>
      <c r="W3679">
        <v>2</v>
      </c>
      <c r="X3679">
        <v>0</v>
      </c>
      <c r="Z3679">
        <v>123</v>
      </c>
      <c r="AA3679">
        <v>40.790105</v>
      </c>
      <c r="AB3679">
        <v>-73.943628</v>
      </c>
      <c r="AD3679" t="s">
        <v>10840</v>
      </c>
      <c r="AF3679" t="s">
        <v>10843</v>
      </c>
      <c r="AG3679" t="s">
        <v>10859</v>
      </c>
      <c r="AH3679" t="s">
        <v>10864</v>
      </c>
      <c r="AI3679">
        <v>236</v>
      </c>
      <c r="AJ3679" t="s">
        <v>10209</v>
      </c>
      <c r="AL3679">
        <v>9.75</v>
      </c>
      <c r="AM3679" t="s">
        <v>10887</v>
      </c>
      <c r="AN3679" t="s">
        <v>10926</v>
      </c>
      <c r="AO3679" t="s">
        <v>11013</v>
      </c>
      <c r="AP3679" t="s">
        <v>11066</v>
      </c>
      <c r="AQ3679" t="s">
        <v>11158</v>
      </c>
      <c r="AR3679" t="s">
        <v>11351</v>
      </c>
      <c r="AS3679" t="s">
        <v>9925</v>
      </c>
      <c r="BA3679" t="s">
        <v>11739</v>
      </c>
      <c r="BB3679">
        <v>0</v>
      </c>
      <c r="BC3679">
        <v>0</v>
      </c>
      <c r="BD3679">
        <v>0</v>
      </c>
      <c r="BE3679">
        <v>0</v>
      </c>
      <c r="BF3679">
        <v>4</v>
      </c>
      <c r="BG3679">
        <v>0</v>
      </c>
    </row>
    <row r="3680" spans="1:59">
      <c r="A3680" s="1">
        <f>HYPERLINK("https://lsnyc.legalserver.org/matter/dynamic-profile/view/1907789","19-1907789")</f>
        <v>0</v>
      </c>
      <c r="B3680" t="s">
        <v>3059</v>
      </c>
      <c r="C3680" t="s">
        <v>7847</v>
      </c>
      <c r="D3680" t="s">
        <v>9954</v>
      </c>
      <c r="E3680" t="s">
        <v>10075</v>
      </c>
      <c r="F3680">
        <v>11372</v>
      </c>
      <c r="G3680" t="s">
        <v>10092</v>
      </c>
      <c r="H3680" t="s">
        <v>10141</v>
      </c>
      <c r="I3680" t="s">
        <v>10179</v>
      </c>
      <c r="J3680" t="s">
        <v>10212</v>
      </c>
      <c r="K3680" t="s">
        <v>10217</v>
      </c>
      <c r="M3680" t="s">
        <v>10340</v>
      </c>
      <c r="N3680" t="s">
        <v>10671</v>
      </c>
      <c r="O3680" t="s">
        <v>10656</v>
      </c>
      <c r="P3680" t="s">
        <v>10751</v>
      </c>
      <c r="Q3680" t="s">
        <v>10780</v>
      </c>
      <c r="R3680" t="s">
        <v>10827</v>
      </c>
      <c r="T3680">
        <v>0</v>
      </c>
      <c r="U3680">
        <v>0</v>
      </c>
      <c r="V3680">
        <v>31</v>
      </c>
      <c r="W3680">
        <v>1</v>
      </c>
      <c r="X3680">
        <v>0</v>
      </c>
      <c r="Z3680">
        <v>0</v>
      </c>
      <c r="AA3680">
        <v>40.751329</v>
      </c>
      <c r="AB3680">
        <v>-73.873451</v>
      </c>
      <c r="AD3680" t="s">
        <v>10840</v>
      </c>
      <c r="AG3680" t="s">
        <v>10858</v>
      </c>
      <c r="AH3680" t="s">
        <v>10861</v>
      </c>
      <c r="AI3680">
        <v>234</v>
      </c>
      <c r="AJ3680" t="s">
        <v>10214</v>
      </c>
      <c r="AL3680">
        <v>5.8</v>
      </c>
      <c r="AM3680" t="s">
        <v>10885</v>
      </c>
      <c r="AN3680" t="s">
        <v>10909</v>
      </c>
      <c r="AO3680" t="s">
        <v>11014</v>
      </c>
      <c r="AP3680" t="s">
        <v>11053</v>
      </c>
      <c r="AR3680" t="s">
        <v>11279</v>
      </c>
      <c r="AS3680" t="s">
        <v>11594</v>
      </c>
      <c r="AT3680" t="s">
        <v>11642</v>
      </c>
      <c r="AX3680" t="s">
        <v>10838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</row>
    <row r="3681" spans="1:59">
      <c r="A3681" s="1">
        <f>HYPERLINK("https://lsnyc.legalserver.org/matter/dynamic-profile/view/1907790","19-1907790")</f>
        <v>0</v>
      </c>
      <c r="B3681" t="s">
        <v>3060</v>
      </c>
      <c r="C3681" t="s">
        <v>7830</v>
      </c>
      <c r="D3681" t="s">
        <v>9928</v>
      </c>
      <c r="E3681" t="s">
        <v>10075</v>
      </c>
      <c r="F3681">
        <v>11212</v>
      </c>
      <c r="G3681" t="s">
        <v>10093</v>
      </c>
      <c r="H3681" t="s">
        <v>10141</v>
      </c>
      <c r="I3681" t="s">
        <v>10168</v>
      </c>
      <c r="J3681" t="s">
        <v>10213</v>
      </c>
      <c r="K3681" t="s">
        <v>10217</v>
      </c>
      <c r="M3681" t="s">
        <v>10392</v>
      </c>
      <c r="N3681" t="s">
        <v>10650</v>
      </c>
      <c r="P3681" t="s">
        <v>10749</v>
      </c>
      <c r="Q3681" t="s">
        <v>10765</v>
      </c>
      <c r="R3681" t="s">
        <v>10822</v>
      </c>
      <c r="T3681">
        <v>11628</v>
      </c>
      <c r="U3681">
        <v>969</v>
      </c>
      <c r="V3681">
        <v>52</v>
      </c>
      <c r="W3681">
        <v>1</v>
      </c>
      <c r="X3681">
        <v>0</v>
      </c>
      <c r="Z3681">
        <v>93.09999999999999</v>
      </c>
      <c r="AA3681">
        <v>40.658891</v>
      </c>
      <c r="AB3681">
        <v>-73.920922</v>
      </c>
      <c r="AD3681" t="s">
        <v>10839</v>
      </c>
      <c r="AG3681" t="s">
        <v>10858</v>
      </c>
      <c r="AH3681" t="s">
        <v>10862</v>
      </c>
      <c r="AI3681">
        <v>239</v>
      </c>
      <c r="AJ3681" t="s">
        <v>10213</v>
      </c>
      <c r="AL3681">
        <v>0</v>
      </c>
      <c r="AM3681" t="s">
        <v>10888</v>
      </c>
      <c r="AN3681" t="s">
        <v>10925</v>
      </c>
      <c r="AO3681" t="s">
        <v>11005</v>
      </c>
      <c r="AP3681" t="s">
        <v>11064</v>
      </c>
      <c r="AR3681" t="s">
        <v>11392</v>
      </c>
      <c r="AS3681" t="s">
        <v>11595</v>
      </c>
      <c r="AT3681" t="s">
        <v>11641</v>
      </c>
      <c r="BA3681" t="s">
        <v>11740</v>
      </c>
      <c r="BB3681">
        <v>0</v>
      </c>
      <c r="BC3681">
        <v>0</v>
      </c>
      <c r="BD3681">
        <v>0</v>
      </c>
      <c r="BE3681">
        <v>0</v>
      </c>
      <c r="BF3681">
        <v>2</v>
      </c>
      <c r="BG3681">
        <v>0</v>
      </c>
    </row>
    <row r="3682" spans="1:59">
      <c r="A3682" s="1">
        <f>HYPERLINK("https://lsnyc.legalserver.org/matter/dynamic-profile/view/1907792","19-1907792")</f>
        <v>0</v>
      </c>
      <c r="B3682" t="s">
        <v>3061</v>
      </c>
      <c r="C3682" t="s">
        <v>7830</v>
      </c>
      <c r="D3682" t="s">
        <v>9928</v>
      </c>
      <c r="E3682" t="s">
        <v>10075</v>
      </c>
      <c r="F3682">
        <v>11212</v>
      </c>
      <c r="G3682" t="s">
        <v>10093</v>
      </c>
      <c r="H3682" t="s">
        <v>10141</v>
      </c>
      <c r="I3682" t="s">
        <v>10168</v>
      </c>
      <c r="J3682" t="s">
        <v>10213</v>
      </c>
      <c r="K3682" t="s">
        <v>10217</v>
      </c>
      <c r="M3682" t="s">
        <v>10392</v>
      </c>
      <c r="N3682" t="s">
        <v>10650</v>
      </c>
      <c r="P3682" t="s">
        <v>10749</v>
      </c>
      <c r="Q3682" t="s">
        <v>10765</v>
      </c>
      <c r="R3682" t="s">
        <v>10824</v>
      </c>
      <c r="T3682">
        <v>33000</v>
      </c>
      <c r="U3682">
        <v>2750</v>
      </c>
      <c r="V3682">
        <v>62</v>
      </c>
      <c r="W3682">
        <v>1</v>
      </c>
      <c r="X3682">
        <v>0</v>
      </c>
      <c r="Z3682">
        <v>264.21</v>
      </c>
      <c r="AA3682">
        <v>40.658891</v>
      </c>
      <c r="AB3682">
        <v>-73.920922</v>
      </c>
      <c r="AC3682" t="s">
        <v>10837</v>
      </c>
      <c r="AD3682" t="s">
        <v>10840</v>
      </c>
      <c r="AG3682" t="s">
        <v>10858</v>
      </c>
      <c r="AH3682" t="s">
        <v>10862</v>
      </c>
      <c r="AI3682">
        <v>239</v>
      </c>
      <c r="AJ3682" t="s">
        <v>10213</v>
      </c>
      <c r="AL3682">
        <v>0</v>
      </c>
      <c r="AM3682" t="s">
        <v>10888</v>
      </c>
      <c r="AN3682" t="s">
        <v>10925</v>
      </c>
      <c r="AO3682" t="s">
        <v>11005</v>
      </c>
      <c r="AP3682" t="s">
        <v>11064</v>
      </c>
      <c r="AR3682" t="s">
        <v>11257</v>
      </c>
      <c r="AS3682" t="s">
        <v>11595</v>
      </c>
      <c r="AT3682" t="s">
        <v>11642</v>
      </c>
      <c r="BA3682" t="s">
        <v>11740</v>
      </c>
      <c r="BB3682">
        <v>0</v>
      </c>
      <c r="BC3682">
        <v>0</v>
      </c>
      <c r="BD3682">
        <v>0</v>
      </c>
      <c r="BE3682">
        <v>0</v>
      </c>
      <c r="BF3682">
        <v>2</v>
      </c>
      <c r="BG3682">
        <v>0</v>
      </c>
    </row>
    <row r="3683" spans="1:59">
      <c r="A3683" s="1">
        <f>HYPERLINK("https://lsnyc.legalserver.org/matter/dynamic-profile/view/1907793","19-1907793")</f>
        <v>0</v>
      </c>
      <c r="B3683" t="s">
        <v>3062</v>
      </c>
      <c r="C3683" t="s">
        <v>7848</v>
      </c>
      <c r="D3683" t="s">
        <v>9951</v>
      </c>
      <c r="E3683" t="s">
        <v>10075</v>
      </c>
      <c r="F3683">
        <v>11417</v>
      </c>
      <c r="G3683" t="s">
        <v>10092</v>
      </c>
      <c r="H3683" t="s">
        <v>10141</v>
      </c>
      <c r="I3683" t="s">
        <v>10168</v>
      </c>
      <c r="J3683" t="s">
        <v>10212</v>
      </c>
      <c r="K3683" t="s">
        <v>10217</v>
      </c>
      <c r="M3683" t="s">
        <v>10311</v>
      </c>
      <c r="N3683" t="s">
        <v>10684</v>
      </c>
      <c r="P3683" t="s">
        <v>10751</v>
      </c>
      <c r="Q3683" t="s">
        <v>10786</v>
      </c>
      <c r="R3683" t="s">
        <v>10827</v>
      </c>
      <c r="T3683">
        <v>0</v>
      </c>
      <c r="U3683">
        <v>0</v>
      </c>
      <c r="V3683">
        <v>60</v>
      </c>
      <c r="W3683">
        <v>1</v>
      </c>
      <c r="X3683">
        <v>0</v>
      </c>
      <c r="Z3683">
        <v>0</v>
      </c>
      <c r="AA3683">
        <v>40.676449</v>
      </c>
      <c r="AB3683">
        <v>-73.838399</v>
      </c>
      <c r="AD3683" t="s">
        <v>10839</v>
      </c>
      <c r="AF3683" t="s">
        <v>10843</v>
      </c>
      <c r="AG3683" t="s">
        <v>10859</v>
      </c>
      <c r="AH3683" t="s">
        <v>10873</v>
      </c>
      <c r="AI3683">
        <v>237</v>
      </c>
      <c r="AJ3683" t="s">
        <v>10212</v>
      </c>
      <c r="AL3683">
        <v>2.5</v>
      </c>
      <c r="AM3683" t="s">
        <v>10889</v>
      </c>
      <c r="AN3683" t="s">
        <v>10958</v>
      </c>
      <c r="AO3683" t="s">
        <v>11024</v>
      </c>
      <c r="AP3683" t="s">
        <v>11088</v>
      </c>
      <c r="AR3683" t="s">
        <v>11267</v>
      </c>
      <c r="AS3683" t="s">
        <v>11594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</row>
    <row r="3684" spans="1:59">
      <c r="A3684" s="1">
        <f>HYPERLINK("https://lsnyc.legalserver.org/matter/dynamic-profile/view/1907794","19-1907794")</f>
        <v>0</v>
      </c>
      <c r="B3684" t="s">
        <v>3063</v>
      </c>
      <c r="C3684" t="s">
        <v>7849</v>
      </c>
      <c r="D3684" t="s">
        <v>9928</v>
      </c>
      <c r="E3684" t="s">
        <v>10075</v>
      </c>
      <c r="F3684">
        <v>11217</v>
      </c>
      <c r="G3684" t="s">
        <v>10091</v>
      </c>
      <c r="H3684" t="s">
        <v>10141</v>
      </c>
      <c r="I3684" t="s">
        <v>10168</v>
      </c>
      <c r="J3684" t="s">
        <v>10214</v>
      </c>
      <c r="K3684" t="s">
        <v>10217</v>
      </c>
      <c r="M3684" t="s">
        <v>10290</v>
      </c>
      <c r="N3684" t="s">
        <v>10665</v>
      </c>
      <c r="P3684" t="s">
        <v>10751</v>
      </c>
      <c r="Q3684" t="s">
        <v>10773</v>
      </c>
      <c r="R3684" t="s">
        <v>10824</v>
      </c>
      <c r="T3684">
        <v>23400</v>
      </c>
      <c r="U3684">
        <v>1950</v>
      </c>
      <c r="V3684">
        <v>45</v>
      </c>
      <c r="W3684">
        <v>1</v>
      </c>
      <c r="X3684">
        <v>0</v>
      </c>
      <c r="Z3684">
        <v>187.35</v>
      </c>
      <c r="AA3684">
        <v>40.681912</v>
      </c>
      <c r="AB3684">
        <v>-73.97538299999999</v>
      </c>
      <c r="AD3684" t="s">
        <v>10839</v>
      </c>
      <c r="AG3684" t="s">
        <v>10858</v>
      </c>
      <c r="AH3684" t="s">
        <v>10871</v>
      </c>
      <c r="AI3684">
        <v>234</v>
      </c>
      <c r="AJ3684" t="s">
        <v>10214</v>
      </c>
      <c r="AL3684">
        <v>1.5</v>
      </c>
      <c r="AM3684" t="s">
        <v>10888</v>
      </c>
      <c r="AN3684" t="s">
        <v>10923</v>
      </c>
      <c r="AO3684" t="s">
        <v>11007</v>
      </c>
      <c r="AP3684" t="s">
        <v>11061</v>
      </c>
      <c r="AR3684" t="s">
        <v>11257</v>
      </c>
      <c r="AS3684" t="s">
        <v>11595</v>
      </c>
      <c r="AT3684" t="s">
        <v>11641</v>
      </c>
      <c r="AX3684" t="s">
        <v>10838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</row>
    <row r="3685" spans="1:59">
      <c r="A3685" s="1">
        <f>HYPERLINK("https://lsnyc.legalserver.org/matter/dynamic-profile/view/1907795","19-1907795")</f>
        <v>0</v>
      </c>
      <c r="B3685" t="s">
        <v>3064</v>
      </c>
      <c r="C3685" t="s">
        <v>7850</v>
      </c>
      <c r="D3685" t="s">
        <v>9928</v>
      </c>
      <c r="E3685" t="s">
        <v>10075</v>
      </c>
      <c r="F3685">
        <v>11221</v>
      </c>
      <c r="G3685" t="s">
        <v>10093</v>
      </c>
      <c r="H3685" t="s">
        <v>10141</v>
      </c>
      <c r="I3685" t="s">
        <v>10168</v>
      </c>
      <c r="J3685" t="s">
        <v>10213</v>
      </c>
      <c r="K3685" t="s">
        <v>10217</v>
      </c>
      <c r="M3685" t="s">
        <v>10245</v>
      </c>
      <c r="N3685" t="s">
        <v>10667</v>
      </c>
      <c r="P3685" t="s">
        <v>10749</v>
      </c>
      <c r="Q3685" t="s">
        <v>10767</v>
      </c>
      <c r="R3685" t="s">
        <v>10824</v>
      </c>
      <c r="T3685">
        <v>42000</v>
      </c>
      <c r="U3685">
        <v>3500</v>
      </c>
      <c r="V3685">
        <v>54</v>
      </c>
      <c r="W3685">
        <v>2</v>
      </c>
      <c r="X3685">
        <v>0</v>
      </c>
      <c r="Z3685">
        <v>248.37</v>
      </c>
      <c r="AA3685">
        <v>40.687846</v>
      </c>
      <c r="AB3685">
        <v>-73.93422200000001</v>
      </c>
      <c r="AD3685" t="s">
        <v>10839</v>
      </c>
      <c r="AG3685" t="s">
        <v>10858</v>
      </c>
      <c r="AH3685" t="s">
        <v>10862</v>
      </c>
      <c r="AI3685">
        <v>239</v>
      </c>
      <c r="AJ3685" t="s">
        <v>10213</v>
      </c>
      <c r="AL3685">
        <v>3.7</v>
      </c>
      <c r="AM3685" t="s">
        <v>10889</v>
      </c>
      <c r="AN3685" t="s">
        <v>10914</v>
      </c>
      <c r="AO3685" t="s">
        <v>11007</v>
      </c>
      <c r="AP3685" t="s">
        <v>11052</v>
      </c>
      <c r="AR3685" t="s">
        <v>11257</v>
      </c>
      <c r="AS3685" t="s">
        <v>11595</v>
      </c>
      <c r="BA3685" t="s">
        <v>11739</v>
      </c>
      <c r="BB3685">
        <v>0</v>
      </c>
      <c r="BC3685">
        <v>0</v>
      </c>
      <c r="BD3685">
        <v>0</v>
      </c>
      <c r="BE3685">
        <v>0</v>
      </c>
      <c r="BF3685">
        <v>4</v>
      </c>
      <c r="BG3685">
        <v>0</v>
      </c>
    </row>
    <row r="3686" spans="1:59">
      <c r="A3686" s="1">
        <f>HYPERLINK("https://lsnyc.legalserver.org/matter/dynamic-profile/view/1907796","19-1907796")</f>
        <v>0</v>
      </c>
      <c r="C3686" t="s">
        <v>7830</v>
      </c>
      <c r="D3686" t="s">
        <v>9928</v>
      </c>
      <c r="E3686" t="s">
        <v>10075</v>
      </c>
      <c r="F3686">
        <v>11212</v>
      </c>
      <c r="G3686" t="s">
        <v>10093</v>
      </c>
      <c r="H3686" t="s">
        <v>10141</v>
      </c>
      <c r="I3686" t="s">
        <v>10168</v>
      </c>
      <c r="J3686" t="s">
        <v>10213</v>
      </c>
      <c r="K3686" t="s">
        <v>10217</v>
      </c>
      <c r="M3686" t="s">
        <v>10392</v>
      </c>
      <c r="N3686" t="s">
        <v>10650</v>
      </c>
      <c r="P3686" t="s">
        <v>10749</v>
      </c>
      <c r="Q3686" t="s">
        <v>10765</v>
      </c>
      <c r="R3686" t="s">
        <v>10824</v>
      </c>
      <c r="T3686">
        <v>17232</v>
      </c>
      <c r="U3686">
        <v>1436</v>
      </c>
      <c r="V3686">
        <v>0</v>
      </c>
      <c r="W3686">
        <v>1</v>
      </c>
      <c r="X3686">
        <v>0</v>
      </c>
      <c r="Z3686">
        <v>137.97</v>
      </c>
      <c r="AA3686">
        <v>40.658891</v>
      </c>
      <c r="AB3686">
        <v>-73.920922</v>
      </c>
      <c r="AD3686" t="s">
        <v>10839</v>
      </c>
      <c r="AG3686" t="s">
        <v>10858</v>
      </c>
      <c r="AH3686" t="s">
        <v>10862</v>
      </c>
      <c r="AI3686">
        <v>239</v>
      </c>
      <c r="AJ3686" t="s">
        <v>10213</v>
      </c>
      <c r="AL3686">
        <v>0</v>
      </c>
      <c r="AM3686" t="s">
        <v>10888</v>
      </c>
      <c r="AN3686" t="s">
        <v>10925</v>
      </c>
      <c r="AO3686" t="s">
        <v>11005</v>
      </c>
      <c r="AP3686" t="s">
        <v>11064</v>
      </c>
      <c r="AR3686" t="s">
        <v>11263</v>
      </c>
      <c r="AS3686" t="s">
        <v>11595</v>
      </c>
      <c r="AT3686" t="s">
        <v>11641</v>
      </c>
      <c r="BA3686" t="s">
        <v>11740</v>
      </c>
      <c r="BB3686">
        <v>0</v>
      </c>
      <c r="BC3686">
        <v>0</v>
      </c>
      <c r="BD3686">
        <v>0</v>
      </c>
      <c r="BE3686">
        <v>0</v>
      </c>
      <c r="BF3686">
        <v>2</v>
      </c>
      <c r="BG3686">
        <v>0</v>
      </c>
    </row>
    <row r="3687" spans="1:59">
      <c r="A3687" s="1">
        <f>HYPERLINK("https://lsnyc.legalserver.org/matter/dynamic-profile/view/1907797","19-1907797")</f>
        <v>0</v>
      </c>
      <c r="B3687" t="s">
        <v>3065</v>
      </c>
      <c r="C3687" t="s">
        <v>7830</v>
      </c>
      <c r="D3687" t="s">
        <v>9928</v>
      </c>
      <c r="E3687" t="s">
        <v>10075</v>
      </c>
      <c r="F3687">
        <v>11212</v>
      </c>
      <c r="G3687" t="s">
        <v>10093</v>
      </c>
      <c r="H3687" t="s">
        <v>10141</v>
      </c>
      <c r="I3687" t="s">
        <v>10168</v>
      </c>
      <c r="J3687" t="s">
        <v>10213</v>
      </c>
      <c r="K3687" t="s">
        <v>10217</v>
      </c>
      <c r="M3687" t="s">
        <v>10392</v>
      </c>
      <c r="N3687" t="s">
        <v>10650</v>
      </c>
      <c r="P3687" t="s">
        <v>10749</v>
      </c>
      <c r="Q3687" t="s">
        <v>10765</v>
      </c>
      <c r="R3687" t="s">
        <v>10824</v>
      </c>
      <c r="T3687">
        <v>21000</v>
      </c>
      <c r="U3687">
        <v>1750</v>
      </c>
      <c r="V3687">
        <v>64</v>
      </c>
      <c r="W3687">
        <v>1</v>
      </c>
      <c r="X3687">
        <v>0</v>
      </c>
      <c r="Z3687">
        <v>168.13</v>
      </c>
      <c r="AA3687">
        <v>40.658891</v>
      </c>
      <c r="AB3687">
        <v>-73.920922</v>
      </c>
      <c r="AC3687" t="s">
        <v>10837</v>
      </c>
      <c r="AD3687" t="s">
        <v>10839</v>
      </c>
      <c r="AG3687" t="s">
        <v>10858</v>
      </c>
      <c r="AH3687" t="s">
        <v>10862</v>
      </c>
      <c r="AI3687">
        <v>239</v>
      </c>
      <c r="AJ3687" t="s">
        <v>10213</v>
      </c>
      <c r="AL3687">
        <v>0</v>
      </c>
      <c r="AM3687" t="s">
        <v>10888</v>
      </c>
      <c r="AN3687" t="s">
        <v>10925</v>
      </c>
      <c r="AO3687" t="s">
        <v>11005</v>
      </c>
      <c r="AP3687" t="s">
        <v>11064</v>
      </c>
      <c r="AR3687" t="s">
        <v>11296</v>
      </c>
      <c r="AS3687" t="s">
        <v>11595</v>
      </c>
      <c r="AT3687" t="s">
        <v>11641</v>
      </c>
      <c r="BA3687" t="s">
        <v>11740</v>
      </c>
      <c r="BB3687">
        <v>0</v>
      </c>
      <c r="BC3687">
        <v>0</v>
      </c>
      <c r="BD3687">
        <v>0</v>
      </c>
      <c r="BE3687">
        <v>0</v>
      </c>
      <c r="BF3687">
        <v>2</v>
      </c>
      <c r="BG3687">
        <v>0</v>
      </c>
    </row>
    <row r="3688" spans="1:59">
      <c r="A3688" s="1">
        <f>HYPERLINK("https://lsnyc.legalserver.org/matter/dynamic-profile/view/1907798","19-1907798")</f>
        <v>0</v>
      </c>
      <c r="B3688" t="s">
        <v>3066</v>
      </c>
      <c r="C3688" t="s">
        <v>7851</v>
      </c>
      <c r="D3688" t="s">
        <v>9928</v>
      </c>
      <c r="E3688" t="s">
        <v>10075</v>
      </c>
      <c r="F3688">
        <v>11217</v>
      </c>
      <c r="G3688" t="s">
        <v>10093</v>
      </c>
      <c r="H3688" t="s">
        <v>10141</v>
      </c>
      <c r="I3688" t="s">
        <v>10169</v>
      </c>
      <c r="J3688" t="s">
        <v>10213</v>
      </c>
      <c r="K3688" t="s">
        <v>10217</v>
      </c>
      <c r="M3688" t="s">
        <v>10304</v>
      </c>
      <c r="N3688" t="s">
        <v>10650</v>
      </c>
      <c r="P3688" t="s">
        <v>10749</v>
      </c>
      <c r="Q3688" t="s">
        <v>10765</v>
      </c>
      <c r="R3688" t="s">
        <v>10825</v>
      </c>
      <c r="T3688">
        <v>12636</v>
      </c>
      <c r="U3688">
        <v>1053</v>
      </c>
      <c r="V3688">
        <v>55</v>
      </c>
      <c r="W3688">
        <v>1</v>
      </c>
      <c r="X3688">
        <v>2</v>
      </c>
      <c r="Z3688">
        <v>59.24</v>
      </c>
      <c r="AA3688">
        <v>40.686727</v>
      </c>
      <c r="AB3688">
        <v>-73.98269500000001</v>
      </c>
      <c r="AD3688" t="s">
        <v>10839</v>
      </c>
      <c r="AG3688" t="s">
        <v>10858</v>
      </c>
      <c r="AH3688" t="s">
        <v>10861</v>
      </c>
      <c r="AI3688">
        <v>234</v>
      </c>
      <c r="AJ3688" t="s">
        <v>10214</v>
      </c>
      <c r="AL3688">
        <v>4.15</v>
      </c>
      <c r="AM3688" t="s">
        <v>10889</v>
      </c>
      <c r="AN3688" t="s">
        <v>10917</v>
      </c>
      <c r="AO3688" t="s">
        <v>11007</v>
      </c>
      <c r="AP3688" t="s">
        <v>11054</v>
      </c>
      <c r="AR3688" t="s">
        <v>11514</v>
      </c>
      <c r="AS3688" t="s">
        <v>11595</v>
      </c>
      <c r="AT3688" t="s">
        <v>11641</v>
      </c>
      <c r="AX3688" t="s">
        <v>10838</v>
      </c>
      <c r="BA3688" t="s">
        <v>11738</v>
      </c>
      <c r="BB3688">
        <v>0</v>
      </c>
      <c r="BC3688">
        <v>0</v>
      </c>
      <c r="BD3688">
        <v>0</v>
      </c>
      <c r="BE3688">
        <v>0</v>
      </c>
      <c r="BF3688">
        <v>5</v>
      </c>
      <c r="BG3688">
        <v>0</v>
      </c>
    </row>
    <row r="3689" spans="1:59">
      <c r="A3689" s="1">
        <f>HYPERLINK("https://lsnyc.legalserver.org/matter/dynamic-profile/view/1907799","19-1907799")</f>
        <v>0</v>
      </c>
      <c r="B3689" t="s">
        <v>3067</v>
      </c>
      <c r="C3689" t="s">
        <v>7852</v>
      </c>
      <c r="D3689" t="s">
        <v>9932</v>
      </c>
      <c r="E3689" t="s">
        <v>10075</v>
      </c>
      <c r="F3689">
        <v>11368</v>
      </c>
      <c r="G3689" t="s">
        <v>10092</v>
      </c>
      <c r="H3689" t="s">
        <v>10141</v>
      </c>
      <c r="I3689" t="s">
        <v>10168</v>
      </c>
      <c r="J3689" t="s">
        <v>10212</v>
      </c>
      <c r="K3689" t="s">
        <v>10218</v>
      </c>
      <c r="L3689" t="s">
        <v>10165</v>
      </c>
      <c r="M3689" t="s">
        <v>10258</v>
      </c>
      <c r="N3689" t="s">
        <v>10671</v>
      </c>
      <c r="P3689" t="s">
        <v>10749</v>
      </c>
      <c r="Q3689" t="s">
        <v>10765</v>
      </c>
      <c r="R3689" t="s">
        <v>10821</v>
      </c>
      <c r="T3689">
        <v>15600</v>
      </c>
      <c r="U3689">
        <v>1300</v>
      </c>
      <c r="V3689">
        <v>26</v>
      </c>
      <c r="W3689">
        <v>1</v>
      </c>
      <c r="X3689">
        <v>0</v>
      </c>
      <c r="Y3689" t="s">
        <v>10829</v>
      </c>
      <c r="Z3689">
        <v>124.9</v>
      </c>
      <c r="AA3689">
        <v>40.735978</v>
      </c>
      <c r="AB3689">
        <v>-73.882125</v>
      </c>
      <c r="AD3689" t="s">
        <v>10839</v>
      </c>
      <c r="AG3689" t="s">
        <v>10858</v>
      </c>
      <c r="AH3689" t="s">
        <v>10871</v>
      </c>
      <c r="AI3689">
        <v>234</v>
      </c>
      <c r="AJ3689" t="s">
        <v>10214</v>
      </c>
      <c r="AK3689" t="s">
        <v>10882</v>
      </c>
      <c r="AL3689">
        <v>1.15</v>
      </c>
      <c r="AR3689" t="s">
        <v>11257</v>
      </c>
      <c r="AS3689" t="s">
        <v>11594</v>
      </c>
      <c r="AT3689" t="s">
        <v>11641</v>
      </c>
      <c r="AX3689" t="s">
        <v>10838</v>
      </c>
      <c r="AY3689" t="s">
        <v>10829</v>
      </c>
      <c r="AZ3689" t="s">
        <v>11681</v>
      </c>
      <c r="BA3689" t="s">
        <v>11741</v>
      </c>
      <c r="BB3689">
        <v>0</v>
      </c>
      <c r="BC3689">
        <v>0</v>
      </c>
      <c r="BD3689">
        <v>0</v>
      </c>
      <c r="BE3689">
        <v>0</v>
      </c>
      <c r="BF3689">
        <v>1</v>
      </c>
      <c r="BG3689">
        <v>0</v>
      </c>
    </row>
    <row r="3690" spans="1:59">
      <c r="A3690" s="1">
        <f>HYPERLINK("https://lsnyc.legalserver.org/matter/dynamic-profile/view/1907800","19-1907800")</f>
        <v>0</v>
      </c>
      <c r="B3690" t="s">
        <v>3068</v>
      </c>
      <c r="C3690" t="s">
        <v>5417</v>
      </c>
      <c r="D3690" t="s">
        <v>9928</v>
      </c>
      <c r="E3690" t="s">
        <v>10075</v>
      </c>
      <c r="F3690">
        <v>11210</v>
      </c>
      <c r="G3690" t="s">
        <v>10093</v>
      </c>
      <c r="H3690" t="s">
        <v>10141</v>
      </c>
      <c r="I3690" t="s">
        <v>10168</v>
      </c>
      <c r="J3690" t="s">
        <v>10213</v>
      </c>
      <c r="K3690" t="s">
        <v>10218</v>
      </c>
      <c r="L3690" t="s">
        <v>10136</v>
      </c>
      <c r="M3690" t="s">
        <v>10256</v>
      </c>
      <c r="N3690" t="s">
        <v>10644</v>
      </c>
      <c r="P3690" t="s">
        <v>10749</v>
      </c>
      <c r="Q3690" t="s">
        <v>10765</v>
      </c>
      <c r="R3690" t="s">
        <v>10825</v>
      </c>
      <c r="T3690">
        <v>48000</v>
      </c>
      <c r="U3690">
        <v>4000</v>
      </c>
      <c r="V3690">
        <v>62</v>
      </c>
      <c r="W3690">
        <v>1</v>
      </c>
      <c r="X3690">
        <v>0</v>
      </c>
      <c r="Y3690" t="s">
        <v>10829</v>
      </c>
      <c r="Z3690">
        <v>384.31</v>
      </c>
      <c r="AA3690">
        <v>40.625972</v>
      </c>
      <c r="AB3690">
        <v>-73.94119499999999</v>
      </c>
      <c r="AD3690" t="s">
        <v>10840</v>
      </c>
      <c r="AG3690" t="s">
        <v>10858</v>
      </c>
      <c r="AH3690" t="s">
        <v>10861</v>
      </c>
      <c r="AI3690">
        <v>234</v>
      </c>
      <c r="AJ3690" t="s">
        <v>10214</v>
      </c>
      <c r="AK3690" t="s">
        <v>10882</v>
      </c>
      <c r="AL3690">
        <v>2.1</v>
      </c>
      <c r="AM3690" t="s">
        <v>10888</v>
      </c>
      <c r="AN3690" t="s">
        <v>10957</v>
      </c>
      <c r="AO3690" t="s">
        <v>11008</v>
      </c>
      <c r="AP3690" t="s">
        <v>11065</v>
      </c>
      <c r="AR3690" t="s">
        <v>11257</v>
      </c>
      <c r="AS3690" t="s">
        <v>11595</v>
      </c>
      <c r="AT3690" t="s">
        <v>11642</v>
      </c>
      <c r="AX3690" t="s">
        <v>10838</v>
      </c>
      <c r="AY3690" t="s">
        <v>10829</v>
      </c>
      <c r="AZ3690" t="s">
        <v>11681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</row>
    <row r="3691" spans="1:59">
      <c r="A3691" s="1">
        <f>HYPERLINK("https://lsnyc.legalserver.org/matter/dynamic-profile/view/1907801","19-1907801")</f>
        <v>0</v>
      </c>
      <c r="B3691" t="s">
        <v>3069</v>
      </c>
      <c r="C3691" t="s">
        <v>7853</v>
      </c>
      <c r="D3691" t="s">
        <v>9928</v>
      </c>
      <c r="E3691" t="s">
        <v>10075</v>
      </c>
      <c r="F3691">
        <v>11221</v>
      </c>
      <c r="G3691" t="s">
        <v>10093</v>
      </c>
      <c r="H3691" t="s">
        <v>10141</v>
      </c>
      <c r="I3691" t="s">
        <v>10168</v>
      </c>
      <c r="J3691" t="s">
        <v>10213</v>
      </c>
      <c r="K3691" t="s">
        <v>10218</v>
      </c>
      <c r="L3691" t="s">
        <v>10141</v>
      </c>
      <c r="M3691" t="s">
        <v>10291</v>
      </c>
      <c r="N3691" t="s">
        <v>10657</v>
      </c>
      <c r="P3691" t="s">
        <v>10749</v>
      </c>
      <c r="Q3691" t="s">
        <v>10765</v>
      </c>
      <c r="R3691" t="s">
        <v>10824</v>
      </c>
      <c r="T3691">
        <v>45006</v>
      </c>
      <c r="U3691">
        <v>3750.5</v>
      </c>
      <c r="V3691">
        <v>55</v>
      </c>
      <c r="W3691">
        <v>1</v>
      </c>
      <c r="X3691">
        <v>0</v>
      </c>
      <c r="Y3691" t="s">
        <v>10829</v>
      </c>
      <c r="Z3691">
        <v>360.34</v>
      </c>
      <c r="AA3691">
        <v>40.691546</v>
      </c>
      <c r="AB3691">
        <v>-73.925189</v>
      </c>
      <c r="AD3691" t="s">
        <v>10839</v>
      </c>
      <c r="AG3691" t="s">
        <v>10858</v>
      </c>
      <c r="AH3691" t="s">
        <v>10861</v>
      </c>
      <c r="AI3691">
        <v>239</v>
      </c>
      <c r="AJ3691" t="s">
        <v>10213</v>
      </c>
      <c r="AK3691" t="s">
        <v>10838</v>
      </c>
      <c r="AL3691">
        <v>0.6</v>
      </c>
      <c r="AM3691" t="s">
        <v>10886</v>
      </c>
      <c r="AN3691" t="s">
        <v>10920</v>
      </c>
      <c r="AO3691" t="s">
        <v>11011</v>
      </c>
      <c r="AP3691" t="s">
        <v>11071</v>
      </c>
      <c r="AR3691" t="s">
        <v>11257</v>
      </c>
      <c r="AS3691" t="s">
        <v>11595</v>
      </c>
      <c r="AY3691" t="s">
        <v>10829</v>
      </c>
      <c r="AZ3691" t="s">
        <v>11681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</row>
    <row r="3692" spans="1:59">
      <c r="A3692" s="1">
        <f>HYPERLINK("https://lsnyc.legalserver.org/matter/dynamic-profile/view/1907802","19-1907802")</f>
        <v>0</v>
      </c>
      <c r="B3692" t="s">
        <v>1699</v>
      </c>
      <c r="C3692" t="s">
        <v>7854</v>
      </c>
      <c r="D3692" t="s">
        <v>9925</v>
      </c>
      <c r="E3692" t="s">
        <v>10075</v>
      </c>
      <c r="F3692">
        <v>10025</v>
      </c>
      <c r="G3692" t="s">
        <v>10089</v>
      </c>
      <c r="H3692" t="s">
        <v>10141</v>
      </c>
      <c r="I3692" t="s">
        <v>10168</v>
      </c>
      <c r="J3692" t="s">
        <v>10209</v>
      </c>
      <c r="K3692" t="s">
        <v>10217</v>
      </c>
      <c r="M3692" t="s">
        <v>10383</v>
      </c>
      <c r="N3692" t="s">
        <v>10656</v>
      </c>
      <c r="P3692" t="s">
        <v>10751</v>
      </c>
      <c r="Q3692" t="s">
        <v>10780</v>
      </c>
      <c r="R3692" t="s">
        <v>10820</v>
      </c>
      <c r="T3692">
        <v>9360</v>
      </c>
      <c r="U3692">
        <v>780</v>
      </c>
      <c r="V3692">
        <v>40</v>
      </c>
      <c r="W3692">
        <v>1</v>
      </c>
      <c r="X3692">
        <v>0</v>
      </c>
      <c r="Z3692">
        <v>74.94</v>
      </c>
      <c r="AA3692">
        <v>40.794115</v>
      </c>
      <c r="AB3692">
        <v>-73.975083</v>
      </c>
      <c r="AD3692" t="s">
        <v>10840</v>
      </c>
      <c r="AG3692" t="s">
        <v>10858</v>
      </c>
      <c r="AH3692" t="s">
        <v>10861</v>
      </c>
      <c r="AI3692">
        <v>234</v>
      </c>
      <c r="AJ3692" t="s">
        <v>10214</v>
      </c>
      <c r="AL3692">
        <v>21.37</v>
      </c>
      <c r="AM3692" t="s">
        <v>10894</v>
      </c>
      <c r="AN3692" t="s">
        <v>10953</v>
      </c>
      <c r="AO3692" t="s">
        <v>11019</v>
      </c>
      <c r="AP3692" t="s">
        <v>11089</v>
      </c>
      <c r="AR3692" t="s">
        <v>11257</v>
      </c>
      <c r="AS3692" t="s">
        <v>9925</v>
      </c>
      <c r="AT3692" t="s">
        <v>11642</v>
      </c>
      <c r="AX3692" t="s">
        <v>10837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</row>
    <row r="3693" spans="1:59">
      <c r="A3693" s="1">
        <f>HYPERLINK("https://lsnyc.legalserver.org/matter/dynamic-profile/view/1907803","19-1907803")</f>
        <v>0</v>
      </c>
      <c r="B3693" t="s">
        <v>65</v>
      </c>
      <c r="C3693" t="s">
        <v>5877</v>
      </c>
      <c r="D3693" t="s">
        <v>9926</v>
      </c>
      <c r="E3693" t="s">
        <v>10075</v>
      </c>
      <c r="F3693">
        <v>10459</v>
      </c>
      <c r="G3693" t="s">
        <v>10090</v>
      </c>
      <c r="H3693" t="s">
        <v>10141</v>
      </c>
      <c r="I3693" t="s">
        <v>10168</v>
      </c>
      <c r="J3693" t="s">
        <v>10210</v>
      </c>
      <c r="K3693" t="s">
        <v>10217</v>
      </c>
      <c r="M3693" t="s">
        <v>10333</v>
      </c>
      <c r="N3693" t="s">
        <v>10683</v>
      </c>
      <c r="P3693" t="s">
        <v>10751</v>
      </c>
      <c r="Q3693" t="s">
        <v>10761</v>
      </c>
      <c r="R3693" t="s">
        <v>10824</v>
      </c>
      <c r="T3693">
        <v>33396</v>
      </c>
      <c r="U3693">
        <v>2783</v>
      </c>
      <c r="V3693">
        <v>57</v>
      </c>
      <c r="W3693">
        <v>2</v>
      </c>
      <c r="X3693">
        <v>2</v>
      </c>
      <c r="Z3693">
        <v>129.69</v>
      </c>
      <c r="AA3693">
        <v>40.831061</v>
      </c>
      <c r="AB3693">
        <v>-73.892725</v>
      </c>
      <c r="AD3693" t="s">
        <v>10839</v>
      </c>
      <c r="AG3693" t="s">
        <v>10858</v>
      </c>
      <c r="AH3693" t="s">
        <v>10874</v>
      </c>
      <c r="AI3693">
        <v>230</v>
      </c>
      <c r="AJ3693" t="s">
        <v>10210</v>
      </c>
      <c r="AL3693">
        <v>5.9</v>
      </c>
      <c r="AM3693" t="s">
        <v>10884</v>
      </c>
      <c r="AN3693" t="s">
        <v>10918</v>
      </c>
      <c r="AO3693" t="s">
        <v>11001</v>
      </c>
      <c r="AP3693" t="s">
        <v>11062</v>
      </c>
      <c r="AR3693" t="s">
        <v>11372</v>
      </c>
      <c r="AS3693" t="s">
        <v>9926</v>
      </c>
      <c r="BA3693" t="s">
        <v>11741</v>
      </c>
      <c r="BB3693">
        <v>0</v>
      </c>
      <c r="BC3693">
        <v>0</v>
      </c>
      <c r="BD3693">
        <v>0</v>
      </c>
      <c r="BE3693">
        <v>0</v>
      </c>
      <c r="BF3693">
        <v>1</v>
      </c>
      <c r="BG3693">
        <v>0</v>
      </c>
    </row>
    <row r="3694" spans="1:59">
      <c r="A3694" s="1">
        <f>HYPERLINK("https://lsnyc.legalserver.org/matter/dynamic-profile/view/1907804","19-1907804")</f>
        <v>0</v>
      </c>
      <c r="B3694" t="s">
        <v>3070</v>
      </c>
      <c r="C3694" t="s">
        <v>7855</v>
      </c>
      <c r="D3694" t="s">
        <v>9928</v>
      </c>
      <c r="E3694" t="s">
        <v>10075</v>
      </c>
      <c r="F3694">
        <v>11236</v>
      </c>
      <c r="G3694" t="s">
        <v>10093</v>
      </c>
      <c r="H3694" t="s">
        <v>10141</v>
      </c>
      <c r="I3694" t="s">
        <v>10168</v>
      </c>
      <c r="J3694" t="s">
        <v>10213</v>
      </c>
      <c r="K3694" t="s">
        <v>10218</v>
      </c>
      <c r="L3694" t="s">
        <v>10153</v>
      </c>
      <c r="M3694" t="s">
        <v>10414</v>
      </c>
      <c r="N3694" t="s">
        <v>10671</v>
      </c>
      <c r="P3694" t="s">
        <v>10751</v>
      </c>
      <c r="Q3694" t="s">
        <v>10786</v>
      </c>
      <c r="R3694" t="s">
        <v>10824</v>
      </c>
      <c r="T3694">
        <v>3360</v>
      </c>
      <c r="U3694">
        <v>280</v>
      </c>
      <c r="V3694">
        <v>31</v>
      </c>
      <c r="W3694">
        <v>1</v>
      </c>
      <c r="X3694">
        <v>0</v>
      </c>
      <c r="Y3694" t="s">
        <v>10829</v>
      </c>
      <c r="Z3694">
        <v>26.9</v>
      </c>
      <c r="AA3694">
        <v>40.634286</v>
      </c>
      <c r="AB3694">
        <v>-73.886335</v>
      </c>
      <c r="AC3694" t="s">
        <v>10837</v>
      </c>
      <c r="AD3694" t="s">
        <v>10840</v>
      </c>
      <c r="AG3694" t="s">
        <v>10858</v>
      </c>
      <c r="AH3694" t="s">
        <v>10861</v>
      </c>
      <c r="AI3694">
        <v>234</v>
      </c>
      <c r="AJ3694" t="s">
        <v>10214</v>
      </c>
      <c r="AK3694" t="s">
        <v>10882</v>
      </c>
      <c r="AL3694">
        <v>1.3</v>
      </c>
      <c r="AM3694" t="s">
        <v>10889</v>
      </c>
      <c r="AN3694" t="s">
        <v>10959</v>
      </c>
      <c r="AO3694" t="s">
        <v>11012</v>
      </c>
      <c r="AP3694" t="s">
        <v>11072</v>
      </c>
      <c r="AR3694" t="s">
        <v>11303</v>
      </c>
      <c r="AS3694" t="s">
        <v>11595</v>
      </c>
      <c r="AT3694" t="s">
        <v>11642</v>
      </c>
      <c r="AX3694" t="s">
        <v>10838</v>
      </c>
      <c r="AY3694" t="s">
        <v>10829</v>
      </c>
      <c r="AZ3694" t="s">
        <v>11682</v>
      </c>
      <c r="BA3694" t="s">
        <v>11742</v>
      </c>
      <c r="BB3694">
        <v>0</v>
      </c>
      <c r="BC3694">
        <v>0</v>
      </c>
      <c r="BD3694">
        <v>0</v>
      </c>
      <c r="BE3694">
        <v>0</v>
      </c>
      <c r="BF3694">
        <v>7</v>
      </c>
      <c r="BG3694">
        <v>0</v>
      </c>
    </row>
    <row r="3695" spans="1:59">
      <c r="A3695" s="1">
        <f>HYPERLINK("https://lsnyc.legalserver.org/matter/dynamic-profile/view/1907805","19-1907805")</f>
        <v>0</v>
      </c>
      <c r="B3695" t="s">
        <v>3071</v>
      </c>
      <c r="C3695" t="s">
        <v>7856</v>
      </c>
      <c r="D3695" t="s">
        <v>9926</v>
      </c>
      <c r="E3695" t="s">
        <v>10075</v>
      </c>
      <c r="F3695">
        <v>10457</v>
      </c>
      <c r="G3695" t="s">
        <v>10090</v>
      </c>
      <c r="H3695" t="s">
        <v>10141</v>
      </c>
      <c r="I3695" t="s">
        <v>10168</v>
      </c>
      <c r="J3695" t="s">
        <v>10210</v>
      </c>
      <c r="K3695" t="s">
        <v>10217</v>
      </c>
      <c r="M3695" t="s">
        <v>10397</v>
      </c>
      <c r="N3695" t="s">
        <v>10650</v>
      </c>
      <c r="P3695" t="s">
        <v>10749</v>
      </c>
      <c r="Q3695" t="s">
        <v>10765</v>
      </c>
      <c r="R3695" t="s">
        <v>10821</v>
      </c>
      <c r="T3695">
        <v>8066.4</v>
      </c>
      <c r="U3695">
        <v>672.2</v>
      </c>
      <c r="V3695">
        <v>20</v>
      </c>
      <c r="W3695">
        <v>2</v>
      </c>
      <c r="X3695">
        <v>1</v>
      </c>
      <c r="Z3695">
        <v>37.82</v>
      </c>
      <c r="AA3695">
        <v>40.841296</v>
      </c>
      <c r="AB3695">
        <v>-73.91010199999999</v>
      </c>
      <c r="AD3695" t="s">
        <v>10839</v>
      </c>
      <c r="AG3695" t="s">
        <v>10858</v>
      </c>
      <c r="AH3695" t="s">
        <v>10862</v>
      </c>
      <c r="AI3695">
        <v>230</v>
      </c>
      <c r="AJ3695" t="s">
        <v>10210</v>
      </c>
      <c r="AL3695">
        <v>0</v>
      </c>
      <c r="AM3695" t="s">
        <v>10884</v>
      </c>
      <c r="AN3695" t="s">
        <v>10929</v>
      </c>
      <c r="AO3695" t="s">
        <v>11000</v>
      </c>
      <c r="AP3695" t="s">
        <v>11055</v>
      </c>
      <c r="AR3695" t="s">
        <v>11296</v>
      </c>
      <c r="AS3695" t="s">
        <v>9926</v>
      </c>
      <c r="AT3695" t="s">
        <v>11641</v>
      </c>
      <c r="AX3695" t="s">
        <v>10838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</row>
    <row r="3696" spans="1:59">
      <c r="A3696" s="1">
        <f>HYPERLINK("https://lsnyc.legalserver.org/matter/dynamic-profile/view/1907806","19-1907806")</f>
        <v>0</v>
      </c>
      <c r="B3696" t="s">
        <v>3072</v>
      </c>
      <c r="C3696" t="s">
        <v>7857</v>
      </c>
      <c r="D3696" t="s">
        <v>10034</v>
      </c>
      <c r="E3696" t="s">
        <v>10076</v>
      </c>
      <c r="F3696">
        <v>7724</v>
      </c>
      <c r="G3696" t="s">
        <v>10093</v>
      </c>
      <c r="H3696" t="s">
        <v>10141</v>
      </c>
      <c r="I3696" t="s">
        <v>10168</v>
      </c>
      <c r="J3696" t="s">
        <v>10213</v>
      </c>
      <c r="K3696" t="s">
        <v>10217</v>
      </c>
      <c r="M3696" t="s">
        <v>10436</v>
      </c>
      <c r="N3696" t="s">
        <v>10710</v>
      </c>
      <c r="P3696" t="s">
        <v>10750</v>
      </c>
      <c r="Q3696" t="s">
        <v>10760</v>
      </c>
      <c r="R3696" t="s">
        <v>10820</v>
      </c>
      <c r="T3696">
        <v>33600</v>
      </c>
      <c r="U3696">
        <v>2800</v>
      </c>
      <c r="V3696">
        <v>78</v>
      </c>
      <c r="W3696">
        <v>2</v>
      </c>
      <c r="X3696">
        <v>0</v>
      </c>
      <c r="Z3696">
        <v>198.7</v>
      </c>
      <c r="AA3696">
        <v>40.293852</v>
      </c>
      <c r="AB3696">
        <v>-74.063822</v>
      </c>
      <c r="AD3696" t="s">
        <v>10840</v>
      </c>
      <c r="AG3696" t="s">
        <v>10858</v>
      </c>
      <c r="AH3696" t="s">
        <v>10861</v>
      </c>
      <c r="AI3696">
        <v>234</v>
      </c>
      <c r="AJ3696" t="s">
        <v>10214</v>
      </c>
      <c r="AL3696">
        <v>0.5</v>
      </c>
      <c r="AR3696" t="s">
        <v>11300</v>
      </c>
      <c r="AS3696" t="s">
        <v>11621</v>
      </c>
      <c r="AT3696" t="s">
        <v>11642</v>
      </c>
      <c r="AX3696" t="s">
        <v>10838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</row>
    <row r="3697" spans="1:59">
      <c r="A3697" s="1">
        <f>HYPERLINK("https://lsnyc.legalserver.org/matter/dynamic-profile/view/1907807","19-1907807")</f>
        <v>0</v>
      </c>
      <c r="B3697" t="s">
        <v>3073</v>
      </c>
      <c r="C3697" t="s">
        <v>7858</v>
      </c>
      <c r="D3697" t="s">
        <v>9926</v>
      </c>
      <c r="E3697" t="s">
        <v>10075</v>
      </c>
      <c r="F3697">
        <v>10467</v>
      </c>
      <c r="G3697" t="s">
        <v>10090</v>
      </c>
      <c r="H3697" t="s">
        <v>10141</v>
      </c>
      <c r="I3697" t="s">
        <v>10168</v>
      </c>
      <c r="J3697" t="s">
        <v>10210</v>
      </c>
      <c r="K3697" t="s">
        <v>10217</v>
      </c>
      <c r="M3697" t="s">
        <v>10397</v>
      </c>
      <c r="N3697" t="s">
        <v>10650</v>
      </c>
      <c r="P3697" t="s">
        <v>10749</v>
      </c>
      <c r="Q3697" t="s">
        <v>10765</v>
      </c>
      <c r="R3697" t="s">
        <v>10825</v>
      </c>
      <c r="T3697">
        <v>11244</v>
      </c>
      <c r="U3697">
        <v>937</v>
      </c>
      <c r="V3697">
        <v>61</v>
      </c>
      <c r="W3697">
        <v>2</v>
      </c>
      <c r="X3697">
        <v>0</v>
      </c>
      <c r="Z3697">
        <v>66.48999999999999</v>
      </c>
      <c r="AA3697">
        <v>40.87869</v>
      </c>
      <c r="AB3697">
        <v>-73.86846199999999</v>
      </c>
      <c r="AD3697" t="s">
        <v>10839</v>
      </c>
      <c r="AG3697" t="s">
        <v>10858</v>
      </c>
      <c r="AH3697" t="s">
        <v>10862</v>
      </c>
      <c r="AI3697">
        <v>230</v>
      </c>
      <c r="AJ3697" t="s">
        <v>10210</v>
      </c>
      <c r="AL3697">
        <v>0</v>
      </c>
      <c r="AM3697" t="s">
        <v>10893</v>
      </c>
      <c r="AN3697" t="s">
        <v>10956</v>
      </c>
      <c r="AO3697" t="s">
        <v>11010</v>
      </c>
      <c r="AP3697" t="s">
        <v>11085</v>
      </c>
      <c r="AR3697" t="s">
        <v>11392</v>
      </c>
      <c r="AS3697" t="s">
        <v>9926</v>
      </c>
      <c r="AT3697" t="s">
        <v>11641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</row>
    <row r="3698" spans="1:59">
      <c r="A3698" s="1">
        <f>HYPERLINK("https://lsnyc.legalserver.org/matter/dynamic-profile/view/1907808","19-1907808")</f>
        <v>0</v>
      </c>
      <c r="B3698" t="s">
        <v>3074</v>
      </c>
      <c r="C3698" t="s">
        <v>7859</v>
      </c>
      <c r="D3698" t="s">
        <v>9928</v>
      </c>
      <c r="E3698" t="s">
        <v>10075</v>
      </c>
      <c r="F3698">
        <v>11208</v>
      </c>
      <c r="G3698" t="s">
        <v>10093</v>
      </c>
      <c r="H3698" t="s">
        <v>10141</v>
      </c>
      <c r="J3698" t="s">
        <v>10213</v>
      </c>
      <c r="K3698" t="s">
        <v>10218</v>
      </c>
      <c r="L3698" t="s">
        <v>10141</v>
      </c>
      <c r="M3698" t="s">
        <v>10291</v>
      </c>
      <c r="N3698" t="s">
        <v>10657</v>
      </c>
      <c r="P3698" t="s">
        <v>10749</v>
      </c>
      <c r="Q3698" t="s">
        <v>10765</v>
      </c>
      <c r="R3698" t="s">
        <v>10823</v>
      </c>
      <c r="T3698">
        <v>18720</v>
      </c>
      <c r="U3698">
        <v>1560</v>
      </c>
      <c r="V3698">
        <v>61</v>
      </c>
      <c r="W3698">
        <v>3</v>
      </c>
      <c r="X3698">
        <v>1</v>
      </c>
      <c r="Y3698" t="s">
        <v>10829</v>
      </c>
      <c r="Z3698">
        <v>72.7</v>
      </c>
      <c r="AA3698">
        <v>40.686976</v>
      </c>
      <c r="AB3698">
        <v>-73.87387099999999</v>
      </c>
      <c r="AD3698" t="s">
        <v>10839</v>
      </c>
      <c r="AG3698" t="s">
        <v>10858</v>
      </c>
      <c r="AH3698" t="s">
        <v>10861</v>
      </c>
      <c r="AI3698">
        <v>239</v>
      </c>
      <c r="AJ3698" t="s">
        <v>10213</v>
      </c>
      <c r="AK3698" t="s">
        <v>10838</v>
      </c>
      <c r="AL3698">
        <v>0.7</v>
      </c>
      <c r="AM3698" t="s">
        <v>10886</v>
      </c>
      <c r="AN3698" t="s">
        <v>10920</v>
      </c>
      <c r="AO3698" t="s">
        <v>11011</v>
      </c>
      <c r="AP3698" t="s">
        <v>11058</v>
      </c>
      <c r="AR3698" t="s">
        <v>11262</v>
      </c>
      <c r="AS3698" t="s">
        <v>11595</v>
      </c>
      <c r="AY3698" t="s">
        <v>10829</v>
      </c>
      <c r="AZ3698" t="s">
        <v>11681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</row>
    <row r="3699" spans="1:59">
      <c r="A3699" s="1">
        <f>HYPERLINK("https://lsnyc.legalserver.org/matter/dynamic-profile/view/1907809","19-1907809")</f>
        <v>0</v>
      </c>
      <c r="B3699" t="s">
        <v>3075</v>
      </c>
      <c r="C3699" t="s">
        <v>7860</v>
      </c>
      <c r="D3699" t="s">
        <v>9965</v>
      </c>
      <c r="E3699" t="s">
        <v>10075</v>
      </c>
      <c r="F3699">
        <v>11101</v>
      </c>
      <c r="G3699" t="s">
        <v>10092</v>
      </c>
      <c r="H3699" t="s">
        <v>10141</v>
      </c>
      <c r="I3699" t="s">
        <v>10178</v>
      </c>
      <c r="J3699" t="s">
        <v>10212</v>
      </c>
      <c r="K3699" t="s">
        <v>10217</v>
      </c>
      <c r="M3699" t="s">
        <v>10422</v>
      </c>
      <c r="N3699" t="s">
        <v>10730</v>
      </c>
      <c r="O3699" t="s">
        <v>10648</v>
      </c>
      <c r="P3699" t="s">
        <v>10753</v>
      </c>
      <c r="Q3699" t="s">
        <v>10763</v>
      </c>
      <c r="R3699" t="s">
        <v>10823</v>
      </c>
      <c r="T3699">
        <v>37079.25</v>
      </c>
      <c r="U3699">
        <v>3089.94</v>
      </c>
      <c r="V3699">
        <v>51</v>
      </c>
      <c r="W3699">
        <v>1</v>
      </c>
      <c r="X3699">
        <v>2</v>
      </c>
      <c r="Z3699">
        <v>173.84</v>
      </c>
      <c r="AA3699">
        <v>40.756002</v>
      </c>
      <c r="AB3699">
        <v>-73.919951</v>
      </c>
      <c r="AD3699" t="s">
        <v>10839</v>
      </c>
      <c r="AF3699" t="s">
        <v>10843</v>
      </c>
      <c r="AG3699" t="s">
        <v>10859</v>
      </c>
      <c r="AH3699" t="s">
        <v>10864</v>
      </c>
      <c r="AI3699">
        <v>237</v>
      </c>
      <c r="AJ3699" t="s">
        <v>10212</v>
      </c>
      <c r="AL3699">
        <v>2.5</v>
      </c>
      <c r="AM3699" t="s">
        <v>10891</v>
      </c>
      <c r="AN3699" t="s">
        <v>10935</v>
      </c>
      <c r="AO3699" t="s">
        <v>11003</v>
      </c>
      <c r="AP3699" t="s">
        <v>11047</v>
      </c>
      <c r="AQ3699" t="s">
        <v>11158</v>
      </c>
      <c r="AR3699" t="s">
        <v>11257</v>
      </c>
      <c r="AS3699" t="s">
        <v>11594</v>
      </c>
      <c r="AT3699" t="s">
        <v>11641</v>
      </c>
      <c r="AX3699" t="s">
        <v>10838</v>
      </c>
      <c r="BA3699" t="s">
        <v>11739</v>
      </c>
      <c r="BB3699">
        <v>0</v>
      </c>
      <c r="BC3699">
        <v>0</v>
      </c>
      <c r="BD3699">
        <v>0</v>
      </c>
      <c r="BE3699">
        <v>0</v>
      </c>
      <c r="BF3699">
        <v>4</v>
      </c>
      <c r="BG3699">
        <v>0</v>
      </c>
    </row>
    <row r="3700" spans="1:59">
      <c r="A3700" s="1">
        <f>HYPERLINK("https://lsnyc.legalserver.org/matter/dynamic-profile/view/1907810","19-1907810")</f>
        <v>0</v>
      </c>
      <c r="B3700" t="s">
        <v>3076</v>
      </c>
      <c r="C3700" t="s">
        <v>7861</v>
      </c>
      <c r="D3700" t="s">
        <v>9950</v>
      </c>
      <c r="E3700" t="s">
        <v>10075</v>
      </c>
      <c r="F3700">
        <v>11418</v>
      </c>
      <c r="G3700" t="s">
        <v>10092</v>
      </c>
      <c r="H3700" t="s">
        <v>10153</v>
      </c>
      <c r="I3700" t="s">
        <v>10168</v>
      </c>
      <c r="J3700" t="s">
        <v>10212</v>
      </c>
      <c r="K3700" t="s">
        <v>10217</v>
      </c>
      <c r="M3700" t="s">
        <v>10311</v>
      </c>
      <c r="N3700" t="s">
        <v>10684</v>
      </c>
      <c r="P3700" t="s">
        <v>10751</v>
      </c>
      <c r="Q3700" t="s">
        <v>10786</v>
      </c>
      <c r="R3700" t="s">
        <v>10827</v>
      </c>
      <c r="T3700">
        <v>8340</v>
      </c>
      <c r="U3700">
        <v>695</v>
      </c>
      <c r="V3700">
        <v>83</v>
      </c>
      <c r="W3700">
        <v>1</v>
      </c>
      <c r="X3700">
        <v>0</v>
      </c>
      <c r="Z3700">
        <v>66.77</v>
      </c>
      <c r="AA3700">
        <v>40.702919</v>
      </c>
      <c r="AB3700">
        <v>-73.822633</v>
      </c>
      <c r="AD3700" t="s">
        <v>10840</v>
      </c>
      <c r="AG3700" t="s">
        <v>10858</v>
      </c>
      <c r="AH3700" t="s">
        <v>10873</v>
      </c>
      <c r="AI3700">
        <v>237</v>
      </c>
      <c r="AJ3700" t="s">
        <v>10212</v>
      </c>
      <c r="AL3700">
        <v>2.25</v>
      </c>
      <c r="AM3700" t="s">
        <v>10892</v>
      </c>
      <c r="AN3700" t="s">
        <v>10962</v>
      </c>
      <c r="AO3700" t="s">
        <v>11020</v>
      </c>
      <c r="AP3700" t="s">
        <v>11083</v>
      </c>
      <c r="AR3700" t="s">
        <v>11263</v>
      </c>
      <c r="AS3700" t="s">
        <v>11594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</row>
    <row r="3701" spans="1:59">
      <c r="A3701" s="1">
        <f>HYPERLINK("https://lsnyc.legalserver.org/matter/dynamic-profile/view/1907811","19-1907811")</f>
        <v>0</v>
      </c>
      <c r="B3701" t="s">
        <v>1688</v>
      </c>
      <c r="C3701" t="s">
        <v>6488</v>
      </c>
      <c r="D3701" t="s">
        <v>9926</v>
      </c>
      <c r="E3701" t="s">
        <v>10075</v>
      </c>
      <c r="F3701">
        <v>10453</v>
      </c>
      <c r="G3701" t="s">
        <v>10091</v>
      </c>
      <c r="H3701" t="s">
        <v>10153</v>
      </c>
      <c r="I3701" t="s">
        <v>10168</v>
      </c>
      <c r="J3701" t="s">
        <v>10214</v>
      </c>
      <c r="K3701" t="s">
        <v>10217</v>
      </c>
      <c r="M3701" t="s">
        <v>10303</v>
      </c>
      <c r="N3701" t="s">
        <v>10676</v>
      </c>
      <c r="P3701" t="s">
        <v>10751</v>
      </c>
      <c r="Q3701" t="s">
        <v>10786</v>
      </c>
      <c r="R3701" t="s">
        <v>10821</v>
      </c>
      <c r="T3701">
        <v>8772</v>
      </c>
      <c r="U3701">
        <v>731</v>
      </c>
      <c r="V3701">
        <v>32</v>
      </c>
      <c r="W3701">
        <v>1</v>
      </c>
      <c r="X3701">
        <v>0</v>
      </c>
      <c r="Z3701">
        <v>70.23</v>
      </c>
      <c r="AA3701">
        <v>40.850929</v>
      </c>
      <c r="AB3701">
        <v>-73.90683</v>
      </c>
      <c r="AD3701" t="s">
        <v>10839</v>
      </c>
      <c r="AG3701" t="s">
        <v>10858</v>
      </c>
      <c r="AH3701" t="s">
        <v>10861</v>
      </c>
      <c r="AI3701">
        <v>234</v>
      </c>
      <c r="AJ3701" t="s">
        <v>10214</v>
      </c>
      <c r="AL3701">
        <v>0.95</v>
      </c>
      <c r="AR3701" t="s">
        <v>11263</v>
      </c>
      <c r="AS3701" t="s">
        <v>9926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</row>
    <row r="3702" spans="1:59">
      <c r="A3702" s="1">
        <f>HYPERLINK("https://lsnyc.legalserver.org/matter/dynamic-profile/view/1907812","19-1907812")</f>
        <v>0</v>
      </c>
      <c r="B3702" t="s">
        <v>3077</v>
      </c>
      <c r="C3702" t="s">
        <v>7862</v>
      </c>
      <c r="D3702" t="s">
        <v>9928</v>
      </c>
      <c r="E3702" t="s">
        <v>10075</v>
      </c>
      <c r="F3702">
        <v>11208</v>
      </c>
      <c r="G3702" t="s">
        <v>10093</v>
      </c>
      <c r="H3702" t="s">
        <v>10153</v>
      </c>
      <c r="I3702" t="s">
        <v>10168</v>
      </c>
      <c r="J3702" t="s">
        <v>10213</v>
      </c>
      <c r="K3702" t="s">
        <v>10217</v>
      </c>
      <c r="M3702" t="s">
        <v>10348</v>
      </c>
      <c r="N3702" t="s">
        <v>10650</v>
      </c>
      <c r="P3702" t="s">
        <v>10751</v>
      </c>
      <c r="Q3702" t="s">
        <v>10761</v>
      </c>
      <c r="R3702" t="s">
        <v>10824</v>
      </c>
      <c r="T3702">
        <v>10392</v>
      </c>
      <c r="U3702">
        <v>866</v>
      </c>
      <c r="V3702">
        <v>51</v>
      </c>
      <c r="W3702">
        <v>1</v>
      </c>
      <c r="X3702">
        <v>0</v>
      </c>
      <c r="Z3702">
        <v>83.2</v>
      </c>
      <c r="AA3702">
        <v>40.667109</v>
      </c>
      <c r="AB3702">
        <v>-73.859814</v>
      </c>
      <c r="AD3702" t="s">
        <v>10839</v>
      </c>
      <c r="AG3702" t="s">
        <v>10858</v>
      </c>
      <c r="AH3702" t="s">
        <v>10871</v>
      </c>
      <c r="AI3702">
        <v>239</v>
      </c>
      <c r="AJ3702" t="s">
        <v>10213</v>
      </c>
      <c r="AL3702">
        <v>12.5</v>
      </c>
      <c r="AM3702" t="s">
        <v>10889</v>
      </c>
      <c r="AN3702" t="s">
        <v>10946</v>
      </c>
      <c r="AO3702" t="s">
        <v>11012</v>
      </c>
      <c r="AP3702" t="s">
        <v>11060</v>
      </c>
      <c r="AR3702" t="s">
        <v>11296</v>
      </c>
      <c r="AS3702" t="s">
        <v>11595</v>
      </c>
      <c r="AT3702" t="s">
        <v>11641</v>
      </c>
      <c r="AX3702" t="s">
        <v>10838</v>
      </c>
      <c r="BA3702" t="s">
        <v>11737</v>
      </c>
      <c r="BB3702">
        <v>0</v>
      </c>
      <c r="BC3702">
        <v>0</v>
      </c>
      <c r="BD3702">
        <v>0</v>
      </c>
      <c r="BE3702">
        <v>0</v>
      </c>
      <c r="BF3702">
        <v>3</v>
      </c>
      <c r="BG3702">
        <v>0</v>
      </c>
    </row>
    <row r="3703" spans="1:59">
      <c r="A3703" s="1">
        <f>HYPERLINK("https://lsnyc.legalserver.org/matter/dynamic-profile/view/1907813","19-1907813")</f>
        <v>0</v>
      </c>
      <c r="B3703" t="s">
        <v>1106</v>
      </c>
      <c r="C3703" t="s">
        <v>5971</v>
      </c>
      <c r="D3703" t="s">
        <v>9948</v>
      </c>
      <c r="E3703" t="s">
        <v>10075</v>
      </c>
      <c r="F3703">
        <v>11691</v>
      </c>
      <c r="G3703" t="s">
        <v>10092</v>
      </c>
      <c r="H3703" t="s">
        <v>10153</v>
      </c>
      <c r="I3703" t="s">
        <v>10169</v>
      </c>
      <c r="J3703" t="s">
        <v>10212</v>
      </c>
      <c r="K3703" t="s">
        <v>10217</v>
      </c>
      <c r="M3703" t="s">
        <v>10320</v>
      </c>
      <c r="N3703" t="s">
        <v>10714</v>
      </c>
      <c r="P3703" t="s">
        <v>10753</v>
      </c>
      <c r="Q3703" t="s">
        <v>10763</v>
      </c>
      <c r="R3703" t="s">
        <v>10821</v>
      </c>
      <c r="T3703">
        <v>18000</v>
      </c>
      <c r="U3703">
        <v>1500</v>
      </c>
      <c r="V3703">
        <v>38</v>
      </c>
      <c r="W3703">
        <v>3</v>
      </c>
      <c r="X3703">
        <v>2</v>
      </c>
      <c r="Z3703">
        <v>59.66</v>
      </c>
      <c r="AA3703">
        <v>40.598939</v>
      </c>
      <c r="AB3703">
        <v>-73.75738800000001</v>
      </c>
      <c r="AD3703" t="s">
        <v>10839</v>
      </c>
      <c r="AF3703" t="s">
        <v>10846</v>
      </c>
      <c r="AG3703" t="s">
        <v>10859</v>
      </c>
      <c r="AH3703" t="s">
        <v>10864</v>
      </c>
      <c r="AI3703">
        <v>237</v>
      </c>
      <c r="AJ3703" t="s">
        <v>10212</v>
      </c>
      <c r="AL3703">
        <v>1.7</v>
      </c>
      <c r="AM3703" t="s">
        <v>10892</v>
      </c>
      <c r="AN3703" t="s">
        <v>10930</v>
      </c>
      <c r="AO3703" t="s">
        <v>11017</v>
      </c>
      <c r="AP3703" t="s">
        <v>11082</v>
      </c>
      <c r="AR3703" t="s">
        <v>11257</v>
      </c>
      <c r="AS3703" t="s">
        <v>11594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</row>
    <row r="3704" spans="1:59">
      <c r="A3704" s="1">
        <f>HYPERLINK("https://lsnyc.legalserver.org/matter/dynamic-profile/view/1907814","19-1907814")</f>
        <v>0</v>
      </c>
      <c r="B3704" t="s">
        <v>3078</v>
      </c>
      <c r="C3704" t="s">
        <v>7863</v>
      </c>
      <c r="D3704" t="s">
        <v>9925</v>
      </c>
      <c r="E3704" t="s">
        <v>10075</v>
      </c>
      <c r="F3704">
        <v>10027</v>
      </c>
      <c r="G3704" t="s">
        <v>10089</v>
      </c>
      <c r="H3704" t="s">
        <v>10153</v>
      </c>
      <c r="I3704" t="s">
        <v>10168</v>
      </c>
      <c r="J3704" t="s">
        <v>10209</v>
      </c>
      <c r="K3704" t="s">
        <v>10217</v>
      </c>
      <c r="M3704" t="s">
        <v>10501</v>
      </c>
      <c r="N3704" t="s">
        <v>10702</v>
      </c>
      <c r="P3704" t="s">
        <v>10749</v>
      </c>
      <c r="Q3704" t="s">
        <v>10765</v>
      </c>
      <c r="R3704" t="s">
        <v>10825</v>
      </c>
      <c r="T3704">
        <v>9312</v>
      </c>
      <c r="U3704">
        <v>776</v>
      </c>
      <c r="V3704">
        <v>66</v>
      </c>
      <c r="W3704">
        <v>1</v>
      </c>
      <c r="X3704">
        <v>0</v>
      </c>
      <c r="Z3704">
        <v>74.56</v>
      </c>
      <c r="AA3704">
        <v>40.809698</v>
      </c>
      <c r="AB3704">
        <v>-73.94644099999999</v>
      </c>
      <c r="AD3704" t="s">
        <v>10839</v>
      </c>
      <c r="AG3704" t="s">
        <v>10858</v>
      </c>
      <c r="AH3704" t="s">
        <v>10862</v>
      </c>
      <c r="AI3704">
        <v>236</v>
      </c>
      <c r="AJ3704" t="s">
        <v>10209</v>
      </c>
      <c r="AL3704">
        <v>1</v>
      </c>
      <c r="AM3704" t="s">
        <v>10887</v>
      </c>
      <c r="AN3704" t="s">
        <v>10936</v>
      </c>
      <c r="AO3704" t="s">
        <v>11016</v>
      </c>
      <c r="AP3704" t="s">
        <v>11076</v>
      </c>
      <c r="AR3704" t="s">
        <v>11338</v>
      </c>
      <c r="AS3704" t="s">
        <v>9925</v>
      </c>
      <c r="BA3704" t="s">
        <v>11738</v>
      </c>
      <c r="BB3704">
        <v>0</v>
      </c>
      <c r="BC3704">
        <v>0</v>
      </c>
      <c r="BD3704">
        <v>0</v>
      </c>
      <c r="BE3704">
        <v>0</v>
      </c>
      <c r="BF3704">
        <v>5</v>
      </c>
      <c r="BG3704">
        <v>0</v>
      </c>
    </row>
    <row r="3705" spans="1:59">
      <c r="A3705" s="1">
        <f>HYPERLINK("https://lsnyc.legalserver.org/matter/dynamic-profile/view/1907815","19-1907815")</f>
        <v>0</v>
      </c>
      <c r="B3705" t="s">
        <v>3079</v>
      </c>
      <c r="C3705" t="s">
        <v>7864</v>
      </c>
      <c r="D3705" t="s">
        <v>9929</v>
      </c>
      <c r="E3705" t="s">
        <v>10075</v>
      </c>
      <c r="F3705">
        <v>10301</v>
      </c>
      <c r="G3705" t="s">
        <v>10088</v>
      </c>
      <c r="H3705" t="s">
        <v>10153</v>
      </c>
      <c r="I3705" t="s">
        <v>10168</v>
      </c>
      <c r="J3705" t="s">
        <v>10208</v>
      </c>
      <c r="K3705" t="s">
        <v>10217</v>
      </c>
      <c r="M3705" t="s">
        <v>10228</v>
      </c>
      <c r="N3705" t="s">
        <v>10644</v>
      </c>
      <c r="P3705" t="s">
        <v>10749</v>
      </c>
      <c r="Q3705" t="s">
        <v>10759</v>
      </c>
      <c r="R3705" t="s">
        <v>10824</v>
      </c>
      <c r="T3705">
        <v>66600</v>
      </c>
      <c r="U3705">
        <v>5550</v>
      </c>
      <c r="V3705">
        <v>61</v>
      </c>
      <c r="W3705">
        <v>1</v>
      </c>
      <c r="X3705">
        <v>0</v>
      </c>
      <c r="Z3705">
        <v>533.23</v>
      </c>
      <c r="AA3705">
        <v>40.645073</v>
      </c>
      <c r="AB3705">
        <v>-74.084284</v>
      </c>
      <c r="AD3705" t="s">
        <v>10840</v>
      </c>
      <c r="AF3705" t="s">
        <v>10845</v>
      </c>
      <c r="AG3705" t="s">
        <v>10859</v>
      </c>
      <c r="AH3705" t="s">
        <v>10860</v>
      </c>
      <c r="AI3705">
        <v>285</v>
      </c>
      <c r="AJ3705" t="s">
        <v>10208</v>
      </c>
      <c r="AL3705">
        <v>2.6</v>
      </c>
      <c r="AM3705" t="s">
        <v>10883</v>
      </c>
      <c r="AN3705" t="s">
        <v>10913</v>
      </c>
      <c r="AO3705" t="s">
        <v>11006</v>
      </c>
      <c r="AP3705" t="s">
        <v>11051</v>
      </c>
      <c r="AR3705" t="s">
        <v>11466</v>
      </c>
      <c r="AS3705" t="s">
        <v>11593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</row>
    <row r="3706" spans="1:59">
      <c r="A3706" s="1">
        <f>HYPERLINK("https://lsnyc.legalserver.org/matter/dynamic-profile/view/1907816","19-1907816")</f>
        <v>0</v>
      </c>
      <c r="B3706" t="s">
        <v>3080</v>
      </c>
      <c r="C3706" t="s">
        <v>7865</v>
      </c>
      <c r="D3706" t="s">
        <v>9928</v>
      </c>
      <c r="E3706" t="s">
        <v>10075</v>
      </c>
      <c r="F3706">
        <v>11221</v>
      </c>
      <c r="G3706" t="s">
        <v>10091</v>
      </c>
      <c r="H3706" t="s">
        <v>10153</v>
      </c>
      <c r="I3706" t="s">
        <v>10168</v>
      </c>
      <c r="J3706" t="s">
        <v>10211</v>
      </c>
      <c r="K3706" t="s">
        <v>10217</v>
      </c>
      <c r="M3706" t="s">
        <v>10307</v>
      </c>
      <c r="N3706" t="s">
        <v>10671</v>
      </c>
      <c r="P3706" t="s">
        <v>10752</v>
      </c>
      <c r="Q3706" t="s">
        <v>10762</v>
      </c>
      <c r="R3706" t="s">
        <v>10824</v>
      </c>
      <c r="T3706">
        <v>8640</v>
      </c>
      <c r="U3706">
        <v>720</v>
      </c>
      <c r="V3706">
        <v>43</v>
      </c>
      <c r="W3706">
        <v>1</v>
      </c>
      <c r="X3706">
        <v>2</v>
      </c>
      <c r="Z3706">
        <v>40.51</v>
      </c>
      <c r="AA3706">
        <v>40.687835</v>
      </c>
      <c r="AB3706">
        <v>-73.93327600000001</v>
      </c>
      <c r="AD3706" t="s">
        <v>10839</v>
      </c>
      <c r="AG3706" t="s">
        <v>10858</v>
      </c>
      <c r="AH3706" t="s">
        <v>10861</v>
      </c>
      <c r="AI3706">
        <v>234</v>
      </c>
      <c r="AJ3706" t="s">
        <v>10214</v>
      </c>
      <c r="AL3706">
        <v>0.6</v>
      </c>
      <c r="AM3706" t="s">
        <v>10889</v>
      </c>
      <c r="AN3706" t="s">
        <v>10914</v>
      </c>
      <c r="AO3706" t="s">
        <v>11007</v>
      </c>
      <c r="AP3706" t="s">
        <v>11052</v>
      </c>
      <c r="AR3706" t="s">
        <v>11274</v>
      </c>
      <c r="AS3706" t="s">
        <v>11595</v>
      </c>
      <c r="AT3706" t="s">
        <v>11641</v>
      </c>
      <c r="AX3706" t="s">
        <v>10838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</row>
    <row r="3707" spans="1:59">
      <c r="A3707" s="1">
        <f>HYPERLINK("https://lsnyc.legalserver.org/matter/dynamic-profile/view/1907817","19-1907817")</f>
        <v>0</v>
      </c>
      <c r="B3707" t="s">
        <v>3081</v>
      </c>
      <c r="C3707" t="s">
        <v>7866</v>
      </c>
      <c r="D3707" t="s">
        <v>9948</v>
      </c>
      <c r="E3707" t="s">
        <v>10075</v>
      </c>
      <c r="F3707">
        <v>11691</v>
      </c>
      <c r="G3707" t="s">
        <v>10092</v>
      </c>
      <c r="H3707" t="s">
        <v>10153</v>
      </c>
      <c r="I3707" t="s">
        <v>10169</v>
      </c>
      <c r="J3707" t="s">
        <v>10212</v>
      </c>
      <c r="K3707" t="s">
        <v>10217</v>
      </c>
      <c r="M3707" t="s">
        <v>10320</v>
      </c>
      <c r="N3707" t="s">
        <v>10673</v>
      </c>
      <c r="P3707" t="s">
        <v>10753</v>
      </c>
      <c r="Q3707" t="s">
        <v>10763</v>
      </c>
      <c r="R3707" t="s">
        <v>10821</v>
      </c>
      <c r="T3707">
        <v>0</v>
      </c>
      <c r="U3707">
        <v>0</v>
      </c>
      <c r="V3707">
        <v>11</v>
      </c>
      <c r="W3707">
        <v>1</v>
      </c>
      <c r="X3707">
        <v>2</v>
      </c>
      <c r="Z3707">
        <v>0</v>
      </c>
      <c r="AA3707">
        <v>40.598939</v>
      </c>
      <c r="AB3707">
        <v>-73.75738800000001</v>
      </c>
      <c r="AD3707" t="s">
        <v>10840</v>
      </c>
      <c r="AF3707" t="s">
        <v>10846</v>
      </c>
      <c r="AG3707" t="s">
        <v>10859</v>
      </c>
      <c r="AH3707" t="s">
        <v>10864</v>
      </c>
      <c r="AI3707">
        <v>237</v>
      </c>
      <c r="AJ3707" t="s">
        <v>10212</v>
      </c>
      <c r="AL3707">
        <v>0.5</v>
      </c>
      <c r="AQ3707" t="s">
        <v>11142</v>
      </c>
      <c r="AR3707" t="s">
        <v>11267</v>
      </c>
      <c r="AS3707" t="s">
        <v>11594</v>
      </c>
      <c r="AX3707" t="s">
        <v>11678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</row>
    <row r="3708" spans="1:59">
      <c r="A3708" s="1">
        <f>HYPERLINK("https://lsnyc.legalserver.org/matter/dynamic-profile/view/1907818","19-1907818")</f>
        <v>0</v>
      </c>
      <c r="B3708" t="s">
        <v>3082</v>
      </c>
      <c r="C3708" t="s">
        <v>7867</v>
      </c>
      <c r="D3708" t="s">
        <v>9927</v>
      </c>
      <c r="E3708" t="s">
        <v>10075</v>
      </c>
      <c r="F3708">
        <v>11377</v>
      </c>
      <c r="G3708" t="s">
        <v>10092</v>
      </c>
      <c r="H3708" t="s">
        <v>10153</v>
      </c>
      <c r="I3708" t="s">
        <v>10169</v>
      </c>
      <c r="J3708" t="s">
        <v>10212</v>
      </c>
      <c r="K3708" t="s">
        <v>10217</v>
      </c>
      <c r="M3708" t="s">
        <v>10387</v>
      </c>
      <c r="N3708" t="s">
        <v>10650</v>
      </c>
      <c r="P3708" t="s">
        <v>10749</v>
      </c>
      <c r="Q3708" t="s">
        <v>10765</v>
      </c>
      <c r="R3708" t="s">
        <v>10821</v>
      </c>
      <c r="T3708">
        <v>16640</v>
      </c>
      <c r="U3708">
        <v>1386.67</v>
      </c>
      <c r="V3708">
        <v>62</v>
      </c>
      <c r="W3708">
        <v>1</v>
      </c>
      <c r="X3708">
        <v>0</v>
      </c>
      <c r="Z3708">
        <v>133.23</v>
      </c>
      <c r="AA3708">
        <v>40.741994</v>
      </c>
      <c r="AB3708">
        <v>-73.90494</v>
      </c>
      <c r="AD3708" t="s">
        <v>10839</v>
      </c>
      <c r="AF3708" t="s">
        <v>10843</v>
      </c>
      <c r="AG3708" t="s">
        <v>10859</v>
      </c>
      <c r="AH3708" t="s">
        <v>10862</v>
      </c>
      <c r="AI3708">
        <v>237</v>
      </c>
      <c r="AJ3708" t="s">
        <v>10212</v>
      </c>
      <c r="AL3708">
        <v>0.55</v>
      </c>
      <c r="AM3708" t="s">
        <v>10885</v>
      </c>
      <c r="AN3708" t="s">
        <v>10935</v>
      </c>
      <c r="AO3708" t="s">
        <v>11003</v>
      </c>
      <c r="AP3708" t="s">
        <v>11047</v>
      </c>
      <c r="AR3708" t="s">
        <v>11257</v>
      </c>
      <c r="AS3708" t="s">
        <v>11594</v>
      </c>
      <c r="AX3708" t="s">
        <v>10838</v>
      </c>
      <c r="BA3708" t="s">
        <v>11739</v>
      </c>
      <c r="BB3708">
        <v>0</v>
      </c>
      <c r="BC3708">
        <v>0</v>
      </c>
      <c r="BD3708">
        <v>0</v>
      </c>
      <c r="BE3708">
        <v>0</v>
      </c>
      <c r="BF3708">
        <v>4</v>
      </c>
      <c r="BG3708">
        <v>0</v>
      </c>
    </row>
    <row r="3709" spans="1:59">
      <c r="A3709" s="1">
        <f>HYPERLINK("https://lsnyc.legalserver.org/matter/dynamic-profile/view/1907819","19-1907819")</f>
        <v>0</v>
      </c>
      <c r="B3709" t="s">
        <v>3083</v>
      </c>
      <c r="C3709" t="s">
        <v>7868</v>
      </c>
      <c r="D3709" t="s">
        <v>9926</v>
      </c>
      <c r="E3709" t="s">
        <v>10075</v>
      </c>
      <c r="F3709">
        <v>10453</v>
      </c>
      <c r="G3709" t="s">
        <v>10090</v>
      </c>
      <c r="H3709" t="s">
        <v>10153</v>
      </c>
      <c r="I3709" t="s">
        <v>10168</v>
      </c>
      <c r="J3709" t="s">
        <v>10210</v>
      </c>
      <c r="K3709" t="s">
        <v>10217</v>
      </c>
      <c r="M3709" t="s">
        <v>10272</v>
      </c>
      <c r="N3709" t="s">
        <v>10671</v>
      </c>
      <c r="P3709" t="s">
        <v>10749</v>
      </c>
      <c r="Q3709" t="s">
        <v>10765</v>
      </c>
      <c r="R3709" t="s">
        <v>10821</v>
      </c>
      <c r="T3709">
        <v>5748</v>
      </c>
      <c r="U3709">
        <v>479</v>
      </c>
      <c r="V3709">
        <v>41</v>
      </c>
      <c r="W3709">
        <v>1</v>
      </c>
      <c r="X3709">
        <v>0</v>
      </c>
      <c r="Z3709">
        <v>46.02</v>
      </c>
      <c r="AA3709">
        <v>40.855618</v>
      </c>
      <c r="AB3709">
        <v>-73.913935</v>
      </c>
      <c r="AD3709" t="s">
        <v>10839</v>
      </c>
      <c r="AG3709" t="s">
        <v>10858</v>
      </c>
      <c r="AH3709" t="s">
        <v>10861</v>
      </c>
      <c r="AI3709">
        <v>234</v>
      </c>
      <c r="AJ3709" t="s">
        <v>10214</v>
      </c>
      <c r="AL3709">
        <v>0.9</v>
      </c>
      <c r="AM3709" t="s">
        <v>10884</v>
      </c>
      <c r="AN3709" t="s">
        <v>10931</v>
      </c>
      <c r="AO3709" t="s">
        <v>11000</v>
      </c>
      <c r="AP3709" t="s">
        <v>11045</v>
      </c>
      <c r="AR3709" t="s">
        <v>11320</v>
      </c>
      <c r="AS3709" t="s">
        <v>9926</v>
      </c>
      <c r="AT3709" t="s">
        <v>11641</v>
      </c>
      <c r="AX3709" t="s">
        <v>10838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</row>
    <row r="3710" spans="1:59">
      <c r="A3710" s="1">
        <f>HYPERLINK("https://lsnyc.legalserver.org/matter/dynamic-profile/view/1907820","19-1907820")</f>
        <v>0</v>
      </c>
      <c r="B3710" t="s">
        <v>1517</v>
      </c>
      <c r="C3710" t="s">
        <v>7869</v>
      </c>
      <c r="D3710" t="s">
        <v>9926</v>
      </c>
      <c r="E3710" t="s">
        <v>10075</v>
      </c>
      <c r="F3710">
        <v>10458</v>
      </c>
      <c r="G3710" t="s">
        <v>10091</v>
      </c>
      <c r="H3710" t="s">
        <v>10153</v>
      </c>
      <c r="I3710" t="s">
        <v>10168</v>
      </c>
      <c r="J3710" t="s">
        <v>10214</v>
      </c>
      <c r="K3710" t="s">
        <v>10217</v>
      </c>
      <c r="M3710" t="s">
        <v>10286</v>
      </c>
      <c r="N3710" t="s">
        <v>10671</v>
      </c>
      <c r="P3710" t="s">
        <v>10749</v>
      </c>
      <c r="Q3710" t="s">
        <v>10765</v>
      </c>
      <c r="R3710" t="s">
        <v>10824</v>
      </c>
      <c r="T3710">
        <v>9000</v>
      </c>
      <c r="U3710">
        <v>750</v>
      </c>
      <c r="V3710">
        <v>63</v>
      </c>
      <c r="W3710">
        <v>1</v>
      </c>
      <c r="X3710">
        <v>0</v>
      </c>
      <c r="Z3710">
        <v>72.06</v>
      </c>
      <c r="AA3710">
        <v>40.85676</v>
      </c>
      <c r="AB3710">
        <v>-73.89446</v>
      </c>
      <c r="AD3710" t="s">
        <v>10840</v>
      </c>
      <c r="AG3710" t="s">
        <v>10858</v>
      </c>
      <c r="AH3710" t="s">
        <v>10871</v>
      </c>
      <c r="AI3710">
        <v>234</v>
      </c>
      <c r="AJ3710" t="s">
        <v>10214</v>
      </c>
      <c r="AL3710">
        <v>1</v>
      </c>
      <c r="AM3710" t="s">
        <v>10884</v>
      </c>
      <c r="AN3710" t="s">
        <v>10931</v>
      </c>
      <c r="AO3710" t="s">
        <v>11000</v>
      </c>
      <c r="AP3710" t="s">
        <v>11056</v>
      </c>
      <c r="AR3710" t="s">
        <v>11268</v>
      </c>
      <c r="AS3710" t="s">
        <v>9926</v>
      </c>
      <c r="AT3710" t="s">
        <v>11642</v>
      </c>
      <c r="AX3710" t="s">
        <v>10838</v>
      </c>
      <c r="BA3710" t="s">
        <v>11741</v>
      </c>
      <c r="BB3710">
        <v>0</v>
      </c>
      <c r="BC3710">
        <v>0</v>
      </c>
      <c r="BD3710">
        <v>0</v>
      </c>
      <c r="BE3710">
        <v>0</v>
      </c>
      <c r="BF3710">
        <v>1</v>
      </c>
      <c r="BG3710">
        <v>0</v>
      </c>
    </row>
    <row r="3711" spans="1:59">
      <c r="A3711" s="1">
        <f>HYPERLINK("https://lsnyc.legalserver.org/matter/dynamic-profile/view/1907822","19-1907822")</f>
        <v>0</v>
      </c>
      <c r="B3711" t="s">
        <v>3084</v>
      </c>
      <c r="C3711" t="s">
        <v>7870</v>
      </c>
      <c r="D3711" t="s">
        <v>9926</v>
      </c>
      <c r="E3711" t="s">
        <v>10075</v>
      </c>
      <c r="F3711">
        <v>10459</v>
      </c>
      <c r="G3711" t="s">
        <v>10090</v>
      </c>
      <c r="H3711" t="s">
        <v>10153</v>
      </c>
      <c r="I3711" t="s">
        <v>10169</v>
      </c>
      <c r="J3711" t="s">
        <v>10210</v>
      </c>
      <c r="K3711" t="s">
        <v>10218</v>
      </c>
      <c r="L3711" t="s">
        <v>10111</v>
      </c>
      <c r="M3711" t="s">
        <v>10438</v>
      </c>
      <c r="N3711" t="s">
        <v>10677</v>
      </c>
      <c r="P3711" t="s">
        <v>10752</v>
      </c>
      <c r="Q3711" t="s">
        <v>10783</v>
      </c>
      <c r="R3711" t="s">
        <v>10821</v>
      </c>
      <c r="T3711">
        <v>18000</v>
      </c>
      <c r="U3711">
        <v>1500</v>
      </c>
      <c r="V3711">
        <v>78</v>
      </c>
      <c r="W3711">
        <v>1</v>
      </c>
      <c r="X3711">
        <v>0</v>
      </c>
      <c r="Y3711" t="s">
        <v>10830</v>
      </c>
      <c r="Z3711">
        <v>144.12</v>
      </c>
      <c r="AA3711">
        <v>40.830557</v>
      </c>
      <c r="AB3711">
        <v>-73.892972</v>
      </c>
      <c r="AD3711" t="s">
        <v>10839</v>
      </c>
      <c r="AG3711" t="s">
        <v>10858</v>
      </c>
      <c r="AH3711" t="s">
        <v>10863</v>
      </c>
      <c r="AI3711">
        <v>230</v>
      </c>
      <c r="AJ3711" t="s">
        <v>10210</v>
      </c>
      <c r="AK3711" t="s">
        <v>10882</v>
      </c>
      <c r="AL3711">
        <v>4.4</v>
      </c>
      <c r="AM3711" t="s">
        <v>10884</v>
      </c>
      <c r="AN3711" t="s">
        <v>10918</v>
      </c>
      <c r="AO3711" t="s">
        <v>11001</v>
      </c>
      <c r="AP3711" t="s">
        <v>11062</v>
      </c>
      <c r="AR3711" t="s">
        <v>11300</v>
      </c>
      <c r="AS3711" t="s">
        <v>9926</v>
      </c>
      <c r="AT3711" t="s">
        <v>11641</v>
      </c>
      <c r="AX3711" t="s">
        <v>10838</v>
      </c>
      <c r="AY3711" t="s">
        <v>10830</v>
      </c>
      <c r="AZ3711" t="s">
        <v>11731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</row>
    <row r="3712" spans="1:59">
      <c r="A3712" s="1">
        <f>HYPERLINK("https://lsnyc.legalserver.org/matter/dynamic-profile/view/1907823","19-1907823")</f>
        <v>0</v>
      </c>
      <c r="B3712" t="s">
        <v>720</v>
      </c>
      <c r="C3712" t="s">
        <v>7871</v>
      </c>
      <c r="D3712" t="s">
        <v>9925</v>
      </c>
      <c r="E3712" t="s">
        <v>10075</v>
      </c>
      <c r="F3712">
        <v>10031</v>
      </c>
      <c r="G3712" t="s">
        <v>10089</v>
      </c>
      <c r="H3712" t="s">
        <v>10153</v>
      </c>
      <c r="I3712" t="s">
        <v>10168</v>
      </c>
      <c r="J3712" t="s">
        <v>10209</v>
      </c>
      <c r="K3712" t="s">
        <v>10217</v>
      </c>
      <c r="M3712" t="s">
        <v>10453</v>
      </c>
      <c r="N3712" t="s">
        <v>10702</v>
      </c>
      <c r="P3712" t="s">
        <v>10749</v>
      </c>
      <c r="Q3712" t="s">
        <v>10765</v>
      </c>
      <c r="R3712" t="s">
        <v>10824</v>
      </c>
      <c r="T3712">
        <v>2392</v>
      </c>
      <c r="U3712">
        <v>199.33</v>
      </c>
      <c r="V3712">
        <v>39</v>
      </c>
      <c r="W3712">
        <v>1</v>
      </c>
      <c r="X3712">
        <v>0</v>
      </c>
      <c r="Z3712">
        <v>19.15</v>
      </c>
      <c r="AA3712">
        <v>40.823874</v>
      </c>
      <c r="AB3712">
        <v>-73.949828</v>
      </c>
      <c r="AD3712" t="s">
        <v>10840</v>
      </c>
      <c r="AG3712" t="s">
        <v>10858</v>
      </c>
      <c r="AH3712" t="s">
        <v>10862</v>
      </c>
      <c r="AI3712">
        <v>236</v>
      </c>
      <c r="AJ3712" t="s">
        <v>10209</v>
      </c>
      <c r="AL3712">
        <v>2.9</v>
      </c>
      <c r="AM3712" t="s">
        <v>10887</v>
      </c>
      <c r="AN3712" t="s">
        <v>10943</v>
      </c>
      <c r="AO3712" t="s">
        <v>11019</v>
      </c>
      <c r="AP3712" t="s">
        <v>11073</v>
      </c>
      <c r="AR3712" t="s">
        <v>11260</v>
      </c>
      <c r="AS3712" t="s">
        <v>9925</v>
      </c>
      <c r="BA3712" t="s">
        <v>11738</v>
      </c>
      <c r="BB3712">
        <v>0</v>
      </c>
      <c r="BC3712">
        <v>0</v>
      </c>
      <c r="BD3712">
        <v>0</v>
      </c>
      <c r="BE3712">
        <v>0</v>
      </c>
      <c r="BF3712">
        <v>5</v>
      </c>
      <c r="BG3712">
        <v>0</v>
      </c>
    </row>
    <row r="3713" spans="1:59">
      <c r="A3713" s="1">
        <f>HYPERLINK("https://lsnyc.legalserver.org/matter/dynamic-profile/view/1907824","19-1907824")</f>
        <v>0</v>
      </c>
      <c r="B3713" t="s">
        <v>3085</v>
      </c>
      <c r="C3713" t="s">
        <v>7872</v>
      </c>
      <c r="D3713" t="s">
        <v>9939</v>
      </c>
      <c r="E3713" t="s">
        <v>10075</v>
      </c>
      <c r="F3713">
        <v>11419</v>
      </c>
      <c r="G3713" t="s">
        <v>10092</v>
      </c>
      <c r="H3713" t="s">
        <v>10153</v>
      </c>
      <c r="I3713" t="s">
        <v>10168</v>
      </c>
      <c r="J3713" t="s">
        <v>10212</v>
      </c>
      <c r="K3713" t="s">
        <v>10217</v>
      </c>
      <c r="M3713" t="s">
        <v>10311</v>
      </c>
      <c r="N3713" t="s">
        <v>10684</v>
      </c>
      <c r="P3713" t="s">
        <v>10751</v>
      </c>
      <c r="Q3713" t="s">
        <v>10786</v>
      </c>
      <c r="R3713" t="s">
        <v>10827</v>
      </c>
      <c r="T3713">
        <v>6156</v>
      </c>
      <c r="U3713">
        <v>513</v>
      </c>
      <c r="V3713">
        <v>65</v>
      </c>
      <c r="W3713">
        <v>1</v>
      </c>
      <c r="X3713">
        <v>0</v>
      </c>
      <c r="Z3713">
        <v>49.29</v>
      </c>
      <c r="AA3713">
        <v>40.686619</v>
      </c>
      <c r="AB3713">
        <v>-73.82506600000001</v>
      </c>
      <c r="AD3713" t="s">
        <v>10839</v>
      </c>
      <c r="AG3713" t="s">
        <v>10858</v>
      </c>
      <c r="AH3713" t="s">
        <v>10873</v>
      </c>
      <c r="AI3713">
        <v>237</v>
      </c>
      <c r="AJ3713" t="s">
        <v>10212</v>
      </c>
      <c r="AL3713">
        <v>2.5</v>
      </c>
      <c r="AM3713" t="s">
        <v>10892</v>
      </c>
      <c r="AN3713" t="s">
        <v>10944</v>
      </c>
      <c r="AO3713" t="s">
        <v>11017</v>
      </c>
      <c r="AP3713" t="s">
        <v>11070</v>
      </c>
      <c r="AR3713" t="s">
        <v>11268</v>
      </c>
      <c r="AS3713" t="s">
        <v>11594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</row>
    <row r="3714" spans="1:59">
      <c r="A3714" s="1">
        <f>HYPERLINK("https://lsnyc.legalserver.org/matter/dynamic-profile/view/1907825","19-1907825")</f>
        <v>0</v>
      </c>
      <c r="B3714" t="s">
        <v>2370</v>
      </c>
      <c r="C3714" t="s">
        <v>7873</v>
      </c>
      <c r="D3714" t="s">
        <v>10035</v>
      </c>
      <c r="E3714" t="s">
        <v>10079</v>
      </c>
      <c r="F3714">
        <v>15314</v>
      </c>
      <c r="G3714" t="s">
        <v>10093</v>
      </c>
      <c r="H3714" t="s">
        <v>10153</v>
      </c>
      <c r="I3714" t="s">
        <v>10168</v>
      </c>
      <c r="J3714" t="s">
        <v>10213</v>
      </c>
      <c r="K3714" t="s">
        <v>10218</v>
      </c>
      <c r="L3714" t="s">
        <v>10143</v>
      </c>
      <c r="M3714" t="s">
        <v>10436</v>
      </c>
      <c r="N3714" t="s">
        <v>10710</v>
      </c>
      <c r="P3714" t="s">
        <v>10750</v>
      </c>
      <c r="Q3714" t="s">
        <v>10760</v>
      </c>
      <c r="R3714" t="s">
        <v>10820</v>
      </c>
      <c r="T3714">
        <v>60000</v>
      </c>
      <c r="U3714">
        <v>5000</v>
      </c>
      <c r="V3714">
        <v>62</v>
      </c>
      <c r="W3714">
        <v>2</v>
      </c>
      <c r="X3714">
        <v>0</v>
      </c>
      <c r="Y3714" t="s">
        <v>10829</v>
      </c>
      <c r="Z3714">
        <v>354.82</v>
      </c>
      <c r="AA3714">
        <v>40.139946</v>
      </c>
      <c r="AB3714">
        <v>-80.020065</v>
      </c>
      <c r="AD3714" t="s">
        <v>10840</v>
      </c>
      <c r="AG3714" t="s">
        <v>10858</v>
      </c>
      <c r="AH3714" t="s">
        <v>10861</v>
      </c>
      <c r="AI3714">
        <v>234</v>
      </c>
      <c r="AJ3714" t="s">
        <v>10214</v>
      </c>
      <c r="AK3714" t="s">
        <v>10838</v>
      </c>
      <c r="AL3714">
        <v>0.75</v>
      </c>
      <c r="AR3714" t="s">
        <v>11515</v>
      </c>
      <c r="AS3714" t="s">
        <v>9970</v>
      </c>
      <c r="AT3714" t="s">
        <v>11642</v>
      </c>
      <c r="AX3714" t="s">
        <v>10837</v>
      </c>
      <c r="AY3714" t="s">
        <v>10829</v>
      </c>
      <c r="AZ3714" t="s">
        <v>11679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</row>
    <row r="3715" spans="1:59">
      <c r="A3715" s="1">
        <f>HYPERLINK("https://lsnyc.legalserver.org/matter/dynamic-profile/view/1907826","19-1907826")</f>
        <v>0</v>
      </c>
      <c r="B3715" t="s">
        <v>649</v>
      </c>
      <c r="C3715" t="s">
        <v>7874</v>
      </c>
      <c r="D3715" t="s">
        <v>9928</v>
      </c>
      <c r="E3715" t="s">
        <v>10075</v>
      </c>
      <c r="F3715">
        <v>11226</v>
      </c>
      <c r="G3715" t="s">
        <v>10093</v>
      </c>
      <c r="H3715" t="s">
        <v>10153</v>
      </c>
      <c r="J3715" t="s">
        <v>10213</v>
      </c>
      <c r="K3715" t="s">
        <v>10217</v>
      </c>
      <c r="M3715" t="s">
        <v>10378</v>
      </c>
      <c r="N3715" t="s">
        <v>10698</v>
      </c>
      <c r="P3715" t="s">
        <v>10751</v>
      </c>
      <c r="Q3715" t="s">
        <v>10761</v>
      </c>
      <c r="R3715" t="s">
        <v>10824</v>
      </c>
      <c r="T3715">
        <v>31200</v>
      </c>
      <c r="U3715">
        <v>2600</v>
      </c>
      <c r="V3715">
        <v>53</v>
      </c>
      <c r="W3715">
        <v>1</v>
      </c>
      <c r="X3715">
        <v>0</v>
      </c>
      <c r="Z3715">
        <v>249.8</v>
      </c>
      <c r="AA3715">
        <v>40.646004</v>
      </c>
      <c r="AB3715">
        <v>-73.958849</v>
      </c>
      <c r="AD3715" t="s">
        <v>10840</v>
      </c>
      <c r="AG3715" t="s">
        <v>10858</v>
      </c>
      <c r="AH3715" t="s">
        <v>10868</v>
      </c>
      <c r="AI3715">
        <v>239</v>
      </c>
      <c r="AJ3715" t="s">
        <v>10213</v>
      </c>
      <c r="AL3715">
        <v>6.5</v>
      </c>
      <c r="AM3715" t="s">
        <v>10888</v>
      </c>
      <c r="AN3715" t="s">
        <v>10932</v>
      </c>
      <c r="AO3715" t="s">
        <v>11008</v>
      </c>
      <c r="AP3715" t="s">
        <v>11050</v>
      </c>
      <c r="AR3715" t="s">
        <v>11257</v>
      </c>
      <c r="AS3715" t="s">
        <v>11595</v>
      </c>
      <c r="AT3715" t="s">
        <v>11642</v>
      </c>
      <c r="AX3715" t="s">
        <v>10837</v>
      </c>
      <c r="BA3715" t="s">
        <v>11742</v>
      </c>
      <c r="BB3715">
        <v>0</v>
      </c>
      <c r="BC3715">
        <v>0</v>
      </c>
      <c r="BD3715">
        <v>0</v>
      </c>
      <c r="BE3715">
        <v>0</v>
      </c>
      <c r="BF3715">
        <v>7</v>
      </c>
      <c r="BG3715">
        <v>0</v>
      </c>
    </row>
    <row r="3716" spans="1:59">
      <c r="A3716" s="1">
        <f>HYPERLINK("https://lsnyc.legalserver.org/matter/dynamic-profile/view/1907827","19-1907827")</f>
        <v>0</v>
      </c>
      <c r="B3716" t="s">
        <v>3086</v>
      </c>
      <c r="C3716" t="s">
        <v>7875</v>
      </c>
      <c r="D3716" t="s">
        <v>9926</v>
      </c>
      <c r="E3716" t="s">
        <v>10075</v>
      </c>
      <c r="F3716">
        <v>10457</v>
      </c>
      <c r="G3716" t="s">
        <v>10090</v>
      </c>
      <c r="H3716" t="s">
        <v>10153</v>
      </c>
      <c r="I3716" t="s">
        <v>10169</v>
      </c>
      <c r="J3716" t="s">
        <v>10210</v>
      </c>
      <c r="K3716" t="s">
        <v>10217</v>
      </c>
      <c r="M3716" t="s">
        <v>10296</v>
      </c>
      <c r="N3716" t="s">
        <v>10673</v>
      </c>
      <c r="P3716" t="s">
        <v>10753</v>
      </c>
      <c r="Q3716" t="s">
        <v>10763</v>
      </c>
      <c r="R3716" t="s">
        <v>10823</v>
      </c>
      <c r="T3716">
        <v>7200</v>
      </c>
      <c r="U3716">
        <v>600</v>
      </c>
      <c r="V3716">
        <v>32</v>
      </c>
      <c r="W3716">
        <v>1</v>
      </c>
      <c r="X3716">
        <v>0</v>
      </c>
      <c r="Z3716">
        <v>57.65</v>
      </c>
      <c r="AA3716">
        <v>40.855015</v>
      </c>
      <c r="AB3716">
        <v>-73.89786100000001</v>
      </c>
      <c r="AD3716" t="s">
        <v>10840</v>
      </c>
      <c r="AF3716" t="s">
        <v>10842</v>
      </c>
      <c r="AG3716" t="s">
        <v>10859</v>
      </c>
      <c r="AH3716" t="s">
        <v>10864</v>
      </c>
      <c r="AI3716">
        <v>230</v>
      </c>
      <c r="AJ3716" t="s">
        <v>10210</v>
      </c>
      <c r="AL3716">
        <v>5.25</v>
      </c>
      <c r="AM3716" t="s">
        <v>10884</v>
      </c>
      <c r="AN3716" t="s">
        <v>10931</v>
      </c>
      <c r="AO3716" t="s">
        <v>11000</v>
      </c>
      <c r="AP3716" t="s">
        <v>11056</v>
      </c>
      <c r="AQ3716" t="s">
        <v>11140</v>
      </c>
      <c r="AR3716" t="s">
        <v>11257</v>
      </c>
      <c r="AS3716" t="s">
        <v>9926</v>
      </c>
      <c r="AT3716" t="s">
        <v>11642</v>
      </c>
      <c r="AV3716" t="s">
        <v>11655</v>
      </c>
      <c r="AW3716" t="s">
        <v>11666</v>
      </c>
      <c r="AX3716" t="s">
        <v>10837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</row>
    <row r="3717" spans="1:59">
      <c r="A3717" s="1">
        <f>HYPERLINK("https://lsnyc.legalserver.org/matter/dynamic-profile/view/1907828","19-1907828")</f>
        <v>0</v>
      </c>
      <c r="B3717" t="s">
        <v>3087</v>
      </c>
      <c r="C3717" t="s">
        <v>7876</v>
      </c>
      <c r="D3717" t="s">
        <v>9928</v>
      </c>
      <c r="E3717" t="s">
        <v>10075</v>
      </c>
      <c r="F3717">
        <v>11249</v>
      </c>
      <c r="G3717" t="s">
        <v>10093</v>
      </c>
      <c r="H3717" t="s">
        <v>10153</v>
      </c>
      <c r="I3717" t="s">
        <v>10168</v>
      </c>
      <c r="J3717" t="s">
        <v>10213</v>
      </c>
      <c r="K3717" t="s">
        <v>10217</v>
      </c>
      <c r="M3717" t="s">
        <v>10539</v>
      </c>
      <c r="N3717" t="s">
        <v>10664</v>
      </c>
      <c r="P3717" t="s">
        <v>10749</v>
      </c>
      <c r="Q3717" t="s">
        <v>10765</v>
      </c>
      <c r="R3717" t="s">
        <v>10824</v>
      </c>
      <c r="T3717">
        <v>0</v>
      </c>
      <c r="U3717">
        <v>0</v>
      </c>
      <c r="V3717">
        <v>33</v>
      </c>
      <c r="W3717">
        <v>1</v>
      </c>
      <c r="X3717">
        <v>0</v>
      </c>
      <c r="Z3717">
        <v>0</v>
      </c>
      <c r="AA3717">
        <v>40.713518</v>
      </c>
      <c r="AB3717">
        <v>-73.966938</v>
      </c>
      <c r="AC3717" t="s">
        <v>10837</v>
      </c>
      <c r="AD3717" t="s">
        <v>10840</v>
      </c>
      <c r="AG3717" t="s">
        <v>10858</v>
      </c>
      <c r="AH3717" t="s">
        <v>10861</v>
      </c>
      <c r="AI3717">
        <v>239</v>
      </c>
      <c r="AJ3717" t="s">
        <v>10213</v>
      </c>
      <c r="AL3717">
        <v>0</v>
      </c>
      <c r="AM3717" t="s">
        <v>10886</v>
      </c>
      <c r="AN3717" t="s">
        <v>10939</v>
      </c>
      <c r="AO3717" t="s">
        <v>11004</v>
      </c>
      <c r="AP3717" t="s">
        <v>11054</v>
      </c>
      <c r="AR3717" t="s">
        <v>11267</v>
      </c>
      <c r="AS3717" t="s">
        <v>11595</v>
      </c>
      <c r="BA3717" t="s">
        <v>11741</v>
      </c>
      <c r="BB3717">
        <v>0</v>
      </c>
      <c r="BC3717">
        <v>0</v>
      </c>
      <c r="BD3717">
        <v>0</v>
      </c>
      <c r="BE3717">
        <v>0</v>
      </c>
      <c r="BF3717">
        <v>1</v>
      </c>
      <c r="BG3717">
        <v>0</v>
      </c>
    </row>
    <row r="3718" spans="1:59">
      <c r="A3718" s="1">
        <f>HYPERLINK("https://lsnyc.legalserver.org/matter/dynamic-profile/view/1907829","19-1907829")</f>
        <v>0</v>
      </c>
      <c r="B3718" t="s">
        <v>3082</v>
      </c>
      <c r="C3718" t="s">
        <v>7867</v>
      </c>
      <c r="D3718" t="s">
        <v>9927</v>
      </c>
      <c r="E3718" t="s">
        <v>10075</v>
      </c>
      <c r="F3718">
        <v>11377</v>
      </c>
      <c r="G3718" t="s">
        <v>10092</v>
      </c>
      <c r="H3718" t="s">
        <v>10153</v>
      </c>
      <c r="I3718" t="s">
        <v>10169</v>
      </c>
      <c r="J3718" t="s">
        <v>10212</v>
      </c>
      <c r="K3718" t="s">
        <v>10217</v>
      </c>
      <c r="M3718" t="s">
        <v>10387</v>
      </c>
      <c r="N3718" t="s">
        <v>10650</v>
      </c>
      <c r="P3718" t="s">
        <v>10749</v>
      </c>
      <c r="Q3718" t="s">
        <v>10765</v>
      </c>
      <c r="R3718" t="s">
        <v>10821</v>
      </c>
      <c r="T3718">
        <v>16640</v>
      </c>
      <c r="U3718">
        <v>1386.67</v>
      </c>
      <c r="V3718">
        <v>62</v>
      </c>
      <c r="W3718">
        <v>1</v>
      </c>
      <c r="X3718">
        <v>0</v>
      </c>
      <c r="Z3718">
        <v>133.23</v>
      </c>
      <c r="AA3718">
        <v>40.741994</v>
      </c>
      <c r="AB3718">
        <v>-73.90494</v>
      </c>
      <c r="AD3718" t="s">
        <v>10839</v>
      </c>
      <c r="AF3718" t="s">
        <v>10843</v>
      </c>
      <c r="AG3718" t="s">
        <v>10859</v>
      </c>
      <c r="AH3718" t="s">
        <v>10862</v>
      </c>
      <c r="AI3718">
        <v>237</v>
      </c>
      <c r="AJ3718" t="s">
        <v>10212</v>
      </c>
      <c r="AL3718">
        <v>0.3</v>
      </c>
      <c r="AM3718" t="s">
        <v>10885</v>
      </c>
      <c r="AN3718" t="s">
        <v>10935</v>
      </c>
      <c r="AO3718" t="s">
        <v>11003</v>
      </c>
      <c r="AP3718" t="s">
        <v>11047</v>
      </c>
      <c r="AR3718" t="s">
        <v>11257</v>
      </c>
      <c r="AS3718" t="s">
        <v>11594</v>
      </c>
      <c r="BA3718" t="s">
        <v>11739</v>
      </c>
      <c r="BB3718">
        <v>0</v>
      </c>
      <c r="BC3718">
        <v>0</v>
      </c>
      <c r="BD3718">
        <v>0</v>
      </c>
      <c r="BE3718">
        <v>0</v>
      </c>
      <c r="BF3718">
        <v>4</v>
      </c>
      <c r="BG3718">
        <v>0</v>
      </c>
    </row>
    <row r="3719" spans="1:59">
      <c r="A3719" s="1">
        <f>HYPERLINK("https://lsnyc.legalserver.org/matter/dynamic-profile/view/1907830","19-1907830")</f>
        <v>0</v>
      </c>
      <c r="B3719" t="s">
        <v>1708</v>
      </c>
      <c r="C3719" t="s">
        <v>7877</v>
      </c>
      <c r="D3719" t="s">
        <v>9925</v>
      </c>
      <c r="E3719" t="s">
        <v>10075</v>
      </c>
      <c r="F3719">
        <v>10037</v>
      </c>
      <c r="G3719" t="s">
        <v>10091</v>
      </c>
      <c r="H3719" t="s">
        <v>10153</v>
      </c>
      <c r="I3719" t="s">
        <v>10168</v>
      </c>
      <c r="J3719" t="s">
        <v>10214</v>
      </c>
      <c r="K3719" t="s">
        <v>10217</v>
      </c>
      <c r="M3719" t="s">
        <v>10537</v>
      </c>
      <c r="N3719" t="s">
        <v>10671</v>
      </c>
      <c r="P3719" t="s">
        <v>10753</v>
      </c>
      <c r="Q3719" t="s">
        <v>10763</v>
      </c>
      <c r="R3719" t="s">
        <v>10824</v>
      </c>
      <c r="T3719">
        <v>35776</v>
      </c>
      <c r="U3719">
        <v>2981.33</v>
      </c>
      <c r="V3719">
        <v>41</v>
      </c>
      <c r="W3719">
        <v>3</v>
      </c>
      <c r="X3719">
        <v>3</v>
      </c>
      <c r="Z3719">
        <v>103.43</v>
      </c>
      <c r="AA3719">
        <v>40.811078</v>
      </c>
      <c r="AB3719">
        <v>-73.94009200000001</v>
      </c>
      <c r="AD3719" t="s">
        <v>10839</v>
      </c>
      <c r="AF3719" t="s">
        <v>10843</v>
      </c>
      <c r="AG3719" t="s">
        <v>10859</v>
      </c>
      <c r="AH3719" t="s">
        <v>10864</v>
      </c>
      <c r="AI3719">
        <v>234</v>
      </c>
      <c r="AJ3719" t="s">
        <v>10214</v>
      </c>
      <c r="AL3719">
        <v>0.65</v>
      </c>
      <c r="AM3719" t="s">
        <v>10887</v>
      </c>
      <c r="AN3719" t="s">
        <v>10936</v>
      </c>
      <c r="AO3719" t="s">
        <v>11016</v>
      </c>
      <c r="AP3719" t="s">
        <v>11076</v>
      </c>
      <c r="AR3719" t="s">
        <v>11278</v>
      </c>
      <c r="AS3719" t="s">
        <v>9925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</row>
    <row r="3720" spans="1:59">
      <c r="A3720" s="1">
        <f>HYPERLINK("https://lsnyc.legalserver.org/matter/dynamic-profile/view/1907831","19-1907831")</f>
        <v>0</v>
      </c>
      <c r="B3720" t="s">
        <v>3088</v>
      </c>
      <c r="C3720" t="s">
        <v>6554</v>
      </c>
      <c r="D3720" t="s">
        <v>9925</v>
      </c>
      <c r="E3720" t="s">
        <v>10075</v>
      </c>
      <c r="F3720">
        <v>10030</v>
      </c>
      <c r="G3720" t="s">
        <v>10089</v>
      </c>
      <c r="H3720" t="s">
        <v>10153</v>
      </c>
      <c r="I3720" t="s">
        <v>10169</v>
      </c>
      <c r="J3720" t="s">
        <v>10209</v>
      </c>
      <c r="K3720" t="s">
        <v>10217</v>
      </c>
      <c r="M3720" t="s">
        <v>10267</v>
      </c>
      <c r="N3720" t="s">
        <v>10671</v>
      </c>
      <c r="P3720" t="s">
        <v>10751</v>
      </c>
      <c r="Q3720" t="s">
        <v>10786</v>
      </c>
      <c r="R3720" t="s">
        <v>10821</v>
      </c>
      <c r="T3720">
        <v>21996</v>
      </c>
      <c r="U3720">
        <v>1833</v>
      </c>
      <c r="V3720">
        <v>55</v>
      </c>
      <c r="W3720">
        <v>1</v>
      </c>
      <c r="X3720">
        <v>0</v>
      </c>
      <c r="Z3720">
        <v>176.11</v>
      </c>
      <c r="AA3720">
        <v>40.820412</v>
      </c>
      <c r="AB3720">
        <v>-73.940804</v>
      </c>
      <c r="AD3720" t="s">
        <v>10839</v>
      </c>
      <c r="AG3720" t="s">
        <v>10858</v>
      </c>
      <c r="AH3720" t="s">
        <v>10871</v>
      </c>
      <c r="AI3720">
        <v>234</v>
      </c>
      <c r="AJ3720" t="s">
        <v>10214</v>
      </c>
      <c r="AL3720">
        <v>4.26</v>
      </c>
      <c r="AM3720" t="s">
        <v>10887</v>
      </c>
      <c r="AN3720" t="s">
        <v>10936</v>
      </c>
      <c r="AO3720" t="s">
        <v>11016</v>
      </c>
      <c r="AP3720" t="s">
        <v>11076</v>
      </c>
      <c r="AR3720" t="s">
        <v>11257</v>
      </c>
      <c r="AS3720" t="s">
        <v>9925</v>
      </c>
      <c r="AT3720" t="s">
        <v>11641</v>
      </c>
      <c r="AX3720" t="s">
        <v>10838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</row>
    <row r="3721" spans="1:59">
      <c r="A3721" s="1">
        <f>HYPERLINK("https://lsnyc.legalserver.org/matter/dynamic-profile/view/1907832","19-1907832")</f>
        <v>0</v>
      </c>
      <c r="B3721" t="s">
        <v>2581</v>
      </c>
      <c r="C3721" t="s">
        <v>7360</v>
      </c>
      <c r="D3721" t="s">
        <v>9926</v>
      </c>
      <c r="E3721" t="s">
        <v>10075</v>
      </c>
      <c r="F3721">
        <v>10452</v>
      </c>
      <c r="G3721" t="s">
        <v>10090</v>
      </c>
      <c r="H3721" t="s">
        <v>10153</v>
      </c>
      <c r="I3721" t="s">
        <v>10168</v>
      </c>
      <c r="J3721" t="s">
        <v>10210</v>
      </c>
      <c r="K3721" t="s">
        <v>10217</v>
      </c>
      <c r="M3721" t="s">
        <v>10593</v>
      </c>
      <c r="N3721" t="s">
        <v>10682</v>
      </c>
      <c r="P3721" t="s">
        <v>10751</v>
      </c>
      <c r="Q3721" t="s">
        <v>10796</v>
      </c>
      <c r="R3721" t="s">
        <v>10821</v>
      </c>
      <c r="T3721">
        <v>15600</v>
      </c>
      <c r="U3721">
        <v>1300</v>
      </c>
      <c r="V3721">
        <v>35</v>
      </c>
      <c r="W3721">
        <v>1</v>
      </c>
      <c r="X3721">
        <v>2</v>
      </c>
      <c r="Z3721">
        <v>73.14</v>
      </c>
      <c r="AA3721">
        <v>40.842493</v>
      </c>
      <c r="AB3721">
        <v>-73.914694</v>
      </c>
      <c r="AD3721" t="s">
        <v>10839</v>
      </c>
      <c r="AG3721" t="s">
        <v>10858</v>
      </c>
      <c r="AH3721" t="s">
        <v>10861</v>
      </c>
      <c r="AI3721">
        <v>234</v>
      </c>
      <c r="AJ3721" t="s">
        <v>10214</v>
      </c>
      <c r="AL3721">
        <v>2.6</v>
      </c>
      <c r="AR3721" t="s">
        <v>11257</v>
      </c>
      <c r="AS3721" t="s">
        <v>9926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</row>
    <row r="3722" spans="1:59">
      <c r="A3722" s="1">
        <f>HYPERLINK("https://lsnyc.legalserver.org/matter/dynamic-profile/view/1907833","19-1907833")</f>
        <v>0</v>
      </c>
      <c r="B3722" t="s">
        <v>3089</v>
      </c>
      <c r="C3722" t="s">
        <v>7878</v>
      </c>
      <c r="D3722" t="s">
        <v>9926</v>
      </c>
      <c r="E3722" t="s">
        <v>10075</v>
      </c>
      <c r="F3722">
        <v>10452</v>
      </c>
      <c r="G3722" t="s">
        <v>10090</v>
      </c>
      <c r="H3722" t="s">
        <v>10153</v>
      </c>
      <c r="I3722" t="s">
        <v>10169</v>
      </c>
      <c r="J3722" t="s">
        <v>10210</v>
      </c>
      <c r="K3722" t="s">
        <v>10217</v>
      </c>
      <c r="M3722" t="s">
        <v>10336</v>
      </c>
      <c r="N3722" t="s">
        <v>10671</v>
      </c>
      <c r="P3722" t="s">
        <v>10754</v>
      </c>
      <c r="Q3722" t="s">
        <v>10771</v>
      </c>
      <c r="R3722" t="s">
        <v>10821</v>
      </c>
      <c r="T3722">
        <v>0</v>
      </c>
      <c r="U3722">
        <v>0</v>
      </c>
      <c r="V3722">
        <v>55</v>
      </c>
      <c r="W3722">
        <v>2</v>
      </c>
      <c r="X3722">
        <v>0</v>
      </c>
      <c r="Z3722">
        <v>0</v>
      </c>
      <c r="AA3722">
        <v>40.839142</v>
      </c>
      <c r="AB3722">
        <v>-73.92741700000001</v>
      </c>
      <c r="AD3722" t="s">
        <v>10839</v>
      </c>
      <c r="AF3722" t="s">
        <v>10843</v>
      </c>
      <c r="AG3722" t="s">
        <v>10859</v>
      </c>
      <c r="AH3722" t="s">
        <v>10861</v>
      </c>
      <c r="AI3722">
        <v>234</v>
      </c>
      <c r="AJ3722" t="s">
        <v>10214</v>
      </c>
      <c r="AL3722">
        <v>2.8</v>
      </c>
      <c r="AM3722" t="s">
        <v>10884</v>
      </c>
      <c r="AN3722" t="s">
        <v>10929</v>
      </c>
      <c r="AO3722" t="s">
        <v>11013</v>
      </c>
      <c r="AP3722" t="s">
        <v>11055</v>
      </c>
      <c r="AR3722" t="s">
        <v>11279</v>
      </c>
      <c r="AS3722" t="s">
        <v>9926</v>
      </c>
      <c r="AT3722" t="s">
        <v>11641</v>
      </c>
      <c r="AX3722" t="s">
        <v>10838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</row>
    <row r="3723" spans="1:59">
      <c r="A3723" s="1">
        <f>HYPERLINK("https://lsnyc.legalserver.org/matter/dynamic-profile/view/1907834","19-1907834")</f>
        <v>0</v>
      </c>
      <c r="B3723" t="s">
        <v>3090</v>
      </c>
      <c r="C3723" t="s">
        <v>7879</v>
      </c>
      <c r="D3723" t="s">
        <v>9925</v>
      </c>
      <c r="E3723" t="s">
        <v>10075</v>
      </c>
      <c r="F3723">
        <v>10035</v>
      </c>
      <c r="G3723" t="s">
        <v>10091</v>
      </c>
      <c r="H3723" t="s">
        <v>10153</v>
      </c>
      <c r="I3723" t="s">
        <v>10169</v>
      </c>
      <c r="J3723" t="s">
        <v>10214</v>
      </c>
      <c r="K3723" t="s">
        <v>10217</v>
      </c>
      <c r="M3723" t="s">
        <v>10286</v>
      </c>
      <c r="N3723" t="s">
        <v>10671</v>
      </c>
      <c r="P3723" t="s">
        <v>10757</v>
      </c>
      <c r="Q3723" t="s">
        <v>10815</v>
      </c>
      <c r="R3723" t="s">
        <v>10823</v>
      </c>
      <c r="T3723">
        <v>24384</v>
      </c>
      <c r="U3723">
        <v>2032</v>
      </c>
      <c r="V3723">
        <v>71</v>
      </c>
      <c r="W3723">
        <v>2</v>
      </c>
      <c r="X3723">
        <v>0</v>
      </c>
      <c r="Z3723">
        <v>144.2</v>
      </c>
      <c r="AA3723">
        <v>40.798199</v>
      </c>
      <c r="AB3723">
        <v>-73.935968</v>
      </c>
      <c r="AD3723" t="s">
        <v>10839</v>
      </c>
      <c r="AG3723" t="s">
        <v>10858</v>
      </c>
      <c r="AH3723" t="s">
        <v>10861</v>
      </c>
      <c r="AI3723">
        <v>234</v>
      </c>
      <c r="AJ3723" t="s">
        <v>10214</v>
      </c>
      <c r="AL3723">
        <v>0.6</v>
      </c>
      <c r="AM3723" t="s">
        <v>10887</v>
      </c>
      <c r="AN3723" t="s">
        <v>10926</v>
      </c>
      <c r="AO3723" t="s">
        <v>11016</v>
      </c>
      <c r="AP3723" t="s">
        <v>11066</v>
      </c>
      <c r="AR3723" t="s">
        <v>11316</v>
      </c>
      <c r="AS3723" t="s">
        <v>9925</v>
      </c>
      <c r="AT3723" t="s">
        <v>11641</v>
      </c>
      <c r="AX3723" t="s">
        <v>10838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</row>
    <row r="3724" spans="1:59">
      <c r="A3724" s="1">
        <f>HYPERLINK("https://lsnyc.legalserver.org/matter/dynamic-profile/view/1907835","19-1907835")</f>
        <v>0</v>
      </c>
      <c r="B3724" t="s">
        <v>3091</v>
      </c>
      <c r="C3724" t="s">
        <v>7880</v>
      </c>
      <c r="D3724" t="s">
        <v>9925</v>
      </c>
      <c r="E3724" t="s">
        <v>10075</v>
      </c>
      <c r="F3724">
        <v>10031</v>
      </c>
      <c r="G3724" t="s">
        <v>10089</v>
      </c>
      <c r="H3724" t="s">
        <v>10153</v>
      </c>
      <c r="I3724" t="s">
        <v>10169</v>
      </c>
      <c r="J3724" t="s">
        <v>10209</v>
      </c>
      <c r="K3724" t="s">
        <v>10217</v>
      </c>
      <c r="M3724" t="s">
        <v>10388</v>
      </c>
      <c r="N3724" t="s">
        <v>10702</v>
      </c>
      <c r="P3724" t="s">
        <v>10749</v>
      </c>
      <c r="Q3724" t="s">
        <v>10765</v>
      </c>
      <c r="R3724" t="s">
        <v>10821</v>
      </c>
      <c r="T3724">
        <v>8916</v>
      </c>
      <c r="U3724">
        <v>743</v>
      </c>
      <c r="V3724">
        <v>59</v>
      </c>
      <c r="W3724">
        <v>3</v>
      </c>
      <c r="X3724">
        <v>5</v>
      </c>
      <c r="Z3724">
        <v>20.53</v>
      </c>
      <c r="AA3724">
        <v>40.826563</v>
      </c>
      <c r="AB3724">
        <v>-73.95138900000001</v>
      </c>
      <c r="AD3724" t="s">
        <v>10839</v>
      </c>
      <c r="AF3724" t="s">
        <v>10843</v>
      </c>
      <c r="AG3724" t="s">
        <v>10859</v>
      </c>
      <c r="AH3724" t="s">
        <v>10862</v>
      </c>
      <c r="AI3724">
        <v>236</v>
      </c>
      <c r="AJ3724" t="s">
        <v>10209</v>
      </c>
      <c r="AL3724">
        <v>3.6</v>
      </c>
      <c r="AM3724" t="s">
        <v>10887</v>
      </c>
      <c r="AN3724" t="s">
        <v>10943</v>
      </c>
      <c r="AO3724" t="s">
        <v>11019</v>
      </c>
      <c r="AP3724" t="s">
        <v>11073</v>
      </c>
      <c r="AR3724" t="s">
        <v>11274</v>
      </c>
      <c r="AS3724" t="s">
        <v>9925</v>
      </c>
      <c r="BA3724" t="s">
        <v>11738</v>
      </c>
      <c r="BB3724">
        <v>0</v>
      </c>
      <c r="BC3724">
        <v>0</v>
      </c>
      <c r="BD3724">
        <v>0</v>
      </c>
      <c r="BE3724">
        <v>0</v>
      </c>
      <c r="BF3724">
        <v>5</v>
      </c>
      <c r="BG3724">
        <v>0</v>
      </c>
    </row>
    <row r="3725" spans="1:59">
      <c r="A3725" s="1">
        <f>HYPERLINK("https://lsnyc.legalserver.org/matter/dynamic-profile/view/1907836","19-1907836")</f>
        <v>0</v>
      </c>
      <c r="B3725" t="s">
        <v>2581</v>
      </c>
      <c r="C3725" t="s">
        <v>7360</v>
      </c>
      <c r="D3725" t="s">
        <v>9926</v>
      </c>
      <c r="E3725" t="s">
        <v>10075</v>
      </c>
      <c r="F3725">
        <v>10452</v>
      </c>
      <c r="G3725" t="s">
        <v>10090</v>
      </c>
      <c r="H3725" t="s">
        <v>10153</v>
      </c>
      <c r="I3725" t="s">
        <v>10168</v>
      </c>
      <c r="J3725" t="s">
        <v>10210</v>
      </c>
      <c r="K3725" t="s">
        <v>10217</v>
      </c>
      <c r="M3725" t="s">
        <v>10593</v>
      </c>
      <c r="N3725" t="s">
        <v>10682</v>
      </c>
      <c r="P3725" t="s">
        <v>10751</v>
      </c>
      <c r="Q3725" t="s">
        <v>10776</v>
      </c>
      <c r="R3725" t="s">
        <v>10821</v>
      </c>
      <c r="T3725">
        <v>15600</v>
      </c>
      <c r="U3725">
        <v>1300</v>
      </c>
      <c r="V3725">
        <v>35</v>
      </c>
      <c r="W3725">
        <v>1</v>
      </c>
      <c r="X3725">
        <v>2</v>
      </c>
      <c r="Z3725">
        <v>73.14</v>
      </c>
      <c r="AA3725">
        <v>40.842493</v>
      </c>
      <c r="AB3725">
        <v>-73.914694</v>
      </c>
      <c r="AD3725" t="s">
        <v>10839</v>
      </c>
      <c r="AG3725" t="s">
        <v>10858</v>
      </c>
      <c r="AH3725" t="s">
        <v>10861</v>
      </c>
      <c r="AI3725">
        <v>234</v>
      </c>
      <c r="AJ3725" t="s">
        <v>10214</v>
      </c>
      <c r="AL3725">
        <v>13.1</v>
      </c>
      <c r="AQ3725" t="s">
        <v>11156</v>
      </c>
      <c r="AR3725" t="s">
        <v>11257</v>
      </c>
      <c r="AS3725" t="s">
        <v>9926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</row>
    <row r="3726" spans="1:59">
      <c r="A3726" s="1">
        <f>HYPERLINK("https://lsnyc.legalserver.org/matter/dynamic-profile/view/1907837","19-1907837")</f>
        <v>0</v>
      </c>
      <c r="B3726" t="s">
        <v>309</v>
      </c>
      <c r="C3726" t="s">
        <v>7867</v>
      </c>
      <c r="D3726" t="s">
        <v>9927</v>
      </c>
      <c r="E3726" t="s">
        <v>10075</v>
      </c>
      <c r="F3726">
        <v>11377</v>
      </c>
      <c r="G3726" t="s">
        <v>10092</v>
      </c>
      <c r="H3726" t="s">
        <v>10153</v>
      </c>
      <c r="I3726" t="s">
        <v>10168</v>
      </c>
      <c r="J3726" t="s">
        <v>10212</v>
      </c>
      <c r="K3726" t="s">
        <v>10217</v>
      </c>
      <c r="M3726" t="s">
        <v>10387</v>
      </c>
      <c r="N3726" t="s">
        <v>10650</v>
      </c>
      <c r="P3726" t="s">
        <v>10749</v>
      </c>
      <c r="Q3726" t="s">
        <v>10765</v>
      </c>
      <c r="R3726" t="s">
        <v>10820</v>
      </c>
      <c r="T3726">
        <v>20316</v>
      </c>
      <c r="U3726">
        <v>1693</v>
      </c>
      <c r="V3726">
        <v>60</v>
      </c>
      <c r="W3726">
        <v>1</v>
      </c>
      <c r="X3726">
        <v>0</v>
      </c>
      <c r="Z3726">
        <v>162.66</v>
      </c>
      <c r="AA3726">
        <v>40.741994</v>
      </c>
      <c r="AB3726">
        <v>-73.90494</v>
      </c>
      <c r="AD3726" t="s">
        <v>10840</v>
      </c>
      <c r="AG3726" t="s">
        <v>10858</v>
      </c>
      <c r="AH3726" t="s">
        <v>10862</v>
      </c>
      <c r="AI3726">
        <v>237</v>
      </c>
      <c r="AJ3726" t="s">
        <v>10212</v>
      </c>
      <c r="AL3726">
        <v>0.4</v>
      </c>
      <c r="AM3726" t="s">
        <v>10885</v>
      </c>
      <c r="AN3726" t="s">
        <v>10935</v>
      </c>
      <c r="AO3726" t="s">
        <v>11003</v>
      </c>
      <c r="AP3726" t="s">
        <v>11047</v>
      </c>
      <c r="AR3726" t="s">
        <v>11296</v>
      </c>
      <c r="AS3726" t="s">
        <v>11594</v>
      </c>
      <c r="BA3726" t="s">
        <v>11739</v>
      </c>
      <c r="BB3726">
        <v>0</v>
      </c>
      <c r="BC3726">
        <v>0</v>
      </c>
      <c r="BD3726">
        <v>0</v>
      </c>
      <c r="BE3726">
        <v>0</v>
      </c>
      <c r="BF3726">
        <v>4</v>
      </c>
      <c r="BG3726">
        <v>0</v>
      </c>
    </row>
    <row r="3727" spans="1:59">
      <c r="A3727" s="1">
        <f>HYPERLINK("https://lsnyc.legalserver.org/matter/dynamic-profile/view/1907838","19-1907838")</f>
        <v>0</v>
      </c>
      <c r="B3727" t="s">
        <v>2718</v>
      </c>
      <c r="C3727" t="s">
        <v>7881</v>
      </c>
      <c r="D3727" t="s">
        <v>9925</v>
      </c>
      <c r="E3727" t="s">
        <v>10075</v>
      </c>
      <c r="F3727">
        <v>10031</v>
      </c>
      <c r="G3727" t="s">
        <v>10089</v>
      </c>
      <c r="H3727" t="s">
        <v>10153</v>
      </c>
      <c r="I3727" t="s">
        <v>10169</v>
      </c>
      <c r="J3727" t="s">
        <v>10209</v>
      </c>
      <c r="K3727" t="s">
        <v>10217</v>
      </c>
      <c r="M3727" t="s">
        <v>10459</v>
      </c>
      <c r="N3727" t="s">
        <v>10656</v>
      </c>
      <c r="P3727" t="s">
        <v>10751</v>
      </c>
      <c r="Q3727" t="s">
        <v>10780</v>
      </c>
      <c r="R3727" t="s">
        <v>10821</v>
      </c>
      <c r="T3727">
        <v>0</v>
      </c>
      <c r="U3727">
        <v>0</v>
      </c>
      <c r="V3727">
        <v>55</v>
      </c>
      <c r="W3727">
        <v>1</v>
      </c>
      <c r="X3727">
        <v>0</v>
      </c>
      <c r="Z3727">
        <v>0</v>
      </c>
      <c r="AA3727">
        <v>40.82738</v>
      </c>
      <c r="AB3727">
        <v>-73.941424</v>
      </c>
      <c r="AD3727" t="s">
        <v>10839</v>
      </c>
      <c r="AG3727" t="s">
        <v>10858</v>
      </c>
      <c r="AH3727" t="s">
        <v>10861</v>
      </c>
      <c r="AI3727">
        <v>234</v>
      </c>
      <c r="AJ3727" t="s">
        <v>10214</v>
      </c>
      <c r="AL3727">
        <v>41</v>
      </c>
      <c r="AM3727" t="s">
        <v>10887</v>
      </c>
      <c r="AN3727" t="s">
        <v>10943</v>
      </c>
      <c r="AO3727" t="s">
        <v>11016</v>
      </c>
      <c r="AP3727" t="s">
        <v>11076</v>
      </c>
      <c r="AR3727" t="s">
        <v>11279</v>
      </c>
      <c r="AS3727" t="s">
        <v>9925</v>
      </c>
      <c r="AT3727" t="s">
        <v>11641</v>
      </c>
      <c r="AX3727" t="s">
        <v>10838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</row>
    <row r="3728" spans="1:59">
      <c r="A3728" s="1">
        <f>HYPERLINK("https://lsnyc.legalserver.org/matter/dynamic-profile/view/1907839","19-1907839")</f>
        <v>0</v>
      </c>
      <c r="B3728" t="s">
        <v>2581</v>
      </c>
      <c r="C3728" t="s">
        <v>7360</v>
      </c>
      <c r="D3728" t="s">
        <v>9926</v>
      </c>
      <c r="E3728" t="s">
        <v>10075</v>
      </c>
      <c r="F3728">
        <v>10452</v>
      </c>
      <c r="G3728" t="s">
        <v>10090</v>
      </c>
      <c r="H3728" t="s">
        <v>10153</v>
      </c>
      <c r="I3728" t="s">
        <v>10168</v>
      </c>
      <c r="J3728" t="s">
        <v>10210</v>
      </c>
      <c r="K3728" t="s">
        <v>10218</v>
      </c>
      <c r="L3728" t="s">
        <v>10158</v>
      </c>
      <c r="M3728" t="s">
        <v>10593</v>
      </c>
      <c r="N3728" t="s">
        <v>10682</v>
      </c>
      <c r="P3728" t="s">
        <v>10751</v>
      </c>
      <c r="Q3728" t="s">
        <v>10786</v>
      </c>
      <c r="R3728" t="s">
        <v>10821</v>
      </c>
      <c r="T3728">
        <v>15600</v>
      </c>
      <c r="U3728">
        <v>1300</v>
      </c>
      <c r="V3728">
        <v>35</v>
      </c>
      <c r="W3728">
        <v>1</v>
      </c>
      <c r="X3728">
        <v>2</v>
      </c>
      <c r="Y3728" t="s">
        <v>10831</v>
      </c>
      <c r="Z3728">
        <v>73.14</v>
      </c>
      <c r="AA3728">
        <v>40.842493</v>
      </c>
      <c r="AB3728">
        <v>-73.914694</v>
      </c>
      <c r="AD3728" t="s">
        <v>10839</v>
      </c>
      <c r="AG3728" t="s">
        <v>10858</v>
      </c>
      <c r="AH3728" t="s">
        <v>10861</v>
      </c>
      <c r="AI3728">
        <v>234</v>
      </c>
      <c r="AJ3728" t="s">
        <v>10214</v>
      </c>
      <c r="AK3728" t="s">
        <v>10838</v>
      </c>
      <c r="AL3728">
        <v>12</v>
      </c>
      <c r="AR3728" t="s">
        <v>11257</v>
      </c>
      <c r="AS3728" t="s">
        <v>9926</v>
      </c>
      <c r="AY3728" t="s">
        <v>10831</v>
      </c>
      <c r="AZ3728" t="s">
        <v>11688</v>
      </c>
      <c r="BB3728">
        <v>0</v>
      </c>
      <c r="BC3728">
        <v>0</v>
      </c>
      <c r="BD3728">
        <v>271</v>
      </c>
      <c r="BE3728">
        <v>0</v>
      </c>
      <c r="BF3728">
        <v>0</v>
      </c>
      <c r="BG3728">
        <v>0</v>
      </c>
    </row>
    <row r="3729" spans="1:59">
      <c r="A3729" s="1">
        <f>HYPERLINK("https://lsnyc.legalserver.org/matter/dynamic-profile/view/1907840","19-1907840")</f>
        <v>0</v>
      </c>
      <c r="B3729" t="s">
        <v>3092</v>
      </c>
      <c r="C3729" t="s">
        <v>7882</v>
      </c>
      <c r="D3729" t="s">
        <v>9928</v>
      </c>
      <c r="E3729" t="s">
        <v>10075</v>
      </c>
      <c r="F3729">
        <v>11212</v>
      </c>
      <c r="G3729" t="s">
        <v>10093</v>
      </c>
      <c r="H3729" t="s">
        <v>10153</v>
      </c>
      <c r="I3729" t="s">
        <v>10168</v>
      </c>
      <c r="J3729" t="s">
        <v>10213</v>
      </c>
      <c r="K3729" t="s">
        <v>10217</v>
      </c>
      <c r="M3729" t="s">
        <v>10528</v>
      </c>
      <c r="N3729" t="s">
        <v>10664</v>
      </c>
      <c r="P3729" t="s">
        <v>10749</v>
      </c>
      <c r="Q3729" t="s">
        <v>10767</v>
      </c>
      <c r="R3729" t="s">
        <v>10824</v>
      </c>
      <c r="T3729">
        <v>0</v>
      </c>
      <c r="U3729">
        <v>0</v>
      </c>
      <c r="V3729">
        <v>43</v>
      </c>
      <c r="W3729">
        <v>2</v>
      </c>
      <c r="X3729">
        <v>3</v>
      </c>
      <c r="Z3729">
        <v>0</v>
      </c>
      <c r="AA3729">
        <v>40.666421</v>
      </c>
      <c r="AB3729">
        <v>-73.90942699999999</v>
      </c>
      <c r="AD3729" t="s">
        <v>10840</v>
      </c>
      <c r="AG3729" t="s">
        <v>10858</v>
      </c>
      <c r="AH3729" t="s">
        <v>10862</v>
      </c>
      <c r="AI3729">
        <v>239</v>
      </c>
      <c r="AJ3729" t="s">
        <v>10213</v>
      </c>
      <c r="AL3729">
        <v>0</v>
      </c>
      <c r="AM3729" t="s">
        <v>10888</v>
      </c>
      <c r="AN3729" t="s">
        <v>10922</v>
      </c>
      <c r="AO3729" t="s">
        <v>11005</v>
      </c>
      <c r="AP3729" t="s">
        <v>11064</v>
      </c>
      <c r="AR3729" t="s">
        <v>11267</v>
      </c>
      <c r="AS3729" t="s">
        <v>11595</v>
      </c>
      <c r="BA3729" t="s">
        <v>11741</v>
      </c>
      <c r="BB3729">
        <v>0</v>
      </c>
      <c r="BC3729">
        <v>0</v>
      </c>
      <c r="BD3729">
        <v>0</v>
      </c>
      <c r="BE3729">
        <v>0</v>
      </c>
      <c r="BF3729">
        <v>1</v>
      </c>
      <c r="BG3729">
        <v>0</v>
      </c>
    </row>
    <row r="3730" spans="1:59">
      <c r="A3730" s="1">
        <f>HYPERLINK("https://lsnyc.legalserver.org/matter/dynamic-profile/view/1907841","19-1907841")</f>
        <v>0</v>
      </c>
      <c r="B3730" t="s">
        <v>3093</v>
      </c>
      <c r="C3730" t="s">
        <v>7883</v>
      </c>
      <c r="D3730" t="s">
        <v>9927</v>
      </c>
      <c r="E3730" t="s">
        <v>10075</v>
      </c>
      <c r="F3730">
        <v>11377</v>
      </c>
      <c r="G3730" t="s">
        <v>10092</v>
      </c>
      <c r="H3730" t="s">
        <v>10153</v>
      </c>
      <c r="I3730" t="s">
        <v>10168</v>
      </c>
      <c r="J3730" t="s">
        <v>10212</v>
      </c>
      <c r="K3730" t="s">
        <v>10218</v>
      </c>
      <c r="L3730" t="s">
        <v>10158</v>
      </c>
      <c r="M3730" t="s">
        <v>10325</v>
      </c>
      <c r="N3730" t="s">
        <v>10671</v>
      </c>
      <c r="P3730" t="s">
        <v>10757</v>
      </c>
      <c r="Q3730" t="s">
        <v>10789</v>
      </c>
      <c r="R3730" t="s">
        <v>10827</v>
      </c>
      <c r="T3730">
        <v>12000</v>
      </c>
      <c r="U3730">
        <v>1000</v>
      </c>
      <c r="V3730">
        <v>41</v>
      </c>
      <c r="W3730">
        <v>2</v>
      </c>
      <c r="X3730">
        <v>1</v>
      </c>
      <c r="Y3730" t="s">
        <v>10829</v>
      </c>
      <c r="Z3730">
        <v>56.26</v>
      </c>
      <c r="AA3730">
        <v>40.757925</v>
      </c>
      <c r="AB3730">
        <v>-73.90553199999999</v>
      </c>
      <c r="AD3730" t="s">
        <v>10839</v>
      </c>
      <c r="AG3730" t="s">
        <v>10858</v>
      </c>
      <c r="AH3730" t="s">
        <v>10871</v>
      </c>
      <c r="AI3730">
        <v>234</v>
      </c>
      <c r="AJ3730" t="s">
        <v>10214</v>
      </c>
      <c r="AK3730" t="s">
        <v>10838</v>
      </c>
      <c r="AL3730">
        <v>1.66</v>
      </c>
      <c r="AM3730" t="s">
        <v>10885</v>
      </c>
      <c r="AN3730" t="s">
        <v>10935</v>
      </c>
      <c r="AO3730" t="s">
        <v>11003</v>
      </c>
      <c r="AP3730" t="s">
        <v>11084</v>
      </c>
      <c r="AR3730" t="s">
        <v>11327</v>
      </c>
      <c r="AS3730" t="s">
        <v>11594</v>
      </c>
      <c r="AT3730" t="s">
        <v>11641</v>
      </c>
      <c r="AX3730" t="s">
        <v>10838</v>
      </c>
      <c r="AY3730" t="s">
        <v>10829</v>
      </c>
      <c r="AZ3730" t="s">
        <v>11703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</row>
    <row r="3731" spans="1:59">
      <c r="A3731" s="1">
        <f>HYPERLINK("https://lsnyc.legalserver.org/matter/dynamic-profile/view/1907842","19-1907842")</f>
        <v>0</v>
      </c>
      <c r="B3731" t="s">
        <v>2581</v>
      </c>
      <c r="C3731" t="s">
        <v>7360</v>
      </c>
      <c r="D3731" t="s">
        <v>9926</v>
      </c>
      <c r="E3731" t="s">
        <v>10075</v>
      </c>
      <c r="F3731">
        <v>10452</v>
      </c>
      <c r="G3731" t="s">
        <v>10090</v>
      </c>
      <c r="H3731" t="s">
        <v>10153</v>
      </c>
      <c r="I3731" t="s">
        <v>10168</v>
      </c>
      <c r="J3731" t="s">
        <v>10210</v>
      </c>
      <c r="K3731" t="s">
        <v>10217</v>
      </c>
      <c r="M3731" t="s">
        <v>10593</v>
      </c>
      <c r="N3731" t="s">
        <v>10688</v>
      </c>
      <c r="P3731" t="s">
        <v>10757</v>
      </c>
      <c r="Q3731" t="s">
        <v>10789</v>
      </c>
      <c r="R3731" t="s">
        <v>10821</v>
      </c>
      <c r="T3731">
        <v>15600</v>
      </c>
      <c r="U3731">
        <v>1300</v>
      </c>
      <c r="V3731">
        <v>35</v>
      </c>
      <c r="W3731">
        <v>1</v>
      </c>
      <c r="X3731">
        <v>2</v>
      </c>
      <c r="Z3731">
        <v>73.14</v>
      </c>
      <c r="AA3731">
        <v>40.842493</v>
      </c>
      <c r="AB3731">
        <v>-73.914694</v>
      </c>
      <c r="AD3731" t="s">
        <v>10839</v>
      </c>
      <c r="AG3731" t="s">
        <v>10858</v>
      </c>
      <c r="AH3731" t="s">
        <v>10861</v>
      </c>
      <c r="AI3731">
        <v>234</v>
      </c>
      <c r="AJ3731" t="s">
        <v>10214</v>
      </c>
      <c r="AL3731">
        <v>13.35</v>
      </c>
      <c r="AQ3731" t="s">
        <v>11121</v>
      </c>
      <c r="AR3731" t="s">
        <v>11257</v>
      </c>
      <c r="AS3731" t="s">
        <v>9926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</row>
    <row r="3732" spans="1:59">
      <c r="A3732" s="1">
        <f>HYPERLINK("https://lsnyc.legalserver.org/matter/dynamic-profile/view/1907843","19-1907843")</f>
        <v>0</v>
      </c>
      <c r="B3732" t="s">
        <v>1535</v>
      </c>
      <c r="C3732" t="s">
        <v>5226</v>
      </c>
      <c r="D3732" t="s">
        <v>9925</v>
      </c>
      <c r="E3732" t="s">
        <v>10075</v>
      </c>
      <c r="F3732">
        <v>10002</v>
      </c>
      <c r="G3732" t="s">
        <v>10091</v>
      </c>
      <c r="H3732" t="s">
        <v>10153</v>
      </c>
      <c r="I3732" t="s">
        <v>10168</v>
      </c>
      <c r="J3732" t="s">
        <v>10214</v>
      </c>
      <c r="K3732" t="s">
        <v>10217</v>
      </c>
      <c r="M3732" t="s">
        <v>10286</v>
      </c>
      <c r="N3732" t="s">
        <v>10646</v>
      </c>
      <c r="P3732" t="s">
        <v>10751</v>
      </c>
      <c r="Q3732" t="s">
        <v>10768</v>
      </c>
      <c r="R3732" t="s">
        <v>10822</v>
      </c>
      <c r="T3732">
        <v>61760</v>
      </c>
      <c r="U3732">
        <v>5146.67</v>
      </c>
      <c r="V3732">
        <v>38</v>
      </c>
      <c r="W3732">
        <v>1</v>
      </c>
      <c r="X3732">
        <v>1</v>
      </c>
      <c r="Z3732">
        <v>365.23</v>
      </c>
      <c r="AA3732">
        <v>40.717476</v>
      </c>
      <c r="AB3732">
        <v>-73.980396</v>
      </c>
      <c r="AD3732" t="s">
        <v>10839</v>
      </c>
      <c r="AG3732" t="s">
        <v>10858</v>
      </c>
      <c r="AH3732" t="s">
        <v>10861</v>
      </c>
      <c r="AI3732">
        <v>234</v>
      </c>
      <c r="AJ3732" t="s">
        <v>10214</v>
      </c>
      <c r="AL3732">
        <v>0.9</v>
      </c>
      <c r="AM3732" t="s">
        <v>10886</v>
      </c>
      <c r="AN3732" t="s">
        <v>10963</v>
      </c>
      <c r="AO3732" t="s">
        <v>11004</v>
      </c>
      <c r="AP3732" t="s">
        <v>11048</v>
      </c>
      <c r="AR3732" t="s">
        <v>11328</v>
      </c>
      <c r="AS3732" t="s">
        <v>9925</v>
      </c>
      <c r="AT3732" t="s">
        <v>11641</v>
      </c>
      <c r="AX3732" t="s">
        <v>11678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</row>
    <row r="3733" spans="1:59">
      <c r="A3733" s="1">
        <f>HYPERLINK("https://lsnyc.legalserver.org/matter/dynamic-profile/view/1907844","19-1907844")</f>
        <v>0</v>
      </c>
      <c r="B3733" t="s">
        <v>309</v>
      </c>
      <c r="C3733" t="s">
        <v>7867</v>
      </c>
      <c r="D3733" t="s">
        <v>9927</v>
      </c>
      <c r="E3733" t="s">
        <v>10075</v>
      </c>
      <c r="F3733">
        <v>11377</v>
      </c>
      <c r="G3733" t="s">
        <v>10092</v>
      </c>
      <c r="H3733" t="s">
        <v>10153</v>
      </c>
      <c r="I3733" t="s">
        <v>10168</v>
      </c>
      <c r="J3733" t="s">
        <v>10212</v>
      </c>
      <c r="K3733" t="s">
        <v>10217</v>
      </c>
      <c r="M3733" t="s">
        <v>10387</v>
      </c>
      <c r="N3733" t="s">
        <v>10650</v>
      </c>
      <c r="P3733" t="s">
        <v>10749</v>
      </c>
      <c r="Q3733" t="s">
        <v>10765</v>
      </c>
      <c r="R3733" t="s">
        <v>10820</v>
      </c>
      <c r="T3733">
        <v>20316</v>
      </c>
      <c r="U3733">
        <v>1693</v>
      </c>
      <c r="V3733">
        <v>60</v>
      </c>
      <c r="W3733">
        <v>1</v>
      </c>
      <c r="X3733">
        <v>0</v>
      </c>
      <c r="Z3733">
        <v>162.66</v>
      </c>
      <c r="AA3733">
        <v>40.741994</v>
      </c>
      <c r="AB3733">
        <v>-73.90494</v>
      </c>
      <c r="AD3733" t="s">
        <v>10840</v>
      </c>
      <c r="AG3733" t="s">
        <v>10858</v>
      </c>
      <c r="AH3733" t="s">
        <v>10862</v>
      </c>
      <c r="AI3733">
        <v>237</v>
      </c>
      <c r="AJ3733" t="s">
        <v>10212</v>
      </c>
      <c r="AL3733">
        <v>0.2</v>
      </c>
      <c r="AM3733" t="s">
        <v>10885</v>
      </c>
      <c r="AN3733" t="s">
        <v>10935</v>
      </c>
      <c r="AO3733" t="s">
        <v>11003</v>
      </c>
      <c r="AP3733" t="s">
        <v>11047</v>
      </c>
      <c r="AR3733" t="s">
        <v>11296</v>
      </c>
      <c r="AS3733" t="s">
        <v>11594</v>
      </c>
      <c r="BA3733" t="s">
        <v>11739</v>
      </c>
      <c r="BB3733">
        <v>0</v>
      </c>
      <c r="BC3733">
        <v>0</v>
      </c>
      <c r="BD3733">
        <v>0</v>
      </c>
      <c r="BE3733">
        <v>0</v>
      </c>
      <c r="BF3733">
        <v>4</v>
      </c>
      <c r="BG3733">
        <v>0</v>
      </c>
    </row>
    <row r="3734" spans="1:59">
      <c r="A3734" s="1">
        <f>HYPERLINK("https://lsnyc.legalserver.org/matter/dynamic-profile/view/1907845","19-1907845")</f>
        <v>0</v>
      </c>
      <c r="B3734" t="s">
        <v>3094</v>
      </c>
      <c r="C3734" t="s">
        <v>7884</v>
      </c>
      <c r="D3734" t="s">
        <v>9926</v>
      </c>
      <c r="E3734" t="s">
        <v>10075</v>
      </c>
      <c r="F3734">
        <v>10463</v>
      </c>
      <c r="G3734" t="s">
        <v>10091</v>
      </c>
      <c r="H3734" t="s">
        <v>10153</v>
      </c>
      <c r="I3734" t="s">
        <v>10168</v>
      </c>
      <c r="J3734" t="s">
        <v>10214</v>
      </c>
      <c r="K3734" t="s">
        <v>10217</v>
      </c>
      <c r="M3734" t="s">
        <v>10286</v>
      </c>
      <c r="N3734" t="s">
        <v>10671</v>
      </c>
      <c r="P3734" t="s">
        <v>10749</v>
      </c>
      <c r="Q3734" t="s">
        <v>10765</v>
      </c>
      <c r="R3734" t="s">
        <v>10821</v>
      </c>
      <c r="T3734">
        <v>20000</v>
      </c>
      <c r="U3734">
        <v>1666.67</v>
      </c>
      <c r="V3734">
        <v>27</v>
      </c>
      <c r="W3734">
        <v>1</v>
      </c>
      <c r="X3734">
        <v>0</v>
      </c>
      <c r="Z3734">
        <v>160.13</v>
      </c>
      <c r="AA3734">
        <v>40.871273</v>
      </c>
      <c r="AB3734">
        <v>-73.906267</v>
      </c>
      <c r="AD3734" t="s">
        <v>10839</v>
      </c>
      <c r="AG3734" t="s">
        <v>10858</v>
      </c>
      <c r="AH3734" t="s">
        <v>10871</v>
      </c>
      <c r="AI3734">
        <v>234</v>
      </c>
      <c r="AJ3734" t="s">
        <v>10214</v>
      </c>
      <c r="AL3734">
        <v>1</v>
      </c>
      <c r="AM3734" t="s">
        <v>10887</v>
      </c>
      <c r="AN3734" t="s">
        <v>10931</v>
      </c>
      <c r="AO3734" t="s">
        <v>11000</v>
      </c>
      <c r="AP3734" t="s">
        <v>11045</v>
      </c>
      <c r="AR3734" t="s">
        <v>11257</v>
      </c>
      <c r="AS3734" t="s">
        <v>9926</v>
      </c>
      <c r="AT3734" t="s">
        <v>11641</v>
      </c>
      <c r="AX3734" t="s">
        <v>10838</v>
      </c>
      <c r="BA3734" t="s">
        <v>11741</v>
      </c>
      <c r="BB3734">
        <v>0</v>
      </c>
      <c r="BC3734">
        <v>0</v>
      </c>
      <c r="BD3734">
        <v>0</v>
      </c>
      <c r="BE3734">
        <v>0</v>
      </c>
      <c r="BF3734">
        <v>1</v>
      </c>
      <c r="BG3734">
        <v>0</v>
      </c>
    </row>
    <row r="3735" spans="1:59">
      <c r="A3735" s="1">
        <f>HYPERLINK("https://lsnyc.legalserver.org/matter/dynamic-profile/view/1907847","19-1907847")</f>
        <v>0</v>
      </c>
      <c r="B3735" t="s">
        <v>3095</v>
      </c>
      <c r="C3735" t="s">
        <v>6750</v>
      </c>
      <c r="D3735" t="s">
        <v>9926</v>
      </c>
      <c r="E3735" t="s">
        <v>10075</v>
      </c>
      <c r="F3735">
        <v>10472</v>
      </c>
      <c r="G3735" t="s">
        <v>10090</v>
      </c>
      <c r="H3735" t="s">
        <v>10153</v>
      </c>
      <c r="I3735" t="s">
        <v>10168</v>
      </c>
      <c r="J3735" t="s">
        <v>10210</v>
      </c>
      <c r="K3735" t="s">
        <v>10217</v>
      </c>
      <c r="M3735" t="s">
        <v>10535</v>
      </c>
      <c r="N3735" t="s">
        <v>10650</v>
      </c>
      <c r="P3735" t="s">
        <v>10749</v>
      </c>
      <c r="Q3735" t="s">
        <v>10765</v>
      </c>
      <c r="R3735" t="s">
        <v>10824</v>
      </c>
      <c r="T3735">
        <v>60000</v>
      </c>
      <c r="U3735">
        <v>5000</v>
      </c>
      <c r="V3735">
        <v>42</v>
      </c>
      <c r="W3735">
        <v>2</v>
      </c>
      <c r="X3735">
        <v>3</v>
      </c>
      <c r="Z3735">
        <v>198.87</v>
      </c>
      <c r="AA3735">
        <v>40.82627</v>
      </c>
      <c r="AB3735">
        <v>-73.878884</v>
      </c>
      <c r="AD3735" t="s">
        <v>10840</v>
      </c>
      <c r="AG3735" t="s">
        <v>10858</v>
      </c>
      <c r="AH3735" t="s">
        <v>10862</v>
      </c>
      <c r="AI3735">
        <v>230</v>
      </c>
      <c r="AJ3735" t="s">
        <v>10210</v>
      </c>
      <c r="AL3735">
        <v>2</v>
      </c>
      <c r="AM3735" t="s">
        <v>10884</v>
      </c>
      <c r="AN3735" t="s">
        <v>10968</v>
      </c>
      <c r="AO3735" t="s">
        <v>11001</v>
      </c>
      <c r="AP3735" t="s">
        <v>11062</v>
      </c>
      <c r="AR3735" t="s">
        <v>11276</v>
      </c>
      <c r="AS3735" t="s">
        <v>9926</v>
      </c>
      <c r="BA3735" t="s">
        <v>11741</v>
      </c>
      <c r="BB3735">
        <v>0</v>
      </c>
      <c r="BC3735">
        <v>0</v>
      </c>
      <c r="BD3735">
        <v>0</v>
      </c>
      <c r="BE3735">
        <v>0</v>
      </c>
      <c r="BF3735">
        <v>1</v>
      </c>
      <c r="BG3735">
        <v>0</v>
      </c>
    </row>
    <row r="3736" spans="1:59">
      <c r="A3736" s="1">
        <f>HYPERLINK("https://lsnyc.legalserver.org/matter/dynamic-profile/view/1907848","19-1907848")</f>
        <v>0</v>
      </c>
      <c r="B3736" t="s">
        <v>3096</v>
      </c>
      <c r="C3736" t="s">
        <v>7885</v>
      </c>
      <c r="D3736" t="s">
        <v>9926</v>
      </c>
      <c r="E3736" t="s">
        <v>10075</v>
      </c>
      <c r="F3736">
        <v>10460</v>
      </c>
      <c r="G3736" t="s">
        <v>10090</v>
      </c>
      <c r="H3736" t="s">
        <v>10153</v>
      </c>
      <c r="I3736" t="s">
        <v>10169</v>
      </c>
      <c r="J3736" t="s">
        <v>10210</v>
      </c>
      <c r="K3736" t="s">
        <v>10217</v>
      </c>
      <c r="M3736" t="s">
        <v>10596</v>
      </c>
      <c r="N3736" t="s">
        <v>10677</v>
      </c>
      <c r="P3736" t="s">
        <v>10757</v>
      </c>
      <c r="Q3736" t="s">
        <v>10789</v>
      </c>
      <c r="R3736" t="s">
        <v>10823</v>
      </c>
      <c r="T3736">
        <v>9000</v>
      </c>
      <c r="U3736">
        <v>750</v>
      </c>
      <c r="V3736">
        <v>75</v>
      </c>
      <c r="W3736">
        <v>2</v>
      </c>
      <c r="X3736">
        <v>0</v>
      </c>
      <c r="Z3736">
        <v>53.22</v>
      </c>
      <c r="AA3736">
        <v>40.836324</v>
      </c>
      <c r="AB3736">
        <v>-73.865476</v>
      </c>
      <c r="AC3736" t="s">
        <v>10838</v>
      </c>
      <c r="AD3736" t="s">
        <v>10840</v>
      </c>
      <c r="AF3736" t="s">
        <v>10843</v>
      </c>
      <c r="AG3736" t="s">
        <v>10859</v>
      </c>
      <c r="AH3736" t="s">
        <v>10869</v>
      </c>
      <c r="AI3736">
        <v>230</v>
      </c>
      <c r="AJ3736" t="s">
        <v>10210</v>
      </c>
      <c r="AL3736">
        <v>19.85</v>
      </c>
      <c r="AM3736" t="s">
        <v>10884</v>
      </c>
      <c r="AN3736" t="s">
        <v>10908</v>
      </c>
      <c r="AO3736" t="s">
        <v>11001</v>
      </c>
      <c r="AP3736" t="s">
        <v>11046</v>
      </c>
      <c r="AQ3736" t="s">
        <v>11196</v>
      </c>
      <c r="AR3736" t="s">
        <v>11268</v>
      </c>
      <c r="AS3736" t="s">
        <v>9926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</row>
    <row r="3737" spans="1:59">
      <c r="A3737" s="1">
        <f>HYPERLINK("https://lsnyc.legalserver.org/matter/dynamic-profile/view/1907849","19-1907849")</f>
        <v>0</v>
      </c>
      <c r="B3737" t="s">
        <v>2213</v>
      </c>
      <c r="C3737" t="s">
        <v>6229</v>
      </c>
      <c r="D3737" t="s">
        <v>9928</v>
      </c>
      <c r="E3737" t="s">
        <v>10075</v>
      </c>
      <c r="F3737">
        <v>11226</v>
      </c>
      <c r="G3737" t="s">
        <v>10093</v>
      </c>
      <c r="H3737" t="s">
        <v>10153</v>
      </c>
      <c r="I3737" t="s">
        <v>10168</v>
      </c>
      <c r="J3737" t="s">
        <v>10213</v>
      </c>
      <c r="K3737" t="s">
        <v>10217</v>
      </c>
      <c r="M3737" t="s">
        <v>10317</v>
      </c>
      <c r="N3737" t="s">
        <v>10698</v>
      </c>
      <c r="P3737" t="s">
        <v>10751</v>
      </c>
      <c r="Q3737" t="s">
        <v>10776</v>
      </c>
      <c r="R3737" t="s">
        <v>10824</v>
      </c>
      <c r="T3737">
        <v>9252</v>
      </c>
      <c r="U3737">
        <v>771</v>
      </c>
      <c r="V3737">
        <v>59</v>
      </c>
      <c r="W3737">
        <v>1</v>
      </c>
      <c r="X3737">
        <v>0</v>
      </c>
      <c r="Z3737">
        <v>74.08</v>
      </c>
      <c r="AA3737">
        <v>40.647537</v>
      </c>
      <c r="AB3737">
        <v>-73.962998</v>
      </c>
      <c r="AD3737" t="s">
        <v>10839</v>
      </c>
      <c r="AG3737" t="s">
        <v>10858</v>
      </c>
      <c r="AH3737" t="s">
        <v>10861</v>
      </c>
      <c r="AI3737">
        <v>234</v>
      </c>
      <c r="AJ3737" t="s">
        <v>10214</v>
      </c>
      <c r="AL3737">
        <v>11.75</v>
      </c>
      <c r="AM3737" t="s">
        <v>10888</v>
      </c>
      <c r="AN3737" t="s">
        <v>10932</v>
      </c>
      <c r="AO3737" t="s">
        <v>11008</v>
      </c>
      <c r="AP3737" t="s">
        <v>11050</v>
      </c>
      <c r="AR3737" t="s">
        <v>11397</v>
      </c>
      <c r="AS3737" t="s">
        <v>11595</v>
      </c>
      <c r="AT3737" t="s">
        <v>11641</v>
      </c>
      <c r="AX3737" t="s">
        <v>10838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</row>
    <row r="3738" spans="1:59">
      <c r="A3738" s="1">
        <f>HYPERLINK("https://lsnyc.legalserver.org/matter/dynamic-profile/view/1907850","19-1907850")</f>
        <v>0</v>
      </c>
      <c r="B3738" t="s">
        <v>3097</v>
      </c>
      <c r="C3738" t="s">
        <v>7886</v>
      </c>
      <c r="D3738" t="s">
        <v>9926</v>
      </c>
      <c r="E3738" t="s">
        <v>10075</v>
      </c>
      <c r="F3738">
        <v>10460</v>
      </c>
      <c r="G3738" t="s">
        <v>10090</v>
      </c>
      <c r="H3738" t="s">
        <v>10153</v>
      </c>
      <c r="I3738" t="s">
        <v>10168</v>
      </c>
      <c r="J3738" t="s">
        <v>10210</v>
      </c>
      <c r="K3738" t="s">
        <v>10217</v>
      </c>
      <c r="M3738" t="s">
        <v>10477</v>
      </c>
      <c r="N3738" t="s">
        <v>10671</v>
      </c>
      <c r="P3738" t="s">
        <v>10749</v>
      </c>
      <c r="Q3738" t="s">
        <v>10765</v>
      </c>
      <c r="R3738" t="s">
        <v>10822</v>
      </c>
      <c r="T3738">
        <v>12000</v>
      </c>
      <c r="U3738">
        <v>1000</v>
      </c>
      <c r="V3738">
        <v>41</v>
      </c>
      <c r="W3738">
        <v>1</v>
      </c>
      <c r="X3738">
        <v>2</v>
      </c>
      <c r="Z3738">
        <v>56.26</v>
      </c>
      <c r="AA3738">
        <v>40.842524</v>
      </c>
      <c r="AB3738">
        <v>-73.878573</v>
      </c>
      <c r="AD3738" t="s">
        <v>10839</v>
      </c>
      <c r="AG3738" t="s">
        <v>10858</v>
      </c>
      <c r="AH3738" t="s">
        <v>10861</v>
      </c>
      <c r="AI3738">
        <v>234</v>
      </c>
      <c r="AJ3738" t="s">
        <v>10214</v>
      </c>
      <c r="AL3738">
        <v>2.7</v>
      </c>
      <c r="AM3738" t="s">
        <v>10884</v>
      </c>
      <c r="AN3738" t="s">
        <v>10908</v>
      </c>
      <c r="AO3738" t="s">
        <v>11001</v>
      </c>
      <c r="AP3738" t="s">
        <v>11056</v>
      </c>
      <c r="AR3738" t="s">
        <v>11338</v>
      </c>
      <c r="AS3738" t="s">
        <v>9926</v>
      </c>
      <c r="AT3738" t="s">
        <v>11641</v>
      </c>
      <c r="AX3738" t="s">
        <v>10838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</row>
    <row r="3739" spans="1:59">
      <c r="A3739" s="1">
        <f>HYPERLINK("https://lsnyc.legalserver.org/matter/dynamic-profile/view/1907851","19-1907851")</f>
        <v>0</v>
      </c>
      <c r="B3739" t="s">
        <v>3098</v>
      </c>
      <c r="C3739" t="s">
        <v>7867</v>
      </c>
      <c r="D3739" t="s">
        <v>9927</v>
      </c>
      <c r="E3739" t="s">
        <v>10075</v>
      </c>
      <c r="F3739">
        <v>11377</v>
      </c>
      <c r="G3739" t="s">
        <v>10092</v>
      </c>
      <c r="H3739" t="s">
        <v>10153</v>
      </c>
      <c r="I3739" t="s">
        <v>10168</v>
      </c>
      <c r="J3739" t="s">
        <v>10212</v>
      </c>
      <c r="K3739" t="s">
        <v>10217</v>
      </c>
      <c r="M3739" t="s">
        <v>10387</v>
      </c>
      <c r="N3739" t="s">
        <v>10650</v>
      </c>
      <c r="P3739" t="s">
        <v>10749</v>
      </c>
      <c r="Q3739" t="s">
        <v>10765</v>
      </c>
      <c r="R3739" t="s">
        <v>10821</v>
      </c>
      <c r="T3739">
        <v>55000</v>
      </c>
      <c r="U3739">
        <v>4583.33</v>
      </c>
      <c r="V3739">
        <v>38</v>
      </c>
      <c r="W3739">
        <v>2</v>
      </c>
      <c r="X3739">
        <v>1</v>
      </c>
      <c r="Z3739">
        <v>257.85</v>
      </c>
      <c r="AA3739">
        <v>40.741994</v>
      </c>
      <c r="AB3739">
        <v>-73.90494</v>
      </c>
      <c r="AD3739" t="s">
        <v>10839</v>
      </c>
      <c r="AG3739" t="s">
        <v>10858</v>
      </c>
      <c r="AH3739" t="s">
        <v>10862</v>
      </c>
      <c r="AI3739">
        <v>237</v>
      </c>
      <c r="AJ3739" t="s">
        <v>10212</v>
      </c>
      <c r="AL3739">
        <v>0.4</v>
      </c>
      <c r="AM3739" t="s">
        <v>10885</v>
      </c>
      <c r="AN3739" t="s">
        <v>10935</v>
      </c>
      <c r="AO3739" t="s">
        <v>11003</v>
      </c>
      <c r="AP3739" t="s">
        <v>11047</v>
      </c>
      <c r="AR3739" t="s">
        <v>11257</v>
      </c>
      <c r="AS3739" t="s">
        <v>11594</v>
      </c>
      <c r="BA3739" t="s">
        <v>11739</v>
      </c>
      <c r="BB3739">
        <v>0</v>
      </c>
      <c r="BC3739">
        <v>0</v>
      </c>
      <c r="BD3739">
        <v>0</v>
      </c>
      <c r="BE3739">
        <v>0</v>
      </c>
      <c r="BF3739">
        <v>4</v>
      </c>
      <c r="BG3739">
        <v>0</v>
      </c>
    </row>
    <row r="3740" spans="1:59">
      <c r="A3740" s="1">
        <f>HYPERLINK("https://lsnyc.legalserver.org/matter/dynamic-profile/view/1907852","19-1907852")</f>
        <v>0</v>
      </c>
      <c r="B3740" t="s">
        <v>3099</v>
      </c>
      <c r="C3740" t="s">
        <v>7887</v>
      </c>
      <c r="D3740" t="s">
        <v>9927</v>
      </c>
      <c r="E3740" t="s">
        <v>10075</v>
      </c>
      <c r="F3740">
        <v>11377</v>
      </c>
      <c r="G3740" t="s">
        <v>10092</v>
      </c>
      <c r="H3740" t="s">
        <v>10153</v>
      </c>
      <c r="I3740" t="s">
        <v>10169</v>
      </c>
      <c r="J3740" t="s">
        <v>10212</v>
      </c>
      <c r="K3740" t="s">
        <v>10217</v>
      </c>
      <c r="M3740" t="s">
        <v>10486</v>
      </c>
      <c r="N3740" t="s">
        <v>10648</v>
      </c>
      <c r="P3740" t="s">
        <v>10753</v>
      </c>
      <c r="Q3740" t="s">
        <v>10763</v>
      </c>
      <c r="R3740" t="s">
        <v>10823</v>
      </c>
      <c r="T3740">
        <v>7800</v>
      </c>
      <c r="U3740">
        <v>650</v>
      </c>
      <c r="V3740">
        <v>37</v>
      </c>
      <c r="W3740">
        <v>1</v>
      </c>
      <c r="X3740">
        <v>3</v>
      </c>
      <c r="Z3740">
        <v>30.29</v>
      </c>
      <c r="AA3740">
        <v>40.744725</v>
      </c>
      <c r="AB3740">
        <v>-73.911377</v>
      </c>
      <c r="AD3740" t="s">
        <v>10839</v>
      </c>
      <c r="AF3740" t="s">
        <v>10844</v>
      </c>
      <c r="AG3740" t="s">
        <v>10859</v>
      </c>
      <c r="AH3740" t="s">
        <v>10864</v>
      </c>
      <c r="AI3740">
        <v>237</v>
      </c>
      <c r="AJ3740" t="s">
        <v>10212</v>
      </c>
      <c r="AL3740">
        <v>2.75</v>
      </c>
      <c r="AM3740" t="s">
        <v>10885</v>
      </c>
      <c r="AN3740" t="s">
        <v>10935</v>
      </c>
      <c r="AO3740" t="s">
        <v>11003</v>
      </c>
      <c r="AP3740" t="s">
        <v>11047</v>
      </c>
      <c r="AQ3740" t="s">
        <v>11096</v>
      </c>
      <c r="AR3740" t="s">
        <v>11257</v>
      </c>
      <c r="AS3740" t="s">
        <v>11594</v>
      </c>
      <c r="AT3740" t="s">
        <v>11641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</row>
    <row r="3741" spans="1:59">
      <c r="A3741" s="1">
        <f>HYPERLINK("https://lsnyc.legalserver.org/matter/dynamic-profile/view/1907853","19-1907853")</f>
        <v>0</v>
      </c>
      <c r="B3741" t="s">
        <v>3100</v>
      </c>
      <c r="D3741" t="s">
        <v>9930</v>
      </c>
      <c r="E3741" t="s">
        <v>10075</v>
      </c>
      <c r="F3741">
        <v>11373</v>
      </c>
      <c r="G3741" t="s">
        <v>10092</v>
      </c>
      <c r="H3741" t="s">
        <v>10153</v>
      </c>
      <c r="I3741" t="s">
        <v>10169</v>
      </c>
      <c r="J3741" t="s">
        <v>10212</v>
      </c>
      <c r="K3741" t="s">
        <v>10217</v>
      </c>
      <c r="M3741" t="s">
        <v>10486</v>
      </c>
      <c r="N3741" t="s">
        <v>10714</v>
      </c>
      <c r="P3741" t="s">
        <v>10753</v>
      </c>
      <c r="Q3741" t="s">
        <v>10763</v>
      </c>
      <c r="R3741" t="s">
        <v>10823</v>
      </c>
      <c r="T3741">
        <v>10000</v>
      </c>
      <c r="U3741">
        <v>833.33</v>
      </c>
      <c r="V3741">
        <v>56</v>
      </c>
      <c r="W3741">
        <v>1</v>
      </c>
      <c r="X3741">
        <v>0</v>
      </c>
      <c r="Z3741">
        <v>80.06</v>
      </c>
      <c r="AA3741">
        <v>40.752642</v>
      </c>
      <c r="AB3741">
        <v>-73.87334199999999</v>
      </c>
      <c r="AD3741" t="s">
        <v>10839</v>
      </c>
      <c r="AF3741" t="s">
        <v>10846</v>
      </c>
      <c r="AG3741" t="s">
        <v>10859</v>
      </c>
      <c r="AH3741" t="s">
        <v>10864</v>
      </c>
      <c r="AI3741">
        <v>237</v>
      </c>
      <c r="AJ3741" t="s">
        <v>10212</v>
      </c>
      <c r="AL3741">
        <v>0.7</v>
      </c>
      <c r="AQ3741" t="s">
        <v>11109</v>
      </c>
      <c r="AR3741" t="s">
        <v>11257</v>
      </c>
      <c r="AS3741" t="s">
        <v>11594</v>
      </c>
      <c r="AX3741" t="s">
        <v>10837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</row>
    <row r="3742" spans="1:59">
      <c r="A3742" s="1">
        <f>HYPERLINK("https://lsnyc.legalserver.org/matter/dynamic-profile/view/1907854","19-1907854")</f>
        <v>0</v>
      </c>
      <c r="B3742" t="s">
        <v>3101</v>
      </c>
      <c r="C3742" t="s">
        <v>7888</v>
      </c>
      <c r="D3742" t="s">
        <v>9926</v>
      </c>
      <c r="E3742" t="s">
        <v>10075</v>
      </c>
      <c r="F3742">
        <v>10456</v>
      </c>
      <c r="G3742" t="s">
        <v>10090</v>
      </c>
      <c r="H3742" t="s">
        <v>10153</v>
      </c>
      <c r="I3742" t="s">
        <v>10168</v>
      </c>
      <c r="J3742" t="s">
        <v>10210</v>
      </c>
      <c r="K3742" t="s">
        <v>10218</v>
      </c>
      <c r="L3742" t="s">
        <v>10159</v>
      </c>
      <c r="M3742" t="s">
        <v>10262</v>
      </c>
      <c r="N3742" t="s">
        <v>10646</v>
      </c>
      <c r="P3742" t="s">
        <v>10749</v>
      </c>
      <c r="Q3742" t="s">
        <v>10765</v>
      </c>
      <c r="R3742" t="s">
        <v>10821</v>
      </c>
      <c r="T3742">
        <v>60000</v>
      </c>
      <c r="U3742">
        <v>5000</v>
      </c>
      <c r="V3742">
        <v>26</v>
      </c>
      <c r="W3742">
        <v>1</v>
      </c>
      <c r="X3742">
        <v>0</v>
      </c>
      <c r="Y3742" t="s">
        <v>10829</v>
      </c>
      <c r="Z3742">
        <v>480.38</v>
      </c>
      <c r="AA3742">
        <v>40.829985</v>
      </c>
      <c r="AB3742">
        <v>-73.919695</v>
      </c>
      <c r="AD3742" t="s">
        <v>10839</v>
      </c>
      <c r="AG3742" t="s">
        <v>10858</v>
      </c>
      <c r="AH3742" t="s">
        <v>10862</v>
      </c>
      <c r="AI3742">
        <v>230</v>
      </c>
      <c r="AJ3742" t="s">
        <v>10210</v>
      </c>
      <c r="AK3742" t="s">
        <v>10882</v>
      </c>
      <c r="AL3742">
        <v>0.8</v>
      </c>
      <c r="AM3742" t="s">
        <v>10884</v>
      </c>
      <c r="AN3742" t="s">
        <v>10929</v>
      </c>
      <c r="AO3742" t="s">
        <v>11001</v>
      </c>
      <c r="AP3742" t="s">
        <v>11055</v>
      </c>
      <c r="AR3742" t="s">
        <v>11257</v>
      </c>
      <c r="AS3742" t="s">
        <v>9926</v>
      </c>
      <c r="AT3742" t="s">
        <v>11641</v>
      </c>
      <c r="AX3742" t="s">
        <v>10838</v>
      </c>
      <c r="AY3742" t="s">
        <v>10829</v>
      </c>
      <c r="AZ3742" t="s">
        <v>11681</v>
      </c>
      <c r="BA3742" t="s">
        <v>11741</v>
      </c>
      <c r="BB3742">
        <v>0</v>
      </c>
      <c r="BC3742">
        <v>0</v>
      </c>
      <c r="BD3742">
        <v>0</v>
      </c>
      <c r="BE3742">
        <v>0</v>
      </c>
      <c r="BF3742">
        <v>1</v>
      </c>
      <c r="BG3742">
        <v>0</v>
      </c>
    </row>
    <row r="3743" spans="1:59">
      <c r="A3743" s="1">
        <f>HYPERLINK("https://lsnyc.legalserver.org/matter/dynamic-profile/view/1907856","19-1907856")</f>
        <v>0</v>
      </c>
      <c r="B3743" t="s">
        <v>3098</v>
      </c>
      <c r="C3743" t="s">
        <v>7867</v>
      </c>
      <c r="D3743" t="s">
        <v>9927</v>
      </c>
      <c r="E3743" t="s">
        <v>10075</v>
      </c>
      <c r="F3743">
        <v>11377</v>
      </c>
      <c r="G3743" t="s">
        <v>10092</v>
      </c>
      <c r="H3743" t="s">
        <v>10153</v>
      </c>
      <c r="I3743" t="s">
        <v>10168</v>
      </c>
      <c r="J3743" t="s">
        <v>10212</v>
      </c>
      <c r="K3743" t="s">
        <v>10217</v>
      </c>
      <c r="M3743" t="s">
        <v>10387</v>
      </c>
      <c r="N3743" t="s">
        <v>10650</v>
      </c>
      <c r="P3743" t="s">
        <v>10749</v>
      </c>
      <c r="Q3743" t="s">
        <v>10765</v>
      </c>
      <c r="R3743" t="s">
        <v>10821</v>
      </c>
      <c r="T3743">
        <v>55000</v>
      </c>
      <c r="U3743">
        <v>4583.33</v>
      </c>
      <c r="V3743">
        <v>38</v>
      </c>
      <c r="W3743">
        <v>2</v>
      </c>
      <c r="X3743">
        <v>1</v>
      </c>
      <c r="Z3743">
        <v>257.85</v>
      </c>
      <c r="AA3743">
        <v>40.741994</v>
      </c>
      <c r="AB3743">
        <v>-73.90494</v>
      </c>
      <c r="AD3743" t="s">
        <v>10839</v>
      </c>
      <c r="AG3743" t="s">
        <v>10858</v>
      </c>
      <c r="AH3743" t="s">
        <v>10862</v>
      </c>
      <c r="AI3743">
        <v>237</v>
      </c>
      <c r="AJ3743" t="s">
        <v>10212</v>
      </c>
      <c r="AL3743">
        <v>0.4</v>
      </c>
      <c r="AM3743" t="s">
        <v>10885</v>
      </c>
      <c r="AN3743" t="s">
        <v>10935</v>
      </c>
      <c r="AO3743" t="s">
        <v>11003</v>
      </c>
      <c r="AP3743" t="s">
        <v>11047</v>
      </c>
      <c r="AR3743" t="s">
        <v>11257</v>
      </c>
      <c r="AS3743" t="s">
        <v>11594</v>
      </c>
      <c r="BA3743" t="s">
        <v>11739</v>
      </c>
      <c r="BB3743">
        <v>0</v>
      </c>
      <c r="BC3743">
        <v>0</v>
      </c>
      <c r="BD3743">
        <v>0</v>
      </c>
      <c r="BE3743">
        <v>0</v>
      </c>
      <c r="BF3743">
        <v>4</v>
      </c>
      <c r="BG3743">
        <v>0</v>
      </c>
    </row>
    <row r="3744" spans="1:59">
      <c r="A3744" s="1">
        <f>HYPERLINK("https://lsnyc.legalserver.org/matter/dynamic-profile/view/1907857","19-1907857")</f>
        <v>0</v>
      </c>
      <c r="B3744" t="s">
        <v>3102</v>
      </c>
      <c r="C3744" t="s">
        <v>7889</v>
      </c>
      <c r="D3744" t="s">
        <v>9926</v>
      </c>
      <c r="E3744" t="s">
        <v>10075</v>
      </c>
      <c r="F3744">
        <v>10458</v>
      </c>
      <c r="G3744" t="s">
        <v>10090</v>
      </c>
      <c r="H3744" t="s">
        <v>10153</v>
      </c>
      <c r="I3744" t="s">
        <v>10168</v>
      </c>
      <c r="J3744" t="s">
        <v>10210</v>
      </c>
      <c r="K3744" t="s">
        <v>10217</v>
      </c>
      <c r="M3744" t="s">
        <v>10549</v>
      </c>
      <c r="N3744" t="s">
        <v>10671</v>
      </c>
      <c r="P3744" t="s">
        <v>10751</v>
      </c>
      <c r="Q3744" t="s">
        <v>10786</v>
      </c>
      <c r="R3744" t="s">
        <v>10824</v>
      </c>
      <c r="T3744">
        <v>21540</v>
      </c>
      <c r="U3744">
        <v>1795</v>
      </c>
      <c r="V3744">
        <v>41</v>
      </c>
      <c r="W3744">
        <v>1</v>
      </c>
      <c r="X3744">
        <v>2</v>
      </c>
      <c r="Z3744">
        <v>100.98</v>
      </c>
      <c r="AA3744">
        <v>40.86793</v>
      </c>
      <c r="AB3744">
        <v>-73.891003</v>
      </c>
      <c r="AD3744" t="s">
        <v>10839</v>
      </c>
      <c r="AG3744" t="s">
        <v>10858</v>
      </c>
      <c r="AH3744" t="s">
        <v>10861</v>
      </c>
      <c r="AI3744">
        <v>234</v>
      </c>
      <c r="AJ3744" t="s">
        <v>10214</v>
      </c>
      <c r="AL3744">
        <v>3.8</v>
      </c>
      <c r="AM3744" t="s">
        <v>10887</v>
      </c>
      <c r="AN3744" t="s">
        <v>10907</v>
      </c>
      <c r="AO3744" t="s">
        <v>11000</v>
      </c>
      <c r="AP3744" t="s">
        <v>11056</v>
      </c>
      <c r="AR3744" t="s">
        <v>11318</v>
      </c>
      <c r="AS3744" t="s">
        <v>9926</v>
      </c>
      <c r="AT3744" t="s">
        <v>11641</v>
      </c>
      <c r="AX3744" t="s">
        <v>10838</v>
      </c>
      <c r="BA3744" t="s">
        <v>11741</v>
      </c>
      <c r="BB3744">
        <v>0</v>
      </c>
      <c r="BC3744">
        <v>0</v>
      </c>
      <c r="BD3744">
        <v>0</v>
      </c>
      <c r="BE3744">
        <v>0</v>
      </c>
      <c r="BF3744">
        <v>1</v>
      </c>
      <c r="BG3744">
        <v>0</v>
      </c>
    </row>
    <row r="3745" spans="1:59">
      <c r="A3745" s="1">
        <f>HYPERLINK("https://lsnyc.legalserver.org/matter/dynamic-profile/view/1907858","19-1907858")</f>
        <v>0</v>
      </c>
      <c r="B3745" t="s">
        <v>3103</v>
      </c>
      <c r="C3745" t="s">
        <v>7890</v>
      </c>
      <c r="D3745" t="s">
        <v>9948</v>
      </c>
      <c r="E3745" t="s">
        <v>10075</v>
      </c>
      <c r="F3745">
        <v>11691</v>
      </c>
      <c r="G3745" t="s">
        <v>10092</v>
      </c>
      <c r="H3745" t="s">
        <v>10153</v>
      </c>
      <c r="I3745" t="s">
        <v>10168</v>
      </c>
      <c r="J3745" t="s">
        <v>10212</v>
      </c>
      <c r="K3745" t="s">
        <v>10217</v>
      </c>
      <c r="M3745" t="s">
        <v>10416</v>
      </c>
      <c r="N3745" t="s">
        <v>10678</v>
      </c>
      <c r="P3745" t="s">
        <v>10749</v>
      </c>
      <c r="Q3745" t="s">
        <v>10769</v>
      </c>
      <c r="R3745" t="s">
        <v>10824</v>
      </c>
      <c r="T3745">
        <v>71000</v>
      </c>
      <c r="U3745">
        <v>5916.67</v>
      </c>
      <c r="V3745">
        <v>50</v>
      </c>
      <c r="W3745">
        <v>1</v>
      </c>
      <c r="X3745">
        <v>0</v>
      </c>
      <c r="Z3745">
        <v>568.45</v>
      </c>
      <c r="AA3745">
        <v>40.5996</v>
      </c>
      <c r="AB3745">
        <v>-73.76005499999999</v>
      </c>
      <c r="AD3745" t="s">
        <v>10839</v>
      </c>
      <c r="AF3745" t="s">
        <v>10843</v>
      </c>
      <c r="AG3745" t="s">
        <v>10859</v>
      </c>
      <c r="AH3745" t="s">
        <v>10871</v>
      </c>
      <c r="AI3745">
        <v>234</v>
      </c>
      <c r="AJ3745" t="s">
        <v>10214</v>
      </c>
      <c r="AL3745">
        <v>0.8</v>
      </c>
      <c r="AM3745" t="s">
        <v>10892</v>
      </c>
      <c r="AN3745" t="s">
        <v>10930</v>
      </c>
      <c r="AO3745" t="s">
        <v>11017</v>
      </c>
      <c r="AP3745" t="s">
        <v>11082</v>
      </c>
      <c r="AR3745" t="s">
        <v>11257</v>
      </c>
      <c r="AS3745" t="s">
        <v>11594</v>
      </c>
      <c r="AT3745" t="s">
        <v>11641</v>
      </c>
      <c r="AX3745" t="s">
        <v>10838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</row>
    <row r="3746" spans="1:59">
      <c r="A3746" s="1">
        <f>HYPERLINK("https://lsnyc.legalserver.org/matter/dynamic-profile/view/1907860","19-1907860")</f>
        <v>0</v>
      </c>
      <c r="B3746" t="s">
        <v>3104</v>
      </c>
      <c r="C3746" t="s">
        <v>7891</v>
      </c>
      <c r="D3746" t="s">
        <v>9927</v>
      </c>
      <c r="E3746" t="s">
        <v>10075</v>
      </c>
      <c r="F3746">
        <v>11377</v>
      </c>
      <c r="G3746" t="s">
        <v>10092</v>
      </c>
      <c r="H3746" t="s">
        <v>10153</v>
      </c>
      <c r="I3746" t="s">
        <v>10168</v>
      </c>
      <c r="J3746" t="s">
        <v>10212</v>
      </c>
      <c r="K3746" t="s">
        <v>10218</v>
      </c>
      <c r="L3746" t="s">
        <v>10223</v>
      </c>
      <c r="M3746" t="s">
        <v>10326</v>
      </c>
      <c r="N3746" t="s">
        <v>10692</v>
      </c>
      <c r="P3746" t="s">
        <v>10754</v>
      </c>
      <c r="Q3746" t="s">
        <v>10777</v>
      </c>
      <c r="R3746" t="s">
        <v>10820</v>
      </c>
      <c r="T3746">
        <v>27500</v>
      </c>
      <c r="U3746">
        <v>2291.67</v>
      </c>
      <c r="V3746">
        <v>35</v>
      </c>
      <c r="W3746">
        <v>1</v>
      </c>
      <c r="X3746">
        <v>1</v>
      </c>
      <c r="Y3746" t="s">
        <v>10829</v>
      </c>
      <c r="Z3746">
        <v>162.63</v>
      </c>
      <c r="AA3746">
        <v>40.740986</v>
      </c>
      <c r="AB3746">
        <v>-73.919854</v>
      </c>
      <c r="AD3746" t="s">
        <v>10839</v>
      </c>
      <c r="AF3746" t="s">
        <v>10842</v>
      </c>
      <c r="AG3746" t="s">
        <v>10859</v>
      </c>
      <c r="AH3746" t="s">
        <v>10865</v>
      </c>
      <c r="AI3746">
        <v>237</v>
      </c>
      <c r="AJ3746" t="s">
        <v>10212</v>
      </c>
      <c r="AK3746" t="s">
        <v>10837</v>
      </c>
      <c r="AL3746">
        <v>4.6</v>
      </c>
      <c r="AM3746" t="s">
        <v>10885</v>
      </c>
      <c r="AN3746" t="s">
        <v>10961</v>
      </c>
      <c r="AO3746" t="s">
        <v>11003</v>
      </c>
      <c r="AP3746" t="s">
        <v>11047</v>
      </c>
      <c r="AQ3746" t="s">
        <v>11128</v>
      </c>
      <c r="AR3746" t="s">
        <v>11276</v>
      </c>
      <c r="AS3746" t="s">
        <v>11594</v>
      </c>
      <c r="AY3746" t="s">
        <v>10829</v>
      </c>
      <c r="AZ3746" t="s">
        <v>11683</v>
      </c>
      <c r="BA3746" t="s">
        <v>11741</v>
      </c>
      <c r="BB3746">
        <v>0</v>
      </c>
      <c r="BC3746">
        <v>0</v>
      </c>
      <c r="BD3746">
        <v>0</v>
      </c>
      <c r="BE3746">
        <v>0</v>
      </c>
      <c r="BF3746">
        <v>1</v>
      </c>
      <c r="BG3746">
        <v>0</v>
      </c>
    </row>
    <row r="3747" spans="1:59">
      <c r="A3747" s="1">
        <f>HYPERLINK("https://lsnyc.legalserver.org/matter/dynamic-profile/view/1907861","19-1907861")</f>
        <v>0</v>
      </c>
      <c r="B3747" t="s">
        <v>3105</v>
      </c>
      <c r="C3747" t="s">
        <v>6590</v>
      </c>
      <c r="D3747" t="s">
        <v>9926</v>
      </c>
      <c r="E3747" t="s">
        <v>10075</v>
      </c>
      <c r="F3747">
        <v>10474</v>
      </c>
      <c r="G3747" t="s">
        <v>10090</v>
      </c>
      <c r="H3747" t="s">
        <v>10141</v>
      </c>
      <c r="I3747" t="s">
        <v>10168</v>
      </c>
      <c r="J3747" t="s">
        <v>10210</v>
      </c>
      <c r="K3747" t="s">
        <v>10217</v>
      </c>
      <c r="M3747" t="s">
        <v>10234</v>
      </c>
      <c r="N3747" t="s">
        <v>10650</v>
      </c>
      <c r="P3747" t="s">
        <v>10749</v>
      </c>
      <c r="Q3747" t="s">
        <v>10765</v>
      </c>
      <c r="R3747" t="s">
        <v>10823</v>
      </c>
      <c r="T3747">
        <v>39520</v>
      </c>
      <c r="U3747">
        <v>3293.33</v>
      </c>
      <c r="V3747">
        <v>26</v>
      </c>
      <c r="W3747">
        <v>1</v>
      </c>
      <c r="X3747">
        <v>0</v>
      </c>
      <c r="Z3747">
        <v>316.41</v>
      </c>
      <c r="AA3747">
        <v>40.816635</v>
      </c>
      <c r="AB3747">
        <v>-73.886374</v>
      </c>
      <c r="AD3747" t="s">
        <v>10839</v>
      </c>
      <c r="AG3747" t="s">
        <v>10858</v>
      </c>
      <c r="AH3747" t="s">
        <v>10862</v>
      </c>
      <c r="AI3747">
        <v>230</v>
      </c>
      <c r="AJ3747" t="s">
        <v>10210</v>
      </c>
      <c r="AL3747">
        <v>0</v>
      </c>
      <c r="AM3747" t="s">
        <v>10884</v>
      </c>
      <c r="AN3747" t="s">
        <v>10924</v>
      </c>
      <c r="AO3747" t="s">
        <v>11001</v>
      </c>
      <c r="AP3747" t="s">
        <v>11062</v>
      </c>
      <c r="AR3747" t="s">
        <v>11257</v>
      </c>
      <c r="AS3747" t="s">
        <v>9926</v>
      </c>
      <c r="AT3747" t="s">
        <v>11641</v>
      </c>
      <c r="BA3747" t="s">
        <v>11738</v>
      </c>
      <c r="BB3747">
        <v>0</v>
      </c>
      <c r="BC3747">
        <v>0</v>
      </c>
      <c r="BD3747">
        <v>0</v>
      </c>
      <c r="BE3747">
        <v>0</v>
      </c>
      <c r="BF3747">
        <v>5</v>
      </c>
      <c r="BG3747">
        <v>0</v>
      </c>
    </row>
    <row r="3748" spans="1:59">
      <c r="A3748" s="1">
        <f>HYPERLINK("https://lsnyc.legalserver.org/matter/dynamic-profile/view/1907862","19-1907862")</f>
        <v>0</v>
      </c>
      <c r="B3748" t="s">
        <v>3106</v>
      </c>
      <c r="C3748" t="s">
        <v>7892</v>
      </c>
      <c r="D3748" t="s">
        <v>9925</v>
      </c>
      <c r="E3748" t="s">
        <v>10075</v>
      </c>
      <c r="F3748">
        <v>10033</v>
      </c>
      <c r="G3748" t="s">
        <v>10089</v>
      </c>
      <c r="H3748" t="s">
        <v>10153</v>
      </c>
      <c r="I3748" t="s">
        <v>10169</v>
      </c>
      <c r="J3748" t="s">
        <v>10209</v>
      </c>
      <c r="K3748" t="s">
        <v>10217</v>
      </c>
      <c r="M3748" t="s">
        <v>10459</v>
      </c>
      <c r="N3748" t="s">
        <v>10656</v>
      </c>
      <c r="P3748" t="s">
        <v>10751</v>
      </c>
      <c r="Q3748" t="s">
        <v>10768</v>
      </c>
      <c r="R3748" t="s">
        <v>10821</v>
      </c>
      <c r="T3748">
        <v>0</v>
      </c>
      <c r="U3748">
        <v>0</v>
      </c>
      <c r="V3748">
        <v>60</v>
      </c>
      <c r="W3748">
        <v>1</v>
      </c>
      <c r="X3748">
        <v>0</v>
      </c>
      <c r="Z3748">
        <v>0</v>
      </c>
      <c r="AA3748">
        <v>40.847249</v>
      </c>
      <c r="AB3748">
        <v>-73.93713</v>
      </c>
      <c r="AD3748" t="s">
        <v>10839</v>
      </c>
      <c r="AG3748" t="s">
        <v>10858</v>
      </c>
      <c r="AH3748" t="s">
        <v>10871</v>
      </c>
      <c r="AI3748">
        <v>234</v>
      </c>
      <c r="AJ3748" t="s">
        <v>10214</v>
      </c>
      <c r="AL3748">
        <v>3</v>
      </c>
      <c r="AM3748" t="s">
        <v>10887</v>
      </c>
      <c r="AN3748" t="s">
        <v>10937</v>
      </c>
      <c r="AO3748" t="s">
        <v>11019</v>
      </c>
      <c r="AP3748" t="s">
        <v>11074</v>
      </c>
      <c r="AR3748" t="s">
        <v>11267</v>
      </c>
      <c r="AS3748" t="s">
        <v>9925</v>
      </c>
      <c r="AT3748" t="s">
        <v>11641</v>
      </c>
      <c r="AX3748" t="s">
        <v>10838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</row>
    <row r="3749" spans="1:59">
      <c r="A3749" s="1">
        <f>HYPERLINK("https://lsnyc.legalserver.org/matter/dynamic-profile/view/1907863","19-1907863")</f>
        <v>0</v>
      </c>
      <c r="B3749" t="s">
        <v>3104</v>
      </c>
      <c r="C3749" t="s">
        <v>7891</v>
      </c>
      <c r="D3749" t="s">
        <v>9927</v>
      </c>
      <c r="E3749" t="s">
        <v>10075</v>
      </c>
      <c r="F3749">
        <v>11377</v>
      </c>
      <c r="G3749" t="s">
        <v>10092</v>
      </c>
      <c r="H3749" t="s">
        <v>10153</v>
      </c>
      <c r="I3749" t="s">
        <v>10168</v>
      </c>
      <c r="J3749" t="s">
        <v>10212</v>
      </c>
      <c r="K3749" t="s">
        <v>10218</v>
      </c>
      <c r="L3749" t="s">
        <v>10223</v>
      </c>
      <c r="M3749" t="s">
        <v>10326</v>
      </c>
      <c r="N3749" t="s">
        <v>10692</v>
      </c>
      <c r="P3749" t="s">
        <v>10754</v>
      </c>
      <c r="Q3749" t="s">
        <v>10766</v>
      </c>
      <c r="R3749" t="s">
        <v>10820</v>
      </c>
      <c r="T3749">
        <v>27500</v>
      </c>
      <c r="U3749">
        <v>2291.67</v>
      </c>
      <c r="V3749">
        <v>35</v>
      </c>
      <c r="W3749">
        <v>1</v>
      </c>
      <c r="X3749">
        <v>1</v>
      </c>
      <c r="Y3749" t="s">
        <v>10829</v>
      </c>
      <c r="Z3749">
        <v>162.63</v>
      </c>
      <c r="AA3749">
        <v>40.740986</v>
      </c>
      <c r="AB3749">
        <v>-73.919854</v>
      </c>
      <c r="AD3749" t="s">
        <v>10839</v>
      </c>
      <c r="AF3749" t="s">
        <v>10842</v>
      </c>
      <c r="AG3749" t="s">
        <v>10859</v>
      </c>
      <c r="AH3749" t="s">
        <v>10865</v>
      </c>
      <c r="AI3749">
        <v>237</v>
      </c>
      <c r="AJ3749" t="s">
        <v>10212</v>
      </c>
      <c r="AK3749" t="s">
        <v>10837</v>
      </c>
      <c r="AL3749">
        <v>4.3</v>
      </c>
      <c r="AM3749" t="s">
        <v>10885</v>
      </c>
      <c r="AN3749" t="s">
        <v>10961</v>
      </c>
      <c r="AO3749" t="s">
        <v>11003</v>
      </c>
      <c r="AP3749" t="s">
        <v>11047</v>
      </c>
      <c r="AQ3749" t="s">
        <v>11112</v>
      </c>
      <c r="AR3749" t="s">
        <v>11276</v>
      </c>
      <c r="AS3749" t="s">
        <v>11594</v>
      </c>
      <c r="AY3749" t="s">
        <v>10829</v>
      </c>
      <c r="AZ3749" t="s">
        <v>11683</v>
      </c>
      <c r="BA3749" t="s">
        <v>11741</v>
      </c>
      <c r="BB3749">
        <v>0</v>
      </c>
      <c r="BC3749">
        <v>0</v>
      </c>
      <c r="BD3749">
        <v>0</v>
      </c>
      <c r="BE3749">
        <v>0</v>
      </c>
      <c r="BF3749">
        <v>1</v>
      </c>
      <c r="BG3749">
        <v>0</v>
      </c>
    </row>
    <row r="3750" spans="1:59">
      <c r="A3750" s="1">
        <f>HYPERLINK("https://lsnyc.legalserver.org/matter/dynamic-profile/view/1907864","19-1907864")</f>
        <v>0</v>
      </c>
      <c r="B3750" t="s">
        <v>1616</v>
      </c>
      <c r="C3750" t="s">
        <v>7893</v>
      </c>
      <c r="D3750" t="s">
        <v>9929</v>
      </c>
      <c r="E3750" t="s">
        <v>10075</v>
      </c>
      <c r="F3750">
        <v>10305</v>
      </c>
      <c r="G3750" t="s">
        <v>10088</v>
      </c>
      <c r="H3750" t="s">
        <v>10108</v>
      </c>
      <c r="I3750" t="s">
        <v>10168</v>
      </c>
      <c r="J3750" t="s">
        <v>10208</v>
      </c>
      <c r="K3750" t="s">
        <v>10217</v>
      </c>
      <c r="M3750" t="s">
        <v>10243</v>
      </c>
      <c r="N3750" t="s">
        <v>10650</v>
      </c>
      <c r="P3750" t="s">
        <v>10749</v>
      </c>
      <c r="Q3750" t="s">
        <v>10765</v>
      </c>
      <c r="R3750" t="s">
        <v>10824</v>
      </c>
      <c r="T3750">
        <v>0</v>
      </c>
      <c r="U3750">
        <v>0</v>
      </c>
      <c r="V3750">
        <v>40</v>
      </c>
      <c r="W3750">
        <v>1</v>
      </c>
      <c r="X3750">
        <v>0</v>
      </c>
      <c r="Z3750">
        <v>0</v>
      </c>
      <c r="AA3750">
        <v>40.590578</v>
      </c>
      <c r="AB3750">
        <v>-74.07837499999999</v>
      </c>
      <c r="AD3750" t="s">
        <v>10840</v>
      </c>
      <c r="AG3750" t="s">
        <v>10858</v>
      </c>
      <c r="AH3750" t="s">
        <v>10862</v>
      </c>
      <c r="AI3750">
        <v>285</v>
      </c>
      <c r="AJ3750" t="s">
        <v>10208</v>
      </c>
      <c r="AL3750">
        <v>18.8</v>
      </c>
      <c r="AM3750" t="s">
        <v>10883</v>
      </c>
      <c r="AN3750" t="s">
        <v>10915</v>
      </c>
      <c r="AO3750" t="s">
        <v>11006</v>
      </c>
      <c r="AP3750" t="s">
        <v>11063</v>
      </c>
      <c r="AR3750" t="s">
        <v>11267</v>
      </c>
      <c r="AS3750" t="s">
        <v>11593</v>
      </c>
      <c r="BA3750" t="s">
        <v>11738</v>
      </c>
      <c r="BB3750">
        <v>0</v>
      </c>
      <c r="BC3750">
        <v>0</v>
      </c>
      <c r="BD3750">
        <v>0</v>
      </c>
      <c r="BE3750">
        <v>0</v>
      </c>
      <c r="BF3750">
        <v>5</v>
      </c>
      <c r="BG3750">
        <v>0</v>
      </c>
    </row>
    <row r="3751" spans="1:59">
      <c r="A3751" s="1">
        <f>HYPERLINK("https://lsnyc.legalserver.org/matter/dynamic-profile/view/1907865","19-1907865")</f>
        <v>0</v>
      </c>
      <c r="B3751" t="s">
        <v>2404</v>
      </c>
      <c r="C3751" t="s">
        <v>7231</v>
      </c>
      <c r="D3751" t="s">
        <v>9926</v>
      </c>
      <c r="E3751" t="s">
        <v>10075</v>
      </c>
      <c r="F3751">
        <v>10457</v>
      </c>
      <c r="G3751" t="s">
        <v>10090</v>
      </c>
      <c r="H3751" t="s">
        <v>10153</v>
      </c>
      <c r="I3751" t="s">
        <v>10169</v>
      </c>
      <c r="J3751" t="s">
        <v>10210</v>
      </c>
      <c r="K3751" t="s">
        <v>10217</v>
      </c>
      <c r="M3751" t="s">
        <v>10380</v>
      </c>
      <c r="N3751" t="s">
        <v>10649</v>
      </c>
      <c r="P3751" t="s">
        <v>10753</v>
      </c>
      <c r="Q3751" t="s">
        <v>10763</v>
      </c>
      <c r="R3751" t="s">
        <v>10821</v>
      </c>
      <c r="T3751">
        <v>0</v>
      </c>
      <c r="U3751">
        <v>0</v>
      </c>
      <c r="V3751">
        <v>50</v>
      </c>
      <c r="W3751">
        <v>1</v>
      </c>
      <c r="X3751">
        <v>0</v>
      </c>
      <c r="Z3751">
        <v>0</v>
      </c>
      <c r="AA3751">
        <v>40.840783</v>
      </c>
      <c r="AB3751">
        <v>-73.911265</v>
      </c>
      <c r="AD3751" t="s">
        <v>10840</v>
      </c>
      <c r="AF3751" t="s">
        <v>10843</v>
      </c>
      <c r="AG3751" t="s">
        <v>10859</v>
      </c>
      <c r="AH3751" t="s">
        <v>10861</v>
      </c>
      <c r="AI3751">
        <v>230</v>
      </c>
      <c r="AJ3751" t="s">
        <v>10210</v>
      </c>
      <c r="AL3751">
        <v>5</v>
      </c>
      <c r="AM3751" t="s">
        <v>10884</v>
      </c>
      <c r="AN3751" t="s">
        <v>10929</v>
      </c>
      <c r="AO3751" t="s">
        <v>11000</v>
      </c>
      <c r="AP3751" t="s">
        <v>11055</v>
      </c>
      <c r="AQ3751" t="s">
        <v>11131</v>
      </c>
      <c r="AR3751" t="s">
        <v>11267</v>
      </c>
      <c r="AS3751" t="s">
        <v>9926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</row>
    <row r="3752" spans="1:59">
      <c r="A3752" s="1">
        <f>HYPERLINK("https://lsnyc.legalserver.org/matter/dynamic-profile/view/1907866","19-1907866")</f>
        <v>0</v>
      </c>
      <c r="B3752" t="s">
        <v>3107</v>
      </c>
      <c r="C3752" t="s">
        <v>7894</v>
      </c>
      <c r="D3752" t="s">
        <v>9926</v>
      </c>
      <c r="E3752" t="s">
        <v>10075</v>
      </c>
      <c r="F3752">
        <v>10458</v>
      </c>
      <c r="G3752" t="s">
        <v>10090</v>
      </c>
      <c r="H3752" t="s">
        <v>10153</v>
      </c>
      <c r="I3752" t="s">
        <v>10168</v>
      </c>
      <c r="J3752" t="s">
        <v>10210</v>
      </c>
      <c r="K3752" t="s">
        <v>10217</v>
      </c>
      <c r="M3752" t="s">
        <v>10281</v>
      </c>
      <c r="N3752" t="s">
        <v>10666</v>
      </c>
      <c r="P3752" t="s">
        <v>10749</v>
      </c>
      <c r="Q3752" t="s">
        <v>10791</v>
      </c>
      <c r="R3752" t="s">
        <v>10824</v>
      </c>
      <c r="T3752">
        <v>10648</v>
      </c>
      <c r="U3752">
        <v>887.33</v>
      </c>
      <c r="V3752">
        <v>56</v>
      </c>
      <c r="W3752">
        <v>2</v>
      </c>
      <c r="X3752">
        <v>1</v>
      </c>
      <c r="Z3752">
        <v>49.92</v>
      </c>
      <c r="AA3752">
        <v>40.854649</v>
      </c>
      <c r="AB3752">
        <v>-73.88445</v>
      </c>
      <c r="AD3752" t="s">
        <v>10839</v>
      </c>
      <c r="AG3752" t="s">
        <v>10858</v>
      </c>
      <c r="AH3752" t="s">
        <v>10862</v>
      </c>
      <c r="AI3752">
        <v>230</v>
      </c>
      <c r="AJ3752" t="s">
        <v>10210</v>
      </c>
      <c r="AL3752">
        <v>1</v>
      </c>
      <c r="AM3752" t="s">
        <v>10884</v>
      </c>
      <c r="AN3752" t="s">
        <v>10907</v>
      </c>
      <c r="AO3752" t="s">
        <v>11000</v>
      </c>
      <c r="AP3752" t="s">
        <v>11056</v>
      </c>
      <c r="AR3752" t="s">
        <v>11281</v>
      </c>
      <c r="AS3752" t="s">
        <v>9926</v>
      </c>
      <c r="AT3752" t="s">
        <v>11641</v>
      </c>
      <c r="BA3752" t="s">
        <v>11742</v>
      </c>
      <c r="BB3752">
        <v>0</v>
      </c>
      <c r="BC3752">
        <v>0</v>
      </c>
      <c r="BD3752">
        <v>0</v>
      </c>
      <c r="BE3752">
        <v>0</v>
      </c>
      <c r="BF3752">
        <v>7</v>
      </c>
      <c r="BG3752">
        <v>0</v>
      </c>
    </row>
    <row r="3753" spans="1:59">
      <c r="A3753" s="1">
        <f>HYPERLINK("https://lsnyc.legalserver.org/matter/dynamic-profile/view/1907867","19-1907867")</f>
        <v>0</v>
      </c>
      <c r="B3753" t="s">
        <v>3108</v>
      </c>
      <c r="C3753" t="s">
        <v>7895</v>
      </c>
      <c r="D3753" t="s">
        <v>9926</v>
      </c>
      <c r="E3753" t="s">
        <v>10075</v>
      </c>
      <c r="F3753">
        <v>10454</v>
      </c>
      <c r="G3753" t="s">
        <v>10091</v>
      </c>
      <c r="H3753" t="s">
        <v>10153</v>
      </c>
      <c r="I3753" t="s">
        <v>10169</v>
      </c>
      <c r="J3753" t="s">
        <v>10214</v>
      </c>
      <c r="K3753" t="s">
        <v>10217</v>
      </c>
      <c r="M3753" t="s">
        <v>10286</v>
      </c>
      <c r="N3753" t="s">
        <v>10671</v>
      </c>
      <c r="P3753" t="s">
        <v>10749</v>
      </c>
      <c r="Q3753" t="s">
        <v>10765</v>
      </c>
      <c r="R3753" t="s">
        <v>10821</v>
      </c>
      <c r="T3753">
        <v>4080</v>
      </c>
      <c r="U3753">
        <v>340</v>
      </c>
      <c r="V3753">
        <v>37</v>
      </c>
      <c r="W3753">
        <v>1</v>
      </c>
      <c r="X3753">
        <v>0</v>
      </c>
      <c r="Z3753">
        <v>32.67</v>
      </c>
      <c r="AA3753">
        <v>40.811804</v>
      </c>
      <c r="AB3753">
        <v>-73.922704</v>
      </c>
      <c r="AD3753" t="s">
        <v>10839</v>
      </c>
      <c r="AG3753" t="s">
        <v>10858</v>
      </c>
      <c r="AH3753" t="s">
        <v>10871</v>
      </c>
      <c r="AI3753">
        <v>234</v>
      </c>
      <c r="AJ3753" t="s">
        <v>10214</v>
      </c>
      <c r="AL3753">
        <v>1</v>
      </c>
      <c r="AM3753" t="s">
        <v>10884</v>
      </c>
      <c r="AN3753" t="s">
        <v>10924</v>
      </c>
      <c r="AO3753" t="s">
        <v>11013</v>
      </c>
      <c r="AP3753" t="s">
        <v>11066</v>
      </c>
      <c r="AR3753" t="s">
        <v>11254</v>
      </c>
      <c r="AS3753" t="s">
        <v>9926</v>
      </c>
      <c r="AT3753" t="s">
        <v>11641</v>
      </c>
      <c r="AX3753" t="s">
        <v>10838</v>
      </c>
      <c r="BA3753" t="s">
        <v>11741</v>
      </c>
      <c r="BB3753">
        <v>0</v>
      </c>
      <c r="BC3753">
        <v>0</v>
      </c>
      <c r="BD3753">
        <v>0</v>
      </c>
      <c r="BE3753">
        <v>0</v>
      </c>
      <c r="BF3753">
        <v>1</v>
      </c>
      <c r="BG3753">
        <v>0</v>
      </c>
    </row>
    <row r="3754" spans="1:59">
      <c r="A3754" s="1">
        <f>HYPERLINK("https://lsnyc.legalserver.org/matter/dynamic-profile/view/1907869","19-1907869")</f>
        <v>0</v>
      </c>
      <c r="B3754" t="s">
        <v>3107</v>
      </c>
      <c r="C3754" t="s">
        <v>7894</v>
      </c>
      <c r="D3754" t="s">
        <v>9926</v>
      </c>
      <c r="E3754" t="s">
        <v>10075</v>
      </c>
      <c r="F3754">
        <v>10458</v>
      </c>
      <c r="G3754" t="s">
        <v>10090</v>
      </c>
      <c r="H3754" t="s">
        <v>10153</v>
      </c>
      <c r="I3754" t="s">
        <v>10168</v>
      </c>
      <c r="J3754" t="s">
        <v>10210</v>
      </c>
      <c r="K3754" t="s">
        <v>10217</v>
      </c>
      <c r="M3754" t="s">
        <v>10230</v>
      </c>
      <c r="N3754" t="s">
        <v>10671</v>
      </c>
      <c r="P3754" t="s">
        <v>10751</v>
      </c>
      <c r="Q3754" t="s">
        <v>10761</v>
      </c>
      <c r="R3754" t="s">
        <v>10824</v>
      </c>
      <c r="T3754">
        <v>10648</v>
      </c>
      <c r="U3754">
        <v>887.33</v>
      </c>
      <c r="V3754">
        <v>56</v>
      </c>
      <c r="W3754">
        <v>2</v>
      </c>
      <c r="X3754">
        <v>1</v>
      </c>
      <c r="Z3754">
        <v>49.92</v>
      </c>
      <c r="AA3754">
        <v>40.854649</v>
      </c>
      <c r="AB3754">
        <v>-73.88445</v>
      </c>
      <c r="AD3754" t="s">
        <v>10839</v>
      </c>
      <c r="AG3754" t="s">
        <v>10858</v>
      </c>
      <c r="AH3754" t="s">
        <v>10874</v>
      </c>
      <c r="AI3754">
        <v>230</v>
      </c>
      <c r="AJ3754" t="s">
        <v>10210</v>
      </c>
      <c r="AL3754">
        <v>0.5</v>
      </c>
      <c r="AM3754" t="s">
        <v>10884</v>
      </c>
      <c r="AN3754" t="s">
        <v>10907</v>
      </c>
      <c r="AO3754" t="s">
        <v>11000</v>
      </c>
      <c r="AP3754" t="s">
        <v>11056</v>
      </c>
      <c r="AR3754" t="s">
        <v>11281</v>
      </c>
      <c r="AS3754" t="s">
        <v>9926</v>
      </c>
      <c r="AT3754" t="s">
        <v>11641</v>
      </c>
      <c r="BA3754" t="s">
        <v>11742</v>
      </c>
      <c r="BB3754">
        <v>0</v>
      </c>
      <c r="BC3754">
        <v>0</v>
      </c>
      <c r="BD3754">
        <v>0</v>
      </c>
      <c r="BE3754">
        <v>0</v>
      </c>
      <c r="BF3754">
        <v>7</v>
      </c>
      <c r="BG3754">
        <v>0</v>
      </c>
    </row>
    <row r="3755" spans="1:59">
      <c r="A3755" s="1">
        <f>HYPERLINK("https://lsnyc.legalserver.org/matter/dynamic-profile/view/1907870","19-1907870")</f>
        <v>0</v>
      </c>
      <c r="B3755" t="s">
        <v>3109</v>
      </c>
      <c r="C3755" t="s">
        <v>7896</v>
      </c>
      <c r="D3755" t="s">
        <v>9925</v>
      </c>
      <c r="E3755" t="s">
        <v>10075</v>
      </c>
      <c r="F3755">
        <v>10035</v>
      </c>
      <c r="G3755" t="s">
        <v>10089</v>
      </c>
      <c r="H3755" t="s">
        <v>10153</v>
      </c>
      <c r="I3755" t="s">
        <v>10168</v>
      </c>
      <c r="J3755" t="s">
        <v>10209</v>
      </c>
      <c r="K3755" t="s">
        <v>10217</v>
      </c>
      <c r="M3755" t="s">
        <v>10589</v>
      </c>
      <c r="N3755" t="s">
        <v>10650</v>
      </c>
      <c r="P3755" t="s">
        <v>10749</v>
      </c>
      <c r="Q3755" t="s">
        <v>10765</v>
      </c>
      <c r="R3755" t="s">
        <v>10824</v>
      </c>
      <c r="T3755">
        <v>22000</v>
      </c>
      <c r="U3755">
        <v>1833.33</v>
      </c>
      <c r="V3755">
        <v>31</v>
      </c>
      <c r="W3755">
        <v>1</v>
      </c>
      <c r="X3755">
        <v>1</v>
      </c>
      <c r="Z3755">
        <v>130.1</v>
      </c>
      <c r="AA3755">
        <v>40.805576</v>
      </c>
      <c r="AB3755">
        <v>-73.94179200000001</v>
      </c>
      <c r="AD3755" t="s">
        <v>10839</v>
      </c>
      <c r="AF3755" t="s">
        <v>10842</v>
      </c>
      <c r="AG3755" t="s">
        <v>10859</v>
      </c>
      <c r="AH3755" t="s">
        <v>10862</v>
      </c>
      <c r="AI3755">
        <v>236</v>
      </c>
      <c r="AJ3755" t="s">
        <v>10209</v>
      </c>
      <c r="AL3755">
        <v>0</v>
      </c>
      <c r="AM3755" t="s">
        <v>10887</v>
      </c>
      <c r="AN3755" t="s">
        <v>10926</v>
      </c>
      <c r="AO3755" t="s">
        <v>11016</v>
      </c>
      <c r="AP3755" t="s">
        <v>11076</v>
      </c>
      <c r="AR3755" t="s">
        <v>11257</v>
      </c>
      <c r="AS3755" t="s">
        <v>9925</v>
      </c>
      <c r="AT3755" t="s">
        <v>11641</v>
      </c>
      <c r="AX3755" t="s">
        <v>10838</v>
      </c>
      <c r="BA3755" t="s">
        <v>11740</v>
      </c>
      <c r="BB3755">
        <v>0</v>
      </c>
      <c r="BC3755">
        <v>0</v>
      </c>
      <c r="BD3755">
        <v>0</v>
      </c>
      <c r="BE3755">
        <v>0</v>
      </c>
      <c r="BF3755">
        <v>2</v>
      </c>
      <c r="BG3755">
        <v>0</v>
      </c>
    </row>
    <row r="3756" spans="1:59">
      <c r="A3756" s="1">
        <f>HYPERLINK("https://lsnyc.legalserver.org/matter/dynamic-profile/view/1907871","19-1907871")</f>
        <v>0</v>
      </c>
      <c r="B3756" t="s">
        <v>3110</v>
      </c>
      <c r="C3756" t="s">
        <v>7897</v>
      </c>
      <c r="D3756" t="s">
        <v>9936</v>
      </c>
      <c r="E3756" t="s">
        <v>10075</v>
      </c>
      <c r="F3756">
        <v>11106</v>
      </c>
      <c r="G3756" t="s">
        <v>10091</v>
      </c>
      <c r="H3756" t="s">
        <v>10153</v>
      </c>
      <c r="I3756" t="s">
        <v>10168</v>
      </c>
      <c r="J3756" t="s">
        <v>10211</v>
      </c>
      <c r="K3756" t="s">
        <v>10217</v>
      </c>
      <c r="M3756" t="s">
        <v>10307</v>
      </c>
      <c r="N3756" t="s">
        <v>10671</v>
      </c>
      <c r="P3756" t="s">
        <v>10752</v>
      </c>
      <c r="Q3756" t="s">
        <v>10762</v>
      </c>
      <c r="R3756" t="s">
        <v>10824</v>
      </c>
      <c r="T3756">
        <v>18720</v>
      </c>
      <c r="U3756">
        <v>1560</v>
      </c>
      <c r="V3756">
        <v>40</v>
      </c>
      <c r="W3756">
        <v>2</v>
      </c>
      <c r="X3756">
        <v>0</v>
      </c>
      <c r="Z3756">
        <v>110.7</v>
      </c>
      <c r="AA3756">
        <v>40.762562</v>
      </c>
      <c r="AB3756">
        <v>-73.937636</v>
      </c>
      <c r="AD3756" t="s">
        <v>10839</v>
      </c>
      <c r="AG3756" t="s">
        <v>10858</v>
      </c>
      <c r="AH3756" t="s">
        <v>10861</v>
      </c>
      <c r="AI3756">
        <v>234</v>
      </c>
      <c r="AJ3756" t="s">
        <v>10214</v>
      </c>
      <c r="AL3756">
        <v>0.6</v>
      </c>
      <c r="AM3756" t="s">
        <v>10891</v>
      </c>
      <c r="AN3756" t="s">
        <v>10961</v>
      </c>
      <c r="AO3756" t="s">
        <v>11003</v>
      </c>
      <c r="AP3756" t="s">
        <v>11047</v>
      </c>
      <c r="AR3756" t="s">
        <v>11257</v>
      </c>
      <c r="AS3756" t="s">
        <v>11594</v>
      </c>
      <c r="AT3756" t="s">
        <v>11641</v>
      </c>
      <c r="AX3756" t="s">
        <v>10838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</row>
    <row r="3757" spans="1:59">
      <c r="A3757" s="1">
        <f>HYPERLINK("https://lsnyc.legalserver.org/matter/dynamic-profile/view/1907872","19-1907872")</f>
        <v>0</v>
      </c>
      <c r="B3757" t="s">
        <v>3111</v>
      </c>
      <c r="C3757" t="s">
        <v>7898</v>
      </c>
      <c r="D3757" t="s">
        <v>9929</v>
      </c>
      <c r="E3757" t="s">
        <v>10075</v>
      </c>
      <c r="F3757">
        <v>10306</v>
      </c>
      <c r="G3757" t="s">
        <v>10088</v>
      </c>
      <c r="H3757" t="s">
        <v>10153</v>
      </c>
      <c r="I3757" t="s">
        <v>10184</v>
      </c>
      <c r="J3757" t="s">
        <v>10208</v>
      </c>
      <c r="K3757" t="s">
        <v>10217</v>
      </c>
      <c r="M3757" t="s">
        <v>10251</v>
      </c>
      <c r="N3757" t="s">
        <v>10644</v>
      </c>
      <c r="P3757" t="s">
        <v>10749</v>
      </c>
      <c r="Q3757" t="s">
        <v>10759</v>
      </c>
      <c r="R3757" t="s">
        <v>10820</v>
      </c>
      <c r="T3757">
        <v>29880</v>
      </c>
      <c r="U3757">
        <v>2490</v>
      </c>
      <c r="V3757">
        <v>68</v>
      </c>
      <c r="W3757">
        <v>2</v>
      </c>
      <c r="X3757">
        <v>3</v>
      </c>
      <c r="Z3757">
        <v>99.04000000000001</v>
      </c>
      <c r="AA3757">
        <v>40.563282</v>
      </c>
      <c r="AB3757">
        <v>-74.110668</v>
      </c>
      <c r="AD3757" t="s">
        <v>10839</v>
      </c>
      <c r="AG3757" t="s">
        <v>10858</v>
      </c>
      <c r="AH3757" t="s">
        <v>10860</v>
      </c>
      <c r="AI3757">
        <v>285</v>
      </c>
      <c r="AJ3757" t="s">
        <v>10208</v>
      </c>
      <c r="AL3757">
        <v>5.4</v>
      </c>
      <c r="AM3757" t="s">
        <v>10883</v>
      </c>
      <c r="AN3757" t="s">
        <v>10915</v>
      </c>
      <c r="AO3757" t="s">
        <v>10999</v>
      </c>
      <c r="AP3757" t="s">
        <v>11063</v>
      </c>
      <c r="AR3757" t="s">
        <v>11437</v>
      </c>
      <c r="AS3757" t="s">
        <v>11593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</row>
    <row r="3758" spans="1:59">
      <c r="A3758" s="1">
        <f>HYPERLINK("https://lsnyc.legalserver.org/matter/dynamic-profile/view/1907873","19-1907873")</f>
        <v>0</v>
      </c>
      <c r="B3758" t="s">
        <v>3112</v>
      </c>
      <c r="C3758" t="s">
        <v>7899</v>
      </c>
      <c r="D3758" t="s">
        <v>9956</v>
      </c>
      <c r="E3758" t="s">
        <v>10075</v>
      </c>
      <c r="F3758">
        <v>11365</v>
      </c>
      <c r="G3758" t="s">
        <v>10092</v>
      </c>
      <c r="H3758" t="s">
        <v>10153</v>
      </c>
      <c r="I3758" t="s">
        <v>10168</v>
      </c>
      <c r="J3758" t="s">
        <v>10212</v>
      </c>
      <c r="K3758" t="s">
        <v>10217</v>
      </c>
      <c r="M3758" t="s">
        <v>10527</v>
      </c>
      <c r="N3758" t="s">
        <v>10671</v>
      </c>
      <c r="P3758" t="s">
        <v>10755</v>
      </c>
      <c r="Q3758" t="s">
        <v>10772</v>
      </c>
      <c r="R3758" t="s">
        <v>10825</v>
      </c>
      <c r="T3758">
        <v>38000</v>
      </c>
      <c r="U3758">
        <v>3166.67</v>
      </c>
      <c r="V3758">
        <v>7</v>
      </c>
      <c r="W3758">
        <v>1</v>
      </c>
      <c r="X3758">
        <v>2</v>
      </c>
      <c r="Z3758">
        <v>178.15</v>
      </c>
      <c r="AA3758">
        <v>40.732396</v>
      </c>
      <c r="AB3758">
        <v>-73.808869</v>
      </c>
      <c r="AD3758" t="s">
        <v>10839</v>
      </c>
      <c r="AG3758" t="s">
        <v>10858</v>
      </c>
      <c r="AH3758" t="s">
        <v>10861</v>
      </c>
      <c r="AI3758">
        <v>234</v>
      </c>
      <c r="AJ3758" t="s">
        <v>10214</v>
      </c>
      <c r="AL3758">
        <v>2.7</v>
      </c>
      <c r="AM3758" t="s">
        <v>10890</v>
      </c>
      <c r="AN3758" t="s">
        <v>10962</v>
      </c>
      <c r="AO3758" t="s">
        <v>11009</v>
      </c>
      <c r="AP3758" t="s">
        <v>11081</v>
      </c>
      <c r="AR3758" t="s">
        <v>11257</v>
      </c>
      <c r="AS3758" t="s">
        <v>11594</v>
      </c>
      <c r="AT3758" t="s">
        <v>11641</v>
      </c>
      <c r="AX3758" t="s">
        <v>10838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</row>
    <row r="3759" spans="1:59">
      <c r="A3759" s="1">
        <f>HYPERLINK("https://lsnyc.legalserver.org/matter/dynamic-profile/view/1907874","19-1907874")</f>
        <v>0</v>
      </c>
      <c r="B3759" t="s">
        <v>1386</v>
      </c>
      <c r="C3759" t="s">
        <v>6210</v>
      </c>
      <c r="D3759" t="s">
        <v>9926</v>
      </c>
      <c r="E3759" t="s">
        <v>10075</v>
      </c>
      <c r="F3759">
        <v>10458</v>
      </c>
      <c r="G3759" t="s">
        <v>10091</v>
      </c>
      <c r="H3759" t="s">
        <v>10153</v>
      </c>
      <c r="I3759" t="s">
        <v>10168</v>
      </c>
      <c r="J3759" t="s">
        <v>10214</v>
      </c>
      <c r="K3759" t="s">
        <v>10217</v>
      </c>
      <c r="M3759" t="s">
        <v>10286</v>
      </c>
      <c r="N3759" t="s">
        <v>10671</v>
      </c>
      <c r="P3759" t="s">
        <v>10749</v>
      </c>
      <c r="Q3759" t="s">
        <v>10765</v>
      </c>
      <c r="R3759" t="s">
        <v>10827</v>
      </c>
      <c r="T3759">
        <v>19500</v>
      </c>
      <c r="U3759">
        <v>1625</v>
      </c>
      <c r="V3759">
        <v>67</v>
      </c>
      <c r="W3759">
        <v>1</v>
      </c>
      <c r="X3759">
        <v>0</v>
      </c>
      <c r="Z3759">
        <v>156.12</v>
      </c>
      <c r="AA3759">
        <v>40.87427</v>
      </c>
      <c r="AB3759">
        <v>-73.885535</v>
      </c>
      <c r="AD3759" t="s">
        <v>10840</v>
      </c>
      <c r="AG3759" t="s">
        <v>10858</v>
      </c>
      <c r="AH3759" t="s">
        <v>10871</v>
      </c>
      <c r="AI3759">
        <v>234</v>
      </c>
      <c r="AJ3759" t="s">
        <v>10214</v>
      </c>
      <c r="AL3759">
        <v>1</v>
      </c>
      <c r="AM3759" t="s">
        <v>10887</v>
      </c>
      <c r="AN3759" t="s">
        <v>10907</v>
      </c>
      <c r="AO3759" t="s">
        <v>11010</v>
      </c>
      <c r="AP3759" t="s">
        <v>11057</v>
      </c>
      <c r="AR3759" t="s">
        <v>11268</v>
      </c>
      <c r="AS3759" t="s">
        <v>9926</v>
      </c>
      <c r="AT3759" t="s">
        <v>11642</v>
      </c>
      <c r="AX3759" t="s">
        <v>10838</v>
      </c>
      <c r="BA3759" t="s">
        <v>11741</v>
      </c>
      <c r="BB3759">
        <v>0</v>
      </c>
      <c r="BC3759">
        <v>0</v>
      </c>
      <c r="BD3759">
        <v>0</v>
      </c>
      <c r="BE3759">
        <v>0</v>
      </c>
      <c r="BF3759">
        <v>1</v>
      </c>
      <c r="BG3759">
        <v>0</v>
      </c>
    </row>
    <row r="3760" spans="1:59">
      <c r="A3760" s="1">
        <f>HYPERLINK("https://lsnyc.legalserver.org/matter/dynamic-profile/view/1907875","19-1907875")</f>
        <v>0</v>
      </c>
      <c r="B3760" t="s">
        <v>224</v>
      </c>
      <c r="C3760" t="s">
        <v>7900</v>
      </c>
      <c r="D3760" t="s">
        <v>9928</v>
      </c>
      <c r="E3760" t="s">
        <v>10075</v>
      </c>
      <c r="F3760">
        <v>11226</v>
      </c>
      <c r="G3760" t="s">
        <v>10093</v>
      </c>
      <c r="H3760" t="s">
        <v>10145</v>
      </c>
      <c r="J3760" t="s">
        <v>10213</v>
      </c>
      <c r="K3760" t="s">
        <v>10217</v>
      </c>
      <c r="M3760" t="s">
        <v>10572</v>
      </c>
      <c r="N3760" t="s">
        <v>10720</v>
      </c>
      <c r="P3760" t="s">
        <v>10749</v>
      </c>
      <c r="Q3760" t="s">
        <v>10769</v>
      </c>
      <c r="R3760" t="s">
        <v>10824</v>
      </c>
      <c r="T3760">
        <v>84700</v>
      </c>
      <c r="U3760">
        <v>7058.33</v>
      </c>
      <c r="V3760">
        <v>67</v>
      </c>
      <c r="W3760">
        <v>2</v>
      </c>
      <c r="X3760">
        <v>0</v>
      </c>
      <c r="Z3760">
        <v>500.89</v>
      </c>
      <c r="AA3760">
        <v>40.644609</v>
      </c>
      <c r="AB3760">
        <v>-73.949507</v>
      </c>
      <c r="AD3760" t="s">
        <v>10839</v>
      </c>
      <c r="AG3760" t="s">
        <v>10858</v>
      </c>
      <c r="AH3760" t="s">
        <v>10860</v>
      </c>
      <c r="AI3760">
        <v>239</v>
      </c>
      <c r="AJ3760" t="s">
        <v>10213</v>
      </c>
      <c r="AL3760">
        <v>0</v>
      </c>
      <c r="AM3760" t="s">
        <v>10888</v>
      </c>
      <c r="AN3760" t="s">
        <v>10932</v>
      </c>
      <c r="AO3760" t="s">
        <v>11008</v>
      </c>
      <c r="AP3760" t="s">
        <v>11065</v>
      </c>
      <c r="AQ3760" t="s">
        <v>11098</v>
      </c>
      <c r="AR3760" t="s">
        <v>11378</v>
      </c>
      <c r="AS3760" t="s">
        <v>11595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</row>
    <row r="3761" spans="1:59">
      <c r="A3761" s="1">
        <f>HYPERLINK("https://lsnyc.legalserver.org/matter/dynamic-profile/view/1907876","19-1907876")</f>
        <v>0</v>
      </c>
      <c r="B3761" t="s">
        <v>649</v>
      </c>
      <c r="C3761" t="s">
        <v>7874</v>
      </c>
      <c r="D3761" t="s">
        <v>9928</v>
      </c>
      <c r="E3761" t="s">
        <v>10075</v>
      </c>
      <c r="F3761">
        <v>11226</v>
      </c>
      <c r="G3761" t="s">
        <v>10093</v>
      </c>
      <c r="H3761" t="s">
        <v>10153</v>
      </c>
      <c r="J3761" t="s">
        <v>10213</v>
      </c>
      <c r="K3761" t="s">
        <v>10217</v>
      </c>
      <c r="M3761" t="s">
        <v>10378</v>
      </c>
      <c r="N3761" t="s">
        <v>10698</v>
      </c>
      <c r="P3761" t="s">
        <v>10749</v>
      </c>
      <c r="Q3761" t="s">
        <v>10765</v>
      </c>
      <c r="R3761" t="s">
        <v>10824</v>
      </c>
      <c r="T3761">
        <v>31200</v>
      </c>
      <c r="U3761">
        <v>2600</v>
      </c>
      <c r="V3761">
        <v>53</v>
      </c>
      <c r="W3761">
        <v>1</v>
      </c>
      <c r="X3761">
        <v>0</v>
      </c>
      <c r="Z3761">
        <v>249.8</v>
      </c>
      <c r="AA3761">
        <v>40.646004</v>
      </c>
      <c r="AB3761">
        <v>-73.958849</v>
      </c>
      <c r="AD3761" t="s">
        <v>10840</v>
      </c>
      <c r="AG3761" t="s">
        <v>10858</v>
      </c>
      <c r="AH3761" t="s">
        <v>10868</v>
      </c>
      <c r="AI3761">
        <v>239</v>
      </c>
      <c r="AJ3761" t="s">
        <v>10213</v>
      </c>
      <c r="AL3761">
        <v>0.25</v>
      </c>
      <c r="AM3761" t="s">
        <v>10888</v>
      </c>
      <c r="AN3761" t="s">
        <v>10932</v>
      </c>
      <c r="AO3761" t="s">
        <v>11008</v>
      </c>
      <c r="AP3761" t="s">
        <v>11050</v>
      </c>
      <c r="AR3761" t="s">
        <v>11257</v>
      </c>
      <c r="AS3761" t="s">
        <v>11595</v>
      </c>
      <c r="AT3761" t="s">
        <v>11642</v>
      </c>
      <c r="AX3761" t="s">
        <v>10837</v>
      </c>
      <c r="BA3761" t="s">
        <v>11742</v>
      </c>
      <c r="BB3761">
        <v>0</v>
      </c>
      <c r="BC3761">
        <v>0</v>
      </c>
      <c r="BD3761">
        <v>0</v>
      </c>
      <c r="BE3761">
        <v>0</v>
      </c>
      <c r="BF3761">
        <v>7</v>
      </c>
      <c r="BG3761">
        <v>0</v>
      </c>
    </row>
    <row r="3762" spans="1:59">
      <c r="A3762" s="1">
        <f>HYPERLINK("https://lsnyc.legalserver.org/matter/dynamic-profile/view/1907877","19-1907877")</f>
        <v>0</v>
      </c>
      <c r="B3762" t="s">
        <v>3113</v>
      </c>
      <c r="C3762" t="s">
        <v>7901</v>
      </c>
      <c r="D3762" t="s">
        <v>9927</v>
      </c>
      <c r="E3762" t="s">
        <v>10075</v>
      </c>
      <c r="F3762">
        <v>11377</v>
      </c>
      <c r="G3762" t="s">
        <v>10092</v>
      </c>
      <c r="H3762" t="s">
        <v>10153</v>
      </c>
      <c r="I3762" t="s">
        <v>10180</v>
      </c>
      <c r="J3762" t="s">
        <v>10212</v>
      </c>
      <c r="K3762" t="s">
        <v>10217</v>
      </c>
      <c r="M3762" t="s">
        <v>10282</v>
      </c>
      <c r="N3762" t="s">
        <v>10674</v>
      </c>
      <c r="P3762" t="s">
        <v>10753</v>
      </c>
      <c r="Q3762" t="s">
        <v>10763</v>
      </c>
      <c r="R3762" t="s">
        <v>10827</v>
      </c>
      <c r="T3762">
        <v>9600</v>
      </c>
      <c r="U3762">
        <v>800</v>
      </c>
      <c r="V3762">
        <v>33</v>
      </c>
      <c r="W3762">
        <v>1</v>
      </c>
      <c r="X3762">
        <v>0</v>
      </c>
      <c r="Z3762">
        <v>76.86</v>
      </c>
      <c r="AA3762">
        <v>40.740957</v>
      </c>
      <c r="AB3762">
        <v>-73.89649</v>
      </c>
      <c r="AD3762" t="s">
        <v>10839</v>
      </c>
      <c r="AF3762" t="s">
        <v>10843</v>
      </c>
      <c r="AG3762" t="s">
        <v>10859</v>
      </c>
      <c r="AH3762" t="s">
        <v>10864</v>
      </c>
      <c r="AI3762">
        <v>237</v>
      </c>
      <c r="AJ3762" t="s">
        <v>10212</v>
      </c>
      <c r="AL3762">
        <v>1.25</v>
      </c>
      <c r="AM3762" t="s">
        <v>10890</v>
      </c>
      <c r="AN3762" t="s">
        <v>10909</v>
      </c>
      <c r="AO3762" t="s">
        <v>11003</v>
      </c>
      <c r="AP3762" t="s">
        <v>11047</v>
      </c>
      <c r="AQ3762" t="s">
        <v>11158</v>
      </c>
      <c r="AR3762" t="s">
        <v>11257</v>
      </c>
      <c r="AS3762" t="s">
        <v>11594</v>
      </c>
      <c r="BA3762" t="s">
        <v>11739</v>
      </c>
      <c r="BB3762">
        <v>0</v>
      </c>
      <c r="BC3762">
        <v>0</v>
      </c>
      <c r="BD3762">
        <v>0</v>
      </c>
      <c r="BE3762">
        <v>0</v>
      </c>
      <c r="BF3762">
        <v>4</v>
      </c>
      <c r="BG3762">
        <v>0</v>
      </c>
    </row>
    <row r="3763" spans="1:59">
      <c r="A3763" s="1">
        <f>HYPERLINK("https://lsnyc.legalserver.org/matter/dynamic-profile/view/1907879","19-1907879")</f>
        <v>0</v>
      </c>
      <c r="B3763" t="s">
        <v>3114</v>
      </c>
      <c r="C3763" t="s">
        <v>7902</v>
      </c>
      <c r="D3763" t="s">
        <v>9928</v>
      </c>
      <c r="E3763" t="s">
        <v>10075</v>
      </c>
      <c r="F3763">
        <v>11221</v>
      </c>
      <c r="G3763" t="s">
        <v>10093</v>
      </c>
      <c r="H3763" t="s">
        <v>10153</v>
      </c>
      <c r="I3763" t="s">
        <v>10168</v>
      </c>
      <c r="J3763" t="s">
        <v>10213</v>
      </c>
      <c r="K3763" t="s">
        <v>10217</v>
      </c>
      <c r="M3763" t="s">
        <v>10358</v>
      </c>
      <c r="N3763" t="s">
        <v>10671</v>
      </c>
      <c r="P3763" t="s">
        <v>10752</v>
      </c>
      <c r="Q3763" t="s">
        <v>10783</v>
      </c>
      <c r="R3763" t="s">
        <v>10824</v>
      </c>
      <c r="T3763">
        <v>24960</v>
      </c>
      <c r="U3763">
        <v>2080</v>
      </c>
      <c r="V3763">
        <v>25</v>
      </c>
      <c r="W3763">
        <v>1</v>
      </c>
      <c r="X3763">
        <v>1</v>
      </c>
      <c r="Z3763">
        <v>147.6</v>
      </c>
      <c r="AA3763">
        <v>40.694995</v>
      </c>
      <c r="AB3763">
        <v>-73.91397499999999</v>
      </c>
      <c r="AD3763" t="s">
        <v>10840</v>
      </c>
      <c r="AG3763" t="s">
        <v>10858</v>
      </c>
      <c r="AH3763" t="s">
        <v>10861</v>
      </c>
      <c r="AI3763">
        <v>234</v>
      </c>
      <c r="AJ3763" t="s">
        <v>10214</v>
      </c>
      <c r="AL3763">
        <v>0.5</v>
      </c>
      <c r="AM3763" t="s">
        <v>10886</v>
      </c>
      <c r="AN3763" t="s">
        <v>10920</v>
      </c>
      <c r="AO3763" t="s">
        <v>11011</v>
      </c>
      <c r="AP3763" t="s">
        <v>11058</v>
      </c>
      <c r="AR3763" t="s">
        <v>11257</v>
      </c>
      <c r="AS3763" t="s">
        <v>11595</v>
      </c>
      <c r="AT3763" t="s">
        <v>11642</v>
      </c>
      <c r="AX3763" t="s">
        <v>10838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</row>
    <row r="3764" spans="1:59">
      <c r="A3764" s="1">
        <f>HYPERLINK("https://lsnyc.legalserver.org/matter/dynamic-profile/view/1907880","19-1907880")</f>
        <v>0</v>
      </c>
      <c r="B3764" t="s">
        <v>3115</v>
      </c>
      <c r="C3764" t="s">
        <v>7903</v>
      </c>
      <c r="D3764" t="s">
        <v>9928</v>
      </c>
      <c r="E3764" t="s">
        <v>10075</v>
      </c>
      <c r="F3764">
        <v>11220</v>
      </c>
      <c r="G3764" t="s">
        <v>10093</v>
      </c>
      <c r="H3764" t="s">
        <v>10153</v>
      </c>
      <c r="I3764" t="s">
        <v>10168</v>
      </c>
      <c r="J3764" t="s">
        <v>10213</v>
      </c>
      <c r="K3764" t="s">
        <v>10218</v>
      </c>
      <c r="L3764" t="s">
        <v>10111</v>
      </c>
      <c r="M3764" t="s">
        <v>10290</v>
      </c>
      <c r="N3764" t="s">
        <v>10665</v>
      </c>
      <c r="P3764" t="s">
        <v>10751</v>
      </c>
      <c r="Q3764" t="s">
        <v>10773</v>
      </c>
      <c r="R3764" t="s">
        <v>10820</v>
      </c>
      <c r="T3764">
        <v>14560</v>
      </c>
      <c r="U3764">
        <v>1213.33</v>
      </c>
      <c r="V3764">
        <v>33</v>
      </c>
      <c r="W3764">
        <v>2</v>
      </c>
      <c r="X3764">
        <v>0</v>
      </c>
      <c r="Y3764" t="s">
        <v>10829</v>
      </c>
      <c r="Z3764">
        <v>86.09999999999999</v>
      </c>
      <c r="AA3764">
        <v>40.644403</v>
      </c>
      <c r="AB3764">
        <v>-74.012534</v>
      </c>
      <c r="AD3764" t="s">
        <v>10839</v>
      </c>
      <c r="AF3764" t="s">
        <v>10843</v>
      </c>
      <c r="AG3764" t="s">
        <v>10859</v>
      </c>
      <c r="AH3764" t="s">
        <v>10861</v>
      </c>
      <c r="AI3764">
        <v>234</v>
      </c>
      <c r="AJ3764" t="s">
        <v>10214</v>
      </c>
      <c r="AK3764" t="s">
        <v>10882</v>
      </c>
      <c r="AL3764">
        <v>1.5</v>
      </c>
      <c r="AM3764" t="s">
        <v>10886</v>
      </c>
      <c r="AN3764" t="s">
        <v>10921</v>
      </c>
      <c r="AO3764" t="s">
        <v>11005</v>
      </c>
      <c r="AP3764" t="s">
        <v>11069</v>
      </c>
      <c r="AR3764" t="s">
        <v>11293</v>
      </c>
      <c r="AS3764" t="s">
        <v>11595</v>
      </c>
      <c r="AT3764" t="s">
        <v>11641</v>
      </c>
      <c r="AX3764" t="s">
        <v>10838</v>
      </c>
      <c r="AY3764" t="s">
        <v>10829</v>
      </c>
      <c r="AZ3764" t="s">
        <v>11682</v>
      </c>
      <c r="BA3764" t="s">
        <v>11741</v>
      </c>
      <c r="BB3764">
        <v>0</v>
      </c>
      <c r="BC3764">
        <v>0</v>
      </c>
      <c r="BD3764">
        <v>0</v>
      </c>
      <c r="BE3764">
        <v>0</v>
      </c>
      <c r="BF3764">
        <v>1</v>
      </c>
      <c r="BG3764">
        <v>0</v>
      </c>
    </row>
    <row r="3765" spans="1:59">
      <c r="A3765" s="1">
        <f>HYPERLINK("https://lsnyc.legalserver.org/matter/dynamic-profile/view/1907881","19-1907881")</f>
        <v>0</v>
      </c>
      <c r="B3765" t="s">
        <v>3116</v>
      </c>
      <c r="C3765" t="s">
        <v>7904</v>
      </c>
      <c r="D3765" t="s">
        <v>10036</v>
      </c>
      <c r="E3765" t="s">
        <v>10075</v>
      </c>
      <c r="F3765">
        <v>7645</v>
      </c>
      <c r="G3765" t="s">
        <v>10093</v>
      </c>
      <c r="H3765" t="s">
        <v>10153</v>
      </c>
      <c r="I3765" t="s">
        <v>10168</v>
      </c>
      <c r="J3765" t="s">
        <v>10213</v>
      </c>
      <c r="K3765" t="s">
        <v>10218</v>
      </c>
      <c r="L3765" t="s">
        <v>10151</v>
      </c>
      <c r="M3765" t="s">
        <v>10436</v>
      </c>
      <c r="N3765" t="s">
        <v>10710</v>
      </c>
      <c r="P3765" t="s">
        <v>10750</v>
      </c>
      <c r="Q3765" t="s">
        <v>10760</v>
      </c>
      <c r="R3765" t="s">
        <v>10825</v>
      </c>
      <c r="T3765">
        <v>21180</v>
      </c>
      <c r="U3765">
        <v>1765</v>
      </c>
      <c r="V3765">
        <v>83</v>
      </c>
      <c r="W3765">
        <v>1</v>
      </c>
      <c r="X3765">
        <v>0</v>
      </c>
      <c r="Y3765" t="s">
        <v>10829</v>
      </c>
      <c r="Z3765">
        <v>169.58</v>
      </c>
      <c r="AA3765">
        <v>41.03895</v>
      </c>
      <c r="AB3765">
        <v>-74.02507799999999</v>
      </c>
      <c r="AD3765" t="s">
        <v>10840</v>
      </c>
      <c r="AG3765" t="s">
        <v>10858</v>
      </c>
      <c r="AH3765" t="s">
        <v>10861</v>
      </c>
      <c r="AI3765">
        <v>234</v>
      </c>
      <c r="AJ3765" t="s">
        <v>10214</v>
      </c>
      <c r="AK3765" t="s">
        <v>10838</v>
      </c>
      <c r="AL3765">
        <v>0.6</v>
      </c>
      <c r="AR3765" t="s">
        <v>11300</v>
      </c>
      <c r="AS3765" t="s">
        <v>11596</v>
      </c>
      <c r="AT3765" t="s">
        <v>11642</v>
      </c>
      <c r="AX3765" t="s">
        <v>10838</v>
      </c>
      <c r="AY3765" t="s">
        <v>10829</v>
      </c>
      <c r="AZ3765" t="s">
        <v>11679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</row>
    <row r="3766" spans="1:59">
      <c r="A3766" s="1">
        <f>HYPERLINK("https://lsnyc.legalserver.org/matter/dynamic-profile/view/1907882","19-1907882")</f>
        <v>0</v>
      </c>
      <c r="B3766" t="s">
        <v>3117</v>
      </c>
      <c r="C3766" t="s">
        <v>7905</v>
      </c>
      <c r="D3766" t="s">
        <v>9926</v>
      </c>
      <c r="E3766" t="s">
        <v>10075</v>
      </c>
      <c r="F3766">
        <v>10452</v>
      </c>
      <c r="G3766" t="s">
        <v>10089</v>
      </c>
      <c r="H3766" t="s">
        <v>10153</v>
      </c>
      <c r="I3766" t="s">
        <v>10168</v>
      </c>
      <c r="J3766" t="s">
        <v>10209</v>
      </c>
      <c r="K3766" t="s">
        <v>10217</v>
      </c>
      <c r="M3766" t="s">
        <v>10307</v>
      </c>
      <c r="N3766" t="s">
        <v>10671</v>
      </c>
      <c r="P3766" t="s">
        <v>10752</v>
      </c>
      <c r="Q3766" t="s">
        <v>10762</v>
      </c>
      <c r="R3766" t="s">
        <v>10825</v>
      </c>
      <c r="T3766">
        <v>3600</v>
      </c>
      <c r="U3766">
        <v>300</v>
      </c>
      <c r="V3766">
        <v>25</v>
      </c>
      <c r="W3766">
        <v>1</v>
      </c>
      <c r="X3766">
        <v>0</v>
      </c>
      <c r="Z3766">
        <v>28.82</v>
      </c>
      <c r="AA3766">
        <v>40.837931</v>
      </c>
      <c r="AB3766">
        <v>-73.928747</v>
      </c>
      <c r="AD3766" t="s">
        <v>10840</v>
      </c>
      <c r="AG3766" t="s">
        <v>10858</v>
      </c>
      <c r="AH3766" t="s">
        <v>10861</v>
      </c>
      <c r="AI3766">
        <v>234</v>
      </c>
      <c r="AJ3766" t="s">
        <v>10214</v>
      </c>
      <c r="AL3766">
        <v>1.1</v>
      </c>
      <c r="AM3766" t="s">
        <v>10884</v>
      </c>
      <c r="AN3766" t="s">
        <v>10929</v>
      </c>
      <c r="AO3766" t="s">
        <v>11013</v>
      </c>
      <c r="AP3766" t="s">
        <v>11055</v>
      </c>
      <c r="AR3766" t="s">
        <v>11257</v>
      </c>
      <c r="AS3766" t="s">
        <v>9926</v>
      </c>
      <c r="AT3766" t="s">
        <v>11642</v>
      </c>
      <c r="AX3766" t="s">
        <v>11678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</row>
    <row r="3767" spans="1:59">
      <c r="A3767" s="1">
        <f>HYPERLINK("https://lsnyc.legalserver.org/matter/dynamic-profile/view/1907883","19-1907883")</f>
        <v>0</v>
      </c>
      <c r="B3767" t="s">
        <v>3118</v>
      </c>
      <c r="C3767" t="s">
        <v>7803</v>
      </c>
      <c r="D3767" t="s">
        <v>9926</v>
      </c>
      <c r="E3767" t="s">
        <v>10075</v>
      </c>
      <c r="F3767">
        <v>10457</v>
      </c>
      <c r="G3767" t="s">
        <v>10090</v>
      </c>
      <c r="H3767" t="s">
        <v>10153</v>
      </c>
      <c r="I3767" t="s">
        <v>10168</v>
      </c>
      <c r="J3767" t="s">
        <v>10210</v>
      </c>
      <c r="K3767" t="s">
        <v>10217</v>
      </c>
      <c r="M3767" t="s">
        <v>10338</v>
      </c>
      <c r="N3767" t="s">
        <v>10671</v>
      </c>
      <c r="P3767" t="s">
        <v>10757</v>
      </c>
      <c r="Q3767" t="s">
        <v>10789</v>
      </c>
      <c r="R3767" t="s">
        <v>10820</v>
      </c>
      <c r="T3767">
        <v>11148</v>
      </c>
      <c r="U3767">
        <v>929</v>
      </c>
      <c r="V3767">
        <v>57</v>
      </c>
      <c r="W3767">
        <v>1</v>
      </c>
      <c r="X3767">
        <v>0</v>
      </c>
      <c r="Z3767">
        <v>89.26000000000001</v>
      </c>
      <c r="AA3767">
        <v>40.847269</v>
      </c>
      <c r="AB3767">
        <v>-73.898281</v>
      </c>
      <c r="AD3767" t="s">
        <v>10840</v>
      </c>
      <c r="AG3767" t="s">
        <v>10858</v>
      </c>
      <c r="AH3767" t="s">
        <v>10874</v>
      </c>
      <c r="AI3767">
        <v>230</v>
      </c>
      <c r="AJ3767" t="s">
        <v>10210</v>
      </c>
      <c r="AL3767">
        <v>4.9</v>
      </c>
      <c r="AM3767" t="s">
        <v>10884</v>
      </c>
      <c r="AN3767" t="s">
        <v>10931</v>
      </c>
      <c r="AO3767" t="s">
        <v>11000</v>
      </c>
      <c r="AP3767" t="s">
        <v>11056</v>
      </c>
      <c r="AQ3767" t="s">
        <v>11196</v>
      </c>
      <c r="AR3767" t="s">
        <v>11296</v>
      </c>
      <c r="AS3767" t="s">
        <v>9926</v>
      </c>
      <c r="AT3767" t="s">
        <v>11642</v>
      </c>
      <c r="AX3767" t="s">
        <v>10838</v>
      </c>
      <c r="BA3767" t="s">
        <v>11739</v>
      </c>
      <c r="BB3767">
        <v>0</v>
      </c>
      <c r="BC3767">
        <v>0</v>
      </c>
      <c r="BD3767">
        <v>0</v>
      </c>
      <c r="BE3767">
        <v>0</v>
      </c>
      <c r="BF3767">
        <v>4</v>
      </c>
      <c r="BG3767">
        <v>0</v>
      </c>
    </row>
    <row r="3768" spans="1:59">
      <c r="A3768" s="1">
        <f>HYPERLINK("https://lsnyc.legalserver.org/matter/dynamic-profile/view/1907884","19-1907884")</f>
        <v>0</v>
      </c>
      <c r="B3768" t="s">
        <v>3119</v>
      </c>
      <c r="C3768" t="s">
        <v>7906</v>
      </c>
      <c r="D3768" t="s">
        <v>9926</v>
      </c>
      <c r="E3768" t="s">
        <v>10075</v>
      </c>
      <c r="F3768">
        <v>10461</v>
      </c>
      <c r="G3768" t="s">
        <v>10090</v>
      </c>
      <c r="H3768" t="s">
        <v>10153</v>
      </c>
      <c r="I3768" t="s">
        <v>10168</v>
      </c>
      <c r="J3768" t="s">
        <v>10210</v>
      </c>
      <c r="K3768" t="s">
        <v>10217</v>
      </c>
      <c r="M3768" t="s">
        <v>10338</v>
      </c>
      <c r="N3768" t="s">
        <v>10671</v>
      </c>
      <c r="P3768" t="s">
        <v>10753</v>
      </c>
      <c r="Q3768" t="s">
        <v>10763</v>
      </c>
      <c r="R3768" t="s">
        <v>10823</v>
      </c>
      <c r="T3768">
        <v>20800</v>
      </c>
      <c r="U3768">
        <v>1733.33</v>
      </c>
      <c r="V3768">
        <v>34</v>
      </c>
      <c r="W3768">
        <v>2</v>
      </c>
      <c r="X3768">
        <v>0</v>
      </c>
      <c r="Z3768">
        <v>123</v>
      </c>
      <c r="AA3768">
        <v>40.855137</v>
      </c>
      <c r="AB3768">
        <v>-73.83064899999999</v>
      </c>
      <c r="AD3768" t="s">
        <v>10840</v>
      </c>
      <c r="AF3768" t="s">
        <v>10842</v>
      </c>
      <c r="AG3768" t="s">
        <v>10859</v>
      </c>
      <c r="AH3768" t="s">
        <v>10874</v>
      </c>
      <c r="AI3768">
        <v>230</v>
      </c>
      <c r="AJ3768" t="s">
        <v>10210</v>
      </c>
      <c r="AL3768">
        <v>3.8</v>
      </c>
      <c r="AM3768" t="s">
        <v>10885</v>
      </c>
      <c r="AN3768" t="s">
        <v>10911</v>
      </c>
      <c r="AO3768" t="s">
        <v>11002</v>
      </c>
      <c r="AP3768" t="s">
        <v>11049</v>
      </c>
      <c r="AQ3768" t="s">
        <v>11109</v>
      </c>
      <c r="AR3768" t="s">
        <v>11276</v>
      </c>
      <c r="AS3768" t="s">
        <v>9926</v>
      </c>
      <c r="AT3768" t="s">
        <v>11642</v>
      </c>
      <c r="AX3768" t="s">
        <v>10837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</row>
    <row r="3769" spans="1:59">
      <c r="A3769" s="1">
        <f>HYPERLINK("https://lsnyc.legalserver.org/matter/dynamic-profile/view/1907885","19-1907885")</f>
        <v>0</v>
      </c>
      <c r="B3769" t="s">
        <v>3118</v>
      </c>
      <c r="C3769" t="s">
        <v>7803</v>
      </c>
      <c r="D3769" t="s">
        <v>9926</v>
      </c>
      <c r="E3769" t="s">
        <v>10075</v>
      </c>
      <c r="F3769">
        <v>10457</v>
      </c>
      <c r="G3769" t="s">
        <v>10090</v>
      </c>
      <c r="H3769" t="s">
        <v>10153</v>
      </c>
      <c r="I3769" t="s">
        <v>10168</v>
      </c>
      <c r="J3769" t="s">
        <v>10210</v>
      </c>
      <c r="K3769" t="s">
        <v>10217</v>
      </c>
      <c r="M3769" t="s">
        <v>10338</v>
      </c>
      <c r="N3769" t="s">
        <v>10671</v>
      </c>
      <c r="P3769" t="s">
        <v>10753</v>
      </c>
      <c r="Q3769" t="s">
        <v>10790</v>
      </c>
      <c r="R3769" t="s">
        <v>10820</v>
      </c>
      <c r="T3769">
        <v>11148</v>
      </c>
      <c r="U3769">
        <v>929</v>
      </c>
      <c r="V3769">
        <v>57</v>
      </c>
      <c r="W3769">
        <v>1</v>
      </c>
      <c r="X3769">
        <v>0</v>
      </c>
      <c r="Z3769">
        <v>89.26000000000001</v>
      </c>
      <c r="AA3769">
        <v>40.847269</v>
      </c>
      <c r="AB3769">
        <v>-73.898281</v>
      </c>
      <c r="AD3769" t="s">
        <v>10840</v>
      </c>
      <c r="AG3769" t="s">
        <v>10858</v>
      </c>
      <c r="AH3769" t="s">
        <v>10874</v>
      </c>
      <c r="AI3769">
        <v>230</v>
      </c>
      <c r="AJ3769" t="s">
        <v>10210</v>
      </c>
      <c r="AL3769">
        <v>3.3</v>
      </c>
      <c r="AR3769" t="s">
        <v>11296</v>
      </c>
      <c r="AS3769" t="s">
        <v>9926</v>
      </c>
      <c r="BA3769" t="s">
        <v>11739</v>
      </c>
      <c r="BB3769">
        <v>0</v>
      </c>
      <c r="BC3769">
        <v>0</v>
      </c>
      <c r="BD3769">
        <v>0</v>
      </c>
      <c r="BE3769">
        <v>0</v>
      </c>
      <c r="BF3769">
        <v>4</v>
      </c>
      <c r="BG3769">
        <v>0</v>
      </c>
    </row>
    <row r="3770" spans="1:59">
      <c r="A3770" s="1">
        <f>HYPERLINK("https://lsnyc.legalserver.org/matter/dynamic-profile/view/1907886","19-1907886")</f>
        <v>0</v>
      </c>
      <c r="B3770" t="s">
        <v>1091</v>
      </c>
      <c r="C3770" t="s">
        <v>7907</v>
      </c>
      <c r="D3770" t="s">
        <v>9925</v>
      </c>
      <c r="E3770" t="s">
        <v>10075</v>
      </c>
      <c r="F3770">
        <v>10039</v>
      </c>
      <c r="G3770" t="s">
        <v>10089</v>
      </c>
      <c r="H3770" t="s">
        <v>10153</v>
      </c>
      <c r="I3770" t="s">
        <v>10168</v>
      </c>
      <c r="J3770" t="s">
        <v>10209</v>
      </c>
      <c r="K3770" t="s">
        <v>10217</v>
      </c>
      <c r="M3770" t="s">
        <v>10501</v>
      </c>
      <c r="N3770" t="s">
        <v>10703</v>
      </c>
      <c r="P3770" t="s">
        <v>10749</v>
      </c>
      <c r="Q3770" t="s">
        <v>10765</v>
      </c>
      <c r="R3770" t="s">
        <v>10824</v>
      </c>
      <c r="T3770">
        <v>0</v>
      </c>
      <c r="U3770">
        <v>0</v>
      </c>
      <c r="V3770">
        <v>19</v>
      </c>
      <c r="W3770">
        <v>1</v>
      </c>
      <c r="X3770">
        <v>0</v>
      </c>
      <c r="Z3770">
        <v>0</v>
      </c>
      <c r="AA3770">
        <v>40.827253</v>
      </c>
      <c r="AB3770">
        <v>-73.937957</v>
      </c>
      <c r="AD3770" t="s">
        <v>10839</v>
      </c>
      <c r="AG3770" t="s">
        <v>10858</v>
      </c>
      <c r="AH3770" t="s">
        <v>10862</v>
      </c>
      <c r="AI3770">
        <v>236</v>
      </c>
      <c r="AJ3770" t="s">
        <v>10209</v>
      </c>
      <c r="AL3770">
        <v>7.7</v>
      </c>
      <c r="AM3770" t="s">
        <v>10887</v>
      </c>
      <c r="AN3770" t="s">
        <v>10943</v>
      </c>
      <c r="AO3770" t="s">
        <v>11016</v>
      </c>
      <c r="AP3770" t="s">
        <v>11076</v>
      </c>
      <c r="AR3770" t="s">
        <v>11267</v>
      </c>
      <c r="AS3770" t="s">
        <v>9925</v>
      </c>
      <c r="BA3770" t="s">
        <v>11738</v>
      </c>
      <c r="BB3770">
        <v>0</v>
      </c>
      <c r="BC3770">
        <v>0</v>
      </c>
      <c r="BD3770">
        <v>0</v>
      </c>
      <c r="BE3770">
        <v>0</v>
      </c>
      <c r="BF3770">
        <v>5</v>
      </c>
      <c r="BG3770">
        <v>0</v>
      </c>
    </row>
    <row r="3771" spans="1:59">
      <c r="A3771" s="1">
        <f>HYPERLINK("https://lsnyc.legalserver.org/matter/dynamic-profile/view/1907887","19-1907887")</f>
        <v>0</v>
      </c>
      <c r="B3771" t="s">
        <v>3120</v>
      </c>
      <c r="C3771" t="s">
        <v>6297</v>
      </c>
      <c r="D3771" t="s">
        <v>9928</v>
      </c>
      <c r="E3771" t="s">
        <v>10075</v>
      </c>
      <c r="F3771">
        <v>11211</v>
      </c>
      <c r="G3771" t="s">
        <v>10091</v>
      </c>
      <c r="H3771" t="s">
        <v>10153</v>
      </c>
      <c r="I3771" t="s">
        <v>10168</v>
      </c>
      <c r="J3771" t="s">
        <v>10214</v>
      </c>
      <c r="K3771" t="s">
        <v>10217</v>
      </c>
      <c r="M3771" t="s">
        <v>10286</v>
      </c>
      <c r="N3771" t="s">
        <v>10671</v>
      </c>
      <c r="P3771" t="s">
        <v>10751</v>
      </c>
      <c r="Q3771" t="s">
        <v>10768</v>
      </c>
      <c r="R3771" t="s">
        <v>10821</v>
      </c>
      <c r="T3771">
        <v>6204</v>
      </c>
      <c r="U3771">
        <v>517</v>
      </c>
      <c r="V3771">
        <v>26</v>
      </c>
      <c r="W3771">
        <v>3</v>
      </c>
      <c r="X3771">
        <v>0</v>
      </c>
      <c r="Z3771">
        <v>29.09</v>
      </c>
      <c r="AA3771">
        <v>40.707555</v>
      </c>
      <c r="AB3771">
        <v>-73.95909</v>
      </c>
      <c r="AD3771" t="s">
        <v>10840</v>
      </c>
      <c r="AG3771" t="s">
        <v>10858</v>
      </c>
      <c r="AH3771" t="s">
        <v>10871</v>
      </c>
      <c r="AI3771">
        <v>234</v>
      </c>
      <c r="AJ3771" t="s">
        <v>10214</v>
      </c>
      <c r="AL3771">
        <v>0.66</v>
      </c>
      <c r="AM3771" t="s">
        <v>10886</v>
      </c>
      <c r="AN3771" t="s">
        <v>10939</v>
      </c>
      <c r="AO3771" t="s">
        <v>11011</v>
      </c>
      <c r="AP3771" t="s">
        <v>11054</v>
      </c>
      <c r="AR3771" t="s">
        <v>11316</v>
      </c>
      <c r="AS3771" t="s">
        <v>11595</v>
      </c>
      <c r="AT3771" t="s">
        <v>11642</v>
      </c>
      <c r="AX3771" t="s">
        <v>10838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</row>
    <row r="3772" spans="1:59">
      <c r="A3772" s="1">
        <f>HYPERLINK("https://lsnyc.legalserver.org/matter/dynamic-profile/view/1907888","19-1907888")</f>
        <v>0</v>
      </c>
      <c r="B3772" t="s">
        <v>3121</v>
      </c>
      <c r="C3772" t="s">
        <v>7908</v>
      </c>
      <c r="D3772" t="s">
        <v>9926</v>
      </c>
      <c r="E3772" t="s">
        <v>10075</v>
      </c>
      <c r="F3772">
        <v>10469</v>
      </c>
      <c r="G3772" t="s">
        <v>10090</v>
      </c>
      <c r="H3772" t="s">
        <v>10153</v>
      </c>
      <c r="I3772" t="s">
        <v>10168</v>
      </c>
      <c r="J3772" t="s">
        <v>10210</v>
      </c>
      <c r="K3772" t="s">
        <v>10217</v>
      </c>
      <c r="M3772" t="s">
        <v>10399</v>
      </c>
      <c r="N3772" t="s">
        <v>10666</v>
      </c>
      <c r="P3772" t="s">
        <v>10749</v>
      </c>
      <c r="Q3772" t="s">
        <v>10765</v>
      </c>
      <c r="R3772" t="s">
        <v>10824</v>
      </c>
      <c r="T3772">
        <v>7440</v>
      </c>
      <c r="U3772">
        <v>620</v>
      </c>
      <c r="V3772">
        <v>27</v>
      </c>
      <c r="W3772">
        <v>3</v>
      </c>
      <c r="X3772">
        <v>0</v>
      </c>
      <c r="Z3772">
        <v>34.88</v>
      </c>
      <c r="AA3772">
        <v>40.870847</v>
      </c>
      <c r="AB3772">
        <v>-73.851315</v>
      </c>
      <c r="AD3772" t="s">
        <v>10840</v>
      </c>
      <c r="AG3772" t="s">
        <v>10858</v>
      </c>
      <c r="AH3772" t="s">
        <v>10862</v>
      </c>
      <c r="AI3772">
        <v>230</v>
      </c>
      <c r="AJ3772" t="s">
        <v>10210</v>
      </c>
      <c r="AL3772">
        <v>0.5</v>
      </c>
      <c r="AM3772" t="s">
        <v>10893</v>
      </c>
      <c r="AN3772" t="s">
        <v>10956</v>
      </c>
      <c r="AO3772" t="s">
        <v>11010</v>
      </c>
      <c r="AP3772" t="s">
        <v>11085</v>
      </c>
      <c r="AR3772" t="s">
        <v>11263</v>
      </c>
      <c r="AS3772" t="s">
        <v>9926</v>
      </c>
      <c r="AT3772" t="s">
        <v>11642</v>
      </c>
      <c r="AX3772" t="s">
        <v>10838</v>
      </c>
      <c r="BA3772" t="s">
        <v>11742</v>
      </c>
      <c r="BB3772">
        <v>0</v>
      </c>
      <c r="BC3772">
        <v>0</v>
      </c>
      <c r="BD3772">
        <v>0</v>
      </c>
      <c r="BE3772">
        <v>0</v>
      </c>
      <c r="BF3772">
        <v>7</v>
      </c>
      <c r="BG3772">
        <v>0</v>
      </c>
    </row>
    <row r="3773" spans="1:59">
      <c r="A3773" s="1">
        <f>HYPERLINK("https://lsnyc.legalserver.org/matter/dynamic-profile/view/1907889","19-1907889")</f>
        <v>0</v>
      </c>
      <c r="B3773" t="s">
        <v>3122</v>
      </c>
      <c r="C3773" t="s">
        <v>7909</v>
      </c>
      <c r="D3773" t="s">
        <v>9925</v>
      </c>
      <c r="E3773" t="s">
        <v>10075</v>
      </c>
      <c r="F3773">
        <v>10026</v>
      </c>
      <c r="G3773" t="s">
        <v>10089</v>
      </c>
      <c r="H3773" t="s">
        <v>10153</v>
      </c>
      <c r="I3773" t="s">
        <v>10168</v>
      </c>
      <c r="J3773" t="s">
        <v>10209</v>
      </c>
      <c r="K3773" t="s">
        <v>10217</v>
      </c>
      <c r="M3773" t="s">
        <v>10388</v>
      </c>
      <c r="N3773" t="s">
        <v>10702</v>
      </c>
      <c r="P3773" t="s">
        <v>10749</v>
      </c>
      <c r="Q3773" t="s">
        <v>10765</v>
      </c>
      <c r="R3773" t="s">
        <v>10825</v>
      </c>
      <c r="T3773">
        <v>3900</v>
      </c>
      <c r="U3773">
        <v>325</v>
      </c>
      <c r="V3773">
        <v>42</v>
      </c>
      <c r="W3773">
        <v>3</v>
      </c>
      <c r="X3773">
        <v>0</v>
      </c>
      <c r="Z3773">
        <v>18.28</v>
      </c>
      <c r="AA3773">
        <v>40.80012</v>
      </c>
      <c r="AB3773">
        <v>-73.95535700000001</v>
      </c>
      <c r="AD3773" t="s">
        <v>10839</v>
      </c>
      <c r="AG3773" t="s">
        <v>10858</v>
      </c>
      <c r="AH3773" t="s">
        <v>10862</v>
      </c>
      <c r="AI3773">
        <v>236</v>
      </c>
      <c r="AJ3773" t="s">
        <v>10209</v>
      </c>
      <c r="AL3773">
        <v>3.9</v>
      </c>
      <c r="AM3773" t="s">
        <v>10887</v>
      </c>
      <c r="AN3773" t="s">
        <v>10936</v>
      </c>
      <c r="AO3773" t="s">
        <v>11016</v>
      </c>
      <c r="AP3773" t="s">
        <v>11076</v>
      </c>
      <c r="AR3773" t="s">
        <v>11257</v>
      </c>
      <c r="AS3773" t="s">
        <v>9925</v>
      </c>
      <c r="BA3773" t="s">
        <v>11738</v>
      </c>
      <c r="BB3773">
        <v>0</v>
      </c>
      <c r="BC3773">
        <v>0</v>
      </c>
      <c r="BD3773">
        <v>0</v>
      </c>
      <c r="BE3773">
        <v>0</v>
      </c>
      <c r="BF3773">
        <v>5</v>
      </c>
      <c r="BG3773">
        <v>0</v>
      </c>
    </row>
    <row r="3774" spans="1:59">
      <c r="A3774" s="1">
        <f>HYPERLINK("https://lsnyc.legalserver.org/matter/dynamic-profile/view/1907890","19-1907890")</f>
        <v>0</v>
      </c>
      <c r="B3774" t="s">
        <v>1739</v>
      </c>
      <c r="C3774" t="s">
        <v>6534</v>
      </c>
      <c r="D3774" t="s">
        <v>9928</v>
      </c>
      <c r="E3774" t="s">
        <v>10075</v>
      </c>
      <c r="F3774">
        <v>11225</v>
      </c>
      <c r="G3774" t="s">
        <v>10093</v>
      </c>
      <c r="H3774" t="s">
        <v>10153</v>
      </c>
      <c r="I3774" t="s">
        <v>10168</v>
      </c>
      <c r="J3774" t="s">
        <v>10213</v>
      </c>
      <c r="K3774" t="s">
        <v>10217</v>
      </c>
      <c r="M3774" t="s">
        <v>10268</v>
      </c>
      <c r="N3774" t="s">
        <v>10644</v>
      </c>
      <c r="P3774" t="s">
        <v>10751</v>
      </c>
      <c r="Q3774" t="s">
        <v>10761</v>
      </c>
      <c r="R3774" t="s">
        <v>10824</v>
      </c>
      <c r="T3774">
        <v>2952</v>
      </c>
      <c r="U3774">
        <v>246</v>
      </c>
      <c r="V3774">
        <v>60</v>
      </c>
      <c r="W3774">
        <v>1</v>
      </c>
      <c r="X3774">
        <v>0</v>
      </c>
      <c r="Z3774">
        <v>23.63</v>
      </c>
      <c r="AA3774">
        <v>40.662403</v>
      </c>
      <c r="AB3774">
        <v>-73.956762</v>
      </c>
      <c r="AD3774" t="s">
        <v>10840</v>
      </c>
      <c r="AG3774" t="s">
        <v>10858</v>
      </c>
      <c r="AH3774" t="s">
        <v>10862</v>
      </c>
      <c r="AI3774">
        <v>239</v>
      </c>
      <c r="AJ3774" t="s">
        <v>10213</v>
      </c>
      <c r="AL3774">
        <v>0</v>
      </c>
      <c r="AM3774" t="s">
        <v>10888</v>
      </c>
      <c r="AN3774" t="s">
        <v>10912</v>
      </c>
      <c r="AO3774" t="s">
        <v>11005</v>
      </c>
      <c r="AP3774" t="s">
        <v>11050</v>
      </c>
      <c r="AR3774" t="s">
        <v>11255</v>
      </c>
      <c r="AS3774" t="s">
        <v>11595</v>
      </c>
      <c r="BA3774" t="s">
        <v>11737</v>
      </c>
      <c r="BB3774">
        <v>0</v>
      </c>
      <c r="BC3774">
        <v>0</v>
      </c>
      <c r="BD3774">
        <v>0</v>
      </c>
      <c r="BE3774">
        <v>0</v>
      </c>
      <c r="BF3774">
        <v>3</v>
      </c>
      <c r="BG3774">
        <v>0</v>
      </c>
    </row>
    <row r="3775" spans="1:59">
      <c r="A3775" s="1">
        <f>HYPERLINK("https://lsnyc.legalserver.org/matter/dynamic-profile/view/1907891","19-1907891")</f>
        <v>0</v>
      </c>
      <c r="B3775" t="s">
        <v>3123</v>
      </c>
      <c r="C3775" t="s">
        <v>7910</v>
      </c>
      <c r="D3775" t="s">
        <v>9938</v>
      </c>
      <c r="E3775" t="s">
        <v>10075</v>
      </c>
      <c r="F3775">
        <v>11433</v>
      </c>
      <c r="G3775" t="s">
        <v>10092</v>
      </c>
      <c r="H3775" t="s">
        <v>10153</v>
      </c>
      <c r="I3775" t="s">
        <v>10168</v>
      </c>
      <c r="J3775" t="s">
        <v>10212</v>
      </c>
      <c r="K3775" t="s">
        <v>10217</v>
      </c>
      <c r="M3775" t="s">
        <v>10347</v>
      </c>
      <c r="N3775" t="s">
        <v>10693</v>
      </c>
      <c r="P3775" t="s">
        <v>10749</v>
      </c>
      <c r="Q3775" t="s">
        <v>10765</v>
      </c>
      <c r="R3775" t="s">
        <v>10824</v>
      </c>
      <c r="T3775">
        <v>5200</v>
      </c>
      <c r="U3775">
        <v>433.33</v>
      </c>
      <c r="V3775">
        <v>57</v>
      </c>
      <c r="W3775">
        <v>1</v>
      </c>
      <c r="X3775">
        <v>1</v>
      </c>
      <c r="Z3775">
        <v>30.75</v>
      </c>
      <c r="AA3775">
        <v>40.695436</v>
      </c>
      <c r="AB3775">
        <v>-73.79728799999999</v>
      </c>
      <c r="AD3775" t="s">
        <v>10839</v>
      </c>
      <c r="AG3775" t="s">
        <v>10858</v>
      </c>
      <c r="AH3775" t="s">
        <v>10862</v>
      </c>
      <c r="AI3775">
        <v>237</v>
      </c>
      <c r="AJ3775" t="s">
        <v>10212</v>
      </c>
      <c r="AL3775">
        <v>3.6</v>
      </c>
      <c r="AM3775" t="s">
        <v>10892</v>
      </c>
      <c r="AN3775" t="s">
        <v>10951</v>
      </c>
      <c r="AO3775" t="s">
        <v>11020</v>
      </c>
      <c r="AP3775" t="s">
        <v>11070</v>
      </c>
      <c r="AR3775" t="s">
        <v>11293</v>
      </c>
      <c r="AS3775" t="s">
        <v>11594</v>
      </c>
      <c r="BA3775" t="s">
        <v>11738</v>
      </c>
      <c r="BB3775">
        <v>0</v>
      </c>
      <c r="BC3775">
        <v>0</v>
      </c>
      <c r="BD3775">
        <v>0</v>
      </c>
      <c r="BE3775">
        <v>0</v>
      </c>
      <c r="BF3775">
        <v>5</v>
      </c>
      <c r="BG3775">
        <v>0</v>
      </c>
    </row>
    <row r="3776" spans="1:59">
      <c r="A3776" s="1">
        <f>HYPERLINK("https://lsnyc.legalserver.org/matter/dynamic-profile/view/1907893","19-1907893")</f>
        <v>0</v>
      </c>
      <c r="B3776" t="s">
        <v>3124</v>
      </c>
      <c r="C3776" t="s">
        <v>7911</v>
      </c>
      <c r="D3776" t="s">
        <v>9940</v>
      </c>
      <c r="E3776" t="s">
        <v>10075</v>
      </c>
      <c r="F3776">
        <v>11421</v>
      </c>
      <c r="G3776" t="s">
        <v>10092</v>
      </c>
      <c r="H3776" t="s">
        <v>10153</v>
      </c>
      <c r="I3776" t="s">
        <v>10169</v>
      </c>
      <c r="J3776" t="s">
        <v>10212</v>
      </c>
      <c r="K3776" t="s">
        <v>10217</v>
      </c>
      <c r="M3776" t="s">
        <v>10311</v>
      </c>
      <c r="N3776" t="s">
        <v>10684</v>
      </c>
      <c r="P3776" t="s">
        <v>10751</v>
      </c>
      <c r="Q3776" t="s">
        <v>10786</v>
      </c>
      <c r="R3776" t="s">
        <v>10821</v>
      </c>
      <c r="T3776">
        <v>1680</v>
      </c>
      <c r="U3776">
        <v>140</v>
      </c>
      <c r="V3776">
        <v>56</v>
      </c>
      <c r="W3776">
        <v>2</v>
      </c>
      <c r="X3776">
        <v>0</v>
      </c>
      <c r="Z3776">
        <v>9.93</v>
      </c>
      <c r="AA3776">
        <v>40.694916</v>
      </c>
      <c r="AB3776">
        <v>-73.856734</v>
      </c>
      <c r="AD3776" t="s">
        <v>10839</v>
      </c>
      <c r="AG3776" t="s">
        <v>10858</v>
      </c>
      <c r="AH3776" t="s">
        <v>10873</v>
      </c>
      <c r="AI3776">
        <v>237</v>
      </c>
      <c r="AJ3776" t="s">
        <v>10212</v>
      </c>
      <c r="AL3776">
        <v>1.5</v>
      </c>
      <c r="AM3776" t="s">
        <v>10886</v>
      </c>
      <c r="AN3776" t="s">
        <v>10945</v>
      </c>
      <c r="AO3776" t="s">
        <v>11024</v>
      </c>
      <c r="AP3776" t="s">
        <v>11088</v>
      </c>
      <c r="AR3776" t="s">
        <v>11257</v>
      </c>
      <c r="AS3776" t="s">
        <v>11594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</row>
    <row r="3777" spans="1:59">
      <c r="A3777" s="1">
        <f>HYPERLINK("https://lsnyc.legalserver.org/matter/dynamic-profile/view/1907894","19-1907894")</f>
        <v>0</v>
      </c>
      <c r="B3777" t="s">
        <v>3125</v>
      </c>
      <c r="C3777" t="s">
        <v>7912</v>
      </c>
      <c r="D3777" t="s">
        <v>9928</v>
      </c>
      <c r="E3777" t="s">
        <v>10075</v>
      </c>
      <c r="F3777">
        <v>11223</v>
      </c>
      <c r="G3777" t="s">
        <v>10093</v>
      </c>
      <c r="H3777" t="s">
        <v>10154</v>
      </c>
      <c r="I3777" t="s">
        <v>10171</v>
      </c>
      <c r="J3777" t="s">
        <v>10213</v>
      </c>
      <c r="K3777" t="s">
        <v>10217</v>
      </c>
      <c r="M3777" t="s">
        <v>10583</v>
      </c>
      <c r="N3777" t="s">
        <v>10671</v>
      </c>
      <c r="P3777" t="s">
        <v>10749</v>
      </c>
      <c r="Q3777" t="s">
        <v>10765</v>
      </c>
      <c r="R3777" t="s">
        <v>10820</v>
      </c>
      <c r="T3777">
        <v>19648</v>
      </c>
      <c r="U3777">
        <v>1637.33</v>
      </c>
      <c r="V3777">
        <v>68</v>
      </c>
      <c r="W3777">
        <v>3</v>
      </c>
      <c r="X3777">
        <v>0</v>
      </c>
      <c r="Z3777">
        <v>92.11</v>
      </c>
      <c r="AA3777">
        <v>40.605883</v>
      </c>
      <c r="AB3777">
        <v>-73.98189000000001</v>
      </c>
      <c r="AD3777" t="s">
        <v>10839</v>
      </c>
      <c r="AG3777" t="s">
        <v>10858</v>
      </c>
      <c r="AH3777" t="s">
        <v>10861</v>
      </c>
      <c r="AI3777">
        <v>234</v>
      </c>
      <c r="AJ3777" t="s">
        <v>10214</v>
      </c>
      <c r="AL3777">
        <v>1</v>
      </c>
      <c r="AM3777" t="s">
        <v>10894</v>
      </c>
      <c r="AN3777" t="s">
        <v>10969</v>
      </c>
      <c r="AO3777" t="s">
        <v>11015</v>
      </c>
      <c r="AP3777" t="s">
        <v>11079</v>
      </c>
      <c r="AR3777" t="s">
        <v>11317</v>
      </c>
      <c r="AS3777" t="s">
        <v>11595</v>
      </c>
      <c r="AT3777" t="s">
        <v>11641</v>
      </c>
      <c r="AX3777" t="s">
        <v>10838</v>
      </c>
      <c r="BA3777" t="s">
        <v>11740</v>
      </c>
      <c r="BB3777">
        <v>0</v>
      </c>
      <c r="BC3777">
        <v>0</v>
      </c>
      <c r="BD3777">
        <v>0</v>
      </c>
      <c r="BE3777">
        <v>0</v>
      </c>
      <c r="BF3777">
        <v>2</v>
      </c>
      <c r="BG3777">
        <v>0</v>
      </c>
    </row>
    <row r="3778" spans="1:59">
      <c r="A3778" s="1">
        <f>HYPERLINK("https://lsnyc.legalserver.org/matter/dynamic-profile/view/1907895","19-1907895")</f>
        <v>0</v>
      </c>
      <c r="B3778" t="s">
        <v>3126</v>
      </c>
      <c r="C3778" t="s">
        <v>7913</v>
      </c>
      <c r="D3778" t="s">
        <v>9935</v>
      </c>
      <c r="E3778" t="s">
        <v>10075</v>
      </c>
      <c r="F3778">
        <v>11370</v>
      </c>
      <c r="G3778" t="s">
        <v>10092</v>
      </c>
      <c r="H3778" t="s">
        <v>10153</v>
      </c>
      <c r="I3778" t="s">
        <v>10168</v>
      </c>
      <c r="J3778" t="s">
        <v>10212</v>
      </c>
      <c r="K3778" t="s">
        <v>10217</v>
      </c>
      <c r="M3778" t="s">
        <v>10386</v>
      </c>
      <c r="N3778" t="s">
        <v>10671</v>
      </c>
      <c r="P3778" t="s">
        <v>10751</v>
      </c>
      <c r="Q3778" t="s">
        <v>10780</v>
      </c>
      <c r="R3778" t="s">
        <v>10824</v>
      </c>
      <c r="T3778">
        <v>3312</v>
      </c>
      <c r="U3778">
        <v>276</v>
      </c>
      <c r="V3778">
        <v>52</v>
      </c>
      <c r="W3778">
        <v>1</v>
      </c>
      <c r="X3778">
        <v>0</v>
      </c>
      <c r="Z3778">
        <v>26.52</v>
      </c>
      <c r="AA3778">
        <v>40.767352</v>
      </c>
      <c r="AB3778">
        <v>-73.897443</v>
      </c>
      <c r="AD3778" t="s">
        <v>10839</v>
      </c>
      <c r="AG3778" t="s">
        <v>10858</v>
      </c>
      <c r="AH3778" t="s">
        <v>10861</v>
      </c>
      <c r="AI3778">
        <v>234</v>
      </c>
      <c r="AJ3778" t="s">
        <v>10214</v>
      </c>
      <c r="AL3778">
        <v>23.95</v>
      </c>
      <c r="AM3778" t="s">
        <v>10885</v>
      </c>
      <c r="AN3778" t="s">
        <v>10954</v>
      </c>
      <c r="AO3778" t="s">
        <v>11014</v>
      </c>
      <c r="AP3778" t="s">
        <v>11084</v>
      </c>
      <c r="AR3778" t="s">
        <v>11311</v>
      </c>
      <c r="AS3778" t="s">
        <v>11594</v>
      </c>
      <c r="AT3778" t="s">
        <v>11641</v>
      </c>
      <c r="AX3778" t="s">
        <v>10838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</row>
    <row r="3779" spans="1:59">
      <c r="A3779" s="1">
        <f>HYPERLINK("https://lsnyc.legalserver.org/matter/dynamic-profile/view/1907896","19-1907896")</f>
        <v>0</v>
      </c>
      <c r="B3779" t="s">
        <v>3127</v>
      </c>
      <c r="C3779" t="s">
        <v>7914</v>
      </c>
      <c r="D3779" t="s">
        <v>9928</v>
      </c>
      <c r="E3779" t="s">
        <v>10075</v>
      </c>
      <c r="F3779">
        <v>11207</v>
      </c>
      <c r="G3779" t="s">
        <v>10093</v>
      </c>
      <c r="H3779" t="s">
        <v>10153</v>
      </c>
      <c r="I3779" t="s">
        <v>10168</v>
      </c>
      <c r="J3779" t="s">
        <v>10213</v>
      </c>
      <c r="K3779" t="s">
        <v>10218</v>
      </c>
      <c r="L3779" t="s">
        <v>10115</v>
      </c>
      <c r="M3779" t="s">
        <v>10435</v>
      </c>
      <c r="N3779" t="s">
        <v>10665</v>
      </c>
      <c r="P3779" t="s">
        <v>10750</v>
      </c>
      <c r="Q3779" t="s">
        <v>10779</v>
      </c>
      <c r="R3779" t="s">
        <v>10824</v>
      </c>
      <c r="T3779">
        <v>46500</v>
      </c>
      <c r="U3779">
        <v>3875</v>
      </c>
      <c r="V3779">
        <v>40</v>
      </c>
      <c r="W3779">
        <v>2</v>
      </c>
      <c r="X3779">
        <v>3</v>
      </c>
      <c r="Y3779" t="s">
        <v>10829</v>
      </c>
      <c r="Z3779">
        <v>154.13</v>
      </c>
      <c r="AA3779">
        <v>40.660569</v>
      </c>
      <c r="AB3779">
        <v>-73.89398</v>
      </c>
      <c r="AD3779" t="s">
        <v>10840</v>
      </c>
      <c r="AG3779" t="s">
        <v>10858</v>
      </c>
      <c r="AH3779" t="s">
        <v>10861</v>
      </c>
      <c r="AI3779">
        <v>234</v>
      </c>
      <c r="AJ3779" t="s">
        <v>10214</v>
      </c>
      <c r="AK3779" t="s">
        <v>10838</v>
      </c>
      <c r="AL3779">
        <v>1.5</v>
      </c>
      <c r="AM3779" t="s">
        <v>10889</v>
      </c>
      <c r="AN3779" t="s">
        <v>10946</v>
      </c>
      <c r="AO3779" t="s">
        <v>11012</v>
      </c>
      <c r="AP3779" t="s">
        <v>11060</v>
      </c>
      <c r="AR3779" t="s">
        <v>11272</v>
      </c>
      <c r="AS3779" t="s">
        <v>11595</v>
      </c>
      <c r="AT3779" t="s">
        <v>11642</v>
      </c>
      <c r="AX3779" t="s">
        <v>10838</v>
      </c>
      <c r="AY3779" t="s">
        <v>10829</v>
      </c>
      <c r="AZ3779" t="s">
        <v>11679</v>
      </c>
      <c r="BA3779" t="s">
        <v>11741</v>
      </c>
      <c r="BB3779">
        <v>0</v>
      </c>
      <c r="BC3779">
        <v>0</v>
      </c>
      <c r="BD3779">
        <v>0</v>
      </c>
      <c r="BE3779">
        <v>0</v>
      </c>
      <c r="BF3779">
        <v>1</v>
      </c>
      <c r="BG3779">
        <v>0</v>
      </c>
    </row>
    <row r="3780" spans="1:59">
      <c r="A3780" s="1">
        <f>HYPERLINK("https://lsnyc.legalserver.org/matter/dynamic-profile/view/1907897","19-1907897")</f>
        <v>0</v>
      </c>
      <c r="B3780" t="s">
        <v>133</v>
      </c>
      <c r="C3780" t="s">
        <v>7915</v>
      </c>
      <c r="D3780" t="s">
        <v>9928</v>
      </c>
      <c r="E3780" t="s">
        <v>10075</v>
      </c>
      <c r="F3780">
        <v>11233</v>
      </c>
      <c r="G3780" t="s">
        <v>10093</v>
      </c>
      <c r="H3780" t="s">
        <v>10153</v>
      </c>
      <c r="I3780" t="s">
        <v>10168</v>
      </c>
      <c r="J3780" t="s">
        <v>10213</v>
      </c>
      <c r="K3780" t="s">
        <v>10217</v>
      </c>
      <c r="M3780" t="s">
        <v>10456</v>
      </c>
      <c r="N3780" t="s">
        <v>10650</v>
      </c>
      <c r="P3780" t="s">
        <v>10749</v>
      </c>
      <c r="Q3780" t="s">
        <v>10765</v>
      </c>
      <c r="R3780" t="s">
        <v>10824</v>
      </c>
      <c r="T3780">
        <v>43000</v>
      </c>
      <c r="U3780">
        <v>3583.33</v>
      </c>
      <c r="V3780">
        <v>42</v>
      </c>
      <c r="W3780">
        <v>2</v>
      </c>
      <c r="X3780">
        <v>2</v>
      </c>
      <c r="Z3780">
        <v>166.99</v>
      </c>
      <c r="AA3780">
        <v>40.684475</v>
      </c>
      <c r="AB3780">
        <v>-73.91535</v>
      </c>
      <c r="AD3780" t="s">
        <v>10839</v>
      </c>
      <c r="AG3780" t="s">
        <v>10858</v>
      </c>
      <c r="AH3780" t="s">
        <v>10861</v>
      </c>
      <c r="AI3780">
        <v>239</v>
      </c>
      <c r="AJ3780" t="s">
        <v>10213</v>
      </c>
      <c r="AL3780">
        <v>1.6</v>
      </c>
      <c r="AM3780" t="s">
        <v>10889</v>
      </c>
      <c r="AN3780" t="s">
        <v>10922</v>
      </c>
      <c r="AO3780" t="s">
        <v>11007</v>
      </c>
      <c r="AP3780" t="s">
        <v>11064</v>
      </c>
      <c r="AQ3780" t="s">
        <v>11147</v>
      </c>
      <c r="AR3780" t="s">
        <v>11262</v>
      </c>
      <c r="AS3780" t="s">
        <v>11595</v>
      </c>
      <c r="BA3780" t="s">
        <v>11740</v>
      </c>
      <c r="BB3780">
        <v>0</v>
      </c>
      <c r="BC3780">
        <v>0</v>
      </c>
      <c r="BD3780">
        <v>0</v>
      </c>
      <c r="BE3780">
        <v>0</v>
      </c>
      <c r="BF3780">
        <v>2</v>
      </c>
      <c r="BG3780">
        <v>0</v>
      </c>
    </row>
    <row r="3781" spans="1:59">
      <c r="A3781" s="1">
        <f>HYPERLINK("https://lsnyc.legalserver.org/matter/dynamic-profile/view/1907898","19-1907898")</f>
        <v>0</v>
      </c>
      <c r="B3781" t="s">
        <v>3128</v>
      </c>
      <c r="C3781" t="s">
        <v>7916</v>
      </c>
      <c r="D3781" t="s">
        <v>9925</v>
      </c>
      <c r="E3781" t="s">
        <v>10075</v>
      </c>
      <c r="F3781">
        <v>10025</v>
      </c>
      <c r="G3781" t="s">
        <v>10089</v>
      </c>
      <c r="H3781" t="s">
        <v>10153</v>
      </c>
      <c r="I3781" t="s">
        <v>10168</v>
      </c>
      <c r="J3781" t="s">
        <v>10209</v>
      </c>
      <c r="K3781" t="s">
        <v>10217</v>
      </c>
      <c r="M3781" t="s">
        <v>10453</v>
      </c>
      <c r="N3781" t="s">
        <v>10702</v>
      </c>
      <c r="P3781" t="s">
        <v>10749</v>
      </c>
      <c r="Q3781" t="s">
        <v>10765</v>
      </c>
      <c r="R3781" t="s">
        <v>10824</v>
      </c>
      <c r="T3781">
        <v>10800</v>
      </c>
      <c r="U3781">
        <v>900</v>
      </c>
      <c r="V3781">
        <v>40</v>
      </c>
      <c r="W3781">
        <v>3</v>
      </c>
      <c r="X3781">
        <v>1</v>
      </c>
      <c r="Z3781">
        <v>41.94</v>
      </c>
      <c r="AA3781">
        <v>40.795476</v>
      </c>
      <c r="AB3781">
        <v>-73.966611</v>
      </c>
      <c r="AD3781" t="s">
        <v>10839</v>
      </c>
      <c r="AG3781" t="s">
        <v>10858</v>
      </c>
      <c r="AH3781" t="s">
        <v>10862</v>
      </c>
      <c r="AI3781">
        <v>236</v>
      </c>
      <c r="AJ3781" t="s">
        <v>10209</v>
      </c>
      <c r="AL3781">
        <v>4.5</v>
      </c>
      <c r="AM3781" t="s">
        <v>10894</v>
      </c>
      <c r="AN3781" t="s">
        <v>10953</v>
      </c>
      <c r="AO3781" t="s">
        <v>11016</v>
      </c>
      <c r="AP3781" t="s">
        <v>11073</v>
      </c>
      <c r="AR3781" t="s">
        <v>11268</v>
      </c>
      <c r="AS3781" t="s">
        <v>9925</v>
      </c>
      <c r="BA3781" t="s">
        <v>11741</v>
      </c>
      <c r="BB3781">
        <v>0</v>
      </c>
      <c r="BC3781">
        <v>0</v>
      </c>
      <c r="BD3781">
        <v>0</v>
      </c>
      <c r="BE3781">
        <v>0</v>
      </c>
      <c r="BF3781">
        <v>1</v>
      </c>
      <c r="BG3781">
        <v>0</v>
      </c>
    </row>
    <row r="3782" spans="1:59">
      <c r="A3782" s="1">
        <f>HYPERLINK("https://lsnyc.legalserver.org/matter/dynamic-profile/view/1907899","19-1907899")</f>
        <v>0</v>
      </c>
      <c r="B3782" t="s">
        <v>3129</v>
      </c>
      <c r="C3782" t="s">
        <v>7917</v>
      </c>
      <c r="D3782" t="s">
        <v>9925</v>
      </c>
      <c r="E3782" t="s">
        <v>10075</v>
      </c>
      <c r="F3782">
        <v>10128</v>
      </c>
      <c r="G3782" t="s">
        <v>10089</v>
      </c>
      <c r="H3782" t="s">
        <v>10153</v>
      </c>
      <c r="I3782" t="s">
        <v>10168</v>
      </c>
      <c r="J3782" t="s">
        <v>10209</v>
      </c>
      <c r="K3782" t="s">
        <v>10217</v>
      </c>
      <c r="M3782" t="s">
        <v>10388</v>
      </c>
      <c r="N3782" t="s">
        <v>10703</v>
      </c>
      <c r="P3782" t="s">
        <v>10749</v>
      </c>
      <c r="Q3782" t="s">
        <v>10765</v>
      </c>
      <c r="R3782" t="s">
        <v>10824</v>
      </c>
      <c r="T3782">
        <v>33000</v>
      </c>
      <c r="U3782">
        <v>2750</v>
      </c>
      <c r="V3782">
        <v>48</v>
      </c>
      <c r="W3782">
        <v>1</v>
      </c>
      <c r="X3782">
        <v>1</v>
      </c>
      <c r="Z3782">
        <v>195.15</v>
      </c>
      <c r="AA3782">
        <v>40.781657</v>
      </c>
      <c r="AB3782">
        <v>-73.949713</v>
      </c>
      <c r="AD3782" t="s">
        <v>10840</v>
      </c>
      <c r="AG3782" t="s">
        <v>10858</v>
      </c>
      <c r="AH3782" t="s">
        <v>10862</v>
      </c>
      <c r="AI3782">
        <v>236</v>
      </c>
      <c r="AJ3782" t="s">
        <v>10209</v>
      </c>
      <c r="AL3782">
        <v>5.9</v>
      </c>
      <c r="AM3782" t="s">
        <v>10891</v>
      </c>
      <c r="AN3782" t="s">
        <v>10970</v>
      </c>
      <c r="AO3782" t="s">
        <v>11026</v>
      </c>
      <c r="AP3782" t="s">
        <v>11094</v>
      </c>
      <c r="AR3782" t="s">
        <v>11343</v>
      </c>
      <c r="AS3782" t="s">
        <v>9925</v>
      </c>
      <c r="BA3782" t="s">
        <v>11738</v>
      </c>
      <c r="BB3782">
        <v>0</v>
      </c>
      <c r="BC3782">
        <v>0</v>
      </c>
      <c r="BD3782">
        <v>0</v>
      </c>
      <c r="BE3782">
        <v>0</v>
      </c>
      <c r="BF3782">
        <v>5</v>
      </c>
      <c r="BG3782">
        <v>0</v>
      </c>
    </row>
    <row r="3783" spans="1:59">
      <c r="A3783" s="1">
        <f>HYPERLINK("https://lsnyc.legalserver.org/matter/dynamic-profile/view/1907900","19-1907900")</f>
        <v>0</v>
      </c>
      <c r="B3783" t="s">
        <v>1945</v>
      </c>
      <c r="C3783" t="s">
        <v>6736</v>
      </c>
      <c r="D3783" t="s">
        <v>9926</v>
      </c>
      <c r="E3783" t="s">
        <v>10075</v>
      </c>
      <c r="F3783">
        <v>10469</v>
      </c>
      <c r="G3783" t="s">
        <v>10090</v>
      </c>
      <c r="H3783" t="s">
        <v>10153</v>
      </c>
      <c r="I3783" t="s">
        <v>10168</v>
      </c>
      <c r="J3783" t="s">
        <v>10210</v>
      </c>
      <c r="K3783" t="s">
        <v>10217</v>
      </c>
      <c r="M3783" t="s">
        <v>10548</v>
      </c>
      <c r="N3783" t="s">
        <v>10676</v>
      </c>
      <c r="P3783" t="s">
        <v>10757</v>
      </c>
      <c r="Q3783" t="s">
        <v>10808</v>
      </c>
      <c r="R3783" t="s">
        <v>10821</v>
      </c>
      <c r="T3783">
        <v>17940</v>
      </c>
      <c r="U3783">
        <v>1495</v>
      </c>
      <c r="V3783">
        <v>65</v>
      </c>
      <c r="W3783">
        <v>1</v>
      </c>
      <c r="X3783">
        <v>0</v>
      </c>
      <c r="Z3783">
        <v>143.63</v>
      </c>
      <c r="AA3783">
        <v>40.863509</v>
      </c>
      <c r="AB3783">
        <v>-73.853657</v>
      </c>
      <c r="AD3783" t="s">
        <v>10840</v>
      </c>
      <c r="AG3783" t="s">
        <v>10858</v>
      </c>
      <c r="AH3783" t="s">
        <v>10861</v>
      </c>
      <c r="AI3783">
        <v>234</v>
      </c>
      <c r="AJ3783" t="s">
        <v>10214</v>
      </c>
      <c r="AL3783">
        <v>1.9</v>
      </c>
      <c r="AQ3783" t="s">
        <v>11237</v>
      </c>
      <c r="AR3783" t="s">
        <v>11264</v>
      </c>
      <c r="AS3783" t="s">
        <v>9926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</row>
    <row r="3784" spans="1:59">
      <c r="A3784" s="1">
        <f>HYPERLINK("https://lsnyc.legalserver.org/matter/dynamic-profile/view/1907901","19-1907901")</f>
        <v>0</v>
      </c>
      <c r="B3784" t="s">
        <v>3130</v>
      </c>
      <c r="C3784" t="s">
        <v>7918</v>
      </c>
      <c r="D3784" t="s">
        <v>9925</v>
      </c>
      <c r="E3784" t="s">
        <v>10075</v>
      </c>
      <c r="F3784">
        <v>10031</v>
      </c>
      <c r="G3784" t="s">
        <v>10093</v>
      </c>
      <c r="H3784" t="s">
        <v>10153</v>
      </c>
      <c r="J3784" t="s">
        <v>10213</v>
      </c>
      <c r="K3784" t="s">
        <v>10217</v>
      </c>
      <c r="M3784" t="s">
        <v>10253</v>
      </c>
      <c r="N3784" t="s">
        <v>10649</v>
      </c>
      <c r="P3784" t="s">
        <v>10753</v>
      </c>
      <c r="Q3784" t="s">
        <v>10763</v>
      </c>
      <c r="R3784" t="s">
        <v>10824</v>
      </c>
      <c r="T3784">
        <v>32200</v>
      </c>
      <c r="U3784">
        <v>2683.33</v>
      </c>
      <c r="V3784">
        <v>52</v>
      </c>
      <c r="W3784">
        <v>2</v>
      </c>
      <c r="X3784">
        <v>0</v>
      </c>
      <c r="Z3784">
        <v>190.42</v>
      </c>
      <c r="AA3784">
        <v>40.826014</v>
      </c>
      <c r="AB3784">
        <v>-73.946039</v>
      </c>
      <c r="AD3784" t="s">
        <v>10840</v>
      </c>
      <c r="AG3784" t="s">
        <v>10858</v>
      </c>
      <c r="AH3784" t="s">
        <v>10864</v>
      </c>
      <c r="AI3784">
        <v>239</v>
      </c>
      <c r="AJ3784" t="s">
        <v>10213</v>
      </c>
      <c r="AL3784">
        <v>1</v>
      </c>
      <c r="AM3784" t="s">
        <v>10887</v>
      </c>
      <c r="AN3784" t="s">
        <v>10943</v>
      </c>
      <c r="AO3784" t="s">
        <v>11016</v>
      </c>
      <c r="AP3784" t="s">
        <v>11073</v>
      </c>
      <c r="AQ3784" t="s">
        <v>11161</v>
      </c>
      <c r="AR3784" t="s">
        <v>11516</v>
      </c>
      <c r="AS3784" t="s">
        <v>9925</v>
      </c>
      <c r="AX3784" t="s">
        <v>10837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</row>
    <row r="3785" spans="1:59">
      <c r="A3785" s="1">
        <f>HYPERLINK("https://lsnyc.legalserver.org/matter/dynamic-profile/view/1907902","19-1907902")</f>
        <v>0</v>
      </c>
      <c r="B3785" t="s">
        <v>3131</v>
      </c>
      <c r="C3785" t="s">
        <v>7919</v>
      </c>
      <c r="D3785" t="s">
        <v>9928</v>
      </c>
      <c r="E3785" t="s">
        <v>10075</v>
      </c>
      <c r="F3785">
        <v>11249</v>
      </c>
      <c r="G3785" t="s">
        <v>10093</v>
      </c>
      <c r="H3785" t="s">
        <v>10153</v>
      </c>
      <c r="I3785" t="s">
        <v>10168</v>
      </c>
      <c r="J3785" t="s">
        <v>10213</v>
      </c>
      <c r="K3785" t="s">
        <v>10217</v>
      </c>
      <c r="M3785" t="s">
        <v>10457</v>
      </c>
      <c r="N3785" t="s">
        <v>10662</v>
      </c>
      <c r="P3785" t="s">
        <v>10754</v>
      </c>
      <c r="Q3785" t="s">
        <v>10784</v>
      </c>
      <c r="R3785" t="s">
        <v>10820</v>
      </c>
      <c r="T3785">
        <v>2304</v>
      </c>
      <c r="U3785">
        <v>192</v>
      </c>
      <c r="V3785">
        <v>36</v>
      </c>
      <c r="W3785">
        <v>1</v>
      </c>
      <c r="X3785">
        <v>0</v>
      </c>
      <c r="Z3785">
        <v>18.45</v>
      </c>
      <c r="AA3785">
        <v>40.713465</v>
      </c>
      <c r="AB3785">
        <v>-73.96202700000001</v>
      </c>
      <c r="AD3785" t="s">
        <v>10839</v>
      </c>
      <c r="AG3785" t="s">
        <v>10858</v>
      </c>
      <c r="AH3785" t="s">
        <v>10862</v>
      </c>
      <c r="AI3785">
        <v>239</v>
      </c>
      <c r="AJ3785" t="s">
        <v>10213</v>
      </c>
      <c r="AL3785">
        <v>2.5</v>
      </c>
      <c r="AM3785" t="s">
        <v>10886</v>
      </c>
      <c r="AN3785" t="s">
        <v>10939</v>
      </c>
      <c r="AO3785" t="s">
        <v>11011</v>
      </c>
      <c r="AP3785" t="s">
        <v>11071</v>
      </c>
      <c r="AR3785" t="s">
        <v>11305</v>
      </c>
      <c r="AS3785" t="s">
        <v>11595</v>
      </c>
      <c r="AT3785" t="s">
        <v>10841</v>
      </c>
      <c r="AV3785" t="s">
        <v>11660</v>
      </c>
      <c r="AX3785" t="s">
        <v>10837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</row>
    <row r="3786" spans="1:59">
      <c r="A3786" s="1">
        <f>HYPERLINK("https://lsnyc.legalserver.org/matter/dynamic-profile/view/1907903","19-1907903")</f>
        <v>0</v>
      </c>
      <c r="B3786" t="s">
        <v>3132</v>
      </c>
      <c r="C3786" t="s">
        <v>7920</v>
      </c>
      <c r="D3786" t="s">
        <v>9928</v>
      </c>
      <c r="E3786" t="s">
        <v>10075</v>
      </c>
      <c r="F3786">
        <v>11203</v>
      </c>
      <c r="G3786" t="s">
        <v>10093</v>
      </c>
      <c r="H3786" t="s">
        <v>10153</v>
      </c>
      <c r="J3786" t="s">
        <v>10213</v>
      </c>
      <c r="K3786" t="s">
        <v>10217</v>
      </c>
      <c r="M3786" t="s">
        <v>10253</v>
      </c>
      <c r="N3786" t="s">
        <v>10649</v>
      </c>
      <c r="P3786" t="s">
        <v>10753</v>
      </c>
      <c r="Q3786" t="s">
        <v>10763</v>
      </c>
      <c r="R3786" t="s">
        <v>10824</v>
      </c>
      <c r="T3786">
        <v>19200</v>
      </c>
      <c r="U3786">
        <v>1600</v>
      </c>
      <c r="V3786">
        <v>29</v>
      </c>
      <c r="W3786">
        <v>1</v>
      </c>
      <c r="X3786">
        <v>0</v>
      </c>
      <c r="Z3786">
        <v>153.72</v>
      </c>
      <c r="AA3786">
        <v>40.643253</v>
      </c>
      <c r="AB3786">
        <v>-73.944765</v>
      </c>
      <c r="AD3786" t="s">
        <v>10840</v>
      </c>
      <c r="AF3786" t="s">
        <v>10842</v>
      </c>
      <c r="AG3786" t="s">
        <v>10859</v>
      </c>
      <c r="AH3786" t="s">
        <v>10864</v>
      </c>
      <c r="AI3786">
        <v>239</v>
      </c>
      <c r="AJ3786" t="s">
        <v>10213</v>
      </c>
      <c r="AL3786">
        <v>1</v>
      </c>
      <c r="AM3786" t="s">
        <v>10888</v>
      </c>
      <c r="AN3786" t="s">
        <v>10925</v>
      </c>
      <c r="AO3786" t="s">
        <v>11008</v>
      </c>
      <c r="AP3786" t="s">
        <v>11065</v>
      </c>
      <c r="AQ3786" t="s">
        <v>11204</v>
      </c>
      <c r="AR3786" t="s">
        <v>11257</v>
      </c>
      <c r="AS3786" t="s">
        <v>11595</v>
      </c>
      <c r="AT3786" t="s">
        <v>11642</v>
      </c>
      <c r="AX3786" t="s">
        <v>10837</v>
      </c>
      <c r="BA3786" t="s">
        <v>11739</v>
      </c>
      <c r="BB3786">
        <v>0</v>
      </c>
      <c r="BC3786">
        <v>0</v>
      </c>
      <c r="BD3786">
        <v>0</v>
      </c>
      <c r="BE3786">
        <v>0</v>
      </c>
      <c r="BF3786">
        <v>4</v>
      </c>
      <c r="BG3786">
        <v>0</v>
      </c>
    </row>
    <row r="3787" spans="1:59">
      <c r="A3787" s="1">
        <f>HYPERLINK("https://lsnyc.legalserver.org/matter/dynamic-profile/view/1907904","19-1907904")</f>
        <v>0</v>
      </c>
      <c r="B3787" t="s">
        <v>3133</v>
      </c>
      <c r="C3787" t="s">
        <v>7921</v>
      </c>
      <c r="D3787" t="s">
        <v>10037</v>
      </c>
      <c r="E3787" t="s">
        <v>10076</v>
      </c>
      <c r="F3787">
        <v>7111</v>
      </c>
      <c r="G3787" t="s">
        <v>10093</v>
      </c>
      <c r="H3787" t="s">
        <v>10153</v>
      </c>
      <c r="J3787" t="s">
        <v>10213</v>
      </c>
      <c r="K3787" t="s">
        <v>10217</v>
      </c>
      <c r="M3787" t="s">
        <v>10253</v>
      </c>
      <c r="N3787" t="s">
        <v>10679</v>
      </c>
      <c r="P3787" t="s">
        <v>10753</v>
      </c>
      <c r="Q3787" t="s">
        <v>10763</v>
      </c>
      <c r="R3787" t="s">
        <v>10826</v>
      </c>
      <c r="T3787">
        <v>0</v>
      </c>
      <c r="U3787">
        <v>0</v>
      </c>
      <c r="V3787">
        <v>20</v>
      </c>
      <c r="W3787">
        <v>1</v>
      </c>
      <c r="X3787">
        <v>0</v>
      </c>
      <c r="Z3787">
        <v>0</v>
      </c>
      <c r="AA3787">
        <v>40.72859</v>
      </c>
      <c r="AB3787">
        <v>-74.225373</v>
      </c>
      <c r="AD3787" t="s">
        <v>10840</v>
      </c>
      <c r="AF3787" t="s">
        <v>10842</v>
      </c>
      <c r="AG3787" t="s">
        <v>10859</v>
      </c>
      <c r="AH3787" t="s">
        <v>10864</v>
      </c>
      <c r="AI3787">
        <v>239</v>
      </c>
      <c r="AJ3787" t="s">
        <v>10213</v>
      </c>
      <c r="AL3787">
        <v>2.25</v>
      </c>
      <c r="AQ3787" t="s">
        <v>11119</v>
      </c>
      <c r="AR3787" t="s">
        <v>11267</v>
      </c>
      <c r="AS3787" t="s">
        <v>11610</v>
      </c>
      <c r="AT3787" t="s">
        <v>11642</v>
      </c>
      <c r="AX3787" t="s">
        <v>10837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</row>
    <row r="3788" spans="1:59">
      <c r="A3788" s="1">
        <f>HYPERLINK("https://lsnyc.legalserver.org/matter/dynamic-profile/view/1907905","19-1907905")</f>
        <v>0</v>
      </c>
      <c r="B3788" t="s">
        <v>3134</v>
      </c>
      <c r="C3788" t="s">
        <v>6765</v>
      </c>
      <c r="D3788" t="s">
        <v>9928</v>
      </c>
      <c r="E3788" t="s">
        <v>10075</v>
      </c>
      <c r="F3788">
        <v>11249</v>
      </c>
      <c r="G3788" t="s">
        <v>10093</v>
      </c>
      <c r="H3788" t="s">
        <v>10153</v>
      </c>
      <c r="I3788" t="s">
        <v>10168</v>
      </c>
      <c r="J3788" t="s">
        <v>10213</v>
      </c>
      <c r="K3788" t="s">
        <v>10218</v>
      </c>
      <c r="L3788" t="s">
        <v>10223</v>
      </c>
      <c r="M3788" t="s">
        <v>10309</v>
      </c>
      <c r="N3788" t="s">
        <v>10662</v>
      </c>
      <c r="P3788" t="s">
        <v>10750</v>
      </c>
      <c r="Q3788" t="s">
        <v>10779</v>
      </c>
      <c r="R3788" t="s">
        <v>10824</v>
      </c>
      <c r="T3788">
        <v>4032</v>
      </c>
      <c r="U3788">
        <v>336</v>
      </c>
      <c r="V3788">
        <v>40</v>
      </c>
      <c r="W3788">
        <v>1</v>
      </c>
      <c r="X3788">
        <v>0</v>
      </c>
      <c r="Y3788" t="s">
        <v>10829</v>
      </c>
      <c r="Z3788">
        <v>32.28</v>
      </c>
      <c r="AA3788">
        <v>40.71923</v>
      </c>
      <c r="AB3788">
        <v>-73.963292</v>
      </c>
      <c r="AD3788" t="s">
        <v>10840</v>
      </c>
      <c r="AG3788" t="s">
        <v>10858</v>
      </c>
      <c r="AH3788" t="s">
        <v>10862</v>
      </c>
      <c r="AI3788">
        <v>239</v>
      </c>
      <c r="AJ3788" t="s">
        <v>10213</v>
      </c>
      <c r="AK3788" t="s">
        <v>10838</v>
      </c>
      <c r="AL3788">
        <v>2.05</v>
      </c>
      <c r="AM3788" t="s">
        <v>10891</v>
      </c>
      <c r="AN3788" t="s">
        <v>10939</v>
      </c>
      <c r="AO3788" t="s">
        <v>11004</v>
      </c>
      <c r="AP3788" t="s">
        <v>11054</v>
      </c>
      <c r="AR3788" t="s">
        <v>11517</v>
      </c>
      <c r="AS3788" t="s">
        <v>11595</v>
      </c>
      <c r="AT3788" t="s">
        <v>11642</v>
      </c>
      <c r="AX3788" t="s">
        <v>10837</v>
      </c>
      <c r="AY3788" t="s">
        <v>10829</v>
      </c>
      <c r="AZ3788" t="s">
        <v>11679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</row>
    <row r="3789" spans="1:59">
      <c r="A3789" s="1">
        <f>HYPERLINK("https://lsnyc.legalserver.org/matter/dynamic-profile/view/1907906","19-1907906")</f>
        <v>0</v>
      </c>
      <c r="B3789" t="s">
        <v>3135</v>
      </c>
      <c r="C3789" t="s">
        <v>7922</v>
      </c>
      <c r="D3789" t="s">
        <v>9938</v>
      </c>
      <c r="E3789" t="s">
        <v>10075</v>
      </c>
      <c r="F3789">
        <v>11434</v>
      </c>
      <c r="G3789" t="s">
        <v>10092</v>
      </c>
      <c r="H3789" t="s">
        <v>10153</v>
      </c>
      <c r="I3789" t="s">
        <v>10168</v>
      </c>
      <c r="J3789" t="s">
        <v>10212</v>
      </c>
      <c r="K3789" t="s">
        <v>10217</v>
      </c>
      <c r="M3789" t="s">
        <v>10422</v>
      </c>
      <c r="N3789" t="s">
        <v>10673</v>
      </c>
      <c r="P3789" t="s">
        <v>10753</v>
      </c>
      <c r="Q3789" t="s">
        <v>10763</v>
      </c>
      <c r="R3789" t="s">
        <v>10824</v>
      </c>
      <c r="T3789">
        <v>35000</v>
      </c>
      <c r="U3789">
        <v>2916.67</v>
      </c>
      <c r="V3789">
        <v>32</v>
      </c>
      <c r="W3789">
        <v>1</v>
      </c>
      <c r="X3789">
        <v>1</v>
      </c>
      <c r="Z3789">
        <v>206.98</v>
      </c>
      <c r="AA3789">
        <v>40.68081</v>
      </c>
      <c r="AB3789">
        <v>-73.772188</v>
      </c>
      <c r="AD3789" t="s">
        <v>10839</v>
      </c>
      <c r="AF3789" t="s">
        <v>10848</v>
      </c>
      <c r="AG3789" t="s">
        <v>10859</v>
      </c>
      <c r="AH3789" t="s">
        <v>10864</v>
      </c>
      <c r="AI3789">
        <v>237</v>
      </c>
      <c r="AJ3789" t="s">
        <v>10212</v>
      </c>
      <c r="AL3789">
        <v>2</v>
      </c>
      <c r="AM3789" t="s">
        <v>10892</v>
      </c>
      <c r="AN3789" t="s">
        <v>10951</v>
      </c>
      <c r="AO3789" t="s">
        <v>11017</v>
      </c>
      <c r="AP3789" t="s">
        <v>11075</v>
      </c>
      <c r="AQ3789" t="s">
        <v>11119</v>
      </c>
      <c r="AR3789" t="s">
        <v>11257</v>
      </c>
      <c r="AS3789" t="s">
        <v>11594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</row>
    <row r="3790" spans="1:59">
      <c r="A3790" s="1">
        <f>HYPERLINK("https://lsnyc.legalserver.org/matter/dynamic-profile/view/1907907","19-1907907")</f>
        <v>0</v>
      </c>
      <c r="B3790" t="s">
        <v>3136</v>
      </c>
      <c r="C3790" t="s">
        <v>7923</v>
      </c>
      <c r="D3790" t="s">
        <v>9926</v>
      </c>
      <c r="E3790" t="s">
        <v>10075</v>
      </c>
      <c r="F3790">
        <v>10451</v>
      </c>
      <c r="G3790" t="s">
        <v>10090</v>
      </c>
      <c r="H3790" t="s">
        <v>10153</v>
      </c>
      <c r="I3790" t="s">
        <v>10168</v>
      </c>
      <c r="J3790" t="s">
        <v>10210</v>
      </c>
      <c r="K3790" t="s">
        <v>10218</v>
      </c>
      <c r="L3790" t="s">
        <v>10152</v>
      </c>
      <c r="M3790" t="s">
        <v>10510</v>
      </c>
      <c r="N3790" t="s">
        <v>10677</v>
      </c>
      <c r="P3790" t="s">
        <v>10751</v>
      </c>
      <c r="Q3790" t="s">
        <v>10800</v>
      </c>
      <c r="R3790" t="s">
        <v>10823</v>
      </c>
      <c r="T3790">
        <v>24120</v>
      </c>
      <c r="U3790">
        <v>2010</v>
      </c>
      <c r="V3790">
        <v>62</v>
      </c>
      <c r="W3790">
        <v>2</v>
      </c>
      <c r="X3790">
        <v>1</v>
      </c>
      <c r="Y3790" t="s">
        <v>10830</v>
      </c>
      <c r="Z3790">
        <v>113.08</v>
      </c>
      <c r="AA3790">
        <v>40.814486</v>
      </c>
      <c r="AB3790">
        <v>-73.92273900000001</v>
      </c>
      <c r="AD3790" t="s">
        <v>10840</v>
      </c>
      <c r="AG3790" t="s">
        <v>10858</v>
      </c>
      <c r="AH3790" t="s">
        <v>10874</v>
      </c>
      <c r="AI3790">
        <v>230</v>
      </c>
      <c r="AJ3790" t="s">
        <v>10210</v>
      </c>
      <c r="AK3790" t="s">
        <v>10838</v>
      </c>
      <c r="AL3790">
        <v>1.55</v>
      </c>
      <c r="AM3790" t="s">
        <v>10884</v>
      </c>
      <c r="AN3790" t="s">
        <v>10924</v>
      </c>
      <c r="AO3790" t="s">
        <v>11013</v>
      </c>
      <c r="AP3790" t="s">
        <v>11066</v>
      </c>
      <c r="AR3790" t="s">
        <v>11518</v>
      </c>
      <c r="AS3790" t="s">
        <v>9926</v>
      </c>
      <c r="AY3790" t="s">
        <v>10830</v>
      </c>
      <c r="AZ3790" t="s">
        <v>11701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</row>
    <row r="3791" spans="1:59">
      <c r="A3791" s="1">
        <f>HYPERLINK("https://lsnyc.legalserver.org/matter/dynamic-profile/view/1907908","19-1907908")</f>
        <v>0</v>
      </c>
      <c r="B3791" t="s">
        <v>3137</v>
      </c>
      <c r="C3791" t="s">
        <v>7922</v>
      </c>
      <c r="D3791" t="s">
        <v>9938</v>
      </c>
      <c r="E3791" t="s">
        <v>10075</v>
      </c>
      <c r="F3791">
        <v>11434</v>
      </c>
      <c r="G3791" t="s">
        <v>10092</v>
      </c>
      <c r="H3791" t="s">
        <v>10153</v>
      </c>
      <c r="I3791" t="s">
        <v>10168</v>
      </c>
      <c r="J3791" t="s">
        <v>10212</v>
      </c>
      <c r="K3791" t="s">
        <v>10217</v>
      </c>
      <c r="M3791" t="s">
        <v>10422</v>
      </c>
      <c r="N3791" t="s">
        <v>10679</v>
      </c>
      <c r="P3791" t="s">
        <v>10753</v>
      </c>
      <c r="Q3791" t="s">
        <v>10763</v>
      </c>
      <c r="R3791" t="s">
        <v>10824</v>
      </c>
      <c r="T3791">
        <v>35000</v>
      </c>
      <c r="U3791">
        <v>2916.67</v>
      </c>
      <c r="V3791">
        <v>13</v>
      </c>
      <c r="W3791">
        <v>1</v>
      </c>
      <c r="X3791">
        <v>1</v>
      </c>
      <c r="Z3791">
        <v>206.98</v>
      </c>
      <c r="AA3791">
        <v>40.68081</v>
      </c>
      <c r="AB3791">
        <v>-73.772188</v>
      </c>
      <c r="AD3791" t="s">
        <v>10840</v>
      </c>
      <c r="AF3791" t="s">
        <v>10848</v>
      </c>
      <c r="AG3791" t="s">
        <v>10859</v>
      </c>
      <c r="AH3791" t="s">
        <v>10864</v>
      </c>
      <c r="AI3791">
        <v>237</v>
      </c>
      <c r="AJ3791" t="s">
        <v>10212</v>
      </c>
      <c r="AL3791">
        <v>1.5</v>
      </c>
      <c r="AM3791" t="s">
        <v>10892</v>
      </c>
      <c r="AN3791" t="s">
        <v>10951</v>
      </c>
      <c r="AO3791" t="s">
        <v>11017</v>
      </c>
      <c r="AP3791" t="s">
        <v>11075</v>
      </c>
      <c r="AQ3791" t="s">
        <v>11119</v>
      </c>
      <c r="AR3791" t="s">
        <v>11257</v>
      </c>
      <c r="AS3791" t="s">
        <v>11594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</row>
    <row r="3792" spans="1:59">
      <c r="A3792" s="1">
        <f>HYPERLINK("https://lsnyc.legalserver.org/matter/dynamic-profile/view/1907909","19-1907909")</f>
        <v>0</v>
      </c>
      <c r="B3792" t="s">
        <v>3136</v>
      </c>
      <c r="C3792" t="s">
        <v>7923</v>
      </c>
      <c r="D3792" t="s">
        <v>9926</v>
      </c>
      <c r="E3792" t="s">
        <v>10075</v>
      </c>
      <c r="F3792">
        <v>10451</v>
      </c>
      <c r="G3792" t="s">
        <v>10090</v>
      </c>
      <c r="H3792" t="s">
        <v>10153</v>
      </c>
      <c r="I3792" t="s">
        <v>10168</v>
      </c>
      <c r="J3792" t="s">
        <v>10210</v>
      </c>
      <c r="K3792" t="s">
        <v>10217</v>
      </c>
      <c r="M3792" t="s">
        <v>10510</v>
      </c>
      <c r="N3792" t="s">
        <v>10677</v>
      </c>
      <c r="P3792" t="s">
        <v>10757</v>
      </c>
      <c r="Q3792" t="s">
        <v>10789</v>
      </c>
      <c r="R3792" t="s">
        <v>10823</v>
      </c>
      <c r="T3792">
        <v>24120</v>
      </c>
      <c r="U3792">
        <v>2010</v>
      </c>
      <c r="V3792">
        <v>62</v>
      </c>
      <c r="W3792">
        <v>2</v>
      </c>
      <c r="X3792">
        <v>1</v>
      </c>
      <c r="Z3792">
        <v>113.08</v>
      </c>
      <c r="AA3792">
        <v>40.814486</v>
      </c>
      <c r="AB3792">
        <v>-73.92273900000001</v>
      </c>
      <c r="AD3792" t="s">
        <v>10840</v>
      </c>
      <c r="AG3792" t="s">
        <v>10858</v>
      </c>
      <c r="AH3792" t="s">
        <v>10874</v>
      </c>
      <c r="AI3792">
        <v>230</v>
      </c>
      <c r="AJ3792" t="s">
        <v>10210</v>
      </c>
      <c r="AL3792">
        <v>2.5</v>
      </c>
      <c r="AQ3792" t="s">
        <v>11196</v>
      </c>
      <c r="AR3792" t="s">
        <v>11518</v>
      </c>
      <c r="AS3792" t="s">
        <v>9926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</row>
    <row r="3793" spans="1:59">
      <c r="A3793" s="1">
        <f>HYPERLINK("https://lsnyc.legalserver.org/matter/dynamic-profile/view/1907910","19-1907910")</f>
        <v>0</v>
      </c>
      <c r="B3793" t="s">
        <v>3138</v>
      </c>
      <c r="C3793" t="s">
        <v>7924</v>
      </c>
      <c r="D3793" t="s">
        <v>9926</v>
      </c>
      <c r="E3793" t="s">
        <v>10075</v>
      </c>
      <c r="F3793">
        <v>10463</v>
      </c>
      <c r="G3793" t="s">
        <v>10090</v>
      </c>
      <c r="H3793" t="s">
        <v>10153</v>
      </c>
      <c r="J3793" t="s">
        <v>10210</v>
      </c>
      <c r="K3793" t="s">
        <v>10218</v>
      </c>
      <c r="L3793" t="s">
        <v>10099</v>
      </c>
      <c r="M3793" t="s">
        <v>10510</v>
      </c>
      <c r="N3793" t="s">
        <v>10705</v>
      </c>
      <c r="P3793" t="s">
        <v>10757</v>
      </c>
      <c r="Q3793" t="s">
        <v>10797</v>
      </c>
      <c r="R3793" t="s">
        <v>10821</v>
      </c>
      <c r="T3793">
        <v>21288</v>
      </c>
      <c r="U3793">
        <v>1774</v>
      </c>
      <c r="V3793">
        <v>56</v>
      </c>
      <c r="W3793">
        <v>1</v>
      </c>
      <c r="X3793">
        <v>0</v>
      </c>
      <c r="Y3793" t="s">
        <v>10831</v>
      </c>
      <c r="Z3793">
        <v>170.44</v>
      </c>
      <c r="AA3793">
        <v>40.88247</v>
      </c>
      <c r="AB3793">
        <v>-73.90378699999999</v>
      </c>
      <c r="AD3793" t="s">
        <v>10839</v>
      </c>
      <c r="AG3793" t="s">
        <v>10858</v>
      </c>
      <c r="AH3793" t="s">
        <v>10874</v>
      </c>
      <c r="AI3793">
        <v>230</v>
      </c>
      <c r="AJ3793" t="s">
        <v>10210</v>
      </c>
      <c r="AK3793" t="s">
        <v>10837</v>
      </c>
      <c r="AL3793">
        <v>6.1</v>
      </c>
      <c r="AM3793" t="s">
        <v>10887</v>
      </c>
      <c r="AN3793" t="s">
        <v>10919</v>
      </c>
      <c r="AO3793" t="s">
        <v>11000</v>
      </c>
      <c r="AP3793" t="s">
        <v>11057</v>
      </c>
      <c r="AR3793" t="s">
        <v>11494</v>
      </c>
      <c r="AS3793" t="s">
        <v>9926</v>
      </c>
      <c r="AY3793" t="s">
        <v>10831</v>
      </c>
      <c r="AZ3793" t="s">
        <v>11716</v>
      </c>
      <c r="BB3793">
        <v>0</v>
      </c>
      <c r="BC3793">
        <v>2016</v>
      </c>
      <c r="BD3793">
        <v>0</v>
      </c>
      <c r="BE3793">
        <v>0</v>
      </c>
      <c r="BF3793">
        <v>0</v>
      </c>
      <c r="BG3793">
        <v>0</v>
      </c>
    </row>
    <row r="3794" spans="1:59">
      <c r="A3794" s="1">
        <f>HYPERLINK("https://lsnyc.legalserver.org/matter/dynamic-profile/view/1907911","19-1907911")</f>
        <v>0</v>
      </c>
      <c r="B3794" t="s">
        <v>649</v>
      </c>
      <c r="C3794" t="s">
        <v>7874</v>
      </c>
      <c r="D3794" t="s">
        <v>9928</v>
      </c>
      <c r="E3794" t="s">
        <v>10075</v>
      </c>
      <c r="F3794">
        <v>11226</v>
      </c>
      <c r="G3794" t="s">
        <v>10093</v>
      </c>
      <c r="H3794" t="s">
        <v>10153</v>
      </c>
      <c r="J3794" t="s">
        <v>10213</v>
      </c>
      <c r="K3794" t="s">
        <v>10218</v>
      </c>
      <c r="L3794" t="s">
        <v>10116</v>
      </c>
      <c r="M3794" t="s">
        <v>10378</v>
      </c>
      <c r="N3794" t="s">
        <v>10698</v>
      </c>
      <c r="P3794" t="s">
        <v>10752</v>
      </c>
      <c r="Q3794" t="s">
        <v>10795</v>
      </c>
      <c r="R3794" t="s">
        <v>10824</v>
      </c>
      <c r="T3794">
        <v>31200</v>
      </c>
      <c r="U3794">
        <v>2600</v>
      </c>
      <c r="V3794">
        <v>53</v>
      </c>
      <c r="W3794">
        <v>1</v>
      </c>
      <c r="X3794">
        <v>0</v>
      </c>
      <c r="Y3794" t="s">
        <v>10829</v>
      </c>
      <c r="Z3794">
        <v>249.8</v>
      </c>
      <c r="AA3794">
        <v>40.646004</v>
      </c>
      <c r="AB3794">
        <v>-73.958849</v>
      </c>
      <c r="AD3794" t="s">
        <v>10840</v>
      </c>
      <c r="AG3794" t="s">
        <v>10858</v>
      </c>
      <c r="AH3794" t="s">
        <v>10868</v>
      </c>
      <c r="AI3794">
        <v>239</v>
      </c>
      <c r="AJ3794" t="s">
        <v>10213</v>
      </c>
      <c r="AK3794" t="s">
        <v>10838</v>
      </c>
      <c r="AL3794">
        <v>1.5</v>
      </c>
      <c r="AM3794" t="s">
        <v>10888</v>
      </c>
      <c r="AN3794" t="s">
        <v>10932</v>
      </c>
      <c r="AO3794" t="s">
        <v>11008</v>
      </c>
      <c r="AP3794" t="s">
        <v>11050</v>
      </c>
      <c r="AR3794" t="s">
        <v>11257</v>
      </c>
      <c r="AS3794" t="s">
        <v>11595</v>
      </c>
      <c r="AT3794" t="s">
        <v>11642</v>
      </c>
      <c r="AX3794" t="s">
        <v>10837</v>
      </c>
      <c r="AY3794" t="s">
        <v>10829</v>
      </c>
      <c r="AZ3794" t="s">
        <v>11680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</row>
    <row r="3795" spans="1:59">
      <c r="A3795" s="1">
        <f>HYPERLINK("https://lsnyc.legalserver.org/matter/dynamic-profile/view/1907912","19-1907912")</f>
        <v>0</v>
      </c>
      <c r="B3795" t="s">
        <v>3139</v>
      </c>
      <c r="C3795" t="s">
        <v>7925</v>
      </c>
      <c r="D3795" t="s">
        <v>9928</v>
      </c>
      <c r="E3795" t="s">
        <v>10075</v>
      </c>
      <c r="F3795">
        <v>11205</v>
      </c>
      <c r="G3795" t="s">
        <v>10093</v>
      </c>
      <c r="H3795" t="s">
        <v>10153</v>
      </c>
      <c r="I3795" t="s">
        <v>10168</v>
      </c>
      <c r="J3795" t="s">
        <v>10213</v>
      </c>
      <c r="K3795" t="s">
        <v>10217</v>
      </c>
      <c r="M3795" t="s">
        <v>10390</v>
      </c>
      <c r="N3795" t="s">
        <v>10644</v>
      </c>
      <c r="P3795" t="s">
        <v>10749</v>
      </c>
      <c r="Q3795" t="s">
        <v>10791</v>
      </c>
      <c r="R3795" t="s">
        <v>10824</v>
      </c>
      <c r="T3795">
        <v>19968</v>
      </c>
      <c r="U3795">
        <v>1664</v>
      </c>
      <c r="V3795">
        <v>69</v>
      </c>
      <c r="W3795">
        <v>2</v>
      </c>
      <c r="X3795">
        <v>0</v>
      </c>
      <c r="Z3795">
        <v>118.08</v>
      </c>
      <c r="AA3795">
        <v>40.691771</v>
      </c>
      <c r="AB3795">
        <v>-73.967994</v>
      </c>
      <c r="AD3795" t="s">
        <v>10839</v>
      </c>
      <c r="AG3795" t="s">
        <v>10858</v>
      </c>
      <c r="AH3795" t="s">
        <v>10869</v>
      </c>
      <c r="AI3795">
        <v>239</v>
      </c>
      <c r="AJ3795" t="s">
        <v>10213</v>
      </c>
      <c r="AL3795">
        <v>2.25</v>
      </c>
      <c r="AM3795" t="s">
        <v>10889</v>
      </c>
      <c r="AN3795" t="s">
        <v>10923</v>
      </c>
      <c r="AO3795" t="s">
        <v>11007</v>
      </c>
      <c r="AP3795" t="s">
        <v>11061</v>
      </c>
      <c r="AQ3795" t="s">
        <v>11100</v>
      </c>
      <c r="AR3795" t="s">
        <v>11263</v>
      </c>
      <c r="AS3795" t="s">
        <v>11595</v>
      </c>
      <c r="BA3795" t="s">
        <v>11740</v>
      </c>
      <c r="BB3795">
        <v>0</v>
      </c>
      <c r="BC3795">
        <v>0</v>
      </c>
      <c r="BD3795">
        <v>0</v>
      </c>
      <c r="BE3795">
        <v>0</v>
      </c>
      <c r="BF3795">
        <v>2</v>
      </c>
      <c r="BG3795">
        <v>0</v>
      </c>
    </row>
    <row r="3796" spans="1:59">
      <c r="A3796" s="1">
        <f>HYPERLINK("https://lsnyc.legalserver.org/matter/dynamic-profile/view/1907913","19-1907913")</f>
        <v>0</v>
      </c>
      <c r="B3796" t="s">
        <v>2645</v>
      </c>
      <c r="C3796" t="s">
        <v>7429</v>
      </c>
      <c r="D3796" t="s">
        <v>9926</v>
      </c>
      <c r="E3796" t="s">
        <v>10075</v>
      </c>
      <c r="F3796">
        <v>10462</v>
      </c>
      <c r="G3796" t="s">
        <v>10090</v>
      </c>
      <c r="H3796" t="s">
        <v>10154</v>
      </c>
      <c r="I3796" t="s">
        <v>10169</v>
      </c>
      <c r="J3796" t="s">
        <v>10210</v>
      </c>
      <c r="K3796" t="s">
        <v>10217</v>
      </c>
      <c r="M3796" t="s">
        <v>10596</v>
      </c>
      <c r="N3796" t="s">
        <v>10677</v>
      </c>
      <c r="P3796" t="s">
        <v>10757</v>
      </c>
      <c r="Q3796" t="s">
        <v>10815</v>
      </c>
      <c r="R3796" t="s">
        <v>10823</v>
      </c>
      <c r="T3796">
        <v>10296</v>
      </c>
      <c r="U3796">
        <v>858</v>
      </c>
      <c r="V3796">
        <v>64</v>
      </c>
      <c r="W3796">
        <v>1</v>
      </c>
      <c r="X3796">
        <v>0</v>
      </c>
      <c r="Z3796">
        <v>82.43000000000001</v>
      </c>
      <c r="AA3796">
        <v>40.853411</v>
      </c>
      <c r="AB3796">
        <v>-73.865482</v>
      </c>
      <c r="AD3796" t="s">
        <v>10839</v>
      </c>
      <c r="AG3796" t="s">
        <v>10858</v>
      </c>
      <c r="AH3796" t="s">
        <v>10861</v>
      </c>
      <c r="AI3796">
        <v>234</v>
      </c>
      <c r="AJ3796" t="s">
        <v>10214</v>
      </c>
      <c r="AL3796">
        <v>2</v>
      </c>
      <c r="AR3796" t="s">
        <v>11274</v>
      </c>
      <c r="AS3796" t="s">
        <v>9926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</row>
    <row r="3797" spans="1:59">
      <c r="A3797" s="1">
        <f>HYPERLINK("https://lsnyc.legalserver.org/matter/dynamic-profile/view/1907915","19-1907915")</f>
        <v>0</v>
      </c>
      <c r="B3797" t="s">
        <v>3140</v>
      </c>
      <c r="C3797" t="s">
        <v>7926</v>
      </c>
      <c r="D3797" t="s">
        <v>9926</v>
      </c>
      <c r="E3797" t="s">
        <v>10075</v>
      </c>
      <c r="F3797">
        <v>10452</v>
      </c>
      <c r="G3797" t="s">
        <v>10090</v>
      </c>
      <c r="H3797" t="s">
        <v>10154</v>
      </c>
      <c r="I3797" t="s">
        <v>10168</v>
      </c>
      <c r="J3797" t="s">
        <v>10210</v>
      </c>
      <c r="K3797" t="s">
        <v>10217</v>
      </c>
      <c r="M3797" t="s">
        <v>10525</v>
      </c>
      <c r="N3797" t="s">
        <v>10666</v>
      </c>
      <c r="P3797" t="s">
        <v>10749</v>
      </c>
      <c r="Q3797" t="s">
        <v>10765</v>
      </c>
      <c r="R3797" t="s">
        <v>10821</v>
      </c>
      <c r="T3797">
        <v>9600</v>
      </c>
      <c r="U3797">
        <v>800</v>
      </c>
      <c r="V3797">
        <v>26</v>
      </c>
      <c r="W3797">
        <v>1</v>
      </c>
      <c r="X3797">
        <v>0</v>
      </c>
      <c r="Z3797">
        <v>76.86</v>
      </c>
      <c r="AA3797">
        <v>40.841727</v>
      </c>
      <c r="AB3797">
        <v>-73.92392700000001</v>
      </c>
      <c r="AD3797" t="s">
        <v>10839</v>
      </c>
      <c r="AG3797" t="s">
        <v>10858</v>
      </c>
      <c r="AH3797" t="s">
        <v>10861</v>
      </c>
      <c r="AI3797">
        <v>230</v>
      </c>
      <c r="AJ3797" t="s">
        <v>10210</v>
      </c>
      <c r="AL3797">
        <v>3</v>
      </c>
      <c r="AM3797" t="s">
        <v>10884</v>
      </c>
      <c r="AN3797" t="s">
        <v>10929</v>
      </c>
      <c r="AO3797" t="s">
        <v>11013</v>
      </c>
      <c r="AP3797" t="s">
        <v>11055</v>
      </c>
      <c r="AR3797" t="s">
        <v>11263</v>
      </c>
      <c r="AS3797" t="s">
        <v>9926</v>
      </c>
      <c r="AT3797" t="s">
        <v>11641</v>
      </c>
      <c r="AX3797" t="s">
        <v>10838</v>
      </c>
      <c r="BA3797" t="s">
        <v>11741</v>
      </c>
      <c r="BB3797">
        <v>0</v>
      </c>
      <c r="BC3797">
        <v>0</v>
      </c>
      <c r="BD3797">
        <v>0</v>
      </c>
      <c r="BE3797">
        <v>0</v>
      </c>
      <c r="BF3797">
        <v>1</v>
      </c>
      <c r="BG3797">
        <v>0</v>
      </c>
    </row>
    <row r="3798" spans="1:59">
      <c r="A3798" s="1">
        <f>HYPERLINK("https://lsnyc.legalserver.org/matter/dynamic-profile/view/1907916","19-1907916")</f>
        <v>0</v>
      </c>
      <c r="B3798" t="s">
        <v>2839</v>
      </c>
      <c r="C3798" t="s">
        <v>7927</v>
      </c>
      <c r="D3798" t="s">
        <v>9951</v>
      </c>
      <c r="E3798" t="s">
        <v>10075</v>
      </c>
      <c r="F3798">
        <v>11416</v>
      </c>
      <c r="G3798" t="s">
        <v>10092</v>
      </c>
      <c r="H3798" t="s">
        <v>10154</v>
      </c>
      <c r="I3798" t="s">
        <v>10168</v>
      </c>
      <c r="J3798" t="s">
        <v>10212</v>
      </c>
      <c r="K3798" t="s">
        <v>10217</v>
      </c>
      <c r="M3798" t="s">
        <v>10258</v>
      </c>
      <c r="N3798" t="s">
        <v>10671</v>
      </c>
      <c r="P3798" t="s">
        <v>10749</v>
      </c>
      <c r="Q3798" t="s">
        <v>10765</v>
      </c>
      <c r="R3798" t="s">
        <v>10824</v>
      </c>
      <c r="T3798">
        <v>10812</v>
      </c>
      <c r="U3798">
        <v>901</v>
      </c>
      <c r="V3798">
        <v>31</v>
      </c>
      <c r="W3798">
        <v>1</v>
      </c>
      <c r="X3798">
        <v>4</v>
      </c>
      <c r="Z3798">
        <v>35.84</v>
      </c>
      <c r="AA3798">
        <v>40.685188</v>
      </c>
      <c r="AB3798">
        <v>-73.841725</v>
      </c>
      <c r="AD3798" t="s">
        <v>10839</v>
      </c>
      <c r="AG3798" t="s">
        <v>10858</v>
      </c>
      <c r="AH3798" t="s">
        <v>10861</v>
      </c>
      <c r="AI3798">
        <v>234</v>
      </c>
      <c r="AJ3798" t="s">
        <v>10214</v>
      </c>
      <c r="AL3798">
        <v>1.58</v>
      </c>
      <c r="AM3798" t="s">
        <v>10892</v>
      </c>
      <c r="AN3798" t="s">
        <v>10945</v>
      </c>
      <c r="AO3798" t="s">
        <v>11024</v>
      </c>
      <c r="AP3798" t="s">
        <v>11088</v>
      </c>
      <c r="AR3798" t="s">
        <v>11414</v>
      </c>
      <c r="AS3798" t="s">
        <v>11594</v>
      </c>
      <c r="AT3798" t="s">
        <v>11641</v>
      </c>
      <c r="AX3798" t="s">
        <v>10838</v>
      </c>
      <c r="BA3798" t="s">
        <v>11740</v>
      </c>
      <c r="BB3798">
        <v>0</v>
      </c>
      <c r="BC3798">
        <v>0</v>
      </c>
      <c r="BD3798">
        <v>0</v>
      </c>
      <c r="BE3798">
        <v>0</v>
      </c>
      <c r="BF3798">
        <v>2</v>
      </c>
      <c r="BG3798">
        <v>0</v>
      </c>
    </row>
    <row r="3799" spans="1:59">
      <c r="A3799" s="1">
        <f>HYPERLINK("https://lsnyc.legalserver.org/matter/dynamic-profile/view/1907918","19-1907918")</f>
        <v>0</v>
      </c>
      <c r="B3799" t="s">
        <v>3141</v>
      </c>
      <c r="C3799" t="s">
        <v>7928</v>
      </c>
      <c r="D3799" t="s">
        <v>9926</v>
      </c>
      <c r="E3799" t="s">
        <v>10075</v>
      </c>
      <c r="F3799">
        <v>10462</v>
      </c>
      <c r="G3799" t="s">
        <v>10091</v>
      </c>
      <c r="H3799" t="s">
        <v>10154</v>
      </c>
      <c r="I3799" t="s">
        <v>10168</v>
      </c>
      <c r="J3799" t="s">
        <v>10211</v>
      </c>
      <c r="K3799" t="s">
        <v>10217</v>
      </c>
      <c r="M3799" t="s">
        <v>10231</v>
      </c>
      <c r="N3799" t="s">
        <v>10647</v>
      </c>
      <c r="P3799" t="s">
        <v>10752</v>
      </c>
      <c r="Q3799" t="s">
        <v>10762</v>
      </c>
      <c r="R3799" t="s">
        <v>10824</v>
      </c>
      <c r="T3799">
        <v>9240</v>
      </c>
      <c r="U3799">
        <v>770</v>
      </c>
      <c r="V3799">
        <v>56</v>
      </c>
      <c r="W3799">
        <v>1</v>
      </c>
      <c r="X3799">
        <v>0</v>
      </c>
      <c r="Z3799">
        <v>73.98</v>
      </c>
      <c r="AA3799">
        <v>40.838376</v>
      </c>
      <c r="AB3799">
        <v>-73.860973</v>
      </c>
      <c r="AD3799" t="s">
        <v>10840</v>
      </c>
      <c r="AG3799" t="s">
        <v>10858</v>
      </c>
      <c r="AH3799" t="s">
        <v>10861</v>
      </c>
      <c r="AI3799">
        <v>234</v>
      </c>
      <c r="AJ3799" t="s">
        <v>10214</v>
      </c>
      <c r="AL3799">
        <v>0.7</v>
      </c>
      <c r="AM3799" t="s">
        <v>10885</v>
      </c>
      <c r="AN3799" t="s">
        <v>10908</v>
      </c>
      <c r="AO3799" t="s">
        <v>11001</v>
      </c>
      <c r="AP3799" t="s">
        <v>11046</v>
      </c>
      <c r="AR3799" t="s">
        <v>11274</v>
      </c>
      <c r="AS3799" t="s">
        <v>9926</v>
      </c>
      <c r="AT3799" t="s">
        <v>11642</v>
      </c>
      <c r="AU3799" t="s">
        <v>11649</v>
      </c>
      <c r="AX3799" t="s">
        <v>10838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</row>
    <row r="3800" spans="1:59">
      <c r="A3800" s="1">
        <f>HYPERLINK("https://lsnyc.legalserver.org/matter/dynamic-profile/view/1907919","19-1907919")</f>
        <v>0</v>
      </c>
      <c r="B3800" t="s">
        <v>3142</v>
      </c>
      <c r="C3800" t="s">
        <v>7636</v>
      </c>
      <c r="D3800" t="s">
        <v>9925</v>
      </c>
      <c r="E3800" t="s">
        <v>10075</v>
      </c>
      <c r="F3800">
        <v>10002</v>
      </c>
      <c r="G3800" t="s">
        <v>10089</v>
      </c>
      <c r="H3800" t="s">
        <v>10154</v>
      </c>
      <c r="I3800" t="s">
        <v>10169</v>
      </c>
      <c r="J3800" t="s">
        <v>10209</v>
      </c>
      <c r="K3800" t="s">
        <v>10217</v>
      </c>
      <c r="M3800" t="s">
        <v>10266</v>
      </c>
      <c r="N3800" t="s">
        <v>10649</v>
      </c>
      <c r="P3800" t="s">
        <v>10753</v>
      </c>
      <c r="Q3800" t="s">
        <v>10763</v>
      </c>
      <c r="R3800" t="s">
        <v>10823</v>
      </c>
      <c r="T3800">
        <v>12516</v>
      </c>
      <c r="U3800">
        <v>1043</v>
      </c>
      <c r="V3800">
        <v>62</v>
      </c>
      <c r="W3800">
        <v>1</v>
      </c>
      <c r="X3800">
        <v>0</v>
      </c>
      <c r="Z3800">
        <v>100.21</v>
      </c>
      <c r="AA3800">
        <v>40.711999</v>
      </c>
      <c r="AB3800">
        <v>-73.985429</v>
      </c>
      <c r="AD3800" t="s">
        <v>10839</v>
      </c>
      <c r="AF3800" t="s">
        <v>10843</v>
      </c>
      <c r="AG3800" t="s">
        <v>10859</v>
      </c>
      <c r="AH3800" t="s">
        <v>10864</v>
      </c>
      <c r="AI3800">
        <v>236</v>
      </c>
      <c r="AJ3800" t="s">
        <v>10209</v>
      </c>
      <c r="AL3800">
        <v>1.4</v>
      </c>
      <c r="AM3800" t="s">
        <v>10886</v>
      </c>
      <c r="AN3800" t="s">
        <v>10963</v>
      </c>
      <c r="AO3800" t="s">
        <v>11004</v>
      </c>
      <c r="AP3800" t="s">
        <v>11093</v>
      </c>
      <c r="AQ3800" t="s">
        <v>11097</v>
      </c>
      <c r="AR3800" t="s">
        <v>11254</v>
      </c>
      <c r="AS3800" t="s">
        <v>9925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</row>
    <row r="3801" spans="1:59">
      <c r="A3801" s="1">
        <f>HYPERLINK("https://lsnyc.legalserver.org/matter/dynamic-profile/view/1907920","19-1907920")</f>
        <v>0</v>
      </c>
      <c r="B3801" t="s">
        <v>3143</v>
      </c>
      <c r="C3801" t="s">
        <v>7929</v>
      </c>
      <c r="D3801" t="s">
        <v>9983</v>
      </c>
      <c r="E3801" t="s">
        <v>10075</v>
      </c>
      <c r="F3801">
        <v>11694</v>
      </c>
      <c r="G3801" t="s">
        <v>10092</v>
      </c>
      <c r="H3801" t="s">
        <v>10154</v>
      </c>
      <c r="I3801" t="s">
        <v>10168</v>
      </c>
      <c r="J3801" t="s">
        <v>10212</v>
      </c>
      <c r="K3801" t="s">
        <v>10217</v>
      </c>
      <c r="M3801" t="s">
        <v>10342</v>
      </c>
      <c r="N3801" t="s">
        <v>10650</v>
      </c>
      <c r="P3801" t="s">
        <v>10749</v>
      </c>
      <c r="Q3801" t="s">
        <v>10765</v>
      </c>
      <c r="R3801" t="s">
        <v>10820</v>
      </c>
      <c r="T3801">
        <v>13464</v>
      </c>
      <c r="U3801">
        <v>1122</v>
      </c>
      <c r="V3801">
        <v>72</v>
      </c>
      <c r="W3801">
        <v>1</v>
      </c>
      <c r="X3801">
        <v>0</v>
      </c>
      <c r="Z3801">
        <v>107.8</v>
      </c>
      <c r="AA3801">
        <v>40.581982</v>
      </c>
      <c r="AB3801">
        <v>-73.826009</v>
      </c>
      <c r="AD3801" t="s">
        <v>10839</v>
      </c>
      <c r="AG3801" t="s">
        <v>10858</v>
      </c>
      <c r="AH3801" t="s">
        <v>10862</v>
      </c>
      <c r="AI3801">
        <v>237</v>
      </c>
      <c r="AJ3801" t="s">
        <v>10212</v>
      </c>
      <c r="AL3801">
        <v>18.4</v>
      </c>
      <c r="AM3801" t="s">
        <v>10892</v>
      </c>
      <c r="AN3801" t="s">
        <v>10958</v>
      </c>
      <c r="AO3801" t="s">
        <v>11024</v>
      </c>
      <c r="AP3801" t="s">
        <v>11088</v>
      </c>
      <c r="AR3801" t="s">
        <v>11268</v>
      </c>
      <c r="AS3801" t="s">
        <v>11594</v>
      </c>
      <c r="BA3801" t="s">
        <v>11738</v>
      </c>
      <c r="BB3801">
        <v>0</v>
      </c>
      <c r="BC3801">
        <v>0</v>
      </c>
      <c r="BD3801">
        <v>0</v>
      </c>
      <c r="BE3801">
        <v>0</v>
      </c>
      <c r="BF3801">
        <v>5</v>
      </c>
      <c r="BG3801">
        <v>0</v>
      </c>
    </row>
    <row r="3802" spans="1:59">
      <c r="A3802" s="1">
        <f>HYPERLINK("https://lsnyc.legalserver.org/matter/dynamic-profile/view/1907921","19-1907921")</f>
        <v>0</v>
      </c>
      <c r="B3802" t="s">
        <v>3144</v>
      </c>
      <c r="C3802" t="s">
        <v>7930</v>
      </c>
      <c r="D3802" t="s">
        <v>9929</v>
      </c>
      <c r="E3802" t="s">
        <v>10075</v>
      </c>
      <c r="F3802">
        <v>10303</v>
      </c>
      <c r="G3802" t="s">
        <v>10088</v>
      </c>
      <c r="H3802" t="s">
        <v>10153</v>
      </c>
      <c r="I3802" t="s">
        <v>10168</v>
      </c>
      <c r="J3802" t="s">
        <v>10208</v>
      </c>
      <c r="K3802" t="s">
        <v>10217</v>
      </c>
      <c r="M3802" t="s">
        <v>10228</v>
      </c>
      <c r="N3802" t="s">
        <v>10644</v>
      </c>
      <c r="P3802" t="s">
        <v>10749</v>
      </c>
      <c r="Q3802" t="s">
        <v>10759</v>
      </c>
      <c r="R3802" t="s">
        <v>10824</v>
      </c>
      <c r="T3802">
        <v>31176</v>
      </c>
      <c r="U3802">
        <v>2598</v>
      </c>
      <c r="V3802">
        <v>67</v>
      </c>
      <c r="W3802">
        <v>3</v>
      </c>
      <c r="X3802">
        <v>0</v>
      </c>
      <c r="Z3802">
        <v>146.16</v>
      </c>
      <c r="AA3802">
        <v>40.639464</v>
      </c>
      <c r="AB3802">
        <v>-74.164598</v>
      </c>
      <c r="AD3802" t="s">
        <v>10839</v>
      </c>
      <c r="AG3802" t="s">
        <v>10858</v>
      </c>
      <c r="AH3802" t="s">
        <v>10860</v>
      </c>
      <c r="AI3802">
        <v>285</v>
      </c>
      <c r="AJ3802" t="s">
        <v>10208</v>
      </c>
      <c r="AL3802">
        <v>2.1</v>
      </c>
      <c r="AM3802" t="s">
        <v>10883</v>
      </c>
      <c r="AN3802" t="s">
        <v>10928</v>
      </c>
      <c r="AO3802" t="s">
        <v>11006</v>
      </c>
      <c r="AP3802" t="s">
        <v>11051</v>
      </c>
      <c r="AR3802" t="s">
        <v>11264</v>
      </c>
      <c r="AS3802" t="s">
        <v>11593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</row>
    <row r="3803" spans="1:59">
      <c r="A3803" s="1">
        <f>HYPERLINK("https://lsnyc.legalserver.org/matter/dynamic-profile/view/1907922","19-1907922")</f>
        <v>0</v>
      </c>
      <c r="B3803" t="s">
        <v>3145</v>
      </c>
      <c r="C3803" t="s">
        <v>7931</v>
      </c>
      <c r="D3803" t="s">
        <v>9938</v>
      </c>
      <c r="E3803" t="s">
        <v>10075</v>
      </c>
      <c r="F3803">
        <v>11433</v>
      </c>
      <c r="G3803" t="s">
        <v>10091</v>
      </c>
      <c r="H3803" t="s">
        <v>10154</v>
      </c>
      <c r="I3803" t="s">
        <v>10169</v>
      </c>
      <c r="J3803" t="s">
        <v>10214</v>
      </c>
      <c r="K3803" t="s">
        <v>10217</v>
      </c>
      <c r="M3803" t="s">
        <v>10286</v>
      </c>
      <c r="N3803" t="s">
        <v>10671</v>
      </c>
      <c r="P3803" t="s">
        <v>10750</v>
      </c>
      <c r="Q3803" t="s">
        <v>10779</v>
      </c>
      <c r="R3803" t="s">
        <v>10821</v>
      </c>
      <c r="T3803">
        <v>20800</v>
      </c>
      <c r="U3803">
        <v>1733.33</v>
      </c>
      <c r="V3803">
        <v>64</v>
      </c>
      <c r="W3803">
        <v>1</v>
      </c>
      <c r="X3803">
        <v>0</v>
      </c>
      <c r="Z3803">
        <v>166.53</v>
      </c>
      <c r="AA3803">
        <v>40.693179</v>
      </c>
      <c r="AB3803">
        <v>-73.793672</v>
      </c>
      <c r="AD3803" t="s">
        <v>10840</v>
      </c>
      <c r="AG3803" t="s">
        <v>10858</v>
      </c>
      <c r="AH3803" t="s">
        <v>10871</v>
      </c>
      <c r="AI3803">
        <v>234</v>
      </c>
      <c r="AJ3803" t="s">
        <v>10214</v>
      </c>
      <c r="AL3803">
        <v>1</v>
      </c>
      <c r="AM3803" t="s">
        <v>10892</v>
      </c>
      <c r="AN3803" t="s">
        <v>10951</v>
      </c>
      <c r="AO3803" t="s">
        <v>11017</v>
      </c>
      <c r="AP3803" t="s">
        <v>11070</v>
      </c>
      <c r="AR3803" t="s">
        <v>11257</v>
      </c>
      <c r="AS3803" t="s">
        <v>11594</v>
      </c>
      <c r="AT3803" t="s">
        <v>11642</v>
      </c>
      <c r="AX3803" t="s">
        <v>10838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</row>
    <row r="3804" spans="1:59">
      <c r="A3804" s="1">
        <f>HYPERLINK("https://lsnyc.legalserver.org/matter/dynamic-profile/view/1907923","19-1907923")</f>
        <v>0</v>
      </c>
      <c r="B3804" t="s">
        <v>71</v>
      </c>
      <c r="C3804" t="s">
        <v>7932</v>
      </c>
      <c r="D3804" t="s">
        <v>9931</v>
      </c>
      <c r="E3804" t="s">
        <v>10075</v>
      </c>
      <c r="F3804">
        <v>11358</v>
      </c>
      <c r="G3804" t="s">
        <v>10092</v>
      </c>
      <c r="H3804" t="s">
        <v>10154</v>
      </c>
      <c r="I3804" t="s">
        <v>10189</v>
      </c>
      <c r="J3804" t="s">
        <v>10212</v>
      </c>
      <c r="K3804" t="s">
        <v>10217</v>
      </c>
      <c r="M3804" t="s">
        <v>10318</v>
      </c>
      <c r="N3804" t="s">
        <v>10684</v>
      </c>
      <c r="P3804" t="s">
        <v>10751</v>
      </c>
      <c r="Q3804" t="s">
        <v>10786</v>
      </c>
      <c r="R3804" t="s">
        <v>10827</v>
      </c>
      <c r="T3804">
        <v>14218.88</v>
      </c>
      <c r="U3804">
        <v>1184.91</v>
      </c>
      <c r="V3804">
        <v>50</v>
      </c>
      <c r="W3804">
        <v>1</v>
      </c>
      <c r="X3804">
        <v>1</v>
      </c>
      <c r="Z3804">
        <v>84.09</v>
      </c>
      <c r="AA3804">
        <v>40.76057</v>
      </c>
      <c r="AB3804">
        <v>-73.80701500000001</v>
      </c>
      <c r="AD3804" t="s">
        <v>10839</v>
      </c>
      <c r="AF3804" t="s">
        <v>10843</v>
      </c>
      <c r="AG3804" t="s">
        <v>10859</v>
      </c>
      <c r="AH3804" t="s">
        <v>10861</v>
      </c>
      <c r="AI3804">
        <v>234</v>
      </c>
      <c r="AJ3804" t="s">
        <v>10214</v>
      </c>
      <c r="AL3804">
        <v>0.5</v>
      </c>
      <c r="AM3804" t="s">
        <v>10890</v>
      </c>
      <c r="AN3804" t="s">
        <v>10927</v>
      </c>
      <c r="AO3804" t="s">
        <v>11009</v>
      </c>
      <c r="AP3804" t="s">
        <v>11067</v>
      </c>
      <c r="AR3804" t="s">
        <v>11262</v>
      </c>
      <c r="AS3804" t="s">
        <v>11594</v>
      </c>
      <c r="AT3804" t="s">
        <v>11641</v>
      </c>
      <c r="AX3804" t="s">
        <v>10838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</row>
    <row r="3805" spans="1:59">
      <c r="A3805" s="1">
        <f>HYPERLINK("https://lsnyc.legalserver.org/matter/dynamic-profile/view/1907924","19-1907924")</f>
        <v>0</v>
      </c>
      <c r="B3805" t="s">
        <v>3146</v>
      </c>
      <c r="C3805" t="s">
        <v>7933</v>
      </c>
      <c r="D3805" t="s">
        <v>9938</v>
      </c>
      <c r="E3805" t="s">
        <v>10075</v>
      </c>
      <c r="F3805">
        <v>11433</v>
      </c>
      <c r="G3805" t="s">
        <v>10092</v>
      </c>
      <c r="H3805" t="s">
        <v>10154</v>
      </c>
      <c r="I3805" t="s">
        <v>10168</v>
      </c>
      <c r="J3805" t="s">
        <v>10212</v>
      </c>
      <c r="K3805" t="s">
        <v>10217</v>
      </c>
      <c r="M3805" t="s">
        <v>10365</v>
      </c>
      <c r="N3805" t="s">
        <v>10693</v>
      </c>
      <c r="P3805" t="s">
        <v>10749</v>
      </c>
      <c r="Q3805" t="s">
        <v>10765</v>
      </c>
      <c r="R3805" t="s">
        <v>10824</v>
      </c>
      <c r="T3805">
        <v>7956</v>
      </c>
      <c r="U3805">
        <v>663</v>
      </c>
      <c r="V3805">
        <v>41</v>
      </c>
      <c r="W3805">
        <v>2</v>
      </c>
      <c r="X3805">
        <v>3</v>
      </c>
      <c r="Z3805">
        <v>26.37</v>
      </c>
      <c r="AA3805">
        <v>40.701566</v>
      </c>
      <c r="AB3805">
        <v>-73.78792</v>
      </c>
      <c r="AD3805" t="s">
        <v>10840</v>
      </c>
      <c r="AG3805" t="s">
        <v>10858</v>
      </c>
      <c r="AH3805" t="s">
        <v>10862</v>
      </c>
      <c r="AI3805">
        <v>237</v>
      </c>
      <c r="AJ3805" t="s">
        <v>10212</v>
      </c>
      <c r="AL3805">
        <v>1.9</v>
      </c>
      <c r="AM3805" t="s">
        <v>10892</v>
      </c>
      <c r="AN3805" t="s">
        <v>10955</v>
      </c>
      <c r="AO3805" t="s">
        <v>11020</v>
      </c>
      <c r="AP3805" t="s">
        <v>11075</v>
      </c>
      <c r="AR3805" t="s">
        <v>11306</v>
      </c>
      <c r="AS3805" t="s">
        <v>11594</v>
      </c>
      <c r="BA3805" t="s">
        <v>11742</v>
      </c>
      <c r="BB3805">
        <v>0</v>
      </c>
      <c r="BC3805">
        <v>0</v>
      </c>
      <c r="BD3805">
        <v>0</v>
      </c>
      <c r="BE3805">
        <v>0</v>
      </c>
      <c r="BF3805">
        <v>7</v>
      </c>
      <c r="BG3805">
        <v>0</v>
      </c>
    </row>
    <row r="3806" spans="1:59">
      <c r="A3806" s="1">
        <f>HYPERLINK("https://lsnyc.legalserver.org/matter/dynamic-profile/view/1907925","19-1907925")</f>
        <v>0</v>
      </c>
      <c r="B3806" t="s">
        <v>3147</v>
      </c>
      <c r="C3806" t="s">
        <v>7934</v>
      </c>
      <c r="D3806" t="s">
        <v>10038</v>
      </c>
      <c r="E3806" t="s">
        <v>10078</v>
      </c>
      <c r="F3806">
        <v>33990</v>
      </c>
      <c r="G3806" t="s">
        <v>10092</v>
      </c>
      <c r="H3806" t="s">
        <v>10154</v>
      </c>
      <c r="I3806" t="s">
        <v>10168</v>
      </c>
      <c r="J3806" t="s">
        <v>10212</v>
      </c>
      <c r="K3806" t="s">
        <v>10218</v>
      </c>
      <c r="L3806" t="s">
        <v>10101</v>
      </c>
      <c r="M3806" t="s">
        <v>10485</v>
      </c>
      <c r="N3806" t="s">
        <v>10678</v>
      </c>
      <c r="P3806" t="s">
        <v>10749</v>
      </c>
      <c r="Q3806" t="s">
        <v>10769</v>
      </c>
      <c r="R3806" t="s">
        <v>10822</v>
      </c>
      <c r="T3806">
        <v>80000</v>
      </c>
      <c r="U3806">
        <v>6666.67</v>
      </c>
      <c r="V3806">
        <v>64</v>
      </c>
      <c r="W3806">
        <v>1</v>
      </c>
      <c r="X3806">
        <v>0</v>
      </c>
      <c r="Y3806" t="s">
        <v>10829</v>
      </c>
      <c r="Z3806">
        <v>640.51</v>
      </c>
      <c r="AA3806">
        <v>26.623785</v>
      </c>
      <c r="AB3806">
        <v>-81.970187</v>
      </c>
      <c r="AD3806" t="s">
        <v>10840</v>
      </c>
      <c r="AG3806" t="s">
        <v>10858</v>
      </c>
      <c r="AH3806" t="s">
        <v>10861</v>
      </c>
      <c r="AI3806">
        <v>234</v>
      </c>
      <c r="AJ3806" t="s">
        <v>10214</v>
      </c>
      <c r="AK3806" t="s">
        <v>10838</v>
      </c>
      <c r="AL3806">
        <v>2.6</v>
      </c>
      <c r="AR3806" t="s">
        <v>11257</v>
      </c>
      <c r="AS3806" t="s">
        <v>11628</v>
      </c>
      <c r="AT3806" t="s">
        <v>11642</v>
      </c>
      <c r="AX3806" t="s">
        <v>10838</v>
      </c>
      <c r="AY3806" t="s">
        <v>10829</v>
      </c>
      <c r="AZ3806" t="s">
        <v>11681</v>
      </c>
      <c r="BA3806" t="s">
        <v>11741</v>
      </c>
      <c r="BB3806">
        <v>0</v>
      </c>
      <c r="BC3806">
        <v>0</v>
      </c>
      <c r="BD3806">
        <v>0</v>
      </c>
      <c r="BE3806">
        <v>0</v>
      </c>
      <c r="BF3806">
        <v>1</v>
      </c>
      <c r="BG3806">
        <v>0</v>
      </c>
    </row>
    <row r="3807" spans="1:59">
      <c r="A3807" s="1">
        <f>HYPERLINK("https://lsnyc.legalserver.org/matter/dynamic-profile/view/1907926","19-1907926")</f>
        <v>0</v>
      </c>
      <c r="B3807" t="s">
        <v>3148</v>
      </c>
      <c r="C3807" t="s">
        <v>7935</v>
      </c>
      <c r="D3807" t="s">
        <v>10000</v>
      </c>
      <c r="E3807" t="s">
        <v>10075</v>
      </c>
      <c r="F3807">
        <v>11413</v>
      </c>
      <c r="G3807" t="s">
        <v>10092</v>
      </c>
      <c r="H3807" t="s">
        <v>10154</v>
      </c>
      <c r="I3807" t="s">
        <v>10168</v>
      </c>
      <c r="J3807" t="s">
        <v>10212</v>
      </c>
      <c r="K3807" t="s">
        <v>10217</v>
      </c>
      <c r="M3807" t="s">
        <v>10363</v>
      </c>
      <c r="N3807" t="s">
        <v>10706</v>
      </c>
      <c r="P3807" t="s">
        <v>10751</v>
      </c>
      <c r="Q3807" t="s">
        <v>10776</v>
      </c>
      <c r="R3807" t="s">
        <v>10824</v>
      </c>
      <c r="T3807">
        <v>20000</v>
      </c>
      <c r="U3807">
        <v>1666.67</v>
      </c>
      <c r="V3807">
        <v>62</v>
      </c>
      <c r="W3807">
        <v>2</v>
      </c>
      <c r="X3807">
        <v>2</v>
      </c>
      <c r="Z3807">
        <v>77.67</v>
      </c>
      <c r="AA3807">
        <v>40.661351</v>
      </c>
      <c r="AB3807">
        <v>-73.748377</v>
      </c>
      <c r="AD3807" t="s">
        <v>10839</v>
      </c>
      <c r="AG3807" t="s">
        <v>10858</v>
      </c>
      <c r="AH3807" t="s">
        <v>10871</v>
      </c>
      <c r="AI3807">
        <v>234</v>
      </c>
      <c r="AJ3807" t="s">
        <v>10214</v>
      </c>
      <c r="AL3807">
        <v>5.86</v>
      </c>
      <c r="AM3807" t="s">
        <v>10892</v>
      </c>
      <c r="AN3807" t="s">
        <v>10930</v>
      </c>
      <c r="AO3807" t="s">
        <v>11017</v>
      </c>
      <c r="AP3807" t="s">
        <v>11082</v>
      </c>
      <c r="AR3807" t="s">
        <v>11519</v>
      </c>
      <c r="AS3807" t="s">
        <v>11594</v>
      </c>
      <c r="AT3807" t="s">
        <v>11641</v>
      </c>
      <c r="AX3807" t="s">
        <v>10838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</row>
    <row r="3808" spans="1:59">
      <c r="A3808" s="1">
        <f>HYPERLINK("https://lsnyc.legalserver.org/matter/dynamic-profile/view/1907927","19-1907927")</f>
        <v>0</v>
      </c>
      <c r="B3808" t="s">
        <v>1131</v>
      </c>
      <c r="C3808" t="s">
        <v>7936</v>
      </c>
      <c r="D3808" t="s">
        <v>9926</v>
      </c>
      <c r="E3808" t="s">
        <v>10075</v>
      </c>
      <c r="F3808">
        <v>10452</v>
      </c>
      <c r="G3808" t="s">
        <v>10089</v>
      </c>
      <c r="H3808" t="s">
        <v>10154</v>
      </c>
      <c r="I3808" t="s">
        <v>10169</v>
      </c>
      <c r="J3808" t="s">
        <v>10209</v>
      </c>
      <c r="K3808" t="s">
        <v>10218</v>
      </c>
      <c r="L3808" t="s">
        <v>10115</v>
      </c>
      <c r="M3808" t="s">
        <v>10490</v>
      </c>
      <c r="N3808" t="s">
        <v>10718</v>
      </c>
      <c r="P3808" t="s">
        <v>10750</v>
      </c>
      <c r="Q3808" t="s">
        <v>10760</v>
      </c>
      <c r="R3808" t="s">
        <v>10821</v>
      </c>
      <c r="T3808">
        <v>31200</v>
      </c>
      <c r="U3808">
        <v>2600</v>
      </c>
      <c r="V3808">
        <v>54</v>
      </c>
      <c r="W3808">
        <v>1</v>
      </c>
      <c r="X3808">
        <v>0</v>
      </c>
      <c r="Y3808" t="s">
        <v>10829</v>
      </c>
      <c r="Z3808">
        <v>249.8</v>
      </c>
      <c r="AA3808">
        <v>40.841235</v>
      </c>
      <c r="AB3808">
        <v>-73.921043</v>
      </c>
      <c r="AD3808" t="s">
        <v>10839</v>
      </c>
      <c r="AG3808" t="s">
        <v>10858</v>
      </c>
      <c r="AH3808" t="s">
        <v>10871</v>
      </c>
      <c r="AI3808">
        <v>234</v>
      </c>
      <c r="AJ3808" t="s">
        <v>10214</v>
      </c>
      <c r="AK3808" t="s">
        <v>10838</v>
      </c>
      <c r="AL3808">
        <v>2.7</v>
      </c>
      <c r="AM3808" t="s">
        <v>10884</v>
      </c>
      <c r="AN3808" t="s">
        <v>10929</v>
      </c>
      <c r="AO3808" t="s">
        <v>11013</v>
      </c>
      <c r="AP3808" t="s">
        <v>11055</v>
      </c>
      <c r="AR3808" t="s">
        <v>11257</v>
      </c>
      <c r="AS3808" t="s">
        <v>9926</v>
      </c>
      <c r="AT3808" t="s">
        <v>11641</v>
      </c>
      <c r="AX3808" t="s">
        <v>10838</v>
      </c>
      <c r="AY3808" t="s">
        <v>10829</v>
      </c>
      <c r="AZ3808" t="s">
        <v>11679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</row>
    <row r="3809" spans="1:59">
      <c r="A3809" s="1">
        <f>HYPERLINK("https://lsnyc.legalserver.org/matter/dynamic-profile/view/1907928","19-1907928")</f>
        <v>0</v>
      </c>
      <c r="B3809" t="s">
        <v>3149</v>
      </c>
      <c r="C3809" t="s">
        <v>7937</v>
      </c>
      <c r="D3809" t="s">
        <v>9926</v>
      </c>
      <c r="E3809" t="s">
        <v>10075</v>
      </c>
      <c r="F3809">
        <v>10467</v>
      </c>
      <c r="G3809" t="s">
        <v>10090</v>
      </c>
      <c r="H3809" t="s">
        <v>10154</v>
      </c>
      <c r="I3809" t="s">
        <v>10168</v>
      </c>
      <c r="J3809" t="s">
        <v>10210</v>
      </c>
      <c r="K3809" t="s">
        <v>10217</v>
      </c>
      <c r="M3809" t="s">
        <v>10385</v>
      </c>
      <c r="N3809" t="s">
        <v>10651</v>
      </c>
      <c r="P3809" t="s">
        <v>10749</v>
      </c>
      <c r="Q3809" t="s">
        <v>10765</v>
      </c>
      <c r="R3809" t="s">
        <v>10824</v>
      </c>
      <c r="T3809">
        <v>13884</v>
      </c>
      <c r="U3809">
        <v>1157</v>
      </c>
      <c r="V3809">
        <v>60</v>
      </c>
      <c r="W3809">
        <v>1</v>
      </c>
      <c r="X3809">
        <v>0</v>
      </c>
      <c r="Z3809">
        <v>111.16</v>
      </c>
      <c r="AA3809">
        <v>40.864698</v>
      </c>
      <c r="AB3809">
        <v>-73.866601</v>
      </c>
      <c r="AD3809" t="s">
        <v>10840</v>
      </c>
      <c r="AG3809" t="s">
        <v>10858</v>
      </c>
      <c r="AH3809" t="s">
        <v>10862</v>
      </c>
      <c r="AI3809">
        <v>230</v>
      </c>
      <c r="AJ3809" t="s">
        <v>10210</v>
      </c>
      <c r="AL3809">
        <v>15.5</v>
      </c>
      <c r="AM3809" t="s">
        <v>10885</v>
      </c>
      <c r="AN3809" t="s">
        <v>10938</v>
      </c>
      <c r="AO3809" t="s">
        <v>11002</v>
      </c>
      <c r="AP3809" t="s">
        <v>11056</v>
      </c>
      <c r="AR3809" t="s">
        <v>11298</v>
      </c>
      <c r="AS3809" t="s">
        <v>9926</v>
      </c>
      <c r="AT3809" t="s">
        <v>11642</v>
      </c>
      <c r="BA3809" t="s">
        <v>11738</v>
      </c>
      <c r="BB3809">
        <v>0</v>
      </c>
      <c r="BC3809">
        <v>0</v>
      </c>
      <c r="BD3809">
        <v>0</v>
      </c>
      <c r="BE3809">
        <v>0</v>
      </c>
      <c r="BF3809">
        <v>5</v>
      </c>
      <c r="BG3809">
        <v>0</v>
      </c>
    </row>
    <row r="3810" spans="1:59">
      <c r="A3810" s="1">
        <f>HYPERLINK("https://lsnyc.legalserver.org/matter/dynamic-profile/view/1907929","19-1907929")</f>
        <v>0</v>
      </c>
      <c r="B3810" t="s">
        <v>3150</v>
      </c>
      <c r="C3810" t="s">
        <v>7938</v>
      </c>
      <c r="D3810" t="s">
        <v>9931</v>
      </c>
      <c r="E3810" t="s">
        <v>10075</v>
      </c>
      <c r="F3810">
        <v>11358</v>
      </c>
      <c r="G3810" t="s">
        <v>10092</v>
      </c>
      <c r="H3810" t="s">
        <v>10154</v>
      </c>
      <c r="I3810" t="s">
        <v>10178</v>
      </c>
      <c r="J3810" t="s">
        <v>10212</v>
      </c>
      <c r="K3810" t="s">
        <v>10217</v>
      </c>
      <c r="M3810" t="s">
        <v>10491</v>
      </c>
      <c r="N3810" t="s">
        <v>10650</v>
      </c>
      <c r="P3810" t="s">
        <v>10749</v>
      </c>
      <c r="Q3810" t="s">
        <v>10765</v>
      </c>
      <c r="R3810" t="s">
        <v>10825</v>
      </c>
      <c r="T3810">
        <v>32900</v>
      </c>
      <c r="U3810">
        <v>2741.67</v>
      </c>
      <c r="V3810">
        <v>52</v>
      </c>
      <c r="W3810">
        <v>3</v>
      </c>
      <c r="X3810">
        <v>1</v>
      </c>
      <c r="Z3810">
        <v>127.77</v>
      </c>
      <c r="AA3810">
        <v>40.761488</v>
      </c>
      <c r="AB3810">
        <v>-73.786407</v>
      </c>
      <c r="AD3810" t="s">
        <v>10839</v>
      </c>
      <c r="AG3810" t="s">
        <v>10858</v>
      </c>
      <c r="AH3810" t="s">
        <v>10862</v>
      </c>
      <c r="AI3810">
        <v>237</v>
      </c>
      <c r="AJ3810" t="s">
        <v>10212</v>
      </c>
      <c r="AL3810">
        <v>11.65</v>
      </c>
      <c r="AM3810" t="s">
        <v>10890</v>
      </c>
      <c r="AN3810" t="s">
        <v>10948</v>
      </c>
      <c r="AO3810" t="s">
        <v>11022</v>
      </c>
      <c r="AP3810" t="s">
        <v>11080</v>
      </c>
      <c r="AR3810" t="s">
        <v>11257</v>
      </c>
      <c r="AS3810" t="s">
        <v>11594</v>
      </c>
      <c r="BA3810" t="s">
        <v>11738</v>
      </c>
      <c r="BB3810">
        <v>0</v>
      </c>
      <c r="BC3810">
        <v>0</v>
      </c>
      <c r="BD3810">
        <v>0</v>
      </c>
      <c r="BE3810">
        <v>0</v>
      </c>
      <c r="BF3810">
        <v>5</v>
      </c>
      <c r="BG3810">
        <v>0</v>
      </c>
    </row>
    <row r="3811" spans="1:59">
      <c r="A3811" s="1">
        <f>HYPERLINK("https://lsnyc.legalserver.org/matter/dynamic-profile/view/1907930","19-1907930")</f>
        <v>0</v>
      </c>
      <c r="B3811" t="s">
        <v>3151</v>
      </c>
      <c r="C3811" t="s">
        <v>7939</v>
      </c>
      <c r="D3811" t="s">
        <v>9945</v>
      </c>
      <c r="E3811" t="s">
        <v>10075</v>
      </c>
      <c r="F3811">
        <v>11422</v>
      </c>
      <c r="G3811" t="s">
        <v>10092</v>
      </c>
      <c r="H3811" t="s">
        <v>10154</v>
      </c>
      <c r="I3811" t="s">
        <v>10168</v>
      </c>
      <c r="J3811" t="s">
        <v>10212</v>
      </c>
      <c r="K3811" t="s">
        <v>10217</v>
      </c>
      <c r="M3811" t="s">
        <v>10416</v>
      </c>
      <c r="N3811" t="s">
        <v>10678</v>
      </c>
      <c r="P3811" t="s">
        <v>10749</v>
      </c>
      <c r="Q3811" t="s">
        <v>10769</v>
      </c>
      <c r="R3811" t="s">
        <v>10822</v>
      </c>
      <c r="T3811">
        <v>26400</v>
      </c>
      <c r="U3811">
        <v>2200</v>
      </c>
      <c r="V3811">
        <v>56</v>
      </c>
      <c r="W3811">
        <v>2</v>
      </c>
      <c r="X3811">
        <v>0</v>
      </c>
      <c r="Z3811">
        <v>156.12</v>
      </c>
      <c r="AA3811">
        <v>40.659723</v>
      </c>
      <c r="AB3811">
        <v>-73.73738</v>
      </c>
      <c r="AD3811" t="s">
        <v>10839</v>
      </c>
      <c r="AG3811" t="s">
        <v>10858</v>
      </c>
      <c r="AH3811" t="s">
        <v>10861</v>
      </c>
      <c r="AI3811">
        <v>234</v>
      </c>
      <c r="AJ3811" t="s">
        <v>10214</v>
      </c>
      <c r="AL3811">
        <v>2.5</v>
      </c>
      <c r="AM3811" t="s">
        <v>10892</v>
      </c>
      <c r="AN3811" t="s">
        <v>10930</v>
      </c>
      <c r="AO3811" t="s">
        <v>11017</v>
      </c>
      <c r="AP3811" t="s">
        <v>11082</v>
      </c>
      <c r="AR3811" t="s">
        <v>11296</v>
      </c>
      <c r="AS3811" t="s">
        <v>11594</v>
      </c>
      <c r="AT3811" t="s">
        <v>11641</v>
      </c>
      <c r="AX3811" t="s">
        <v>10838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</row>
    <row r="3812" spans="1:59">
      <c r="A3812" s="1">
        <f>HYPERLINK("https://lsnyc.legalserver.org/matter/dynamic-profile/view/1907932","19-1907932")</f>
        <v>0</v>
      </c>
      <c r="B3812" t="s">
        <v>3152</v>
      </c>
      <c r="C3812" t="s">
        <v>7940</v>
      </c>
      <c r="D3812" t="s">
        <v>9926</v>
      </c>
      <c r="E3812" t="s">
        <v>10075</v>
      </c>
      <c r="F3812">
        <v>10466</v>
      </c>
      <c r="G3812" t="s">
        <v>10090</v>
      </c>
      <c r="H3812" t="s">
        <v>10154</v>
      </c>
      <c r="I3812" t="s">
        <v>10168</v>
      </c>
      <c r="J3812" t="s">
        <v>10210</v>
      </c>
      <c r="K3812" t="s">
        <v>10217</v>
      </c>
      <c r="M3812" t="s">
        <v>10495</v>
      </c>
      <c r="N3812" t="s">
        <v>10658</v>
      </c>
      <c r="P3812" t="s">
        <v>10749</v>
      </c>
      <c r="Q3812" t="s">
        <v>10769</v>
      </c>
      <c r="R3812" t="s">
        <v>10824</v>
      </c>
      <c r="T3812">
        <v>39000</v>
      </c>
      <c r="U3812">
        <v>3250</v>
      </c>
      <c r="V3812">
        <v>57</v>
      </c>
      <c r="W3812">
        <v>2</v>
      </c>
      <c r="X3812">
        <v>0</v>
      </c>
      <c r="Z3812">
        <v>230.63</v>
      </c>
      <c r="AA3812">
        <v>40.893515</v>
      </c>
      <c r="AB3812">
        <v>-73.837943</v>
      </c>
      <c r="AD3812" t="s">
        <v>10839</v>
      </c>
      <c r="AG3812" t="s">
        <v>10858</v>
      </c>
      <c r="AH3812" t="s">
        <v>10860</v>
      </c>
      <c r="AI3812">
        <v>230</v>
      </c>
      <c r="AJ3812" t="s">
        <v>10210</v>
      </c>
      <c r="AL3812">
        <v>3</v>
      </c>
      <c r="AM3812" t="s">
        <v>10893</v>
      </c>
      <c r="AN3812" t="s">
        <v>10956</v>
      </c>
      <c r="AO3812" t="s">
        <v>11010</v>
      </c>
      <c r="AP3812" t="s">
        <v>11085</v>
      </c>
      <c r="AQ3812" t="s">
        <v>11236</v>
      </c>
      <c r="AR3812" t="s">
        <v>11257</v>
      </c>
      <c r="AS3812" t="s">
        <v>9926</v>
      </c>
      <c r="AT3812" t="s">
        <v>11641</v>
      </c>
      <c r="AX3812" t="s">
        <v>10838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</row>
    <row r="3813" spans="1:59">
      <c r="A3813" s="1">
        <f>HYPERLINK("https://lsnyc.legalserver.org/matter/dynamic-profile/view/1907933","19-1907933")</f>
        <v>0</v>
      </c>
      <c r="B3813" t="s">
        <v>3153</v>
      </c>
      <c r="C3813" t="s">
        <v>7941</v>
      </c>
      <c r="D3813" t="s">
        <v>10039</v>
      </c>
      <c r="E3813" t="s">
        <v>10075</v>
      </c>
      <c r="F3813">
        <v>10009</v>
      </c>
      <c r="G3813" t="s">
        <v>10089</v>
      </c>
      <c r="H3813" t="s">
        <v>10154</v>
      </c>
      <c r="I3813" t="s">
        <v>10169</v>
      </c>
      <c r="J3813" t="s">
        <v>10209</v>
      </c>
      <c r="K3813" t="s">
        <v>10217</v>
      </c>
      <c r="M3813" t="s">
        <v>10266</v>
      </c>
      <c r="N3813" t="s">
        <v>10649</v>
      </c>
      <c r="P3813" t="s">
        <v>10753</v>
      </c>
      <c r="Q3813" t="s">
        <v>10763</v>
      </c>
      <c r="R3813" t="s">
        <v>10821</v>
      </c>
      <c r="T3813">
        <v>0</v>
      </c>
      <c r="U3813">
        <v>0</v>
      </c>
      <c r="V3813">
        <v>57</v>
      </c>
      <c r="W3813">
        <v>1</v>
      </c>
      <c r="X3813">
        <v>0</v>
      </c>
      <c r="Z3813">
        <v>0</v>
      </c>
      <c r="AA3813">
        <v>40.723279</v>
      </c>
      <c r="AB3813">
        <v>-73.975633</v>
      </c>
      <c r="AD3813" t="s">
        <v>10840</v>
      </c>
      <c r="AF3813" t="s">
        <v>10843</v>
      </c>
      <c r="AG3813" t="s">
        <v>10859</v>
      </c>
      <c r="AH3813" t="s">
        <v>10864</v>
      </c>
      <c r="AI3813">
        <v>236</v>
      </c>
      <c r="AJ3813" t="s">
        <v>10209</v>
      </c>
      <c r="AL3813">
        <v>2.7</v>
      </c>
      <c r="AM3813" t="s">
        <v>10886</v>
      </c>
      <c r="AN3813" t="s">
        <v>10910</v>
      </c>
      <c r="AO3813" t="s">
        <v>11021</v>
      </c>
      <c r="AP3813" t="s">
        <v>11048</v>
      </c>
      <c r="AQ3813" t="s">
        <v>11097</v>
      </c>
      <c r="AR3813" t="s">
        <v>11267</v>
      </c>
      <c r="AS3813" t="s">
        <v>9925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</row>
    <row r="3814" spans="1:59">
      <c r="A3814" s="1">
        <f>HYPERLINK("https://lsnyc.legalserver.org/matter/dynamic-profile/view/1907934","19-1907934")</f>
        <v>0</v>
      </c>
      <c r="B3814" t="s">
        <v>3154</v>
      </c>
      <c r="C3814" t="s">
        <v>7942</v>
      </c>
      <c r="D3814" t="s">
        <v>9953</v>
      </c>
      <c r="E3814" t="s">
        <v>10075</v>
      </c>
      <c r="F3814">
        <v>11104</v>
      </c>
      <c r="G3814" t="s">
        <v>10092</v>
      </c>
      <c r="H3814" t="s">
        <v>10154</v>
      </c>
      <c r="I3814" t="s">
        <v>10169</v>
      </c>
      <c r="J3814" t="s">
        <v>10212</v>
      </c>
      <c r="K3814" t="s">
        <v>10217</v>
      </c>
      <c r="M3814" t="s">
        <v>10502</v>
      </c>
      <c r="N3814" t="s">
        <v>10671</v>
      </c>
      <c r="P3814" t="s">
        <v>10755</v>
      </c>
      <c r="Q3814" t="s">
        <v>10817</v>
      </c>
      <c r="R3814" t="s">
        <v>10821</v>
      </c>
      <c r="T3814">
        <v>41200</v>
      </c>
      <c r="U3814">
        <v>3433.33</v>
      </c>
      <c r="V3814">
        <v>13</v>
      </c>
      <c r="W3814">
        <v>2</v>
      </c>
      <c r="X3814">
        <v>1</v>
      </c>
      <c r="Z3814">
        <v>193.16</v>
      </c>
      <c r="AA3814">
        <v>40.737492</v>
      </c>
      <c r="AB3814">
        <v>-73.926204</v>
      </c>
      <c r="AD3814" t="s">
        <v>10840</v>
      </c>
      <c r="AG3814" t="s">
        <v>10858</v>
      </c>
      <c r="AH3814" t="s">
        <v>10861</v>
      </c>
      <c r="AI3814">
        <v>234</v>
      </c>
      <c r="AJ3814" t="s">
        <v>10214</v>
      </c>
      <c r="AL3814">
        <v>1.05</v>
      </c>
      <c r="AM3814" t="s">
        <v>10885</v>
      </c>
      <c r="AN3814" t="s">
        <v>10961</v>
      </c>
      <c r="AO3814" t="s">
        <v>11003</v>
      </c>
      <c r="AP3814" t="s">
        <v>11047</v>
      </c>
      <c r="AR3814" t="s">
        <v>11265</v>
      </c>
      <c r="AS3814" t="s">
        <v>11594</v>
      </c>
      <c r="AT3814" t="s">
        <v>11642</v>
      </c>
      <c r="AX3814" t="s">
        <v>10838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</row>
    <row r="3815" spans="1:59">
      <c r="A3815" s="1">
        <f>HYPERLINK("https://lsnyc.legalserver.org/matter/dynamic-profile/view/1907935","19-1907935")</f>
        <v>0</v>
      </c>
      <c r="B3815" t="s">
        <v>3155</v>
      </c>
      <c r="C3815" t="s">
        <v>7943</v>
      </c>
      <c r="D3815" t="s">
        <v>9926</v>
      </c>
      <c r="E3815" t="s">
        <v>10075</v>
      </c>
      <c r="F3815">
        <v>10452</v>
      </c>
      <c r="G3815" t="s">
        <v>10090</v>
      </c>
      <c r="H3815" t="s">
        <v>10154</v>
      </c>
      <c r="I3815" t="s">
        <v>10168</v>
      </c>
      <c r="J3815" t="s">
        <v>10210</v>
      </c>
      <c r="K3815" t="s">
        <v>10217</v>
      </c>
      <c r="M3815" t="s">
        <v>10372</v>
      </c>
      <c r="N3815" t="s">
        <v>10704</v>
      </c>
      <c r="P3815" t="s">
        <v>10750</v>
      </c>
      <c r="Q3815" t="s">
        <v>10778</v>
      </c>
      <c r="R3815" t="s">
        <v>10827</v>
      </c>
      <c r="T3815">
        <v>40000</v>
      </c>
      <c r="U3815">
        <v>3333.33</v>
      </c>
      <c r="V3815">
        <v>26</v>
      </c>
      <c r="W3815">
        <v>1</v>
      </c>
      <c r="X3815">
        <v>0</v>
      </c>
      <c r="Z3815">
        <v>320.26</v>
      </c>
      <c r="AA3815">
        <v>40.837689</v>
      </c>
      <c r="AB3815">
        <v>-73.916555</v>
      </c>
      <c r="AD3815" t="s">
        <v>10839</v>
      </c>
      <c r="AG3815" t="s">
        <v>10858</v>
      </c>
      <c r="AH3815" t="s">
        <v>10871</v>
      </c>
      <c r="AI3815">
        <v>234</v>
      </c>
      <c r="AJ3815" t="s">
        <v>10214</v>
      </c>
      <c r="AL3815">
        <v>5.25</v>
      </c>
      <c r="AM3815" t="s">
        <v>10884</v>
      </c>
      <c r="AN3815" t="s">
        <v>10924</v>
      </c>
      <c r="AO3815" t="s">
        <v>11013</v>
      </c>
      <c r="AP3815" t="s">
        <v>11055</v>
      </c>
      <c r="AR3815" t="s">
        <v>11257</v>
      </c>
      <c r="AS3815" t="s">
        <v>9926</v>
      </c>
      <c r="AT3815" t="s">
        <v>11641</v>
      </c>
      <c r="AX3815" t="s">
        <v>10838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</row>
    <row r="3816" spans="1:59">
      <c r="A3816" s="1">
        <f>HYPERLINK("https://lsnyc.legalserver.org/matter/dynamic-profile/view/1907936","19-1907936")</f>
        <v>0</v>
      </c>
      <c r="B3816" t="s">
        <v>2147</v>
      </c>
      <c r="C3816" t="s">
        <v>7944</v>
      </c>
      <c r="D3816" t="s">
        <v>9926</v>
      </c>
      <c r="E3816" t="s">
        <v>10075</v>
      </c>
      <c r="F3816">
        <v>10460</v>
      </c>
      <c r="G3816" t="s">
        <v>10090</v>
      </c>
      <c r="H3816" t="s">
        <v>10154</v>
      </c>
      <c r="I3816" t="s">
        <v>10168</v>
      </c>
      <c r="J3816" t="s">
        <v>10210</v>
      </c>
      <c r="K3816" t="s">
        <v>10217</v>
      </c>
      <c r="M3816" t="s">
        <v>10234</v>
      </c>
      <c r="N3816" t="s">
        <v>10650</v>
      </c>
      <c r="P3816" t="s">
        <v>10749</v>
      </c>
      <c r="Q3816" t="s">
        <v>10764</v>
      </c>
      <c r="R3816" t="s">
        <v>10824</v>
      </c>
      <c r="T3816">
        <v>18600</v>
      </c>
      <c r="U3816">
        <v>1550</v>
      </c>
      <c r="V3816">
        <v>58</v>
      </c>
      <c r="W3816">
        <v>4</v>
      </c>
      <c r="X3816">
        <v>0</v>
      </c>
      <c r="Z3816">
        <v>72.23</v>
      </c>
      <c r="AA3816">
        <v>40.843339</v>
      </c>
      <c r="AB3816">
        <v>-73.884772</v>
      </c>
      <c r="AD3816" t="s">
        <v>10839</v>
      </c>
      <c r="AG3816" t="s">
        <v>10858</v>
      </c>
      <c r="AH3816" t="s">
        <v>10862</v>
      </c>
      <c r="AI3816">
        <v>230</v>
      </c>
      <c r="AJ3816" t="s">
        <v>10210</v>
      </c>
      <c r="AL3816">
        <v>31.2</v>
      </c>
      <c r="AM3816" t="s">
        <v>10884</v>
      </c>
      <c r="AN3816" t="s">
        <v>10908</v>
      </c>
      <c r="AO3816" t="s">
        <v>11001</v>
      </c>
      <c r="AP3816" t="s">
        <v>11062</v>
      </c>
      <c r="AR3816" t="s">
        <v>11520</v>
      </c>
      <c r="AS3816" t="s">
        <v>9926</v>
      </c>
      <c r="AT3816" t="s">
        <v>11641</v>
      </c>
      <c r="AX3816" t="s">
        <v>10838</v>
      </c>
      <c r="BA3816" t="s">
        <v>11739</v>
      </c>
      <c r="BB3816">
        <v>0</v>
      </c>
      <c r="BC3816">
        <v>0</v>
      </c>
      <c r="BD3816">
        <v>0</v>
      </c>
      <c r="BE3816">
        <v>0</v>
      </c>
      <c r="BF3816">
        <v>4</v>
      </c>
      <c r="BG3816">
        <v>0</v>
      </c>
    </row>
    <row r="3817" spans="1:59">
      <c r="A3817" s="1">
        <f>HYPERLINK("https://lsnyc.legalserver.org/matter/dynamic-profile/view/1907937","19-1907937")</f>
        <v>0</v>
      </c>
      <c r="B3817" t="s">
        <v>3156</v>
      </c>
      <c r="C3817" t="s">
        <v>7945</v>
      </c>
      <c r="D3817" t="s">
        <v>9951</v>
      </c>
      <c r="E3817" t="s">
        <v>10075</v>
      </c>
      <c r="F3817">
        <v>11417</v>
      </c>
      <c r="G3817" t="s">
        <v>10092</v>
      </c>
      <c r="H3817" t="s">
        <v>10154</v>
      </c>
      <c r="I3817" t="s">
        <v>10168</v>
      </c>
      <c r="J3817" t="s">
        <v>10212</v>
      </c>
      <c r="K3817" t="s">
        <v>10217</v>
      </c>
      <c r="M3817" t="s">
        <v>10428</v>
      </c>
      <c r="N3817" t="s">
        <v>10695</v>
      </c>
      <c r="P3817" t="s">
        <v>10749</v>
      </c>
      <c r="Q3817" t="s">
        <v>10765</v>
      </c>
      <c r="R3817" t="s">
        <v>10821</v>
      </c>
      <c r="T3817">
        <v>9528</v>
      </c>
      <c r="U3817">
        <v>794</v>
      </c>
      <c r="V3817">
        <v>67</v>
      </c>
      <c r="W3817">
        <v>1</v>
      </c>
      <c r="X3817">
        <v>0</v>
      </c>
      <c r="Z3817">
        <v>76.29000000000001</v>
      </c>
      <c r="AA3817">
        <v>40.676542</v>
      </c>
      <c r="AB3817">
        <v>-73.851921</v>
      </c>
      <c r="AD3817" t="s">
        <v>10839</v>
      </c>
      <c r="AG3817" t="s">
        <v>10858</v>
      </c>
      <c r="AH3817" t="s">
        <v>10862</v>
      </c>
      <c r="AI3817">
        <v>237</v>
      </c>
      <c r="AJ3817" t="s">
        <v>10212</v>
      </c>
      <c r="AL3817">
        <v>3.55</v>
      </c>
      <c r="AM3817" t="s">
        <v>10889</v>
      </c>
      <c r="AN3817" t="s">
        <v>10958</v>
      </c>
      <c r="AO3817" t="s">
        <v>11024</v>
      </c>
      <c r="AP3817" t="s">
        <v>11088</v>
      </c>
      <c r="AR3817" t="s">
        <v>11263</v>
      </c>
      <c r="AS3817" t="s">
        <v>11594</v>
      </c>
      <c r="BA3817" t="s">
        <v>11742</v>
      </c>
      <c r="BB3817">
        <v>0</v>
      </c>
      <c r="BC3817">
        <v>0</v>
      </c>
      <c r="BD3817">
        <v>0</v>
      </c>
      <c r="BE3817">
        <v>0</v>
      </c>
      <c r="BF3817">
        <v>7</v>
      </c>
      <c r="BG3817">
        <v>0</v>
      </c>
    </row>
    <row r="3818" spans="1:59">
      <c r="A3818" s="1">
        <f>HYPERLINK("https://lsnyc.legalserver.org/matter/dynamic-profile/view/1907938","19-1907938")</f>
        <v>0</v>
      </c>
      <c r="B3818" t="s">
        <v>2757</v>
      </c>
      <c r="C3818" t="s">
        <v>7946</v>
      </c>
      <c r="D3818" t="s">
        <v>9925</v>
      </c>
      <c r="E3818" t="s">
        <v>10075</v>
      </c>
      <c r="F3818">
        <v>10019</v>
      </c>
      <c r="G3818" t="s">
        <v>10089</v>
      </c>
      <c r="H3818" t="s">
        <v>10154</v>
      </c>
      <c r="I3818" t="s">
        <v>10168</v>
      </c>
      <c r="J3818" t="s">
        <v>10209</v>
      </c>
      <c r="K3818" t="s">
        <v>10217</v>
      </c>
      <c r="M3818" t="s">
        <v>10332</v>
      </c>
      <c r="N3818" t="s">
        <v>10690</v>
      </c>
      <c r="P3818" t="s">
        <v>10754</v>
      </c>
      <c r="Q3818" t="s">
        <v>10771</v>
      </c>
      <c r="R3818" t="s">
        <v>10824</v>
      </c>
      <c r="T3818">
        <v>25000</v>
      </c>
      <c r="U3818">
        <v>2083.33</v>
      </c>
      <c r="V3818">
        <v>58</v>
      </c>
      <c r="W3818">
        <v>1</v>
      </c>
      <c r="X3818">
        <v>1</v>
      </c>
      <c r="Z3818">
        <v>147.84</v>
      </c>
      <c r="AA3818">
        <v>40.768708</v>
      </c>
      <c r="AB3818">
        <v>-73.992025</v>
      </c>
      <c r="AC3818" t="s">
        <v>10837</v>
      </c>
      <c r="AD3818" t="s">
        <v>10840</v>
      </c>
      <c r="AG3818" t="s">
        <v>10858</v>
      </c>
      <c r="AH3818" t="s">
        <v>10861</v>
      </c>
      <c r="AI3818">
        <v>234</v>
      </c>
      <c r="AJ3818" t="s">
        <v>10214</v>
      </c>
      <c r="AL3818">
        <v>1.2</v>
      </c>
      <c r="AM3818" t="s">
        <v>10894</v>
      </c>
      <c r="AN3818" t="s">
        <v>10964</v>
      </c>
      <c r="AO3818" t="s">
        <v>11019</v>
      </c>
      <c r="AP3818" t="s">
        <v>11089</v>
      </c>
      <c r="AR3818" t="s">
        <v>11505</v>
      </c>
      <c r="AS3818" t="s">
        <v>9925</v>
      </c>
      <c r="AT3818" t="s">
        <v>11642</v>
      </c>
      <c r="AX3818" t="s">
        <v>10838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</row>
    <row r="3819" spans="1:59">
      <c r="A3819" s="1">
        <f>HYPERLINK("https://lsnyc.legalserver.org/matter/dynamic-profile/view/1907939","19-1907939")</f>
        <v>0</v>
      </c>
      <c r="B3819" t="s">
        <v>2584</v>
      </c>
      <c r="C3819" t="s">
        <v>7947</v>
      </c>
      <c r="D3819" t="s">
        <v>9938</v>
      </c>
      <c r="E3819" t="s">
        <v>10075</v>
      </c>
      <c r="F3819">
        <v>11432</v>
      </c>
      <c r="G3819" t="s">
        <v>10092</v>
      </c>
      <c r="H3819" t="s">
        <v>10154</v>
      </c>
      <c r="I3819" t="s">
        <v>10179</v>
      </c>
      <c r="J3819" t="s">
        <v>10212</v>
      </c>
      <c r="K3819" t="s">
        <v>10217</v>
      </c>
      <c r="M3819" t="s">
        <v>10329</v>
      </c>
      <c r="N3819" t="s">
        <v>10650</v>
      </c>
      <c r="P3819" t="s">
        <v>10749</v>
      </c>
      <c r="Q3819" t="s">
        <v>10765</v>
      </c>
      <c r="R3819" t="s">
        <v>10828</v>
      </c>
      <c r="T3819">
        <v>25000</v>
      </c>
      <c r="U3819">
        <v>2083.33</v>
      </c>
      <c r="V3819">
        <v>42</v>
      </c>
      <c r="W3819">
        <v>2</v>
      </c>
      <c r="X3819">
        <v>1</v>
      </c>
      <c r="Z3819">
        <v>117.21</v>
      </c>
      <c r="AA3819">
        <v>40.709535</v>
      </c>
      <c r="AB3819">
        <v>-73.79306699999999</v>
      </c>
      <c r="AD3819" t="s">
        <v>10840</v>
      </c>
      <c r="AG3819" t="s">
        <v>10858</v>
      </c>
      <c r="AH3819" t="s">
        <v>10862</v>
      </c>
      <c r="AI3819">
        <v>237</v>
      </c>
      <c r="AJ3819" t="s">
        <v>10212</v>
      </c>
      <c r="AL3819">
        <v>1.95</v>
      </c>
      <c r="AM3819" t="s">
        <v>10892</v>
      </c>
      <c r="AN3819" t="s">
        <v>10955</v>
      </c>
      <c r="AO3819" t="s">
        <v>11020</v>
      </c>
      <c r="AP3819" t="s">
        <v>11075</v>
      </c>
      <c r="AR3819" t="s">
        <v>11257</v>
      </c>
      <c r="AS3819" t="s">
        <v>11594</v>
      </c>
      <c r="BA3819" t="s">
        <v>11741</v>
      </c>
      <c r="BB3819">
        <v>0</v>
      </c>
      <c r="BC3819">
        <v>0</v>
      </c>
      <c r="BD3819">
        <v>0</v>
      </c>
      <c r="BE3819">
        <v>0</v>
      </c>
      <c r="BF3819">
        <v>1</v>
      </c>
      <c r="BG3819">
        <v>0</v>
      </c>
    </row>
    <row r="3820" spans="1:59">
      <c r="A3820" s="1">
        <f>HYPERLINK("https://lsnyc.legalserver.org/matter/dynamic-profile/view/1907940","19-1907940")</f>
        <v>0</v>
      </c>
      <c r="B3820" t="s">
        <v>3157</v>
      </c>
      <c r="C3820" t="s">
        <v>7042</v>
      </c>
      <c r="D3820" t="s">
        <v>9926</v>
      </c>
      <c r="E3820" t="s">
        <v>10075</v>
      </c>
      <c r="F3820">
        <v>10456</v>
      </c>
      <c r="G3820" t="s">
        <v>10090</v>
      </c>
      <c r="H3820" t="s">
        <v>10111</v>
      </c>
      <c r="I3820" t="s">
        <v>10169</v>
      </c>
      <c r="J3820" t="s">
        <v>10210</v>
      </c>
      <c r="K3820" t="s">
        <v>10217</v>
      </c>
      <c r="M3820" t="s">
        <v>10296</v>
      </c>
      <c r="N3820" t="s">
        <v>10679</v>
      </c>
      <c r="P3820" t="s">
        <v>10753</v>
      </c>
      <c r="Q3820" t="s">
        <v>10763</v>
      </c>
      <c r="R3820" t="s">
        <v>10823</v>
      </c>
      <c r="T3820">
        <v>0</v>
      </c>
      <c r="U3820">
        <v>0</v>
      </c>
      <c r="V3820">
        <v>9</v>
      </c>
      <c r="W3820">
        <v>1</v>
      </c>
      <c r="X3820">
        <v>2</v>
      </c>
      <c r="Z3820">
        <v>0</v>
      </c>
      <c r="AA3820">
        <v>40.829684</v>
      </c>
      <c r="AB3820">
        <v>-73.91986199999999</v>
      </c>
      <c r="AD3820" t="s">
        <v>10840</v>
      </c>
      <c r="AF3820" t="s">
        <v>10842</v>
      </c>
      <c r="AG3820" t="s">
        <v>10859</v>
      </c>
      <c r="AH3820" t="s">
        <v>10864</v>
      </c>
      <c r="AI3820">
        <v>230</v>
      </c>
      <c r="AJ3820" t="s">
        <v>10210</v>
      </c>
      <c r="AL3820">
        <v>7.25</v>
      </c>
      <c r="AM3820" t="s">
        <v>10884</v>
      </c>
      <c r="AN3820" t="s">
        <v>10929</v>
      </c>
      <c r="AO3820" t="s">
        <v>11001</v>
      </c>
      <c r="AP3820" t="s">
        <v>11055</v>
      </c>
      <c r="AQ3820" t="s">
        <v>11109</v>
      </c>
      <c r="AR3820" t="s">
        <v>11267</v>
      </c>
      <c r="AS3820" t="s">
        <v>9926</v>
      </c>
      <c r="AT3820" t="s">
        <v>11642</v>
      </c>
      <c r="AV3820" t="s">
        <v>11655</v>
      </c>
      <c r="AW3820" t="s">
        <v>11666</v>
      </c>
      <c r="AX3820" t="s">
        <v>10838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</row>
    <row r="3821" spans="1:59">
      <c r="A3821" s="1">
        <f>HYPERLINK("https://lsnyc.legalserver.org/matter/dynamic-profile/view/1907941","19-1907941")</f>
        <v>0</v>
      </c>
      <c r="B3821" t="s">
        <v>3158</v>
      </c>
      <c r="C3821" t="s">
        <v>7790</v>
      </c>
      <c r="D3821" t="s">
        <v>9928</v>
      </c>
      <c r="E3821" t="s">
        <v>10075</v>
      </c>
      <c r="F3821">
        <v>11233</v>
      </c>
      <c r="G3821" t="s">
        <v>10093</v>
      </c>
      <c r="H3821" t="s">
        <v>10154</v>
      </c>
      <c r="J3821" t="s">
        <v>10213</v>
      </c>
      <c r="K3821" t="s">
        <v>10217</v>
      </c>
      <c r="M3821" t="s">
        <v>10356</v>
      </c>
      <c r="N3821" t="s">
        <v>10673</v>
      </c>
      <c r="P3821" t="s">
        <v>10753</v>
      </c>
      <c r="Q3821" t="s">
        <v>10763</v>
      </c>
      <c r="R3821" t="s">
        <v>10824</v>
      </c>
      <c r="T3821">
        <v>20000</v>
      </c>
      <c r="U3821">
        <v>1666.67</v>
      </c>
      <c r="V3821">
        <v>19</v>
      </c>
      <c r="W3821">
        <v>1</v>
      </c>
      <c r="X3821">
        <v>1</v>
      </c>
      <c r="Z3821">
        <v>118.27</v>
      </c>
      <c r="AA3821">
        <v>40.669234</v>
      </c>
      <c r="AB3821">
        <v>-73.92416799999999</v>
      </c>
      <c r="AD3821" t="s">
        <v>10840</v>
      </c>
      <c r="AF3821" t="s">
        <v>10843</v>
      </c>
      <c r="AG3821" t="s">
        <v>10859</v>
      </c>
      <c r="AH3821" t="s">
        <v>10864</v>
      </c>
      <c r="AI3821">
        <v>239</v>
      </c>
      <c r="AJ3821" t="s">
        <v>10213</v>
      </c>
      <c r="AL3821">
        <v>3.9</v>
      </c>
      <c r="AM3821" t="s">
        <v>10888</v>
      </c>
      <c r="AN3821" t="s">
        <v>10922</v>
      </c>
      <c r="AO3821" t="s">
        <v>11005</v>
      </c>
      <c r="AP3821" t="s">
        <v>11064</v>
      </c>
      <c r="AQ3821" t="s">
        <v>11161</v>
      </c>
      <c r="AR3821" t="s">
        <v>11257</v>
      </c>
      <c r="AS3821" t="s">
        <v>11595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</row>
    <row r="3822" spans="1:59">
      <c r="A3822" s="1">
        <f>HYPERLINK("https://lsnyc.legalserver.org/matter/dynamic-profile/view/1907942","19-1907942")</f>
        <v>0</v>
      </c>
      <c r="B3822" t="s">
        <v>1245</v>
      </c>
      <c r="C3822" t="s">
        <v>7948</v>
      </c>
      <c r="D3822" t="s">
        <v>9928</v>
      </c>
      <c r="E3822" t="s">
        <v>10075</v>
      </c>
      <c r="F3822">
        <v>11212</v>
      </c>
      <c r="G3822" t="s">
        <v>10093</v>
      </c>
      <c r="H3822" t="s">
        <v>10154</v>
      </c>
      <c r="I3822" t="s">
        <v>10168</v>
      </c>
      <c r="J3822" t="s">
        <v>10213</v>
      </c>
      <c r="K3822" t="s">
        <v>10218</v>
      </c>
      <c r="L3822" t="s">
        <v>10143</v>
      </c>
      <c r="M3822" t="s">
        <v>10564</v>
      </c>
      <c r="N3822" t="s">
        <v>10650</v>
      </c>
      <c r="P3822" t="s">
        <v>10749</v>
      </c>
      <c r="Q3822" t="s">
        <v>10765</v>
      </c>
      <c r="R3822" t="s">
        <v>10823</v>
      </c>
      <c r="T3822">
        <v>0</v>
      </c>
      <c r="U3822">
        <v>0</v>
      </c>
      <c r="V3822">
        <v>31</v>
      </c>
      <c r="W3822">
        <v>1</v>
      </c>
      <c r="X3822">
        <v>0</v>
      </c>
      <c r="Y3822" t="s">
        <v>10829</v>
      </c>
      <c r="Z3822">
        <v>0</v>
      </c>
      <c r="AA3822">
        <v>40.660493</v>
      </c>
      <c r="AB3822">
        <v>-73.923846</v>
      </c>
      <c r="AC3822" t="s">
        <v>10838</v>
      </c>
      <c r="AD3822" t="s">
        <v>10839</v>
      </c>
      <c r="AG3822" t="s">
        <v>10858</v>
      </c>
      <c r="AH3822" t="s">
        <v>10861</v>
      </c>
      <c r="AI3822">
        <v>234</v>
      </c>
      <c r="AJ3822" t="s">
        <v>10214</v>
      </c>
      <c r="AK3822" t="s">
        <v>10838</v>
      </c>
      <c r="AL3822">
        <v>0.3</v>
      </c>
      <c r="AM3822" t="s">
        <v>10888</v>
      </c>
      <c r="AN3822" t="s">
        <v>10925</v>
      </c>
      <c r="AO3822" t="s">
        <v>11005</v>
      </c>
      <c r="AP3822" t="s">
        <v>11064</v>
      </c>
      <c r="AR3822" t="s">
        <v>11267</v>
      </c>
      <c r="AS3822" t="s">
        <v>11595</v>
      </c>
      <c r="AT3822" t="s">
        <v>11641</v>
      </c>
      <c r="AX3822" t="s">
        <v>10838</v>
      </c>
      <c r="AY3822" t="s">
        <v>10829</v>
      </c>
      <c r="AZ3822" t="s">
        <v>11681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</row>
    <row r="3823" spans="1:59">
      <c r="A3823" s="1">
        <f>HYPERLINK("https://lsnyc.legalserver.org/matter/dynamic-profile/view/1907943","19-1907943")</f>
        <v>0</v>
      </c>
      <c r="B3823" t="s">
        <v>3159</v>
      </c>
      <c r="C3823" t="s">
        <v>7949</v>
      </c>
      <c r="D3823" t="s">
        <v>9926</v>
      </c>
      <c r="E3823" t="s">
        <v>10075</v>
      </c>
      <c r="F3823">
        <v>10467</v>
      </c>
      <c r="G3823" t="s">
        <v>10090</v>
      </c>
      <c r="H3823" t="s">
        <v>10154</v>
      </c>
      <c r="I3823" t="s">
        <v>10168</v>
      </c>
      <c r="J3823" t="s">
        <v>10210</v>
      </c>
      <c r="K3823" t="s">
        <v>10217</v>
      </c>
      <c r="M3823" t="s">
        <v>10415</v>
      </c>
      <c r="N3823" t="s">
        <v>10651</v>
      </c>
      <c r="P3823" t="s">
        <v>10749</v>
      </c>
      <c r="Q3823" t="s">
        <v>10765</v>
      </c>
      <c r="R3823" t="s">
        <v>10824</v>
      </c>
      <c r="T3823">
        <v>81328</v>
      </c>
      <c r="U3823">
        <v>6777.33</v>
      </c>
      <c r="V3823">
        <v>30</v>
      </c>
      <c r="W3823">
        <v>2</v>
      </c>
      <c r="X3823">
        <v>1</v>
      </c>
      <c r="Z3823">
        <v>381.28</v>
      </c>
      <c r="AA3823">
        <v>40.868258</v>
      </c>
      <c r="AB3823">
        <v>-73.86362</v>
      </c>
      <c r="AD3823" t="s">
        <v>10840</v>
      </c>
      <c r="AG3823" t="s">
        <v>10858</v>
      </c>
      <c r="AH3823" t="s">
        <v>10862</v>
      </c>
      <c r="AI3823">
        <v>230</v>
      </c>
      <c r="AJ3823" t="s">
        <v>10210</v>
      </c>
      <c r="AL3823">
        <v>0.9</v>
      </c>
      <c r="AM3823" t="s">
        <v>10885</v>
      </c>
      <c r="AN3823" t="s">
        <v>10938</v>
      </c>
      <c r="AO3823" t="s">
        <v>11010</v>
      </c>
      <c r="AP3823" t="s">
        <v>11049</v>
      </c>
      <c r="AR3823" t="s">
        <v>11257</v>
      </c>
      <c r="AS3823" t="s">
        <v>9926</v>
      </c>
      <c r="AT3823" t="s">
        <v>11642</v>
      </c>
      <c r="AX3823" t="s">
        <v>10838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</row>
    <row r="3824" spans="1:59">
      <c r="A3824" s="1">
        <f>HYPERLINK("https://lsnyc.legalserver.org/matter/dynamic-profile/view/1907944","19-1907944")</f>
        <v>0</v>
      </c>
      <c r="B3824" t="s">
        <v>3149</v>
      </c>
      <c r="C3824" t="s">
        <v>7937</v>
      </c>
      <c r="D3824" t="s">
        <v>9926</v>
      </c>
      <c r="E3824" t="s">
        <v>10075</v>
      </c>
      <c r="F3824">
        <v>10467</v>
      </c>
      <c r="G3824" t="s">
        <v>10090</v>
      </c>
      <c r="H3824" t="s">
        <v>10154</v>
      </c>
      <c r="I3824" t="s">
        <v>10168</v>
      </c>
      <c r="J3824" t="s">
        <v>10210</v>
      </c>
      <c r="K3824" t="s">
        <v>10217</v>
      </c>
      <c r="M3824" t="s">
        <v>10287</v>
      </c>
      <c r="N3824" t="s">
        <v>10677</v>
      </c>
      <c r="P3824" t="s">
        <v>10751</v>
      </c>
      <c r="Q3824" t="s">
        <v>10761</v>
      </c>
      <c r="R3824" t="s">
        <v>10824</v>
      </c>
      <c r="T3824">
        <v>13884</v>
      </c>
      <c r="U3824">
        <v>1157</v>
      </c>
      <c r="V3824">
        <v>60</v>
      </c>
      <c r="W3824">
        <v>1</v>
      </c>
      <c r="X3824">
        <v>0</v>
      </c>
      <c r="Z3824">
        <v>111.16</v>
      </c>
      <c r="AA3824">
        <v>40.864698</v>
      </c>
      <c r="AB3824">
        <v>-73.866601</v>
      </c>
      <c r="AD3824" t="s">
        <v>10840</v>
      </c>
      <c r="AG3824" t="s">
        <v>10858</v>
      </c>
      <c r="AH3824" t="s">
        <v>10862</v>
      </c>
      <c r="AI3824">
        <v>230</v>
      </c>
      <c r="AJ3824" t="s">
        <v>10210</v>
      </c>
      <c r="AL3824">
        <v>5.8</v>
      </c>
      <c r="AR3824" t="s">
        <v>11298</v>
      </c>
      <c r="AS3824" t="s">
        <v>9926</v>
      </c>
      <c r="BA3824" t="s">
        <v>11741</v>
      </c>
      <c r="BB3824">
        <v>0</v>
      </c>
      <c r="BC3824">
        <v>0</v>
      </c>
      <c r="BD3824">
        <v>0</v>
      </c>
      <c r="BE3824">
        <v>0</v>
      </c>
      <c r="BF3824">
        <v>1</v>
      </c>
      <c r="BG3824">
        <v>0</v>
      </c>
    </row>
    <row r="3825" spans="1:59">
      <c r="A3825" s="1">
        <f>HYPERLINK("https://lsnyc.legalserver.org/matter/dynamic-profile/view/1907945","19-1907945")</f>
        <v>0</v>
      </c>
      <c r="B3825" t="s">
        <v>3160</v>
      </c>
      <c r="C3825" t="s">
        <v>7950</v>
      </c>
      <c r="D3825" t="s">
        <v>9926</v>
      </c>
      <c r="E3825" t="s">
        <v>10075</v>
      </c>
      <c r="F3825">
        <v>10458</v>
      </c>
      <c r="G3825" t="s">
        <v>10090</v>
      </c>
      <c r="H3825" t="s">
        <v>10154</v>
      </c>
      <c r="I3825" t="s">
        <v>10168</v>
      </c>
      <c r="J3825" t="s">
        <v>10210</v>
      </c>
      <c r="K3825" t="s">
        <v>10217</v>
      </c>
      <c r="M3825" t="s">
        <v>10427</v>
      </c>
      <c r="N3825" t="s">
        <v>10650</v>
      </c>
      <c r="P3825" t="s">
        <v>10749</v>
      </c>
      <c r="Q3825" t="s">
        <v>10765</v>
      </c>
      <c r="R3825" t="s">
        <v>10821</v>
      </c>
      <c r="T3825">
        <v>22224</v>
      </c>
      <c r="U3825">
        <v>1852</v>
      </c>
      <c r="V3825">
        <v>49</v>
      </c>
      <c r="W3825">
        <v>3</v>
      </c>
      <c r="X3825">
        <v>0</v>
      </c>
      <c r="Z3825">
        <v>104.19</v>
      </c>
      <c r="AA3825">
        <v>40.859964</v>
      </c>
      <c r="AB3825">
        <v>-73.894662</v>
      </c>
      <c r="AD3825" t="s">
        <v>10839</v>
      </c>
      <c r="AG3825" t="s">
        <v>10858</v>
      </c>
      <c r="AH3825" t="s">
        <v>10862</v>
      </c>
      <c r="AI3825">
        <v>230</v>
      </c>
      <c r="AJ3825" t="s">
        <v>10210</v>
      </c>
      <c r="AL3825">
        <v>1</v>
      </c>
      <c r="AM3825" t="s">
        <v>10884</v>
      </c>
      <c r="AN3825" t="s">
        <v>10931</v>
      </c>
      <c r="AO3825" t="s">
        <v>11000</v>
      </c>
      <c r="AP3825" t="s">
        <v>11056</v>
      </c>
      <c r="AR3825" t="s">
        <v>11287</v>
      </c>
      <c r="AS3825" t="s">
        <v>9926</v>
      </c>
      <c r="BA3825" t="s">
        <v>11740</v>
      </c>
      <c r="BB3825">
        <v>0</v>
      </c>
      <c r="BC3825">
        <v>0</v>
      </c>
      <c r="BD3825">
        <v>0</v>
      </c>
      <c r="BE3825">
        <v>0</v>
      </c>
      <c r="BF3825">
        <v>2</v>
      </c>
      <c r="BG3825">
        <v>0</v>
      </c>
    </row>
    <row r="3826" spans="1:59">
      <c r="A3826" s="1">
        <f>HYPERLINK("https://lsnyc.legalserver.org/matter/dynamic-profile/view/1907946","19-1907946")</f>
        <v>0</v>
      </c>
      <c r="B3826" t="s">
        <v>3161</v>
      </c>
      <c r="C3826" t="s">
        <v>7951</v>
      </c>
      <c r="D3826" t="s">
        <v>9945</v>
      </c>
      <c r="E3826" t="s">
        <v>10075</v>
      </c>
      <c r="F3826">
        <v>11422</v>
      </c>
      <c r="G3826" t="s">
        <v>10092</v>
      </c>
      <c r="H3826" t="s">
        <v>10154</v>
      </c>
      <c r="I3826" t="s">
        <v>10168</v>
      </c>
      <c r="J3826" t="s">
        <v>10212</v>
      </c>
      <c r="K3826" t="s">
        <v>10217</v>
      </c>
      <c r="M3826" t="s">
        <v>10342</v>
      </c>
      <c r="N3826" t="s">
        <v>10650</v>
      </c>
      <c r="P3826" t="s">
        <v>10749</v>
      </c>
      <c r="Q3826" t="s">
        <v>10765</v>
      </c>
      <c r="R3826" t="s">
        <v>10825</v>
      </c>
      <c r="T3826">
        <v>30000</v>
      </c>
      <c r="U3826">
        <v>2500</v>
      </c>
      <c r="V3826">
        <v>34</v>
      </c>
      <c r="W3826">
        <v>1</v>
      </c>
      <c r="X3826">
        <v>2</v>
      </c>
      <c r="Z3826">
        <v>140.65</v>
      </c>
      <c r="AA3826">
        <v>40.652256</v>
      </c>
      <c r="AB3826">
        <v>-73.739688</v>
      </c>
      <c r="AD3826" t="s">
        <v>10840</v>
      </c>
      <c r="AG3826" t="s">
        <v>10858</v>
      </c>
      <c r="AH3826" t="s">
        <v>10862</v>
      </c>
      <c r="AI3826">
        <v>237</v>
      </c>
      <c r="AJ3826" t="s">
        <v>10212</v>
      </c>
      <c r="AL3826">
        <v>10.1</v>
      </c>
      <c r="AM3826" t="s">
        <v>10892</v>
      </c>
      <c r="AN3826" t="s">
        <v>10930</v>
      </c>
      <c r="AO3826" t="s">
        <v>11017</v>
      </c>
      <c r="AP3826" t="s">
        <v>11082</v>
      </c>
      <c r="AR3826" t="s">
        <v>11257</v>
      </c>
      <c r="AS3826" t="s">
        <v>11594</v>
      </c>
      <c r="BA3826" t="s">
        <v>11738</v>
      </c>
      <c r="BB3826">
        <v>0</v>
      </c>
      <c r="BC3826">
        <v>0</v>
      </c>
      <c r="BD3826">
        <v>0</v>
      </c>
      <c r="BE3826">
        <v>0</v>
      </c>
      <c r="BF3826">
        <v>5</v>
      </c>
      <c r="BG3826">
        <v>0</v>
      </c>
    </row>
    <row r="3827" spans="1:59">
      <c r="A3827" s="1">
        <f>HYPERLINK("https://lsnyc.legalserver.org/matter/dynamic-profile/view/1907947","19-1907947")</f>
        <v>0</v>
      </c>
      <c r="B3827" t="s">
        <v>3116</v>
      </c>
      <c r="C3827" t="s">
        <v>7952</v>
      </c>
      <c r="D3827" t="s">
        <v>9927</v>
      </c>
      <c r="E3827" t="s">
        <v>10075</v>
      </c>
      <c r="F3827">
        <v>11377</v>
      </c>
      <c r="G3827" t="s">
        <v>10092</v>
      </c>
      <c r="H3827" t="s">
        <v>10154</v>
      </c>
      <c r="J3827" t="s">
        <v>10212</v>
      </c>
      <c r="K3827" t="s">
        <v>10217</v>
      </c>
      <c r="M3827" t="s">
        <v>10343</v>
      </c>
      <c r="N3827" t="s">
        <v>10695</v>
      </c>
      <c r="P3827" t="s">
        <v>10749</v>
      </c>
      <c r="Q3827" t="s">
        <v>10765</v>
      </c>
      <c r="R3827" t="s">
        <v>10820</v>
      </c>
      <c r="T3827">
        <v>0</v>
      </c>
      <c r="U3827">
        <v>0</v>
      </c>
      <c r="V3827">
        <v>83</v>
      </c>
      <c r="W3827">
        <v>1</v>
      </c>
      <c r="X3827">
        <v>0</v>
      </c>
      <c r="Z3827">
        <v>0</v>
      </c>
      <c r="AA3827">
        <v>40.745515</v>
      </c>
      <c r="AB3827">
        <v>-73.913712</v>
      </c>
      <c r="AD3827" t="s">
        <v>10839</v>
      </c>
      <c r="AG3827" t="s">
        <v>10858</v>
      </c>
      <c r="AH3827" t="s">
        <v>10862</v>
      </c>
      <c r="AI3827">
        <v>237</v>
      </c>
      <c r="AJ3827" t="s">
        <v>10212</v>
      </c>
      <c r="AL3827">
        <v>1</v>
      </c>
      <c r="AM3827" t="s">
        <v>10885</v>
      </c>
      <c r="AN3827" t="s">
        <v>10935</v>
      </c>
      <c r="AO3827" t="s">
        <v>11003</v>
      </c>
      <c r="AP3827" t="s">
        <v>11047</v>
      </c>
      <c r="AR3827" t="s">
        <v>11266</v>
      </c>
      <c r="AS3827" t="s">
        <v>11594</v>
      </c>
      <c r="AX3827" t="s">
        <v>10838</v>
      </c>
      <c r="BA3827" t="s">
        <v>11741</v>
      </c>
      <c r="BB3827">
        <v>0</v>
      </c>
      <c r="BC3827">
        <v>0</v>
      </c>
      <c r="BD3827">
        <v>0</v>
      </c>
      <c r="BE3827">
        <v>0</v>
      </c>
      <c r="BF3827">
        <v>1</v>
      </c>
      <c r="BG3827">
        <v>0</v>
      </c>
    </row>
    <row r="3828" spans="1:59">
      <c r="A3828" s="1">
        <f>HYPERLINK("https://lsnyc.legalserver.org/matter/dynamic-profile/view/1907948","19-1907948")</f>
        <v>0</v>
      </c>
      <c r="B3828" t="s">
        <v>3162</v>
      </c>
      <c r="C3828" t="s">
        <v>7953</v>
      </c>
      <c r="D3828" t="s">
        <v>9925</v>
      </c>
      <c r="E3828" t="s">
        <v>10075</v>
      </c>
      <c r="F3828">
        <v>10028</v>
      </c>
      <c r="G3828" t="s">
        <v>10090</v>
      </c>
      <c r="H3828" t="s">
        <v>10154</v>
      </c>
      <c r="I3828" t="s">
        <v>10168</v>
      </c>
      <c r="J3828" t="s">
        <v>10210</v>
      </c>
      <c r="K3828" t="s">
        <v>10217</v>
      </c>
      <c r="M3828" t="s">
        <v>10495</v>
      </c>
      <c r="N3828" t="s">
        <v>10658</v>
      </c>
      <c r="P3828" t="s">
        <v>10749</v>
      </c>
      <c r="Q3828" t="s">
        <v>10769</v>
      </c>
      <c r="R3828" t="s">
        <v>10821</v>
      </c>
      <c r="T3828">
        <v>16640</v>
      </c>
      <c r="U3828">
        <v>1386.67</v>
      </c>
      <c r="V3828">
        <v>62</v>
      </c>
      <c r="W3828">
        <v>1</v>
      </c>
      <c r="X3828">
        <v>0</v>
      </c>
      <c r="Z3828">
        <v>133.23</v>
      </c>
      <c r="AA3828">
        <v>40.780026</v>
      </c>
      <c r="AB3828">
        <v>-73.956142</v>
      </c>
      <c r="AD3828" t="s">
        <v>10839</v>
      </c>
      <c r="AG3828" t="s">
        <v>10858</v>
      </c>
      <c r="AH3828" t="s">
        <v>10860</v>
      </c>
      <c r="AI3828">
        <v>230</v>
      </c>
      <c r="AJ3828" t="s">
        <v>10210</v>
      </c>
      <c r="AL3828">
        <v>3.5</v>
      </c>
      <c r="AM3828" t="s">
        <v>10891</v>
      </c>
      <c r="AN3828" t="s">
        <v>10970</v>
      </c>
      <c r="AO3828" t="s">
        <v>11026</v>
      </c>
      <c r="AP3828" t="s">
        <v>11091</v>
      </c>
      <c r="AR3828" t="s">
        <v>11257</v>
      </c>
      <c r="AS3828" t="s">
        <v>9925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</row>
    <row r="3829" spans="1:59">
      <c r="A3829" s="1">
        <f>HYPERLINK("https://lsnyc.legalserver.org/matter/dynamic-profile/view/1907949","19-1907949")</f>
        <v>0</v>
      </c>
      <c r="B3829" t="s">
        <v>3163</v>
      </c>
      <c r="C3829" t="s">
        <v>7954</v>
      </c>
      <c r="D3829" t="s">
        <v>9928</v>
      </c>
      <c r="E3829" t="s">
        <v>10075</v>
      </c>
      <c r="F3829">
        <v>11226</v>
      </c>
      <c r="G3829" t="s">
        <v>10093</v>
      </c>
      <c r="H3829" t="s">
        <v>10154</v>
      </c>
      <c r="I3829" t="s">
        <v>10168</v>
      </c>
      <c r="J3829" t="s">
        <v>10213</v>
      </c>
      <c r="K3829" t="s">
        <v>10217</v>
      </c>
      <c r="M3829" t="s">
        <v>10248</v>
      </c>
      <c r="N3829" t="s">
        <v>10660</v>
      </c>
      <c r="P3829" t="s">
        <v>10749</v>
      </c>
      <c r="Q3829" t="s">
        <v>10759</v>
      </c>
      <c r="R3829" t="s">
        <v>10824</v>
      </c>
      <c r="T3829">
        <v>90000</v>
      </c>
      <c r="U3829">
        <v>7500</v>
      </c>
      <c r="V3829">
        <v>59</v>
      </c>
      <c r="W3829">
        <v>1</v>
      </c>
      <c r="X3829">
        <v>0</v>
      </c>
      <c r="Z3829">
        <v>720.58</v>
      </c>
      <c r="AA3829">
        <v>40.65104</v>
      </c>
      <c r="AB3829">
        <v>-73.94841599999999</v>
      </c>
      <c r="AD3829" t="s">
        <v>10839</v>
      </c>
      <c r="AG3829" t="s">
        <v>10858</v>
      </c>
      <c r="AH3829" t="s">
        <v>10860</v>
      </c>
      <c r="AI3829">
        <v>239</v>
      </c>
      <c r="AJ3829" t="s">
        <v>10213</v>
      </c>
      <c r="AL3829">
        <v>0.8</v>
      </c>
      <c r="AM3829" t="s">
        <v>10888</v>
      </c>
      <c r="AN3829" t="s">
        <v>10912</v>
      </c>
      <c r="AO3829" t="s">
        <v>11005</v>
      </c>
      <c r="AP3829" t="s">
        <v>11050</v>
      </c>
      <c r="AR3829" t="s">
        <v>11466</v>
      </c>
      <c r="AS3829" t="s">
        <v>11595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</row>
    <row r="3830" spans="1:59">
      <c r="A3830" s="1">
        <f>HYPERLINK("https://lsnyc.legalserver.org/matter/dynamic-profile/view/1907950","19-1907950")</f>
        <v>0</v>
      </c>
      <c r="B3830" t="s">
        <v>3159</v>
      </c>
      <c r="C3830" t="s">
        <v>7949</v>
      </c>
      <c r="D3830" t="s">
        <v>9926</v>
      </c>
      <c r="E3830" t="s">
        <v>10075</v>
      </c>
      <c r="F3830">
        <v>10467</v>
      </c>
      <c r="G3830" t="s">
        <v>10090</v>
      </c>
      <c r="H3830" t="s">
        <v>10154</v>
      </c>
      <c r="I3830" t="s">
        <v>10168</v>
      </c>
      <c r="J3830" t="s">
        <v>10210</v>
      </c>
      <c r="K3830" t="s">
        <v>10217</v>
      </c>
      <c r="M3830" t="s">
        <v>10415</v>
      </c>
      <c r="N3830" t="s">
        <v>10646</v>
      </c>
      <c r="P3830" t="s">
        <v>10751</v>
      </c>
      <c r="Q3830" t="s">
        <v>10761</v>
      </c>
      <c r="R3830" t="s">
        <v>10824</v>
      </c>
      <c r="T3830">
        <v>81328</v>
      </c>
      <c r="U3830">
        <v>6777.33</v>
      </c>
      <c r="V3830">
        <v>30</v>
      </c>
      <c r="W3830">
        <v>2</v>
      </c>
      <c r="X3830">
        <v>1</v>
      </c>
      <c r="Z3830">
        <v>381.28</v>
      </c>
      <c r="AA3830">
        <v>40.868258</v>
      </c>
      <c r="AB3830">
        <v>-73.86362</v>
      </c>
      <c r="AD3830" t="s">
        <v>10840</v>
      </c>
      <c r="AG3830" t="s">
        <v>10858</v>
      </c>
      <c r="AH3830" t="s">
        <v>10862</v>
      </c>
      <c r="AI3830">
        <v>230</v>
      </c>
      <c r="AJ3830" t="s">
        <v>10210</v>
      </c>
      <c r="AL3830">
        <v>0</v>
      </c>
      <c r="AM3830" t="s">
        <v>10885</v>
      </c>
      <c r="AN3830" t="s">
        <v>10938</v>
      </c>
      <c r="AO3830" t="s">
        <v>11010</v>
      </c>
      <c r="AP3830" t="s">
        <v>11049</v>
      </c>
      <c r="AR3830" t="s">
        <v>11257</v>
      </c>
      <c r="AS3830" t="s">
        <v>9926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</row>
    <row r="3831" spans="1:59">
      <c r="A3831" s="1">
        <f>HYPERLINK("https://lsnyc.legalserver.org/matter/dynamic-profile/view/1907951","19-1907951")</f>
        <v>0</v>
      </c>
      <c r="B3831" t="s">
        <v>3164</v>
      </c>
      <c r="C3831" t="s">
        <v>7955</v>
      </c>
      <c r="D3831" t="s">
        <v>9949</v>
      </c>
      <c r="E3831" t="s">
        <v>10075</v>
      </c>
      <c r="F3831">
        <v>11413</v>
      </c>
      <c r="G3831" t="s">
        <v>10091</v>
      </c>
      <c r="H3831" t="s">
        <v>10154</v>
      </c>
      <c r="I3831" t="s">
        <v>10168</v>
      </c>
      <c r="J3831" t="s">
        <v>10214</v>
      </c>
      <c r="K3831" t="s">
        <v>10217</v>
      </c>
      <c r="M3831" t="s">
        <v>10286</v>
      </c>
      <c r="N3831" t="s">
        <v>10646</v>
      </c>
      <c r="P3831" t="s">
        <v>10752</v>
      </c>
      <c r="Q3831" t="s">
        <v>10762</v>
      </c>
      <c r="R3831" t="s">
        <v>10821</v>
      </c>
      <c r="T3831">
        <v>50400</v>
      </c>
      <c r="U3831">
        <v>4200</v>
      </c>
      <c r="V3831">
        <v>59</v>
      </c>
      <c r="W3831">
        <v>1</v>
      </c>
      <c r="X3831">
        <v>0</v>
      </c>
      <c r="Z3831">
        <v>403.52</v>
      </c>
      <c r="AA3831">
        <v>40.659657</v>
      </c>
      <c r="AB3831">
        <v>-73.75144</v>
      </c>
      <c r="AC3831" t="s">
        <v>10837</v>
      </c>
      <c r="AD3831" t="s">
        <v>10840</v>
      </c>
      <c r="AG3831" t="s">
        <v>10858</v>
      </c>
      <c r="AH3831" t="s">
        <v>10871</v>
      </c>
      <c r="AI3831">
        <v>234</v>
      </c>
      <c r="AJ3831" t="s">
        <v>10214</v>
      </c>
      <c r="AL3831">
        <v>1</v>
      </c>
      <c r="AM3831" t="s">
        <v>10892</v>
      </c>
      <c r="AN3831" t="s">
        <v>10930</v>
      </c>
      <c r="AO3831" t="s">
        <v>11017</v>
      </c>
      <c r="AP3831" t="s">
        <v>11082</v>
      </c>
      <c r="AR3831" t="s">
        <v>11521</v>
      </c>
      <c r="AS3831" t="s">
        <v>11594</v>
      </c>
      <c r="AT3831" t="s">
        <v>11642</v>
      </c>
      <c r="AX3831" t="s">
        <v>10838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</row>
    <row r="3832" spans="1:59">
      <c r="A3832" s="1">
        <f>HYPERLINK("https://lsnyc.legalserver.org/matter/dynamic-profile/view/1907952","19-1907952")</f>
        <v>0</v>
      </c>
      <c r="B3832" t="s">
        <v>1186</v>
      </c>
      <c r="C3832" t="s">
        <v>7956</v>
      </c>
      <c r="D3832" t="s">
        <v>9933</v>
      </c>
      <c r="E3832" t="s">
        <v>10075</v>
      </c>
      <c r="F3832">
        <v>11420</v>
      </c>
      <c r="G3832" t="s">
        <v>10092</v>
      </c>
      <c r="H3832" t="s">
        <v>10154</v>
      </c>
      <c r="I3832" t="s">
        <v>10169</v>
      </c>
      <c r="J3832" t="s">
        <v>10212</v>
      </c>
      <c r="K3832" t="s">
        <v>10217</v>
      </c>
      <c r="M3832" t="s">
        <v>10491</v>
      </c>
      <c r="N3832" t="s">
        <v>10695</v>
      </c>
      <c r="P3832" t="s">
        <v>10749</v>
      </c>
      <c r="Q3832" t="s">
        <v>10765</v>
      </c>
      <c r="R3832" t="s">
        <v>10821</v>
      </c>
      <c r="T3832">
        <v>10000</v>
      </c>
      <c r="U3832">
        <v>833.33</v>
      </c>
      <c r="V3832">
        <v>49</v>
      </c>
      <c r="W3832">
        <v>1</v>
      </c>
      <c r="X3832">
        <v>0</v>
      </c>
      <c r="Z3832">
        <v>80.06</v>
      </c>
      <c r="AA3832">
        <v>40.676363</v>
      </c>
      <c r="AB3832">
        <v>-73.822366</v>
      </c>
      <c r="AD3832" t="s">
        <v>10839</v>
      </c>
      <c r="AG3832" t="s">
        <v>10858</v>
      </c>
      <c r="AH3832" t="s">
        <v>10862</v>
      </c>
      <c r="AI3832">
        <v>237</v>
      </c>
      <c r="AJ3832" t="s">
        <v>10212</v>
      </c>
      <c r="AL3832">
        <v>14.5</v>
      </c>
      <c r="AM3832" t="s">
        <v>10892</v>
      </c>
      <c r="AN3832" t="s">
        <v>10930</v>
      </c>
      <c r="AO3832" t="s">
        <v>11017</v>
      </c>
      <c r="AP3832" t="s">
        <v>11088</v>
      </c>
      <c r="AR3832" t="s">
        <v>11257</v>
      </c>
      <c r="AS3832" t="s">
        <v>11594</v>
      </c>
      <c r="BA3832" t="s">
        <v>11738</v>
      </c>
      <c r="BB3832">
        <v>0</v>
      </c>
      <c r="BC3832">
        <v>0</v>
      </c>
      <c r="BD3832">
        <v>0</v>
      </c>
      <c r="BE3832">
        <v>0</v>
      </c>
      <c r="BF3832">
        <v>5</v>
      </c>
      <c r="BG3832">
        <v>0</v>
      </c>
    </row>
    <row r="3833" spans="1:59">
      <c r="A3833" s="1">
        <f>HYPERLINK("https://lsnyc.legalserver.org/matter/dynamic-profile/view/1907953","19-1907953")</f>
        <v>0</v>
      </c>
      <c r="B3833" t="s">
        <v>3165</v>
      </c>
      <c r="C3833" t="s">
        <v>7957</v>
      </c>
      <c r="D3833" t="s">
        <v>9926</v>
      </c>
      <c r="E3833" t="s">
        <v>10075</v>
      </c>
      <c r="F3833">
        <v>10452</v>
      </c>
      <c r="G3833" t="s">
        <v>10090</v>
      </c>
      <c r="H3833" t="s">
        <v>10154</v>
      </c>
      <c r="I3833" t="s">
        <v>10169</v>
      </c>
      <c r="J3833" t="s">
        <v>10210</v>
      </c>
      <c r="K3833" t="s">
        <v>10217</v>
      </c>
      <c r="M3833" t="s">
        <v>10401</v>
      </c>
      <c r="N3833" t="s">
        <v>10671</v>
      </c>
      <c r="P3833" t="s">
        <v>10753</v>
      </c>
      <c r="Q3833" t="s">
        <v>10763</v>
      </c>
      <c r="R3833" t="s">
        <v>10823</v>
      </c>
      <c r="T3833">
        <v>18888</v>
      </c>
      <c r="U3833">
        <v>1574</v>
      </c>
      <c r="V3833">
        <v>70</v>
      </c>
      <c r="W3833">
        <v>2</v>
      </c>
      <c r="X3833">
        <v>0</v>
      </c>
      <c r="Z3833">
        <v>111.7</v>
      </c>
      <c r="AA3833">
        <v>40.83094</v>
      </c>
      <c r="AB3833">
        <v>-73.928567</v>
      </c>
      <c r="AD3833" t="s">
        <v>10840</v>
      </c>
      <c r="AG3833" t="s">
        <v>10858</v>
      </c>
      <c r="AH3833" t="s">
        <v>10861</v>
      </c>
      <c r="AI3833">
        <v>234</v>
      </c>
      <c r="AJ3833" t="s">
        <v>10214</v>
      </c>
      <c r="AL3833">
        <v>1.8</v>
      </c>
      <c r="AM3833" t="s">
        <v>10884</v>
      </c>
      <c r="AN3833" t="s">
        <v>10924</v>
      </c>
      <c r="AO3833" t="s">
        <v>11013</v>
      </c>
      <c r="AP3833" t="s">
        <v>11066</v>
      </c>
      <c r="AR3833" t="s">
        <v>11345</v>
      </c>
      <c r="AS3833" t="s">
        <v>9926</v>
      </c>
      <c r="AT3833" t="s">
        <v>11642</v>
      </c>
      <c r="AX3833" t="s">
        <v>10838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</row>
    <row r="3834" spans="1:59">
      <c r="A3834" s="1">
        <f>HYPERLINK("https://lsnyc.legalserver.org/matter/dynamic-profile/view/1907954","19-1907954")</f>
        <v>0</v>
      </c>
      <c r="B3834" t="s">
        <v>1326</v>
      </c>
      <c r="C3834" t="s">
        <v>6149</v>
      </c>
      <c r="D3834" t="s">
        <v>9926</v>
      </c>
      <c r="E3834" t="s">
        <v>10075</v>
      </c>
      <c r="F3834">
        <v>10468</v>
      </c>
      <c r="G3834" t="s">
        <v>10090</v>
      </c>
      <c r="H3834" t="s">
        <v>10154</v>
      </c>
      <c r="I3834" t="s">
        <v>10169</v>
      </c>
      <c r="J3834" t="s">
        <v>10210</v>
      </c>
      <c r="K3834" t="s">
        <v>10217</v>
      </c>
      <c r="M3834" t="s">
        <v>10333</v>
      </c>
      <c r="N3834" t="s">
        <v>10683</v>
      </c>
      <c r="P3834" t="s">
        <v>10751</v>
      </c>
      <c r="Q3834" t="s">
        <v>10786</v>
      </c>
      <c r="R3834" t="s">
        <v>10821</v>
      </c>
      <c r="T3834">
        <v>9600</v>
      </c>
      <c r="U3834">
        <v>800</v>
      </c>
      <c r="V3834">
        <v>41</v>
      </c>
      <c r="W3834">
        <v>1</v>
      </c>
      <c r="X3834">
        <v>2</v>
      </c>
      <c r="Z3834">
        <v>45.01</v>
      </c>
      <c r="AA3834">
        <v>40.860933</v>
      </c>
      <c r="AB3834">
        <v>-73.90698399999999</v>
      </c>
      <c r="AD3834" t="s">
        <v>10839</v>
      </c>
      <c r="AG3834" t="s">
        <v>10858</v>
      </c>
      <c r="AH3834" t="s">
        <v>10874</v>
      </c>
      <c r="AI3834">
        <v>230</v>
      </c>
      <c r="AJ3834" t="s">
        <v>10210</v>
      </c>
      <c r="AL3834">
        <v>1.5</v>
      </c>
      <c r="AM3834" t="s">
        <v>10884</v>
      </c>
      <c r="AN3834" t="s">
        <v>10931</v>
      </c>
      <c r="AO3834" t="s">
        <v>11000</v>
      </c>
      <c r="AP3834" t="s">
        <v>11045</v>
      </c>
      <c r="AR3834" t="s">
        <v>11257</v>
      </c>
      <c r="AS3834" t="s">
        <v>9926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</row>
    <row r="3835" spans="1:59">
      <c r="A3835" s="1">
        <f>HYPERLINK("https://lsnyc.legalserver.org/matter/dynamic-profile/view/1907955","19-1907955")</f>
        <v>0</v>
      </c>
      <c r="B3835" t="s">
        <v>3166</v>
      </c>
      <c r="C3835" t="s">
        <v>7958</v>
      </c>
      <c r="D3835" t="s">
        <v>9925</v>
      </c>
      <c r="E3835" t="s">
        <v>10075</v>
      </c>
      <c r="F3835">
        <v>10040</v>
      </c>
      <c r="G3835" t="s">
        <v>10089</v>
      </c>
      <c r="H3835" t="s">
        <v>10155</v>
      </c>
      <c r="I3835" t="s">
        <v>10169</v>
      </c>
      <c r="J3835" t="s">
        <v>10209</v>
      </c>
      <c r="K3835" t="s">
        <v>10217</v>
      </c>
      <c r="M3835" t="s">
        <v>10543</v>
      </c>
      <c r="N3835" t="s">
        <v>10650</v>
      </c>
      <c r="P3835" t="s">
        <v>10749</v>
      </c>
      <c r="Q3835" t="s">
        <v>10765</v>
      </c>
      <c r="R3835" t="s">
        <v>10821</v>
      </c>
      <c r="T3835">
        <v>13000</v>
      </c>
      <c r="U3835">
        <v>1083.33</v>
      </c>
      <c r="V3835">
        <v>22</v>
      </c>
      <c r="W3835">
        <v>2</v>
      </c>
      <c r="X3835">
        <v>2</v>
      </c>
      <c r="Z3835">
        <v>50.49</v>
      </c>
      <c r="AA3835">
        <v>40.857397</v>
      </c>
      <c r="AB3835">
        <v>-73.929742</v>
      </c>
      <c r="AD3835" t="s">
        <v>10839</v>
      </c>
      <c r="AG3835" t="s">
        <v>10858</v>
      </c>
      <c r="AH3835" t="s">
        <v>10861</v>
      </c>
      <c r="AI3835">
        <v>236</v>
      </c>
      <c r="AJ3835" t="s">
        <v>10209</v>
      </c>
      <c r="AL3835">
        <v>7.5</v>
      </c>
      <c r="AR3835" t="s">
        <v>11257</v>
      </c>
      <c r="AS3835" t="s">
        <v>9925</v>
      </c>
      <c r="AT3835" t="s">
        <v>11641</v>
      </c>
      <c r="AX3835" t="s">
        <v>10838</v>
      </c>
      <c r="BA3835" t="s">
        <v>11738</v>
      </c>
      <c r="BB3835">
        <v>0</v>
      </c>
      <c r="BC3835">
        <v>0</v>
      </c>
      <c r="BD3835">
        <v>0</v>
      </c>
      <c r="BE3835">
        <v>0</v>
      </c>
      <c r="BF3835">
        <v>5</v>
      </c>
      <c r="BG3835">
        <v>0</v>
      </c>
    </row>
    <row r="3836" spans="1:59">
      <c r="A3836" s="1">
        <f>HYPERLINK("https://lsnyc.legalserver.org/matter/dynamic-profile/view/1907956","19-1907956")</f>
        <v>0</v>
      </c>
      <c r="B3836" t="s">
        <v>3167</v>
      </c>
      <c r="C3836" t="s">
        <v>7959</v>
      </c>
      <c r="D3836" t="s">
        <v>9928</v>
      </c>
      <c r="E3836" t="s">
        <v>10075</v>
      </c>
      <c r="F3836">
        <v>11207</v>
      </c>
      <c r="G3836" t="s">
        <v>10093</v>
      </c>
      <c r="H3836" t="s">
        <v>10154</v>
      </c>
      <c r="I3836" t="s">
        <v>10168</v>
      </c>
      <c r="J3836" t="s">
        <v>10213</v>
      </c>
      <c r="K3836" t="s">
        <v>10217</v>
      </c>
      <c r="M3836" t="s">
        <v>10439</v>
      </c>
      <c r="N3836" t="s">
        <v>10650</v>
      </c>
      <c r="P3836" t="s">
        <v>10749</v>
      </c>
      <c r="Q3836" t="s">
        <v>10765</v>
      </c>
      <c r="R3836" t="s">
        <v>10824</v>
      </c>
      <c r="T3836">
        <v>0</v>
      </c>
      <c r="U3836">
        <v>0</v>
      </c>
      <c r="V3836">
        <v>25</v>
      </c>
      <c r="W3836">
        <v>2</v>
      </c>
      <c r="X3836">
        <v>0</v>
      </c>
      <c r="Z3836">
        <v>0</v>
      </c>
      <c r="AA3836">
        <v>40.686125</v>
      </c>
      <c r="AB3836">
        <v>-73.915102</v>
      </c>
      <c r="AD3836" t="s">
        <v>10839</v>
      </c>
      <c r="AG3836" t="s">
        <v>10858</v>
      </c>
      <c r="AH3836" t="s">
        <v>10862</v>
      </c>
      <c r="AI3836">
        <v>239</v>
      </c>
      <c r="AJ3836" t="s">
        <v>10213</v>
      </c>
      <c r="AL3836">
        <v>11</v>
      </c>
      <c r="AM3836" t="s">
        <v>10889</v>
      </c>
      <c r="AN3836" t="s">
        <v>10922</v>
      </c>
      <c r="AO3836" t="s">
        <v>11011</v>
      </c>
      <c r="AP3836" t="s">
        <v>11058</v>
      </c>
      <c r="AQ3836" t="s">
        <v>11101</v>
      </c>
      <c r="AR3836" t="s">
        <v>11267</v>
      </c>
      <c r="AS3836" t="s">
        <v>11595</v>
      </c>
      <c r="BA3836" t="s">
        <v>11738</v>
      </c>
      <c r="BB3836">
        <v>0</v>
      </c>
      <c r="BC3836">
        <v>0</v>
      </c>
      <c r="BD3836">
        <v>0</v>
      </c>
      <c r="BE3836">
        <v>0</v>
      </c>
      <c r="BF3836">
        <v>5</v>
      </c>
      <c r="BG3836">
        <v>0</v>
      </c>
    </row>
    <row r="3837" spans="1:59">
      <c r="A3837" s="1">
        <f>HYPERLINK("https://lsnyc.legalserver.org/matter/dynamic-profile/view/1907957","19-1907957")</f>
        <v>0</v>
      </c>
      <c r="B3837" t="s">
        <v>3168</v>
      </c>
      <c r="C3837" t="s">
        <v>7960</v>
      </c>
      <c r="D3837" t="s">
        <v>9925</v>
      </c>
      <c r="E3837" t="s">
        <v>10075</v>
      </c>
      <c r="F3837">
        <v>10035</v>
      </c>
      <c r="G3837" t="s">
        <v>10089</v>
      </c>
      <c r="H3837" t="s">
        <v>10154</v>
      </c>
      <c r="I3837" t="s">
        <v>10168</v>
      </c>
      <c r="J3837" t="s">
        <v>10209</v>
      </c>
      <c r="K3837" t="s">
        <v>10217</v>
      </c>
      <c r="M3837" t="s">
        <v>10383</v>
      </c>
      <c r="N3837" t="s">
        <v>10656</v>
      </c>
      <c r="P3837" t="s">
        <v>10751</v>
      </c>
      <c r="Q3837" t="s">
        <v>10768</v>
      </c>
      <c r="R3837" t="s">
        <v>10821</v>
      </c>
      <c r="T3837">
        <v>14040</v>
      </c>
      <c r="U3837">
        <v>1170</v>
      </c>
      <c r="V3837">
        <v>64</v>
      </c>
      <c r="W3837">
        <v>2</v>
      </c>
      <c r="X3837">
        <v>0</v>
      </c>
      <c r="Z3837">
        <v>83.03</v>
      </c>
      <c r="AA3837">
        <v>40.808704</v>
      </c>
      <c r="AB3837">
        <v>-73.939323</v>
      </c>
      <c r="AD3837" t="s">
        <v>10839</v>
      </c>
      <c r="AG3837" t="s">
        <v>10858</v>
      </c>
      <c r="AH3837" t="s">
        <v>10871</v>
      </c>
      <c r="AI3837">
        <v>234</v>
      </c>
      <c r="AJ3837" t="s">
        <v>10214</v>
      </c>
      <c r="AL3837">
        <v>5.56</v>
      </c>
      <c r="AM3837" t="s">
        <v>10887</v>
      </c>
      <c r="AN3837" t="s">
        <v>10936</v>
      </c>
      <c r="AO3837" t="s">
        <v>11016</v>
      </c>
      <c r="AP3837" t="s">
        <v>11076</v>
      </c>
      <c r="AR3837" t="s">
        <v>11300</v>
      </c>
      <c r="AS3837" t="s">
        <v>9925</v>
      </c>
      <c r="AT3837" t="s">
        <v>11641</v>
      </c>
      <c r="AX3837" t="s">
        <v>10838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</row>
    <row r="3838" spans="1:59">
      <c r="A3838" s="1">
        <f>HYPERLINK("https://lsnyc.legalserver.org/matter/dynamic-profile/view/1907958","19-1907958")</f>
        <v>0</v>
      </c>
      <c r="B3838" t="s">
        <v>3169</v>
      </c>
      <c r="C3838" t="s">
        <v>7961</v>
      </c>
      <c r="D3838" t="s">
        <v>9928</v>
      </c>
      <c r="E3838" t="s">
        <v>10075</v>
      </c>
      <c r="F3838">
        <v>11217</v>
      </c>
      <c r="G3838" t="s">
        <v>10093</v>
      </c>
      <c r="H3838" t="s">
        <v>10154</v>
      </c>
      <c r="I3838" t="s">
        <v>10178</v>
      </c>
      <c r="J3838" t="s">
        <v>10213</v>
      </c>
      <c r="K3838" t="s">
        <v>10217</v>
      </c>
      <c r="M3838" t="s">
        <v>10239</v>
      </c>
      <c r="N3838" t="s">
        <v>10650</v>
      </c>
      <c r="P3838" t="s">
        <v>10749</v>
      </c>
      <c r="Q3838" t="s">
        <v>10765</v>
      </c>
      <c r="R3838" t="s">
        <v>10823</v>
      </c>
      <c r="T3838">
        <v>20000</v>
      </c>
      <c r="U3838">
        <v>1666.67</v>
      </c>
      <c r="V3838">
        <v>56</v>
      </c>
      <c r="W3838">
        <v>3</v>
      </c>
      <c r="X3838">
        <v>0</v>
      </c>
      <c r="Z3838">
        <v>93.76000000000001</v>
      </c>
      <c r="AA3838">
        <v>40.688142</v>
      </c>
      <c r="AB3838">
        <v>-73.976051</v>
      </c>
      <c r="AD3838" t="s">
        <v>10839</v>
      </c>
      <c r="AF3838" t="s">
        <v>10843</v>
      </c>
      <c r="AG3838" t="s">
        <v>10859</v>
      </c>
      <c r="AH3838" t="s">
        <v>10871</v>
      </c>
      <c r="AI3838">
        <v>234</v>
      </c>
      <c r="AJ3838" t="s">
        <v>10214</v>
      </c>
      <c r="AL3838">
        <v>3.6</v>
      </c>
      <c r="AM3838" t="s">
        <v>10889</v>
      </c>
      <c r="AN3838" t="s">
        <v>10923</v>
      </c>
      <c r="AO3838" t="s">
        <v>11007</v>
      </c>
      <c r="AP3838" t="s">
        <v>11061</v>
      </c>
      <c r="AR3838" t="s">
        <v>11297</v>
      </c>
      <c r="AS3838" t="s">
        <v>11595</v>
      </c>
      <c r="AT3838" t="s">
        <v>11641</v>
      </c>
      <c r="AX3838" t="s">
        <v>10838</v>
      </c>
      <c r="BA3838" t="s">
        <v>11738</v>
      </c>
      <c r="BB3838">
        <v>0</v>
      </c>
      <c r="BC3838">
        <v>0</v>
      </c>
      <c r="BD3838">
        <v>0</v>
      </c>
      <c r="BE3838">
        <v>0</v>
      </c>
      <c r="BF3838">
        <v>5</v>
      </c>
      <c r="BG3838">
        <v>0</v>
      </c>
    </row>
    <row r="3839" spans="1:59">
      <c r="A3839" s="1">
        <f>HYPERLINK("https://lsnyc.legalserver.org/matter/dynamic-profile/view/1907959","19-1907959")</f>
        <v>0</v>
      </c>
      <c r="B3839" t="s">
        <v>1326</v>
      </c>
      <c r="C3839" t="s">
        <v>6149</v>
      </c>
      <c r="D3839" t="s">
        <v>9926</v>
      </c>
      <c r="E3839" t="s">
        <v>10075</v>
      </c>
      <c r="F3839">
        <v>10468</v>
      </c>
      <c r="G3839" t="s">
        <v>10090</v>
      </c>
      <c r="H3839" t="s">
        <v>10154</v>
      </c>
      <c r="I3839" t="s">
        <v>10169</v>
      </c>
      <c r="J3839" t="s">
        <v>10210</v>
      </c>
      <c r="K3839" t="s">
        <v>10217</v>
      </c>
      <c r="M3839" t="s">
        <v>10333</v>
      </c>
      <c r="N3839" t="s">
        <v>10683</v>
      </c>
      <c r="P3839" t="s">
        <v>10751</v>
      </c>
      <c r="Q3839" t="s">
        <v>10796</v>
      </c>
      <c r="R3839" t="s">
        <v>10821</v>
      </c>
      <c r="T3839">
        <v>9600</v>
      </c>
      <c r="U3839">
        <v>800</v>
      </c>
      <c r="V3839">
        <v>41</v>
      </c>
      <c r="W3839">
        <v>1</v>
      </c>
      <c r="X3839">
        <v>2</v>
      </c>
      <c r="Z3839">
        <v>45.01</v>
      </c>
      <c r="AA3839">
        <v>40.860933</v>
      </c>
      <c r="AB3839">
        <v>-73.90698399999999</v>
      </c>
      <c r="AD3839" t="s">
        <v>10839</v>
      </c>
      <c r="AG3839" t="s">
        <v>10858</v>
      </c>
      <c r="AH3839" t="s">
        <v>10874</v>
      </c>
      <c r="AI3839">
        <v>230</v>
      </c>
      <c r="AJ3839" t="s">
        <v>10210</v>
      </c>
      <c r="AL3839">
        <v>6.65</v>
      </c>
      <c r="AR3839" t="s">
        <v>11257</v>
      </c>
      <c r="AS3839" t="s">
        <v>9926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</row>
    <row r="3840" spans="1:59">
      <c r="A3840" s="1">
        <f>HYPERLINK("https://lsnyc.legalserver.org/matter/dynamic-profile/view/1907961","19-1907961")</f>
        <v>0</v>
      </c>
      <c r="B3840" t="s">
        <v>3170</v>
      </c>
      <c r="C3840" t="s">
        <v>7962</v>
      </c>
      <c r="D3840" t="s">
        <v>9928</v>
      </c>
      <c r="E3840" t="s">
        <v>10075</v>
      </c>
      <c r="F3840">
        <v>11206</v>
      </c>
      <c r="G3840" t="s">
        <v>10089</v>
      </c>
      <c r="H3840" t="s">
        <v>10154</v>
      </c>
      <c r="I3840" t="s">
        <v>10168</v>
      </c>
      <c r="J3840" t="s">
        <v>10209</v>
      </c>
      <c r="K3840" t="s">
        <v>10218</v>
      </c>
      <c r="L3840" t="s">
        <v>10101</v>
      </c>
      <c r="M3840" t="s">
        <v>10266</v>
      </c>
      <c r="N3840" t="s">
        <v>10649</v>
      </c>
      <c r="P3840" t="s">
        <v>10753</v>
      </c>
      <c r="Q3840" t="s">
        <v>10763</v>
      </c>
      <c r="R3840" t="s">
        <v>10821</v>
      </c>
      <c r="S3840" t="s">
        <v>10821</v>
      </c>
      <c r="T3840">
        <v>7800</v>
      </c>
      <c r="U3840">
        <v>650</v>
      </c>
      <c r="V3840">
        <v>39</v>
      </c>
      <c r="W3840">
        <v>2</v>
      </c>
      <c r="X3840">
        <v>0</v>
      </c>
      <c r="Y3840" t="s">
        <v>10829</v>
      </c>
      <c r="Z3840">
        <v>46.13</v>
      </c>
      <c r="AA3840">
        <v>40.698283</v>
      </c>
      <c r="AB3840">
        <v>-73.938433</v>
      </c>
      <c r="AD3840" t="s">
        <v>10840</v>
      </c>
      <c r="AF3840" t="s">
        <v>10843</v>
      </c>
      <c r="AG3840" t="s">
        <v>10859</v>
      </c>
      <c r="AH3840" t="s">
        <v>10864</v>
      </c>
      <c r="AI3840">
        <v>236</v>
      </c>
      <c r="AJ3840" t="s">
        <v>10209</v>
      </c>
      <c r="AK3840" t="s">
        <v>10882</v>
      </c>
      <c r="AL3840">
        <v>1.1</v>
      </c>
      <c r="AM3840" t="s">
        <v>10889</v>
      </c>
      <c r="AN3840" t="s">
        <v>10914</v>
      </c>
      <c r="AO3840" t="s">
        <v>11011</v>
      </c>
      <c r="AP3840" t="s">
        <v>11052</v>
      </c>
      <c r="AQ3840" t="s">
        <v>11097</v>
      </c>
      <c r="AR3840" t="s">
        <v>11262</v>
      </c>
      <c r="AS3840" t="s">
        <v>11595</v>
      </c>
      <c r="AY3840" t="s">
        <v>10829</v>
      </c>
      <c r="AZ3840" t="s">
        <v>11709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</row>
    <row r="3841" spans="1:59">
      <c r="A3841" s="1">
        <f>HYPERLINK("https://lsnyc.legalserver.org/matter/dynamic-profile/view/1907962","19-1907962")</f>
        <v>0</v>
      </c>
      <c r="B3841" t="s">
        <v>558</v>
      </c>
      <c r="C3841" t="s">
        <v>7963</v>
      </c>
      <c r="D3841" t="s">
        <v>9926</v>
      </c>
      <c r="E3841" t="s">
        <v>10075</v>
      </c>
      <c r="F3841">
        <v>10472</v>
      </c>
      <c r="G3841" t="s">
        <v>10089</v>
      </c>
      <c r="H3841" t="s">
        <v>10154</v>
      </c>
      <c r="I3841" t="s">
        <v>10169</v>
      </c>
      <c r="J3841" t="s">
        <v>10209</v>
      </c>
      <c r="K3841" t="s">
        <v>10218</v>
      </c>
      <c r="L3841" t="s">
        <v>10160</v>
      </c>
      <c r="M3841" t="s">
        <v>10544</v>
      </c>
      <c r="N3841" t="s">
        <v>10707</v>
      </c>
      <c r="P3841" t="s">
        <v>10755</v>
      </c>
      <c r="Q3841" t="s">
        <v>10813</v>
      </c>
      <c r="R3841" t="s">
        <v>10821</v>
      </c>
      <c r="T3841">
        <v>4914</v>
      </c>
      <c r="U3841">
        <v>409.5</v>
      </c>
      <c r="V3841">
        <v>49</v>
      </c>
      <c r="W3841">
        <v>2</v>
      </c>
      <c r="X3841">
        <v>0</v>
      </c>
      <c r="Y3841" t="s">
        <v>10829</v>
      </c>
      <c r="Z3841">
        <v>29.06</v>
      </c>
      <c r="AA3841">
        <v>40.826134</v>
      </c>
      <c r="AB3841">
        <v>-73.867497</v>
      </c>
      <c r="AD3841" t="s">
        <v>10839</v>
      </c>
      <c r="AG3841" t="s">
        <v>10858</v>
      </c>
      <c r="AH3841" t="s">
        <v>10868</v>
      </c>
      <c r="AI3841">
        <v>236</v>
      </c>
      <c r="AJ3841" t="s">
        <v>10209</v>
      </c>
      <c r="AK3841" t="s">
        <v>10838</v>
      </c>
      <c r="AL3841">
        <v>2.25</v>
      </c>
      <c r="AM3841" t="s">
        <v>10884</v>
      </c>
      <c r="AN3841" t="s">
        <v>10968</v>
      </c>
      <c r="AO3841" t="s">
        <v>11001</v>
      </c>
      <c r="AP3841" t="s">
        <v>11046</v>
      </c>
      <c r="AR3841" t="s">
        <v>11387</v>
      </c>
      <c r="AS3841" t="s">
        <v>9926</v>
      </c>
      <c r="AT3841" t="s">
        <v>11641</v>
      </c>
      <c r="AX3841" t="s">
        <v>10838</v>
      </c>
      <c r="AY3841" t="s">
        <v>10829</v>
      </c>
      <c r="AZ3841" t="s">
        <v>11712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</row>
    <row r="3842" spans="1:59">
      <c r="A3842" s="1">
        <f>HYPERLINK("https://lsnyc.legalserver.org/matter/dynamic-profile/view/1907963","19-1907963")</f>
        <v>0</v>
      </c>
      <c r="B3842" t="s">
        <v>3171</v>
      </c>
      <c r="C3842" t="s">
        <v>7964</v>
      </c>
      <c r="D3842" t="s">
        <v>9926</v>
      </c>
      <c r="E3842" t="s">
        <v>10075</v>
      </c>
      <c r="F3842">
        <v>10457</v>
      </c>
      <c r="G3842" t="s">
        <v>10090</v>
      </c>
      <c r="H3842" t="s">
        <v>10154</v>
      </c>
      <c r="I3842" t="s">
        <v>10168</v>
      </c>
      <c r="J3842" t="s">
        <v>10210</v>
      </c>
      <c r="K3842" t="s">
        <v>10217</v>
      </c>
      <c r="M3842" t="s">
        <v>10272</v>
      </c>
      <c r="N3842" t="s">
        <v>10671</v>
      </c>
      <c r="P3842" t="s">
        <v>10749</v>
      </c>
      <c r="Q3842" t="s">
        <v>10767</v>
      </c>
      <c r="R3842" t="s">
        <v>10824</v>
      </c>
      <c r="T3842">
        <v>15600</v>
      </c>
      <c r="U3842">
        <v>1300</v>
      </c>
      <c r="V3842">
        <v>37</v>
      </c>
      <c r="W3842">
        <v>1</v>
      </c>
      <c r="X3842">
        <v>2</v>
      </c>
      <c r="Z3842">
        <v>73.14</v>
      </c>
      <c r="AA3842">
        <v>40.853822</v>
      </c>
      <c r="AB3842">
        <v>-73.898065</v>
      </c>
      <c r="AD3842" t="s">
        <v>10839</v>
      </c>
      <c r="AF3842" t="s">
        <v>10843</v>
      </c>
      <c r="AG3842" t="s">
        <v>10859</v>
      </c>
      <c r="AH3842" t="s">
        <v>10861</v>
      </c>
      <c r="AI3842">
        <v>234</v>
      </c>
      <c r="AJ3842" t="s">
        <v>10214</v>
      </c>
      <c r="AL3842">
        <v>0.5</v>
      </c>
      <c r="AM3842" t="s">
        <v>10884</v>
      </c>
      <c r="AN3842" t="s">
        <v>10931</v>
      </c>
      <c r="AO3842" t="s">
        <v>11000</v>
      </c>
      <c r="AP3842" t="s">
        <v>11056</v>
      </c>
      <c r="AR3842" t="s">
        <v>11262</v>
      </c>
      <c r="AS3842" t="s">
        <v>9926</v>
      </c>
      <c r="AT3842" t="s">
        <v>11641</v>
      </c>
      <c r="AX3842" t="s">
        <v>10838</v>
      </c>
      <c r="BA3842" t="s">
        <v>11741</v>
      </c>
      <c r="BB3842">
        <v>0</v>
      </c>
      <c r="BC3842">
        <v>0</v>
      </c>
      <c r="BD3842">
        <v>0</v>
      </c>
      <c r="BE3842">
        <v>0</v>
      </c>
      <c r="BF3842">
        <v>1</v>
      </c>
      <c r="BG3842">
        <v>0</v>
      </c>
    </row>
    <row r="3843" spans="1:59">
      <c r="A3843" s="1">
        <f>HYPERLINK("https://lsnyc.legalserver.org/matter/dynamic-profile/view/1907964","19-1907964")</f>
        <v>0</v>
      </c>
      <c r="B3843" t="s">
        <v>3172</v>
      </c>
      <c r="C3843" t="s">
        <v>7965</v>
      </c>
      <c r="D3843" t="s">
        <v>9926</v>
      </c>
      <c r="E3843" t="s">
        <v>10075</v>
      </c>
      <c r="F3843">
        <v>10468</v>
      </c>
      <c r="G3843" t="s">
        <v>10090</v>
      </c>
      <c r="H3843" t="s">
        <v>10154</v>
      </c>
      <c r="I3843" t="s">
        <v>10168</v>
      </c>
      <c r="J3843" t="s">
        <v>10210</v>
      </c>
      <c r="K3843" t="s">
        <v>10217</v>
      </c>
      <c r="M3843" t="s">
        <v>10415</v>
      </c>
      <c r="N3843" t="s">
        <v>10651</v>
      </c>
      <c r="P3843" t="s">
        <v>10749</v>
      </c>
      <c r="Q3843" t="s">
        <v>10765</v>
      </c>
      <c r="R3843" t="s">
        <v>10824</v>
      </c>
      <c r="T3843">
        <v>9252</v>
      </c>
      <c r="U3843">
        <v>771</v>
      </c>
      <c r="V3843">
        <v>71</v>
      </c>
      <c r="W3843">
        <v>1</v>
      </c>
      <c r="X3843">
        <v>0</v>
      </c>
      <c r="Z3843">
        <v>74.08</v>
      </c>
      <c r="AA3843">
        <v>40.869211</v>
      </c>
      <c r="AB3843">
        <v>-73.895461</v>
      </c>
      <c r="AD3843" t="s">
        <v>10840</v>
      </c>
      <c r="AG3843" t="s">
        <v>10858</v>
      </c>
      <c r="AH3843" t="s">
        <v>10862</v>
      </c>
      <c r="AI3843">
        <v>230</v>
      </c>
      <c r="AJ3843" t="s">
        <v>10210</v>
      </c>
      <c r="AL3843">
        <v>1</v>
      </c>
      <c r="AM3843" t="s">
        <v>10887</v>
      </c>
      <c r="AN3843" t="s">
        <v>10907</v>
      </c>
      <c r="AO3843" t="s">
        <v>11000</v>
      </c>
      <c r="AP3843" t="s">
        <v>11045</v>
      </c>
      <c r="AR3843" t="s">
        <v>11274</v>
      </c>
      <c r="AS3843" t="s">
        <v>9926</v>
      </c>
      <c r="AT3843" t="s">
        <v>11642</v>
      </c>
      <c r="AX3843" t="s">
        <v>10838</v>
      </c>
      <c r="BA3843" t="s">
        <v>11738</v>
      </c>
      <c r="BB3843">
        <v>0</v>
      </c>
      <c r="BC3843">
        <v>0</v>
      </c>
      <c r="BD3843">
        <v>0</v>
      </c>
      <c r="BE3843">
        <v>0</v>
      </c>
      <c r="BF3843">
        <v>5</v>
      </c>
      <c r="BG3843">
        <v>0</v>
      </c>
    </row>
    <row r="3844" spans="1:59">
      <c r="A3844" s="1">
        <f>HYPERLINK("https://lsnyc.legalserver.org/matter/dynamic-profile/view/1907965","19-1907965")</f>
        <v>0</v>
      </c>
      <c r="B3844" t="s">
        <v>3173</v>
      </c>
      <c r="C3844" t="s">
        <v>7966</v>
      </c>
      <c r="D3844" t="s">
        <v>9981</v>
      </c>
      <c r="E3844" t="s">
        <v>10075</v>
      </c>
      <c r="F3844">
        <v>11378</v>
      </c>
      <c r="G3844" t="s">
        <v>10092</v>
      </c>
      <c r="H3844" t="s">
        <v>10154</v>
      </c>
      <c r="I3844" t="s">
        <v>10168</v>
      </c>
      <c r="J3844" t="s">
        <v>10212</v>
      </c>
      <c r="K3844" t="s">
        <v>10217</v>
      </c>
      <c r="M3844" t="s">
        <v>10428</v>
      </c>
      <c r="N3844" t="s">
        <v>10695</v>
      </c>
      <c r="P3844" t="s">
        <v>10749</v>
      </c>
      <c r="Q3844" t="s">
        <v>10765</v>
      </c>
      <c r="R3844" t="s">
        <v>10820</v>
      </c>
      <c r="T3844">
        <v>320</v>
      </c>
      <c r="U3844">
        <v>26.67</v>
      </c>
      <c r="V3844">
        <v>56</v>
      </c>
      <c r="W3844">
        <v>1</v>
      </c>
      <c r="X3844">
        <v>0</v>
      </c>
      <c r="Z3844">
        <v>2.56</v>
      </c>
      <c r="AA3844">
        <v>40.733222</v>
      </c>
      <c r="AB3844">
        <v>-73.906491</v>
      </c>
      <c r="AD3844" t="s">
        <v>10839</v>
      </c>
      <c r="AG3844" t="s">
        <v>10858</v>
      </c>
      <c r="AH3844" t="s">
        <v>10862</v>
      </c>
      <c r="AI3844">
        <v>237</v>
      </c>
      <c r="AJ3844" t="s">
        <v>10212</v>
      </c>
      <c r="AL3844">
        <v>2.2</v>
      </c>
      <c r="AR3844" t="s">
        <v>11257</v>
      </c>
      <c r="AS3844" t="s">
        <v>11594</v>
      </c>
      <c r="BA3844" t="s">
        <v>11741</v>
      </c>
      <c r="BB3844">
        <v>0</v>
      </c>
      <c r="BC3844">
        <v>0</v>
      </c>
      <c r="BD3844">
        <v>0</v>
      </c>
      <c r="BE3844">
        <v>0</v>
      </c>
      <c r="BF3844">
        <v>1</v>
      </c>
      <c r="BG3844">
        <v>0</v>
      </c>
    </row>
    <row r="3845" spans="1:59">
      <c r="A3845" s="1">
        <f>HYPERLINK("https://lsnyc.legalserver.org/matter/dynamic-profile/view/1907966","19-1907966")</f>
        <v>0</v>
      </c>
      <c r="B3845" t="s">
        <v>3174</v>
      </c>
      <c r="C3845" t="s">
        <v>7967</v>
      </c>
      <c r="D3845" t="s">
        <v>9926</v>
      </c>
      <c r="E3845" t="s">
        <v>10075</v>
      </c>
      <c r="F3845">
        <v>10463</v>
      </c>
      <c r="G3845" t="s">
        <v>10090</v>
      </c>
      <c r="H3845" t="s">
        <v>10154</v>
      </c>
      <c r="I3845" t="s">
        <v>10168</v>
      </c>
      <c r="J3845" t="s">
        <v>10210</v>
      </c>
      <c r="K3845" t="s">
        <v>10217</v>
      </c>
      <c r="M3845" t="s">
        <v>10597</v>
      </c>
      <c r="N3845" t="s">
        <v>10677</v>
      </c>
      <c r="P3845" t="s">
        <v>10757</v>
      </c>
      <c r="Q3845" t="s">
        <v>10789</v>
      </c>
      <c r="R3845" t="s">
        <v>10821</v>
      </c>
      <c r="T3845">
        <v>11088</v>
      </c>
      <c r="U3845">
        <v>924</v>
      </c>
      <c r="V3845">
        <v>92</v>
      </c>
      <c r="W3845">
        <v>1</v>
      </c>
      <c r="X3845">
        <v>0</v>
      </c>
      <c r="Z3845">
        <v>88.78</v>
      </c>
      <c r="AA3845">
        <v>40.88284</v>
      </c>
      <c r="AB3845">
        <v>-73.903143</v>
      </c>
      <c r="AD3845" t="s">
        <v>10839</v>
      </c>
      <c r="AG3845" t="s">
        <v>10858</v>
      </c>
      <c r="AH3845" t="s">
        <v>10861</v>
      </c>
      <c r="AI3845">
        <v>230</v>
      </c>
      <c r="AJ3845" t="s">
        <v>10210</v>
      </c>
      <c r="AL3845">
        <v>5.7</v>
      </c>
      <c r="AM3845" t="s">
        <v>10887</v>
      </c>
      <c r="AN3845" t="s">
        <v>10919</v>
      </c>
      <c r="AO3845" t="s">
        <v>11000</v>
      </c>
      <c r="AP3845" t="s">
        <v>11057</v>
      </c>
      <c r="AR3845" t="s">
        <v>11263</v>
      </c>
      <c r="AS3845" t="s">
        <v>9926</v>
      </c>
      <c r="AT3845" t="s">
        <v>11641</v>
      </c>
      <c r="AX3845" t="s">
        <v>10838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</row>
    <row r="3846" spans="1:59">
      <c r="A3846" s="1">
        <f>HYPERLINK("https://lsnyc.legalserver.org/matter/dynamic-profile/view/1907967","19-1907967")</f>
        <v>0</v>
      </c>
      <c r="B3846" t="s">
        <v>3175</v>
      </c>
      <c r="C3846" t="s">
        <v>7968</v>
      </c>
      <c r="D3846" t="s">
        <v>9928</v>
      </c>
      <c r="E3846" t="s">
        <v>10075</v>
      </c>
      <c r="F3846">
        <v>11236</v>
      </c>
      <c r="G3846" t="s">
        <v>10093</v>
      </c>
      <c r="H3846" t="s">
        <v>10151</v>
      </c>
      <c r="J3846" t="s">
        <v>10213</v>
      </c>
      <c r="K3846" t="s">
        <v>10217</v>
      </c>
      <c r="M3846" t="s">
        <v>10470</v>
      </c>
      <c r="N3846" t="s">
        <v>10720</v>
      </c>
      <c r="P3846" t="s">
        <v>10749</v>
      </c>
      <c r="Q3846" t="s">
        <v>10759</v>
      </c>
      <c r="R3846" t="s">
        <v>10824</v>
      </c>
      <c r="T3846">
        <v>67800</v>
      </c>
      <c r="U3846">
        <v>5650</v>
      </c>
      <c r="V3846">
        <v>33</v>
      </c>
      <c r="W3846">
        <v>5</v>
      </c>
      <c r="X3846">
        <v>1</v>
      </c>
      <c r="Z3846">
        <v>196.01</v>
      </c>
      <c r="AA3846">
        <v>40.651951</v>
      </c>
      <c r="AB3846">
        <v>-73.918013</v>
      </c>
      <c r="AC3846" t="s">
        <v>10838</v>
      </c>
      <c r="AD3846" t="s">
        <v>10840</v>
      </c>
      <c r="AG3846" t="s">
        <v>10858</v>
      </c>
      <c r="AH3846" t="s">
        <v>10860</v>
      </c>
      <c r="AI3846">
        <v>239</v>
      </c>
      <c r="AJ3846" t="s">
        <v>10213</v>
      </c>
      <c r="AL3846">
        <v>6.85</v>
      </c>
      <c r="AM3846" t="s">
        <v>10888</v>
      </c>
      <c r="AN3846" t="s">
        <v>10925</v>
      </c>
      <c r="AO3846" t="s">
        <v>11008</v>
      </c>
      <c r="AP3846" t="s">
        <v>11060</v>
      </c>
      <c r="AQ3846" t="s">
        <v>11098</v>
      </c>
      <c r="AR3846" t="s">
        <v>11522</v>
      </c>
      <c r="AS3846" t="s">
        <v>11595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</row>
    <row r="3847" spans="1:59">
      <c r="A3847" s="1">
        <f>HYPERLINK("https://lsnyc.legalserver.org/matter/dynamic-profile/view/1907968","19-1907968")</f>
        <v>0</v>
      </c>
      <c r="B3847" t="s">
        <v>3176</v>
      </c>
      <c r="C3847" t="s">
        <v>7969</v>
      </c>
      <c r="D3847" t="s">
        <v>9926</v>
      </c>
      <c r="E3847" t="s">
        <v>10075</v>
      </c>
      <c r="F3847">
        <v>10458</v>
      </c>
      <c r="G3847" t="s">
        <v>10090</v>
      </c>
      <c r="H3847" t="s">
        <v>10154</v>
      </c>
      <c r="I3847" t="s">
        <v>10168</v>
      </c>
      <c r="J3847" t="s">
        <v>10210</v>
      </c>
      <c r="K3847" t="s">
        <v>10218</v>
      </c>
      <c r="L3847" t="s">
        <v>10100</v>
      </c>
      <c r="M3847" t="s">
        <v>10262</v>
      </c>
      <c r="N3847" t="s">
        <v>10646</v>
      </c>
      <c r="P3847" t="s">
        <v>10749</v>
      </c>
      <c r="Q3847" t="s">
        <v>10765</v>
      </c>
      <c r="R3847" t="s">
        <v>10824</v>
      </c>
      <c r="T3847">
        <v>82000</v>
      </c>
      <c r="U3847">
        <v>6833.33</v>
      </c>
      <c r="V3847">
        <v>43</v>
      </c>
      <c r="W3847">
        <v>2</v>
      </c>
      <c r="X3847">
        <v>0</v>
      </c>
      <c r="Y3847" t="s">
        <v>10829</v>
      </c>
      <c r="Z3847">
        <v>484.92</v>
      </c>
      <c r="AA3847">
        <v>40.874969</v>
      </c>
      <c r="AB3847">
        <v>-73.88578</v>
      </c>
      <c r="AD3847" t="s">
        <v>10840</v>
      </c>
      <c r="AG3847" t="s">
        <v>10858</v>
      </c>
      <c r="AH3847" t="s">
        <v>10861</v>
      </c>
      <c r="AI3847">
        <v>230</v>
      </c>
      <c r="AJ3847" t="s">
        <v>10210</v>
      </c>
      <c r="AK3847" t="s">
        <v>10882</v>
      </c>
      <c r="AL3847">
        <v>0.7</v>
      </c>
      <c r="AM3847" t="s">
        <v>10887</v>
      </c>
      <c r="AN3847" t="s">
        <v>10907</v>
      </c>
      <c r="AO3847" t="s">
        <v>11010</v>
      </c>
      <c r="AP3847" t="s">
        <v>11057</v>
      </c>
      <c r="AR3847" t="s">
        <v>11257</v>
      </c>
      <c r="AS3847" t="s">
        <v>9926</v>
      </c>
      <c r="AT3847" t="s">
        <v>11642</v>
      </c>
      <c r="AX3847" t="s">
        <v>10838</v>
      </c>
      <c r="AY3847" t="s">
        <v>10829</v>
      </c>
      <c r="AZ3847" t="s">
        <v>11681</v>
      </c>
      <c r="BA3847" t="s">
        <v>11741</v>
      </c>
      <c r="BB3847">
        <v>0</v>
      </c>
      <c r="BC3847">
        <v>0</v>
      </c>
      <c r="BD3847">
        <v>0</v>
      </c>
      <c r="BE3847">
        <v>0</v>
      </c>
      <c r="BF3847">
        <v>1</v>
      </c>
      <c r="BG3847">
        <v>0</v>
      </c>
    </row>
    <row r="3848" spans="1:59">
      <c r="A3848" s="1">
        <f>HYPERLINK("https://lsnyc.legalserver.org/matter/dynamic-profile/view/1907969","19-1907969")</f>
        <v>0</v>
      </c>
      <c r="B3848" t="s">
        <v>3177</v>
      </c>
      <c r="C3848" t="s">
        <v>7970</v>
      </c>
      <c r="D3848" t="s">
        <v>9956</v>
      </c>
      <c r="E3848" t="s">
        <v>10075</v>
      </c>
      <c r="F3848">
        <v>11366</v>
      </c>
      <c r="G3848" t="s">
        <v>10092</v>
      </c>
      <c r="H3848" t="s">
        <v>10154</v>
      </c>
      <c r="I3848" t="s">
        <v>10169</v>
      </c>
      <c r="J3848" t="s">
        <v>10212</v>
      </c>
      <c r="K3848" t="s">
        <v>10217</v>
      </c>
      <c r="M3848" t="s">
        <v>10413</v>
      </c>
      <c r="N3848" t="s">
        <v>10709</v>
      </c>
      <c r="P3848" t="s">
        <v>10754</v>
      </c>
      <c r="Q3848" t="s">
        <v>10766</v>
      </c>
      <c r="R3848" t="s">
        <v>10823</v>
      </c>
      <c r="T3848">
        <v>0</v>
      </c>
      <c r="U3848">
        <v>0</v>
      </c>
      <c r="V3848">
        <v>31</v>
      </c>
      <c r="W3848">
        <v>1</v>
      </c>
      <c r="X3848">
        <v>1</v>
      </c>
      <c r="Z3848">
        <v>0</v>
      </c>
      <c r="AA3848">
        <v>40.72724</v>
      </c>
      <c r="AB3848">
        <v>-73.808048</v>
      </c>
      <c r="AD3848" t="s">
        <v>10839</v>
      </c>
      <c r="AF3848" t="s">
        <v>10843</v>
      </c>
      <c r="AG3848" t="s">
        <v>10859</v>
      </c>
      <c r="AH3848" t="s">
        <v>10865</v>
      </c>
      <c r="AI3848">
        <v>237</v>
      </c>
      <c r="AJ3848" t="s">
        <v>10212</v>
      </c>
      <c r="AL3848">
        <v>10.75</v>
      </c>
      <c r="AM3848" t="s">
        <v>10890</v>
      </c>
      <c r="AN3848" t="s">
        <v>10962</v>
      </c>
      <c r="AO3848" t="s">
        <v>11020</v>
      </c>
      <c r="AP3848" t="s">
        <v>11081</v>
      </c>
      <c r="AR3848" t="s">
        <v>11267</v>
      </c>
      <c r="AS3848" t="s">
        <v>11594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</row>
    <row r="3849" spans="1:59">
      <c r="A3849" s="1">
        <f>HYPERLINK("https://lsnyc.legalserver.org/matter/dynamic-profile/view/1907970","19-1907970")</f>
        <v>0</v>
      </c>
      <c r="B3849" t="s">
        <v>3178</v>
      </c>
      <c r="C3849" t="s">
        <v>7971</v>
      </c>
      <c r="D3849" t="s">
        <v>9929</v>
      </c>
      <c r="E3849" t="s">
        <v>10075</v>
      </c>
      <c r="F3849">
        <v>10314</v>
      </c>
      <c r="G3849" t="s">
        <v>10088</v>
      </c>
      <c r="H3849" t="s">
        <v>10108</v>
      </c>
      <c r="I3849" t="s">
        <v>10168</v>
      </c>
      <c r="J3849" t="s">
        <v>10208</v>
      </c>
      <c r="K3849" t="s">
        <v>10217</v>
      </c>
      <c r="M3849" t="s">
        <v>10254</v>
      </c>
      <c r="N3849" t="s">
        <v>10655</v>
      </c>
      <c r="P3849" t="s">
        <v>10749</v>
      </c>
      <c r="Q3849" t="s">
        <v>10765</v>
      </c>
      <c r="R3849" t="s">
        <v>10820</v>
      </c>
      <c r="T3849">
        <v>17940</v>
      </c>
      <c r="U3849">
        <v>1495</v>
      </c>
      <c r="V3849">
        <v>50</v>
      </c>
      <c r="W3849">
        <v>1</v>
      </c>
      <c r="X3849">
        <v>1</v>
      </c>
      <c r="Z3849">
        <v>106.09</v>
      </c>
      <c r="AA3849">
        <v>40.575737</v>
      </c>
      <c r="AB3849">
        <v>-74.1644</v>
      </c>
      <c r="AC3849" t="s">
        <v>10837</v>
      </c>
      <c r="AD3849" t="s">
        <v>10840</v>
      </c>
      <c r="AG3849" t="s">
        <v>10858</v>
      </c>
      <c r="AH3849" t="s">
        <v>10862</v>
      </c>
      <c r="AI3849">
        <v>285</v>
      </c>
      <c r="AJ3849" t="s">
        <v>10208</v>
      </c>
      <c r="AL3849">
        <v>2</v>
      </c>
      <c r="AM3849" t="s">
        <v>10883</v>
      </c>
      <c r="AN3849" t="s">
        <v>10928</v>
      </c>
      <c r="AO3849" t="s">
        <v>10999</v>
      </c>
      <c r="AP3849" t="s">
        <v>11044</v>
      </c>
      <c r="AR3849" t="s">
        <v>11293</v>
      </c>
      <c r="AS3849" t="s">
        <v>11593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</row>
    <row r="3850" spans="1:59">
      <c r="A3850" s="1">
        <f>HYPERLINK("https://lsnyc.legalserver.org/matter/dynamic-profile/view/1907971","19-1907971")</f>
        <v>0</v>
      </c>
      <c r="B3850" t="s">
        <v>3179</v>
      </c>
      <c r="C3850" t="s">
        <v>7972</v>
      </c>
      <c r="D3850" t="s">
        <v>9928</v>
      </c>
      <c r="E3850" t="s">
        <v>10075</v>
      </c>
      <c r="F3850">
        <v>11207</v>
      </c>
      <c r="G3850" t="s">
        <v>10091</v>
      </c>
      <c r="H3850" t="s">
        <v>10154</v>
      </c>
      <c r="I3850" t="s">
        <v>10168</v>
      </c>
      <c r="J3850" t="s">
        <v>10214</v>
      </c>
      <c r="K3850" t="s">
        <v>10217</v>
      </c>
      <c r="M3850" t="s">
        <v>10537</v>
      </c>
      <c r="N3850" t="s">
        <v>10671</v>
      </c>
      <c r="P3850" t="s">
        <v>10753</v>
      </c>
      <c r="Q3850" t="s">
        <v>10763</v>
      </c>
      <c r="R3850" t="s">
        <v>10824</v>
      </c>
      <c r="T3850">
        <v>11520</v>
      </c>
      <c r="U3850">
        <v>960</v>
      </c>
      <c r="V3850">
        <v>58</v>
      </c>
      <c r="W3850">
        <v>1</v>
      </c>
      <c r="X3850">
        <v>0</v>
      </c>
      <c r="Z3850">
        <v>92.23</v>
      </c>
      <c r="AA3850">
        <v>40.666948</v>
      </c>
      <c r="AB3850">
        <v>-73.894313</v>
      </c>
      <c r="AD3850" t="s">
        <v>10840</v>
      </c>
      <c r="AF3850" t="s">
        <v>10843</v>
      </c>
      <c r="AG3850" t="s">
        <v>10859</v>
      </c>
      <c r="AH3850" t="s">
        <v>10861</v>
      </c>
      <c r="AI3850">
        <v>234</v>
      </c>
      <c r="AJ3850" t="s">
        <v>10214</v>
      </c>
      <c r="AL3850">
        <v>1.3</v>
      </c>
      <c r="AM3850" t="s">
        <v>10889</v>
      </c>
      <c r="AN3850" t="s">
        <v>10946</v>
      </c>
      <c r="AO3850" t="s">
        <v>11012</v>
      </c>
      <c r="AP3850" t="s">
        <v>11060</v>
      </c>
      <c r="AQ3850" t="s">
        <v>11097</v>
      </c>
      <c r="AR3850" t="s">
        <v>11298</v>
      </c>
      <c r="AS3850" t="s">
        <v>11595</v>
      </c>
      <c r="AT3850" t="s">
        <v>11642</v>
      </c>
      <c r="AX3850" t="s">
        <v>10838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</row>
    <row r="3851" spans="1:59">
      <c r="A3851" s="1">
        <f>HYPERLINK("https://lsnyc.legalserver.org/matter/dynamic-profile/view/1907972","19-1907972")</f>
        <v>0</v>
      </c>
      <c r="B3851" t="s">
        <v>3180</v>
      </c>
      <c r="C3851" t="s">
        <v>7965</v>
      </c>
      <c r="D3851" t="s">
        <v>9926</v>
      </c>
      <c r="E3851" t="s">
        <v>10075</v>
      </c>
      <c r="F3851">
        <v>10468</v>
      </c>
      <c r="G3851" t="s">
        <v>10090</v>
      </c>
      <c r="H3851" t="s">
        <v>10154</v>
      </c>
      <c r="I3851" t="s">
        <v>10168</v>
      </c>
      <c r="J3851" t="s">
        <v>10210</v>
      </c>
      <c r="K3851" t="s">
        <v>10217</v>
      </c>
      <c r="M3851" t="s">
        <v>10415</v>
      </c>
      <c r="N3851" t="s">
        <v>10677</v>
      </c>
      <c r="P3851" t="s">
        <v>10751</v>
      </c>
      <c r="Q3851" t="s">
        <v>10761</v>
      </c>
      <c r="R3851" t="s">
        <v>10824</v>
      </c>
      <c r="T3851">
        <v>9252</v>
      </c>
      <c r="U3851">
        <v>771</v>
      </c>
      <c r="V3851">
        <v>100</v>
      </c>
      <c r="W3851">
        <v>1</v>
      </c>
      <c r="X3851">
        <v>0</v>
      </c>
      <c r="Z3851">
        <v>74.08</v>
      </c>
      <c r="AA3851">
        <v>40.869211</v>
      </c>
      <c r="AB3851">
        <v>-73.895461</v>
      </c>
      <c r="AD3851" t="s">
        <v>10840</v>
      </c>
      <c r="AG3851" t="s">
        <v>10858</v>
      </c>
      <c r="AH3851" t="s">
        <v>10862</v>
      </c>
      <c r="AI3851">
        <v>230</v>
      </c>
      <c r="AJ3851" t="s">
        <v>10210</v>
      </c>
      <c r="AL3851">
        <v>0</v>
      </c>
      <c r="AM3851" t="s">
        <v>10887</v>
      </c>
      <c r="AN3851" t="s">
        <v>10907</v>
      </c>
      <c r="AO3851" t="s">
        <v>11000</v>
      </c>
      <c r="AP3851" t="s">
        <v>11045</v>
      </c>
      <c r="AR3851" t="s">
        <v>11274</v>
      </c>
      <c r="AS3851" t="s">
        <v>9926</v>
      </c>
      <c r="BA3851" t="s">
        <v>11738</v>
      </c>
      <c r="BB3851">
        <v>0</v>
      </c>
      <c r="BC3851">
        <v>0</v>
      </c>
      <c r="BD3851">
        <v>0</v>
      </c>
      <c r="BE3851">
        <v>0</v>
      </c>
      <c r="BF3851">
        <v>5</v>
      </c>
      <c r="BG3851">
        <v>0</v>
      </c>
    </row>
    <row r="3852" spans="1:59">
      <c r="A3852" s="1">
        <f>HYPERLINK("https://lsnyc.legalserver.org/matter/dynamic-profile/view/1907973","19-1907973")</f>
        <v>0</v>
      </c>
      <c r="B3852" t="s">
        <v>3181</v>
      </c>
      <c r="C3852" t="s">
        <v>7950</v>
      </c>
      <c r="D3852" t="s">
        <v>9926</v>
      </c>
      <c r="E3852" t="s">
        <v>10075</v>
      </c>
      <c r="F3852">
        <v>10458</v>
      </c>
      <c r="G3852" t="s">
        <v>10090</v>
      </c>
      <c r="H3852" t="s">
        <v>10154</v>
      </c>
      <c r="I3852" t="s">
        <v>10169</v>
      </c>
      <c r="J3852" t="s">
        <v>10210</v>
      </c>
      <c r="K3852" t="s">
        <v>10218</v>
      </c>
      <c r="L3852" t="s">
        <v>10111</v>
      </c>
      <c r="M3852" t="s">
        <v>10427</v>
      </c>
      <c r="N3852" t="s">
        <v>10650</v>
      </c>
      <c r="P3852" t="s">
        <v>10749</v>
      </c>
      <c r="Q3852" t="s">
        <v>10765</v>
      </c>
      <c r="R3852" t="s">
        <v>10821</v>
      </c>
      <c r="T3852">
        <v>78910</v>
      </c>
      <c r="U3852">
        <v>6575.83</v>
      </c>
      <c r="V3852">
        <v>47</v>
      </c>
      <c r="W3852">
        <v>5</v>
      </c>
      <c r="X3852">
        <v>0</v>
      </c>
      <c r="Y3852" t="s">
        <v>10830</v>
      </c>
      <c r="Z3852">
        <v>261.55</v>
      </c>
      <c r="AA3852">
        <v>40.859964</v>
      </c>
      <c r="AB3852">
        <v>-73.894662</v>
      </c>
      <c r="AD3852" t="s">
        <v>10839</v>
      </c>
      <c r="AG3852" t="s">
        <v>10858</v>
      </c>
      <c r="AH3852" t="s">
        <v>10862</v>
      </c>
      <c r="AI3852">
        <v>230</v>
      </c>
      <c r="AJ3852" t="s">
        <v>10210</v>
      </c>
      <c r="AK3852" t="s">
        <v>10882</v>
      </c>
      <c r="AL3852">
        <v>1</v>
      </c>
      <c r="AM3852" t="s">
        <v>10884</v>
      </c>
      <c r="AN3852" t="s">
        <v>10931</v>
      </c>
      <c r="AO3852" t="s">
        <v>11000</v>
      </c>
      <c r="AP3852" t="s">
        <v>11056</v>
      </c>
      <c r="AR3852" t="s">
        <v>11257</v>
      </c>
      <c r="AS3852" t="s">
        <v>9926</v>
      </c>
      <c r="AY3852" t="s">
        <v>10830</v>
      </c>
      <c r="AZ3852" t="s">
        <v>11681</v>
      </c>
      <c r="BA3852" t="s">
        <v>11740</v>
      </c>
      <c r="BB3852">
        <v>0</v>
      </c>
      <c r="BC3852">
        <v>0</v>
      </c>
      <c r="BD3852">
        <v>0</v>
      </c>
      <c r="BE3852">
        <v>0</v>
      </c>
      <c r="BF3852">
        <v>2</v>
      </c>
      <c r="BG3852">
        <v>0</v>
      </c>
    </row>
    <row r="3853" spans="1:59">
      <c r="A3853" s="1">
        <f>HYPERLINK("https://lsnyc.legalserver.org/matter/dynamic-profile/view/1907974","19-1907974")</f>
        <v>0</v>
      </c>
      <c r="B3853" t="s">
        <v>567</v>
      </c>
      <c r="C3853" t="s">
        <v>7867</v>
      </c>
      <c r="D3853" t="s">
        <v>9927</v>
      </c>
      <c r="E3853" t="s">
        <v>10075</v>
      </c>
      <c r="F3853">
        <v>11377</v>
      </c>
      <c r="G3853" t="s">
        <v>10092</v>
      </c>
      <c r="H3853" t="s">
        <v>10154</v>
      </c>
      <c r="I3853" t="s">
        <v>10169</v>
      </c>
      <c r="J3853" t="s">
        <v>10212</v>
      </c>
      <c r="K3853" t="s">
        <v>10217</v>
      </c>
      <c r="M3853" t="s">
        <v>10387</v>
      </c>
      <c r="N3853" t="s">
        <v>10650</v>
      </c>
      <c r="P3853" t="s">
        <v>10749</v>
      </c>
      <c r="Q3853" t="s">
        <v>10765</v>
      </c>
      <c r="R3853" t="s">
        <v>10821</v>
      </c>
      <c r="T3853">
        <v>23500</v>
      </c>
      <c r="U3853">
        <v>1958.33</v>
      </c>
      <c r="V3853">
        <v>57</v>
      </c>
      <c r="W3853">
        <v>2</v>
      </c>
      <c r="X3853">
        <v>1</v>
      </c>
      <c r="Z3853">
        <v>110.17</v>
      </c>
      <c r="AA3853">
        <v>40.741994</v>
      </c>
      <c r="AB3853">
        <v>-73.90494</v>
      </c>
      <c r="AD3853" t="s">
        <v>10840</v>
      </c>
      <c r="AG3853" t="s">
        <v>10858</v>
      </c>
      <c r="AH3853" t="s">
        <v>10862</v>
      </c>
      <c r="AI3853">
        <v>237</v>
      </c>
      <c r="AJ3853" t="s">
        <v>10212</v>
      </c>
      <c r="AL3853">
        <v>0.3</v>
      </c>
      <c r="AM3853" t="s">
        <v>10885</v>
      </c>
      <c r="AN3853" t="s">
        <v>10935</v>
      </c>
      <c r="AO3853" t="s">
        <v>11003</v>
      </c>
      <c r="AP3853" t="s">
        <v>11047</v>
      </c>
      <c r="AR3853" t="s">
        <v>11280</v>
      </c>
      <c r="AS3853" t="s">
        <v>11594</v>
      </c>
      <c r="BA3853" t="s">
        <v>11739</v>
      </c>
      <c r="BB3853">
        <v>0</v>
      </c>
      <c r="BC3853">
        <v>0</v>
      </c>
      <c r="BD3853">
        <v>0</v>
      </c>
      <c r="BE3853">
        <v>0</v>
      </c>
      <c r="BF3853">
        <v>4</v>
      </c>
      <c r="BG3853">
        <v>0</v>
      </c>
    </row>
    <row r="3854" spans="1:59">
      <c r="A3854" s="1">
        <f>HYPERLINK("https://lsnyc.legalserver.org/matter/dynamic-profile/view/1907975","19-1907975")</f>
        <v>0</v>
      </c>
      <c r="B3854" t="s">
        <v>3182</v>
      </c>
      <c r="C3854" t="s">
        <v>5813</v>
      </c>
      <c r="D3854" t="s">
        <v>9926</v>
      </c>
      <c r="E3854" t="s">
        <v>10075</v>
      </c>
      <c r="F3854">
        <v>10452</v>
      </c>
      <c r="G3854" t="s">
        <v>10090</v>
      </c>
      <c r="H3854" t="s">
        <v>10154</v>
      </c>
      <c r="I3854" t="s">
        <v>10169</v>
      </c>
      <c r="J3854" t="s">
        <v>10210</v>
      </c>
      <c r="K3854" t="s">
        <v>10217</v>
      </c>
      <c r="M3854" t="s">
        <v>10303</v>
      </c>
      <c r="N3854" t="s">
        <v>10677</v>
      </c>
      <c r="P3854" t="s">
        <v>10751</v>
      </c>
      <c r="Q3854" t="s">
        <v>10786</v>
      </c>
      <c r="R3854" t="s">
        <v>10821</v>
      </c>
      <c r="T3854">
        <v>15600</v>
      </c>
      <c r="U3854">
        <v>1300</v>
      </c>
      <c r="V3854">
        <v>61</v>
      </c>
      <c r="W3854">
        <v>2</v>
      </c>
      <c r="X3854">
        <v>0</v>
      </c>
      <c r="Z3854">
        <v>92.25</v>
      </c>
      <c r="AA3854">
        <v>40.835906</v>
      </c>
      <c r="AB3854">
        <v>-73.92224400000001</v>
      </c>
      <c r="AD3854" t="s">
        <v>10840</v>
      </c>
      <c r="AG3854" t="s">
        <v>10858</v>
      </c>
      <c r="AH3854" t="s">
        <v>10871</v>
      </c>
      <c r="AI3854">
        <v>234</v>
      </c>
      <c r="AJ3854" t="s">
        <v>10214</v>
      </c>
      <c r="AL3854">
        <v>8.94</v>
      </c>
      <c r="AM3854" t="s">
        <v>10884</v>
      </c>
      <c r="AN3854" t="s">
        <v>10924</v>
      </c>
      <c r="AO3854" t="s">
        <v>11013</v>
      </c>
      <c r="AP3854" t="s">
        <v>11055</v>
      </c>
      <c r="AR3854" t="s">
        <v>11257</v>
      </c>
      <c r="AS3854" t="s">
        <v>9926</v>
      </c>
      <c r="AT3854" t="s">
        <v>11642</v>
      </c>
      <c r="AX3854" t="s">
        <v>10838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</row>
    <row r="3855" spans="1:59">
      <c r="A3855" s="1">
        <f>HYPERLINK("https://lsnyc.legalserver.org/matter/dynamic-profile/view/1907976","19-1907976")</f>
        <v>0</v>
      </c>
      <c r="B3855" t="s">
        <v>567</v>
      </c>
      <c r="C3855" t="s">
        <v>7867</v>
      </c>
      <c r="D3855" t="s">
        <v>9927</v>
      </c>
      <c r="E3855" t="s">
        <v>10075</v>
      </c>
      <c r="F3855">
        <v>11377</v>
      </c>
      <c r="G3855" t="s">
        <v>10092</v>
      </c>
      <c r="H3855" t="s">
        <v>10154</v>
      </c>
      <c r="I3855" t="s">
        <v>10169</v>
      </c>
      <c r="J3855" t="s">
        <v>10212</v>
      </c>
      <c r="K3855" t="s">
        <v>10217</v>
      </c>
      <c r="M3855" t="s">
        <v>10387</v>
      </c>
      <c r="N3855" t="s">
        <v>10650</v>
      </c>
      <c r="P3855" t="s">
        <v>10749</v>
      </c>
      <c r="Q3855" t="s">
        <v>10765</v>
      </c>
      <c r="R3855" t="s">
        <v>10821</v>
      </c>
      <c r="T3855">
        <v>23500</v>
      </c>
      <c r="U3855">
        <v>1958.33</v>
      </c>
      <c r="V3855">
        <v>57</v>
      </c>
      <c r="W3855">
        <v>2</v>
      </c>
      <c r="X3855">
        <v>1</v>
      </c>
      <c r="Z3855">
        <v>110.17</v>
      </c>
      <c r="AA3855">
        <v>40.741994</v>
      </c>
      <c r="AB3855">
        <v>-73.90494</v>
      </c>
      <c r="AD3855" t="s">
        <v>10840</v>
      </c>
      <c r="AG3855" t="s">
        <v>10858</v>
      </c>
      <c r="AH3855" t="s">
        <v>10862</v>
      </c>
      <c r="AI3855">
        <v>237</v>
      </c>
      <c r="AJ3855" t="s">
        <v>10212</v>
      </c>
      <c r="AL3855">
        <v>0.2</v>
      </c>
      <c r="AM3855" t="s">
        <v>10885</v>
      </c>
      <c r="AN3855" t="s">
        <v>10935</v>
      </c>
      <c r="AO3855" t="s">
        <v>11003</v>
      </c>
      <c r="AP3855" t="s">
        <v>11047</v>
      </c>
      <c r="AR3855" t="s">
        <v>11280</v>
      </c>
      <c r="AS3855" t="s">
        <v>11594</v>
      </c>
      <c r="BA3855" t="s">
        <v>11739</v>
      </c>
      <c r="BB3855">
        <v>0</v>
      </c>
      <c r="BC3855">
        <v>0</v>
      </c>
      <c r="BD3855">
        <v>0</v>
      </c>
      <c r="BE3855">
        <v>0</v>
      </c>
      <c r="BF3855">
        <v>4</v>
      </c>
      <c r="BG3855">
        <v>0</v>
      </c>
    </row>
    <row r="3856" spans="1:59">
      <c r="A3856" s="1">
        <f>HYPERLINK("https://lsnyc.legalserver.org/matter/dynamic-profile/view/1907977","19-1907977")</f>
        <v>0</v>
      </c>
      <c r="B3856" t="s">
        <v>3183</v>
      </c>
      <c r="C3856" t="s">
        <v>7973</v>
      </c>
      <c r="D3856" t="s">
        <v>9926</v>
      </c>
      <c r="E3856" t="s">
        <v>10075</v>
      </c>
      <c r="F3856">
        <v>10470</v>
      </c>
      <c r="G3856" t="s">
        <v>10090</v>
      </c>
      <c r="H3856" t="s">
        <v>10154</v>
      </c>
      <c r="I3856" t="s">
        <v>10168</v>
      </c>
      <c r="J3856" t="s">
        <v>10210</v>
      </c>
      <c r="K3856" t="s">
        <v>10217</v>
      </c>
      <c r="M3856" t="s">
        <v>10407</v>
      </c>
      <c r="N3856" t="s">
        <v>10671</v>
      </c>
      <c r="P3856" t="s">
        <v>10754</v>
      </c>
      <c r="Q3856" t="s">
        <v>10777</v>
      </c>
      <c r="R3856" t="s">
        <v>10824</v>
      </c>
      <c r="T3856">
        <v>23400</v>
      </c>
      <c r="U3856">
        <v>1950</v>
      </c>
      <c r="V3856">
        <v>27</v>
      </c>
      <c r="W3856">
        <v>1</v>
      </c>
      <c r="X3856">
        <v>0</v>
      </c>
      <c r="Z3856">
        <v>187.35</v>
      </c>
      <c r="AA3856">
        <v>40.905153</v>
      </c>
      <c r="AB3856">
        <v>-73.853177</v>
      </c>
      <c r="AD3856" t="s">
        <v>10840</v>
      </c>
      <c r="AG3856" t="s">
        <v>10858</v>
      </c>
      <c r="AH3856" t="s">
        <v>10861</v>
      </c>
      <c r="AI3856">
        <v>234</v>
      </c>
      <c r="AJ3856" t="s">
        <v>10214</v>
      </c>
      <c r="AL3856">
        <v>1.1</v>
      </c>
      <c r="AM3856" t="s">
        <v>10893</v>
      </c>
      <c r="AN3856" t="s">
        <v>10919</v>
      </c>
      <c r="AO3856" t="s">
        <v>11010</v>
      </c>
      <c r="AP3856" t="s">
        <v>11057</v>
      </c>
      <c r="AQ3856" t="s">
        <v>11165</v>
      </c>
      <c r="AR3856" t="s">
        <v>11257</v>
      </c>
      <c r="AS3856" t="s">
        <v>9926</v>
      </c>
      <c r="AT3856" t="s">
        <v>11642</v>
      </c>
      <c r="AX3856" t="s">
        <v>10838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</row>
    <row r="3857" spans="1:59">
      <c r="A3857" s="1">
        <f>HYPERLINK("https://lsnyc.legalserver.org/matter/dynamic-profile/view/1907979","19-1907979")</f>
        <v>0</v>
      </c>
      <c r="B3857" t="s">
        <v>3184</v>
      </c>
      <c r="C3857" t="s">
        <v>7974</v>
      </c>
      <c r="D3857" t="s">
        <v>9928</v>
      </c>
      <c r="E3857" t="s">
        <v>10075</v>
      </c>
      <c r="F3857">
        <v>11225</v>
      </c>
      <c r="G3857" t="s">
        <v>10093</v>
      </c>
      <c r="H3857" t="s">
        <v>10154</v>
      </c>
      <c r="I3857" t="s">
        <v>10168</v>
      </c>
      <c r="J3857" t="s">
        <v>10213</v>
      </c>
      <c r="K3857" t="s">
        <v>10218</v>
      </c>
      <c r="L3857" t="s">
        <v>10161</v>
      </c>
      <c r="M3857" t="s">
        <v>10405</v>
      </c>
      <c r="N3857" t="s">
        <v>10650</v>
      </c>
      <c r="P3857" t="s">
        <v>10749</v>
      </c>
      <c r="Q3857" t="s">
        <v>10765</v>
      </c>
      <c r="R3857" t="s">
        <v>10824</v>
      </c>
      <c r="T3857">
        <v>10056</v>
      </c>
      <c r="U3857">
        <v>838</v>
      </c>
      <c r="V3857">
        <v>68</v>
      </c>
      <c r="W3857">
        <v>1</v>
      </c>
      <c r="X3857">
        <v>0</v>
      </c>
      <c r="Y3857" t="s">
        <v>10829</v>
      </c>
      <c r="Z3857">
        <v>80.51000000000001</v>
      </c>
      <c r="AA3857">
        <v>40.661706</v>
      </c>
      <c r="AB3857">
        <v>-73.961432</v>
      </c>
      <c r="AD3857" t="s">
        <v>10839</v>
      </c>
      <c r="AG3857" t="s">
        <v>10858</v>
      </c>
      <c r="AH3857" t="s">
        <v>10862</v>
      </c>
      <c r="AI3857">
        <v>239</v>
      </c>
      <c r="AJ3857" t="s">
        <v>10213</v>
      </c>
      <c r="AK3857" t="s">
        <v>10838</v>
      </c>
      <c r="AL3857">
        <v>0.6</v>
      </c>
      <c r="AM3857" t="s">
        <v>10888</v>
      </c>
      <c r="AN3857" t="s">
        <v>10912</v>
      </c>
      <c r="AO3857" t="s">
        <v>11008</v>
      </c>
      <c r="AP3857" t="s">
        <v>11050</v>
      </c>
      <c r="AR3857" t="s">
        <v>11523</v>
      </c>
      <c r="AS3857" t="s">
        <v>11595</v>
      </c>
      <c r="AT3857" t="s">
        <v>11641</v>
      </c>
      <c r="AY3857" t="s">
        <v>10829</v>
      </c>
      <c r="AZ3857" t="s">
        <v>11681</v>
      </c>
      <c r="BA3857" t="s">
        <v>11741</v>
      </c>
      <c r="BB3857">
        <v>0</v>
      </c>
      <c r="BC3857">
        <v>0</v>
      </c>
      <c r="BD3857">
        <v>0</v>
      </c>
      <c r="BE3857">
        <v>0</v>
      </c>
      <c r="BF3857">
        <v>1</v>
      </c>
      <c r="BG3857">
        <v>0</v>
      </c>
    </row>
    <row r="3858" spans="1:59">
      <c r="A3858" s="1">
        <f>HYPERLINK("https://lsnyc.legalserver.org/matter/dynamic-profile/view/1907980","19-1907980")</f>
        <v>0</v>
      </c>
      <c r="B3858" t="s">
        <v>3185</v>
      </c>
      <c r="C3858" t="s">
        <v>7975</v>
      </c>
      <c r="D3858" t="s">
        <v>9926</v>
      </c>
      <c r="E3858" t="s">
        <v>10075</v>
      </c>
      <c r="F3858">
        <v>10468</v>
      </c>
      <c r="G3858" t="s">
        <v>10093</v>
      </c>
      <c r="H3858" t="s">
        <v>10154</v>
      </c>
      <c r="I3858" t="s">
        <v>10168</v>
      </c>
      <c r="J3858" t="s">
        <v>10213</v>
      </c>
      <c r="K3858" t="s">
        <v>10218</v>
      </c>
      <c r="L3858" t="s">
        <v>10151</v>
      </c>
      <c r="M3858" t="s">
        <v>10290</v>
      </c>
      <c r="N3858" t="s">
        <v>10665</v>
      </c>
      <c r="P3858" t="s">
        <v>10751</v>
      </c>
      <c r="Q3858" t="s">
        <v>10773</v>
      </c>
      <c r="R3858" t="s">
        <v>10824</v>
      </c>
      <c r="T3858">
        <v>8528</v>
      </c>
      <c r="U3858">
        <v>710.67</v>
      </c>
      <c r="V3858">
        <v>29</v>
      </c>
      <c r="W3858">
        <v>1</v>
      </c>
      <c r="X3858">
        <v>0</v>
      </c>
      <c r="Y3858" t="s">
        <v>10829</v>
      </c>
      <c r="Z3858">
        <v>68.28</v>
      </c>
      <c r="AA3858">
        <v>40.867619</v>
      </c>
      <c r="AB3858">
        <v>-73.907645</v>
      </c>
      <c r="AD3858" t="s">
        <v>10839</v>
      </c>
      <c r="AG3858" t="s">
        <v>10858</v>
      </c>
      <c r="AH3858" t="s">
        <v>10861</v>
      </c>
      <c r="AI3858">
        <v>234</v>
      </c>
      <c r="AJ3858" t="s">
        <v>10214</v>
      </c>
      <c r="AK3858" t="s">
        <v>10838</v>
      </c>
      <c r="AL3858">
        <v>1.15</v>
      </c>
      <c r="AM3858" t="s">
        <v>10887</v>
      </c>
      <c r="AN3858" t="s">
        <v>10907</v>
      </c>
      <c r="AO3858" t="s">
        <v>11000</v>
      </c>
      <c r="AP3858" t="s">
        <v>11045</v>
      </c>
      <c r="AR3858" t="s">
        <v>11293</v>
      </c>
      <c r="AS3858" t="s">
        <v>9926</v>
      </c>
      <c r="AT3858" t="s">
        <v>11641</v>
      </c>
      <c r="AX3858" t="s">
        <v>10838</v>
      </c>
      <c r="AY3858" t="s">
        <v>10829</v>
      </c>
      <c r="AZ3858" t="s">
        <v>11682</v>
      </c>
      <c r="BA3858" t="s">
        <v>11741</v>
      </c>
      <c r="BB3858">
        <v>0</v>
      </c>
      <c r="BC3858">
        <v>0</v>
      </c>
      <c r="BD3858">
        <v>0</v>
      </c>
      <c r="BE3858">
        <v>0</v>
      </c>
      <c r="BF3858">
        <v>1</v>
      </c>
      <c r="BG3858">
        <v>0</v>
      </c>
    </row>
    <row r="3859" spans="1:59">
      <c r="A3859" s="1">
        <f>HYPERLINK("https://lsnyc.legalserver.org/matter/dynamic-profile/view/1907981","19-1907981")</f>
        <v>0</v>
      </c>
      <c r="B3859" t="s">
        <v>3186</v>
      </c>
      <c r="C3859" t="s">
        <v>7976</v>
      </c>
      <c r="D3859" t="s">
        <v>9926</v>
      </c>
      <c r="E3859" t="s">
        <v>10075</v>
      </c>
      <c r="F3859">
        <v>10473</v>
      </c>
      <c r="G3859" t="s">
        <v>10091</v>
      </c>
      <c r="H3859" t="s">
        <v>10154</v>
      </c>
      <c r="I3859" t="s">
        <v>10168</v>
      </c>
      <c r="J3859" t="s">
        <v>10214</v>
      </c>
      <c r="K3859" t="s">
        <v>10217</v>
      </c>
      <c r="M3859" t="s">
        <v>10286</v>
      </c>
      <c r="N3859" t="s">
        <v>10671</v>
      </c>
      <c r="P3859" t="s">
        <v>10751</v>
      </c>
      <c r="Q3859" t="s">
        <v>10768</v>
      </c>
      <c r="R3859" t="s">
        <v>10821</v>
      </c>
      <c r="T3859">
        <v>2860</v>
      </c>
      <c r="U3859">
        <v>238.33</v>
      </c>
      <c r="V3859">
        <v>21</v>
      </c>
      <c r="W3859">
        <v>1</v>
      </c>
      <c r="X3859">
        <v>0</v>
      </c>
      <c r="Z3859">
        <v>22.9</v>
      </c>
      <c r="AA3859">
        <v>40.825351</v>
      </c>
      <c r="AB3859">
        <v>-73.85167</v>
      </c>
      <c r="AD3859" t="s">
        <v>10839</v>
      </c>
      <c r="AG3859" t="s">
        <v>10858</v>
      </c>
      <c r="AH3859" t="s">
        <v>10871</v>
      </c>
      <c r="AI3859">
        <v>234</v>
      </c>
      <c r="AJ3859" t="s">
        <v>10214</v>
      </c>
      <c r="AL3859">
        <v>1</v>
      </c>
      <c r="AM3859" t="s">
        <v>10884</v>
      </c>
      <c r="AN3859" t="s">
        <v>10908</v>
      </c>
      <c r="AO3859" t="s">
        <v>11002</v>
      </c>
      <c r="AP3859" t="s">
        <v>11046</v>
      </c>
      <c r="AR3859" t="s">
        <v>11311</v>
      </c>
      <c r="AS3859" t="s">
        <v>9926</v>
      </c>
      <c r="AT3859" t="s">
        <v>11641</v>
      </c>
      <c r="AX3859" t="s">
        <v>10838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</row>
    <row r="3860" spans="1:59">
      <c r="A3860" s="1">
        <f>HYPERLINK("https://lsnyc.legalserver.org/matter/dynamic-profile/view/1907982","19-1907982")</f>
        <v>0</v>
      </c>
      <c r="B3860" t="s">
        <v>3187</v>
      </c>
      <c r="C3860" t="s">
        <v>7977</v>
      </c>
      <c r="D3860" t="s">
        <v>9937</v>
      </c>
      <c r="E3860" t="s">
        <v>10075</v>
      </c>
      <c r="F3860">
        <v>11412</v>
      </c>
      <c r="G3860" t="s">
        <v>10092</v>
      </c>
      <c r="H3860" t="s">
        <v>10154</v>
      </c>
      <c r="I3860" t="s">
        <v>10168</v>
      </c>
      <c r="J3860" t="s">
        <v>10212</v>
      </c>
      <c r="K3860" t="s">
        <v>10217</v>
      </c>
      <c r="M3860" t="s">
        <v>10475</v>
      </c>
      <c r="N3860" t="s">
        <v>10650</v>
      </c>
      <c r="P3860" t="s">
        <v>10749</v>
      </c>
      <c r="Q3860" t="s">
        <v>10765</v>
      </c>
      <c r="R3860" t="s">
        <v>10820</v>
      </c>
      <c r="T3860">
        <v>0</v>
      </c>
      <c r="U3860">
        <v>0</v>
      </c>
      <c r="V3860">
        <v>43</v>
      </c>
      <c r="W3860">
        <v>1</v>
      </c>
      <c r="X3860">
        <v>1</v>
      </c>
      <c r="Z3860">
        <v>0</v>
      </c>
      <c r="AA3860">
        <v>40.706843</v>
      </c>
      <c r="AB3860">
        <v>-73.761993</v>
      </c>
      <c r="AD3860" t="s">
        <v>10839</v>
      </c>
      <c r="AG3860" t="s">
        <v>10858</v>
      </c>
      <c r="AH3860" t="s">
        <v>10862</v>
      </c>
      <c r="AI3860">
        <v>237</v>
      </c>
      <c r="AJ3860" t="s">
        <v>10212</v>
      </c>
      <c r="AL3860">
        <v>1.6</v>
      </c>
      <c r="AM3860" t="s">
        <v>10892</v>
      </c>
      <c r="AN3860" t="s">
        <v>10940</v>
      </c>
      <c r="AO3860" t="s">
        <v>11020</v>
      </c>
      <c r="AP3860" t="s">
        <v>11075</v>
      </c>
      <c r="AR3860" t="s">
        <v>11267</v>
      </c>
      <c r="AS3860" t="s">
        <v>11594</v>
      </c>
      <c r="AX3860" t="s">
        <v>10838</v>
      </c>
      <c r="BA3860" t="s">
        <v>11742</v>
      </c>
      <c r="BB3860">
        <v>0</v>
      </c>
      <c r="BC3860">
        <v>0</v>
      </c>
      <c r="BD3860">
        <v>0</v>
      </c>
      <c r="BE3860">
        <v>0</v>
      </c>
      <c r="BF3860">
        <v>7</v>
      </c>
      <c r="BG3860">
        <v>0</v>
      </c>
    </row>
    <row r="3861" spans="1:59">
      <c r="A3861" s="1">
        <f>HYPERLINK("https://lsnyc.legalserver.org/matter/dynamic-profile/view/1907983","19-1907983")</f>
        <v>0</v>
      </c>
      <c r="B3861" t="s">
        <v>3188</v>
      </c>
      <c r="C3861" t="s">
        <v>7978</v>
      </c>
      <c r="D3861" t="s">
        <v>9925</v>
      </c>
      <c r="E3861" t="s">
        <v>10075</v>
      </c>
      <c r="F3861">
        <v>10128</v>
      </c>
      <c r="G3861" t="s">
        <v>10091</v>
      </c>
      <c r="H3861" t="s">
        <v>10154</v>
      </c>
      <c r="I3861" t="s">
        <v>10168</v>
      </c>
      <c r="J3861" t="s">
        <v>10214</v>
      </c>
      <c r="K3861" t="s">
        <v>10217</v>
      </c>
      <c r="M3861" t="s">
        <v>10286</v>
      </c>
      <c r="N3861" t="s">
        <v>10671</v>
      </c>
      <c r="P3861" t="s">
        <v>10751</v>
      </c>
      <c r="Q3861" t="s">
        <v>10768</v>
      </c>
      <c r="R3861" t="s">
        <v>10821</v>
      </c>
      <c r="T3861">
        <v>0</v>
      </c>
      <c r="U3861">
        <v>0</v>
      </c>
      <c r="V3861">
        <v>20</v>
      </c>
      <c r="W3861">
        <v>1</v>
      </c>
      <c r="X3861">
        <v>0</v>
      </c>
      <c r="Z3861">
        <v>0</v>
      </c>
      <c r="AA3861">
        <v>40.780657</v>
      </c>
      <c r="AB3861">
        <v>-73.94511900000001</v>
      </c>
      <c r="AD3861" t="s">
        <v>10840</v>
      </c>
      <c r="AG3861" t="s">
        <v>10858</v>
      </c>
      <c r="AH3861" t="s">
        <v>10871</v>
      </c>
      <c r="AI3861">
        <v>234</v>
      </c>
      <c r="AJ3861" t="s">
        <v>10214</v>
      </c>
      <c r="AL3861">
        <v>0.5</v>
      </c>
      <c r="AM3861" t="s">
        <v>10891</v>
      </c>
      <c r="AN3861" t="s">
        <v>10926</v>
      </c>
      <c r="AO3861" t="s">
        <v>11026</v>
      </c>
      <c r="AP3861" t="s">
        <v>11094</v>
      </c>
      <c r="AR3861" t="s">
        <v>11267</v>
      </c>
      <c r="AS3861" t="s">
        <v>9925</v>
      </c>
      <c r="AT3861" t="s">
        <v>11642</v>
      </c>
      <c r="AX3861" t="s">
        <v>10838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</row>
    <row r="3862" spans="1:59">
      <c r="A3862" s="1">
        <f>HYPERLINK("https://lsnyc.legalserver.org/matter/dynamic-profile/view/1907984","19-1907984")</f>
        <v>0</v>
      </c>
      <c r="B3862" t="s">
        <v>3189</v>
      </c>
      <c r="C3862" t="s">
        <v>7979</v>
      </c>
      <c r="D3862" t="s">
        <v>9929</v>
      </c>
      <c r="E3862" t="s">
        <v>10075</v>
      </c>
      <c r="F3862">
        <v>10306</v>
      </c>
      <c r="G3862" t="s">
        <v>10088</v>
      </c>
      <c r="H3862" t="s">
        <v>10156</v>
      </c>
      <c r="I3862" t="s">
        <v>10168</v>
      </c>
      <c r="J3862" t="s">
        <v>10208</v>
      </c>
      <c r="K3862" t="s">
        <v>10217</v>
      </c>
      <c r="M3862" t="s">
        <v>10605</v>
      </c>
      <c r="N3862" t="s">
        <v>10654</v>
      </c>
      <c r="P3862" t="s">
        <v>10749</v>
      </c>
      <c r="Q3862" t="s">
        <v>10765</v>
      </c>
      <c r="R3862" t="s">
        <v>10820</v>
      </c>
      <c r="T3862">
        <v>3600</v>
      </c>
      <c r="U3862">
        <v>300</v>
      </c>
      <c r="V3862">
        <v>36</v>
      </c>
      <c r="W3862">
        <v>2</v>
      </c>
      <c r="X3862">
        <v>4</v>
      </c>
      <c r="Z3862">
        <v>10.41</v>
      </c>
      <c r="AA3862">
        <v>40.576412</v>
      </c>
      <c r="AB3862">
        <v>-74.119202</v>
      </c>
      <c r="AD3862" t="s">
        <v>10839</v>
      </c>
      <c r="AG3862" t="s">
        <v>10858</v>
      </c>
      <c r="AH3862" t="s">
        <v>10862</v>
      </c>
      <c r="AI3862">
        <v>285</v>
      </c>
      <c r="AJ3862" t="s">
        <v>10208</v>
      </c>
      <c r="AL3862">
        <v>11.05</v>
      </c>
      <c r="AM3862" t="s">
        <v>10883</v>
      </c>
      <c r="AN3862" t="s">
        <v>10906</v>
      </c>
      <c r="AO3862" t="s">
        <v>10999</v>
      </c>
      <c r="AP3862" t="s">
        <v>11063</v>
      </c>
      <c r="AR3862" t="s">
        <v>11262</v>
      </c>
      <c r="AS3862" t="s">
        <v>11593</v>
      </c>
      <c r="BA3862" t="s">
        <v>11738</v>
      </c>
      <c r="BB3862">
        <v>0</v>
      </c>
      <c r="BC3862">
        <v>0</v>
      </c>
      <c r="BD3862">
        <v>0</v>
      </c>
      <c r="BE3862">
        <v>0</v>
      </c>
      <c r="BF3862">
        <v>5</v>
      </c>
      <c r="BG3862">
        <v>0</v>
      </c>
    </row>
    <row r="3863" spans="1:59">
      <c r="A3863" s="1">
        <f>HYPERLINK("https://lsnyc.legalserver.org/matter/dynamic-profile/view/1907985","19-1907985")</f>
        <v>0</v>
      </c>
      <c r="B3863" t="s">
        <v>3190</v>
      </c>
      <c r="C3863" t="s">
        <v>7980</v>
      </c>
      <c r="D3863" t="s">
        <v>9926</v>
      </c>
      <c r="E3863" t="s">
        <v>10075</v>
      </c>
      <c r="F3863">
        <v>10454</v>
      </c>
      <c r="G3863" t="s">
        <v>10090</v>
      </c>
      <c r="H3863" t="s">
        <v>10154</v>
      </c>
      <c r="I3863" t="s">
        <v>10169</v>
      </c>
      <c r="J3863" t="s">
        <v>10210</v>
      </c>
      <c r="K3863" t="s">
        <v>10217</v>
      </c>
      <c r="M3863" t="s">
        <v>10372</v>
      </c>
      <c r="N3863" t="s">
        <v>10704</v>
      </c>
      <c r="P3863" t="s">
        <v>10750</v>
      </c>
      <c r="Q3863" t="s">
        <v>10778</v>
      </c>
      <c r="R3863" t="s">
        <v>10823</v>
      </c>
      <c r="T3863">
        <v>62308</v>
      </c>
      <c r="U3863">
        <v>5192.33</v>
      </c>
      <c r="V3863">
        <v>52</v>
      </c>
      <c r="W3863">
        <v>2</v>
      </c>
      <c r="X3863">
        <v>1</v>
      </c>
      <c r="Z3863">
        <v>292.11</v>
      </c>
      <c r="AA3863">
        <v>40.812298</v>
      </c>
      <c r="AB3863">
        <v>-73.919093</v>
      </c>
      <c r="AD3863" t="s">
        <v>10840</v>
      </c>
      <c r="AG3863" t="s">
        <v>10858</v>
      </c>
      <c r="AH3863" t="s">
        <v>10871</v>
      </c>
      <c r="AI3863">
        <v>234</v>
      </c>
      <c r="AJ3863" t="s">
        <v>10214</v>
      </c>
      <c r="AL3863">
        <v>1.25</v>
      </c>
      <c r="AM3863" t="s">
        <v>10884</v>
      </c>
      <c r="AN3863" t="s">
        <v>10924</v>
      </c>
      <c r="AO3863" t="s">
        <v>11013</v>
      </c>
      <c r="AP3863" t="s">
        <v>11066</v>
      </c>
      <c r="AR3863" t="s">
        <v>11356</v>
      </c>
      <c r="AS3863" t="s">
        <v>9926</v>
      </c>
      <c r="AT3863" t="s">
        <v>11642</v>
      </c>
      <c r="AX3863" t="s">
        <v>10838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</row>
    <row r="3864" spans="1:59">
      <c r="A3864" s="1">
        <f>HYPERLINK("https://lsnyc.legalserver.org/matter/dynamic-profile/view/1907986","19-1907986")</f>
        <v>0</v>
      </c>
      <c r="B3864" t="s">
        <v>3191</v>
      </c>
      <c r="C3864" t="s">
        <v>7981</v>
      </c>
      <c r="D3864" t="s">
        <v>9926</v>
      </c>
      <c r="E3864" t="s">
        <v>10075</v>
      </c>
      <c r="F3864">
        <v>10458</v>
      </c>
      <c r="G3864" t="s">
        <v>10090</v>
      </c>
      <c r="H3864" t="s">
        <v>10154</v>
      </c>
      <c r="I3864" t="s">
        <v>10168</v>
      </c>
      <c r="J3864" t="s">
        <v>10210</v>
      </c>
      <c r="K3864" t="s">
        <v>10218</v>
      </c>
      <c r="L3864" t="s">
        <v>10152</v>
      </c>
      <c r="M3864" t="s">
        <v>10262</v>
      </c>
      <c r="N3864" t="s">
        <v>10646</v>
      </c>
      <c r="P3864" t="s">
        <v>10749</v>
      </c>
      <c r="Q3864" t="s">
        <v>10765</v>
      </c>
      <c r="R3864" t="s">
        <v>10824</v>
      </c>
      <c r="T3864">
        <v>35854</v>
      </c>
      <c r="U3864">
        <v>2987.83</v>
      </c>
      <c r="V3864">
        <v>33</v>
      </c>
      <c r="W3864">
        <v>1</v>
      </c>
      <c r="X3864">
        <v>1</v>
      </c>
      <c r="Y3864" t="s">
        <v>10829</v>
      </c>
      <c r="Z3864">
        <v>212.03</v>
      </c>
      <c r="AA3864">
        <v>40.864614</v>
      </c>
      <c r="AB3864">
        <v>-73.89115099999999</v>
      </c>
      <c r="AD3864" t="s">
        <v>10839</v>
      </c>
      <c r="AG3864" t="s">
        <v>10858</v>
      </c>
      <c r="AH3864" t="s">
        <v>10861</v>
      </c>
      <c r="AI3864">
        <v>230</v>
      </c>
      <c r="AJ3864" t="s">
        <v>10210</v>
      </c>
      <c r="AK3864" t="s">
        <v>10838</v>
      </c>
      <c r="AL3864">
        <v>0.6</v>
      </c>
      <c r="AM3864" t="s">
        <v>10887</v>
      </c>
      <c r="AN3864" t="s">
        <v>10907</v>
      </c>
      <c r="AO3864" t="s">
        <v>11000</v>
      </c>
      <c r="AP3864" t="s">
        <v>11056</v>
      </c>
      <c r="AR3864" t="s">
        <v>11257</v>
      </c>
      <c r="AS3864" t="s">
        <v>9926</v>
      </c>
      <c r="AT3864" t="s">
        <v>11641</v>
      </c>
      <c r="AX3864" t="s">
        <v>10838</v>
      </c>
      <c r="AY3864" t="s">
        <v>10829</v>
      </c>
      <c r="AZ3864" t="s">
        <v>11681</v>
      </c>
      <c r="BA3864" t="s">
        <v>11741</v>
      </c>
      <c r="BB3864">
        <v>0</v>
      </c>
      <c r="BC3864">
        <v>0</v>
      </c>
      <c r="BD3864">
        <v>0</v>
      </c>
      <c r="BE3864">
        <v>0</v>
      </c>
      <c r="BF3864">
        <v>1</v>
      </c>
      <c r="BG3864">
        <v>0</v>
      </c>
    </row>
    <row r="3865" spans="1:59">
      <c r="A3865" s="1">
        <f>HYPERLINK("https://lsnyc.legalserver.org/matter/dynamic-profile/view/1907987","19-1907987")</f>
        <v>0</v>
      </c>
      <c r="B3865" t="s">
        <v>3192</v>
      </c>
      <c r="C3865" t="s">
        <v>7982</v>
      </c>
      <c r="D3865" t="s">
        <v>10040</v>
      </c>
      <c r="E3865" t="s">
        <v>10076</v>
      </c>
      <c r="F3865">
        <v>7626</v>
      </c>
      <c r="G3865" t="s">
        <v>10089</v>
      </c>
      <c r="H3865" t="s">
        <v>10154</v>
      </c>
      <c r="I3865" t="s">
        <v>10168</v>
      </c>
      <c r="J3865" t="s">
        <v>10209</v>
      </c>
      <c r="K3865" t="s">
        <v>10217</v>
      </c>
      <c r="M3865" t="s">
        <v>10288</v>
      </c>
      <c r="N3865" t="s">
        <v>10665</v>
      </c>
      <c r="P3865" t="s">
        <v>10750</v>
      </c>
      <c r="Q3865" t="s">
        <v>10779</v>
      </c>
      <c r="R3865" t="s">
        <v>10820</v>
      </c>
      <c r="T3865">
        <v>29120</v>
      </c>
      <c r="U3865">
        <v>2426.67</v>
      </c>
      <c r="V3865">
        <v>49</v>
      </c>
      <c r="W3865">
        <v>1</v>
      </c>
      <c r="X3865">
        <v>0</v>
      </c>
      <c r="Z3865">
        <v>233.15</v>
      </c>
      <c r="AA3865">
        <v>40.950793</v>
      </c>
      <c r="AB3865">
        <v>-73.970767</v>
      </c>
      <c r="AC3865" t="s">
        <v>10837</v>
      </c>
      <c r="AD3865" t="s">
        <v>10840</v>
      </c>
      <c r="AG3865" t="s">
        <v>10858</v>
      </c>
      <c r="AH3865" t="s">
        <v>10861</v>
      </c>
      <c r="AI3865">
        <v>234</v>
      </c>
      <c r="AJ3865" t="s">
        <v>10214</v>
      </c>
      <c r="AL3865">
        <v>2</v>
      </c>
      <c r="AR3865" t="s">
        <v>11257</v>
      </c>
      <c r="AS3865" t="s">
        <v>11596</v>
      </c>
      <c r="AT3865" t="s">
        <v>11642</v>
      </c>
      <c r="AX3865" t="s">
        <v>10838</v>
      </c>
      <c r="BA3865" t="s">
        <v>11741</v>
      </c>
      <c r="BB3865">
        <v>0</v>
      </c>
      <c r="BC3865">
        <v>0</v>
      </c>
      <c r="BD3865">
        <v>0</v>
      </c>
      <c r="BE3865">
        <v>0</v>
      </c>
      <c r="BF3865">
        <v>1</v>
      </c>
      <c r="BG3865">
        <v>0</v>
      </c>
    </row>
    <row r="3866" spans="1:59">
      <c r="A3866" s="1">
        <f>HYPERLINK("https://lsnyc.legalserver.org/matter/dynamic-profile/view/1907988","19-1907988")</f>
        <v>0</v>
      </c>
      <c r="B3866" t="s">
        <v>3193</v>
      </c>
      <c r="C3866" t="s">
        <v>7983</v>
      </c>
      <c r="D3866" t="s">
        <v>9926</v>
      </c>
      <c r="E3866" t="s">
        <v>10075</v>
      </c>
      <c r="F3866">
        <v>10458</v>
      </c>
      <c r="G3866" t="s">
        <v>10090</v>
      </c>
      <c r="H3866" t="s">
        <v>10154</v>
      </c>
      <c r="I3866" t="s">
        <v>10168</v>
      </c>
      <c r="J3866" t="s">
        <v>10215</v>
      </c>
      <c r="K3866" t="s">
        <v>10217</v>
      </c>
      <c r="M3866" t="s">
        <v>10495</v>
      </c>
      <c r="N3866" t="s">
        <v>10658</v>
      </c>
      <c r="P3866" t="s">
        <v>10749</v>
      </c>
      <c r="Q3866" t="s">
        <v>10769</v>
      </c>
      <c r="R3866" t="s">
        <v>10824</v>
      </c>
      <c r="T3866">
        <v>85356</v>
      </c>
      <c r="U3866">
        <v>7113</v>
      </c>
      <c r="V3866">
        <v>59</v>
      </c>
      <c r="W3866">
        <v>1</v>
      </c>
      <c r="X3866">
        <v>1</v>
      </c>
      <c r="Z3866">
        <v>504.77</v>
      </c>
      <c r="AA3866">
        <v>40.865418</v>
      </c>
      <c r="AB3866">
        <v>-73.89181000000001</v>
      </c>
      <c r="AD3866" t="s">
        <v>10839</v>
      </c>
      <c r="AG3866" t="s">
        <v>10858</v>
      </c>
      <c r="AH3866" t="s">
        <v>10860</v>
      </c>
      <c r="AI3866">
        <v>231</v>
      </c>
      <c r="AJ3866" t="s">
        <v>10215</v>
      </c>
      <c r="AL3866">
        <v>3</v>
      </c>
      <c r="AM3866" t="s">
        <v>10887</v>
      </c>
      <c r="AN3866" t="s">
        <v>10907</v>
      </c>
      <c r="AO3866" t="s">
        <v>11000</v>
      </c>
      <c r="AP3866" t="s">
        <v>11056</v>
      </c>
      <c r="AR3866" t="s">
        <v>11524</v>
      </c>
      <c r="AS3866" t="s">
        <v>9926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</row>
    <row r="3867" spans="1:59">
      <c r="A3867" s="1">
        <f>HYPERLINK("https://lsnyc.legalserver.org/matter/dynamic-profile/view/1907989","19-1907989")</f>
        <v>0</v>
      </c>
      <c r="B3867" t="s">
        <v>2571</v>
      </c>
      <c r="C3867" t="s">
        <v>7984</v>
      </c>
      <c r="D3867" t="s">
        <v>9928</v>
      </c>
      <c r="E3867" t="s">
        <v>10075</v>
      </c>
      <c r="F3867">
        <v>11226</v>
      </c>
      <c r="G3867" t="s">
        <v>10093</v>
      </c>
      <c r="H3867" t="s">
        <v>10154</v>
      </c>
      <c r="I3867" t="s">
        <v>10168</v>
      </c>
      <c r="J3867" t="s">
        <v>10213</v>
      </c>
      <c r="K3867" t="s">
        <v>10217</v>
      </c>
      <c r="M3867" t="s">
        <v>10264</v>
      </c>
      <c r="N3867" t="s">
        <v>10667</v>
      </c>
      <c r="P3867" t="s">
        <v>10749</v>
      </c>
      <c r="Q3867" t="s">
        <v>10765</v>
      </c>
      <c r="R3867" t="s">
        <v>10824</v>
      </c>
      <c r="T3867">
        <v>7140</v>
      </c>
      <c r="U3867">
        <v>595</v>
      </c>
      <c r="V3867">
        <v>60</v>
      </c>
      <c r="W3867">
        <v>1</v>
      </c>
      <c r="X3867">
        <v>0</v>
      </c>
      <c r="Z3867">
        <v>57.17</v>
      </c>
      <c r="AA3867">
        <v>40.653589</v>
      </c>
      <c r="AB3867">
        <v>-73.951678</v>
      </c>
      <c r="AD3867" t="s">
        <v>10839</v>
      </c>
      <c r="AG3867" t="s">
        <v>10858</v>
      </c>
      <c r="AH3867" t="s">
        <v>10862</v>
      </c>
      <c r="AI3867">
        <v>239</v>
      </c>
      <c r="AJ3867" t="s">
        <v>10213</v>
      </c>
      <c r="AL3867">
        <v>6.3</v>
      </c>
      <c r="AM3867" t="s">
        <v>10888</v>
      </c>
      <c r="AN3867" t="s">
        <v>10912</v>
      </c>
      <c r="AO3867" t="s">
        <v>11005</v>
      </c>
      <c r="AP3867" t="s">
        <v>11050</v>
      </c>
      <c r="AQ3867" t="s">
        <v>11101</v>
      </c>
      <c r="AR3867" t="s">
        <v>11268</v>
      </c>
      <c r="AS3867" t="s">
        <v>11595</v>
      </c>
      <c r="BA3867" t="s">
        <v>11738</v>
      </c>
      <c r="BB3867">
        <v>0</v>
      </c>
      <c r="BC3867">
        <v>0</v>
      </c>
      <c r="BD3867">
        <v>0</v>
      </c>
      <c r="BE3867">
        <v>0</v>
      </c>
      <c r="BF3867">
        <v>5</v>
      </c>
      <c r="BG3867">
        <v>0</v>
      </c>
    </row>
    <row r="3868" spans="1:59">
      <c r="A3868" s="1">
        <f>HYPERLINK("https://lsnyc.legalserver.org/matter/dynamic-profile/view/1907990","19-1907990")</f>
        <v>0</v>
      </c>
      <c r="B3868" t="s">
        <v>3194</v>
      </c>
      <c r="C3868" t="s">
        <v>7985</v>
      </c>
      <c r="D3868" t="s">
        <v>9982</v>
      </c>
      <c r="E3868" t="s">
        <v>10075</v>
      </c>
      <c r="F3868">
        <v>11375</v>
      </c>
      <c r="G3868" t="s">
        <v>10092</v>
      </c>
      <c r="H3868" t="s">
        <v>10139</v>
      </c>
      <c r="I3868" t="s">
        <v>10168</v>
      </c>
      <c r="J3868" t="s">
        <v>10212</v>
      </c>
      <c r="K3868" t="s">
        <v>10217</v>
      </c>
      <c r="M3868" t="s">
        <v>10343</v>
      </c>
      <c r="N3868" t="s">
        <v>10688</v>
      </c>
      <c r="P3868" t="s">
        <v>10749</v>
      </c>
      <c r="Q3868" t="s">
        <v>10765</v>
      </c>
      <c r="R3868" t="s">
        <v>10823</v>
      </c>
      <c r="T3868">
        <v>13872</v>
      </c>
      <c r="U3868">
        <v>1156</v>
      </c>
      <c r="V3868">
        <v>44</v>
      </c>
      <c r="W3868">
        <v>1</v>
      </c>
      <c r="X3868">
        <v>2</v>
      </c>
      <c r="Z3868">
        <v>65.04000000000001</v>
      </c>
      <c r="AA3868">
        <v>40.725904</v>
      </c>
      <c r="AB3868">
        <v>-73.84876199999999</v>
      </c>
      <c r="AD3868" t="s">
        <v>10839</v>
      </c>
      <c r="AG3868" t="s">
        <v>10858</v>
      </c>
      <c r="AH3868" t="s">
        <v>10862</v>
      </c>
      <c r="AI3868">
        <v>237</v>
      </c>
      <c r="AJ3868" t="s">
        <v>10212</v>
      </c>
      <c r="AL3868">
        <v>10.5</v>
      </c>
      <c r="AM3868" t="s">
        <v>10890</v>
      </c>
      <c r="AN3868" t="s">
        <v>10952</v>
      </c>
      <c r="AO3868" t="s">
        <v>11009</v>
      </c>
      <c r="AP3868" t="s">
        <v>11083</v>
      </c>
      <c r="AR3868" t="s">
        <v>11296</v>
      </c>
      <c r="AS3868" t="s">
        <v>11594</v>
      </c>
      <c r="BA3868" t="s">
        <v>11740</v>
      </c>
      <c r="BB3868">
        <v>0</v>
      </c>
      <c r="BC3868">
        <v>0</v>
      </c>
      <c r="BD3868">
        <v>0</v>
      </c>
      <c r="BE3868">
        <v>0</v>
      </c>
      <c r="BF3868">
        <v>2</v>
      </c>
      <c r="BG3868">
        <v>0</v>
      </c>
    </row>
    <row r="3869" spans="1:59">
      <c r="A3869" s="1">
        <f>HYPERLINK("https://lsnyc.legalserver.org/matter/dynamic-profile/view/1907991","19-1907991")</f>
        <v>0</v>
      </c>
      <c r="B3869" t="s">
        <v>3195</v>
      </c>
      <c r="C3869" t="s">
        <v>7986</v>
      </c>
      <c r="D3869" t="s">
        <v>9925</v>
      </c>
      <c r="E3869" t="s">
        <v>10075</v>
      </c>
      <c r="F3869">
        <v>10128</v>
      </c>
      <c r="G3869" t="s">
        <v>10090</v>
      </c>
      <c r="H3869" t="s">
        <v>10154</v>
      </c>
      <c r="I3869" t="s">
        <v>10168</v>
      </c>
      <c r="J3869" t="s">
        <v>10210</v>
      </c>
      <c r="K3869" t="s">
        <v>10217</v>
      </c>
      <c r="M3869" t="s">
        <v>10338</v>
      </c>
      <c r="N3869" t="s">
        <v>10671</v>
      </c>
      <c r="P3869" t="s">
        <v>10756</v>
      </c>
      <c r="Q3869" t="s">
        <v>10792</v>
      </c>
      <c r="R3869" t="s">
        <v>10825</v>
      </c>
      <c r="T3869">
        <v>13200</v>
      </c>
      <c r="U3869">
        <v>1100</v>
      </c>
      <c r="V3869">
        <v>53</v>
      </c>
      <c r="W3869">
        <v>1</v>
      </c>
      <c r="X3869">
        <v>0</v>
      </c>
      <c r="Z3869">
        <v>105.68</v>
      </c>
      <c r="AA3869">
        <v>40.781657</v>
      </c>
      <c r="AB3869">
        <v>-73.949713</v>
      </c>
      <c r="AD3869" t="s">
        <v>10839</v>
      </c>
      <c r="AG3869" t="s">
        <v>10858</v>
      </c>
      <c r="AH3869" t="s">
        <v>10874</v>
      </c>
      <c r="AI3869">
        <v>230</v>
      </c>
      <c r="AJ3869" t="s">
        <v>10210</v>
      </c>
      <c r="AL3869">
        <v>0.3</v>
      </c>
      <c r="AM3869" t="s">
        <v>10891</v>
      </c>
      <c r="AN3869" t="s">
        <v>10970</v>
      </c>
      <c r="AO3869" t="s">
        <v>11026</v>
      </c>
      <c r="AP3869" t="s">
        <v>11094</v>
      </c>
      <c r="AR3869" t="s">
        <v>11296</v>
      </c>
      <c r="AS3869" t="s">
        <v>9925</v>
      </c>
      <c r="AT3869" t="s">
        <v>11641</v>
      </c>
      <c r="AX3869" t="s">
        <v>10838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</row>
    <row r="3870" spans="1:59">
      <c r="A3870" s="1">
        <f>HYPERLINK("https://lsnyc.legalserver.org/matter/dynamic-profile/view/1907992","19-1907992")</f>
        <v>0</v>
      </c>
      <c r="B3870" t="s">
        <v>3196</v>
      </c>
      <c r="C3870" t="s">
        <v>7987</v>
      </c>
      <c r="D3870" t="s">
        <v>9925</v>
      </c>
      <c r="E3870" t="s">
        <v>10075</v>
      </c>
      <c r="F3870">
        <v>10026</v>
      </c>
      <c r="G3870" t="s">
        <v>10089</v>
      </c>
      <c r="H3870" t="s">
        <v>10154</v>
      </c>
      <c r="I3870" t="s">
        <v>10168</v>
      </c>
      <c r="J3870" t="s">
        <v>10209</v>
      </c>
      <c r="K3870" t="s">
        <v>10217</v>
      </c>
      <c r="M3870" t="s">
        <v>10270</v>
      </c>
      <c r="N3870" t="s">
        <v>10670</v>
      </c>
      <c r="P3870" t="s">
        <v>10754</v>
      </c>
      <c r="Q3870" t="s">
        <v>10777</v>
      </c>
      <c r="R3870" t="s">
        <v>10826</v>
      </c>
      <c r="T3870">
        <v>0</v>
      </c>
      <c r="U3870">
        <v>0</v>
      </c>
      <c r="V3870">
        <v>31</v>
      </c>
      <c r="W3870">
        <v>1</v>
      </c>
      <c r="X3870">
        <v>0</v>
      </c>
      <c r="Z3870">
        <v>0</v>
      </c>
      <c r="AA3870">
        <v>40.80439</v>
      </c>
      <c r="AB3870">
        <v>-73.953777</v>
      </c>
      <c r="AD3870" t="s">
        <v>10840</v>
      </c>
      <c r="AG3870" t="s">
        <v>10858</v>
      </c>
      <c r="AH3870" t="s">
        <v>10861</v>
      </c>
      <c r="AI3870">
        <v>234</v>
      </c>
      <c r="AJ3870" t="s">
        <v>10214</v>
      </c>
      <c r="AK3870" t="s">
        <v>10837</v>
      </c>
      <c r="AL3870">
        <v>0.85</v>
      </c>
      <c r="AM3870" t="s">
        <v>10887</v>
      </c>
      <c r="AN3870" t="s">
        <v>10936</v>
      </c>
      <c r="AO3870" t="s">
        <v>11016</v>
      </c>
      <c r="AP3870" t="s">
        <v>11076</v>
      </c>
      <c r="AR3870" t="s">
        <v>11267</v>
      </c>
      <c r="AS3870" t="s">
        <v>9925</v>
      </c>
      <c r="AT3870" t="s">
        <v>11642</v>
      </c>
      <c r="AX3870" t="s">
        <v>10838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</row>
    <row r="3871" spans="1:59">
      <c r="A3871" s="1">
        <f>HYPERLINK("https://lsnyc.legalserver.org/matter/dynamic-profile/view/1907993","19-1907993")</f>
        <v>0</v>
      </c>
      <c r="B3871" t="s">
        <v>3197</v>
      </c>
      <c r="C3871" t="s">
        <v>7988</v>
      </c>
      <c r="D3871" t="s">
        <v>9938</v>
      </c>
      <c r="E3871" t="s">
        <v>10075</v>
      </c>
      <c r="F3871">
        <v>11436</v>
      </c>
      <c r="G3871" t="s">
        <v>10092</v>
      </c>
      <c r="H3871" t="s">
        <v>10154</v>
      </c>
      <c r="I3871" t="s">
        <v>10168</v>
      </c>
      <c r="J3871" t="s">
        <v>10212</v>
      </c>
      <c r="K3871" t="s">
        <v>10217</v>
      </c>
      <c r="M3871" t="s">
        <v>10285</v>
      </c>
      <c r="N3871" t="s">
        <v>10695</v>
      </c>
      <c r="P3871" t="s">
        <v>10749</v>
      </c>
      <c r="Q3871" t="s">
        <v>10765</v>
      </c>
      <c r="R3871" t="s">
        <v>10824</v>
      </c>
      <c r="T3871">
        <v>27600</v>
      </c>
      <c r="U3871">
        <v>2300</v>
      </c>
      <c r="V3871">
        <v>56</v>
      </c>
      <c r="W3871">
        <v>2</v>
      </c>
      <c r="X3871">
        <v>1</v>
      </c>
      <c r="Z3871">
        <v>129.4</v>
      </c>
      <c r="AA3871">
        <v>40.672895</v>
      </c>
      <c r="AB3871">
        <v>-73.792458</v>
      </c>
      <c r="AD3871" t="s">
        <v>10840</v>
      </c>
      <c r="AG3871" t="s">
        <v>10858</v>
      </c>
      <c r="AH3871" t="s">
        <v>10862</v>
      </c>
      <c r="AI3871">
        <v>237</v>
      </c>
      <c r="AJ3871" t="s">
        <v>10212</v>
      </c>
      <c r="AL3871">
        <v>1.75</v>
      </c>
      <c r="AM3871" t="s">
        <v>10892</v>
      </c>
      <c r="AN3871" t="s">
        <v>10951</v>
      </c>
      <c r="AO3871" t="s">
        <v>11017</v>
      </c>
      <c r="AP3871" t="s">
        <v>11070</v>
      </c>
      <c r="AR3871" t="s">
        <v>11358</v>
      </c>
      <c r="AS3871" t="s">
        <v>11594</v>
      </c>
      <c r="BA3871" t="s">
        <v>11740</v>
      </c>
      <c r="BB3871">
        <v>0</v>
      </c>
      <c r="BC3871">
        <v>0</v>
      </c>
      <c r="BD3871">
        <v>0</v>
      </c>
      <c r="BE3871">
        <v>0</v>
      </c>
      <c r="BF3871">
        <v>2</v>
      </c>
      <c r="BG3871">
        <v>0</v>
      </c>
    </row>
    <row r="3872" spans="1:59">
      <c r="A3872" s="1">
        <f>HYPERLINK("https://lsnyc.legalserver.org/matter/dynamic-profile/view/1907995","19-1907995")</f>
        <v>0</v>
      </c>
      <c r="B3872" t="s">
        <v>3198</v>
      </c>
      <c r="C3872" t="s">
        <v>7568</v>
      </c>
      <c r="D3872" t="s">
        <v>9926</v>
      </c>
      <c r="E3872" t="s">
        <v>10075</v>
      </c>
      <c r="F3872">
        <v>10457</v>
      </c>
      <c r="G3872" t="s">
        <v>10090</v>
      </c>
      <c r="H3872" t="s">
        <v>10154</v>
      </c>
      <c r="I3872" t="s">
        <v>10169</v>
      </c>
      <c r="J3872" t="s">
        <v>10210</v>
      </c>
      <c r="K3872" t="s">
        <v>10217</v>
      </c>
      <c r="M3872" t="s">
        <v>10427</v>
      </c>
      <c r="N3872" t="s">
        <v>10650</v>
      </c>
      <c r="P3872" t="s">
        <v>10749</v>
      </c>
      <c r="Q3872" t="s">
        <v>10765</v>
      </c>
      <c r="R3872" t="s">
        <v>10823</v>
      </c>
      <c r="T3872">
        <v>22100</v>
      </c>
      <c r="U3872">
        <v>1841.67</v>
      </c>
      <c r="V3872">
        <v>43</v>
      </c>
      <c r="W3872">
        <v>1</v>
      </c>
      <c r="X3872">
        <v>0</v>
      </c>
      <c r="Z3872">
        <v>176.94</v>
      </c>
      <c r="AA3872">
        <v>40.840863</v>
      </c>
      <c r="AB3872">
        <v>-73.910656</v>
      </c>
      <c r="AD3872" t="s">
        <v>10840</v>
      </c>
      <c r="AG3872" t="s">
        <v>10858</v>
      </c>
      <c r="AH3872" t="s">
        <v>10862</v>
      </c>
      <c r="AI3872">
        <v>230</v>
      </c>
      <c r="AJ3872" t="s">
        <v>10210</v>
      </c>
      <c r="AL3872">
        <v>0</v>
      </c>
      <c r="AM3872" t="s">
        <v>10884</v>
      </c>
      <c r="AN3872" t="s">
        <v>10929</v>
      </c>
      <c r="AO3872" t="s">
        <v>11000</v>
      </c>
      <c r="AP3872" t="s">
        <v>11055</v>
      </c>
      <c r="AR3872" t="s">
        <v>11257</v>
      </c>
      <c r="AS3872" t="s">
        <v>9926</v>
      </c>
      <c r="BA3872" t="s">
        <v>11739</v>
      </c>
      <c r="BB3872">
        <v>0</v>
      </c>
      <c r="BC3872">
        <v>0</v>
      </c>
      <c r="BD3872">
        <v>0</v>
      </c>
      <c r="BE3872">
        <v>0</v>
      </c>
      <c r="BF3872">
        <v>4</v>
      </c>
      <c r="BG3872">
        <v>0</v>
      </c>
    </row>
    <row r="3873" spans="1:59">
      <c r="A3873" s="1">
        <f>HYPERLINK("https://lsnyc.legalserver.org/matter/dynamic-profile/view/1907996","19-1907996")</f>
        <v>0</v>
      </c>
      <c r="B3873" t="s">
        <v>3199</v>
      </c>
      <c r="C3873" t="s">
        <v>7989</v>
      </c>
      <c r="D3873" t="s">
        <v>9925</v>
      </c>
      <c r="E3873" t="s">
        <v>10075</v>
      </c>
      <c r="F3873">
        <v>10011</v>
      </c>
      <c r="G3873" t="s">
        <v>10089</v>
      </c>
      <c r="H3873" t="s">
        <v>10154</v>
      </c>
      <c r="I3873" t="s">
        <v>10168</v>
      </c>
      <c r="J3873" t="s">
        <v>10209</v>
      </c>
      <c r="K3873" t="s">
        <v>10217</v>
      </c>
      <c r="M3873" t="s">
        <v>10544</v>
      </c>
      <c r="N3873" t="s">
        <v>10707</v>
      </c>
      <c r="P3873" t="s">
        <v>10751</v>
      </c>
      <c r="Q3873" t="s">
        <v>10780</v>
      </c>
      <c r="R3873" t="s">
        <v>10820</v>
      </c>
      <c r="T3873">
        <v>9360</v>
      </c>
      <c r="U3873">
        <v>780</v>
      </c>
      <c r="V3873">
        <v>37</v>
      </c>
      <c r="W3873">
        <v>1</v>
      </c>
      <c r="X3873">
        <v>0</v>
      </c>
      <c r="Z3873">
        <v>74.94</v>
      </c>
      <c r="AA3873">
        <v>40.74493</v>
      </c>
      <c r="AB3873">
        <v>-73.995908</v>
      </c>
      <c r="AD3873" t="s">
        <v>10840</v>
      </c>
      <c r="AG3873" t="s">
        <v>10858</v>
      </c>
      <c r="AH3873" t="s">
        <v>10868</v>
      </c>
      <c r="AI3873">
        <v>236</v>
      </c>
      <c r="AJ3873" t="s">
        <v>10209</v>
      </c>
      <c r="AL3873">
        <v>10.45</v>
      </c>
      <c r="AM3873" t="s">
        <v>10891</v>
      </c>
      <c r="AN3873" t="s">
        <v>10966</v>
      </c>
      <c r="AO3873" t="s">
        <v>11021</v>
      </c>
      <c r="AP3873" t="s">
        <v>11090</v>
      </c>
      <c r="AR3873" t="s">
        <v>11263</v>
      </c>
      <c r="AS3873" t="s">
        <v>9925</v>
      </c>
      <c r="AT3873" t="s">
        <v>11642</v>
      </c>
      <c r="AX3873" t="s">
        <v>10837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</row>
    <row r="3874" spans="1:59">
      <c r="A3874" s="1">
        <f>HYPERLINK("https://lsnyc.legalserver.org/matter/dynamic-profile/view/1907997","19-1907997")</f>
        <v>0</v>
      </c>
      <c r="B3874" t="s">
        <v>3200</v>
      </c>
      <c r="C3874" t="s">
        <v>7990</v>
      </c>
      <c r="D3874" t="s">
        <v>9926</v>
      </c>
      <c r="E3874" t="s">
        <v>10075</v>
      </c>
      <c r="F3874">
        <v>10453</v>
      </c>
      <c r="G3874" t="s">
        <v>10090</v>
      </c>
      <c r="H3874" t="s">
        <v>10154</v>
      </c>
      <c r="I3874" t="s">
        <v>10169</v>
      </c>
      <c r="J3874" t="s">
        <v>10210</v>
      </c>
      <c r="K3874" t="s">
        <v>10217</v>
      </c>
      <c r="M3874" t="s">
        <v>10557</v>
      </c>
      <c r="N3874" t="s">
        <v>10666</v>
      </c>
      <c r="P3874" t="s">
        <v>10749</v>
      </c>
      <c r="Q3874" t="s">
        <v>10765</v>
      </c>
      <c r="R3874" t="s">
        <v>10823</v>
      </c>
      <c r="T3874">
        <v>20488</v>
      </c>
      <c r="U3874">
        <v>1707.33</v>
      </c>
      <c r="V3874">
        <v>60</v>
      </c>
      <c r="W3874">
        <v>3</v>
      </c>
      <c r="X3874">
        <v>0</v>
      </c>
      <c r="Z3874">
        <v>96.05</v>
      </c>
      <c r="AA3874">
        <v>40.852182</v>
      </c>
      <c r="AB3874">
        <v>-73.916584</v>
      </c>
      <c r="AD3874" t="s">
        <v>10840</v>
      </c>
      <c r="AG3874" t="s">
        <v>10858</v>
      </c>
      <c r="AH3874" t="s">
        <v>10861</v>
      </c>
      <c r="AI3874">
        <v>230</v>
      </c>
      <c r="AJ3874" t="s">
        <v>10210</v>
      </c>
      <c r="AL3874">
        <v>6.25</v>
      </c>
      <c r="AM3874" t="s">
        <v>10884</v>
      </c>
      <c r="AN3874" t="s">
        <v>10931</v>
      </c>
      <c r="AO3874" t="s">
        <v>11013</v>
      </c>
      <c r="AP3874" t="s">
        <v>11045</v>
      </c>
      <c r="AR3874" t="s">
        <v>11257</v>
      </c>
      <c r="AS3874" t="s">
        <v>9926</v>
      </c>
      <c r="AT3874" t="s">
        <v>11642</v>
      </c>
      <c r="AX3874" t="s">
        <v>10838</v>
      </c>
      <c r="BA3874" t="s">
        <v>11738</v>
      </c>
      <c r="BB3874">
        <v>0</v>
      </c>
      <c r="BC3874">
        <v>0</v>
      </c>
      <c r="BD3874">
        <v>0</v>
      </c>
      <c r="BE3874">
        <v>0</v>
      </c>
      <c r="BF3874">
        <v>5</v>
      </c>
      <c r="BG3874">
        <v>0</v>
      </c>
    </row>
    <row r="3875" spans="1:59">
      <c r="A3875" s="1">
        <f>HYPERLINK("https://lsnyc.legalserver.org/matter/dynamic-profile/view/1907998","19-1907998")</f>
        <v>0</v>
      </c>
      <c r="B3875" t="s">
        <v>3201</v>
      </c>
      <c r="C3875" t="s">
        <v>7991</v>
      </c>
      <c r="D3875" t="s">
        <v>9925</v>
      </c>
      <c r="E3875" t="s">
        <v>10075</v>
      </c>
      <c r="F3875">
        <v>10027</v>
      </c>
      <c r="G3875" t="s">
        <v>10092</v>
      </c>
      <c r="H3875" t="s">
        <v>10154</v>
      </c>
      <c r="I3875" t="s">
        <v>10169</v>
      </c>
      <c r="J3875" t="s">
        <v>10212</v>
      </c>
      <c r="K3875" t="s">
        <v>10217</v>
      </c>
      <c r="M3875" t="s">
        <v>10486</v>
      </c>
      <c r="N3875" t="s">
        <v>10673</v>
      </c>
      <c r="P3875" t="s">
        <v>10753</v>
      </c>
      <c r="Q3875" t="s">
        <v>10763</v>
      </c>
      <c r="R3875" t="s">
        <v>10823</v>
      </c>
      <c r="T3875">
        <v>0</v>
      </c>
      <c r="U3875">
        <v>0</v>
      </c>
      <c r="V3875">
        <v>21</v>
      </c>
      <c r="W3875">
        <v>1</v>
      </c>
      <c r="X3875">
        <v>0</v>
      </c>
      <c r="Z3875">
        <v>0</v>
      </c>
      <c r="AA3875">
        <v>40.810857</v>
      </c>
      <c r="AB3875">
        <v>-73.952078</v>
      </c>
      <c r="AD3875" t="s">
        <v>10840</v>
      </c>
      <c r="AF3875" t="s">
        <v>10842</v>
      </c>
      <c r="AG3875" t="s">
        <v>10859</v>
      </c>
      <c r="AH3875" t="s">
        <v>10864</v>
      </c>
      <c r="AI3875">
        <v>237</v>
      </c>
      <c r="AJ3875" t="s">
        <v>10212</v>
      </c>
      <c r="AL3875">
        <v>4.6</v>
      </c>
      <c r="AM3875" t="s">
        <v>10887</v>
      </c>
      <c r="AN3875" t="s">
        <v>10936</v>
      </c>
      <c r="AO3875" t="s">
        <v>11016</v>
      </c>
      <c r="AP3875" t="s">
        <v>11076</v>
      </c>
      <c r="AQ3875" t="s">
        <v>11198</v>
      </c>
      <c r="AR3875" t="s">
        <v>11267</v>
      </c>
      <c r="AS3875" t="s">
        <v>9925</v>
      </c>
      <c r="AT3875" t="s">
        <v>11642</v>
      </c>
      <c r="AX3875" t="s">
        <v>10837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</row>
    <row r="3876" spans="1:59">
      <c r="A3876" s="1">
        <f>HYPERLINK("https://lsnyc.legalserver.org/matter/dynamic-profile/view/1908000","19-1908000")</f>
        <v>0</v>
      </c>
      <c r="B3876" t="s">
        <v>3202</v>
      </c>
      <c r="C3876" t="s">
        <v>7992</v>
      </c>
      <c r="D3876" t="s">
        <v>9928</v>
      </c>
      <c r="E3876" t="s">
        <v>10075</v>
      </c>
      <c r="F3876">
        <v>11236</v>
      </c>
      <c r="G3876" t="s">
        <v>10091</v>
      </c>
      <c r="H3876" t="s">
        <v>10154</v>
      </c>
      <c r="I3876" t="s">
        <v>10168</v>
      </c>
      <c r="J3876" t="s">
        <v>10214</v>
      </c>
      <c r="K3876" t="s">
        <v>10217</v>
      </c>
      <c r="M3876" t="s">
        <v>10537</v>
      </c>
      <c r="N3876" t="s">
        <v>10671</v>
      </c>
      <c r="P3876" t="s">
        <v>10753</v>
      </c>
      <c r="Q3876" t="s">
        <v>10763</v>
      </c>
      <c r="R3876" t="s">
        <v>10824</v>
      </c>
      <c r="T3876">
        <v>15600</v>
      </c>
      <c r="U3876">
        <v>1300</v>
      </c>
      <c r="V3876">
        <v>64</v>
      </c>
      <c r="W3876">
        <v>2</v>
      </c>
      <c r="X3876">
        <v>1</v>
      </c>
      <c r="Z3876">
        <v>73.14</v>
      </c>
      <c r="AA3876">
        <v>40.635838</v>
      </c>
      <c r="AB3876">
        <v>-73.917778</v>
      </c>
      <c r="AD3876" t="s">
        <v>10840</v>
      </c>
      <c r="AF3876" t="s">
        <v>10843</v>
      </c>
      <c r="AG3876" t="s">
        <v>10859</v>
      </c>
      <c r="AH3876" t="s">
        <v>10871</v>
      </c>
      <c r="AI3876">
        <v>234</v>
      </c>
      <c r="AJ3876" t="s">
        <v>10214</v>
      </c>
      <c r="AL3876">
        <v>0.55</v>
      </c>
      <c r="AM3876" t="s">
        <v>10889</v>
      </c>
      <c r="AN3876" t="s">
        <v>10959</v>
      </c>
      <c r="AO3876" t="s">
        <v>11012</v>
      </c>
      <c r="AP3876" t="s">
        <v>11072</v>
      </c>
      <c r="AR3876" t="s">
        <v>11272</v>
      </c>
      <c r="AS3876" t="s">
        <v>11595</v>
      </c>
      <c r="AT3876" t="s">
        <v>11642</v>
      </c>
      <c r="AX3876" t="s">
        <v>10838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</row>
    <row r="3877" spans="1:59">
      <c r="A3877" s="1">
        <f>HYPERLINK("https://lsnyc.legalserver.org/matter/dynamic-profile/view/1908001","19-1908001")</f>
        <v>0</v>
      </c>
      <c r="B3877" t="s">
        <v>3203</v>
      </c>
      <c r="C3877" t="s">
        <v>7993</v>
      </c>
      <c r="D3877" t="s">
        <v>9928</v>
      </c>
      <c r="E3877" t="s">
        <v>10075</v>
      </c>
      <c r="F3877">
        <v>11203</v>
      </c>
      <c r="G3877" t="s">
        <v>10089</v>
      </c>
      <c r="H3877" t="s">
        <v>10154</v>
      </c>
      <c r="I3877" t="s">
        <v>10168</v>
      </c>
      <c r="J3877" t="s">
        <v>10209</v>
      </c>
      <c r="K3877" t="s">
        <v>10217</v>
      </c>
      <c r="M3877" t="s">
        <v>10490</v>
      </c>
      <c r="N3877" t="s">
        <v>10718</v>
      </c>
      <c r="O3877" t="s">
        <v>10718</v>
      </c>
      <c r="P3877" t="s">
        <v>10750</v>
      </c>
      <c r="Q3877" t="s">
        <v>10760</v>
      </c>
      <c r="R3877" t="s">
        <v>10824</v>
      </c>
      <c r="T3877">
        <v>74620</v>
      </c>
      <c r="U3877">
        <v>6218.33</v>
      </c>
      <c r="V3877">
        <v>42</v>
      </c>
      <c r="W3877">
        <v>1</v>
      </c>
      <c r="X3877">
        <v>2</v>
      </c>
      <c r="Z3877">
        <v>349.84</v>
      </c>
      <c r="AA3877">
        <v>40.652103</v>
      </c>
      <c r="AB3877">
        <v>-73.94566399999999</v>
      </c>
      <c r="AD3877" t="s">
        <v>10839</v>
      </c>
      <c r="AG3877" t="s">
        <v>10858</v>
      </c>
      <c r="AH3877" t="s">
        <v>10861</v>
      </c>
      <c r="AI3877">
        <v>234</v>
      </c>
      <c r="AJ3877" t="s">
        <v>10214</v>
      </c>
      <c r="AL3877">
        <v>1.25</v>
      </c>
      <c r="AM3877" t="s">
        <v>10888</v>
      </c>
      <c r="AN3877" t="s">
        <v>10912</v>
      </c>
      <c r="AO3877" t="s">
        <v>11005</v>
      </c>
      <c r="AP3877" t="s">
        <v>11050</v>
      </c>
      <c r="AR3877" t="s">
        <v>11343</v>
      </c>
      <c r="AS3877" t="s">
        <v>11595</v>
      </c>
      <c r="AT3877" t="s">
        <v>11641</v>
      </c>
      <c r="AX3877" t="s">
        <v>10838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</row>
    <row r="3878" spans="1:59">
      <c r="A3878" s="1">
        <f>HYPERLINK("https://lsnyc.legalserver.org/matter/dynamic-profile/view/1908003","19-1908003")</f>
        <v>0</v>
      </c>
      <c r="B3878" t="s">
        <v>3204</v>
      </c>
      <c r="C3878" t="s">
        <v>7994</v>
      </c>
      <c r="D3878" t="s">
        <v>9928</v>
      </c>
      <c r="E3878" t="s">
        <v>10075</v>
      </c>
      <c r="F3878">
        <v>11226</v>
      </c>
      <c r="G3878" t="s">
        <v>10088</v>
      </c>
      <c r="H3878" t="s">
        <v>10157</v>
      </c>
      <c r="I3878" t="s">
        <v>10168</v>
      </c>
      <c r="J3878" t="s">
        <v>10208</v>
      </c>
      <c r="K3878" t="s">
        <v>10217</v>
      </c>
      <c r="M3878" t="s">
        <v>10466</v>
      </c>
      <c r="N3878" t="s">
        <v>10673</v>
      </c>
      <c r="P3878" t="s">
        <v>10753</v>
      </c>
      <c r="Q3878" t="s">
        <v>10763</v>
      </c>
      <c r="R3878" t="s">
        <v>10824</v>
      </c>
      <c r="T3878">
        <v>12000</v>
      </c>
      <c r="U3878">
        <v>1000</v>
      </c>
      <c r="V3878">
        <v>41</v>
      </c>
      <c r="W3878">
        <v>1</v>
      </c>
      <c r="X3878">
        <v>0</v>
      </c>
      <c r="Z3878">
        <v>96.08</v>
      </c>
      <c r="AA3878">
        <v>40.647092</v>
      </c>
      <c r="AB3878">
        <v>-73.953616</v>
      </c>
      <c r="AD3878" t="s">
        <v>10840</v>
      </c>
      <c r="AF3878" t="s">
        <v>10842</v>
      </c>
      <c r="AG3878" t="s">
        <v>10859</v>
      </c>
      <c r="AH3878" t="s">
        <v>10864</v>
      </c>
      <c r="AI3878">
        <v>237</v>
      </c>
      <c r="AJ3878" t="s">
        <v>10212</v>
      </c>
      <c r="AL3878">
        <v>6</v>
      </c>
      <c r="AQ3878" t="s">
        <v>11204</v>
      </c>
      <c r="AR3878" t="s">
        <v>10180</v>
      </c>
      <c r="AS3878" t="s">
        <v>11595</v>
      </c>
      <c r="AT3878" t="s">
        <v>11642</v>
      </c>
      <c r="AX3878" t="s">
        <v>10837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</row>
    <row r="3879" spans="1:59">
      <c r="A3879" s="1">
        <f>HYPERLINK("https://lsnyc.legalserver.org/matter/dynamic-profile/view/1908004","19-1908004")</f>
        <v>0</v>
      </c>
      <c r="B3879" t="s">
        <v>3205</v>
      </c>
      <c r="C3879" t="s">
        <v>7995</v>
      </c>
      <c r="D3879" t="s">
        <v>9928</v>
      </c>
      <c r="E3879" t="s">
        <v>10075</v>
      </c>
      <c r="F3879">
        <v>11232</v>
      </c>
      <c r="G3879" t="s">
        <v>10093</v>
      </c>
      <c r="H3879" t="s">
        <v>10154</v>
      </c>
      <c r="I3879" t="s">
        <v>10169</v>
      </c>
      <c r="J3879" t="s">
        <v>10213</v>
      </c>
      <c r="K3879" t="s">
        <v>10217</v>
      </c>
      <c r="M3879" t="s">
        <v>10420</v>
      </c>
      <c r="N3879" t="s">
        <v>10649</v>
      </c>
      <c r="P3879" t="s">
        <v>10753</v>
      </c>
      <c r="Q3879" t="s">
        <v>10763</v>
      </c>
      <c r="R3879" t="s">
        <v>10821</v>
      </c>
      <c r="T3879">
        <v>58000</v>
      </c>
      <c r="U3879">
        <v>4833.33</v>
      </c>
      <c r="V3879">
        <v>49</v>
      </c>
      <c r="W3879">
        <v>2</v>
      </c>
      <c r="X3879">
        <v>1</v>
      </c>
      <c r="Z3879">
        <v>271.92</v>
      </c>
      <c r="AA3879">
        <v>40.649435</v>
      </c>
      <c r="AB3879">
        <v>-74.003441</v>
      </c>
      <c r="AD3879" t="s">
        <v>10839</v>
      </c>
      <c r="AF3879" t="s">
        <v>10845</v>
      </c>
      <c r="AG3879" t="s">
        <v>10859</v>
      </c>
      <c r="AH3879" t="s">
        <v>10864</v>
      </c>
      <c r="AI3879">
        <v>239</v>
      </c>
      <c r="AJ3879" t="s">
        <v>10213</v>
      </c>
      <c r="AL3879">
        <v>5.1</v>
      </c>
      <c r="AM3879" t="s">
        <v>10886</v>
      </c>
      <c r="AN3879" t="s">
        <v>10921</v>
      </c>
      <c r="AO3879" t="s">
        <v>11015</v>
      </c>
      <c r="AP3879" t="s">
        <v>11069</v>
      </c>
      <c r="AQ3879" t="s">
        <v>11142</v>
      </c>
      <c r="AR3879" t="s">
        <v>11257</v>
      </c>
      <c r="AS3879" t="s">
        <v>11595</v>
      </c>
      <c r="AX3879" t="s">
        <v>10838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</row>
    <row r="3880" spans="1:59">
      <c r="A3880" s="1">
        <f>HYPERLINK("https://lsnyc.legalserver.org/matter/dynamic-profile/view/1908005","19-1908005")</f>
        <v>0</v>
      </c>
      <c r="B3880" t="s">
        <v>3206</v>
      </c>
      <c r="C3880" t="s">
        <v>7996</v>
      </c>
      <c r="D3880" t="s">
        <v>9926</v>
      </c>
      <c r="E3880" t="s">
        <v>10075</v>
      </c>
      <c r="F3880">
        <v>10456</v>
      </c>
      <c r="G3880" t="s">
        <v>10090</v>
      </c>
      <c r="H3880" t="s">
        <v>10154</v>
      </c>
      <c r="I3880" t="s">
        <v>10168</v>
      </c>
      <c r="J3880" t="s">
        <v>10210</v>
      </c>
      <c r="K3880" t="s">
        <v>10218</v>
      </c>
      <c r="L3880" t="s">
        <v>10158</v>
      </c>
      <c r="M3880" t="s">
        <v>10283</v>
      </c>
      <c r="N3880" t="s">
        <v>10671</v>
      </c>
      <c r="P3880" t="s">
        <v>10751</v>
      </c>
      <c r="Q3880" t="s">
        <v>10796</v>
      </c>
      <c r="R3880" t="s">
        <v>10824</v>
      </c>
      <c r="T3880">
        <v>5268</v>
      </c>
      <c r="U3880">
        <v>439</v>
      </c>
      <c r="V3880">
        <v>50</v>
      </c>
      <c r="W3880">
        <v>2</v>
      </c>
      <c r="X3880">
        <v>2</v>
      </c>
      <c r="Y3880" t="s">
        <v>10834</v>
      </c>
      <c r="Z3880">
        <v>20.46</v>
      </c>
      <c r="AA3880">
        <v>40.827139</v>
      </c>
      <c r="AB3880">
        <v>-73.902708</v>
      </c>
      <c r="AD3880" t="s">
        <v>10839</v>
      </c>
      <c r="AG3880" t="s">
        <v>10858</v>
      </c>
      <c r="AH3880" t="s">
        <v>10862</v>
      </c>
      <c r="AI3880">
        <v>230</v>
      </c>
      <c r="AJ3880" t="s">
        <v>10210</v>
      </c>
      <c r="AK3880" t="s">
        <v>10882</v>
      </c>
      <c r="AL3880">
        <v>2</v>
      </c>
      <c r="AM3880" t="s">
        <v>10884</v>
      </c>
      <c r="AN3880" t="s">
        <v>10918</v>
      </c>
      <c r="AO3880" t="s">
        <v>11001</v>
      </c>
      <c r="AP3880" t="s">
        <v>11055</v>
      </c>
      <c r="AR3880" t="s">
        <v>11255</v>
      </c>
      <c r="AS3880" t="s">
        <v>9926</v>
      </c>
      <c r="AY3880" t="s">
        <v>10834</v>
      </c>
      <c r="AZ3880" t="s">
        <v>11688</v>
      </c>
      <c r="BB3880">
        <v>0</v>
      </c>
      <c r="BC3880">
        <v>0</v>
      </c>
      <c r="BD3880">
        <v>1457</v>
      </c>
      <c r="BE3880">
        <v>0</v>
      </c>
      <c r="BF3880">
        <v>0</v>
      </c>
      <c r="BG3880">
        <v>0</v>
      </c>
    </row>
    <row r="3881" spans="1:59">
      <c r="A3881" s="1">
        <f>HYPERLINK("https://lsnyc.legalserver.org/matter/dynamic-profile/view/1908006","19-1908006")</f>
        <v>0</v>
      </c>
      <c r="B3881" t="s">
        <v>3207</v>
      </c>
      <c r="C3881" t="s">
        <v>7568</v>
      </c>
      <c r="D3881" t="s">
        <v>9926</v>
      </c>
      <c r="E3881" t="s">
        <v>10075</v>
      </c>
      <c r="F3881">
        <v>10457</v>
      </c>
      <c r="G3881" t="s">
        <v>10090</v>
      </c>
      <c r="H3881" t="s">
        <v>10154</v>
      </c>
      <c r="I3881" t="s">
        <v>10169</v>
      </c>
      <c r="J3881" t="s">
        <v>10210</v>
      </c>
      <c r="K3881" t="s">
        <v>10217</v>
      </c>
      <c r="M3881" t="s">
        <v>10427</v>
      </c>
      <c r="N3881" t="s">
        <v>10650</v>
      </c>
      <c r="P3881" t="s">
        <v>10749</v>
      </c>
      <c r="Q3881" t="s">
        <v>10765</v>
      </c>
      <c r="R3881" t="s">
        <v>10823</v>
      </c>
      <c r="T3881">
        <v>0</v>
      </c>
      <c r="U3881">
        <v>0</v>
      </c>
      <c r="V3881">
        <v>80</v>
      </c>
      <c r="W3881">
        <v>1</v>
      </c>
      <c r="X3881">
        <v>0</v>
      </c>
      <c r="Z3881">
        <v>0</v>
      </c>
      <c r="AA3881">
        <v>40.840863</v>
      </c>
      <c r="AB3881">
        <v>-73.910656</v>
      </c>
      <c r="AD3881" t="s">
        <v>10840</v>
      </c>
      <c r="AF3881" t="s">
        <v>10843</v>
      </c>
      <c r="AG3881" t="s">
        <v>10859</v>
      </c>
      <c r="AH3881" t="s">
        <v>10862</v>
      </c>
      <c r="AI3881">
        <v>230</v>
      </c>
      <c r="AJ3881" t="s">
        <v>10210</v>
      </c>
      <c r="AL3881">
        <v>0</v>
      </c>
      <c r="AM3881" t="s">
        <v>10884</v>
      </c>
      <c r="AN3881" t="s">
        <v>10929</v>
      </c>
      <c r="AO3881" t="s">
        <v>11000</v>
      </c>
      <c r="AP3881" t="s">
        <v>11055</v>
      </c>
      <c r="AR3881" t="s">
        <v>11306</v>
      </c>
      <c r="AS3881" t="s">
        <v>9926</v>
      </c>
      <c r="BA3881" t="s">
        <v>11739</v>
      </c>
      <c r="BB3881">
        <v>0</v>
      </c>
      <c r="BC3881">
        <v>0</v>
      </c>
      <c r="BD3881">
        <v>0</v>
      </c>
      <c r="BE3881">
        <v>0</v>
      </c>
      <c r="BF3881">
        <v>4</v>
      </c>
      <c r="BG3881">
        <v>0</v>
      </c>
    </row>
    <row r="3882" spans="1:59">
      <c r="A3882" s="1">
        <f>HYPERLINK("https://lsnyc.legalserver.org/matter/dynamic-profile/view/1908008","19-1908008")</f>
        <v>0</v>
      </c>
      <c r="B3882" t="s">
        <v>394</v>
      </c>
      <c r="C3882" t="s">
        <v>7997</v>
      </c>
      <c r="D3882" t="s">
        <v>9926</v>
      </c>
      <c r="E3882" t="s">
        <v>10075</v>
      </c>
      <c r="F3882">
        <v>10468</v>
      </c>
      <c r="G3882" t="s">
        <v>10090</v>
      </c>
      <c r="H3882" t="s">
        <v>10154</v>
      </c>
      <c r="I3882" t="s">
        <v>10169</v>
      </c>
      <c r="J3882" t="s">
        <v>10210</v>
      </c>
      <c r="K3882" t="s">
        <v>10218</v>
      </c>
      <c r="L3882" t="s">
        <v>10158</v>
      </c>
      <c r="M3882" t="s">
        <v>10283</v>
      </c>
      <c r="N3882" t="s">
        <v>10671</v>
      </c>
      <c r="P3882" t="s">
        <v>10751</v>
      </c>
      <c r="Q3882" t="s">
        <v>10761</v>
      </c>
      <c r="R3882" t="s">
        <v>10823</v>
      </c>
      <c r="T3882">
        <v>28904.4</v>
      </c>
      <c r="U3882">
        <v>2408.7</v>
      </c>
      <c r="V3882">
        <v>38</v>
      </c>
      <c r="W3882">
        <v>1</v>
      </c>
      <c r="X3882">
        <v>4</v>
      </c>
      <c r="Y3882" t="s">
        <v>10834</v>
      </c>
      <c r="Z3882">
        <v>95.81</v>
      </c>
      <c r="AA3882">
        <v>40.859537</v>
      </c>
      <c r="AB3882">
        <v>-73.90576799999999</v>
      </c>
      <c r="AD3882" t="s">
        <v>10839</v>
      </c>
      <c r="AF3882" t="s">
        <v>10843</v>
      </c>
      <c r="AG3882" t="s">
        <v>10858</v>
      </c>
      <c r="AH3882" t="s">
        <v>10862</v>
      </c>
      <c r="AI3882">
        <v>230</v>
      </c>
      <c r="AJ3882" t="s">
        <v>10210</v>
      </c>
      <c r="AK3882" t="s">
        <v>10882</v>
      </c>
      <c r="AL3882">
        <v>4.75</v>
      </c>
      <c r="AM3882" t="s">
        <v>10884</v>
      </c>
      <c r="AN3882" t="s">
        <v>10931</v>
      </c>
      <c r="AO3882" t="s">
        <v>11000</v>
      </c>
      <c r="AP3882" t="s">
        <v>11045</v>
      </c>
      <c r="AR3882" t="s">
        <v>11287</v>
      </c>
      <c r="AS3882" t="s">
        <v>9926</v>
      </c>
      <c r="AY3882" t="s">
        <v>10834</v>
      </c>
      <c r="AZ3882" t="s">
        <v>11688</v>
      </c>
      <c r="BB3882">
        <v>2501</v>
      </c>
      <c r="BC3882">
        <v>0</v>
      </c>
      <c r="BD3882">
        <v>0</v>
      </c>
      <c r="BE3882">
        <v>0</v>
      </c>
      <c r="BF3882">
        <v>0</v>
      </c>
      <c r="BG3882">
        <v>0</v>
      </c>
    </row>
    <row r="3883" spans="1:59">
      <c r="A3883" s="1">
        <f>HYPERLINK("https://lsnyc.legalserver.org/matter/dynamic-profile/view/1908009","19-1908009")</f>
        <v>0</v>
      </c>
      <c r="B3883" t="s">
        <v>3208</v>
      </c>
      <c r="C3883" t="s">
        <v>7998</v>
      </c>
      <c r="D3883" t="s">
        <v>9928</v>
      </c>
      <c r="E3883" t="s">
        <v>10075</v>
      </c>
      <c r="F3883">
        <v>11233</v>
      </c>
      <c r="G3883" t="s">
        <v>10093</v>
      </c>
      <c r="H3883" t="s">
        <v>10154</v>
      </c>
      <c r="I3883" t="s">
        <v>10197</v>
      </c>
      <c r="J3883" t="s">
        <v>10213</v>
      </c>
      <c r="K3883" t="s">
        <v>10217</v>
      </c>
      <c r="M3883" t="s">
        <v>10420</v>
      </c>
      <c r="N3883" t="s">
        <v>10673</v>
      </c>
      <c r="P3883" t="s">
        <v>10753</v>
      </c>
      <c r="Q3883" t="s">
        <v>10763</v>
      </c>
      <c r="R3883" t="s">
        <v>10820</v>
      </c>
      <c r="T3883">
        <v>0</v>
      </c>
      <c r="U3883">
        <v>0</v>
      </c>
      <c r="V3883">
        <v>63</v>
      </c>
      <c r="W3883">
        <v>1</v>
      </c>
      <c r="X3883">
        <v>0</v>
      </c>
      <c r="Z3883">
        <v>0</v>
      </c>
      <c r="AA3883">
        <v>40.675738</v>
      </c>
      <c r="AB3883">
        <v>-73.905348</v>
      </c>
      <c r="AD3883" t="s">
        <v>10839</v>
      </c>
      <c r="AF3883" t="s">
        <v>10842</v>
      </c>
      <c r="AG3883" t="s">
        <v>10859</v>
      </c>
      <c r="AH3883" t="s">
        <v>10864</v>
      </c>
      <c r="AI3883">
        <v>239</v>
      </c>
      <c r="AJ3883" t="s">
        <v>10213</v>
      </c>
      <c r="AL3883">
        <v>3.1</v>
      </c>
      <c r="AM3883" t="s">
        <v>10889</v>
      </c>
      <c r="AN3883" t="s">
        <v>10922</v>
      </c>
      <c r="AO3883" t="s">
        <v>11012</v>
      </c>
      <c r="AP3883" t="s">
        <v>11058</v>
      </c>
      <c r="AQ3883" t="s">
        <v>11119</v>
      </c>
      <c r="AR3883" t="s">
        <v>11267</v>
      </c>
      <c r="AS3883" t="s">
        <v>11595</v>
      </c>
      <c r="AX3883" t="s">
        <v>10838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</row>
    <row r="3884" spans="1:59">
      <c r="A3884" s="1">
        <f>HYPERLINK("https://lsnyc.legalserver.org/matter/dynamic-profile/view/1908011","19-1908011")</f>
        <v>0</v>
      </c>
      <c r="B3884" t="s">
        <v>2173</v>
      </c>
      <c r="C3884" t="s">
        <v>6963</v>
      </c>
      <c r="D3884" t="s">
        <v>9926</v>
      </c>
      <c r="E3884" t="s">
        <v>10075</v>
      </c>
      <c r="F3884">
        <v>10453</v>
      </c>
      <c r="G3884" t="s">
        <v>10090</v>
      </c>
      <c r="H3884" t="s">
        <v>10154</v>
      </c>
      <c r="I3884" t="s">
        <v>10169</v>
      </c>
      <c r="J3884" t="s">
        <v>10210</v>
      </c>
      <c r="K3884" t="s">
        <v>10218</v>
      </c>
      <c r="L3884" t="s">
        <v>10158</v>
      </c>
      <c r="M3884" t="s">
        <v>10283</v>
      </c>
      <c r="N3884" t="s">
        <v>10671</v>
      </c>
      <c r="P3884" t="s">
        <v>10749</v>
      </c>
      <c r="Q3884" t="s">
        <v>10791</v>
      </c>
      <c r="R3884" t="s">
        <v>10821</v>
      </c>
      <c r="T3884">
        <v>31200</v>
      </c>
      <c r="U3884">
        <v>2600</v>
      </c>
      <c r="V3884">
        <v>28</v>
      </c>
      <c r="W3884">
        <v>2</v>
      </c>
      <c r="X3884">
        <v>2</v>
      </c>
      <c r="Y3884" t="s">
        <v>10829</v>
      </c>
      <c r="Z3884">
        <v>121.17</v>
      </c>
      <c r="AA3884">
        <v>40.853207</v>
      </c>
      <c r="AB3884">
        <v>-73.904719</v>
      </c>
      <c r="AD3884" t="s">
        <v>10839</v>
      </c>
      <c r="AF3884" t="s">
        <v>10843</v>
      </c>
      <c r="AG3884" t="s">
        <v>10859</v>
      </c>
      <c r="AH3884" t="s">
        <v>10861</v>
      </c>
      <c r="AI3884">
        <v>234</v>
      </c>
      <c r="AJ3884" t="s">
        <v>10214</v>
      </c>
      <c r="AK3884" t="s">
        <v>10838</v>
      </c>
      <c r="AL3884">
        <v>3</v>
      </c>
      <c r="AR3884" t="s">
        <v>11257</v>
      </c>
      <c r="AS3884" t="s">
        <v>9926</v>
      </c>
      <c r="AY3884" t="s">
        <v>10829</v>
      </c>
      <c r="AZ3884" t="s">
        <v>11681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</row>
    <row r="3885" spans="1:59">
      <c r="A3885" s="1">
        <f>HYPERLINK("https://lsnyc.legalserver.org/matter/dynamic-profile/view/1908012","19-1908012")</f>
        <v>0</v>
      </c>
      <c r="B3885" t="s">
        <v>3209</v>
      </c>
      <c r="C3885" t="s">
        <v>7999</v>
      </c>
      <c r="D3885" t="s">
        <v>9928</v>
      </c>
      <c r="E3885" t="s">
        <v>10075</v>
      </c>
      <c r="F3885">
        <v>11221</v>
      </c>
      <c r="G3885" t="s">
        <v>10093</v>
      </c>
      <c r="H3885" t="s">
        <v>10111</v>
      </c>
      <c r="I3885" t="s">
        <v>10168</v>
      </c>
      <c r="J3885" t="s">
        <v>10213</v>
      </c>
      <c r="K3885" t="s">
        <v>10217</v>
      </c>
      <c r="M3885" t="s">
        <v>10429</v>
      </c>
      <c r="N3885" t="s">
        <v>10667</v>
      </c>
      <c r="P3885" t="s">
        <v>10749</v>
      </c>
      <c r="Q3885" t="s">
        <v>10765</v>
      </c>
      <c r="R3885" t="s">
        <v>10824</v>
      </c>
      <c r="T3885">
        <v>35180</v>
      </c>
      <c r="U3885">
        <v>2931.67</v>
      </c>
      <c r="V3885">
        <v>69</v>
      </c>
      <c r="W3885">
        <v>2</v>
      </c>
      <c r="X3885">
        <v>3</v>
      </c>
      <c r="Z3885">
        <v>116.61</v>
      </c>
      <c r="AA3885">
        <v>40.686715</v>
      </c>
      <c r="AB3885">
        <v>-73.929957</v>
      </c>
      <c r="AD3885" t="s">
        <v>10839</v>
      </c>
      <c r="AG3885" t="s">
        <v>10858</v>
      </c>
      <c r="AH3885" t="s">
        <v>10862</v>
      </c>
      <c r="AI3885">
        <v>239</v>
      </c>
      <c r="AJ3885" t="s">
        <v>10213</v>
      </c>
      <c r="AL3885">
        <v>0.5</v>
      </c>
      <c r="AR3885" t="s">
        <v>11282</v>
      </c>
      <c r="AS3885" t="s">
        <v>11595</v>
      </c>
      <c r="AT3885" t="s">
        <v>11641</v>
      </c>
      <c r="BA3885" t="s">
        <v>11738</v>
      </c>
      <c r="BB3885">
        <v>0</v>
      </c>
      <c r="BC3885">
        <v>0</v>
      </c>
      <c r="BD3885">
        <v>0</v>
      </c>
      <c r="BE3885">
        <v>0</v>
      </c>
      <c r="BF3885">
        <v>5</v>
      </c>
      <c r="BG3885">
        <v>0</v>
      </c>
    </row>
    <row r="3886" spans="1:59">
      <c r="A3886" s="1">
        <f>HYPERLINK("https://lsnyc.legalserver.org/matter/dynamic-profile/view/1908013","19-1908013")</f>
        <v>0</v>
      </c>
      <c r="B3886" t="s">
        <v>3210</v>
      </c>
      <c r="C3886" t="s">
        <v>5742</v>
      </c>
      <c r="D3886" t="s">
        <v>9926</v>
      </c>
      <c r="E3886" t="s">
        <v>10075</v>
      </c>
      <c r="F3886">
        <v>10460</v>
      </c>
      <c r="G3886" t="s">
        <v>10090</v>
      </c>
      <c r="H3886" t="s">
        <v>10111</v>
      </c>
      <c r="I3886" t="s">
        <v>10168</v>
      </c>
      <c r="J3886" t="s">
        <v>10210</v>
      </c>
      <c r="K3886" t="s">
        <v>10217</v>
      </c>
      <c r="M3886" t="s">
        <v>10346</v>
      </c>
      <c r="N3886" t="s">
        <v>10688</v>
      </c>
      <c r="P3886" t="s">
        <v>10754</v>
      </c>
      <c r="Q3886" t="s">
        <v>10766</v>
      </c>
      <c r="R3886" t="s">
        <v>10820</v>
      </c>
      <c r="T3886">
        <v>8860.08</v>
      </c>
      <c r="U3886">
        <v>738.34</v>
      </c>
      <c r="V3886">
        <v>44</v>
      </c>
      <c r="W3886">
        <v>1</v>
      </c>
      <c r="X3886">
        <v>2</v>
      </c>
      <c r="Z3886">
        <v>41.54</v>
      </c>
      <c r="AA3886">
        <v>40.841921</v>
      </c>
      <c r="AB3886">
        <v>-73.879324</v>
      </c>
      <c r="AD3886" t="s">
        <v>10839</v>
      </c>
      <c r="AG3886" t="s">
        <v>10858</v>
      </c>
      <c r="AH3886" t="s">
        <v>10865</v>
      </c>
      <c r="AI3886">
        <v>230</v>
      </c>
      <c r="AJ3886" t="s">
        <v>10210</v>
      </c>
      <c r="AL3886">
        <v>1.75</v>
      </c>
      <c r="AM3886" t="s">
        <v>10884</v>
      </c>
      <c r="AN3886" t="s">
        <v>10908</v>
      </c>
      <c r="AO3886" t="s">
        <v>11001</v>
      </c>
      <c r="AP3886" t="s">
        <v>11056</v>
      </c>
      <c r="AQ3886" t="s">
        <v>11112</v>
      </c>
      <c r="AR3886" t="s">
        <v>11296</v>
      </c>
      <c r="AS3886" t="s">
        <v>9926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</row>
    <row r="3887" spans="1:59">
      <c r="A3887" s="1">
        <f>HYPERLINK("https://lsnyc.legalserver.org/matter/dynamic-profile/view/1908014","19-1908014")</f>
        <v>0</v>
      </c>
      <c r="B3887" t="s">
        <v>3211</v>
      </c>
      <c r="C3887" t="s">
        <v>8000</v>
      </c>
      <c r="D3887" t="s">
        <v>9925</v>
      </c>
      <c r="E3887" t="s">
        <v>10075</v>
      </c>
      <c r="F3887">
        <v>10025</v>
      </c>
      <c r="G3887" t="s">
        <v>10089</v>
      </c>
      <c r="H3887" t="s">
        <v>10111</v>
      </c>
      <c r="I3887" t="s">
        <v>10171</v>
      </c>
      <c r="J3887" t="s">
        <v>10209</v>
      </c>
      <c r="K3887" t="s">
        <v>10217</v>
      </c>
      <c r="M3887" t="s">
        <v>10288</v>
      </c>
      <c r="N3887" t="s">
        <v>10665</v>
      </c>
      <c r="P3887" t="s">
        <v>10751</v>
      </c>
      <c r="Q3887" t="s">
        <v>10773</v>
      </c>
      <c r="R3887" t="s">
        <v>10820</v>
      </c>
      <c r="T3887">
        <v>0</v>
      </c>
      <c r="U3887">
        <v>0</v>
      </c>
      <c r="V3887">
        <v>30</v>
      </c>
      <c r="W3887">
        <v>2</v>
      </c>
      <c r="X3887">
        <v>0</v>
      </c>
      <c r="Z3887">
        <v>0</v>
      </c>
      <c r="AA3887">
        <v>40.797446</v>
      </c>
      <c r="AB3887">
        <v>-73.96202</v>
      </c>
      <c r="AD3887" t="s">
        <v>10839</v>
      </c>
      <c r="AF3887" t="s">
        <v>10842</v>
      </c>
      <c r="AG3887" t="s">
        <v>10859</v>
      </c>
      <c r="AH3887" t="s">
        <v>10861</v>
      </c>
      <c r="AI3887">
        <v>236</v>
      </c>
      <c r="AJ3887" t="s">
        <v>10209</v>
      </c>
      <c r="AL3887">
        <v>1.25</v>
      </c>
      <c r="AM3887" t="s">
        <v>10887</v>
      </c>
      <c r="AN3887" t="s">
        <v>10953</v>
      </c>
      <c r="AO3887" t="s">
        <v>11016</v>
      </c>
      <c r="AP3887" t="s">
        <v>11073</v>
      </c>
      <c r="AR3887" t="s">
        <v>11267</v>
      </c>
      <c r="AS3887" t="s">
        <v>9925</v>
      </c>
      <c r="AT3887" t="s">
        <v>11641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</row>
    <row r="3888" spans="1:59">
      <c r="A3888" s="1">
        <f>HYPERLINK("https://lsnyc.legalserver.org/matter/dynamic-profile/view/1908015","19-1908015")</f>
        <v>0</v>
      </c>
      <c r="B3888" t="s">
        <v>2427</v>
      </c>
      <c r="C3888" t="s">
        <v>7208</v>
      </c>
      <c r="D3888" t="s">
        <v>9925</v>
      </c>
      <c r="E3888" t="s">
        <v>10075</v>
      </c>
      <c r="F3888">
        <v>10009</v>
      </c>
      <c r="G3888" t="s">
        <v>10089</v>
      </c>
      <c r="H3888" t="s">
        <v>10111</v>
      </c>
      <c r="I3888" t="s">
        <v>10168</v>
      </c>
      <c r="J3888" t="s">
        <v>10209</v>
      </c>
      <c r="K3888" t="s">
        <v>10217</v>
      </c>
      <c r="M3888" t="s">
        <v>10402</v>
      </c>
      <c r="N3888" t="s">
        <v>10691</v>
      </c>
      <c r="P3888" t="s">
        <v>10754</v>
      </c>
      <c r="Q3888" t="s">
        <v>10784</v>
      </c>
      <c r="R3888" t="s">
        <v>10825</v>
      </c>
      <c r="T3888">
        <v>0</v>
      </c>
      <c r="U3888">
        <v>0</v>
      </c>
      <c r="V3888">
        <v>37</v>
      </c>
      <c r="W3888">
        <v>1</v>
      </c>
      <c r="X3888">
        <v>0</v>
      </c>
      <c r="Z3888">
        <v>0</v>
      </c>
      <c r="AA3888">
        <v>40.732411</v>
      </c>
      <c r="AB3888">
        <v>-73.980375</v>
      </c>
      <c r="AD3888" t="s">
        <v>10841</v>
      </c>
      <c r="AG3888" t="s">
        <v>10858</v>
      </c>
      <c r="AH3888" t="s">
        <v>10868</v>
      </c>
      <c r="AI3888">
        <v>234</v>
      </c>
      <c r="AJ3888" t="s">
        <v>10214</v>
      </c>
      <c r="AL3888">
        <v>0.4</v>
      </c>
      <c r="AM3888" t="s">
        <v>10891</v>
      </c>
      <c r="AN3888" t="s">
        <v>10910</v>
      </c>
      <c r="AO3888" t="s">
        <v>11021</v>
      </c>
      <c r="AP3888" t="s">
        <v>11091</v>
      </c>
      <c r="AQ3888" t="s">
        <v>11117</v>
      </c>
      <c r="AR3888" t="s">
        <v>11267</v>
      </c>
      <c r="AS3888" t="s">
        <v>9925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</row>
    <row r="3889" spans="1:59">
      <c r="A3889" s="1">
        <f>HYPERLINK("https://lsnyc.legalserver.org/matter/dynamic-profile/view/1908016","19-1908016")</f>
        <v>0</v>
      </c>
      <c r="B3889" t="s">
        <v>1577</v>
      </c>
      <c r="C3889" t="s">
        <v>7568</v>
      </c>
      <c r="D3889" t="s">
        <v>9926</v>
      </c>
      <c r="E3889" t="s">
        <v>10075</v>
      </c>
      <c r="F3889">
        <v>10457</v>
      </c>
      <c r="G3889" t="s">
        <v>10090</v>
      </c>
      <c r="H3889" t="s">
        <v>10111</v>
      </c>
      <c r="I3889" t="s">
        <v>10169</v>
      </c>
      <c r="J3889" t="s">
        <v>10210</v>
      </c>
      <c r="K3889" t="s">
        <v>10217</v>
      </c>
      <c r="M3889" t="s">
        <v>10427</v>
      </c>
      <c r="N3889" t="s">
        <v>10650</v>
      </c>
      <c r="P3889" t="s">
        <v>10749</v>
      </c>
      <c r="Q3889" t="s">
        <v>10765</v>
      </c>
      <c r="R3889" t="s">
        <v>10821</v>
      </c>
      <c r="T3889">
        <v>9204</v>
      </c>
      <c r="U3889">
        <v>767</v>
      </c>
      <c r="V3889">
        <v>62</v>
      </c>
      <c r="W3889">
        <v>1</v>
      </c>
      <c r="X3889">
        <v>0</v>
      </c>
      <c r="Z3889">
        <v>73.69</v>
      </c>
      <c r="AA3889">
        <v>40.840863</v>
      </c>
      <c r="AB3889">
        <v>-73.910656</v>
      </c>
      <c r="AD3889" t="s">
        <v>10839</v>
      </c>
      <c r="AG3889" t="s">
        <v>10858</v>
      </c>
      <c r="AH3889" t="s">
        <v>10862</v>
      </c>
      <c r="AI3889">
        <v>230</v>
      </c>
      <c r="AJ3889" t="s">
        <v>10210</v>
      </c>
      <c r="AL3889">
        <v>1.1</v>
      </c>
      <c r="AM3889" t="s">
        <v>10884</v>
      </c>
      <c r="AN3889" t="s">
        <v>10929</v>
      </c>
      <c r="AO3889" t="s">
        <v>11000</v>
      </c>
      <c r="AP3889" t="s">
        <v>11055</v>
      </c>
      <c r="AR3889" t="s">
        <v>11367</v>
      </c>
      <c r="AS3889" t="s">
        <v>9926</v>
      </c>
      <c r="BA3889" t="s">
        <v>11739</v>
      </c>
      <c r="BB3889">
        <v>0</v>
      </c>
      <c r="BC3889">
        <v>0</v>
      </c>
      <c r="BD3889">
        <v>0</v>
      </c>
      <c r="BE3889">
        <v>0</v>
      </c>
      <c r="BF3889">
        <v>4</v>
      </c>
      <c r="BG3889">
        <v>0</v>
      </c>
    </row>
    <row r="3890" spans="1:59">
      <c r="A3890" s="1">
        <f>HYPERLINK("https://lsnyc.legalserver.org/matter/dynamic-profile/view/1908017","19-1908017")</f>
        <v>0</v>
      </c>
      <c r="B3890" t="s">
        <v>3212</v>
      </c>
      <c r="C3890" t="s">
        <v>8001</v>
      </c>
      <c r="D3890" t="s">
        <v>9928</v>
      </c>
      <c r="E3890" t="s">
        <v>10075</v>
      </c>
      <c r="F3890">
        <v>11221</v>
      </c>
      <c r="G3890" t="s">
        <v>10093</v>
      </c>
      <c r="H3890" t="s">
        <v>10111</v>
      </c>
      <c r="I3890" t="s">
        <v>10168</v>
      </c>
      <c r="J3890" t="s">
        <v>10213</v>
      </c>
      <c r="K3890" t="s">
        <v>10217</v>
      </c>
      <c r="M3890" t="s">
        <v>10429</v>
      </c>
      <c r="N3890" t="s">
        <v>10667</v>
      </c>
      <c r="P3890" t="s">
        <v>10749</v>
      </c>
      <c r="Q3890" t="s">
        <v>10765</v>
      </c>
      <c r="R3890" t="s">
        <v>10824</v>
      </c>
      <c r="T3890">
        <v>20036</v>
      </c>
      <c r="U3890">
        <v>1669.67</v>
      </c>
      <c r="V3890">
        <v>66</v>
      </c>
      <c r="W3890">
        <v>3</v>
      </c>
      <c r="X3890">
        <v>0</v>
      </c>
      <c r="Z3890">
        <v>93.93000000000001</v>
      </c>
      <c r="AA3890">
        <v>40.694402</v>
      </c>
      <c r="AB3890">
        <v>-73.918117</v>
      </c>
      <c r="AD3890" t="s">
        <v>10839</v>
      </c>
      <c r="AG3890" t="s">
        <v>10858</v>
      </c>
      <c r="AH3890" t="s">
        <v>10862</v>
      </c>
      <c r="AI3890">
        <v>239</v>
      </c>
      <c r="AJ3890" t="s">
        <v>10213</v>
      </c>
      <c r="AL3890">
        <v>3.5</v>
      </c>
      <c r="AM3890" t="s">
        <v>10886</v>
      </c>
      <c r="AN3890" t="s">
        <v>10942</v>
      </c>
      <c r="AO3890" t="s">
        <v>11011</v>
      </c>
      <c r="AP3890" t="s">
        <v>11058</v>
      </c>
      <c r="AR3890" t="s">
        <v>11437</v>
      </c>
      <c r="AS3890" t="s">
        <v>11595</v>
      </c>
      <c r="AT3890" t="s">
        <v>11641</v>
      </c>
      <c r="BA3890" t="s">
        <v>11738</v>
      </c>
      <c r="BB3890">
        <v>0</v>
      </c>
      <c r="BC3890">
        <v>0</v>
      </c>
      <c r="BD3890">
        <v>0</v>
      </c>
      <c r="BE3890">
        <v>0</v>
      </c>
      <c r="BF3890">
        <v>5</v>
      </c>
      <c r="BG3890">
        <v>0</v>
      </c>
    </row>
    <row r="3891" spans="1:59">
      <c r="A3891" s="1">
        <f>HYPERLINK("https://lsnyc.legalserver.org/matter/dynamic-profile/view/1908018","19-1908018")</f>
        <v>0</v>
      </c>
      <c r="B3891" t="s">
        <v>3213</v>
      </c>
      <c r="C3891" t="s">
        <v>8002</v>
      </c>
      <c r="D3891" t="s">
        <v>9929</v>
      </c>
      <c r="E3891" t="s">
        <v>10075</v>
      </c>
      <c r="F3891">
        <v>10314</v>
      </c>
      <c r="G3891" t="s">
        <v>10088</v>
      </c>
      <c r="H3891" t="s">
        <v>10111</v>
      </c>
      <c r="I3891" t="s">
        <v>10168</v>
      </c>
      <c r="J3891" t="s">
        <v>10208</v>
      </c>
      <c r="K3891" t="s">
        <v>10217</v>
      </c>
      <c r="M3891" t="s">
        <v>10254</v>
      </c>
      <c r="N3891" t="s">
        <v>10655</v>
      </c>
      <c r="P3891" t="s">
        <v>10749</v>
      </c>
      <c r="Q3891" t="s">
        <v>10765</v>
      </c>
      <c r="R3891" t="s">
        <v>10820</v>
      </c>
      <c r="T3891">
        <v>33150</v>
      </c>
      <c r="U3891">
        <v>2762.5</v>
      </c>
      <c r="V3891">
        <v>51</v>
      </c>
      <c r="W3891">
        <v>2</v>
      </c>
      <c r="X3891">
        <v>2</v>
      </c>
      <c r="Z3891">
        <v>128.74</v>
      </c>
      <c r="AA3891">
        <v>40.614936</v>
      </c>
      <c r="AB3891">
        <v>-74.12162499999999</v>
      </c>
      <c r="AD3891" t="s">
        <v>10839</v>
      </c>
      <c r="AG3891" t="s">
        <v>10858</v>
      </c>
      <c r="AH3891" t="s">
        <v>10862</v>
      </c>
      <c r="AI3891">
        <v>285</v>
      </c>
      <c r="AJ3891" t="s">
        <v>10208</v>
      </c>
      <c r="AL3891">
        <v>2.8</v>
      </c>
      <c r="AM3891" t="s">
        <v>10883</v>
      </c>
      <c r="AN3891" t="s">
        <v>10928</v>
      </c>
      <c r="AO3891" t="s">
        <v>10999</v>
      </c>
      <c r="AP3891" t="s">
        <v>11063</v>
      </c>
      <c r="AR3891" t="s">
        <v>11257</v>
      </c>
      <c r="AS3891" t="s">
        <v>11593</v>
      </c>
      <c r="BA3891" t="s">
        <v>11738</v>
      </c>
      <c r="BB3891">
        <v>0</v>
      </c>
      <c r="BC3891">
        <v>0</v>
      </c>
      <c r="BD3891">
        <v>0</v>
      </c>
      <c r="BE3891">
        <v>0</v>
      </c>
      <c r="BF3891">
        <v>5</v>
      </c>
      <c r="BG3891">
        <v>0</v>
      </c>
    </row>
    <row r="3892" spans="1:59">
      <c r="A3892" s="1">
        <f>HYPERLINK("https://lsnyc.legalserver.org/matter/dynamic-profile/view/1908019","19-1908019")</f>
        <v>0</v>
      </c>
      <c r="B3892" t="s">
        <v>3214</v>
      </c>
      <c r="C3892" t="s">
        <v>8003</v>
      </c>
      <c r="D3892" t="s">
        <v>9928</v>
      </c>
      <c r="E3892" t="s">
        <v>10075</v>
      </c>
      <c r="F3892">
        <v>11221</v>
      </c>
      <c r="G3892" t="s">
        <v>10093</v>
      </c>
      <c r="H3892" t="s">
        <v>10111</v>
      </c>
      <c r="I3892" t="s">
        <v>10168</v>
      </c>
      <c r="J3892" t="s">
        <v>10213</v>
      </c>
      <c r="K3892" t="s">
        <v>10217</v>
      </c>
      <c r="M3892" t="s">
        <v>10429</v>
      </c>
      <c r="N3892" t="s">
        <v>10667</v>
      </c>
      <c r="P3892" t="s">
        <v>10749</v>
      </c>
      <c r="Q3892" t="s">
        <v>10765</v>
      </c>
      <c r="R3892" t="s">
        <v>10821</v>
      </c>
      <c r="T3892">
        <v>10020</v>
      </c>
      <c r="U3892">
        <v>835</v>
      </c>
      <c r="V3892">
        <v>67</v>
      </c>
      <c r="W3892">
        <v>1</v>
      </c>
      <c r="X3892">
        <v>0</v>
      </c>
      <c r="Z3892">
        <v>80.22</v>
      </c>
      <c r="AA3892">
        <v>40.684353</v>
      </c>
      <c r="AB3892">
        <v>-73.93550999999999</v>
      </c>
      <c r="AD3892" t="s">
        <v>10839</v>
      </c>
      <c r="AG3892" t="s">
        <v>10858</v>
      </c>
      <c r="AH3892" t="s">
        <v>10862</v>
      </c>
      <c r="AI3892">
        <v>239</v>
      </c>
      <c r="AJ3892" t="s">
        <v>10213</v>
      </c>
      <c r="AL3892">
        <v>8.4</v>
      </c>
      <c r="AM3892" t="s">
        <v>10889</v>
      </c>
      <c r="AN3892" t="s">
        <v>10914</v>
      </c>
      <c r="AO3892" t="s">
        <v>11007</v>
      </c>
      <c r="AP3892" t="s">
        <v>11052</v>
      </c>
      <c r="AR3892" t="s">
        <v>11253</v>
      </c>
      <c r="AS3892" t="s">
        <v>11595</v>
      </c>
      <c r="AT3892" t="s">
        <v>11641</v>
      </c>
      <c r="BA3892" t="s">
        <v>11738</v>
      </c>
      <c r="BB3892">
        <v>0</v>
      </c>
      <c r="BC3892">
        <v>0</v>
      </c>
      <c r="BD3892">
        <v>0</v>
      </c>
      <c r="BE3892">
        <v>0</v>
      </c>
      <c r="BF3892">
        <v>5</v>
      </c>
      <c r="BG3892">
        <v>0</v>
      </c>
    </row>
    <row r="3893" spans="1:59">
      <c r="A3893" s="1">
        <f>HYPERLINK("https://lsnyc.legalserver.org/matter/dynamic-profile/view/1908021","19-1908021")</f>
        <v>0</v>
      </c>
      <c r="B3893" t="s">
        <v>3215</v>
      </c>
      <c r="C3893" t="s">
        <v>8004</v>
      </c>
      <c r="D3893" t="s">
        <v>9925</v>
      </c>
      <c r="E3893" t="s">
        <v>10075</v>
      </c>
      <c r="F3893">
        <v>10032</v>
      </c>
      <c r="G3893" t="s">
        <v>10091</v>
      </c>
      <c r="H3893" t="s">
        <v>10111</v>
      </c>
      <c r="I3893" t="s">
        <v>10168</v>
      </c>
      <c r="J3893" t="s">
        <v>10211</v>
      </c>
      <c r="K3893" t="s">
        <v>10217</v>
      </c>
      <c r="M3893" t="s">
        <v>10307</v>
      </c>
      <c r="N3893" t="s">
        <v>10671</v>
      </c>
      <c r="P3893" t="s">
        <v>10752</v>
      </c>
      <c r="Q3893" t="s">
        <v>10762</v>
      </c>
      <c r="R3893" t="s">
        <v>10824</v>
      </c>
      <c r="T3893">
        <v>31876</v>
      </c>
      <c r="U3893">
        <v>2656.33</v>
      </c>
      <c r="V3893">
        <v>44</v>
      </c>
      <c r="W3893">
        <v>1</v>
      </c>
      <c r="X3893">
        <v>1</v>
      </c>
      <c r="Z3893">
        <v>188.5</v>
      </c>
      <c r="AA3893">
        <v>40.831142</v>
      </c>
      <c r="AB3893">
        <v>-73.94293999999999</v>
      </c>
      <c r="AD3893" t="s">
        <v>10839</v>
      </c>
      <c r="AF3893" t="s">
        <v>10843</v>
      </c>
      <c r="AG3893" t="s">
        <v>10859</v>
      </c>
      <c r="AH3893" t="s">
        <v>10861</v>
      </c>
      <c r="AI3893">
        <v>234</v>
      </c>
      <c r="AJ3893" t="s">
        <v>10214</v>
      </c>
      <c r="AL3893">
        <v>0.5</v>
      </c>
      <c r="AM3893" t="s">
        <v>10887</v>
      </c>
      <c r="AN3893" t="s">
        <v>10943</v>
      </c>
      <c r="AO3893" t="s">
        <v>11016</v>
      </c>
      <c r="AP3893" t="s">
        <v>11073</v>
      </c>
      <c r="AR3893" t="s">
        <v>11280</v>
      </c>
      <c r="AS3893" t="s">
        <v>9925</v>
      </c>
      <c r="AT3893" t="s">
        <v>11641</v>
      </c>
      <c r="AX3893" t="s">
        <v>10838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</row>
    <row r="3894" spans="1:59">
      <c r="A3894" s="1">
        <f>HYPERLINK("https://lsnyc.legalserver.org/matter/dynamic-profile/view/1908022","19-1908022")</f>
        <v>0</v>
      </c>
      <c r="B3894" t="s">
        <v>3216</v>
      </c>
      <c r="C3894" t="s">
        <v>8005</v>
      </c>
      <c r="D3894" t="s">
        <v>9926</v>
      </c>
      <c r="E3894" t="s">
        <v>10075</v>
      </c>
      <c r="F3894">
        <v>10473</v>
      </c>
      <c r="G3894" t="s">
        <v>10091</v>
      </c>
      <c r="H3894" t="s">
        <v>10111</v>
      </c>
      <c r="I3894" t="s">
        <v>10169</v>
      </c>
      <c r="J3894" t="s">
        <v>10214</v>
      </c>
      <c r="K3894" t="s">
        <v>10217</v>
      </c>
      <c r="M3894" t="s">
        <v>10537</v>
      </c>
      <c r="N3894" t="s">
        <v>10671</v>
      </c>
      <c r="P3894" t="s">
        <v>10753</v>
      </c>
      <c r="Q3894" t="s">
        <v>10763</v>
      </c>
      <c r="R3894" t="s">
        <v>10821</v>
      </c>
      <c r="T3894">
        <v>17808</v>
      </c>
      <c r="U3894">
        <v>1484</v>
      </c>
      <c r="V3894">
        <v>63</v>
      </c>
      <c r="W3894">
        <v>1</v>
      </c>
      <c r="X3894">
        <v>0</v>
      </c>
      <c r="Z3894">
        <v>142.58</v>
      </c>
      <c r="AA3894">
        <v>40.816088</v>
      </c>
      <c r="AB3894">
        <v>-73.86199499999999</v>
      </c>
      <c r="AD3894" t="s">
        <v>10840</v>
      </c>
      <c r="AF3894" t="s">
        <v>10843</v>
      </c>
      <c r="AG3894" t="s">
        <v>10859</v>
      </c>
      <c r="AH3894" t="s">
        <v>10861</v>
      </c>
      <c r="AI3894">
        <v>234</v>
      </c>
      <c r="AJ3894" t="s">
        <v>10214</v>
      </c>
      <c r="AL3894">
        <v>0.85</v>
      </c>
      <c r="AM3894" t="s">
        <v>10884</v>
      </c>
      <c r="AN3894" t="s">
        <v>10968</v>
      </c>
      <c r="AO3894" t="s">
        <v>11002</v>
      </c>
      <c r="AP3894" t="s">
        <v>11046</v>
      </c>
      <c r="AR3894" t="s">
        <v>11525</v>
      </c>
      <c r="AS3894" t="s">
        <v>9926</v>
      </c>
      <c r="AT3894" t="s">
        <v>11642</v>
      </c>
      <c r="AX3894" t="s">
        <v>10838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</row>
    <row r="3895" spans="1:59">
      <c r="A3895" s="1">
        <f>HYPERLINK("https://lsnyc.legalserver.org/matter/dynamic-profile/view/1908023","19-1908023")</f>
        <v>0</v>
      </c>
      <c r="B3895" t="s">
        <v>3217</v>
      </c>
      <c r="C3895" t="s">
        <v>8006</v>
      </c>
      <c r="D3895" t="s">
        <v>9938</v>
      </c>
      <c r="E3895" t="s">
        <v>10075</v>
      </c>
      <c r="F3895">
        <v>11434</v>
      </c>
      <c r="G3895" t="s">
        <v>10092</v>
      </c>
      <c r="H3895" t="s">
        <v>10136</v>
      </c>
      <c r="I3895" t="s">
        <v>10168</v>
      </c>
      <c r="J3895" t="s">
        <v>10212</v>
      </c>
      <c r="K3895" t="s">
        <v>10218</v>
      </c>
      <c r="L3895" t="s">
        <v>10158</v>
      </c>
      <c r="M3895" t="s">
        <v>10530</v>
      </c>
      <c r="N3895" t="s">
        <v>10741</v>
      </c>
      <c r="P3895" t="s">
        <v>10749</v>
      </c>
      <c r="Q3895" t="s">
        <v>10769</v>
      </c>
      <c r="R3895" t="s">
        <v>10824</v>
      </c>
      <c r="T3895">
        <v>34800</v>
      </c>
      <c r="U3895">
        <v>2900</v>
      </c>
      <c r="V3895">
        <v>44</v>
      </c>
      <c r="W3895">
        <v>5</v>
      </c>
      <c r="X3895">
        <v>3</v>
      </c>
      <c r="Y3895" t="s">
        <v>10829</v>
      </c>
      <c r="Z3895">
        <v>80.13</v>
      </c>
      <c r="AA3895">
        <v>40.680829</v>
      </c>
      <c r="AB3895">
        <v>-73.790464</v>
      </c>
      <c r="AD3895" t="s">
        <v>10839</v>
      </c>
      <c r="AG3895" t="s">
        <v>10858</v>
      </c>
      <c r="AH3895" t="s">
        <v>10860</v>
      </c>
      <c r="AI3895">
        <v>237</v>
      </c>
      <c r="AJ3895" t="s">
        <v>10212</v>
      </c>
      <c r="AK3895" t="s">
        <v>10838</v>
      </c>
      <c r="AL3895">
        <v>2</v>
      </c>
      <c r="AM3895" t="s">
        <v>10892</v>
      </c>
      <c r="AN3895" t="s">
        <v>10951</v>
      </c>
      <c r="AO3895" t="s">
        <v>11017</v>
      </c>
      <c r="AP3895" t="s">
        <v>11070</v>
      </c>
      <c r="AR3895" t="s">
        <v>11257</v>
      </c>
      <c r="AS3895" t="s">
        <v>11594</v>
      </c>
      <c r="AY3895" t="s">
        <v>10829</v>
      </c>
      <c r="AZ3895" t="s">
        <v>11681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</row>
    <row r="3896" spans="1:59">
      <c r="A3896" s="1">
        <f>HYPERLINK("https://lsnyc.legalserver.org/matter/dynamic-profile/view/1908024","19-1908024")</f>
        <v>0</v>
      </c>
      <c r="B3896" t="s">
        <v>3218</v>
      </c>
      <c r="C3896" t="s">
        <v>8007</v>
      </c>
      <c r="D3896" t="s">
        <v>9926</v>
      </c>
      <c r="E3896" t="s">
        <v>10075</v>
      </c>
      <c r="F3896">
        <v>10465</v>
      </c>
      <c r="G3896" t="s">
        <v>10090</v>
      </c>
      <c r="H3896" t="s">
        <v>10111</v>
      </c>
      <c r="I3896" t="s">
        <v>10168</v>
      </c>
      <c r="J3896" t="s">
        <v>10210</v>
      </c>
      <c r="K3896" t="s">
        <v>10217</v>
      </c>
      <c r="M3896" t="s">
        <v>10372</v>
      </c>
      <c r="N3896" t="s">
        <v>10704</v>
      </c>
      <c r="P3896" t="s">
        <v>10750</v>
      </c>
      <c r="Q3896" t="s">
        <v>10778</v>
      </c>
      <c r="R3896" t="s">
        <v>10821</v>
      </c>
      <c r="T3896">
        <v>49196</v>
      </c>
      <c r="U3896">
        <v>4099.67</v>
      </c>
      <c r="V3896">
        <v>44</v>
      </c>
      <c r="W3896">
        <v>2</v>
      </c>
      <c r="X3896">
        <v>2</v>
      </c>
      <c r="Z3896">
        <v>191.05</v>
      </c>
      <c r="AA3896">
        <v>40.815289</v>
      </c>
      <c r="AB3896">
        <v>-73.820542</v>
      </c>
      <c r="AD3896" t="s">
        <v>10839</v>
      </c>
      <c r="AG3896" t="s">
        <v>10858</v>
      </c>
      <c r="AH3896" t="s">
        <v>10871</v>
      </c>
      <c r="AI3896">
        <v>234</v>
      </c>
      <c r="AJ3896" t="s">
        <v>10214</v>
      </c>
      <c r="AL3896">
        <v>8.25</v>
      </c>
      <c r="AM3896" t="s">
        <v>10885</v>
      </c>
      <c r="AN3896" t="s">
        <v>10911</v>
      </c>
      <c r="AO3896" t="s">
        <v>11002</v>
      </c>
      <c r="AP3896" t="s">
        <v>11049</v>
      </c>
      <c r="AR3896" t="s">
        <v>11358</v>
      </c>
      <c r="AS3896" t="s">
        <v>9926</v>
      </c>
      <c r="AT3896" t="s">
        <v>11641</v>
      </c>
      <c r="AX3896" t="s">
        <v>10838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</row>
    <row r="3897" spans="1:59">
      <c r="A3897" s="1">
        <f>HYPERLINK("https://lsnyc.legalserver.org/matter/dynamic-profile/view/1908025","19-1908025")</f>
        <v>0</v>
      </c>
      <c r="B3897" t="s">
        <v>3219</v>
      </c>
      <c r="C3897" t="s">
        <v>8008</v>
      </c>
      <c r="D3897" t="s">
        <v>9929</v>
      </c>
      <c r="E3897" t="s">
        <v>10075</v>
      </c>
      <c r="F3897">
        <v>10310</v>
      </c>
      <c r="G3897" t="s">
        <v>10088</v>
      </c>
      <c r="H3897" t="s">
        <v>10100</v>
      </c>
      <c r="I3897" t="s">
        <v>10168</v>
      </c>
      <c r="J3897" t="s">
        <v>10208</v>
      </c>
      <c r="K3897" t="s">
        <v>10217</v>
      </c>
      <c r="M3897" t="s">
        <v>10243</v>
      </c>
      <c r="N3897" t="s">
        <v>10655</v>
      </c>
      <c r="P3897" t="s">
        <v>10749</v>
      </c>
      <c r="Q3897" t="s">
        <v>10765</v>
      </c>
      <c r="R3897" t="s">
        <v>10820</v>
      </c>
      <c r="T3897">
        <v>3276</v>
      </c>
      <c r="U3897">
        <v>273</v>
      </c>
      <c r="V3897">
        <v>30</v>
      </c>
      <c r="W3897">
        <v>1</v>
      </c>
      <c r="X3897">
        <v>0</v>
      </c>
      <c r="Z3897">
        <v>26.23</v>
      </c>
      <c r="AA3897">
        <v>40.637731</v>
      </c>
      <c r="AB3897">
        <v>-74.109337</v>
      </c>
      <c r="AC3897" t="s">
        <v>10837</v>
      </c>
      <c r="AD3897" t="s">
        <v>10840</v>
      </c>
      <c r="AG3897" t="s">
        <v>10858</v>
      </c>
      <c r="AH3897" t="s">
        <v>10862</v>
      </c>
      <c r="AI3897">
        <v>285</v>
      </c>
      <c r="AJ3897" t="s">
        <v>10208</v>
      </c>
      <c r="AL3897">
        <v>4.25</v>
      </c>
      <c r="AM3897" t="s">
        <v>10883</v>
      </c>
      <c r="AN3897" t="s">
        <v>10913</v>
      </c>
      <c r="AO3897" t="s">
        <v>10999</v>
      </c>
      <c r="AP3897" t="s">
        <v>11051</v>
      </c>
      <c r="AR3897" t="s">
        <v>11303</v>
      </c>
      <c r="AS3897" t="s">
        <v>11593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</row>
    <row r="3898" spans="1:59">
      <c r="A3898" s="1">
        <f>HYPERLINK("https://lsnyc.legalserver.org/matter/dynamic-profile/view/1908027","19-1908027")</f>
        <v>0</v>
      </c>
      <c r="B3898" t="s">
        <v>3220</v>
      </c>
      <c r="C3898" t="s">
        <v>8009</v>
      </c>
      <c r="D3898" t="s">
        <v>9926</v>
      </c>
      <c r="E3898" t="s">
        <v>10075</v>
      </c>
      <c r="F3898">
        <v>10467</v>
      </c>
      <c r="G3898" t="s">
        <v>10090</v>
      </c>
      <c r="H3898" t="s">
        <v>10111</v>
      </c>
      <c r="I3898" t="s">
        <v>10168</v>
      </c>
      <c r="J3898" t="s">
        <v>10210</v>
      </c>
      <c r="K3898" t="s">
        <v>10217</v>
      </c>
      <c r="M3898" t="s">
        <v>10469</v>
      </c>
      <c r="N3898" t="s">
        <v>10651</v>
      </c>
      <c r="P3898" t="s">
        <v>10749</v>
      </c>
      <c r="Q3898" t="s">
        <v>10765</v>
      </c>
      <c r="R3898" t="s">
        <v>10825</v>
      </c>
      <c r="T3898">
        <v>13992</v>
      </c>
      <c r="U3898">
        <v>1166</v>
      </c>
      <c r="V3898">
        <v>63</v>
      </c>
      <c r="W3898">
        <v>4</v>
      </c>
      <c r="X3898">
        <v>0</v>
      </c>
      <c r="Z3898">
        <v>54.34</v>
      </c>
      <c r="AA3898">
        <v>40.882468</v>
      </c>
      <c r="AB3898">
        <v>-73.88374399999999</v>
      </c>
      <c r="AD3898" t="s">
        <v>10839</v>
      </c>
      <c r="AG3898" t="s">
        <v>10858</v>
      </c>
      <c r="AH3898" t="s">
        <v>10862</v>
      </c>
      <c r="AI3898">
        <v>230</v>
      </c>
      <c r="AJ3898" t="s">
        <v>10210</v>
      </c>
      <c r="AL3898">
        <v>5.5</v>
      </c>
      <c r="AM3898" t="s">
        <v>10887</v>
      </c>
      <c r="AN3898" t="s">
        <v>10938</v>
      </c>
      <c r="AO3898" t="s">
        <v>11010</v>
      </c>
      <c r="AP3898" t="s">
        <v>11057</v>
      </c>
      <c r="AR3898" t="s">
        <v>11400</v>
      </c>
      <c r="AS3898" t="s">
        <v>9926</v>
      </c>
      <c r="BA3898" t="s">
        <v>11738</v>
      </c>
      <c r="BB3898">
        <v>0</v>
      </c>
      <c r="BC3898">
        <v>0</v>
      </c>
      <c r="BD3898">
        <v>0</v>
      </c>
      <c r="BE3898">
        <v>0</v>
      </c>
      <c r="BF3898">
        <v>5</v>
      </c>
      <c r="BG3898">
        <v>0</v>
      </c>
    </row>
    <row r="3899" spans="1:59">
      <c r="A3899" s="1">
        <f>HYPERLINK("https://lsnyc.legalserver.org/matter/dynamic-profile/view/1908028","19-1908028")</f>
        <v>0</v>
      </c>
      <c r="B3899" t="s">
        <v>3221</v>
      </c>
      <c r="C3899" t="s">
        <v>8010</v>
      </c>
      <c r="D3899" t="s">
        <v>9928</v>
      </c>
      <c r="E3899" t="s">
        <v>10075</v>
      </c>
      <c r="F3899">
        <v>11236</v>
      </c>
      <c r="G3899" t="s">
        <v>10093</v>
      </c>
      <c r="H3899" t="s">
        <v>10111</v>
      </c>
      <c r="I3899" t="s">
        <v>10168</v>
      </c>
      <c r="J3899" t="s">
        <v>10213</v>
      </c>
      <c r="K3899" t="s">
        <v>10217</v>
      </c>
      <c r="M3899" t="s">
        <v>10268</v>
      </c>
      <c r="N3899" t="s">
        <v>10664</v>
      </c>
      <c r="P3899" t="s">
        <v>10749</v>
      </c>
      <c r="Q3899" t="s">
        <v>10765</v>
      </c>
      <c r="R3899" t="s">
        <v>10824</v>
      </c>
      <c r="T3899">
        <v>19000</v>
      </c>
      <c r="U3899">
        <v>1583.33</v>
      </c>
      <c r="V3899">
        <v>26</v>
      </c>
      <c r="W3899">
        <v>1</v>
      </c>
      <c r="X3899">
        <v>0</v>
      </c>
      <c r="Z3899">
        <v>152.12</v>
      </c>
      <c r="AA3899">
        <v>40.636807</v>
      </c>
      <c r="AB3899">
        <v>-73.899917</v>
      </c>
      <c r="AD3899" t="s">
        <v>10839</v>
      </c>
      <c r="AG3899" t="s">
        <v>10858</v>
      </c>
      <c r="AH3899" t="s">
        <v>10862</v>
      </c>
      <c r="AI3899">
        <v>239</v>
      </c>
      <c r="AJ3899" t="s">
        <v>10213</v>
      </c>
      <c r="AL3899">
        <v>2.2</v>
      </c>
      <c r="AM3899" t="s">
        <v>10889</v>
      </c>
      <c r="AN3899" t="s">
        <v>10959</v>
      </c>
      <c r="AO3899" t="s">
        <v>11012</v>
      </c>
      <c r="AP3899" t="s">
        <v>11072</v>
      </c>
      <c r="AR3899" t="s">
        <v>11257</v>
      </c>
      <c r="AS3899" t="s">
        <v>11595</v>
      </c>
      <c r="BA3899" t="s">
        <v>11738</v>
      </c>
      <c r="BB3899">
        <v>0</v>
      </c>
      <c r="BC3899">
        <v>0</v>
      </c>
      <c r="BD3899">
        <v>0</v>
      </c>
      <c r="BE3899">
        <v>0</v>
      </c>
      <c r="BF3899">
        <v>5</v>
      </c>
      <c r="BG3899">
        <v>0</v>
      </c>
    </row>
    <row r="3900" spans="1:59">
      <c r="A3900" s="1">
        <f>HYPERLINK("https://lsnyc.legalserver.org/matter/dynamic-profile/view/1908031","19-1908031")</f>
        <v>0</v>
      </c>
      <c r="B3900" t="s">
        <v>3222</v>
      </c>
      <c r="C3900" t="s">
        <v>8011</v>
      </c>
      <c r="D3900" t="s">
        <v>9929</v>
      </c>
      <c r="E3900" t="s">
        <v>10075</v>
      </c>
      <c r="F3900">
        <v>10306</v>
      </c>
      <c r="G3900" t="s">
        <v>10088</v>
      </c>
      <c r="H3900" t="s">
        <v>10111</v>
      </c>
      <c r="I3900" t="s">
        <v>10168</v>
      </c>
      <c r="J3900" t="s">
        <v>10208</v>
      </c>
      <c r="K3900" t="s">
        <v>10217</v>
      </c>
      <c r="M3900" t="s">
        <v>10605</v>
      </c>
      <c r="N3900" t="s">
        <v>10654</v>
      </c>
      <c r="P3900" t="s">
        <v>10749</v>
      </c>
      <c r="Q3900" t="s">
        <v>10765</v>
      </c>
      <c r="R3900" t="s">
        <v>10822</v>
      </c>
      <c r="T3900">
        <v>53000</v>
      </c>
      <c r="U3900">
        <v>4416.67</v>
      </c>
      <c r="V3900">
        <v>37</v>
      </c>
      <c r="W3900">
        <v>2</v>
      </c>
      <c r="X3900">
        <v>1</v>
      </c>
      <c r="Z3900">
        <v>248.48</v>
      </c>
      <c r="AA3900">
        <v>40.565284</v>
      </c>
      <c r="AB3900">
        <v>-74.10121599999999</v>
      </c>
      <c r="AC3900" t="s">
        <v>10837</v>
      </c>
      <c r="AD3900" t="s">
        <v>10840</v>
      </c>
      <c r="AG3900" t="s">
        <v>10858</v>
      </c>
      <c r="AH3900" t="s">
        <v>10862</v>
      </c>
      <c r="AI3900">
        <v>285</v>
      </c>
      <c r="AJ3900" t="s">
        <v>10208</v>
      </c>
      <c r="AL3900">
        <v>6.15</v>
      </c>
      <c r="AM3900" t="s">
        <v>10883</v>
      </c>
      <c r="AN3900" t="s">
        <v>10915</v>
      </c>
      <c r="AO3900" t="s">
        <v>10999</v>
      </c>
      <c r="AP3900" t="s">
        <v>11063</v>
      </c>
      <c r="AR3900" t="s">
        <v>11257</v>
      </c>
      <c r="AS3900" t="s">
        <v>11593</v>
      </c>
      <c r="BA3900" t="s">
        <v>11738</v>
      </c>
      <c r="BB3900">
        <v>0</v>
      </c>
      <c r="BC3900">
        <v>0</v>
      </c>
      <c r="BD3900">
        <v>0</v>
      </c>
      <c r="BE3900">
        <v>0</v>
      </c>
      <c r="BF3900">
        <v>5</v>
      </c>
      <c r="BG3900">
        <v>0</v>
      </c>
    </row>
    <row r="3901" spans="1:59">
      <c r="A3901" s="1">
        <f>HYPERLINK("https://lsnyc.legalserver.org/matter/dynamic-profile/view/1908032","19-1908032")</f>
        <v>0</v>
      </c>
      <c r="B3901" t="s">
        <v>3223</v>
      </c>
      <c r="C3901" t="s">
        <v>8012</v>
      </c>
      <c r="D3901" t="s">
        <v>9929</v>
      </c>
      <c r="E3901" t="s">
        <v>10075</v>
      </c>
      <c r="F3901">
        <v>10303</v>
      </c>
      <c r="G3901" t="s">
        <v>10088</v>
      </c>
      <c r="H3901" t="s">
        <v>10111</v>
      </c>
      <c r="I3901" t="s">
        <v>10168</v>
      </c>
      <c r="J3901" t="s">
        <v>10208</v>
      </c>
      <c r="K3901" t="s">
        <v>10217</v>
      </c>
      <c r="M3901" t="s">
        <v>10228</v>
      </c>
      <c r="N3901" t="s">
        <v>10742</v>
      </c>
      <c r="P3901" t="s">
        <v>10749</v>
      </c>
      <c r="Q3901" t="s">
        <v>10759</v>
      </c>
      <c r="R3901" t="s">
        <v>10822</v>
      </c>
      <c r="T3901">
        <v>71000</v>
      </c>
      <c r="U3901">
        <v>5916.67</v>
      </c>
      <c r="V3901">
        <v>42</v>
      </c>
      <c r="W3901">
        <v>2</v>
      </c>
      <c r="X3901">
        <v>3</v>
      </c>
      <c r="Z3901">
        <v>235.33</v>
      </c>
      <c r="AA3901">
        <v>40.624445</v>
      </c>
      <c r="AB3901">
        <v>-74.15999600000001</v>
      </c>
      <c r="AD3901" t="s">
        <v>10839</v>
      </c>
      <c r="AG3901" t="s">
        <v>10858</v>
      </c>
      <c r="AH3901" t="s">
        <v>10860</v>
      </c>
      <c r="AI3901">
        <v>285</v>
      </c>
      <c r="AJ3901" t="s">
        <v>10208</v>
      </c>
      <c r="AL3901">
        <v>3.5</v>
      </c>
      <c r="AM3901" t="s">
        <v>10883</v>
      </c>
      <c r="AN3901" t="s">
        <v>10913</v>
      </c>
      <c r="AO3901" t="s">
        <v>11006</v>
      </c>
      <c r="AP3901" t="s">
        <v>11051</v>
      </c>
      <c r="AR3901" t="s">
        <v>11526</v>
      </c>
      <c r="AS3901" t="s">
        <v>11593</v>
      </c>
      <c r="AT3901" t="s">
        <v>11641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</row>
    <row r="3902" spans="1:59">
      <c r="A3902" s="1">
        <f>HYPERLINK("https://lsnyc.legalserver.org/matter/dynamic-profile/view/1908033","19-1908033")</f>
        <v>0</v>
      </c>
      <c r="B3902" t="s">
        <v>3224</v>
      </c>
      <c r="C3902" t="s">
        <v>8013</v>
      </c>
      <c r="D3902" t="s">
        <v>9925</v>
      </c>
      <c r="E3902" t="s">
        <v>10075</v>
      </c>
      <c r="F3902">
        <v>10034</v>
      </c>
      <c r="G3902" t="s">
        <v>10089</v>
      </c>
      <c r="H3902" t="s">
        <v>10111</v>
      </c>
      <c r="I3902" t="s">
        <v>10168</v>
      </c>
      <c r="J3902" t="s">
        <v>10209</v>
      </c>
      <c r="K3902" t="s">
        <v>10217</v>
      </c>
      <c r="M3902" t="s">
        <v>10453</v>
      </c>
      <c r="N3902" t="s">
        <v>10703</v>
      </c>
      <c r="P3902" t="s">
        <v>10749</v>
      </c>
      <c r="Q3902" t="s">
        <v>10767</v>
      </c>
      <c r="R3902" t="s">
        <v>10821</v>
      </c>
      <c r="T3902">
        <v>26904</v>
      </c>
      <c r="U3902">
        <v>2242</v>
      </c>
      <c r="V3902">
        <v>52</v>
      </c>
      <c r="W3902">
        <v>2</v>
      </c>
      <c r="X3902">
        <v>1</v>
      </c>
      <c r="Z3902">
        <v>126.13</v>
      </c>
      <c r="AA3902">
        <v>40.863491</v>
      </c>
      <c r="AB3902">
        <v>-73.92011599999999</v>
      </c>
      <c r="AD3902" t="s">
        <v>10839</v>
      </c>
      <c r="AG3902" t="s">
        <v>10858</v>
      </c>
      <c r="AH3902" t="s">
        <v>10862</v>
      </c>
      <c r="AI3902">
        <v>236</v>
      </c>
      <c r="AJ3902" t="s">
        <v>10209</v>
      </c>
      <c r="AL3902">
        <v>1.5</v>
      </c>
      <c r="AM3902" t="s">
        <v>10887</v>
      </c>
      <c r="AN3902" t="s">
        <v>10937</v>
      </c>
      <c r="AO3902" t="s">
        <v>11019</v>
      </c>
      <c r="AP3902" t="s">
        <v>11074</v>
      </c>
      <c r="AR3902" t="s">
        <v>11296</v>
      </c>
      <c r="AS3902" t="s">
        <v>9925</v>
      </c>
      <c r="BA3902" t="s">
        <v>11742</v>
      </c>
      <c r="BB3902">
        <v>0</v>
      </c>
      <c r="BC3902">
        <v>0</v>
      </c>
      <c r="BD3902">
        <v>0</v>
      </c>
      <c r="BE3902">
        <v>0</v>
      </c>
      <c r="BF3902">
        <v>7</v>
      </c>
      <c r="BG3902">
        <v>0</v>
      </c>
    </row>
    <row r="3903" spans="1:59">
      <c r="A3903" s="1">
        <f>HYPERLINK("https://lsnyc.legalserver.org/matter/dynamic-profile/view/1908034","19-1908034")</f>
        <v>0</v>
      </c>
      <c r="B3903" t="s">
        <v>3225</v>
      </c>
      <c r="C3903" t="s">
        <v>8013</v>
      </c>
      <c r="D3903" t="s">
        <v>9925</v>
      </c>
      <c r="E3903" t="s">
        <v>10075</v>
      </c>
      <c r="F3903">
        <v>10034</v>
      </c>
      <c r="G3903" t="s">
        <v>10089</v>
      </c>
      <c r="H3903" t="s">
        <v>10111</v>
      </c>
      <c r="I3903" t="s">
        <v>10169</v>
      </c>
      <c r="J3903" t="s">
        <v>10209</v>
      </c>
      <c r="K3903" t="s">
        <v>10217</v>
      </c>
      <c r="M3903" t="s">
        <v>10575</v>
      </c>
      <c r="N3903" t="s">
        <v>10650</v>
      </c>
      <c r="P3903" t="s">
        <v>10749</v>
      </c>
      <c r="Q3903" t="s">
        <v>10765</v>
      </c>
      <c r="R3903" t="s">
        <v>10823</v>
      </c>
      <c r="T3903">
        <v>60320</v>
      </c>
      <c r="U3903">
        <v>5026.67</v>
      </c>
      <c r="V3903">
        <v>56</v>
      </c>
      <c r="W3903">
        <v>5</v>
      </c>
      <c r="X3903">
        <v>0</v>
      </c>
      <c r="Z3903">
        <v>199.93</v>
      </c>
      <c r="AA3903">
        <v>40.863491</v>
      </c>
      <c r="AB3903">
        <v>-73.92011599999999</v>
      </c>
      <c r="AD3903" t="s">
        <v>10840</v>
      </c>
      <c r="AF3903" t="s">
        <v>10843</v>
      </c>
      <c r="AG3903" t="s">
        <v>10859</v>
      </c>
      <c r="AH3903" t="s">
        <v>10861</v>
      </c>
      <c r="AI3903">
        <v>236</v>
      </c>
      <c r="AJ3903" t="s">
        <v>10209</v>
      </c>
      <c r="AL3903">
        <v>2</v>
      </c>
      <c r="AM3903" t="s">
        <v>10887</v>
      </c>
      <c r="AN3903" t="s">
        <v>10937</v>
      </c>
      <c r="AO3903" t="s">
        <v>11019</v>
      </c>
      <c r="AP3903" t="s">
        <v>11074</v>
      </c>
      <c r="AR3903" t="s">
        <v>11257</v>
      </c>
      <c r="AS3903" t="s">
        <v>9925</v>
      </c>
      <c r="BA3903" t="s">
        <v>11742</v>
      </c>
      <c r="BB3903">
        <v>0</v>
      </c>
      <c r="BC3903">
        <v>0</v>
      </c>
      <c r="BD3903">
        <v>0</v>
      </c>
      <c r="BE3903">
        <v>0</v>
      </c>
      <c r="BF3903">
        <v>7</v>
      </c>
      <c r="BG3903">
        <v>0</v>
      </c>
    </row>
    <row r="3904" spans="1:59">
      <c r="A3904" s="1">
        <f>HYPERLINK("https://lsnyc.legalserver.org/matter/dynamic-profile/view/1908035","19-1908035")</f>
        <v>0</v>
      </c>
      <c r="B3904" t="s">
        <v>1869</v>
      </c>
      <c r="C3904" t="s">
        <v>8014</v>
      </c>
      <c r="D3904" t="s">
        <v>9926</v>
      </c>
      <c r="E3904" t="s">
        <v>10075</v>
      </c>
      <c r="F3904">
        <v>10463</v>
      </c>
      <c r="G3904" t="s">
        <v>10091</v>
      </c>
      <c r="H3904" t="s">
        <v>10111</v>
      </c>
      <c r="I3904" t="s">
        <v>10168</v>
      </c>
      <c r="J3904" t="s">
        <v>10214</v>
      </c>
      <c r="K3904" t="s">
        <v>10218</v>
      </c>
      <c r="L3904" t="s">
        <v>10157</v>
      </c>
      <c r="M3904" t="s">
        <v>10274</v>
      </c>
      <c r="N3904" t="s">
        <v>10671</v>
      </c>
      <c r="P3904" t="s">
        <v>10750</v>
      </c>
      <c r="Q3904" t="s">
        <v>10779</v>
      </c>
      <c r="R3904" t="s">
        <v>10824</v>
      </c>
      <c r="T3904">
        <v>23400</v>
      </c>
      <c r="U3904">
        <v>1950</v>
      </c>
      <c r="V3904">
        <v>29</v>
      </c>
      <c r="W3904">
        <v>1</v>
      </c>
      <c r="X3904">
        <v>0</v>
      </c>
      <c r="Y3904" t="s">
        <v>10829</v>
      </c>
      <c r="Z3904">
        <v>187.35</v>
      </c>
      <c r="AA3904">
        <v>40.884345</v>
      </c>
      <c r="AB3904">
        <v>-73.89805800000001</v>
      </c>
      <c r="AD3904" t="s">
        <v>10840</v>
      </c>
      <c r="AG3904" t="s">
        <v>10858</v>
      </c>
      <c r="AH3904" t="s">
        <v>10861</v>
      </c>
      <c r="AI3904">
        <v>234</v>
      </c>
      <c r="AJ3904" t="s">
        <v>10214</v>
      </c>
      <c r="AK3904" t="s">
        <v>10838</v>
      </c>
      <c r="AL3904">
        <v>1.6</v>
      </c>
      <c r="AM3904" t="s">
        <v>10887</v>
      </c>
      <c r="AN3904" t="s">
        <v>10919</v>
      </c>
      <c r="AO3904" t="s">
        <v>11002</v>
      </c>
      <c r="AP3904" t="s">
        <v>11057</v>
      </c>
      <c r="AR3904" t="s">
        <v>11293</v>
      </c>
      <c r="AS3904" t="s">
        <v>9926</v>
      </c>
      <c r="AT3904" t="s">
        <v>11642</v>
      </c>
      <c r="AX3904" t="s">
        <v>10838</v>
      </c>
      <c r="AY3904" t="s">
        <v>10829</v>
      </c>
      <c r="AZ3904" t="s">
        <v>11679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</row>
    <row r="3905" spans="1:59">
      <c r="A3905" s="1">
        <f>HYPERLINK("https://lsnyc.legalserver.org/matter/dynamic-profile/view/1908036","19-1908036")</f>
        <v>0</v>
      </c>
      <c r="B3905" t="s">
        <v>781</v>
      </c>
      <c r="C3905" t="s">
        <v>6522</v>
      </c>
      <c r="D3905" t="s">
        <v>9926</v>
      </c>
      <c r="E3905" t="s">
        <v>10075</v>
      </c>
      <c r="F3905">
        <v>10455</v>
      </c>
      <c r="G3905" t="s">
        <v>10091</v>
      </c>
      <c r="H3905" t="s">
        <v>10111</v>
      </c>
      <c r="I3905" t="s">
        <v>10168</v>
      </c>
      <c r="J3905" t="s">
        <v>10214</v>
      </c>
      <c r="K3905" t="s">
        <v>10217</v>
      </c>
      <c r="M3905" t="s">
        <v>10286</v>
      </c>
      <c r="N3905" t="s">
        <v>10671</v>
      </c>
      <c r="P3905" t="s">
        <v>10750</v>
      </c>
      <c r="Q3905" t="s">
        <v>10779</v>
      </c>
      <c r="R3905" t="s">
        <v>10821</v>
      </c>
      <c r="T3905">
        <v>8138</v>
      </c>
      <c r="U3905">
        <v>678.17</v>
      </c>
      <c r="V3905">
        <v>37</v>
      </c>
      <c r="W3905">
        <v>1</v>
      </c>
      <c r="X3905">
        <v>0</v>
      </c>
      <c r="Z3905">
        <v>65.16</v>
      </c>
      <c r="AA3905">
        <v>40.817263</v>
      </c>
      <c r="AB3905">
        <v>-73.90817699999999</v>
      </c>
      <c r="AD3905" t="s">
        <v>10839</v>
      </c>
      <c r="AG3905" t="s">
        <v>10858</v>
      </c>
      <c r="AH3905" t="s">
        <v>10871</v>
      </c>
      <c r="AI3905">
        <v>234</v>
      </c>
      <c r="AJ3905" t="s">
        <v>10214</v>
      </c>
      <c r="AL3905">
        <v>1</v>
      </c>
      <c r="AM3905" t="s">
        <v>10884</v>
      </c>
      <c r="AN3905" t="s">
        <v>10918</v>
      </c>
      <c r="AO3905" t="s">
        <v>11001</v>
      </c>
      <c r="AP3905" t="s">
        <v>11062</v>
      </c>
      <c r="AR3905" t="s">
        <v>11254</v>
      </c>
      <c r="AS3905" t="s">
        <v>9926</v>
      </c>
      <c r="AT3905" t="s">
        <v>11641</v>
      </c>
      <c r="AX3905" t="s">
        <v>10838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</row>
    <row r="3906" spans="1:59">
      <c r="A3906" s="1">
        <f>HYPERLINK("https://lsnyc.legalserver.org/matter/dynamic-profile/view/1908037","19-1908037")</f>
        <v>0</v>
      </c>
      <c r="B3906" t="s">
        <v>1958</v>
      </c>
      <c r="C3906" t="s">
        <v>8015</v>
      </c>
      <c r="D3906" t="s">
        <v>9929</v>
      </c>
      <c r="E3906" t="s">
        <v>10075</v>
      </c>
      <c r="F3906">
        <v>10314</v>
      </c>
      <c r="G3906" t="s">
        <v>10088</v>
      </c>
      <c r="H3906" t="s">
        <v>10111</v>
      </c>
      <c r="I3906" t="s">
        <v>10168</v>
      </c>
      <c r="J3906" t="s">
        <v>10208</v>
      </c>
      <c r="K3906" t="s">
        <v>10217</v>
      </c>
      <c r="M3906" t="s">
        <v>10240</v>
      </c>
      <c r="N3906" t="s">
        <v>10655</v>
      </c>
      <c r="P3906" t="s">
        <v>10749</v>
      </c>
      <c r="Q3906" t="s">
        <v>10765</v>
      </c>
      <c r="R3906" t="s">
        <v>10824</v>
      </c>
      <c r="T3906">
        <v>9468</v>
      </c>
      <c r="U3906">
        <v>789</v>
      </c>
      <c r="V3906">
        <v>32</v>
      </c>
      <c r="W3906">
        <v>1</v>
      </c>
      <c r="X3906">
        <v>3</v>
      </c>
      <c r="Z3906">
        <v>36.77</v>
      </c>
      <c r="AA3906">
        <v>40.606588</v>
      </c>
      <c r="AB3906">
        <v>-74.132452</v>
      </c>
      <c r="AD3906" t="s">
        <v>10839</v>
      </c>
      <c r="AG3906" t="s">
        <v>10858</v>
      </c>
      <c r="AH3906" t="s">
        <v>10862</v>
      </c>
      <c r="AI3906">
        <v>285</v>
      </c>
      <c r="AJ3906" t="s">
        <v>10208</v>
      </c>
      <c r="AL3906">
        <v>5.1</v>
      </c>
      <c r="AM3906" t="s">
        <v>10883</v>
      </c>
      <c r="AN3906" t="s">
        <v>10928</v>
      </c>
      <c r="AO3906" t="s">
        <v>10999</v>
      </c>
      <c r="AP3906" t="s">
        <v>11051</v>
      </c>
      <c r="AR3906" t="s">
        <v>11414</v>
      </c>
      <c r="AS3906" t="s">
        <v>11593</v>
      </c>
      <c r="BA3906" t="s">
        <v>11738</v>
      </c>
      <c r="BB3906">
        <v>0</v>
      </c>
      <c r="BC3906">
        <v>0</v>
      </c>
      <c r="BD3906">
        <v>0</v>
      </c>
      <c r="BE3906">
        <v>0</v>
      </c>
      <c r="BF3906">
        <v>5</v>
      </c>
      <c r="BG3906">
        <v>0</v>
      </c>
    </row>
    <row r="3907" spans="1:59">
      <c r="A3907" s="1">
        <f>HYPERLINK("https://lsnyc.legalserver.org/matter/dynamic-profile/view/1908038","19-1908038")</f>
        <v>0</v>
      </c>
      <c r="B3907" t="s">
        <v>3226</v>
      </c>
      <c r="C3907" t="s">
        <v>8016</v>
      </c>
      <c r="D3907" t="s">
        <v>9925</v>
      </c>
      <c r="E3907" t="s">
        <v>10075</v>
      </c>
      <c r="F3907">
        <v>10027</v>
      </c>
      <c r="G3907" t="s">
        <v>10089</v>
      </c>
      <c r="H3907" t="s">
        <v>10154</v>
      </c>
      <c r="I3907" t="s">
        <v>10182</v>
      </c>
      <c r="J3907" t="s">
        <v>10209</v>
      </c>
      <c r="K3907" t="s">
        <v>10218</v>
      </c>
      <c r="L3907" t="s">
        <v>10226</v>
      </c>
      <c r="M3907" t="s">
        <v>10270</v>
      </c>
      <c r="N3907" t="s">
        <v>10716</v>
      </c>
      <c r="P3907" t="s">
        <v>10754</v>
      </c>
      <c r="Q3907" t="s">
        <v>10766</v>
      </c>
      <c r="R3907" t="s">
        <v>10827</v>
      </c>
      <c r="T3907">
        <v>0</v>
      </c>
      <c r="U3907">
        <v>0</v>
      </c>
      <c r="V3907">
        <v>30</v>
      </c>
      <c r="W3907">
        <v>1</v>
      </c>
      <c r="X3907">
        <v>1</v>
      </c>
      <c r="Y3907" t="s">
        <v>10829</v>
      </c>
      <c r="Z3907">
        <v>0</v>
      </c>
      <c r="AA3907">
        <v>40.812601</v>
      </c>
      <c r="AB3907">
        <v>-73.944923</v>
      </c>
      <c r="AD3907" t="s">
        <v>10839</v>
      </c>
      <c r="AF3907" t="s">
        <v>10842</v>
      </c>
      <c r="AG3907" t="s">
        <v>10859</v>
      </c>
      <c r="AH3907" t="s">
        <v>10865</v>
      </c>
      <c r="AI3907">
        <v>236</v>
      </c>
      <c r="AJ3907" t="s">
        <v>10209</v>
      </c>
      <c r="AK3907" t="s">
        <v>10837</v>
      </c>
      <c r="AL3907">
        <v>1</v>
      </c>
      <c r="AQ3907" t="s">
        <v>11175</v>
      </c>
      <c r="AR3907" t="s">
        <v>11267</v>
      </c>
      <c r="AS3907" t="s">
        <v>9925</v>
      </c>
      <c r="AT3907" t="s">
        <v>11641</v>
      </c>
      <c r="AY3907" t="s">
        <v>10829</v>
      </c>
      <c r="AZ3907" t="s">
        <v>11683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</row>
    <row r="3908" spans="1:59">
      <c r="A3908" s="1">
        <f>HYPERLINK("https://lsnyc.legalserver.org/matter/dynamic-profile/view/1908039","19-1908039")</f>
        <v>0</v>
      </c>
      <c r="B3908" t="s">
        <v>3227</v>
      </c>
      <c r="C3908" t="s">
        <v>8017</v>
      </c>
      <c r="D3908" t="s">
        <v>9926</v>
      </c>
      <c r="E3908" t="s">
        <v>10075</v>
      </c>
      <c r="F3908">
        <v>10459</v>
      </c>
      <c r="G3908" t="s">
        <v>10090</v>
      </c>
      <c r="H3908" t="s">
        <v>10111</v>
      </c>
      <c r="I3908" t="s">
        <v>10168</v>
      </c>
      <c r="J3908" t="s">
        <v>10210</v>
      </c>
      <c r="K3908" t="s">
        <v>10217</v>
      </c>
      <c r="M3908" t="s">
        <v>10353</v>
      </c>
      <c r="N3908" t="s">
        <v>10671</v>
      </c>
      <c r="P3908" t="s">
        <v>10751</v>
      </c>
      <c r="Q3908" t="s">
        <v>10761</v>
      </c>
      <c r="R3908" t="s">
        <v>10824</v>
      </c>
      <c r="T3908">
        <v>9252</v>
      </c>
      <c r="U3908">
        <v>771</v>
      </c>
      <c r="V3908">
        <v>51</v>
      </c>
      <c r="W3908">
        <v>1</v>
      </c>
      <c r="X3908">
        <v>0</v>
      </c>
      <c r="Z3908">
        <v>74.08</v>
      </c>
      <c r="AA3908">
        <v>40.831472</v>
      </c>
      <c r="AB3908">
        <v>-73.895923</v>
      </c>
      <c r="AD3908" t="s">
        <v>10840</v>
      </c>
      <c r="AG3908" t="s">
        <v>10858</v>
      </c>
      <c r="AH3908" t="s">
        <v>10861</v>
      </c>
      <c r="AI3908">
        <v>234</v>
      </c>
      <c r="AJ3908" t="s">
        <v>10214</v>
      </c>
      <c r="AL3908">
        <v>1.25</v>
      </c>
      <c r="AM3908" t="s">
        <v>10884</v>
      </c>
      <c r="AN3908" t="s">
        <v>10918</v>
      </c>
      <c r="AO3908" t="s">
        <v>11001</v>
      </c>
      <c r="AP3908" t="s">
        <v>11055</v>
      </c>
      <c r="AR3908" t="s">
        <v>11274</v>
      </c>
      <c r="AS3908" t="s">
        <v>9926</v>
      </c>
      <c r="AT3908" t="s">
        <v>11642</v>
      </c>
      <c r="AX3908" t="s">
        <v>10837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</row>
    <row r="3909" spans="1:59">
      <c r="A3909" s="1">
        <f>HYPERLINK("https://lsnyc.legalserver.org/matter/dynamic-profile/view/1908040","19-1908040")</f>
        <v>0</v>
      </c>
      <c r="B3909" t="s">
        <v>3228</v>
      </c>
      <c r="C3909" t="s">
        <v>8018</v>
      </c>
      <c r="D3909" t="s">
        <v>9926</v>
      </c>
      <c r="E3909" t="s">
        <v>10075</v>
      </c>
      <c r="F3909">
        <v>10462</v>
      </c>
      <c r="G3909" t="s">
        <v>10090</v>
      </c>
      <c r="H3909" t="s">
        <v>10111</v>
      </c>
      <c r="I3909" t="s">
        <v>10168</v>
      </c>
      <c r="J3909" t="s">
        <v>10210</v>
      </c>
      <c r="K3909" t="s">
        <v>10217</v>
      </c>
      <c r="M3909" t="s">
        <v>10412</v>
      </c>
      <c r="N3909" t="s">
        <v>10712</v>
      </c>
      <c r="P3909" t="s">
        <v>10753</v>
      </c>
      <c r="Q3909" t="s">
        <v>10763</v>
      </c>
      <c r="R3909" t="s">
        <v>10824</v>
      </c>
      <c r="T3909">
        <v>30180</v>
      </c>
      <c r="U3909">
        <v>2515</v>
      </c>
      <c r="V3909">
        <v>23</v>
      </c>
      <c r="W3909">
        <v>1</v>
      </c>
      <c r="X3909">
        <v>0</v>
      </c>
      <c r="Z3909">
        <v>241.63</v>
      </c>
      <c r="AA3909">
        <v>40.831985</v>
      </c>
      <c r="AB3909">
        <v>-73.852279</v>
      </c>
      <c r="AD3909" t="s">
        <v>10839</v>
      </c>
      <c r="AF3909" t="s">
        <v>10846</v>
      </c>
      <c r="AG3909" t="s">
        <v>10859</v>
      </c>
      <c r="AH3909" t="s">
        <v>10865</v>
      </c>
      <c r="AI3909">
        <v>230</v>
      </c>
      <c r="AJ3909" t="s">
        <v>10210</v>
      </c>
      <c r="AL3909">
        <v>12</v>
      </c>
      <c r="AM3909" t="s">
        <v>10885</v>
      </c>
      <c r="AN3909" t="s">
        <v>10908</v>
      </c>
      <c r="AO3909" t="s">
        <v>11002</v>
      </c>
      <c r="AP3909" t="s">
        <v>11046</v>
      </c>
      <c r="AQ3909" t="s">
        <v>11142</v>
      </c>
      <c r="AR3909" t="s">
        <v>11257</v>
      </c>
      <c r="AS3909" t="s">
        <v>9925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</row>
    <row r="3910" spans="1:59">
      <c r="A3910" s="1">
        <f>HYPERLINK("https://lsnyc.legalserver.org/matter/dynamic-profile/view/1908041","19-1908041")</f>
        <v>0</v>
      </c>
      <c r="B3910" t="s">
        <v>3229</v>
      </c>
      <c r="C3910" t="s">
        <v>8019</v>
      </c>
      <c r="D3910" t="s">
        <v>9925</v>
      </c>
      <c r="E3910" t="s">
        <v>10075</v>
      </c>
      <c r="F3910">
        <v>10009</v>
      </c>
      <c r="G3910" t="s">
        <v>10089</v>
      </c>
      <c r="H3910" t="s">
        <v>10111</v>
      </c>
      <c r="I3910" t="s">
        <v>10168</v>
      </c>
      <c r="J3910" t="s">
        <v>10209</v>
      </c>
      <c r="K3910" t="s">
        <v>10217</v>
      </c>
      <c r="M3910" t="s">
        <v>10575</v>
      </c>
      <c r="N3910" t="s">
        <v>10703</v>
      </c>
      <c r="P3910" t="s">
        <v>10749</v>
      </c>
      <c r="Q3910" t="s">
        <v>10765</v>
      </c>
      <c r="R3910" t="s">
        <v>10826</v>
      </c>
      <c r="T3910">
        <v>27711</v>
      </c>
      <c r="U3910">
        <v>2309.25</v>
      </c>
      <c r="V3910">
        <v>55</v>
      </c>
      <c r="W3910">
        <v>3</v>
      </c>
      <c r="X3910">
        <v>0</v>
      </c>
      <c r="Z3910">
        <v>129.92</v>
      </c>
      <c r="AA3910">
        <v>40.722619</v>
      </c>
      <c r="AB3910">
        <v>-73.977816</v>
      </c>
      <c r="AD3910" t="s">
        <v>10839</v>
      </c>
      <c r="AG3910" t="s">
        <v>10858</v>
      </c>
      <c r="AH3910" t="s">
        <v>10862</v>
      </c>
      <c r="AI3910">
        <v>236</v>
      </c>
      <c r="AJ3910" t="s">
        <v>10209</v>
      </c>
      <c r="AL3910">
        <v>1</v>
      </c>
      <c r="AM3910" t="s">
        <v>10891</v>
      </c>
      <c r="AN3910" t="s">
        <v>10910</v>
      </c>
      <c r="AO3910" t="s">
        <v>11004</v>
      </c>
      <c r="AP3910" t="s">
        <v>11048</v>
      </c>
      <c r="AR3910" t="s">
        <v>11257</v>
      </c>
      <c r="AS3910" t="s">
        <v>9925</v>
      </c>
      <c r="BA3910" t="s">
        <v>11741</v>
      </c>
      <c r="BB3910">
        <v>0</v>
      </c>
      <c r="BC3910">
        <v>0</v>
      </c>
      <c r="BD3910">
        <v>0</v>
      </c>
      <c r="BE3910">
        <v>0</v>
      </c>
      <c r="BF3910">
        <v>1</v>
      </c>
      <c r="BG3910">
        <v>0</v>
      </c>
    </row>
    <row r="3911" spans="1:59">
      <c r="A3911" s="1">
        <f>HYPERLINK("https://lsnyc.legalserver.org/matter/dynamic-profile/view/1908042","19-1908042")</f>
        <v>0</v>
      </c>
      <c r="B3911" t="s">
        <v>3230</v>
      </c>
      <c r="C3911" t="s">
        <v>8020</v>
      </c>
      <c r="D3911" t="s">
        <v>9926</v>
      </c>
      <c r="E3911" t="s">
        <v>10075</v>
      </c>
      <c r="F3911">
        <v>10452</v>
      </c>
      <c r="G3911" t="s">
        <v>10090</v>
      </c>
      <c r="H3911" t="s">
        <v>10111</v>
      </c>
      <c r="I3911" t="s">
        <v>10168</v>
      </c>
      <c r="J3911" t="s">
        <v>10210</v>
      </c>
      <c r="K3911" t="s">
        <v>10218</v>
      </c>
      <c r="L3911" t="s">
        <v>10156</v>
      </c>
      <c r="M3911" t="s">
        <v>10262</v>
      </c>
      <c r="N3911" t="s">
        <v>10666</v>
      </c>
      <c r="P3911" t="s">
        <v>10749</v>
      </c>
      <c r="Q3911" t="s">
        <v>10765</v>
      </c>
      <c r="R3911" t="s">
        <v>10824</v>
      </c>
      <c r="T3911">
        <v>9000</v>
      </c>
      <c r="U3911">
        <v>750</v>
      </c>
      <c r="V3911">
        <v>29</v>
      </c>
      <c r="W3911">
        <v>1</v>
      </c>
      <c r="X3911">
        <v>0</v>
      </c>
      <c r="Y3911" t="s">
        <v>10829</v>
      </c>
      <c r="Z3911">
        <v>72.06</v>
      </c>
      <c r="AA3911">
        <v>40.840942</v>
      </c>
      <c r="AB3911">
        <v>-73.920649</v>
      </c>
      <c r="AD3911" t="s">
        <v>10840</v>
      </c>
      <c r="AG3911" t="s">
        <v>10858</v>
      </c>
      <c r="AH3911" t="s">
        <v>10861</v>
      </c>
      <c r="AI3911">
        <v>230</v>
      </c>
      <c r="AJ3911" t="s">
        <v>10210</v>
      </c>
      <c r="AK3911" t="s">
        <v>10838</v>
      </c>
      <c r="AL3911">
        <v>2.2</v>
      </c>
      <c r="AM3911" t="s">
        <v>10884</v>
      </c>
      <c r="AN3911" t="s">
        <v>10929</v>
      </c>
      <c r="AO3911" t="s">
        <v>11013</v>
      </c>
      <c r="AP3911" t="s">
        <v>11055</v>
      </c>
      <c r="AR3911" t="s">
        <v>11263</v>
      </c>
      <c r="AS3911" t="s">
        <v>9926</v>
      </c>
      <c r="AT3911" t="s">
        <v>11642</v>
      </c>
      <c r="AX3911" t="s">
        <v>10838</v>
      </c>
      <c r="AY3911" t="s">
        <v>10829</v>
      </c>
      <c r="AZ3911" t="s">
        <v>11681</v>
      </c>
      <c r="BA3911" t="s">
        <v>11741</v>
      </c>
      <c r="BB3911">
        <v>0</v>
      </c>
      <c r="BC3911">
        <v>0</v>
      </c>
      <c r="BD3911">
        <v>0</v>
      </c>
      <c r="BE3911">
        <v>0</v>
      </c>
      <c r="BF3911">
        <v>1</v>
      </c>
      <c r="BG3911">
        <v>0</v>
      </c>
    </row>
    <row r="3912" spans="1:59">
      <c r="A3912" s="1">
        <f>HYPERLINK("https://lsnyc.legalserver.org/matter/dynamic-profile/view/1908043","19-1908043")</f>
        <v>0</v>
      </c>
      <c r="B3912" t="s">
        <v>1367</v>
      </c>
      <c r="C3912" t="s">
        <v>8021</v>
      </c>
      <c r="D3912" t="s">
        <v>9926</v>
      </c>
      <c r="E3912" t="s">
        <v>10075</v>
      </c>
      <c r="F3912">
        <v>10468</v>
      </c>
      <c r="G3912" t="s">
        <v>10093</v>
      </c>
      <c r="H3912" t="s">
        <v>10111</v>
      </c>
      <c r="I3912" t="s">
        <v>10168</v>
      </c>
      <c r="J3912" t="s">
        <v>10213</v>
      </c>
      <c r="K3912" t="s">
        <v>10217</v>
      </c>
      <c r="M3912" t="s">
        <v>10358</v>
      </c>
      <c r="N3912" t="s">
        <v>10671</v>
      </c>
      <c r="P3912" t="s">
        <v>10755</v>
      </c>
      <c r="Q3912" t="s">
        <v>10813</v>
      </c>
      <c r="R3912" t="s">
        <v>10821</v>
      </c>
      <c r="T3912">
        <v>9492</v>
      </c>
      <c r="U3912">
        <v>791</v>
      </c>
      <c r="V3912">
        <v>62</v>
      </c>
      <c r="W3912">
        <v>1</v>
      </c>
      <c r="X3912">
        <v>0</v>
      </c>
      <c r="Z3912">
        <v>76</v>
      </c>
      <c r="AA3912">
        <v>40.870225</v>
      </c>
      <c r="AB3912">
        <v>-73.901914</v>
      </c>
      <c r="AD3912" t="s">
        <v>10839</v>
      </c>
      <c r="AG3912" t="s">
        <v>10858</v>
      </c>
      <c r="AH3912" t="s">
        <v>10871</v>
      </c>
      <c r="AI3912">
        <v>234</v>
      </c>
      <c r="AJ3912" t="s">
        <v>10214</v>
      </c>
      <c r="AL3912">
        <v>2.44</v>
      </c>
      <c r="AM3912" t="s">
        <v>10887</v>
      </c>
      <c r="AN3912" t="s">
        <v>10907</v>
      </c>
      <c r="AO3912" t="s">
        <v>11000</v>
      </c>
      <c r="AP3912" t="s">
        <v>11045</v>
      </c>
      <c r="AR3912" t="s">
        <v>11319</v>
      </c>
      <c r="AS3912" t="s">
        <v>9926</v>
      </c>
      <c r="AT3912" t="s">
        <v>11641</v>
      </c>
      <c r="AX3912" t="s">
        <v>10838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</row>
    <row r="3913" spans="1:59">
      <c r="A3913" s="1">
        <f>HYPERLINK("https://lsnyc.legalserver.org/matter/dynamic-profile/view/1908044","19-1908044")</f>
        <v>0</v>
      </c>
      <c r="B3913" t="s">
        <v>3231</v>
      </c>
      <c r="C3913" t="s">
        <v>8022</v>
      </c>
      <c r="D3913" t="s">
        <v>9925</v>
      </c>
      <c r="E3913" t="s">
        <v>10075</v>
      </c>
      <c r="F3913">
        <v>10016</v>
      </c>
      <c r="G3913" t="s">
        <v>10089</v>
      </c>
      <c r="H3913" t="s">
        <v>10154</v>
      </c>
      <c r="I3913" t="s">
        <v>10168</v>
      </c>
      <c r="J3913" t="s">
        <v>10209</v>
      </c>
      <c r="K3913" t="s">
        <v>10218</v>
      </c>
      <c r="L3913" t="s">
        <v>10226</v>
      </c>
      <c r="M3913" t="s">
        <v>10270</v>
      </c>
      <c r="N3913" t="s">
        <v>10716</v>
      </c>
      <c r="P3913" t="s">
        <v>10754</v>
      </c>
      <c r="Q3913" t="s">
        <v>10766</v>
      </c>
      <c r="R3913" t="s">
        <v>10824</v>
      </c>
      <c r="T3913">
        <v>0</v>
      </c>
      <c r="U3913">
        <v>0</v>
      </c>
      <c r="V3913">
        <v>62</v>
      </c>
      <c r="W3913">
        <v>1</v>
      </c>
      <c r="X3913">
        <v>0</v>
      </c>
      <c r="Y3913" t="s">
        <v>10829</v>
      </c>
      <c r="Z3913">
        <v>0</v>
      </c>
      <c r="AA3913">
        <v>40.748334</v>
      </c>
      <c r="AB3913">
        <v>-73.98094</v>
      </c>
      <c r="AD3913" t="s">
        <v>10839</v>
      </c>
      <c r="AG3913" t="s">
        <v>10858</v>
      </c>
      <c r="AH3913" t="s">
        <v>10865</v>
      </c>
      <c r="AI3913">
        <v>236</v>
      </c>
      <c r="AJ3913" t="s">
        <v>10209</v>
      </c>
      <c r="AK3913" t="s">
        <v>10837</v>
      </c>
      <c r="AL3913">
        <v>1</v>
      </c>
      <c r="AM3913" t="s">
        <v>10891</v>
      </c>
      <c r="AN3913" t="s">
        <v>10966</v>
      </c>
      <c r="AO3913" t="s">
        <v>11026</v>
      </c>
      <c r="AP3913" t="s">
        <v>11091</v>
      </c>
      <c r="AQ3913" t="s">
        <v>11175</v>
      </c>
      <c r="AR3913" t="s">
        <v>11267</v>
      </c>
      <c r="AS3913" t="s">
        <v>9925</v>
      </c>
      <c r="AT3913" t="s">
        <v>11641</v>
      </c>
      <c r="AY3913" t="s">
        <v>10829</v>
      </c>
      <c r="AZ3913" t="s">
        <v>11683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</row>
    <row r="3914" spans="1:59">
      <c r="A3914" s="1">
        <f>HYPERLINK("https://lsnyc.legalserver.org/matter/dynamic-profile/view/1908045","19-1908045")</f>
        <v>0</v>
      </c>
      <c r="B3914" t="s">
        <v>3232</v>
      </c>
      <c r="C3914" t="s">
        <v>8023</v>
      </c>
      <c r="D3914" t="s">
        <v>9929</v>
      </c>
      <c r="E3914" t="s">
        <v>10075</v>
      </c>
      <c r="F3914">
        <v>10305</v>
      </c>
      <c r="G3914" t="s">
        <v>10088</v>
      </c>
      <c r="H3914" t="s">
        <v>10154</v>
      </c>
      <c r="I3914" t="s">
        <v>10168</v>
      </c>
      <c r="J3914" t="s">
        <v>10208</v>
      </c>
      <c r="K3914" t="s">
        <v>10217</v>
      </c>
      <c r="M3914" t="s">
        <v>10478</v>
      </c>
      <c r="N3914" t="s">
        <v>10663</v>
      </c>
      <c r="P3914" t="s">
        <v>10755</v>
      </c>
      <c r="Q3914" t="s">
        <v>10772</v>
      </c>
      <c r="R3914" t="s">
        <v>10821</v>
      </c>
      <c r="T3914">
        <v>11652</v>
      </c>
      <c r="U3914">
        <v>971</v>
      </c>
      <c r="V3914">
        <v>7</v>
      </c>
      <c r="W3914">
        <v>1</v>
      </c>
      <c r="X3914">
        <v>2</v>
      </c>
      <c r="Z3914">
        <v>54.63</v>
      </c>
      <c r="AA3914">
        <v>40.596075</v>
      </c>
      <c r="AB3914">
        <v>-74.079594</v>
      </c>
      <c r="AD3914" t="s">
        <v>10839</v>
      </c>
      <c r="AG3914" t="s">
        <v>10858</v>
      </c>
      <c r="AH3914" t="s">
        <v>10861</v>
      </c>
      <c r="AI3914">
        <v>285</v>
      </c>
      <c r="AJ3914" t="s">
        <v>10208</v>
      </c>
      <c r="AL3914">
        <v>20.65</v>
      </c>
      <c r="AM3914" t="s">
        <v>10883</v>
      </c>
      <c r="AN3914" t="s">
        <v>10915</v>
      </c>
      <c r="AO3914" t="s">
        <v>11006</v>
      </c>
      <c r="AP3914" t="s">
        <v>11063</v>
      </c>
      <c r="AR3914" t="s">
        <v>11527</v>
      </c>
      <c r="AS3914" t="s">
        <v>11593</v>
      </c>
      <c r="AT3914" t="s">
        <v>11641</v>
      </c>
      <c r="AX3914" t="s">
        <v>10838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</row>
    <row r="3915" spans="1:59">
      <c r="A3915" s="1">
        <f>HYPERLINK("https://lsnyc.legalserver.org/matter/dynamic-profile/view/1908046","19-1908046")</f>
        <v>0</v>
      </c>
      <c r="B3915" t="s">
        <v>3233</v>
      </c>
      <c r="C3915" t="s">
        <v>8024</v>
      </c>
      <c r="D3915" t="s">
        <v>9925</v>
      </c>
      <c r="E3915" t="s">
        <v>10075</v>
      </c>
      <c r="F3915">
        <v>10039</v>
      </c>
      <c r="G3915" t="s">
        <v>10089</v>
      </c>
      <c r="H3915" t="s">
        <v>10111</v>
      </c>
      <c r="I3915" t="s">
        <v>10168</v>
      </c>
      <c r="J3915" t="s">
        <v>10209</v>
      </c>
      <c r="K3915" t="s">
        <v>10217</v>
      </c>
      <c r="M3915" t="s">
        <v>10453</v>
      </c>
      <c r="N3915" t="s">
        <v>10703</v>
      </c>
      <c r="P3915" t="s">
        <v>10749</v>
      </c>
      <c r="Q3915" t="s">
        <v>10765</v>
      </c>
      <c r="R3915" t="s">
        <v>10824</v>
      </c>
      <c r="T3915">
        <v>58000</v>
      </c>
      <c r="U3915">
        <v>4833.33</v>
      </c>
      <c r="V3915">
        <v>57</v>
      </c>
      <c r="W3915">
        <v>2</v>
      </c>
      <c r="X3915">
        <v>0</v>
      </c>
      <c r="Z3915">
        <v>342.99</v>
      </c>
      <c r="AA3915">
        <v>40.822789</v>
      </c>
      <c r="AB3915">
        <v>-73.935844</v>
      </c>
      <c r="AD3915" t="s">
        <v>10840</v>
      </c>
      <c r="AG3915" t="s">
        <v>10858</v>
      </c>
      <c r="AH3915" t="s">
        <v>10861</v>
      </c>
      <c r="AI3915">
        <v>236</v>
      </c>
      <c r="AJ3915" t="s">
        <v>10209</v>
      </c>
      <c r="AL3915">
        <v>1.5</v>
      </c>
      <c r="AM3915" t="s">
        <v>10887</v>
      </c>
      <c r="AN3915" t="s">
        <v>10943</v>
      </c>
      <c r="AO3915" t="s">
        <v>11016</v>
      </c>
      <c r="AP3915" t="s">
        <v>11076</v>
      </c>
      <c r="AR3915" t="s">
        <v>11257</v>
      </c>
      <c r="AS3915" t="s">
        <v>9925</v>
      </c>
      <c r="BA3915" t="s">
        <v>11741</v>
      </c>
      <c r="BB3915">
        <v>0</v>
      </c>
      <c r="BC3915">
        <v>0</v>
      </c>
      <c r="BD3915">
        <v>0</v>
      </c>
      <c r="BE3915">
        <v>0</v>
      </c>
      <c r="BF3915">
        <v>1</v>
      </c>
      <c r="BG3915">
        <v>0</v>
      </c>
    </row>
    <row r="3916" spans="1:59">
      <c r="A3916" s="1">
        <f>HYPERLINK("https://lsnyc.legalserver.org/matter/dynamic-profile/view/1908047","19-1908047")</f>
        <v>0</v>
      </c>
      <c r="B3916" t="s">
        <v>3234</v>
      </c>
      <c r="C3916" t="s">
        <v>8025</v>
      </c>
      <c r="D3916" t="s">
        <v>9926</v>
      </c>
      <c r="E3916" t="s">
        <v>10075</v>
      </c>
      <c r="F3916">
        <v>10452</v>
      </c>
      <c r="G3916" t="s">
        <v>10093</v>
      </c>
      <c r="H3916" t="s">
        <v>10111</v>
      </c>
      <c r="I3916" t="s">
        <v>10168</v>
      </c>
      <c r="J3916" t="s">
        <v>10213</v>
      </c>
      <c r="K3916" t="s">
        <v>10218</v>
      </c>
      <c r="L3916" t="s">
        <v>10157</v>
      </c>
      <c r="M3916" t="s">
        <v>10436</v>
      </c>
      <c r="N3916" t="s">
        <v>10710</v>
      </c>
      <c r="P3916" t="s">
        <v>10750</v>
      </c>
      <c r="Q3916" t="s">
        <v>10760</v>
      </c>
      <c r="R3916" t="s">
        <v>10824</v>
      </c>
      <c r="T3916">
        <v>10200</v>
      </c>
      <c r="U3916">
        <v>850</v>
      </c>
      <c r="V3916">
        <v>61</v>
      </c>
      <c r="W3916">
        <v>1</v>
      </c>
      <c r="X3916">
        <v>0</v>
      </c>
      <c r="Y3916" t="s">
        <v>10829</v>
      </c>
      <c r="Z3916">
        <v>81.67</v>
      </c>
      <c r="AA3916">
        <v>40.836427</v>
      </c>
      <c r="AB3916">
        <v>-73.92729300000001</v>
      </c>
      <c r="AD3916" t="s">
        <v>10840</v>
      </c>
      <c r="AG3916" t="s">
        <v>10858</v>
      </c>
      <c r="AH3916" t="s">
        <v>10861</v>
      </c>
      <c r="AI3916">
        <v>234</v>
      </c>
      <c r="AJ3916" t="s">
        <v>10214</v>
      </c>
      <c r="AK3916" t="s">
        <v>10838</v>
      </c>
      <c r="AL3916">
        <v>1</v>
      </c>
      <c r="AM3916" t="s">
        <v>10884</v>
      </c>
      <c r="AN3916" t="s">
        <v>10929</v>
      </c>
      <c r="AO3916" t="s">
        <v>11013</v>
      </c>
      <c r="AP3916" t="s">
        <v>11055</v>
      </c>
      <c r="AR3916" t="s">
        <v>11263</v>
      </c>
      <c r="AS3916" t="s">
        <v>9926</v>
      </c>
      <c r="AT3916" t="s">
        <v>11642</v>
      </c>
      <c r="AX3916" t="s">
        <v>10838</v>
      </c>
      <c r="AY3916" t="s">
        <v>10829</v>
      </c>
      <c r="AZ3916" t="s">
        <v>11679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</row>
    <row r="3917" spans="1:59">
      <c r="A3917" s="1">
        <f>HYPERLINK("https://lsnyc.legalserver.org/matter/dynamic-profile/view/1908048","19-1908048")</f>
        <v>0</v>
      </c>
      <c r="B3917" t="s">
        <v>3235</v>
      </c>
      <c r="C3917" t="s">
        <v>8026</v>
      </c>
      <c r="D3917" t="s">
        <v>9928</v>
      </c>
      <c r="E3917" t="s">
        <v>10075</v>
      </c>
      <c r="F3917">
        <v>11236</v>
      </c>
      <c r="G3917" t="s">
        <v>10093</v>
      </c>
      <c r="H3917" t="s">
        <v>10111</v>
      </c>
      <c r="I3917" t="s">
        <v>10168</v>
      </c>
      <c r="J3917" t="s">
        <v>10213</v>
      </c>
      <c r="K3917" t="s">
        <v>10217</v>
      </c>
      <c r="M3917" t="s">
        <v>10344</v>
      </c>
      <c r="N3917" t="s">
        <v>10664</v>
      </c>
      <c r="P3917" t="s">
        <v>10749</v>
      </c>
      <c r="Q3917" t="s">
        <v>10765</v>
      </c>
      <c r="R3917" t="s">
        <v>10821</v>
      </c>
      <c r="T3917">
        <v>4656</v>
      </c>
      <c r="U3917">
        <v>388</v>
      </c>
      <c r="V3917">
        <v>22</v>
      </c>
      <c r="W3917">
        <v>1</v>
      </c>
      <c r="X3917">
        <v>2</v>
      </c>
      <c r="Z3917">
        <v>21.83</v>
      </c>
      <c r="AA3917">
        <v>40.636814</v>
      </c>
      <c r="AB3917">
        <v>-73.907326</v>
      </c>
      <c r="AD3917" t="s">
        <v>10839</v>
      </c>
      <c r="AG3917" t="s">
        <v>10858</v>
      </c>
      <c r="AH3917" t="s">
        <v>10861</v>
      </c>
      <c r="AI3917">
        <v>239</v>
      </c>
      <c r="AJ3917" t="s">
        <v>10213</v>
      </c>
      <c r="AL3917">
        <v>10.5</v>
      </c>
      <c r="AM3917" t="s">
        <v>10889</v>
      </c>
      <c r="AN3917" t="s">
        <v>10959</v>
      </c>
      <c r="AO3917" t="s">
        <v>11012</v>
      </c>
      <c r="AP3917" t="s">
        <v>11072</v>
      </c>
      <c r="AR3917" t="s">
        <v>10180</v>
      </c>
      <c r="AS3917" t="s">
        <v>11595</v>
      </c>
      <c r="BA3917" t="s">
        <v>11742</v>
      </c>
      <c r="BB3917">
        <v>0</v>
      </c>
      <c r="BC3917">
        <v>0</v>
      </c>
      <c r="BD3917">
        <v>0</v>
      </c>
      <c r="BE3917">
        <v>0</v>
      </c>
      <c r="BF3917">
        <v>7</v>
      </c>
      <c r="BG3917">
        <v>0</v>
      </c>
    </row>
    <row r="3918" spans="1:59">
      <c r="A3918" s="1">
        <f>HYPERLINK("https://lsnyc.legalserver.org/matter/dynamic-profile/view/1908049","19-1908049")</f>
        <v>0</v>
      </c>
      <c r="B3918" t="s">
        <v>3236</v>
      </c>
      <c r="C3918" t="s">
        <v>8027</v>
      </c>
      <c r="D3918" t="s">
        <v>9928</v>
      </c>
      <c r="E3918" t="s">
        <v>10075</v>
      </c>
      <c r="F3918">
        <v>11238</v>
      </c>
      <c r="G3918" t="s">
        <v>10093</v>
      </c>
      <c r="H3918" t="s">
        <v>10111</v>
      </c>
      <c r="I3918" t="s">
        <v>10168</v>
      </c>
      <c r="J3918" t="s">
        <v>10213</v>
      </c>
      <c r="K3918" t="s">
        <v>10217</v>
      </c>
      <c r="M3918" t="s">
        <v>10358</v>
      </c>
      <c r="N3918" t="s">
        <v>10671</v>
      </c>
      <c r="P3918" t="s">
        <v>10752</v>
      </c>
      <c r="Q3918" t="s">
        <v>10783</v>
      </c>
      <c r="R3918" t="s">
        <v>10824</v>
      </c>
      <c r="T3918">
        <v>4800</v>
      </c>
      <c r="U3918">
        <v>400</v>
      </c>
      <c r="V3918">
        <v>54</v>
      </c>
      <c r="W3918">
        <v>1</v>
      </c>
      <c r="X3918">
        <v>0</v>
      </c>
      <c r="Z3918">
        <v>38.43</v>
      </c>
      <c r="AA3918">
        <v>40.682018</v>
      </c>
      <c r="AB3918">
        <v>-73.96181300000001</v>
      </c>
      <c r="AD3918" t="s">
        <v>10839</v>
      </c>
      <c r="AF3918" t="s">
        <v>10843</v>
      </c>
      <c r="AG3918" t="s">
        <v>10859</v>
      </c>
      <c r="AH3918" t="s">
        <v>10861</v>
      </c>
      <c r="AI3918">
        <v>234</v>
      </c>
      <c r="AJ3918" t="s">
        <v>10214</v>
      </c>
      <c r="AL3918">
        <v>3.5</v>
      </c>
      <c r="AM3918" t="s">
        <v>10889</v>
      </c>
      <c r="AN3918" t="s">
        <v>10923</v>
      </c>
      <c r="AO3918" t="s">
        <v>11007</v>
      </c>
      <c r="AP3918" t="s">
        <v>11061</v>
      </c>
      <c r="AR3918" t="s">
        <v>11257</v>
      </c>
      <c r="AS3918" t="s">
        <v>11595</v>
      </c>
      <c r="AT3918" t="s">
        <v>11641</v>
      </c>
      <c r="AX3918" t="s">
        <v>10838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</row>
    <row r="3919" spans="1:59">
      <c r="A3919" s="1">
        <f>HYPERLINK("https://lsnyc.legalserver.org/matter/dynamic-profile/view/1908050","19-1908050")</f>
        <v>0</v>
      </c>
      <c r="B3919" t="s">
        <v>3237</v>
      </c>
      <c r="C3919" t="s">
        <v>8028</v>
      </c>
      <c r="D3919" t="s">
        <v>9936</v>
      </c>
      <c r="E3919" t="s">
        <v>10075</v>
      </c>
      <c r="F3919">
        <v>11106</v>
      </c>
      <c r="G3919" t="s">
        <v>10091</v>
      </c>
      <c r="H3919" t="s">
        <v>10111</v>
      </c>
      <c r="I3919" t="s">
        <v>10168</v>
      </c>
      <c r="J3919" t="s">
        <v>10214</v>
      </c>
      <c r="K3919" t="s">
        <v>10217</v>
      </c>
      <c r="M3919" t="s">
        <v>10286</v>
      </c>
      <c r="N3919" t="s">
        <v>10671</v>
      </c>
      <c r="P3919" t="s">
        <v>10752</v>
      </c>
      <c r="Q3919" t="s">
        <v>10762</v>
      </c>
      <c r="R3919" t="s">
        <v>10821</v>
      </c>
      <c r="T3919">
        <v>10332</v>
      </c>
      <c r="U3919">
        <v>861</v>
      </c>
      <c r="V3919">
        <v>76</v>
      </c>
      <c r="W3919">
        <v>1</v>
      </c>
      <c r="X3919">
        <v>0</v>
      </c>
      <c r="Z3919">
        <v>82.72</v>
      </c>
      <c r="AA3919">
        <v>40.759584</v>
      </c>
      <c r="AB3919">
        <v>-73.93558</v>
      </c>
      <c r="AD3919" t="s">
        <v>10839</v>
      </c>
      <c r="AG3919" t="s">
        <v>10858</v>
      </c>
      <c r="AH3919" t="s">
        <v>10871</v>
      </c>
      <c r="AI3919">
        <v>234</v>
      </c>
      <c r="AJ3919" t="s">
        <v>10214</v>
      </c>
      <c r="AL3919">
        <v>1</v>
      </c>
      <c r="AM3919" t="s">
        <v>10891</v>
      </c>
      <c r="AN3919" t="s">
        <v>10961</v>
      </c>
      <c r="AO3919" t="s">
        <v>11003</v>
      </c>
      <c r="AP3919" t="s">
        <v>11047</v>
      </c>
      <c r="AR3919" t="s">
        <v>11268</v>
      </c>
      <c r="AS3919" t="s">
        <v>11594</v>
      </c>
      <c r="AT3919" t="s">
        <v>11641</v>
      </c>
      <c r="AX3919" t="s">
        <v>10838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</row>
    <row r="3920" spans="1:59">
      <c r="A3920" s="1">
        <f>HYPERLINK("https://lsnyc.legalserver.org/matter/dynamic-profile/view/1908051","19-1908051")</f>
        <v>0</v>
      </c>
      <c r="B3920" t="s">
        <v>3238</v>
      </c>
      <c r="C3920" t="s">
        <v>8029</v>
      </c>
      <c r="D3920" t="s">
        <v>9926</v>
      </c>
      <c r="E3920" t="s">
        <v>10075</v>
      </c>
      <c r="F3920">
        <v>10468</v>
      </c>
      <c r="G3920" t="s">
        <v>10090</v>
      </c>
      <c r="H3920" t="s">
        <v>10111</v>
      </c>
      <c r="I3920" t="s">
        <v>10168</v>
      </c>
      <c r="J3920" t="s">
        <v>10210</v>
      </c>
      <c r="K3920" t="s">
        <v>10217</v>
      </c>
      <c r="M3920" t="s">
        <v>10276</v>
      </c>
      <c r="N3920" t="s">
        <v>10651</v>
      </c>
      <c r="P3920" t="s">
        <v>10749</v>
      </c>
      <c r="Q3920" t="s">
        <v>10765</v>
      </c>
      <c r="R3920" t="s">
        <v>10824</v>
      </c>
      <c r="T3920">
        <v>21450</v>
      </c>
      <c r="U3920">
        <v>1787.5</v>
      </c>
      <c r="V3920">
        <v>64</v>
      </c>
      <c r="W3920">
        <v>2</v>
      </c>
      <c r="X3920">
        <v>0</v>
      </c>
      <c r="Z3920">
        <v>126.85</v>
      </c>
      <c r="AA3920">
        <v>40.864994</v>
      </c>
      <c r="AB3920">
        <v>-73.903121</v>
      </c>
      <c r="AD3920" t="s">
        <v>10839</v>
      </c>
      <c r="AG3920" t="s">
        <v>10858</v>
      </c>
      <c r="AH3920" t="s">
        <v>10862</v>
      </c>
      <c r="AI3920">
        <v>230</v>
      </c>
      <c r="AJ3920" t="s">
        <v>10210</v>
      </c>
      <c r="AL3920">
        <v>1.4</v>
      </c>
      <c r="AM3920" t="s">
        <v>10887</v>
      </c>
      <c r="AN3920" t="s">
        <v>10907</v>
      </c>
      <c r="AO3920" t="s">
        <v>11000</v>
      </c>
      <c r="AP3920" t="s">
        <v>11045</v>
      </c>
      <c r="AR3920" t="s">
        <v>11257</v>
      </c>
      <c r="AS3920" t="s">
        <v>9926</v>
      </c>
      <c r="BA3920" t="s">
        <v>11742</v>
      </c>
      <c r="BB3920">
        <v>0</v>
      </c>
      <c r="BC3920">
        <v>0</v>
      </c>
      <c r="BD3920">
        <v>0</v>
      </c>
      <c r="BE3920">
        <v>0</v>
      </c>
      <c r="BF3920">
        <v>7</v>
      </c>
      <c r="BG3920">
        <v>0</v>
      </c>
    </row>
    <row r="3921" spans="1:59">
      <c r="A3921" s="1">
        <f>HYPERLINK("https://lsnyc.legalserver.org/matter/dynamic-profile/view/1908052","19-1908052")</f>
        <v>0</v>
      </c>
      <c r="B3921" t="s">
        <v>3239</v>
      </c>
      <c r="C3921" t="s">
        <v>8030</v>
      </c>
      <c r="D3921" t="s">
        <v>9926</v>
      </c>
      <c r="E3921" t="s">
        <v>10075</v>
      </c>
      <c r="F3921">
        <v>10458</v>
      </c>
      <c r="G3921" t="s">
        <v>10090</v>
      </c>
      <c r="H3921" t="s">
        <v>10111</v>
      </c>
      <c r="J3921" t="s">
        <v>10210</v>
      </c>
      <c r="K3921" t="s">
        <v>10218</v>
      </c>
      <c r="L3921" t="s">
        <v>10137</v>
      </c>
      <c r="M3921" t="s">
        <v>10262</v>
      </c>
      <c r="N3921" t="s">
        <v>10666</v>
      </c>
      <c r="P3921" t="s">
        <v>10749</v>
      </c>
      <c r="Q3921" t="s">
        <v>10765</v>
      </c>
      <c r="R3921" t="s">
        <v>10824</v>
      </c>
      <c r="T3921">
        <v>11200</v>
      </c>
      <c r="U3921">
        <v>933.33</v>
      </c>
      <c r="V3921">
        <v>30</v>
      </c>
      <c r="W3921">
        <v>1</v>
      </c>
      <c r="X3921">
        <v>0</v>
      </c>
      <c r="Y3921" t="s">
        <v>10829</v>
      </c>
      <c r="Z3921">
        <v>89.67</v>
      </c>
      <c r="AA3921">
        <v>40.858771</v>
      </c>
      <c r="AB3921">
        <v>-73.889236</v>
      </c>
      <c r="AD3921" t="s">
        <v>10839</v>
      </c>
      <c r="AG3921" t="s">
        <v>10858</v>
      </c>
      <c r="AH3921" t="s">
        <v>10861</v>
      </c>
      <c r="AI3921">
        <v>230</v>
      </c>
      <c r="AJ3921" t="s">
        <v>10210</v>
      </c>
      <c r="AK3921" t="s">
        <v>10882</v>
      </c>
      <c r="AL3921">
        <v>0.5</v>
      </c>
      <c r="AM3921" t="s">
        <v>10884</v>
      </c>
      <c r="AN3921" t="s">
        <v>10907</v>
      </c>
      <c r="AO3921" t="s">
        <v>11000</v>
      </c>
      <c r="AP3921" t="s">
        <v>11056</v>
      </c>
      <c r="AR3921" t="s">
        <v>11257</v>
      </c>
      <c r="AS3921" t="s">
        <v>9926</v>
      </c>
      <c r="AT3921" t="s">
        <v>11641</v>
      </c>
      <c r="AX3921" t="s">
        <v>10838</v>
      </c>
      <c r="AY3921" t="s">
        <v>10829</v>
      </c>
      <c r="AZ3921" t="s">
        <v>11681</v>
      </c>
      <c r="BA3921" t="s">
        <v>11741</v>
      </c>
      <c r="BB3921">
        <v>0</v>
      </c>
      <c r="BC3921">
        <v>0</v>
      </c>
      <c r="BD3921">
        <v>0</v>
      </c>
      <c r="BE3921">
        <v>0</v>
      </c>
      <c r="BF3921">
        <v>1</v>
      </c>
      <c r="BG3921">
        <v>0</v>
      </c>
    </row>
    <row r="3922" spans="1:59">
      <c r="A3922" s="1">
        <f>HYPERLINK("https://lsnyc.legalserver.org/matter/dynamic-profile/view/1908053","19-1908053")</f>
        <v>0</v>
      </c>
      <c r="B3922" t="s">
        <v>3240</v>
      </c>
      <c r="C3922" t="s">
        <v>8031</v>
      </c>
      <c r="D3922" t="s">
        <v>9926</v>
      </c>
      <c r="E3922" t="s">
        <v>10075</v>
      </c>
      <c r="F3922">
        <v>10468</v>
      </c>
      <c r="G3922" t="s">
        <v>10090</v>
      </c>
      <c r="H3922" t="s">
        <v>10111</v>
      </c>
      <c r="I3922" t="s">
        <v>10168</v>
      </c>
      <c r="J3922" t="s">
        <v>10210</v>
      </c>
      <c r="K3922" t="s">
        <v>10217</v>
      </c>
      <c r="M3922" t="s">
        <v>10353</v>
      </c>
      <c r="N3922" t="s">
        <v>10671</v>
      </c>
      <c r="P3922" t="s">
        <v>10751</v>
      </c>
      <c r="Q3922" t="s">
        <v>10761</v>
      </c>
      <c r="R3922" t="s">
        <v>10826</v>
      </c>
      <c r="T3922">
        <v>9000</v>
      </c>
      <c r="U3922">
        <v>750</v>
      </c>
      <c r="V3922">
        <v>44</v>
      </c>
      <c r="W3922">
        <v>2</v>
      </c>
      <c r="X3922">
        <v>0</v>
      </c>
      <c r="Z3922">
        <v>53.22</v>
      </c>
      <c r="AA3922">
        <v>40.873273</v>
      </c>
      <c r="AB3922">
        <v>-73.898653</v>
      </c>
      <c r="AD3922" t="s">
        <v>10839</v>
      </c>
      <c r="AG3922" t="s">
        <v>10858</v>
      </c>
      <c r="AH3922" t="s">
        <v>10861</v>
      </c>
      <c r="AI3922">
        <v>234</v>
      </c>
      <c r="AJ3922" t="s">
        <v>10214</v>
      </c>
      <c r="AL3922">
        <v>1</v>
      </c>
      <c r="AM3922" t="s">
        <v>10887</v>
      </c>
      <c r="AN3922" t="s">
        <v>10919</v>
      </c>
      <c r="AO3922" t="s">
        <v>11000</v>
      </c>
      <c r="AP3922" t="s">
        <v>11045</v>
      </c>
      <c r="AR3922" t="s">
        <v>11263</v>
      </c>
      <c r="AS3922" t="s">
        <v>9926</v>
      </c>
      <c r="AT3922" t="s">
        <v>11641</v>
      </c>
      <c r="AX3922" t="s">
        <v>10838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</row>
    <row r="3923" spans="1:59">
      <c r="A3923" s="1">
        <f>HYPERLINK("https://lsnyc.legalserver.org/matter/dynamic-profile/view/1908054","19-1908054")</f>
        <v>0</v>
      </c>
      <c r="B3923" t="s">
        <v>3241</v>
      </c>
      <c r="C3923" t="s">
        <v>8032</v>
      </c>
      <c r="D3923" t="s">
        <v>9926</v>
      </c>
      <c r="E3923" t="s">
        <v>10075</v>
      </c>
      <c r="F3923">
        <v>10454</v>
      </c>
      <c r="G3923" t="s">
        <v>10090</v>
      </c>
      <c r="H3923" t="s">
        <v>10111</v>
      </c>
      <c r="I3923" t="s">
        <v>10168</v>
      </c>
      <c r="J3923" t="s">
        <v>10215</v>
      </c>
      <c r="K3923" t="s">
        <v>10217</v>
      </c>
      <c r="M3923" t="s">
        <v>10262</v>
      </c>
      <c r="N3923" t="s">
        <v>10666</v>
      </c>
      <c r="P3923" t="s">
        <v>10749</v>
      </c>
      <c r="Q3923" t="s">
        <v>10765</v>
      </c>
      <c r="R3923" t="s">
        <v>10824</v>
      </c>
      <c r="T3923">
        <v>18181</v>
      </c>
      <c r="U3923">
        <v>1515.08</v>
      </c>
      <c r="V3923">
        <v>50</v>
      </c>
      <c r="W3923">
        <v>2</v>
      </c>
      <c r="X3923">
        <v>2</v>
      </c>
      <c r="Z3923">
        <v>70.61</v>
      </c>
      <c r="AA3923">
        <v>40.80839</v>
      </c>
      <c r="AB3923">
        <v>-73.913248</v>
      </c>
      <c r="AD3923" t="s">
        <v>10839</v>
      </c>
      <c r="AG3923" t="s">
        <v>10858</v>
      </c>
      <c r="AH3923" t="s">
        <v>10862</v>
      </c>
      <c r="AI3923">
        <v>231</v>
      </c>
      <c r="AJ3923" t="s">
        <v>10215</v>
      </c>
      <c r="AL3923">
        <v>7.6</v>
      </c>
      <c r="AM3923" t="s">
        <v>10884</v>
      </c>
      <c r="AN3923" t="s">
        <v>10924</v>
      </c>
      <c r="AO3923" t="s">
        <v>11013</v>
      </c>
      <c r="AP3923" t="s">
        <v>11066</v>
      </c>
      <c r="AR3923" t="s">
        <v>11452</v>
      </c>
      <c r="AS3923" t="s">
        <v>9926</v>
      </c>
      <c r="BA3923" t="s">
        <v>11738</v>
      </c>
      <c r="BB3923">
        <v>0</v>
      </c>
      <c r="BC3923">
        <v>0</v>
      </c>
      <c r="BD3923">
        <v>0</v>
      </c>
      <c r="BE3923">
        <v>0</v>
      </c>
      <c r="BF3923">
        <v>5</v>
      </c>
      <c r="BG3923">
        <v>0</v>
      </c>
    </row>
    <row r="3924" spans="1:59">
      <c r="A3924" s="1">
        <f>HYPERLINK("https://lsnyc.legalserver.org/matter/dynamic-profile/view/1908055","19-1908055")</f>
        <v>0</v>
      </c>
      <c r="B3924" t="s">
        <v>3242</v>
      </c>
      <c r="C3924" t="s">
        <v>8033</v>
      </c>
      <c r="D3924" t="s">
        <v>9925</v>
      </c>
      <c r="E3924" t="s">
        <v>10075</v>
      </c>
      <c r="F3924">
        <v>10036</v>
      </c>
      <c r="G3924" t="s">
        <v>10089</v>
      </c>
      <c r="H3924" t="s">
        <v>10154</v>
      </c>
      <c r="I3924" t="s">
        <v>10169</v>
      </c>
      <c r="J3924" t="s">
        <v>10209</v>
      </c>
      <c r="K3924" t="s">
        <v>10217</v>
      </c>
      <c r="M3924" t="s">
        <v>10270</v>
      </c>
      <c r="N3924" t="s">
        <v>10716</v>
      </c>
      <c r="P3924" t="s">
        <v>10754</v>
      </c>
      <c r="Q3924" t="s">
        <v>10766</v>
      </c>
      <c r="R3924" t="s">
        <v>10821</v>
      </c>
      <c r="T3924">
        <v>0</v>
      </c>
      <c r="U3924">
        <v>0</v>
      </c>
      <c r="V3924">
        <v>49</v>
      </c>
      <c r="W3924">
        <v>1</v>
      </c>
      <c r="X3924">
        <v>0</v>
      </c>
      <c r="Z3924">
        <v>0</v>
      </c>
      <c r="AA3924">
        <v>40.761142</v>
      </c>
      <c r="AB3924">
        <v>-74.000311</v>
      </c>
      <c r="AD3924" t="s">
        <v>10841</v>
      </c>
      <c r="AF3924" t="s">
        <v>10842</v>
      </c>
      <c r="AG3924" t="s">
        <v>10859</v>
      </c>
      <c r="AH3924" t="s">
        <v>10865</v>
      </c>
      <c r="AI3924">
        <v>236</v>
      </c>
      <c r="AJ3924" t="s">
        <v>10209</v>
      </c>
      <c r="AK3924" t="s">
        <v>10837</v>
      </c>
      <c r="AL3924">
        <v>0.75</v>
      </c>
      <c r="AM3924" t="s">
        <v>10894</v>
      </c>
      <c r="AN3924" t="s">
        <v>10964</v>
      </c>
      <c r="AO3924" t="s">
        <v>11019</v>
      </c>
      <c r="AP3924" t="s">
        <v>11090</v>
      </c>
      <c r="AQ3924" t="s">
        <v>11175</v>
      </c>
      <c r="AR3924" t="s">
        <v>11267</v>
      </c>
      <c r="AS3924" t="s">
        <v>9925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</row>
    <row r="3925" spans="1:59">
      <c r="A3925" s="1">
        <f>HYPERLINK("https://lsnyc.legalserver.org/matter/dynamic-profile/view/1908056","19-1908056")</f>
        <v>0</v>
      </c>
      <c r="B3925" t="s">
        <v>3243</v>
      </c>
      <c r="C3925" t="s">
        <v>8028</v>
      </c>
      <c r="D3925" t="s">
        <v>9936</v>
      </c>
      <c r="E3925" t="s">
        <v>10075</v>
      </c>
      <c r="F3925">
        <v>11106</v>
      </c>
      <c r="G3925" t="s">
        <v>10091</v>
      </c>
      <c r="H3925" t="s">
        <v>10111</v>
      </c>
      <c r="I3925" t="s">
        <v>10169</v>
      </c>
      <c r="J3925" t="s">
        <v>10214</v>
      </c>
      <c r="K3925" t="s">
        <v>10217</v>
      </c>
      <c r="M3925" t="s">
        <v>10286</v>
      </c>
      <c r="N3925" t="s">
        <v>10671</v>
      </c>
      <c r="P3925" t="s">
        <v>10752</v>
      </c>
      <c r="Q3925" t="s">
        <v>10762</v>
      </c>
      <c r="R3925" t="s">
        <v>10821</v>
      </c>
      <c r="T3925">
        <v>9588</v>
      </c>
      <c r="U3925">
        <v>799</v>
      </c>
      <c r="V3925">
        <v>70</v>
      </c>
      <c r="W3925">
        <v>1</v>
      </c>
      <c r="X3925">
        <v>0</v>
      </c>
      <c r="Z3925">
        <v>76.77</v>
      </c>
      <c r="AA3925">
        <v>40.759584</v>
      </c>
      <c r="AB3925">
        <v>-73.93558</v>
      </c>
      <c r="AD3925" t="s">
        <v>10840</v>
      </c>
      <c r="AG3925" t="s">
        <v>10858</v>
      </c>
      <c r="AH3925" t="s">
        <v>10871</v>
      </c>
      <c r="AI3925">
        <v>234</v>
      </c>
      <c r="AJ3925" t="s">
        <v>10214</v>
      </c>
      <c r="AL3925">
        <v>1</v>
      </c>
      <c r="AM3925" t="s">
        <v>10891</v>
      </c>
      <c r="AN3925" t="s">
        <v>10961</v>
      </c>
      <c r="AO3925" t="s">
        <v>11003</v>
      </c>
      <c r="AP3925" t="s">
        <v>11047</v>
      </c>
      <c r="AR3925" t="s">
        <v>11268</v>
      </c>
      <c r="AS3925" t="s">
        <v>11594</v>
      </c>
      <c r="AT3925" t="s">
        <v>11642</v>
      </c>
      <c r="AX3925" t="s">
        <v>10838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</row>
    <row r="3926" spans="1:59">
      <c r="A3926" s="1">
        <f>HYPERLINK("https://lsnyc.legalserver.org/matter/dynamic-profile/view/1908057","19-1908057")</f>
        <v>0</v>
      </c>
      <c r="B3926" t="s">
        <v>3244</v>
      </c>
      <c r="C3926" t="s">
        <v>8034</v>
      </c>
      <c r="D3926" t="s">
        <v>9925</v>
      </c>
      <c r="E3926" t="s">
        <v>10075</v>
      </c>
      <c r="F3926">
        <v>10009</v>
      </c>
      <c r="G3926" t="s">
        <v>10089</v>
      </c>
      <c r="H3926" t="s">
        <v>10111</v>
      </c>
      <c r="I3926" t="s">
        <v>10168</v>
      </c>
      <c r="J3926" t="s">
        <v>10209</v>
      </c>
      <c r="K3926" t="s">
        <v>10217</v>
      </c>
      <c r="M3926" t="s">
        <v>10442</v>
      </c>
      <c r="N3926" t="s">
        <v>10671</v>
      </c>
      <c r="P3926" t="s">
        <v>10749</v>
      </c>
      <c r="Q3926" t="s">
        <v>10767</v>
      </c>
      <c r="R3926" t="s">
        <v>10821</v>
      </c>
      <c r="T3926">
        <v>9240</v>
      </c>
      <c r="U3926">
        <v>770</v>
      </c>
      <c r="V3926">
        <v>86</v>
      </c>
      <c r="W3926">
        <v>1</v>
      </c>
      <c r="X3926">
        <v>0</v>
      </c>
      <c r="Z3926">
        <v>73.98</v>
      </c>
      <c r="AA3926">
        <v>40.721481</v>
      </c>
      <c r="AB3926">
        <v>-73.97701600000001</v>
      </c>
      <c r="AD3926" t="s">
        <v>10839</v>
      </c>
      <c r="AG3926" t="s">
        <v>10858</v>
      </c>
      <c r="AH3926" t="s">
        <v>10861</v>
      </c>
      <c r="AI3926">
        <v>234</v>
      </c>
      <c r="AJ3926" t="s">
        <v>10214</v>
      </c>
      <c r="AL3926">
        <v>1</v>
      </c>
      <c r="AM3926" t="s">
        <v>10886</v>
      </c>
      <c r="AN3926" t="s">
        <v>10910</v>
      </c>
      <c r="AO3926" t="s">
        <v>11004</v>
      </c>
      <c r="AP3926" t="s">
        <v>11048</v>
      </c>
      <c r="AR3926" t="s">
        <v>11394</v>
      </c>
      <c r="AS3926" t="s">
        <v>9925</v>
      </c>
      <c r="AT3926" t="s">
        <v>11641</v>
      </c>
      <c r="AX3926" t="s">
        <v>10838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</row>
    <row r="3927" spans="1:59">
      <c r="A3927" s="1">
        <f>HYPERLINK("https://lsnyc.legalserver.org/matter/dynamic-profile/view/1908058","19-1908058")</f>
        <v>0</v>
      </c>
      <c r="B3927" t="s">
        <v>3245</v>
      </c>
      <c r="C3927" t="s">
        <v>8035</v>
      </c>
      <c r="D3927" t="s">
        <v>9975</v>
      </c>
      <c r="E3927" t="s">
        <v>10075</v>
      </c>
      <c r="F3927">
        <v>11415</v>
      </c>
      <c r="G3927" t="s">
        <v>10092</v>
      </c>
      <c r="H3927" t="s">
        <v>10111</v>
      </c>
      <c r="I3927" t="s">
        <v>10168</v>
      </c>
      <c r="J3927" t="s">
        <v>10212</v>
      </c>
      <c r="K3927" t="s">
        <v>10217</v>
      </c>
      <c r="M3927" t="s">
        <v>10285</v>
      </c>
      <c r="N3927" t="s">
        <v>10695</v>
      </c>
      <c r="P3927" t="s">
        <v>10749</v>
      </c>
      <c r="Q3927" t="s">
        <v>10765</v>
      </c>
      <c r="R3927" t="s">
        <v>10821</v>
      </c>
      <c r="T3927">
        <v>37000</v>
      </c>
      <c r="U3927">
        <v>3083.33</v>
      </c>
      <c r="V3927">
        <v>26</v>
      </c>
      <c r="W3927">
        <v>2</v>
      </c>
      <c r="X3927">
        <v>3</v>
      </c>
      <c r="Z3927">
        <v>122.64</v>
      </c>
      <c r="AA3927">
        <v>40.705581</v>
      </c>
      <c r="AB3927">
        <v>-73.833682</v>
      </c>
      <c r="AD3927" t="s">
        <v>10840</v>
      </c>
      <c r="AG3927" t="s">
        <v>10858</v>
      </c>
      <c r="AH3927" t="s">
        <v>10862</v>
      </c>
      <c r="AI3927">
        <v>237</v>
      </c>
      <c r="AJ3927" t="s">
        <v>10212</v>
      </c>
      <c r="AL3927">
        <v>6.88</v>
      </c>
      <c r="AM3927" t="s">
        <v>10890</v>
      </c>
      <c r="AN3927" t="s">
        <v>10962</v>
      </c>
      <c r="AO3927" t="s">
        <v>11020</v>
      </c>
      <c r="AP3927" t="s">
        <v>11083</v>
      </c>
      <c r="AR3927" t="s">
        <v>11257</v>
      </c>
      <c r="AS3927" t="s">
        <v>11594</v>
      </c>
      <c r="BA3927" t="s">
        <v>11738</v>
      </c>
      <c r="BB3927">
        <v>0</v>
      </c>
      <c r="BC3927">
        <v>0</v>
      </c>
      <c r="BD3927">
        <v>0</v>
      </c>
      <c r="BE3927">
        <v>0</v>
      </c>
      <c r="BF3927">
        <v>5</v>
      </c>
      <c r="BG3927">
        <v>0</v>
      </c>
    </row>
    <row r="3928" spans="1:59">
      <c r="A3928" s="1">
        <f>HYPERLINK("https://lsnyc.legalserver.org/matter/dynamic-profile/view/1908059","19-1908059")</f>
        <v>0</v>
      </c>
      <c r="B3928" t="s">
        <v>3246</v>
      </c>
      <c r="C3928" t="s">
        <v>8036</v>
      </c>
      <c r="D3928" t="s">
        <v>9938</v>
      </c>
      <c r="E3928" t="s">
        <v>10075</v>
      </c>
      <c r="F3928">
        <v>11434</v>
      </c>
      <c r="G3928" t="s">
        <v>10092</v>
      </c>
      <c r="H3928" t="s">
        <v>10152</v>
      </c>
      <c r="I3928" t="s">
        <v>10168</v>
      </c>
      <c r="J3928" t="s">
        <v>10212</v>
      </c>
      <c r="K3928" t="s">
        <v>10217</v>
      </c>
      <c r="M3928" t="s">
        <v>10530</v>
      </c>
      <c r="N3928" t="s">
        <v>10646</v>
      </c>
      <c r="P3928" t="s">
        <v>10749</v>
      </c>
      <c r="Q3928" t="s">
        <v>10769</v>
      </c>
      <c r="R3928" t="s">
        <v>10824</v>
      </c>
      <c r="T3928">
        <v>96000</v>
      </c>
      <c r="U3928">
        <v>8000</v>
      </c>
      <c r="V3928">
        <v>48</v>
      </c>
      <c r="W3928">
        <v>2</v>
      </c>
      <c r="X3928">
        <v>0</v>
      </c>
      <c r="Z3928">
        <v>567.71</v>
      </c>
      <c r="AA3928">
        <v>40.689267</v>
      </c>
      <c r="AB3928">
        <v>-73.774321</v>
      </c>
      <c r="AD3928" t="s">
        <v>10840</v>
      </c>
      <c r="AG3928" t="s">
        <v>10858</v>
      </c>
      <c r="AH3928" t="s">
        <v>10860</v>
      </c>
      <c r="AI3928">
        <v>237</v>
      </c>
      <c r="AJ3928" t="s">
        <v>10212</v>
      </c>
      <c r="AL3928">
        <v>1.25</v>
      </c>
      <c r="AM3928" t="s">
        <v>10892</v>
      </c>
      <c r="AN3928" t="s">
        <v>10955</v>
      </c>
      <c r="AO3928" t="s">
        <v>11020</v>
      </c>
      <c r="AP3928" t="s">
        <v>11075</v>
      </c>
      <c r="AR3928" t="s">
        <v>11257</v>
      </c>
      <c r="AS3928" t="s">
        <v>11594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</row>
    <row r="3929" spans="1:59">
      <c r="A3929" s="1">
        <f>HYPERLINK("https://lsnyc.legalserver.org/matter/dynamic-profile/view/1908060","19-1908060")</f>
        <v>0</v>
      </c>
      <c r="B3929" t="s">
        <v>3247</v>
      </c>
      <c r="C3929" t="s">
        <v>8037</v>
      </c>
      <c r="D3929" t="s">
        <v>9926</v>
      </c>
      <c r="E3929" t="s">
        <v>10075</v>
      </c>
      <c r="F3929">
        <v>10466</v>
      </c>
      <c r="G3929" t="s">
        <v>10090</v>
      </c>
      <c r="H3929" t="s">
        <v>10111</v>
      </c>
      <c r="I3929" t="s">
        <v>10168</v>
      </c>
      <c r="J3929" t="s">
        <v>10210</v>
      </c>
      <c r="K3929" t="s">
        <v>10217</v>
      </c>
      <c r="M3929" t="s">
        <v>10262</v>
      </c>
      <c r="N3929" t="s">
        <v>10666</v>
      </c>
      <c r="P3929" t="s">
        <v>10749</v>
      </c>
      <c r="Q3929" t="s">
        <v>10765</v>
      </c>
      <c r="R3929" t="s">
        <v>10824</v>
      </c>
      <c r="T3929">
        <v>20800</v>
      </c>
      <c r="U3929">
        <v>1733.33</v>
      </c>
      <c r="V3929">
        <v>61</v>
      </c>
      <c r="W3929">
        <v>1</v>
      </c>
      <c r="X3929">
        <v>0</v>
      </c>
      <c r="Z3929">
        <v>166.53</v>
      </c>
      <c r="AA3929">
        <v>40.902559</v>
      </c>
      <c r="AB3929">
        <v>-73.84124</v>
      </c>
      <c r="AD3929" t="s">
        <v>10840</v>
      </c>
      <c r="AG3929" t="s">
        <v>10858</v>
      </c>
      <c r="AH3929" t="s">
        <v>10861</v>
      </c>
      <c r="AI3929">
        <v>230</v>
      </c>
      <c r="AJ3929" t="s">
        <v>10210</v>
      </c>
      <c r="AL3929">
        <v>4.6</v>
      </c>
      <c r="AM3929" t="s">
        <v>10893</v>
      </c>
      <c r="AN3929" t="s">
        <v>10956</v>
      </c>
      <c r="AO3929" t="s">
        <v>11010</v>
      </c>
      <c r="AP3929" t="s">
        <v>11085</v>
      </c>
      <c r="AR3929" t="s">
        <v>11257</v>
      </c>
      <c r="AS3929" t="s">
        <v>9926</v>
      </c>
      <c r="AT3929" t="s">
        <v>11642</v>
      </c>
      <c r="AX3929" t="s">
        <v>10838</v>
      </c>
      <c r="BA3929" t="s">
        <v>11738</v>
      </c>
      <c r="BB3929">
        <v>0</v>
      </c>
      <c r="BC3929">
        <v>0</v>
      </c>
      <c r="BD3929">
        <v>0</v>
      </c>
      <c r="BE3929">
        <v>0</v>
      </c>
      <c r="BF3929">
        <v>5</v>
      </c>
      <c r="BG3929">
        <v>0</v>
      </c>
    </row>
    <row r="3930" spans="1:59">
      <c r="A3930" s="1">
        <f>HYPERLINK("https://lsnyc.legalserver.org/matter/dynamic-profile/view/1908061","19-1908061")</f>
        <v>0</v>
      </c>
      <c r="B3930" t="s">
        <v>3248</v>
      </c>
      <c r="C3930" t="s">
        <v>8038</v>
      </c>
      <c r="D3930" t="s">
        <v>9926</v>
      </c>
      <c r="E3930" t="s">
        <v>10075</v>
      </c>
      <c r="F3930">
        <v>10452</v>
      </c>
      <c r="G3930" t="s">
        <v>10090</v>
      </c>
      <c r="H3930" t="s">
        <v>10111</v>
      </c>
      <c r="I3930" t="s">
        <v>10168</v>
      </c>
      <c r="J3930" t="s">
        <v>10210</v>
      </c>
      <c r="K3930" t="s">
        <v>10217</v>
      </c>
      <c r="M3930" t="s">
        <v>10372</v>
      </c>
      <c r="N3930" t="s">
        <v>10677</v>
      </c>
      <c r="P3930" t="s">
        <v>10751</v>
      </c>
      <c r="Q3930" t="s">
        <v>10800</v>
      </c>
      <c r="R3930" t="s">
        <v>10820</v>
      </c>
      <c r="T3930">
        <v>0</v>
      </c>
      <c r="U3930">
        <v>0</v>
      </c>
      <c r="V3930">
        <v>65</v>
      </c>
      <c r="W3930">
        <v>1</v>
      </c>
      <c r="X3930">
        <v>0</v>
      </c>
      <c r="Z3930">
        <v>0</v>
      </c>
      <c r="AA3930">
        <v>40.83205</v>
      </c>
      <c r="AB3930">
        <v>-73.92078100000001</v>
      </c>
      <c r="AD3930" t="s">
        <v>10839</v>
      </c>
      <c r="AG3930" t="s">
        <v>10858</v>
      </c>
      <c r="AH3930" t="s">
        <v>10861</v>
      </c>
      <c r="AI3930">
        <v>234</v>
      </c>
      <c r="AJ3930" t="s">
        <v>10214</v>
      </c>
      <c r="AL3930">
        <v>1.5</v>
      </c>
      <c r="AM3930" t="s">
        <v>10884</v>
      </c>
      <c r="AN3930" t="s">
        <v>10929</v>
      </c>
      <c r="AO3930" t="s">
        <v>11013</v>
      </c>
      <c r="AP3930" t="s">
        <v>11055</v>
      </c>
      <c r="AR3930" t="s">
        <v>11267</v>
      </c>
      <c r="AS3930" t="s">
        <v>9926</v>
      </c>
      <c r="AT3930" t="s">
        <v>11641</v>
      </c>
      <c r="AX3930" t="s">
        <v>10838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</row>
    <row r="3931" spans="1:59">
      <c r="A3931" s="1">
        <f>HYPERLINK("https://lsnyc.legalserver.org/matter/dynamic-profile/view/1908062","19-1908062")</f>
        <v>0</v>
      </c>
      <c r="B3931" t="s">
        <v>3249</v>
      </c>
      <c r="C3931" t="s">
        <v>8039</v>
      </c>
      <c r="D3931" t="s">
        <v>9938</v>
      </c>
      <c r="E3931" t="s">
        <v>10075</v>
      </c>
      <c r="F3931">
        <v>11432</v>
      </c>
      <c r="G3931" t="s">
        <v>10092</v>
      </c>
      <c r="H3931" t="s">
        <v>10111</v>
      </c>
      <c r="I3931" t="s">
        <v>10179</v>
      </c>
      <c r="J3931" t="s">
        <v>10212</v>
      </c>
      <c r="K3931" t="s">
        <v>10217</v>
      </c>
      <c r="M3931" t="s">
        <v>10422</v>
      </c>
      <c r="N3931" t="s">
        <v>10673</v>
      </c>
      <c r="O3931" t="s">
        <v>10648</v>
      </c>
      <c r="P3931" t="s">
        <v>10753</v>
      </c>
      <c r="Q3931" t="s">
        <v>10763</v>
      </c>
      <c r="R3931" t="s">
        <v>10828</v>
      </c>
      <c r="T3931">
        <v>10400</v>
      </c>
      <c r="U3931">
        <v>866.67</v>
      </c>
      <c r="V3931">
        <v>50</v>
      </c>
      <c r="W3931">
        <v>2</v>
      </c>
      <c r="X3931">
        <v>0</v>
      </c>
      <c r="Z3931">
        <v>61.5</v>
      </c>
      <c r="AA3931">
        <v>40.708923</v>
      </c>
      <c r="AB3931">
        <v>-73.79737900000001</v>
      </c>
      <c r="AD3931" t="s">
        <v>10839</v>
      </c>
      <c r="AF3931" t="s">
        <v>10842</v>
      </c>
      <c r="AG3931" t="s">
        <v>10859</v>
      </c>
      <c r="AH3931" t="s">
        <v>10864</v>
      </c>
      <c r="AI3931">
        <v>237</v>
      </c>
      <c r="AJ3931" t="s">
        <v>10212</v>
      </c>
      <c r="AL3931">
        <v>3.5</v>
      </c>
      <c r="AM3931" t="s">
        <v>10892</v>
      </c>
      <c r="AN3931" t="s">
        <v>10955</v>
      </c>
      <c r="AO3931" t="s">
        <v>11020</v>
      </c>
      <c r="AP3931" t="s">
        <v>11081</v>
      </c>
      <c r="AQ3931" t="s">
        <v>11119</v>
      </c>
      <c r="AR3931" t="s">
        <v>11257</v>
      </c>
      <c r="AS3931" t="s">
        <v>11594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</row>
    <row r="3932" spans="1:59">
      <c r="A3932" s="1">
        <f>HYPERLINK("https://lsnyc.legalserver.org/matter/dynamic-profile/view/1908063","19-1908063")</f>
        <v>0</v>
      </c>
      <c r="B3932" t="s">
        <v>3250</v>
      </c>
      <c r="C3932" t="s">
        <v>8040</v>
      </c>
      <c r="D3932" t="s">
        <v>9925</v>
      </c>
      <c r="E3932" t="s">
        <v>10075</v>
      </c>
      <c r="F3932">
        <v>10003</v>
      </c>
      <c r="G3932" t="s">
        <v>10089</v>
      </c>
      <c r="H3932" t="s">
        <v>10111</v>
      </c>
      <c r="I3932" t="s">
        <v>10168</v>
      </c>
      <c r="J3932" t="s">
        <v>10209</v>
      </c>
      <c r="K3932" t="s">
        <v>10217</v>
      </c>
      <c r="M3932" t="s">
        <v>10442</v>
      </c>
      <c r="N3932" t="s">
        <v>10671</v>
      </c>
      <c r="P3932" t="s">
        <v>10749</v>
      </c>
      <c r="Q3932" t="s">
        <v>10765</v>
      </c>
      <c r="R3932" t="s">
        <v>10825</v>
      </c>
      <c r="T3932">
        <v>6000</v>
      </c>
      <c r="U3932">
        <v>500</v>
      </c>
      <c r="V3932">
        <v>60</v>
      </c>
      <c r="W3932">
        <v>3</v>
      </c>
      <c r="X3932">
        <v>0</v>
      </c>
      <c r="Z3932">
        <v>28.13</v>
      </c>
      <c r="AA3932">
        <v>40.736406</v>
      </c>
      <c r="AB3932">
        <v>-73.98275599999999</v>
      </c>
      <c r="AD3932" t="s">
        <v>10839</v>
      </c>
      <c r="AG3932" t="s">
        <v>10858</v>
      </c>
      <c r="AH3932" t="s">
        <v>10861</v>
      </c>
      <c r="AI3932">
        <v>234</v>
      </c>
      <c r="AJ3932" t="s">
        <v>10214</v>
      </c>
      <c r="AL3932">
        <v>1</v>
      </c>
      <c r="AM3932" t="s">
        <v>10891</v>
      </c>
      <c r="AN3932" t="s">
        <v>10910</v>
      </c>
      <c r="AO3932" t="s">
        <v>11026</v>
      </c>
      <c r="AP3932" t="s">
        <v>11048</v>
      </c>
      <c r="AR3932" t="s">
        <v>11257</v>
      </c>
      <c r="AS3932" t="s">
        <v>9925</v>
      </c>
      <c r="AT3932" t="s">
        <v>11641</v>
      </c>
      <c r="AX3932" t="s">
        <v>10838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</row>
    <row r="3933" spans="1:59">
      <c r="A3933" s="1">
        <f>HYPERLINK("https://lsnyc.legalserver.org/matter/dynamic-profile/view/1908064","19-1908064")</f>
        <v>0</v>
      </c>
      <c r="B3933" t="s">
        <v>3251</v>
      </c>
      <c r="C3933" t="s">
        <v>6608</v>
      </c>
      <c r="D3933" t="s">
        <v>9925</v>
      </c>
      <c r="E3933" t="s">
        <v>10075</v>
      </c>
      <c r="F3933">
        <v>10033</v>
      </c>
      <c r="G3933" t="s">
        <v>10089</v>
      </c>
      <c r="H3933" t="s">
        <v>10111</v>
      </c>
      <c r="I3933" t="s">
        <v>10169</v>
      </c>
      <c r="J3933" t="s">
        <v>10209</v>
      </c>
      <c r="K3933" t="s">
        <v>10217</v>
      </c>
      <c r="M3933" t="s">
        <v>10267</v>
      </c>
      <c r="N3933" t="s">
        <v>10671</v>
      </c>
      <c r="P3933" t="s">
        <v>10757</v>
      </c>
      <c r="Q3933" t="s">
        <v>10789</v>
      </c>
      <c r="R3933" t="s">
        <v>10821</v>
      </c>
      <c r="T3933">
        <v>14872</v>
      </c>
      <c r="U3933">
        <v>1239.33</v>
      </c>
      <c r="V3933">
        <v>53</v>
      </c>
      <c r="W3933">
        <v>1</v>
      </c>
      <c r="X3933">
        <v>0</v>
      </c>
      <c r="Z3933">
        <v>119.07</v>
      </c>
      <c r="AA3933">
        <v>40.847563</v>
      </c>
      <c r="AB3933">
        <v>-73.934467</v>
      </c>
      <c r="AD3933" t="s">
        <v>10839</v>
      </c>
      <c r="AG3933" t="s">
        <v>10858</v>
      </c>
      <c r="AH3933" t="s">
        <v>10871</v>
      </c>
      <c r="AI3933">
        <v>234</v>
      </c>
      <c r="AJ3933" t="s">
        <v>10214</v>
      </c>
      <c r="AL3933">
        <v>5.75</v>
      </c>
      <c r="AM3933" t="s">
        <v>10887</v>
      </c>
      <c r="AN3933" t="s">
        <v>10937</v>
      </c>
      <c r="AO3933" t="s">
        <v>11019</v>
      </c>
      <c r="AP3933" t="s">
        <v>11074</v>
      </c>
      <c r="AR3933" t="s">
        <v>11293</v>
      </c>
      <c r="AS3933" t="s">
        <v>9925</v>
      </c>
      <c r="AT3933" t="s">
        <v>11641</v>
      </c>
      <c r="AX3933" t="s">
        <v>10838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</row>
    <row r="3934" spans="1:59">
      <c r="A3934" s="1">
        <f>HYPERLINK("https://lsnyc.legalserver.org/matter/dynamic-profile/view/1908065","19-1908065")</f>
        <v>0</v>
      </c>
      <c r="B3934" t="s">
        <v>3252</v>
      </c>
      <c r="C3934" t="s">
        <v>8041</v>
      </c>
      <c r="D3934" t="s">
        <v>9928</v>
      </c>
      <c r="E3934" t="s">
        <v>10075</v>
      </c>
      <c r="F3934">
        <v>11226</v>
      </c>
      <c r="G3934" t="s">
        <v>10093</v>
      </c>
      <c r="H3934" t="s">
        <v>10111</v>
      </c>
      <c r="I3934" t="s">
        <v>10168</v>
      </c>
      <c r="J3934" t="s">
        <v>10213</v>
      </c>
      <c r="K3934" t="s">
        <v>10217</v>
      </c>
      <c r="M3934" t="s">
        <v>10268</v>
      </c>
      <c r="N3934" t="s">
        <v>10646</v>
      </c>
      <c r="P3934" t="s">
        <v>10749</v>
      </c>
      <c r="Q3934" t="s">
        <v>10765</v>
      </c>
      <c r="R3934" t="s">
        <v>10824</v>
      </c>
      <c r="T3934">
        <v>90000</v>
      </c>
      <c r="U3934">
        <v>7500</v>
      </c>
      <c r="V3934">
        <v>42</v>
      </c>
      <c r="W3934">
        <v>2</v>
      </c>
      <c r="X3934">
        <v>4</v>
      </c>
      <c r="Z3934">
        <v>260.19</v>
      </c>
      <c r="AA3934">
        <v>40.655141</v>
      </c>
      <c r="AB3934">
        <v>-73.950953</v>
      </c>
      <c r="AD3934" t="s">
        <v>10840</v>
      </c>
      <c r="AG3934" t="s">
        <v>10858</v>
      </c>
      <c r="AH3934" t="s">
        <v>10862</v>
      </c>
      <c r="AI3934">
        <v>239</v>
      </c>
      <c r="AJ3934" t="s">
        <v>10213</v>
      </c>
      <c r="AL3934">
        <v>1.4</v>
      </c>
      <c r="AM3934" t="s">
        <v>10888</v>
      </c>
      <c r="AN3934" t="s">
        <v>10912</v>
      </c>
      <c r="AO3934" t="s">
        <v>11005</v>
      </c>
      <c r="AP3934" t="s">
        <v>11050</v>
      </c>
      <c r="AR3934" t="s">
        <v>11257</v>
      </c>
      <c r="AS3934" t="s">
        <v>11595</v>
      </c>
      <c r="BA3934" t="s">
        <v>11738</v>
      </c>
      <c r="BB3934">
        <v>0</v>
      </c>
      <c r="BC3934">
        <v>0</v>
      </c>
      <c r="BD3934">
        <v>0</v>
      </c>
      <c r="BE3934">
        <v>0</v>
      </c>
      <c r="BF3934">
        <v>5</v>
      </c>
      <c r="BG3934">
        <v>0</v>
      </c>
    </row>
    <row r="3935" spans="1:59">
      <c r="A3935" s="1">
        <f>HYPERLINK("https://lsnyc.legalserver.org/matter/dynamic-profile/view/1908066","19-1908066")</f>
        <v>0</v>
      </c>
      <c r="B3935" t="s">
        <v>3253</v>
      </c>
      <c r="C3935" t="s">
        <v>8042</v>
      </c>
      <c r="D3935" t="s">
        <v>9926</v>
      </c>
      <c r="E3935" t="s">
        <v>10075</v>
      </c>
      <c r="F3935">
        <v>10451</v>
      </c>
      <c r="G3935" t="s">
        <v>10090</v>
      </c>
      <c r="H3935" t="s">
        <v>10111</v>
      </c>
      <c r="I3935" t="s">
        <v>10168</v>
      </c>
      <c r="J3935" t="s">
        <v>10210</v>
      </c>
      <c r="K3935" t="s">
        <v>10217</v>
      </c>
      <c r="M3935" t="s">
        <v>10511</v>
      </c>
      <c r="N3935" t="s">
        <v>10666</v>
      </c>
      <c r="P3935" t="s">
        <v>10749</v>
      </c>
      <c r="Q3935" t="s">
        <v>10765</v>
      </c>
      <c r="R3935" t="s">
        <v>10824</v>
      </c>
      <c r="T3935">
        <v>10260</v>
      </c>
      <c r="U3935">
        <v>855</v>
      </c>
      <c r="V3935">
        <v>37</v>
      </c>
      <c r="W3935">
        <v>1</v>
      </c>
      <c r="X3935">
        <v>0</v>
      </c>
      <c r="Z3935">
        <v>82.15000000000001</v>
      </c>
      <c r="AA3935">
        <v>40.823499</v>
      </c>
      <c r="AB3935">
        <v>-73.91995900000001</v>
      </c>
      <c r="AD3935" t="s">
        <v>10839</v>
      </c>
      <c r="AG3935" t="s">
        <v>10858</v>
      </c>
      <c r="AH3935" t="s">
        <v>10862</v>
      </c>
      <c r="AI3935">
        <v>230</v>
      </c>
      <c r="AJ3935" t="s">
        <v>10210</v>
      </c>
      <c r="AL3935">
        <v>9.5</v>
      </c>
      <c r="AM3935" t="s">
        <v>10884</v>
      </c>
      <c r="AN3935" t="s">
        <v>10918</v>
      </c>
      <c r="AO3935" t="s">
        <v>11001</v>
      </c>
      <c r="AP3935" t="s">
        <v>11055</v>
      </c>
      <c r="AR3935" t="s">
        <v>11298</v>
      </c>
      <c r="AS3935" t="s">
        <v>9926</v>
      </c>
      <c r="AT3935" t="s">
        <v>11641</v>
      </c>
      <c r="BA3935" t="s">
        <v>11738</v>
      </c>
      <c r="BB3935">
        <v>0</v>
      </c>
      <c r="BC3935">
        <v>0</v>
      </c>
      <c r="BD3935">
        <v>0</v>
      </c>
      <c r="BE3935">
        <v>0</v>
      </c>
      <c r="BF3935">
        <v>5</v>
      </c>
      <c r="BG3935">
        <v>0</v>
      </c>
    </row>
    <row r="3936" spans="1:59">
      <c r="A3936" s="1">
        <f>HYPERLINK("https://lsnyc.legalserver.org/matter/dynamic-profile/view/1908067","19-1908067")</f>
        <v>0</v>
      </c>
      <c r="B3936" t="s">
        <v>3254</v>
      </c>
      <c r="C3936" t="s">
        <v>8043</v>
      </c>
      <c r="D3936" t="s">
        <v>9941</v>
      </c>
      <c r="E3936" t="s">
        <v>10075</v>
      </c>
      <c r="F3936">
        <v>11429</v>
      </c>
      <c r="G3936" t="s">
        <v>10092</v>
      </c>
      <c r="H3936" t="s">
        <v>10111</v>
      </c>
      <c r="J3936" t="s">
        <v>10212</v>
      </c>
      <c r="K3936" t="s">
        <v>10217</v>
      </c>
      <c r="M3936" t="s">
        <v>10530</v>
      </c>
      <c r="N3936" t="s">
        <v>10646</v>
      </c>
      <c r="P3936" t="s">
        <v>10749</v>
      </c>
      <c r="Q3936" t="s">
        <v>10806</v>
      </c>
      <c r="R3936" t="s">
        <v>10824</v>
      </c>
      <c r="T3936">
        <v>100000</v>
      </c>
      <c r="U3936">
        <v>8333.33</v>
      </c>
      <c r="V3936">
        <v>58</v>
      </c>
      <c r="W3936">
        <v>2</v>
      </c>
      <c r="X3936">
        <v>0</v>
      </c>
      <c r="Z3936">
        <v>591.37</v>
      </c>
      <c r="AA3936">
        <v>40.702694</v>
      </c>
      <c r="AB3936">
        <v>-73.734572</v>
      </c>
      <c r="AD3936" t="s">
        <v>10840</v>
      </c>
      <c r="AG3936" t="s">
        <v>10858</v>
      </c>
      <c r="AH3936" t="s">
        <v>10860</v>
      </c>
      <c r="AI3936">
        <v>237</v>
      </c>
      <c r="AJ3936" t="s">
        <v>10212</v>
      </c>
      <c r="AL3936">
        <v>0.5</v>
      </c>
      <c r="AM3936" t="s">
        <v>10892</v>
      </c>
      <c r="AN3936" t="s">
        <v>10940</v>
      </c>
      <c r="AO3936" t="s">
        <v>11020</v>
      </c>
      <c r="AP3936" t="s">
        <v>11075</v>
      </c>
      <c r="AR3936" t="s">
        <v>11276</v>
      </c>
      <c r="AS3936" t="s">
        <v>11594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</row>
    <row r="3937" spans="1:59">
      <c r="A3937" s="1">
        <f>HYPERLINK("https://lsnyc.legalserver.org/matter/dynamic-profile/view/1908068","19-1908068")</f>
        <v>0</v>
      </c>
      <c r="B3937" t="s">
        <v>3255</v>
      </c>
      <c r="C3937" t="s">
        <v>8044</v>
      </c>
      <c r="D3937" t="s">
        <v>9925</v>
      </c>
      <c r="E3937" t="s">
        <v>10075</v>
      </c>
      <c r="F3937">
        <v>10034</v>
      </c>
      <c r="G3937" t="s">
        <v>10089</v>
      </c>
      <c r="H3937" t="s">
        <v>10111</v>
      </c>
      <c r="I3937" t="s">
        <v>10169</v>
      </c>
      <c r="J3937" t="s">
        <v>10209</v>
      </c>
      <c r="K3937" t="s">
        <v>10218</v>
      </c>
      <c r="L3937" t="s">
        <v>10111</v>
      </c>
      <c r="M3937" t="s">
        <v>10451</v>
      </c>
      <c r="N3937" t="s">
        <v>10650</v>
      </c>
      <c r="P3937" t="s">
        <v>10749</v>
      </c>
      <c r="Q3937" t="s">
        <v>10765</v>
      </c>
      <c r="R3937" t="s">
        <v>10821</v>
      </c>
      <c r="T3937">
        <v>18200</v>
      </c>
      <c r="U3937">
        <v>1516.67</v>
      </c>
      <c r="V3937">
        <v>38</v>
      </c>
      <c r="W3937">
        <v>3</v>
      </c>
      <c r="X3937">
        <v>2</v>
      </c>
      <c r="Y3937" t="s">
        <v>10830</v>
      </c>
      <c r="Z3937">
        <v>60.32</v>
      </c>
      <c r="AA3937">
        <v>40.868095</v>
      </c>
      <c r="AB3937">
        <v>-73.917117</v>
      </c>
      <c r="AD3937" t="s">
        <v>10839</v>
      </c>
      <c r="AG3937" t="s">
        <v>10858</v>
      </c>
      <c r="AH3937" t="s">
        <v>10862</v>
      </c>
      <c r="AI3937">
        <v>236</v>
      </c>
      <c r="AJ3937" t="s">
        <v>10209</v>
      </c>
      <c r="AK3937" t="s">
        <v>10838</v>
      </c>
      <c r="AL3937">
        <v>0.5</v>
      </c>
      <c r="AM3937" t="s">
        <v>10887</v>
      </c>
      <c r="AN3937" t="s">
        <v>10937</v>
      </c>
      <c r="AO3937" t="s">
        <v>11019</v>
      </c>
      <c r="AP3937" t="s">
        <v>11074</v>
      </c>
      <c r="AR3937" t="s">
        <v>11257</v>
      </c>
      <c r="AS3937" t="s">
        <v>9925</v>
      </c>
      <c r="AY3937" t="s">
        <v>10830</v>
      </c>
      <c r="AZ3937" t="s">
        <v>11697</v>
      </c>
      <c r="BA3937" t="s">
        <v>11740</v>
      </c>
      <c r="BB3937">
        <v>0</v>
      </c>
      <c r="BC3937">
        <v>0</v>
      </c>
      <c r="BD3937">
        <v>0</v>
      </c>
      <c r="BE3937">
        <v>0</v>
      </c>
      <c r="BF3937">
        <v>2</v>
      </c>
      <c r="BG3937">
        <v>0</v>
      </c>
    </row>
    <row r="3938" spans="1:59">
      <c r="A3938" s="1">
        <f>HYPERLINK("https://lsnyc.legalserver.org/matter/dynamic-profile/view/1908070","19-1908070")</f>
        <v>0</v>
      </c>
      <c r="B3938" t="s">
        <v>1198</v>
      </c>
      <c r="C3938" t="s">
        <v>8045</v>
      </c>
      <c r="D3938" t="s">
        <v>9928</v>
      </c>
      <c r="E3938" t="s">
        <v>10075</v>
      </c>
      <c r="F3938">
        <v>11225</v>
      </c>
      <c r="G3938" t="s">
        <v>10093</v>
      </c>
      <c r="H3938" t="s">
        <v>10111</v>
      </c>
      <c r="I3938" t="s">
        <v>10168</v>
      </c>
      <c r="J3938" t="s">
        <v>10213</v>
      </c>
      <c r="K3938" t="s">
        <v>10217</v>
      </c>
      <c r="M3938" t="s">
        <v>10314</v>
      </c>
      <c r="N3938" t="s">
        <v>10667</v>
      </c>
      <c r="P3938" t="s">
        <v>10749</v>
      </c>
      <c r="Q3938" t="s">
        <v>10765</v>
      </c>
      <c r="R3938" t="s">
        <v>10821</v>
      </c>
      <c r="T3938">
        <v>23000</v>
      </c>
      <c r="U3938">
        <v>1916.67</v>
      </c>
      <c r="V3938">
        <v>39</v>
      </c>
      <c r="W3938">
        <v>1</v>
      </c>
      <c r="X3938">
        <v>0</v>
      </c>
      <c r="Z3938">
        <v>184.15</v>
      </c>
      <c r="AA3938">
        <v>40.667902</v>
      </c>
      <c r="AB3938">
        <v>-73.952516</v>
      </c>
      <c r="AD3938" t="s">
        <v>10839</v>
      </c>
      <c r="AG3938" t="s">
        <v>10858</v>
      </c>
      <c r="AH3938" t="s">
        <v>10862</v>
      </c>
      <c r="AI3938">
        <v>239</v>
      </c>
      <c r="AJ3938" t="s">
        <v>10213</v>
      </c>
      <c r="AL3938">
        <v>9</v>
      </c>
      <c r="AM3938" t="s">
        <v>10888</v>
      </c>
      <c r="AN3938" t="s">
        <v>10912</v>
      </c>
      <c r="AO3938" t="s">
        <v>11005</v>
      </c>
      <c r="AP3938" t="s">
        <v>11061</v>
      </c>
      <c r="AQ3938" t="s">
        <v>11101</v>
      </c>
      <c r="AR3938" t="s">
        <v>11257</v>
      </c>
      <c r="AS3938" t="s">
        <v>11595</v>
      </c>
      <c r="BA3938" t="s">
        <v>11738</v>
      </c>
      <c r="BB3938">
        <v>0</v>
      </c>
      <c r="BC3938">
        <v>0</v>
      </c>
      <c r="BD3938">
        <v>0</v>
      </c>
      <c r="BE3938">
        <v>0</v>
      </c>
      <c r="BF3938">
        <v>5</v>
      </c>
      <c r="BG3938">
        <v>0</v>
      </c>
    </row>
    <row r="3939" spans="1:59">
      <c r="A3939" s="1">
        <f>HYPERLINK("https://lsnyc.legalserver.org/matter/dynamic-profile/view/1908071","19-1908071")</f>
        <v>0</v>
      </c>
      <c r="B3939" t="s">
        <v>3256</v>
      </c>
      <c r="C3939" t="s">
        <v>8046</v>
      </c>
      <c r="D3939" t="s">
        <v>10041</v>
      </c>
      <c r="E3939" t="s">
        <v>10079</v>
      </c>
      <c r="F3939">
        <v>18977</v>
      </c>
      <c r="G3939" t="s">
        <v>10093</v>
      </c>
      <c r="H3939" t="s">
        <v>10111</v>
      </c>
      <c r="I3939" t="s">
        <v>10168</v>
      </c>
      <c r="J3939" t="s">
        <v>10213</v>
      </c>
      <c r="K3939" t="s">
        <v>10218</v>
      </c>
      <c r="L3939" t="s">
        <v>10108</v>
      </c>
      <c r="M3939" t="s">
        <v>10436</v>
      </c>
      <c r="N3939" t="s">
        <v>10710</v>
      </c>
      <c r="P3939" t="s">
        <v>10750</v>
      </c>
      <c r="Q3939" t="s">
        <v>10760</v>
      </c>
      <c r="R3939" t="s">
        <v>10820</v>
      </c>
      <c r="T3939">
        <v>31352</v>
      </c>
      <c r="U3939">
        <v>2612.67</v>
      </c>
      <c r="V3939">
        <v>63</v>
      </c>
      <c r="W3939">
        <v>1</v>
      </c>
      <c r="X3939">
        <v>0</v>
      </c>
      <c r="Y3939" t="s">
        <v>10829</v>
      </c>
      <c r="Z3939">
        <v>251.02</v>
      </c>
      <c r="AA3939">
        <v>40.294794</v>
      </c>
      <c r="AB3939">
        <v>-74.888818</v>
      </c>
      <c r="AD3939" t="s">
        <v>10839</v>
      </c>
      <c r="AG3939" t="s">
        <v>10858</v>
      </c>
      <c r="AH3939" t="s">
        <v>10871</v>
      </c>
      <c r="AI3939">
        <v>234</v>
      </c>
      <c r="AJ3939" t="s">
        <v>10214</v>
      </c>
      <c r="AK3939" t="s">
        <v>10838</v>
      </c>
      <c r="AL3939">
        <v>0.5</v>
      </c>
      <c r="AR3939" t="s">
        <v>11280</v>
      </c>
      <c r="AS3939" t="s">
        <v>11629</v>
      </c>
      <c r="AT3939" t="s">
        <v>11641</v>
      </c>
      <c r="AX3939" t="s">
        <v>10838</v>
      </c>
      <c r="AY3939" t="s">
        <v>10829</v>
      </c>
      <c r="AZ3939" t="s">
        <v>11679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</row>
    <row r="3940" spans="1:59">
      <c r="A3940" s="1">
        <f>HYPERLINK("https://lsnyc.legalserver.org/matter/dynamic-profile/view/1908072","19-1908072")</f>
        <v>0</v>
      </c>
      <c r="B3940" t="s">
        <v>3257</v>
      </c>
      <c r="C3940" t="s">
        <v>8047</v>
      </c>
      <c r="D3940" t="s">
        <v>9928</v>
      </c>
      <c r="E3940" t="s">
        <v>10075</v>
      </c>
      <c r="F3940">
        <v>11233</v>
      </c>
      <c r="G3940" t="s">
        <v>10093</v>
      </c>
      <c r="H3940" t="s">
        <v>10111</v>
      </c>
      <c r="I3940" t="s">
        <v>10168</v>
      </c>
      <c r="J3940" t="s">
        <v>10213</v>
      </c>
      <c r="K3940" t="s">
        <v>10217</v>
      </c>
      <c r="M3940" t="s">
        <v>10446</v>
      </c>
      <c r="N3940" t="s">
        <v>10650</v>
      </c>
      <c r="P3940" t="s">
        <v>10749</v>
      </c>
      <c r="Q3940" t="s">
        <v>10765</v>
      </c>
      <c r="R3940" t="s">
        <v>10822</v>
      </c>
      <c r="T3940">
        <v>21924</v>
      </c>
      <c r="U3940">
        <v>1827</v>
      </c>
      <c r="V3940">
        <v>74</v>
      </c>
      <c r="W3940">
        <v>1</v>
      </c>
      <c r="X3940">
        <v>0</v>
      </c>
      <c r="Z3940">
        <v>175.53</v>
      </c>
      <c r="AA3940">
        <v>40.682587</v>
      </c>
      <c r="AB3940">
        <v>-73.922365</v>
      </c>
      <c r="AD3940" t="s">
        <v>10840</v>
      </c>
      <c r="AG3940" t="s">
        <v>10858</v>
      </c>
      <c r="AH3940" t="s">
        <v>10861</v>
      </c>
      <c r="AI3940">
        <v>234</v>
      </c>
      <c r="AJ3940" t="s">
        <v>10214</v>
      </c>
      <c r="AL3940">
        <v>1.5</v>
      </c>
      <c r="AM3940" t="s">
        <v>10889</v>
      </c>
      <c r="AN3940" t="s">
        <v>10914</v>
      </c>
      <c r="AO3940" t="s">
        <v>11007</v>
      </c>
      <c r="AP3940" t="s">
        <v>11064</v>
      </c>
      <c r="AR3940" t="s">
        <v>11379</v>
      </c>
      <c r="AS3940" t="s">
        <v>11595</v>
      </c>
      <c r="AT3940" t="s">
        <v>11642</v>
      </c>
      <c r="AX3940" t="s">
        <v>10838</v>
      </c>
      <c r="BA3940" t="s">
        <v>11738</v>
      </c>
      <c r="BB3940">
        <v>0</v>
      </c>
      <c r="BC3940">
        <v>0</v>
      </c>
      <c r="BD3940">
        <v>0</v>
      </c>
      <c r="BE3940">
        <v>0</v>
      </c>
      <c r="BF3940">
        <v>5</v>
      </c>
      <c r="BG3940">
        <v>0</v>
      </c>
    </row>
    <row r="3941" spans="1:59">
      <c r="A3941" s="1">
        <f>HYPERLINK("https://lsnyc.legalserver.org/matter/dynamic-profile/view/1908073","19-1908073")</f>
        <v>0</v>
      </c>
      <c r="B3941" t="s">
        <v>3258</v>
      </c>
      <c r="C3941" t="s">
        <v>8048</v>
      </c>
      <c r="D3941" t="s">
        <v>9928</v>
      </c>
      <c r="E3941" t="s">
        <v>10075</v>
      </c>
      <c r="F3941">
        <v>11234</v>
      </c>
      <c r="G3941" t="s">
        <v>10093</v>
      </c>
      <c r="H3941" t="s">
        <v>10111</v>
      </c>
      <c r="I3941" t="s">
        <v>10168</v>
      </c>
      <c r="J3941" t="s">
        <v>10213</v>
      </c>
      <c r="K3941" t="s">
        <v>10218</v>
      </c>
      <c r="L3941" t="s">
        <v>10151</v>
      </c>
      <c r="M3941" t="s">
        <v>10290</v>
      </c>
      <c r="N3941" t="s">
        <v>10665</v>
      </c>
      <c r="P3941" t="s">
        <v>10751</v>
      </c>
      <c r="Q3941" t="s">
        <v>10773</v>
      </c>
      <c r="R3941" t="s">
        <v>10820</v>
      </c>
      <c r="T3941">
        <v>0</v>
      </c>
      <c r="U3941">
        <v>0</v>
      </c>
      <c r="V3941">
        <v>57</v>
      </c>
      <c r="W3941">
        <v>1</v>
      </c>
      <c r="X3941">
        <v>0</v>
      </c>
      <c r="Y3941" t="s">
        <v>10829</v>
      </c>
      <c r="Z3941">
        <v>0</v>
      </c>
      <c r="AA3941">
        <v>40.60987</v>
      </c>
      <c r="AB3941">
        <v>-73.91285499999999</v>
      </c>
      <c r="AD3941" t="s">
        <v>10839</v>
      </c>
      <c r="AG3941" t="s">
        <v>10858</v>
      </c>
      <c r="AH3941" t="s">
        <v>10861</v>
      </c>
      <c r="AI3941">
        <v>234</v>
      </c>
      <c r="AJ3941" t="s">
        <v>10214</v>
      </c>
      <c r="AK3941" t="s">
        <v>10838</v>
      </c>
      <c r="AL3941">
        <v>1.7</v>
      </c>
      <c r="AM3941" t="s">
        <v>10889</v>
      </c>
      <c r="AN3941" t="s">
        <v>10959</v>
      </c>
      <c r="AO3941" t="s">
        <v>11012</v>
      </c>
      <c r="AP3941" t="s">
        <v>11072</v>
      </c>
      <c r="AR3941" t="s">
        <v>11267</v>
      </c>
      <c r="AS3941" t="s">
        <v>11595</v>
      </c>
      <c r="AT3941" t="s">
        <v>11641</v>
      </c>
      <c r="AX3941" t="s">
        <v>10838</v>
      </c>
      <c r="AY3941" t="s">
        <v>10829</v>
      </c>
      <c r="AZ3941" t="s">
        <v>11682</v>
      </c>
      <c r="BA3941" t="s">
        <v>11741</v>
      </c>
      <c r="BB3941">
        <v>0</v>
      </c>
      <c r="BC3941">
        <v>0</v>
      </c>
      <c r="BD3941">
        <v>0</v>
      </c>
      <c r="BE3941">
        <v>0</v>
      </c>
      <c r="BF3941">
        <v>1</v>
      </c>
      <c r="BG3941">
        <v>0</v>
      </c>
    </row>
    <row r="3942" spans="1:59">
      <c r="A3942" s="1">
        <f>HYPERLINK("https://lsnyc.legalserver.org/matter/dynamic-profile/view/1908074","19-1908074")</f>
        <v>0</v>
      </c>
      <c r="B3942" t="s">
        <v>3259</v>
      </c>
      <c r="C3942" t="s">
        <v>6290</v>
      </c>
      <c r="D3942" t="s">
        <v>9926</v>
      </c>
      <c r="E3942" t="s">
        <v>10075</v>
      </c>
      <c r="F3942">
        <v>10452</v>
      </c>
      <c r="G3942" t="s">
        <v>10090</v>
      </c>
      <c r="H3942" t="s">
        <v>10154</v>
      </c>
      <c r="I3942" t="s">
        <v>10168</v>
      </c>
      <c r="J3942" t="s">
        <v>10210</v>
      </c>
      <c r="K3942" t="s">
        <v>10217</v>
      </c>
      <c r="M3942" t="s">
        <v>10517</v>
      </c>
      <c r="N3942" t="s">
        <v>10650</v>
      </c>
      <c r="P3942" t="s">
        <v>10749</v>
      </c>
      <c r="Q3942" t="s">
        <v>10765</v>
      </c>
      <c r="R3942" t="s">
        <v>10821</v>
      </c>
      <c r="T3942">
        <v>13000</v>
      </c>
      <c r="U3942">
        <v>1083.33</v>
      </c>
      <c r="V3942">
        <v>36</v>
      </c>
      <c r="W3942">
        <v>1</v>
      </c>
      <c r="X3942">
        <v>3</v>
      </c>
      <c r="Z3942">
        <v>50.49</v>
      </c>
      <c r="AA3942">
        <v>40.837527</v>
      </c>
      <c r="AB3942">
        <v>-73.922985</v>
      </c>
      <c r="AD3942" t="s">
        <v>10839</v>
      </c>
      <c r="AG3942" t="s">
        <v>10858</v>
      </c>
      <c r="AH3942" t="s">
        <v>10862</v>
      </c>
      <c r="AI3942">
        <v>230</v>
      </c>
      <c r="AJ3942" t="s">
        <v>10210</v>
      </c>
      <c r="AL3942">
        <v>6.1</v>
      </c>
      <c r="AM3942" t="s">
        <v>10884</v>
      </c>
      <c r="AN3942" t="s">
        <v>10924</v>
      </c>
      <c r="AO3942" t="s">
        <v>11013</v>
      </c>
      <c r="AP3942" t="s">
        <v>11055</v>
      </c>
      <c r="AR3942" t="s">
        <v>11257</v>
      </c>
      <c r="AS3942" t="s">
        <v>9926</v>
      </c>
      <c r="AT3942" t="s">
        <v>11641</v>
      </c>
      <c r="BA3942" t="s">
        <v>11741</v>
      </c>
      <c r="BB3942">
        <v>0</v>
      </c>
      <c r="BC3942">
        <v>0</v>
      </c>
      <c r="BD3942">
        <v>0</v>
      </c>
      <c r="BE3942">
        <v>0</v>
      </c>
      <c r="BF3942">
        <v>1</v>
      </c>
      <c r="BG3942">
        <v>0</v>
      </c>
    </row>
    <row r="3943" spans="1:59">
      <c r="A3943" s="1">
        <f>HYPERLINK("https://lsnyc.legalserver.org/matter/dynamic-profile/view/1908075","19-1908075")</f>
        <v>0</v>
      </c>
      <c r="B3943" t="s">
        <v>2816</v>
      </c>
      <c r="C3943" t="s">
        <v>8049</v>
      </c>
      <c r="D3943" t="s">
        <v>9926</v>
      </c>
      <c r="E3943" t="s">
        <v>10075</v>
      </c>
      <c r="F3943">
        <v>10456</v>
      </c>
      <c r="G3943" t="s">
        <v>10090</v>
      </c>
      <c r="H3943" t="s">
        <v>10111</v>
      </c>
      <c r="I3943" t="s">
        <v>10170</v>
      </c>
      <c r="J3943" t="s">
        <v>10210</v>
      </c>
      <c r="K3943" t="s">
        <v>10218</v>
      </c>
      <c r="L3943" t="s">
        <v>10162</v>
      </c>
      <c r="M3943" t="s">
        <v>10262</v>
      </c>
      <c r="N3943" t="s">
        <v>10666</v>
      </c>
      <c r="P3943" t="s">
        <v>10749</v>
      </c>
      <c r="Q3943" t="s">
        <v>10765</v>
      </c>
      <c r="R3943" t="s">
        <v>10824</v>
      </c>
      <c r="T3943">
        <v>0</v>
      </c>
      <c r="U3943">
        <v>0</v>
      </c>
      <c r="V3943">
        <v>34</v>
      </c>
      <c r="W3943">
        <v>1</v>
      </c>
      <c r="X3943">
        <v>0</v>
      </c>
      <c r="Y3943" t="s">
        <v>10829</v>
      </c>
      <c r="Z3943">
        <v>0</v>
      </c>
      <c r="AA3943">
        <v>40.832992</v>
      </c>
      <c r="AB3943">
        <v>-73.910906</v>
      </c>
      <c r="AD3943" t="s">
        <v>10839</v>
      </c>
      <c r="AG3943" t="s">
        <v>10858</v>
      </c>
      <c r="AH3943" t="s">
        <v>10861</v>
      </c>
      <c r="AI3943">
        <v>230</v>
      </c>
      <c r="AJ3943" t="s">
        <v>10210</v>
      </c>
      <c r="AK3943" t="s">
        <v>10838</v>
      </c>
      <c r="AL3943">
        <v>0.7</v>
      </c>
      <c r="AM3943" t="s">
        <v>10884</v>
      </c>
      <c r="AN3943" t="s">
        <v>10929</v>
      </c>
      <c r="AO3943" t="s">
        <v>11001</v>
      </c>
      <c r="AP3943" t="s">
        <v>11055</v>
      </c>
      <c r="AR3943" t="s">
        <v>11267</v>
      </c>
      <c r="AS3943" t="s">
        <v>9926</v>
      </c>
      <c r="AT3943" t="s">
        <v>11641</v>
      </c>
      <c r="AX3943" t="s">
        <v>10838</v>
      </c>
      <c r="AY3943" t="s">
        <v>10829</v>
      </c>
      <c r="AZ3943" t="s">
        <v>11681</v>
      </c>
      <c r="BA3943" t="s">
        <v>11741</v>
      </c>
      <c r="BB3943">
        <v>0</v>
      </c>
      <c r="BC3943">
        <v>0</v>
      </c>
      <c r="BD3943">
        <v>0</v>
      </c>
      <c r="BE3943">
        <v>0</v>
      </c>
      <c r="BF3943">
        <v>1</v>
      </c>
      <c r="BG3943">
        <v>0</v>
      </c>
    </row>
    <row r="3944" spans="1:59">
      <c r="A3944" s="1">
        <f>HYPERLINK("https://lsnyc.legalserver.org/matter/dynamic-profile/view/1908076","19-1908076")</f>
        <v>0</v>
      </c>
      <c r="B3944" t="s">
        <v>3242</v>
      </c>
      <c r="C3944" t="s">
        <v>8033</v>
      </c>
      <c r="D3944" t="s">
        <v>9925</v>
      </c>
      <c r="E3944" t="s">
        <v>10075</v>
      </c>
      <c r="F3944">
        <v>10036</v>
      </c>
      <c r="G3944" t="s">
        <v>10089</v>
      </c>
      <c r="H3944" t="s">
        <v>10154</v>
      </c>
      <c r="I3944" t="s">
        <v>10169</v>
      </c>
      <c r="J3944" t="s">
        <v>10209</v>
      </c>
      <c r="K3944" t="s">
        <v>10217</v>
      </c>
      <c r="M3944" t="s">
        <v>10270</v>
      </c>
      <c r="N3944" t="s">
        <v>10716</v>
      </c>
      <c r="P3944" t="s">
        <v>10754</v>
      </c>
      <c r="Q3944" t="s">
        <v>10770</v>
      </c>
      <c r="R3944" t="s">
        <v>10821</v>
      </c>
      <c r="T3944">
        <v>0</v>
      </c>
      <c r="U3944">
        <v>0</v>
      </c>
      <c r="V3944">
        <v>49</v>
      </c>
      <c r="W3944">
        <v>1</v>
      </c>
      <c r="X3944">
        <v>0</v>
      </c>
      <c r="Z3944">
        <v>0</v>
      </c>
      <c r="AA3944">
        <v>40.761142</v>
      </c>
      <c r="AB3944">
        <v>-74.000311</v>
      </c>
      <c r="AD3944" t="s">
        <v>10841</v>
      </c>
      <c r="AF3944" t="s">
        <v>10842</v>
      </c>
      <c r="AG3944" t="s">
        <v>10859</v>
      </c>
      <c r="AH3944" t="s">
        <v>10865</v>
      </c>
      <c r="AI3944">
        <v>236</v>
      </c>
      <c r="AJ3944" t="s">
        <v>10209</v>
      </c>
      <c r="AK3944" t="s">
        <v>10837</v>
      </c>
      <c r="AL3944">
        <v>0.4</v>
      </c>
      <c r="AM3944" t="s">
        <v>10894</v>
      </c>
      <c r="AN3944" t="s">
        <v>10964</v>
      </c>
      <c r="AO3944" t="s">
        <v>11019</v>
      </c>
      <c r="AP3944" t="s">
        <v>11090</v>
      </c>
      <c r="AQ3944" t="s">
        <v>11122</v>
      </c>
      <c r="AR3944" t="s">
        <v>11267</v>
      </c>
      <c r="AS3944" t="s">
        <v>9925</v>
      </c>
      <c r="AT3944" t="s">
        <v>10841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</row>
    <row r="3945" spans="1:59">
      <c r="A3945" s="1">
        <f>HYPERLINK("https://lsnyc.legalserver.org/matter/dynamic-profile/view/1908077","19-1908077")</f>
        <v>0</v>
      </c>
      <c r="B3945" t="s">
        <v>3260</v>
      </c>
      <c r="C3945" t="s">
        <v>8050</v>
      </c>
      <c r="D3945" t="s">
        <v>9929</v>
      </c>
      <c r="E3945" t="s">
        <v>10075</v>
      </c>
      <c r="F3945">
        <v>10306</v>
      </c>
      <c r="G3945" t="s">
        <v>10088</v>
      </c>
      <c r="H3945" t="s">
        <v>10111</v>
      </c>
      <c r="I3945" t="s">
        <v>10168</v>
      </c>
      <c r="J3945" t="s">
        <v>10208</v>
      </c>
      <c r="K3945" t="s">
        <v>10218</v>
      </c>
      <c r="L3945" t="s">
        <v>10115</v>
      </c>
      <c r="M3945" t="s">
        <v>10255</v>
      </c>
      <c r="N3945" t="s">
        <v>10663</v>
      </c>
      <c r="P3945" t="s">
        <v>10755</v>
      </c>
      <c r="Q3945" t="s">
        <v>10772</v>
      </c>
      <c r="R3945" t="s">
        <v>10820</v>
      </c>
      <c r="T3945">
        <v>12840</v>
      </c>
      <c r="U3945">
        <v>1070</v>
      </c>
      <c r="V3945">
        <v>10</v>
      </c>
      <c r="W3945">
        <v>2</v>
      </c>
      <c r="X3945">
        <v>3</v>
      </c>
      <c r="Y3945" t="s">
        <v>10829</v>
      </c>
      <c r="Z3945">
        <v>42.56</v>
      </c>
      <c r="AA3945">
        <v>40.563347</v>
      </c>
      <c r="AB3945">
        <v>-74.11057599999999</v>
      </c>
      <c r="AD3945" t="s">
        <v>10840</v>
      </c>
      <c r="AG3945" t="s">
        <v>10858</v>
      </c>
      <c r="AH3945" t="s">
        <v>10861</v>
      </c>
      <c r="AI3945">
        <v>285</v>
      </c>
      <c r="AJ3945" t="s">
        <v>10208</v>
      </c>
      <c r="AK3945" t="s">
        <v>10838</v>
      </c>
      <c r="AL3945">
        <v>1.5</v>
      </c>
      <c r="AM3945" t="s">
        <v>10883</v>
      </c>
      <c r="AN3945" t="s">
        <v>10915</v>
      </c>
      <c r="AO3945" t="s">
        <v>10999</v>
      </c>
      <c r="AP3945" t="s">
        <v>11063</v>
      </c>
      <c r="AR3945" t="s">
        <v>11528</v>
      </c>
      <c r="AS3945" t="s">
        <v>11593</v>
      </c>
      <c r="AT3945" t="s">
        <v>11642</v>
      </c>
      <c r="AY3945" t="s">
        <v>10829</v>
      </c>
      <c r="AZ3945" t="s">
        <v>11712</v>
      </c>
      <c r="BA3945" t="s">
        <v>11741</v>
      </c>
      <c r="BB3945">
        <v>0</v>
      </c>
      <c r="BC3945">
        <v>0</v>
      </c>
      <c r="BD3945">
        <v>0</v>
      </c>
      <c r="BE3945">
        <v>0</v>
      </c>
      <c r="BF3945">
        <v>1</v>
      </c>
      <c r="BG3945">
        <v>0</v>
      </c>
    </row>
    <row r="3946" spans="1:59">
      <c r="A3946" s="1">
        <f>HYPERLINK("https://lsnyc.legalserver.org/matter/dynamic-profile/view/1908078","19-1908078")</f>
        <v>0</v>
      </c>
      <c r="B3946" t="s">
        <v>3261</v>
      </c>
      <c r="C3946" t="s">
        <v>8051</v>
      </c>
      <c r="D3946" t="s">
        <v>9926</v>
      </c>
      <c r="E3946" t="s">
        <v>10075</v>
      </c>
      <c r="F3946">
        <v>10453</v>
      </c>
      <c r="G3946" t="s">
        <v>10090</v>
      </c>
      <c r="H3946" t="s">
        <v>10111</v>
      </c>
      <c r="I3946" t="s">
        <v>10168</v>
      </c>
      <c r="J3946" t="s">
        <v>10210</v>
      </c>
      <c r="K3946" t="s">
        <v>10218</v>
      </c>
      <c r="L3946" t="s">
        <v>10156</v>
      </c>
      <c r="M3946" t="s">
        <v>10272</v>
      </c>
      <c r="N3946" t="s">
        <v>10671</v>
      </c>
      <c r="P3946" t="s">
        <v>10749</v>
      </c>
      <c r="Q3946" t="s">
        <v>10765</v>
      </c>
      <c r="R3946" t="s">
        <v>10824</v>
      </c>
      <c r="T3946">
        <v>14648</v>
      </c>
      <c r="U3946">
        <v>1220.67</v>
      </c>
      <c r="V3946">
        <v>49</v>
      </c>
      <c r="W3946">
        <v>2</v>
      </c>
      <c r="X3946">
        <v>1</v>
      </c>
      <c r="Y3946" t="s">
        <v>10829</v>
      </c>
      <c r="Z3946">
        <v>68.67</v>
      </c>
      <c r="AA3946">
        <v>40.854873</v>
      </c>
      <c r="AB3946">
        <v>-73.913456</v>
      </c>
      <c r="AD3946" t="s">
        <v>10839</v>
      </c>
      <c r="AG3946" t="s">
        <v>10858</v>
      </c>
      <c r="AH3946" t="s">
        <v>10861</v>
      </c>
      <c r="AI3946">
        <v>234</v>
      </c>
      <c r="AJ3946" t="s">
        <v>10214</v>
      </c>
      <c r="AK3946" t="s">
        <v>10838</v>
      </c>
      <c r="AL3946">
        <v>4.3</v>
      </c>
      <c r="AM3946" t="s">
        <v>10884</v>
      </c>
      <c r="AN3946" t="s">
        <v>10931</v>
      </c>
      <c r="AO3946" t="s">
        <v>11000</v>
      </c>
      <c r="AP3946" t="s">
        <v>11045</v>
      </c>
      <c r="AR3946" t="s">
        <v>11281</v>
      </c>
      <c r="AS3946" t="s">
        <v>9926</v>
      </c>
      <c r="AT3946" t="s">
        <v>11641</v>
      </c>
      <c r="AX3946" t="s">
        <v>10838</v>
      </c>
      <c r="AY3946" t="s">
        <v>10829</v>
      </c>
      <c r="AZ3946" t="s">
        <v>11732</v>
      </c>
      <c r="BA3946" t="s">
        <v>11741</v>
      </c>
      <c r="BB3946">
        <v>0</v>
      </c>
      <c r="BC3946">
        <v>0</v>
      </c>
      <c r="BD3946">
        <v>0</v>
      </c>
      <c r="BE3946">
        <v>0</v>
      </c>
      <c r="BF3946">
        <v>1</v>
      </c>
      <c r="BG3946">
        <v>0</v>
      </c>
    </row>
    <row r="3947" spans="1:59">
      <c r="A3947" s="1">
        <f>HYPERLINK("https://lsnyc.legalserver.org/matter/dynamic-profile/view/1908079","19-1908079")</f>
        <v>0</v>
      </c>
      <c r="B3947" t="s">
        <v>3262</v>
      </c>
      <c r="C3947" t="s">
        <v>8052</v>
      </c>
      <c r="D3947" t="s">
        <v>9928</v>
      </c>
      <c r="E3947" t="s">
        <v>10075</v>
      </c>
      <c r="F3947">
        <v>11216</v>
      </c>
      <c r="G3947" t="s">
        <v>10093</v>
      </c>
      <c r="H3947" t="s">
        <v>10111</v>
      </c>
      <c r="I3947" t="s">
        <v>10168</v>
      </c>
      <c r="J3947" t="s">
        <v>10213</v>
      </c>
      <c r="K3947" t="s">
        <v>10217</v>
      </c>
      <c r="M3947" t="s">
        <v>10315</v>
      </c>
      <c r="N3947" t="s">
        <v>10686</v>
      </c>
      <c r="P3947" t="s">
        <v>10750</v>
      </c>
      <c r="Q3947" t="s">
        <v>10778</v>
      </c>
      <c r="R3947" t="s">
        <v>10824</v>
      </c>
      <c r="T3947">
        <v>18200</v>
      </c>
      <c r="U3947">
        <v>1516.67</v>
      </c>
      <c r="V3947">
        <v>36</v>
      </c>
      <c r="W3947">
        <v>1</v>
      </c>
      <c r="X3947">
        <v>0</v>
      </c>
      <c r="Z3947">
        <v>145.72</v>
      </c>
      <c r="AA3947">
        <v>40.683919</v>
      </c>
      <c r="AB3947">
        <v>-73.939752</v>
      </c>
      <c r="AD3947" t="s">
        <v>10839</v>
      </c>
      <c r="AG3947" t="s">
        <v>10858</v>
      </c>
      <c r="AH3947" t="s">
        <v>10871</v>
      </c>
      <c r="AI3947">
        <v>234</v>
      </c>
      <c r="AJ3947" t="s">
        <v>10214</v>
      </c>
      <c r="AL3947">
        <v>5.6</v>
      </c>
      <c r="AM3947" t="s">
        <v>10889</v>
      </c>
      <c r="AN3947" t="s">
        <v>10914</v>
      </c>
      <c r="AO3947" t="s">
        <v>11007</v>
      </c>
      <c r="AP3947" t="s">
        <v>11052</v>
      </c>
      <c r="AR3947" t="s">
        <v>11257</v>
      </c>
      <c r="AS3947" t="s">
        <v>11595</v>
      </c>
      <c r="AT3947" t="s">
        <v>11641</v>
      </c>
      <c r="AX3947" t="s">
        <v>10838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</row>
    <row r="3948" spans="1:59">
      <c r="A3948" s="1">
        <f>HYPERLINK("https://lsnyc.legalserver.org/matter/dynamic-profile/view/1908080","19-1908080")</f>
        <v>0</v>
      </c>
      <c r="B3948" t="s">
        <v>3263</v>
      </c>
      <c r="C3948" t="s">
        <v>6997</v>
      </c>
      <c r="D3948" t="s">
        <v>9926</v>
      </c>
      <c r="E3948" t="s">
        <v>10075</v>
      </c>
      <c r="F3948">
        <v>10452</v>
      </c>
      <c r="G3948" t="s">
        <v>10090</v>
      </c>
      <c r="H3948" t="s">
        <v>10154</v>
      </c>
      <c r="I3948" t="s">
        <v>10168</v>
      </c>
      <c r="J3948" t="s">
        <v>10210</v>
      </c>
      <c r="K3948" t="s">
        <v>10217</v>
      </c>
      <c r="M3948" t="s">
        <v>10517</v>
      </c>
      <c r="N3948" t="s">
        <v>10650</v>
      </c>
      <c r="P3948" t="s">
        <v>10749</v>
      </c>
      <c r="Q3948" t="s">
        <v>10765</v>
      </c>
      <c r="R3948" t="s">
        <v>10820</v>
      </c>
      <c r="T3948">
        <v>4800</v>
      </c>
      <c r="U3948">
        <v>400</v>
      </c>
      <c r="V3948">
        <v>44</v>
      </c>
      <c r="W3948">
        <v>2</v>
      </c>
      <c r="X3948">
        <v>0</v>
      </c>
      <c r="Z3948">
        <v>28.39</v>
      </c>
      <c r="AA3948">
        <v>40.840998</v>
      </c>
      <c r="AB3948">
        <v>-73.91516300000001</v>
      </c>
      <c r="AD3948" t="s">
        <v>10840</v>
      </c>
      <c r="AG3948" t="s">
        <v>10858</v>
      </c>
      <c r="AH3948" t="s">
        <v>10862</v>
      </c>
      <c r="AI3948">
        <v>230</v>
      </c>
      <c r="AJ3948" t="s">
        <v>10210</v>
      </c>
      <c r="AL3948">
        <v>3</v>
      </c>
      <c r="AM3948" t="s">
        <v>10884</v>
      </c>
      <c r="AN3948" t="s">
        <v>10929</v>
      </c>
      <c r="AO3948" t="s">
        <v>11013</v>
      </c>
      <c r="AP3948" t="s">
        <v>11055</v>
      </c>
      <c r="AR3948" t="s">
        <v>11263</v>
      </c>
      <c r="AS3948" t="s">
        <v>9926</v>
      </c>
      <c r="AT3948" t="s">
        <v>11642</v>
      </c>
      <c r="BA3948" t="s">
        <v>11741</v>
      </c>
      <c r="BB3948">
        <v>0</v>
      </c>
      <c r="BC3948">
        <v>0</v>
      </c>
      <c r="BD3948">
        <v>0</v>
      </c>
      <c r="BE3948">
        <v>0</v>
      </c>
      <c r="BF3948">
        <v>1</v>
      </c>
      <c r="BG3948">
        <v>0</v>
      </c>
    </row>
    <row r="3949" spans="1:59">
      <c r="A3949" s="1">
        <f>HYPERLINK("https://lsnyc.legalserver.org/matter/dynamic-profile/view/1908081","19-1908081")</f>
        <v>0</v>
      </c>
      <c r="B3949" t="s">
        <v>3264</v>
      </c>
      <c r="C3949" t="s">
        <v>8053</v>
      </c>
      <c r="D3949" t="s">
        <v>9925</v>
      </c>
      <c r="E3949" t="s">
        <v>10075</v>
      </c>
      <c r="F3949">
        <v>10031</v>
      </c>
      <c r="G3949" t="s">
        <v>10089</v>
      </c>
      <c r="H3949" t="s">
        <v>10111</v>
      </c>
      <c r="I3949" t="s">
        <v>10168</v>
      </c>
      <c r="J3949" t="s">
        <v>10209</v>
      </c>
      <c r="K3949" t="s">
        <v>10217</v>
      </c>
      <c r="M3949" t="s">
        <v>10301</v>
      </c>
      <c r="N3949" t="s">
        <v>10665</v>
      </c>
      <c r="P3949" t="s">
        <v>10751</v>
      </c>
      <c r="Q3949" t="s">
        <v>10773</v>
      </c>
      <c r="R3949" t="s">
        <v>10824</v>
      </c>
      <c r="T3949">
        <v>14400</v>
      </c>
      <c r="U3949">
        <v>1200</v>
      </c>
      <c r="V3949">
        <v>62</v>
      </c>
      <c r="W3949">
        <v>2</v>
      </c>
      <c r="X3949">
        <v>1</v>
      </c>
      <c r="Z3949">
        <v>67.51000000000001</v>
      </c>
      <c r="AA3949">
        <v>40.822705</v>
      </c>
      <c r="AB3949">
        <v>-73.949736</v>
      </c>
      <c r="AD3949" t="s">
        <v>10840</v>
      </c>
      <c r="AG3949" t="s">
        <v>10858</v>
      </c>
      <c r="AH3949" t="s">
        <v>10871</v>
      </c>
      <c r="AI3949">
        <v>234</v>
      </c>
      <c r="AJ3949" t="s">
        <v>10214</v>
      </c>
      <c r="AL3949">
        <v>5.5</v>
      </c>
      <c r="AM3949" t="s">
        <v>10887</v>
      </c>
      <c r="AN3949" t="s">
        <v>10936</v>
      </c>
      <c r="AO3949" t="s">
        <v>11016</v>
      </c>
      <c r="AP3949" t="s">
        <v>11073</v>
      </c>
      <c r="AQ3949" t="s">
        <v>11115</v>
      </c>
      <c r="AR3949" t="s">
        <v>11319</v>
      </c>
      <c r="AS3949" t="s">
        <v>9925</v>
      </c>
      <c r="AT3949" t="s">
        <v>11642</v>
      </c>
      <c r="AX3949" t="s">
        <v>10838</v>
      </c>
      <c r="BA3949" t="s">
        <v>11741</v>
      </c>
      <c r="BB3949">
        <v>0</v>
      </c>
      <c r="BC3949">
        <v>0</v>
      </c>
      <c r="BD3949">
        <v>0</v>
      </c>
      <c r="BE3949">
        <v>0</v>
      </c>
      <c r="BF3949">
        <v>1</v>
      </c>
      <c r="BG3949">
        <v>0</v>
      </c>
    </row>
    <row r="3950" spans="1:59">
      <c r="A3950" s="1">
        <f>HYPERLINK("https://lsnyc.legalserver.org/matter/dynamic-profile/view/1908082","19-1908082")</f>
        <v>0</v>
      </c>
      <c r="B3950" t="s">
        <v>3265</v>
      </c>
      <c r="C3950" t="s">
        <v>8054</v>
      </c>
      <c r="D3950" t="s">
        <v>9931</v>
      </c>
      <c r="E3950" t="s">
        <v>10075</v>
      </c>
      <c r="F3950">
        <v>11367</v>
      </c>
      <c r="G3950" t="s">
        <v>10092</v>
      </c>
      <c r="H3950" t="s">
        <v>10111</v>
      </c>
      <c r="I3950" t="s">
        <v>10169</v>
      </c>
      <c r="J3950" t="s">
        <v>10212</v>
      </c>
      <c r="K3950" t="s">
        <v>10217</v>
      </c>
      <c r="M3950" t="s">
        <v>10547</v>
      </c>
      <c r="N3950" t="s">
        <v>10714</v>
      </c>
      <c r="P3950" t="s">
        <v>10753</v>
      </c>
      <c r="Q3950" t="s">
        <v>10763</v>
      </c>
      <c r="R3950" t="s">
        <v>10822</v>
      </c>
      <c r="T3950">
        <v>13200</v>
      </c>
      <c r="U3950">
        <v>1100</v>
      </c>
      <c r="V3950">
        <v>53</v>
      </c>
      <c r="W3950">
        <v>1</v>
      </c>
      <c r="X3950">
        <v>0</v>
      </c>
      <c r="Z3950">
        <v>105.68</v>
      </c>
      <c r="AA3950">
        <v>40.732461</v>
      </c>
      <c r="AB3950">
        <v>-73.81220500000001</v>
      </c>
      <c r="AD3950" t="s">
        <v>10839</v>
      </c>
      <c r="AF3950" t="s">
        <v>10843</v>
      </c>
      <c r="AG3950" t="s">
        <v>10859</v>
      </c>
      <c r="AH3950" t="s">
        <v>10861</v>
      </c>
      <c r="AI3950">
        <v>234</v>
      </c>
      <c r="AJ3950" t="s">
        <v>10214</v>
      </c>
      <c r="AL3950">
        <v>1</v>
      </c>
      <c r="AM3950" t="s">
        <v>10890</v>
      </c>
      <c r="AN3950" t="s">
        <v>10962</v>
      </c>
      <c r="AO3950" t="s">
        <v>11009</v>
      </c>
      <c r="AP3950" t="s">
        <v>11081</v>
      </c>
      <c r="AR3950" t="s">
        <v>11374</v>
      </c>
      <c r="AS3950" t="s">
        <v>11594</v>
      </c>
      <c r="AT3950" t="s">
        <v>10822</v>
      </c>
      <c r="AX3950" t="s">
        <v>10838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</row>
    <row r="3951" spans="1:59">
      <c r="A3951" s="1">
        <f>HYPERLINK("https://lsnyc.legalserver.org/matter/dynamic-profile/view/1908084","19-1908084")</f>
        <v>0</v>
      </c>
      <c r="B3951" t="s">
        <v>3266</v>
      </c>
      <c r="C3951" t="s">
        <v>8055</v>
      </c>
      <c r="D3951" t="s">
        <v>9955</v>
      </c>
      <c r="E3951" t="s">
        <v>10075</v>
      </c>
      <c r="F3951">
        <v>11692</v>
      </c>
      <c r="G3951" t="s">
        <v>10092</v>
      </c>
      <c r="H3951" t="s">
        <v>10111</v>
      </c>
      <c r="I3951" t="s">
        <v>10168</v>
      </c>
      <c r="J3951" t="s">
        <v>10212</v>
      </c>
      <c r="K3951" t="s">
        <v>10217</v>
      </c>
      <c r="M3951" t="s">
        <v>10363</v>
      </c>
      <c r="N3951" t="s">
        <v>10706</v>
      </c>
      <c r="P3951" t="s">
        <v>10751</v>
      </c>
      <c r="Q3951" t="s">
        <v>10796</v>
      </c>
      <c r="R3951" t="s">
        <v>10820</v>
      </c>
      <c r="T3951">
        <v>15600</v>
      </c>
      <c r="U3951">
        <v>1300</v>
      </c>
      <c r="V3951">
        <v>54</v>
      </c>
      <c r="W3951">
        <v>2</v>
      </c>
      <c r="X3951">
        <v>0</v>
      </c>
      <c r="Z3951">
        <v>92.25</v>
      </c>
      <c r="AA3951">
        <v>40.588448</v>
      </c>
      <c r="AB3951">
        <v>-73.80460100000001</v>
      </c>
      <c r="AD3951" t="s">
        <v>10839</v>
      </c>
      <c r="AG3951" t="s">
        <v>10858</v>
      </c>
      <c r="AH3951" t="s">
        <v>10868</v>
      </c>
      <c r="AI3951">
        <v>237</v>
      </c>
      <c r="AJ3951" t="s">
        <v>10212</v>
      </c>
      <c r="AL3951">
        <v>10.5</v>
      </c>
      <c r="AM3951" t="s">
        <v>10892</v>
      </c>
      <c r="AN3951" t="s">
        <v>10930</v>
      </c>
      <c r="AO3951" t="s">
        <v>11017</v>
      </c>
      <c r="AP3951" t="s">
        <v>11082</v>
      </c>
      <c r="AR3951" t="s">
        <v>11262</v>
      </c>
      <c r="AS3951" t="s">
        <v>11594</v>
      </c>
      <c r="BA3951" t="s">
        <v>11737</v>
      </c>
      <c r="BB3951">
        <v>0</v>
      </c>
      <c r="BC3951">
        <v>0</v>
      </c>
      <c r="BD3951">
        <v>0</v>
      </c>
      <c r="BE3951">
        <v>0</v>
      </c>
      <c r="BF3951">
        <v>3</v>
      </c>
      <c r="BG3951">
        <v>0</v>
      </c>
    </row>
    <row r="3952" spans="1:59">
      <c r="A3952" s="1">
        <f>HYPERLINK("https://lsnyc.legalserver.org/matter/dynamic-profile/view/1908085","19-1908085")</f>
        <v>0</v>
      </c>
      <c r="B3952" t="s">
        <v>3267</v>
      </c>
      <c r="C3952" t="s">
        <v>8056</v>
      </c>
      <c r="D3952" t="s">
        <v>9925</v>
      </c>
      <c r="E3952" t="s">
        <v>10075</v>
      </c>
      <c r="F3952">
        <v>10033</v>
      </c>
      <c r="G3952" t="s">
        <v>10089</v>
      </c>
      <c r="H3952" t="s">
        <v>10154</v>
      </c>
      <c r="I3952" t="s">
        <v>10169</v>
      </c>
      <c r="J3952" t="s">
        <v>10209</v>
      </c>
      <c r="K3952" t="s">
        <v>10217</v>
      </c>
      <c r="M3952" t="s">
        <v>10270</v>
      </c>
      <c r="N3952" t="s">
        <v>10670</v>
      </c>
      <c r="P3952" t="s">
        <v>10754</v>
      </c>
      <c r="Q3952" t="s">
        <v>10775</v>
      </c>
      <c r="R3952" t="s">
        <v>10821</v>
      </c>
      <c r="T3952">
        <v>24000</v>
      </c>
      <c r="U3952">
        <v>2000</v>
      </c>
      <c r="V3952">
        <v>47</v>
      </c>
      <c r="W3952">
        <v>1</v>
      </c>
      <c r="X3952">
        <v>0</v>
      </c>
      <c r="Z3952">
        <v>192.15</v>
      </c>
      <c r="AA3952">
        <v>40.846893</v>
      </c>
      <c r="AB3952">
        <v>-73.93508199999999</v>
      </c>
      <c r="AD3952" t="s">
        <v>10840</v>
      </c>
      <c r="AG3952" t="s">
        <v>10858</v>
      </c>
      <c r="AH3952" t="s">
        <v>10865</v>
      </c>
      <c r="AI3952">
        <v>236</v>
      </c>
      <c r="AJ3952" t="s">
        <v>10209</v>
      </c>
      <c r="AK3952" t="s">
        <v>10837</v>
      </c>
      <c r="AL3952">
        <v>0.5</v>
      </c>
      <c r="AM3952" t="s">
        <v>10887</v>
      </c>
      <c r="AN3952" t="s">
        <v>10937</v>
      </c>
      <c r="AO3952" t="s">
        <v>11019</v>
      </c>
      <c r="AP3952" t="s">
        <v>11074</v>
      </c>
      <c r="AR3952" t="s">
        <v>11257</v>
      </c>
      <c r="AS3952" t="s">
        <v>9925</v>
      </c>
      <c r="AT3952" t="s">
        <v>11642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</row>
    <row r="3953" spans="1:59">
      <c r="A3953" s="1">
        <f>HYPERLINK("https://lsnyc.legalserver.org/matter/dynamic-profile/view/1908086","19-1908086")</f>
        <v>0</v>
      </c>
      <c r="B3953" t="s">
        <v>3268</v>
      </c>
      <c r="C3953" t="s">
        <v>8057</v>
      </c>
      <c r="D3953" t="s">
        <v>9926</v>
      </c>
      <c r="E3953" t="s">
        <v>10075</v>
      </c>
      <c r="F3953">
        <v>10459</v>
      </c>
      <c r="G3953" t="s">
        <v>10090</v>
      </c>
      <c r="H3953" t="s">
        <v>10154</v>
      </c>
      <c r="I3953" t="s">
        <v>10169</v>
      </c>
      <c r="J3953" t="s">
        <v>10210</v>
      </c>
      <c r="K3953" t="s">
        <v>10217</v>
      </c>
      <c r="M3953" t="s">
        <v>10517</v>
      </c>
      <c r="N3953" t="s">
        <v>10650</v>
      </c>
      <c r="P3953" t="s">
        <v>10749</v>
      </c>
      <c r="Q3953" t="s">
        <v>10765</v>
      </c>
      <c r="R3953" t="s">
        <v>10821</v>
      </c>
      <c r="T3953">
        <v>9252</v>
      </c>
      <c r="U3953">
        <v>771</v>
      </c>
      <c r="V3953">
        <v>74</v>
      </c>
      <c r="W3953">
        <v>1</v>
      </c>
      <c r="X3953">
        <v>0</v>
      </c>
      <c r="Z3953">
        <v>74.08</v>
      </c>
      <c r="AA3953">
        <v>40.823006</v>
      </c>
      <c r="AB3953">
        <v>-73.88982300000001</v>
      </c>
      <c r="AD3953" t="s">
        <v>10840</v>
      </c>
      <c r="AF3953" t="s">
        <v>10843</v>
      </c>
      <c r="AG3953" t="s">
        <v>10858</v>
      </c>
      <c r="AH3953" t="s">
        <v>10862</v>
      </c>
      <c r="AI3953">
        <v>230</v>
      </c>
      <c r="AJ3953" t="s">
        <v>10210</v>
      </c>
      <c r="AL3953">
        <v>2.25</v>
      </c>
      <c r="AM3953" t="s">
        <v>10884</v>
      </c>
      <c r="AN3953" t="s">
        <v>10968</v>
      </c>
      <c r="AO3953" t="s">
        <v>11001</v>
      </c>
      <c r="AP3953" t="s">
        <v>11062</v>
      </c>
      <c r="AR3953" t="s">
        <v>11300</v>
      </c>
      <c r="AS3953" t="s">
        <v>9926</v>
      </c>
      <c r="AT3953" t="s">
        <v>11642</v>
      </c>
      <c r="AX3953" t="s">
        <v>10838</v>
      </c>
      <c r="BA3953" t="s">
        <v>11740</v>
      </c>
      <c r="BB3953">
        <v>0</v>
      </c>
      <c r="BC3953">
        <v>0</v>
      </c>
      <c r="BD3953">
        <v>0</v>
      </c>
      <c r="BE3953">
        <v>0</v>
      </c>
      <c r="BF3953">
        <v>2</v>
      </c>
      <c r="BG3953">
        <v>0</v>
      </c>
    </row>
    <row r="3954" spans="1:59">
      <c r="A3954" s="1">
        <f>HYPERLINK("https://lsnyc.legalserver.org/matter/dynamic-profile/view/1908087","19-1908087")</f>
        <v>0</v>
      </c>
      <c r="B3954" t="s">
        <v>3267</v>
      </c>
      <c r="C3954" t="s">
        <v>8056</v>
      </c>
      <c r="D3954" t="s">
        <v>9925</v>
      </c>
      <c r="E3954" t="s">
        <v>10075</v>
      </c>
      <c r="F3954">
        <v>10033</v>
      </c>
      <c r="G3954" t="s">
        <v>10089</v>
      </c>
      <c r="H3954" t="s">
        <v>10154</v>
      </c>
      <c r="I3954" t="s">
        <v>10169</v>
      </c>
      <c r="J3954" t="s">
        <v>10209</v>
      </c>
      <c r="K3954" t="s">
        <v>10218</v>
      </c>
      <c r="L3954" t="s">
        <v>10226</v>
      </c>
      <c r="M3954" t="s">
        <v>10270</v>
      </c>
      <c r="N3954" t="s">
        <v>10670</v>
      </c>
      <c r="P3954" t="s">
        <v>10754</v>
      </c>
      <c r="Q3954" t="s">
        <v>10766</v>
      </c>
      <c r="R3954" t="s">
        <v>10821</v>
      </c>
      <c r="T3954">
        <v>24000</v>
      </c>
      <c r="U3954">
        <v>2000</v>
      </c>
      <c r="V3954">
        <v>47</v>
      </c>
      <c r="W3954">
        <v>1</v>
      </c>
      <c r="X3954">
        <v>0</v>
      </c>
      <c r="Y3954" t="s">
        <v>10829</v>
      </c>
      <c r="Z3954">
        <v>192.15</v>
      </c>
      <c r="AA3954">
        <v>40.846893</v>
      </c>
      <c r="AB3954">
        <v>-73.93508199999999</v>
      </c>
      <c r="AD3954" t="s">
        <v>10840</v>
      </c>
      <c r="AG3954" t="s">
        <v>10858</v>
      </c>
      <c r="AH3954" t="s">
        <v>10865</v>
      </c>
      <c r="AI3954">
        <v>236</v>
      </c>
      <c r="AJ3954" t="s">
        <v>10209</v>
      </c>
      <c r="AK3954" t="s">
        <v>10837</v>
      </c>
      <c r="AL3954">
        <v>0.5</v>
      </c>
      <c r="AM3954" t="s">
        <v>10887</v>
      </c>
      <c r="AN3954" t="s">
        <v>10937</v>
      </c>
      <c r="AO3954" t="s">
        <v>11019</v>
      </c>
      <c r="AP3954" t="s">
        <v>11074</v>
      </c>
      <c r="AQ3954" t="s">
        <v>11175</v>
      </c>
      <c r="AR3954" t="s">
        <v>11257</v>
      </c>
      <c r="AS3954" t="s">
        <v>9925</v>
      </c>
      <c r="AT3954" t="s">
        <v>11641</v>
      </c>
      <c r="AY3954" t="s">
        <v>10829</v>
      </c>
      <c r="AZ3954" t="s">
        <v>11683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</row>
    <row r="3955" spans="1:59">
      <c r="A3955" s="1">
        <f>HYPERLINK("https://lsnyc.legalserver.org/matter/dynamic-profile/view/1908088","19-1908088")</f>
        <v>0</v>
      </c>
      <c r="B3955" t="s">
        <v>3269</v>
      </c>
      <c r="C3955" t="s">
        <v>8058</v>
      </c>
      <c r="D3955" t="s">
        <v>9928</v>
      </c>
      <c r="E3955" t="s">
        <v>10075</v>
      </c>
      <c r="F3955">
        <v>11208</v>
      </c>
      <c r="G3955" t="s">
        <v>10093</v>
      </c>
      <c r="H3955" t="s">
        <v>10111</v>
      </c>
      <c r="I3955" t="s">
        <v>10179</v>
      </c>
      <c r="J3955" t="s">
        <v>10213</v>
      </c>
      <c r="K3955" t="s">
        <v>10218</v>
      </c>
      <c r="L3955" t="s">
        <v>10100</v>
      </c>
      <c r="M3955" t="s">
        <v>10268</v>
      </c>
      <c r="N3955" t="s">
        <v>10650</v>
      </c>
      <c r="P3955" t="s">
        <v>10749</v>
      </c>
      <c r="Q3955" t="s">
        <v>10765</v>
      </c>
      <c r="R3955" t="s">
        <v>10822</v>
      </c>
      <c r="T3955">
        <v>26000</v>
      </c>
      <c r="U3955">
        <v>2166.67</v>
      </c>
      <c r="V3955">
        <v>40</v>
      </c>
      <c r="W3955">
        <v>2</v>
      </c>
      <c r="X3955">
        <v>2</v>
      </c>
      <c r="Y3955" t="s">
        <v>10829</v>
      </c>
      <c r="Z3955">
        <v>100.97</v>
      </c>
      <c r="AA3955">
        <v>40.668163</v>
      </c>
      <c r="AB3955">
        <v>-73.870547</v>
      </c>
      <c r="AD3955" t="s">
        <v>10839</v>
      </c>
      <c r="AG3955" t="s">
        <v>10858</v>
      </c>
      <c r="AH3955" t="s">
        <v>10861</v>
      </c>
      <c r="AI3955">
        <v>239</v>
      </c>
      <c r="AJ3955" t="s">
        <v>10213</v>
      </c>
      <c r="AK3955" t="s">
        <v>10838</v>
      </c>
      <c r="AL3955">
        <v>0.2</v>
      </c>
      <c r="AM3955" t="s">
        <v>10889</v>
      </c>
      <c r="AN3955" t="s">
        <v>10946</v>
      </c>
      <c r="AO3955" t="s">
        <v>11012</v>
      </c>
      <c r="AP3955" t="s">
        <v>11060</v>
      </c>
      <c r="AR3955" t="s">
        <v>11257</v>
      </c>
      <c r="AS3955" t="s">
        <v>11595</v>
      </c>
      <c r="AY3955" t="s">
        <v>10829</v>
      </c>
      <c r="AZ3955" t="s">
        <v>11681</v>
      </c>
      <c r="BA3955" t="s">
        <v>11741</v>
      </c>
      <c r="BB3955">
        <v>0</v>
      </c>
      <c r="BC3955">
        <v>0</v>
      </c>
      <c r="BD3955">
        <v>0</v>
      </c>
      <c r="BE3955">
        <v>0</v>
      </c>
      <c r="BF3955">
        <v>1</v>
      </c>
      <c r="BG3955">
        <v>0</v>
      </c>
    </row>
    <row r="3956" spans="1:59">
      <c r="A3956" s="1">
        <f>HYPERLINK("https://lsnyc.legalserver.org/matter/dynamic-profile/view/1908090","19-1908090")</f>
        <v>0</v>
      </c>
      <c r="B3956" t="s">
        <v>3238</v>
      </c>
      <c r="C3956" t="s">
        <v>8029</v>
      </c>
      <c r="D3956" t="s">
        <v>9926</v>
      </c>
      <c r="E3956" t="s">
        <v>10075</v>
      </c>
      <c r="F3956">
        <v>10468</v>
      </c>
      <c r="G3956" t="s">
        <v>10090</v>
      </c>
      <c r="H3956" t="s">
        <v>10111</v>
      </c>
      <c r="I3956" t="s">
        <v>10168</v>
      </c>
      <c r="J3956" t="s">
        <v>10210</v>
      </c>
      <c r="K3956" t="s">
        <v>10217</v>
      </c>
      <c r="M3956" t="s">
        <v>10287</v>
      </c>
      <c r="N3956" t="s">
        <v>10677</v>
      </c>
      <c r="P3956" t="s">
        <v>10751</v>
      </c>
      <c r="Q3956" t="s">
        <v>10761</v>
      </c>
      <c r="R3956" t="s">
        <v>10824</v>
      </c>
      <c r="T3956">
        <v>21450</v>
      </c>
      <c r="U3956">
        <v>1787.5</v>
      </c>
      <c r="V3956">
        <v>64</v>
      </c>
      <c r="W3956">
        <v>2</v>
      </c>
      <c r="X3956">
        <v>0</v>
      </c>
      <c r="Z3956">
        <v>126.85</v>
      </c>
      <c r="AA3956">
        <v>40.864994</v>
      </c>
      <c r="AB3956">
        <v>-73.903121</v>
      </c>
      <c r="AD3956" t="s">
        <v>10839</v>
      </c>
      <c r="AG3956" t="s">
        <v>10858</v>
      </c>
      <c r="AH3956" t="s">
        <v>10862</v>
      </c>
      <c r="AI3956">
        <v>230</v>
      </c>
      <c r="AJ3956" t="s">
        <v>10210</v>
      </c>
      <c r="AL3956">
        <v>0.75</v>
      </c>
      <c r="AM3956" t="s">
        <v>10887</v>
      </c>
      <c r="AN3956" t="s">
        <v>10907</v>
      </c>
      <c r="AO3956" t="s">
        <v>11000</v>
      </c>
      <c r="AP3956" t="s">
        <v>11045</v>
      </c>
      <c r="AQ3956" t="s">
        <v>11135</v>
      </c>
      <c r="AR3956" t="s">
        <v>11257</v>
      </c>
      <c r="AS3956" t="s">
        <v>9926</v>
      </c>
      <c r="BA3956" t="s">
        <v>11741</v>
      </c>
      <c r="BB3956">
        <v>0</v>
      </c>
      <c r="BC3956">
        <v>0</v>
      </c>
      <c r="BD3956">
        <v>0</v>
      </c>
      <c r="BE3956">
        <v>0</v>
      </c>
      <c r="BF3956">
        <v>1</v>
      </c>
      <c r="BG3956">
        <v>0</v>
      </c>
    </row>
    <row r="3957" spans="1:59">
      <c r="A3957" s="1">
        <f>HYPERLINK("https://lsnyc.legalserver.org/matter/dynamic-profile/view/1908092","19-1908092")</f>
        <v>0</v>
      </c>
      <c r="B3957" t="s">
        <v>3270</v>
      </c>
      <c r="C3957" t="s">
        <v>8059</v>
      </c>
      <c r="D3957" t="s">
        <v>9926</v>
      </c>
      <c r="E3957" t="s">
        <v>10075</v>
      </c>
      <c r="F3957">
        <v>10453</v>
      </c>
      <c r="G3957" t="s">
        <v>10090</v>
      </c>
      <c r="H3957" t="s">
        <v>10111</v>
      </c>
      <c r="I3957" t="s">
        <v>10169</v>
      </c>
      <c r="J3957" t="s">
        <v>10210</v>
      </c>
      <c r="K3957" t="s">
        <v>10218</v>
      </c>
      <c r="L3957" t="s">
        <v>10156</v>
      </c>
      <c r="M3957" t="s">
        <v>10272</v>
      </c>
      <c r="N3957" t="s">
        <v>10650</v>
      </c>
      <c r="P3957" t="s">
        <v>10749</v>
      </c>
      <c r="Q3957" t="s">
        <v>10765</v>
      </c>
      <c r="R3957" t="s">
        <v>10821</v>
      </c>
      <c r="T3957">
        <v>2880</v>
      </c>
      <c r="U3957">
        <v>240</v>
      </c>
      <c r="V3957">
        <v>55</v>
      </c>
      <c r="W3957">
        <v>1</v>
      </c>
      <c r="X3957">
        <v>0</v>
      </c>
      <c r="Y3957" t="s">
        <v>10829</v>
      </c>
      <c r="Z3957">
        <v>23.06</v>
      </c>
      <c r="AA3957">
        <v>40.859754</v>
      </c>
      <c r="AB3957">
        <v>-73.908539</v>
      </c>
      <c r="AD3957" t="s">
        <v>10839</v>
      </c>
      <c r="AG3957" t="s">
        <v>10858</v>
      </c>
      <c r="AH3957" t="s">
        <v>10871</v>
      </c>
      <c r="AI3957">
        <v>234</v>
      </c>
      <c r="AJ3957" t="s">
        <v>10214</v>
      </c>
      <c r="AK3957" t="s">
        <v>10838</v>
      </c>
      <c r="AL3957">
        <v>4.6</v>
      </c>
      <c r="AM3957" t="s">
        <v>10884</v>
      </c>
      <c r="AN3957" t="s">
        <v>10931</v>
      </c>
      <c r="AO3957" t="s">
        <v>11000</v>
      </c>
      <c r="AP3957" t="s">
        <v>11045</v>
      </c>
      <c r="AR3957" t="s">
        <v>11293</v>
      </c>
      <c r="AS3957" t="s">
        <v>9926</v>
      </c>
      <c r="AT3957" t="s">
        <v>11641</v>
      </c>
      <c r="AX3957" t="s">
        <v>10838</v>
      </c>
      <c r="AY3957" t="s">
        <v>10829</v>
      </c>
      <c r="AZ3957" t="s">
        <v>11732</v>
      </c>
      <c r="BA3957" t="s">
        <v>11741</v>
      </c>
      <c r="BB3957">
        <v>0</v>
      </c>
      <c r="BC3957">
        <v>0</v>
      </c>
      <c r="BD3957">
        <v>0</v>
      </c>
      <c r="BE3957">
        <v>0</v>
      </c>
      <c r="BF3957">
        <v>1</v>
      </c>
      <c r="BG3957">
        <v>0</v>
      </c>
    </row>
    <row r="3958" spans="1:59">
      <c r="A3958" s="1">
        <f>HYPERLINK("https://lsnyc.legalserver.org/matter/dynamic-profile/view/1908093","19-1908093")</f>
        <v>0</v>
      </c>
      <c r="B3958" t="s">
        <v>3271</v>
      </c>
      <c r="C3958" t="s">
        <v>8060</v>
      </c>
      <c r="D3958" t="s">
        <v>9938</v>
      </c>
      <c r="E3958" t="s">
        <v>10075</v>
      </c>
      <c r="F3958">
        <v>11435</v>
      </c>
      <c r="G3958" t="s">
        <v>10092</v>
      </c>
      <c r="H3958" t="s">
        <v>10111</v>
      </c>
      <c r="I3958" t="s">
        <v>10168</v>
      </c>
      <c r="J3958" t="s">
        <v>10212</v>
      </c>
      <c r="K3958" t="s">
        <v>10217</v>
      </c>
      <c r="M3958" t="s">
        <v>10285</v>
      </c>
      <c r="N3958" t="s">
        <v>10695</v>
      </c>
      <c r="P3958" t="s">
        <v>10749</v>
      </c>
      <c r="Q3958" t="s">
        <v>10765</v>
      </c>
      <c r="R3958" t="s">
        <v>10824</v>
      </c>
      <c r="T3958">
        <v>16800</v>
      </c>
      <c r="U3958">
        <v>1400</v>
      </c>
      <c r="V3958">
        <v>74</v>
      </c>
      <c r="W3958">
        <v>3</v>
      </c>
      <c r="X3958">
        <v>0</v>
      </c>
      <c r="Z3958">
        <v>78.76000000000001</v>
      </c>
      <c r="AA3958">
        <v>40.695296</v>
      </c>
      <c r="AB3958">
        <v>-73.804458</v>
      </c>
      <c r="AD3958" t="s">
        <v>10839</v>
      </c>
      <c r="AG3958" t="s">
        <v>10858</v>
      </c>
      <c r="AH3958" t="s">
        <v>10862</v>
      </c>
      <c r="AI3958">
        <v>237</v>
      </c>
      <c r="AJ3958" t="s">
        <v>10212</v>
      </c>
      <c r="AK3958" t="s">
        <v>10838</v>
      </c>
      <c r="AL3958">
        <v>10</v>
      </c>
      <c r="AM3958" t="s">
        <v>10892</v>
      </c>
      <c r="AN3958" t="s">
        <v>10951</v>
      </c>
      <c r="AO3958" t="s">
        <v>11017</v>
      </c>
      <c r="AP3958" t="s">
        <v>11070</v>
      </c>
      <c r="AR3958" t="s">
        <v>11437</v>
      </c>
      <c r="AS3958" t="s">
        <v>11594</v>
      </c>
      <c r="BA3958" t="s">
        <v>11738</v>
      </c>
      <c r="BB3958">
        <v>0</v>
      </c>
      <c r="BC3958">
        <v>0</v>
      </c>
      <c r="BD3958">
        <v>0</v>
      </c>
      <c r="BE3958">
        <v>0</v>
      </c>
      <c r="BF3958">
        <v>5</v>
      </c>
      <c r="BG3958">
        <v>0</v>
      </c>
    </row>
    <row r="3959" spans="1:59">
      <c r="A3959" s="1">
        <f>HYPERLINK("https://lsnyc.legalserver.org/matter/dynamic-profile/view/1908094","19-1908094")</f>
        <v>0</v>
      </c>
      <c r="B3959" t="s">
        <v>3272</v>
      </c>
      <c r="C3959" t="s">
        <v>8061</v>
      </c>
      <c r="D3959" t="s">
        <v>9926</v>
      </c>
      <c r="E3959" t="s">
        <v>10075</v>
      </c>
      <c r="F3959">
        <v>10465</v>
      </c>
      <c r="G3959" t="s">
        <v>10090</v>
      </c>
      <c r="H3959" t="s">
        <v>10111</v>
      </c>
      <c r="I3959" t="s">
        <v>10168</v>
      </c>
      <c r="J3959" t="s">
        <v>10210</v>
      </c>
      <c r="K3959" t="s">
        <v>10218</v>
      </c>
      <c r="L3959" t="s">
        <v>10160</v>
      </c>
      <c r="M3959" t="s">
        <v>10262</v>
      </c>
      <c r="N3959" t="s">
        <v>10690</v>
      </c>
      <c r="P3959" t="s">
        <v>10749</v>
      </c>
      <c r="Q3959" t="s">
        <v>10765</v>
      </c>
      <c r="R3959" t="s">
        <v>10825</v>
      </c>
      <c r="T3959">
        <v>12089.48</v>
      </c>
      <c r="U3959">
        <v>1007.46</v>
      </c>
      <c r="V3959">
        <v>38</v>
      </c>
      <c r="W3959">
        <v>1</v>
      </c>
      <c r="X3959">
        <v>2</v>
      </c>
      <c r="Y3959" t="s">
        <v>10829</v>
      </c>
      <c r="Z3959">
        <v>56.68</v>
      </c>
      <c r="AA3959">
        <v>40.81372</v>
      </c>
      <c r="AB3959">
        <v>-73.82142899999999</v>
      </c>
      <c r="AC3959" t="s">
        <v>10837</v>
      </c>
      <c r="AD3959" t="s">
        <v>10839</v>
      </c>
      <c r="AG3959" t="s">
        <v>10858</v>
      </c>
      <c r="AH3959" t="s">
        <v>10871</v>
      </c>
      <c r="AI3959">
        <v>234</v>
      </c>
      <c r="AJ3959" t="s">
        <v>10214</v>
      </c>
      <c r="AK3959" t="s">
        <v>10838</v>
      </c>
      <c r="AL3959">
        <v>2.85</v>
      </c>
      <c r="AM3959" t="s">
        <v>10885</v>
      </c>
      <c r="AN3959" t="s">
        <v>10911</v>
      </c>
      <c r="AO3959" t="s">
        <v>11002</v>
      </c>
      <c r="AP3959" t="s">
        <v>11049</v>
      </c>
      <c r="AR3959" t="s">
        <v>11320</v>
      </c>
      <c r="AS3959" t="s">
        <v>9926</v>
      </c>
      <c r="AT3959" t="s">
        <v>11641</v>
      </c>
      <c r="AX3959" t="s">
        <v>10838</v>
      </c>
      <c r="AY3959" t="s">
        <v>10829</v>
      </c>
      <c r="AZ3959" t="s">
        <v>11681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</row>
    <row r="3960" spans="1:59">
      <c r="A3960" s="1">
        <f>HYPERLINK("https://lsnyc.legalserver.org/matter/dynamic-profile/view/1908095","19-1908095")</f>
        <v>0</v>
      </c>
      <c r="B3960" t="s">
        <v>3273</v>
      </c>
      <c r="C3960" t="s">
        <v>8062</v>
      </c>
      <c r="D3960" t="s">
        <v>9926</v>
      </c>
      <c r="E3960" t="s">
        <v>10075</v>
      </c>
      <c r="F3960">
        <v>10473</v>
      </c>
      <c r="G3960" t="s">
        <v>10090</v>
      </c>
      <c r="H3960" t="s">
        <v>10111</v>
      </c>
      <c r="I3960" t="s">
        <v>10168</v>
      </c>
      <c r="J3960" t="s">
        <v>10210</v>
      </c>
      <c r="K3960" t="s">
        <v>10218</v>
      </c>
      <c r="L3960" t="s">
        <v>10155</v>
      </c>
      <c r="M3960" t="s">
        <v>10336</v>
      </c>
      <c r="N3960" t="s">
        <v>10671</v>
      </c>
      <c r="P3960" t="s">
        <v>10754</v>
      </c>
      <c r="Q3960" t="s">
        <v>10770</v>
      </c>
      <c r="R3960" t="s">
        <v>10824</v>
      </c>
      <c r="T3960">
        <v>20000</v>
      </c>
      <c r="U3960">
        <v>1666.67</v>
      </c>
      <c r="V3960">
        <v>50</v>
      </c>
      <c r="W3960">
        <v>1</v>
      </c>
      <c r="X3960">
        <v>0</v>
      </c>
      <c r="Y3960" t="s">
        <v>10829</v>
      </c>
      <c r="Z3960">
        <v>160.13</v>
      </c>
      <c r="AA3960">
        <v>40.819704</v>
      </c>
      <c r="AB3960">
        <v>-73.862753</v>
      </c>
      <c r="AC3960" t="s">
        <v>10838</v>
      </c>
      <c r="AD3960" t="s">
        <v>10840</v>
      </c>
      <c r="AG3960" t="s">
        <v>10858</v>
      </c>
      <c r="AH3960" t="s">
        <v>10861</v>
      </c>
      <c r="AI3960">
        <v>234</v>
      </c>
      <c r="AJ3960" t="s">
        <v>10214</v>
      </c>
      <c r="AK3960" t="s">
        <v>10882</v>
      </c>
      <c r="AL3960">
        <v>1.7</v>
      </c>
      <c r="AR3960" t="s">
        <v>11257</v>
      </c>
      <c r="AS3960" t="s">
        <v>9926</v>
      </c>
      <c r="AX3960" t="s">
        <v>10838</v>
      </c>
      <c r="AY3960" t="s">
        <v>10829</v>
      </c>
      <c r="AZ3960" t="s">
        <v>11683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</row>
    <row r="3961" spans="1:59">
      <c r="A3961" s="1">
        <f>HYPERLINK("https://lsnyc.legalserver.org/matter/dynamic-profile/view/1908096","19-1908096")</f>
        <v>0</v>
      </c>
      <c r="B3961" t="s">
        <v>3274</v>
      </c>
      <c r="C3961" t="s">
        <v>8063</v>
      </c>
      <c r="D3961" t="s">
        <v>9926</v>
      </c>
      <c r="E3961" t="s">
        <v>10075</v>
      </c>
      <c r="F3961">
        <v>10467</v>
      </c>
      <c r="G3961" t="s">
        <v>10090</v>
      </c>
      <c r="H3961" t="s">
        <v>10111</v>
      </c>
      <c r="I3961" t="s">
        <v>10168</v>
      </c>
      <c r="J3961" t="s">
        <v>10210</v>
      </c>
      <c r="K3961" t="s">
        <v>10217</v>
      </c>
      <c r="M3961" t="s">
        <v>10276</v>
      </c>
      <c r="N3961" t="s">
        <v>10646</v>
      </c>
      <c r="P3961" t="s">
        <v>10749</v>
      </c>
      <c r="Q3961" t="s">
        <v>10765</v>
      </c>
      <c r="R3961" t="s">
        <v>10823</v>
      </c>
      <c r="T3961">
        <v>105000</v>
      </c>
      <c r="U3961">
        <v>8750</v>
      </c>
      <c r="V3961">
        <v>27</v>
      </c>
      <c r="W3961">
        <v>3</v>
      </c>
      <c r="X3961">
        <v>1</v>
      </c>
      <c r="Z3961">
        <v>407.77</v>
      </c>
      <c r="AA3961">
        <v>40.879832</v>
      </c>
      <c r="AB3961">
        <v>-73.88155399999999</v>
      </c>
      <c r="AD3961" t="s">
        <v>10839</v>
      </c>
      <c r="AG3961" t="s">
        <v>10858</v>
      </c>
      <c r="AH3961" t="s">
        <v>10862</v>
      </c>
      <c r="AI3961">
        <v>230</v>
      </c>
      <c r="AJ3961" t="s">
        <v>10210</v>
      </c>
      <c r="AL3961">
        <v>3.65</v>
      </c>
      <c r="AM3961" t="s">
        <v>10887</v>
      </c>
      <c r="AN3961" t="s">
        <v>10938</v>
      </c>
      <c r="AO3961" t="s">
        <v>11010</v>
      </c>
      <c r="AP3961" t="s">
        <v>11057</v>
      </c>
      <c r="AR3961" t="s">
        <v>11257</v>
      </c>
      <c r="AS3961" t="s">
        <v>9926</v>
      </c>
      <c r="AT3961" t="s">
        <v>11641</v>
      </c>
      <c r="AX3961" t="s">
        <v>10838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</row>
    <row r="3962" spans="1:59">
      <c r="A3962" s="1">
        <f>HYPERLINK("https://lsnyc.legalserver.org/matter/dynamic-profile/view/1908097","19-1908097")</f>
        <v>0</v>
      </c>
      <c r="B3962" t="s">
        <v>2429</v>
      </c>
      <c r="C3962" t="s">
        <v>8064</v>
      </c>
      <c r="D3962" t="s">
        <v>9925</v>
      </c>
      <c r="E3962" t="s">
        <v>10075</v>
      </c>
      <c r="F3962">
        <v>10023</v>
      </c>
      <c r="G3962" t="s">
        <v>10089</v>
      </c>
      <c r="H3962" t="s">
        <v>10154</v>
      </c>
      <c r="I3962" t="s">
        <v>10168</v>
      </c>
      <c r="J3962" t="s">
        <v>10209</v>
      </c>
      <c r="K3962" t="s">
        <v>10218</v>
      </c>
      <c r="L3962" t="s">
        <v>10226</v>
      </c>
      <c r="M3962" t="s">
        <v>10270</v>
      </c>
      <c r="N3962" t="s">
        <v>10670</v>
      </c>
      <c r="P3962" t="s">
        <v>10754</v>
      </c>
      <c r="Q3962" t="s">
        <v>10766</v>
      </c>
      <c r="R3962" t="s">
        <v>10820</v>
      </c>
      <c r="T3962">
        <v>0</v>
      </c>
      <c r="U3962">
        <v>0</v>
      </c>
      <c r="V3962">
        <v>38</v>
      </c>
      <c r="W3962">
        <v>1</v>
      </c>
      <c r="X3962">
        <v>0</v>
      </c>
      <c r="Y3962" t="s">
        <v>10829</v>
      </c>
      <c r="Z3962">
        <v>0</v>
      </c>
      <c r="AA3962">
        <v>40.77542</v>
      </c>
      <c r="AB3962">
        <v>-73.984679</v>
      </c>
      <c r="AD3962" t="s">
        <v>10840</v>
      </c>
      <c r="AF3962" t="s">
        <v>10843</v>
      </c>
      <c r="AG3962" t="s">
        <v>10859</v>
      </c>
      <c r="AH3962" t="s">
        <v>10865</v>
      </c>
      <c r="AI3962">
        <v>236</v>
      </c>
      <c r="AJ3962" t="s">
        <v>10209</v>
      </c>
      <c r="AK3962" t="s">
        <v>10837</v>
      </c>
      <c r="AL3962">
        <v>0.5</v>
      </c>
      <c r="AM3962" t="s">
        <v>10894</v>
      </c>
      <c r="AN3962" t="s">
        <v>10964</v>
      </c>
      <c r="AO3962" t="s">
        <v>11021</v>
      </c>
      <c r="AP3962" t="s">
        <v>11089</v>
      </c>
      <c r="AQ3962" t="s">
        <v>11175</v>
      </c>
      <c r="AR3962" t="s">
        <v>11267</v>
      </c>
      <c r="AS3962" t="s">
        <v>9925</v>
      </c>
      <c r="AT3962" t="s">
        <v>11642</v>
      </c>
      <c r="AY3962" t="s">
        <v>10829</v>
      </c>
      <c r="AZ3962" t="s">
        <v>11683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</row>
    <row r="3963" spans="1:59">
      <c r="A3963" s="1">
        <f>HYPERLINK("https://lsnyc.legalserver.org/matter/dynamic-profile/view/1908098","19-1908098")</f>
        <v>0</v>
      </c>
      <c r="B3963" t="s">
        <v>2429</v>
      </c>
      <c r="C3963" t="s">
        <v>8064</v>
      </c>
      <c r="D3963" t="s">
        <v>9925</v>
      </c>
      <c r="E3963" t="s">
        <v>10075</v>
      </c>
      <c r="F3963">
        <v>10023</v>
      </c>
      <c r="G3963" t="s">
        <v>10089</v>
      </c>
      <c r="H3963" t="s">
        <v>10154</v>
      </c>
      <c r="I3963" t="s">
        <v>10168</v>
      </c>
      <c r="J3963" t="s">
        <v>10209</v>
      </c>
      <c r="K3963" t="s">
        <v>10218</v>
      </c>
      <c r="L3963" t="s">
        <v>10226</v>
      </c>
      <c r="M3963" t="s">
        <v>10270</v>
      </c>
      <c r="N3963" t="s">
        <v>10670</v>
      </c>
      <c r="P3963" t="s">
        <v>10754</v>
      </c>
      <c r="Q3963" t="s">
        <v>10770</v>
      </c>
      <c r="R3963" t="s">
        <v>10820</v>
      </c>
      <c r="T3963">
        <v>0</v>
      </c>
      <c r="U3963">
        <v>0</v>
      </c>
      <c r="V3963">
        <v>38</v>
      </c>
      <c r="W3963">
        <v>1</v>
      </c>
      <c r="X3963">
        <v>0</v>
      </c>
      <c r="Y3963" t="s">
        <v>10829</v>
      </c>
      <c r="Z3963">
        <v>0</v>
      </c>
      <c r="AA3963">
        <v>40.77542</v>
      </c>
      <c r="AB3963">
        <v>-73.984679</v>
      </c>
      <c r="AD3963" t="s">
        <v>10840</v>
      </c>
      <c r="AF3963" t="s">
        <v>10843</v>
      </c>
      <c r="AG3963" t="s">
        <v>10859</v>
      </c>
      <c r="AH3963" t="s">
        <v>10865</v>
      </c>
      <c r="AI3963">
        <v>236</v>
      </c>
      <c r="AJ3963" t="s">
        <v>10209</v>
      </c>
      <c r="AK3963" t="s">
        <v>10837</v>
      </c>
      <c r="AL3963">
        <v>0.5</v>
      </c>
      <c r="AM3963" t="s">
        <v>10894</v>
      </c>
      <c r="AN3963" t="s">
        <v>10964</v>
      </c>
      <c r="AO3963" t="s">
        <v>11021</v>
      </c>
      <c r="AP3963" t="s">
        <v>11089</v>
      </c>
      <c r="AQ3963" t="s">
        <v>11122</v>
      </c>
      <c r="AR3963" t="s">
        <v>11267</v>
      </c>
      <c r="AS3963" t="s">
        <v>9925</v>
      </c>
      <c r="AT3963" t="s">
        <v>11642</v>
      </c>
      <c r="AY3963" t="s">
        <v>10829</v>
      </c>
      <c r="AZ3963" t="s">
        <v>11683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</row>
    <row r="3964" spans="1:59">
      <c r="A3964" s="1">
        <f>HYPERLINK("https://lsnyc.legalserver.org/matter/dynamic-profile/view/1908099","19-1908099")</f>
        <v>0</v>
      </c>
      <c r="B3964" t="s">
        <v>3275</v>
      </c>
      <c r="C3964" t="s">
        <v>8065</v>
      </c>
      <c r="D3964" t="s">
        <v>9949</v>
      </c>
      <c r="E3964" t="s">
        <v>10075</v>
      </c>
      <c r="F3964">
        <v>11413</v>
      </c>
      <c r="G3964" t="s">
        <v>10092</v>
      </c>
      <c r="H3964" t="s">
        <v>10111</v>
      </c>
      <c r="I3964" t="s">
        <v>10168</v>
      </c>
      <c r="J3964" t="s">
        <v>10212</v>
      </c>
      <c r="K3964" t="s">
        <v>10217</v>
      </c>
      <c r="M3964" t="s">
        <v>10366</v>
      </c>
      <c r="N3964" t="s">
        <v>10688</v>
      </c>
      <c r="P3964" t="s">
        <v>10752</v>
      </c>
      <c r="Q3964" t="s">
        <v>10783</v>
      </c>
      <c r="R3964" t="s">
        <v>10824</v>
      </c>
      <c r="T3964">
        <v>19416</v>
      </c>
      <c r="U3964">
        <v>1618</v>
      </c>
      <c r="V3964">
        <v>84</v>
      </c>
      <c r="W3964">
        <v>1</v>
      </c>
      <c r="X3964">
        <v>0</v>
      </c>
      <c r="Z3964">
        <v>155.45</v>
      </c>
      <c r="AA3964">
        <v>40.682728</v>
      </c>
      <c r="AB3964">
        <v>-73.73484000000001</v>
      </c>
      <c r="AD3964" t="s">
        <v>10840</v>
      </c>
      <c r="AG3964" t="s">
        <v>10858</v>
      </c>
      <c r="AH3964" t="s">
        <v>10863</v>
      </c>
      <c r="AI3964">
        <v>237</v>
      </c>
      <c r="AJ3964" t="s">
        <v>10212</v>
      </c>
      <c r="AL3964">
        <v>2.4</v>
      </c>
      <c r="AQ3964" t="s">
        <v>11179</v>
      </c>
      <c r="AR3964" t="s">
        <v>11268</v>
      </c>
      <c r="AS3964" t="s">
        <v>11594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</row>
    <row r="3965" spans="1:59">
      <c r="A3965" s="1">
        <f>HYPERLINK("https://lsnyc.legalserver.org/matter/dynamic-profile/view/1908100","19-1908100")</f>
        <v>0</v>
      </c>
      <c r="B3965" t="s">
        <v>380</v>
      </c>
      <c r="C3965" t="s">
        <v>8066</v>
      </c>
      <c r="D3965" t="s">
        <v>9928</v>
      </c>
      <c r="E3965" t="s">
        <v>10075</v>
      </c>
      <c r="F3965">
        <v>11212</v>
      </c>
      <c r="G3965" t="s">
        <v>10093</v>
      </c>
      <c r="H3965" t="s">
        <v>10111</v>
      </c>
      <c r="I3965" t="s">
        <v>10168</v>
      </c>
      <c r="J3965" t="s">
        <v>10213</v>
      </c>
      <c r="K3965" t="s">
        <v>10217</v>
      </c>
      <c r="M3965" t="s">
        <v>10439</v>
      </c>
      <c r="N3965" t="s">
        <v>10650</v>
      </c>
      <c r="P3965" t="s">
        <v>10749</v>
      </c>
      <c r="Q3965" t="s">
        <v>10765</v>
      </c>
      <c r="R3965" t="s">
        <v>10821</v>
      </c>
      <c r="T3965">
        <v>9252</v>
      </c>
      <c r="U3965">
        <v>771</v>
      </c>
      <c r="V3965">
        <v>63</v>
      </c>
      <c r="W3965">
        <v>1</v>
      </c>
      <c r="X3965">
        <v>0</v>
      </c>
      <c r="Z3965">
        <v>74.08</v>
      </c>
      <c r="AA3965">
        <v>40.662064</v>
      </c>
      <c r="AB3965">
        <v>-73.90643900000001</v>
      </c>
      <c r="AC3965" t="s">
        <v>10838</v>
      </c>
      <c r="AD3965" t="s">
        <v>10840</v>
      </c>
      <c r="AG3965" t="s">
        <v>10858</v>
      </c>
      <c r="AH3965" t="s">
        <v>10861</v>
      </c>
      <c r="AI3965">
        <v>234</v>
      </c>
      <c r="AJ3965" t="s">
        <v>10214</v>
      </c>
      <c r="AL3965">
        <v>5.5</v>
      </c>
      <c r="AM3965" t="s">
        <v>10888</v>
      </c>
      <c r="AN3965" t="s">
        <v>10922</v>
      </c>
      <c r="AO3965" t="s">
        <v>11012</v>
      </c>
      <c r="AP3965" t="s">
        <v>11060</v>
      </c>
      <c r="AR3965" t="s">
        <v>11274</v>
      </c>
      <c r="AS3965" t="s">
        <v>11595</v>
      </c>
      <c r="AT3965" t="s">
        <v>11642</v>
      </c>
      <c r="AX3965" t="s">
        <v>10838</v>
      </c>
      <c r="BA3965" t="s">
        <v>11738</v>
      </c>
      <c r="BB3965">
        <v>0</v>
      </c>
      <c r="BC3965">
        <v>0</v>
      </c>
      <c r="BD3965">
        <v>0</v>
      </c>
      <c r="BE3965">
        <v>0</v>
      </c>
      <c r="BF3965">
        <v>5</v>
      </c>
      <c r="BG3965">
        <v>0</v>
      </c>
    </row>
    <row r="3966" spans="1:59">
      <c r="A3966" s="1">
        <f>HYPERLINK("https://lsnyc.legalserver.org/matter/dynamic-profile/view/1908101","19-1908101")</f>
        <v>0</v>
      </c>
      <c r="B3966" t="s">
        <v>3276</v>
      </c>
      <c r="C3966" t="s">
        <v>7355</v>
      </c>
      <c r="D3966" t="s">
        <v>9925</v>
      </c>
      <c r="E3966" t="s">
        <v>10075</v>
      </c>
      <c r="F3966">
        <v>10039</v>
      </c>
      <c r="G3966" t="s">
        <v>10089</v>
      </c>
      <c r="H3966" t="s">
        <v>10154</v>
      </c>
      <c r="I3966" t="s">
        <v>10168</v>
      </c>
      <c r="J3966" t="s">
        <v>10209</v>
      </c>
      <c r="K3966" t="s">
        <v>10217</v>
      </c>
      <c r="M3966" t="s">
        <v>10270</v>
      </c>
      <c r="N3966" t="s">
        <v>10721</v>
      </c>
      <c r="P3966" t="s">
        <v>10754</v>
      </c>
      <c r="Q3966" t="s">
        <v>10766</v>
      </c>
      <c r="R3966" t="s">
        <v>10825</v>
      </c>
      <c r="T3966">
        <v>50000</v>
      </c>
      <c r="U3966">
        <v>4166.67</v>
      </c>
      <c r="V3966">
        <v>34</v>
      </c>
      <c r="W3966">
        <v>1</v>
      </c>
      <c r="X3966">
        <v>3</v>
      </c>
      <c r="Z3966">
        <v>194.17</v>
      </c>
      <c r="AA3966">
        <v>40.823484</v>
      </c>
      <c r="AB3966">
        <v>-73.936395</v>
      </c>
      <c r="AD3966" t="s">
        <v>10839</v>
      </c>
      <c r="AG3966" t="s">
        <v>10858</v>
      </c>
      <c r="AH3966" t="s">
        <v>10865</v>
      </c>
      <c r="AI3966">
        <v>236</v>
      </c>
      <c r="AJ3966" t="s">
        <v>10209</v>
      </c>
      <c r="AK3966" t="s">
        <v>10837</v>
      </c>
      <c r="AL3966">
        <v>2</v>
      </c>
      <c r="AM3966" t="s">
        <v>10887</v>
      </c>
      <c r="AN3966" t="s">
        <v>10943</v>
      </c>
      <c r="AO3966" t="s">
        <v>11016</v>
      </c>
      <c r="AP3966" t="s">
        <v>11076</v>
      </c>
      <c r="AQ3966" t="s">
        <v>11175</v>
      </c>
      <c r="AR3966" t="s">
        <v>11257</v>
      </c>
      <c r="AS3966" t="s">
        <v>9925</v>
      </c>
      <c r="AT3966" t="s">
        <v>11641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</row>
    <row r="3967" spans="1:59">
      <c r="A3967" s="1">
        <f>HYPERLINK("https://lsnyc.legalserver.org/matter/dynamic-profile/view/1908102","19-1908102")</f>
        <v>0</v>
      </c>
      <c r="B3967" t="s">
        <v>3277</v>
      </c>
      <c r="C3967" t="s">
        <v>8067</v>
      </c>
      <c r="D3967" t="s">
        <v>9926</v>
      </c>
      <c r="E3967" t="s">
        <v>10075</v>
      </c>
      <c r="F3967">
        <v>10457</v>
      </c>
      <c r="G3967" t="s">
        <v>10090</v>
      </c>
      <c r="H3967" t="s">
        <v>10111</v>
      </c>
      <c r="I3967" t="s">
        <v>10168</v>
      </c>
      <c r="J3967" t="s">
        <v>10210</v>
      </c>
      <c r="K3967" t="s">
        <v>10217</v>
      </c>
      <c r="M3967" t="s">
        <v>10362</v>
      </c>
      <c r="N3967" t="s">
        <v>10651</v>
      </c>
      <c r="P3967" t="s">
        <v>10749</v>
      </c>
      <c r="Q3967" t="s">
        <v>10765</v>
      </c>
      <c r="R3967" t="s">
        <v>10821</v>
      </c>
      <c r="T3967">
        <v>3480</v>
      </c>
      <c r="U3967">
        <v>290</v>
      </c>
      <c r="V3967">
        <v>49</v>
      </c>
      <c r="W3967">
        <v>3</v>
      </c>
      <c r="X3967">
        <v>0</v>
      </c>
      <c r="Z3967">
        <v>16.32</v>
      </c>
      <c r="AA3967">
        <v>40.837007</v>
      </c>
      <c r="AB3967">
        <v>-73.902531</v>
      </c>
      <c r="AD3967" t="s">
        <v>10839</v>
      </c>
      <c r="AG3967" t="s">
        <v>10858</v>
      </c>
      <c r="AH3967" t="s">
        <v>10862</v>
      </c>
      <c r="AI3967">
        <v>230</v>
      </c>
      <c r="AJ3967" t="s">
        <v>10210</v>
      </c>
      <c r="AL3967">
        <v>0.8</v>
      </c>
      <c r="AM3967" t="s">
        <v>10884</v>
      </c>
      <c r="AN3967" t="s">
        <v>10918</v>
      </c>
      <c r="AO3967" t="s">
        <v>11000</v>
      </c>
      <c r="AP3967" t="s">
        <v>11055</v>
      </c>
      <c r="AR3967" t="s">
        <v>11255</v>
      </c>
      <c r="AS3967" t="s">
        <v>9926</v>
      </c>
      <c r="AT3967" t="s">
        <v>11641</v>
      </c>
      <c r="AX3967" t="s">
        <v>10838</v>
      </c>
      <c r="BA3967" t="s">
        <v>11738</v>
      </c>
      <c r="BB3967">
        <v>0</v>
      </c>
      <c r="BC3967">
        <v>0</v>
      </c>
      <c r="BD3967">
        <v>0</v>
      </c>
      <c r="BE3967">
        <v>0</v>
      </c>
      <c r="BF3967">
        <v>5</v>
      </c>
      <c r="BG3967">
        <v>0</v>
      </c>
    </row>
    <row r="3968" spans="1:59">
      <c r="A3968" s="1">
        <f>HYPERLINK("https://lsnyc.legalserver.org/matter/dynamic-profile/view/1908103","19-1908103")</f>
        <v>0</v>
      </c>
      <c r="B3968" t="s">
        <v>3274</v>
      </c>
      <c r="C3968" t="s">
        <v>8063</v>
      </c>
      <c r="D3968" t="s">
        <v>9926</v>
      </c>
      <c r="E3968" t="s">
        <v>10075</v>
      </c>
      <c r="F3968">
        <v>10467</v>
      </c>
      <c r="G3968" t="s">
        <v>10090</v>
      </c>
      <c r="H3968" t="s">
        <v>10111</v>
      </c>
      <c r="I3968" t="s">
        <v>10168</v>
      </c>
      <c r="J3968" t="s">
        <v>10210</v>
      </c>
      <c r="K3968" t="s">
        <v>10217</v>
      </c>
      <c r="M3968" t="s">
        <v>10287</v>
      </c>
      <c r="N3968" t="s">
        <v>10646</v>
      </c>
      <c r="P3968" t="s">
        <v>10751</v>
      </c>
      <c r="Q3968" t="s">
        <v>10761</v>
      </c>
      <c r="R3968" t="s">
        <v>10823</v>
      </c>
      <c r="T3968">
        <v>105000</v>
      </c>
      <c r="U3968">
        <v>8750</v>
      </c>
      <c r="V3968">
        <v>27</v>
      </c>
      <c r="W3968">
        <v>3</v>
      </c>
      <c r="X3968">
        <v>1</v>
      </c>
      <c r="Z3968">
        <v>407.77</v>
      </c>
      <c r="AA3968">
        <v>40.879832</v>
      </c>
      <c r="AB3968">
        <v>-73.88155399999999</v>
      </c>
      <c r="AD3968" t="s">
        <v>10839</v>
      </c>
      <c r="AG3968" t="s">
        <v>10858</v>
      </c>
      <c r="AH3968" t="s">
        <v>10862</v>
      </c>
      <c r="AI3968">
        <v>230</v>
      </c>
      <c r="AJ3968" t="s">
        <v>10210</v>
      </c>
      <c r="AL3968">
        <v>0.75</v>
      </c>
      <c r="AM3968" t="s">
        <v>10887</v>
      </c>
      <c r="AN3968" t="s">
        <v>10938</v>
      </c>
      <c r="AO3968" t="s">
        <v>11010</v>
      </c>
      <c r="AP3968" t="s">
        <v>11057</v>
      </c>
      <c r="AR3968" t="s">
        <v>11257</v>
      </c>
      <c r="AS3968" t="s">
        <v>9926</v>
      </c>
      <c r="AT3968" t="s">
        <v>11641</v>
      </c>
      <c r="AX3968" t="s">
        <v>10838</v>
      </c>
      <c r="BA3968" t="s">
        <v>11741</v>
      </c>
      <c r="BB3968">
        <v>0</v>
      </c>
      <c r="BC3968">
        <v>0</v>
      </c>
      <c r="BD3968">
        <v>0</v>
      </c>
      <c r="BE3968">
        <v>0</v>
      </c>
      <c r="BF3968">
        <v>1</v>
      </c>
      <c r="BG3968">
        <v>0</v>
      </c>
    </row>
    <row r="3969" spans="1:59">
      <c r="A3969" s="1">
        <f>HYPERLINK("https://lsnyc.legalserver.org/matter/dynamic-profile/view/1908104","19-1908104")</f>
        <v>0</v>
      </c>
      <c r="B3969" t="s">
        <v>3276</v>
      </c>
      <c r="C3969" t="s">
        <v>7355</v>
      </c>
      <c r="D3969" t="s">
        <v>9925</v>
      </c>
      <c r="E3969" t="s">
        <v>10075</v>
      </c>
      <c r="F3969">
        <v>10039</v>
      </c>
      <c r="G3969" t="s">
        <v>10089</v>
      </c>
      <c r="H3969" t="s">
        <v>10154</v>
      </c>
      <c r="I3969" t="s">
        <v>10168</v>
      </c>
      <c r="J3969" t="s">
        <v>10209</v>
      </c>
      <c r="K3969" t="s">
        <v>10217</v>
      </c>
      <c r="M3969" t="s">
        <v>10270</v>
      </c>
      <c r="N3969" t="s">
        <v>10721</v>
      </c>
      <c r="P3969" t="s">
        <v>10754</v>
      </c>
      <c r="Q3969" t="s">
        <v>10777</v>
      </c>
      <c r="R3969" t="s">
        <v>10825</v>
      </c>
      <c r="T3969">
        <v>50000</v>
      </c>
      <c r="U3969">
        <v>4166.67</v>
      </c>
      <c r="V3969">
        <v>34</v>
      </c>
      <c r="W3969">
        <v>1</v>
      </c>
      <c r="X3969">
        <v>3</v>
      </c>
      <c r="Z3969">
        <v>194.17</v>
      </c>
      <c r="AA3969">
        <v>40.823484</v>
      </c>
      <c r="AB3969">
        <v>-73.936395</v>
      </c>
      <c r="AD3969" t="s">
        <v>10839</v>
      </c>
      <c r="AG3969" t="s">
        <v>10858</v>
      </c>
      <c r="AH3969" t="s">
        <v>10865</v>
      </c>
      <c r="AI3969">
        <v>236</v>
      </c>
      <c r="AJ3969" t="s">
        <v>10209</v>
      </c>
      <c r="AK3969" t="s">
        <v>10837</v>
      </c>
      <c r="AL3969">
        <v>0.5</v>
      </c>
      <c r="AM3969" t="s">
        <v>10887</v>
      </c>
      <c r="AN3969" t="s">
        <v>10943</v>
      </c>
      <c r="AO3969" t="s">
        <v>11016</v>
      </c>
      <c r="AP3969" t="s">
        <v>11076</v>
      </c>
      <c r="AQ3969" t="s">
        <v>11128</v>
      </c>
      <c r="AR3969" t="s">
        <v>11257</v>
      </c>
      <c r="AS3969" t="s">
        <v>9925</v>
      </c>
      <c r="AT3969" t="s">
        <v>11641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</row>
    <row r="3970" spans="1:59">
      <c r="A3970" s="1">
        <f>HYPERLINK("https://lsnyc.legalserver.org/matter/dynamic-profile/view/1908105","19-1908105")</f>
        <v>0</v>
      </c>
      <c r="B3970" t="s">
        <v>3278</v>
      </c>
      <c r="C3970" t="s">
        <v>8068</v>
      </c>
      <c r="D3970" t="s">
        <v>9928</v>
      </c>
      <c r="E3970" t="s">
        <v>10075</v>
      </c>
      <c r="F3970">
        <v>11221</v>
      </c>
      <c r="G3970" t="s">
        <v>10092</v>
      </c>
      <c r="H3970" t="s">
        <v>10111</v>
      </c>
      <c r="I3970" t="s">
        <v>10168</v>
      </c>
      <c r="J3970" t="s">
        <v>10212</v>
      </c>
      <c r="K3970" t="s">
        <v>10217</v>
      </c>
      <c r="M3970" t="s">
        <v>10398</v>
      </c>
      <c r="N3970" t="s">
        <v>10657</v>
      </c>
      <c r="P3970" t="s">
        <v>10751</v>
      </c>
      <c r="Q3970" t="s">
        <v>10780</v>
      </c>
      <c r="R3970" t="s">
        <v>10824</v>
      </c>
      <c r="T3970">
        <v>3804</v>
      </c>
      <c r="U3970">
        <v>317</v>
      </c>
      <c r="V3970">
        <v>29</v>
      </c>
      <c r="W3970">
        <v>1</v>
      </c>
      <c r="X3970">
        <v>0</v>
      </c>
      <c r="Z3970">
        <v>30.46</v>
      </c>
      <c r="AA3970">
        <v>40.691003</v>
      </c>
      <c r="AB3970">
        <v>-73.943215</v>
      </c>
      <c r="AD3970" t="s">
        <v>10839</v>
      </c>
      <c r="AG3970" t="s">
        <v>10858</v>
      </c>
      <c r="AH3970" t="s">
        <v>10866</v>
      </c>
      <c r="AI3970">
        <v>237</v>
      </c>
      <c r="AJ3970" t="s">
        <v>10212</v>
      </c>
      <c r="AL3970">
        <v>1.25</v>
      </c>
      <c r="AM3970" t="s">
        <v>10889</v>
      </c>
      <c r="AN3970" t="s">
        <v>10914</v>
      </c>
      <c r="AO3970" t="s">
        <v>11007</v>
      </c>
      <c r="AP3970" t="s">
        <v>11052</v>
      </c>
      <c r="AR3970" t="s">
        <v>11471</v>
      </c>
      <c r="AS3970" t="s">
        <v>11595</v>
      </c>
      <c r="AT3970" t="s">
        <v>11641</v>
      </c>
      <c r="BA3970" t="s">
        <v>11741</v>
      </c>
      <c r="BB3970">
        <v>0</v>
      </c>
      <c r="BC3970">
        <v>0</v>
      </c>
      <c r="BD3970">
        <v>0</v>
      </c>
      <c r="BE3970">
        <v>0</v>
      </c>
      <c r="BF3970">
        <v>1</v>
      </c>
      <c r="BG3970">
        <v>0</v>
      </c>
    </row>
    <row r="3971" spans="1:59">
      <c r="A3971" s="1">
        <f>HYPERLINK("https://lsnyc.legalserver.org/matter/dynamic-profile/view/1908106","19-1908106")</f>
        <v>0</v>
      </c>
      <c r="B3971" t="s">
        <v>3279</v>
      </c>
      <c r="C3971" t="s">
        <v>8069</v>
      </c>
      <c r="D3971" t="s">
        <v>9928</v>
      </c>
      <c r="E3971" t="s">
        <v>10075</v>
      </c>
      <c r="F3971">
        <v>11213</v>
      </c>
      <c r="G3971" t="s">
        <v>10093</v>
      </c>
      <c r="H3971" t="s">
        <v>10111</v>
      </c>
      <c r="I3971" t="s">
        <v>10168</v>
      </c>
      <c r="J3971" t="s">
        <v>10213</v>
      </c>
      <c r="K3971" t="s">
        <v>10217</v>
      </c>
      <c r="M3971" t="s">
        <v>10368</v>
      </c>
      <c r="N3971" t="s">
        <v>10650</v>
      </c>
      <c r="P3971" t="s">
        <v>10749</v>
      </c>
      <c r="Q3971" t="s">
        <v>10765</v>
      </c>
      <c r="R3971" t="s">
        <v>10824</v>
      </c>
      <c r="T3971">
        <v>6240</v>
      </c>
      <c r="U3971">
        <v>520</v>
      </c>
      <c r="V3971">
        <v>41</v>
      </c>
      <c r="W3971">
        <v>3</v>
      </c>
      <c r="X3971">
        <v>1</v>
      </c>
      <c r="Z3971">
        <v>24.23</v>
      </c>
      <c r="AA3971">
        <v>40.671218</v>
      </c>
      <c r="AB3971">
        <v>-73.930194</v>
      </c>
      <c r="AD3971" t="s">
        <v>10839</v>
      </c>
      <c r="AF3971" t="s">
        <v>10844</v>
      </c>
      <c r="AG3971" t="s">
        <v>10859</v>
      </c>
      <c r="AH3971" t="s">
        <v>10862</v>
      </c>
      <c r="AI3971">
        <v>239</v>
      </c>
      <c r="AJ3971" t="s">
        <v>10213</v>
      </c>
      <c r="AL3971">
        <v>10.5</v>
      </c>
      <c r="AM3971" t="s">
        <v>10888</v>
      </c>
      <c r="AN3971" t="s">
        <v>10922</v>
      </c>
      <c r="AO3971" t="s">
        <v>11005</v>
      </c>
      <c r="AP3971" t="s">
        <v>11052</v>
      </c>
      <c r="AR3971" t="s">
        <v>11263</v>
      </c>
      <c r="AS3971" t="s">
        <v>11595</v>
      </c>
      <c r="BA3971" t="s">
        <v>11739</v>
      </c>
      <c r="BB3971">
        <v>0</v>
      </c>
      <c r="BC3971">
        <v>0</v>
      </c>
      <c r="BD3971">
        <v>0</v>
      </c>
      <c r="BE3971">
        <v>0</v>
      </c>
      <c r="BF3971">
        <v>4</v>
      </c>
      <c r="BG3971">
        <v>0</v>
      </c>
    </row>
    <row r="3972" spans="1:59">
      <c r="A3972" s="1">
        <f>HYPERLINK("https://lsnyc.legalserver.org/matter/dynamic-profile/view/1908107","19-1908107")</f>
        <v>0</v>
      </c>
      <c r="B3972" t="s">
        <v>3276</v>
      </c>
      <c r="C3972" t="s">
        <v>7355</v>
      </c>
      <c r="D3972" t="s">
        <v>9925</v>
      </c>
      <c r="E3972" t="s">
        <v>10075</v>
      </c>
      <c r="F3972">
        <v>10039</v>
      </c>
      <c r="G3972" t="s">
        <v>10089</v>
      </c>
      <c r="H3972" t="s">
        <v>10154</v>
      </c>
      <c r="I3972" t="s">
        <v>10168</v>
      </c>
      <c r="J3972" t="s">
        <v>10209</v>
      </c>
      <c r="K3972" t="s">
        <v>10217</v>
      </c>
      <c r="M3972" t="s">
        <v>10270</v>
      </c>
      <c r="N3972" t="s">
        <v>10721</v>
      </c>
      <c r="P3972" t="s">
        <v>10754</v>
      </c>
      <c r="Q3972" t="s">
        <v>10770</v>
      </c>
      <c r="R3972" t="s">
        <v>10825</v>
      </c>
      <c r="T3972">
        <v>50000</v>
      </c>
      <c r="U3972">
        <v>4166.67</v>
      </c>
      <c r="V3972">
        <v>34</v>
      </c>
      <c r="W3972">
        <v>1</v>
      </c>
      <c r="X3972">
        <v>3</v>
      </c>
      <c r="Z3972">
        <v>194.17</v>
      </c>
      <c r="AA3972">
        <v>40.823484</v>
      </c>
      <c r="AB3972">
        <v>-73.936395</v>
      </c>
      <c r="AD3972" t="s">
        <v>10839</v>
      </c>
      <c r="AG3972" t="s">
        <v>10858</v>
      </c>
      <c r="AH3972" t="s">
        <v>10865</v>
      </c>
      <c r="AI3972">
        <v>236</v>
      </c>
      <c r="AJ3972" t="s">
        <v>10209</v>
      </c>
      <c r="AK3972" t="s">
        <v>10837</v>
      </c>
      <c r="AL3972">
        <v>0</v>
      </c>
      <c r="AM3972" t="s">
        <v>10887</v>
      </c>
      <c r="AN3972" t="s">
        <v>10943</v>
      </c>
      <c r="AO3972" t="s">
        <v>11016</v>
      </c>
      <c r="AP3972" t="s">
        <v>11076</v>
      </c>
      <c r="AQ3972" t="s">
        <v>11152</v>
      </c>
      <c r="AR3972" t="s">
        <v>11257</v>
      </c>
      <c r="AS3972" t="s">
        <v>9925</v>
      </c>
      <c r="AT3972" t="s">
        <v>11641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</row>
    <row r="3973" spans="1:59">
      <c r="A3973" s="1">
        <f>HYPERLINK("https://lsnyc.legalserver.org/matter/dynamic-profile/view/1908108","19-1908108")</f>
        <v>0</v>
      </c>
      <c r="B3973" t="s">
        <v>3280</v>
      </c>
      <c r="C3973" t="s">
        <v>8070</v>
      </c>
      <c r="D3973" t="s">
        <v>9928</v>
      </c>
      <c r="E3973" t="s">
        <v>10075</v>
      </c>
      <c r="F3973">
        <v>11221</v>
      </c>
      <c r="G3973" t="s">
        <v>10093</v>
      </c>
      <c r="H3973" t="s">
        <v>10145</v>
      </c>
      <c r="I3973" t="s">
        <v>10168</v>
      </c>
      <c r="J3973" t="s">
        <v>10213</v>
      </c>
      <c r="K3973" t="s">
        <v>10217</v>
      </c>
      <c r="M3973" t="s">
        <v>10507</v>
      </c>
      <c r="N3973" t="s">
        <v>10667</v>
      </c>
      <c r="P3973" t="s">
        <v>10749</v>
      </c>
      <c r="Q3973" t="s">
        <v>10765</v>
      </c>
      <c r="R3973" t="s">
        <v>10821</v>
      </c>
      <c r="T3973">
        <v>0</v>
      </c>
      <c r="U3973">
        <v>0</v>
      </c>
      <c r="V3973">
        <v>54</v>
      </c>
      <c r="W3973">
        <v>1</v>
      </c>
      <c r="X3973">
        <v>0</v>
      </c>
      <c r="Z3973">
        <v>0</v>
      </c>
      <c r="AA3973">
        <v>40.695755</v>
      </c>
      <c r="AB3973">
        <v>-73.932543</v>
      </c>
      <c r="AD3973" t="s">
        <v>10839</v>
      </c>
      <c r="AG3973" t="s">
        <v>10858</v>
      </c>
      <c r="AH3973" t="s">
        <v>10862</v>
      </c>
      <c r="AI3973">
        <v>239</v>
      </c>
      <c r="AJ3973" t="s">
        <v>10213</v>
      </c>
      <c r="AL3973">
        <v>0.9</v>
      </c>
      <c r="AM3973" t="s">
        <v>10886</v>
      </c>
      <c r="AN3973" t="s">
        <v>10920</v>
      </c>
      <c r="AO3973" t="s">
        <v>11011</v>
      </c>
      <c r="AP3973" t="s">
        <v>11071</v>
      </c>
      <c r="AR3973" t="s">
        <v>11279</v>
      </c>
      <c r="AS3973" t="s">
        <v>11595</v>
      </c>
      <c r="BA3973" t="s">
        <v>11738</v>
      </c>
      <c r="BB3973">
        <v>0</v>
      </c>
      <c r="BC3973">
        <v>0</v>
      </c>
      <c r="BD3973">
        <v>0</v>
      </c>
      <c r="BE3973">
        <v>0</v>
      </c>
      <c r="BF3973">
        <v>5</v>
      </c>
      <c r="BG3973">
        <v>0</v>
      </c>
    </row>
    <row r="3974" spans="1:59">
      <c r="A3974" s="1">
        <f>HYPERLINK("https://lsnyc.legalserver.org/matter/dynamic-profile/view/1908109","19-1908109")</f>
        <v>0</v>
      </c>
      <c r="B3974" t="s">
        <v>2535</v>
      </c>
      <c r="C3974" t="s">
        <v>7313</v>
      </c>
      <c r="D3974" t="s">
        <v>9926</v>
      </c>
      <c r="E3974" t="s">
        <v>10075</v>
      </c>
      <c r="F3974">
        <v>10467</v>
      </c>
      <c r="G3974" t="s">
        <v>10090</v>
      </c>
      <c r="H3974" t="s">
        <v>10111</v>
      </c>
      <c r="I3974" t="s">
        <v>10168</v>
      </c>
      <c r="J3974" t="s">
        <v>10210</v>
      </c>
      <c r="K3974" t="s">
        <v>10217</v>
      </c>
      <c r="M3974" t="s">
        <v>10593</v>
      </c>
      <c r="N3974" t="s">
        <v>10677</v>
      </c>
      <c r="P3974" t="s">
        <v>10757</v>
      </c>
      <c r="Q3974" t="s">
        <v>10789</v>
      </c>
      <c r="R3974" t="s">
        <v>10823</v>
      </c>
      <c r="T3974">
        <v>13260</v>
      </c>
      <c r="U3974">
        <v>1105</v>
      </c>
      <c r="V3974">
        <v>62</v>
      </c>
      <c r="W3974">
        <v>1</v>
      </c>
      <c r="X3974">
        <v>0</v>
      </c>
      <c r="Z3974">
        <v>106.16</v>
      </c>
      <c r="AA3974">
        <v>40.864405</v>
      </c>
      <c r="AB3974">
        <v>-73.865145</v>
      </c>
      <c r="AD3974" t="s">
        <v>10840</v>
      </c>
      <c r="AG3974" t="s">
        <v>10858</v>
      </c>
      <c r="AH3974" t="s">
        <v>10861</v>
      </c>
      <c r="AI3974">
        <v>234</v>
      </c>
      <c r="AJ3974" t="s">
        <v>10214</v>
      </c>
      <c r="AL3974">
        <v>8</v>
      </c>
      <c r="AR3974" t="s">
        <v>11298</v>
      </c>
      <c r="AS3974" t="s">
        <v>9926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</row>
    <row r="3975" spans="1:59">
      <c r="A3975" s="1">
        <f>HYPERLINK("https://lsnyc.legalserver.org/matter/dynamic-profile/view/1908110","19-1908110")</f>
        <v>0</v>
      </c>
      <c r="B3975" t="s">
        <v>3281</v>
      </c>
      <c r="C3975" t="s">
        <v>7209</v>
      </c>
      <c r="D3975" t="s">
        <v>9926</v>
      </c>
      <c r="E3975" t="s">
        <v>10075</v>
      </c>
      <c r="F3975">
        <v>10468</v>
      </c>
      <c r="G3975" t="s">
        <v>10090</v>
      </c>
      <c r="H3975" t="s">
        <v>10111</v>
      </c>
      <c r="I3975" t="s">
        <v>10168</v>
      </c>
      <c r="J3975" t="s">
        <v>10210</v>
      </c>
      <c r="K3975" t="s">
        <v>10217</v>
      </c>
      <c r="M3975" t="s">
        <v>10276</v>
      </c>
      <c r="N3975" t="s">
        <v>10651</v>
      </c>
      <c r="P3975" t="s">
        <v>10749</v>
      </c>
      <c r="Q3975" t="s">
        <v>10765</v>
      </c>
      <c r="R3975" t="s">
        <v>10824</v>
      </c>
      <c r="T3975">
        <v>7200</v>
      </c>
      <c r="U3975">
        <v>600</v>
      </c>
      <c r="V3975">
        <v>35</v>
      </c>
      <c r="W3975">
        <v>1</v>
      </c>
      <c r="X3975">
        <v>0</v>
      </c>
      <c r="Z3975">
        <v>57.65</v>
      </c>
      <c r="AA3975">
        <v>40.86056</v>
      </c>
      <c r="AB3975">
        <v>-73.904062</v>
      </c>
      <c r="AD3975" t="s">
        <v>10839</v>
      </c>
      <c r="AG3975" t="s">
        <v>10858</v>
      </c>
      <c r="AH3975" t="s">
        <v>10862</v>
      </c>
      <c r="AI3975">
        <v>230</v>
      </c>
      <c r="AJ3975" t="s">
        <v>10210</v>
      </c>
      <c r="AL3975">
        <v>1.05</v>
      </c>
      <c r="AM3975" t="s">
        <v>10884</v>
      </c>
      <c r="AN3975" t="s">
        <v>10931</v>
      </c>
      <c r="AO3975" t="s">
        <v>11000</v>
      </c>
      <c r="AP3975" t="s">
        <v>11045</v>
      </c>
      <c r="AR3975" t="s">
        <v>11257</v>
      </c>
      <c r="AS3975" t="s">
        <v>9926</v>
      </c>
      <c r="AX3975" t="s">
        <v>10838</v>
      </c>
      <c r="BA3975" t="s">
        <v>11738</v>
      </c>
      <c r="BB3975">
        <v>0</v>
      </c>
      <c r="BC3975">
        <v>0</v>
      </c>
      <c r="BD3975">
        <v>0</v>
      </c>
      <c r="BE3975">
        <v>0</v>
      </c>
      <c r="BF3975">
        <v>5</v>
      </c>
      <c r="BG3975">
        <v>0</v>
      </c>
    </row>
    <row r="3976" spans="1:59">
      <c r="A3976" s="1">
        <f>HYPERLINK("https://lsnyc.legalserver.org/matter/dynamic-profile/view/1908111","19-1908111")</f>
        <v>0</v>
      </c>
      <c r="B3976" t="s">
        <v>1482</v>
      </c>
      <c r="C3976" t="s">
        <v>6193</v>
      </c>
      <c r="D3976" t="s">
        <v>9926</v>
      </c>
      <c r="E3976" t="s">
        <v>10075</v>
      </c>
      <c r="F3976">
        <v>10467</v>
      </c>
      <c r="G3976" t="s">
        <v>10090</v>
      </c>
      <c r="H3976" t="s">
        <v>10111</v>
      </c>
      <c r="I3976" t="s">
        <v>10168</v>
      </c>
      <c r="J3976" t="s">
        <v>10210</v>
      </c>
      <c r="K3976" t="s">
        <v>10217</v>
      </c>
      <c r="M3976" t="s">
        <v>10418</v>
      </c>
      <c r="N3976" t="s">
        <v>10651</v>
      </c>
      <c r="P3976" t="s">
        <v>10749</v>
      </c>
      <c r="Q3976" t="s">
        <v>10765</v>
      </c>
      <c r="R3976" t="s">
        <v>10826</v>
      </c>
      <c r="T3976">
        <v>8580</v>
      </c>
      <c r="U3976">
        <v>715</v>
      </c>
      <c r="V3976">
        <v>42</v>
      </c>
      <c r="W3976">
        <v>1</v>
      </c>
      <c r="X3976">
        <v>0</v>
      </c>
      <c r="Z3976">
        <v>68.69</v>
      </c>
      <c r="AA3976">
        <v>40.88462</v>
      </c>
      <c r="AB3976">
        <v>-73.87842999999999</v>
      </c>
      <c r="AC3976" t="s">
        <v>10837</v>
      </c>
      <c r="AD3976" t="s">
        <v>10840</v>
      </c>
      <c r="AG3976" t="s">
        <v>10858</v>
      </c>
      <c r="AH3976" t="s">
        <v>10862</v>
      </c>
      <c r="AI3976">
        <v>230</v>
      </c>
      <c r="AJ3976" t="s">
        <v>10210</v>
      </c>
      <c r="AL3976">
        <v>3.8</v>
      </c>
      <c r="AM3976" t="s">
        <v>10887</v>
      </c>
      <c r="AN3976" t="s">
        <v>10919</v>
      </c>
      <c r="AO3976" t="s">
        <v>11010</v>
      </c>
      <c r="AP3976" t="s">
        <v>11057</v>
      </c>
      <c r="AR3976" t="s">
        <v>11273</v>
      </c>
      <c r="AS3976" t="s">
        <v>9926</v>
      </c>
      <c r="AT3976" t="s">
        <v>11642</v>
      </c>
      <c r="AX3976" t="s">
        <v>10837</v>
      </c>
      <c r="BA3976" t="s">
        <v>11738</v>
      </c>
      <c r="BB3976">
        <v>0</v>
      </c>
      <c r="BC3976">
        <v>0</v>
      </c>
      <c r="BD3976">
        <v>0</v>
      </c>
      <c r="BE3976">
        <v>0</v>
      </c>
      <c r="BF3976">
        <v>5</v>
      </c>
      <c r="BG3976">
        <v>0</v>
      </c>
    </row>
    <row r="3977" spans="1:59">
      <c r="A3977" s="1">
        <f>HYPERLINK("https://lsnyc.legalserver.org/matter/dynamic-profile/view/1908112","19-1908112")</f>
        <v>0</v>
      </c>
      <c r="C3977" t="s">
        <v>8071</v>
      </c>
      <c r="D3977" t="s">
        <v>9926</v>
      </c>
      <c r="E3977" t="s">
        <v>10075</v>
      </c>
      <c r="F3977">
        <v>10463</v>
      </c>
      <c r="G3977" t="s">
        <v>10090</v>
      </c>
      <c r="H3977" t="s">
        <v>10154</v>
      </c>
      <c r="I3977" t="s">
        <v>10168</v>
      </c>
      <c r="J3977" t="s">
        <v>10210</v>
      </c>
      <c r="K3977" t="s">
        <v>10218</v>
      </c>
      <c r="L3977" t="s">
        <v>10161</v>
      </c>
      <c r="M3977" t="s">
        <v>10517</v>
      </c>
      <c r="N3977" t="s">
        <v>10650</v>
      </c>
      <c r="P3977" t="s">
        <v>10749</v>
      </c>
      <c r="Q3977" t="s">
        <v>10765</v>
      </c>
      <c r="R3977" t="s">
        <v>10824</v>
      </c>
      <c r="T3977">
        <v>0</v>
      </c>
      <c r="U3977">
        <v>0</v>
      </c>
      <c r="V3977">
        <v>0</v>
      </c>
      <c r="W3977">
        <v>1</v>
      </c>
      <c r="X3977">
        <v>0</v>
      </c>
      <c r="Y3977" t="s">
        <v>10830</v>
      </c>
      <c r="Z3977">
        <v>0</v>
      </c>
      <c r="AA3977">
        <v>40.878673</v>
      </c>
      <c r="AB3977">
        <v>-73.90102899999999</v>
      </c>
      <c r="AD3977" t="s">
        <v>10839</v>
      </c>
      <c r="AG3977" t="s">
        <v>10858</v>
      </c>
      <c r="AH3977" t="s">
        <v>10862</v>
      </c>
      <c r="AI3977">
        <v>230</v>
      </c>
      <c r="AJ3977" t="s">
        <v>10210</v>
      </c>
      <c r="AK3977" t="s">
        <v>10838</v>
      </c>
      <c r="AL3977">
        <v>1.75</v>
      </c>
      <c r="AM3977" t="s">
        <v>10887</v>
      </c>
      <c r="AN3977" t="s">
        <v>10919</v>
      </c>
      <c r="AO3977" t="s">
        <v>11000</v>
      </c>
      <c r="AP3977" t="s">
        <v>11045</v>
      </c>
      <c r="AR3977" t="s">
        <v>11267</v>
      </c>
      <c r="AS3977" t="s">
        <v>9926</v>
      </c>
      <c r="AT3977" t="s">
        <v>11641</v>
      </c>
      <c r="AX3977" t="s">
        <v>10838</v>
      </c>
      <c r="AY3977" t="s">
        <v>10830</v>
      </c>
      <c r="AZ3977" t="s">
        <v>11681</v>
      </c>
      <c r="BA3977" t="s">
        <v>11740</v>
      </c>
      <c r="BB3977">
        <v>0</v>
      </c>
      <c r="BC3977">
        <v>0</v>
      </c>
      <c r="BD3977">
        <v>0</v>
      </c>
      <c r="BE3977">
        <v>0</v>
      </c>
      <c r="BF3977">
        <v>2</v>
      </c>
      <c r="BG3977">
        <v>0</v>
      </c>
    </row>
    <row r="3978" spans="1:59">
      <c r="A3978" s="1">
        <f>HYPERLINK("https://lsnyc.legalserver.org/matter/dynamic-profile/view/1908113","19-1908113")</f>
        <v>0</v>
      </c>
      <c r="B3978" t="s">
        <v>2535</v>
      </c>
      <c r="C3978" t="s">
        <v>7313</v>
      </c>
      <c r="D3978" t="s">
        <v>9926</v>
      </c>
      <c r="E3978" t="s">
        <v>10075</v>
      </c>
      <c r="F3978">
        <v>10467</v>
      </c>
      <c r="G3978" t="s">
        <v>10090</v>
      </c>
      <c r="H3978" t="s">
        <v>10111</v>
      </c>
      <c r="I3978" t="s">
        <v>10168</v>
      </c>
      <c r="J3978" t="s">
        <v>10210</v>
      </c>
      <c r="K3978" t="s">
        <v>10217</v>
      </c>
      <c r="M3978" t="s">
        <v>10593</v>
      </c>
      <c r="N3978" t="s">
        <v>10677</v>
      </c>
      <c r="P3978" t="s">
        <v>10751</v>
      </c>
      <c r="Q3978" t="s">
        <v>10786</v>
      </c>
      <c r="R3978" t="s">
        <v>10823</v>
      </c>
      <c r="T3978">
        <v>13200</v>
      </c>
      <c r="U3978">
        <v>1100</v>
      </c>
      <c r="V3978">
        <v>62</v>
      </c>
      <c r="W3978">
        <v>1</v>
      </c>
      <c r="X3978">
        <v>0</v>
      </c>
      <c r="Z3978">
        <v>105.68</v>
      </c>
      <c r="AA3978">
        <v>40.864405</v>
      </c>
      <c r="AB3978">
        <v>-73.865145</v>
      </c>
      <c r="AD3978" t="s">
        <v>10840</v>
      </c>
      <c r="AG3978" t="s">
        <v>10858</v>
      </c>
      <c r="AH3978" t="s">
        <v>10861</v>
      </c>
      <c r="AI3978">
        <v>234</v>
      </c>
      <c r="AJ3978" t="s">
        <v>10214</v>
      </c>
      <c r="AL3978">
        <v>1</v>
      </c>
      <c r="AR3978" t="s">
        <v>11485</v>
      </c>
      <c r="AS3978" t="s">
        <v>9926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</row>
    <row r="3979" spans="1:59">
      <c r="A3979" s="1">
        <f>HYPERLINK("https://lsnyc.legalserver.org/matter/dynamic-profile/view/1908114","19-1908114")</f>
        <v>0</v>
      </c>
      <c r="B3979" t="s">
        <v>3282</v>
      </c>
      <c r="C3979" t="s">
        <v>8072</v>
      </c>
      <c r="D3979" t="s">
        <v>9926</v>
      </c>
      <c r="E3979" t="s">
        <v>10075</v>
      </c>
      <c r="F3979">
        <v>10467</v>
      </c>
      <c r="G3979" t="s">
        <v>10092</v>
      </c>
      <c r="H3979" t="s">
        <v>10111</v>
      </c>
      <c r="I3979" t="s">
        <v>10168</v>
      </c>
      <c r="J3979" t="s">
        <v>10212</v>
      </c>
      <c r="K3979" t="s">
        <v>10217</v>
      </c>
      <c r="M3979" t="s">
        <v>10398</v>
      </c>
      <c r="N3979" t="s">
        <v>10657</v>
      </c>
      <c r="P3979" t="s">
        <v>10751</v>
      </c>
      <c r="Q3979" t="s">
        <v>10780</v>
      </c>
      <c r="R3979" t="s">
        <v>10824</v>
      </c>
      <c r="T3979">
        <v>2184</v>
      </c>
      <c r="U3979">
        <v>182</v>
      </c>
      <c r="V3979">
        <v>47</v>
      </c>
      <c r="W3979">
        <v>1</v>
      </c>
      <c r="X3979">
        <v>0</v>
      </c>
      <c r="Z3979">
        <v>17.49</v>
      </c>
      <c r="AA3979">
        <v>40.869405</v>
      </c>
      <c r="AB3979">
        <v>-73.868416</v>
      </c>
      <c r="AD3979" t="s">
        <v>10840</v>
      </c>
      <c r="AG3979" t="s">
        <v>10858</v>
      </c>
      <c r="AH3979" t="s">
        <v>10866</v>
      </c>
      <c r="AI3979">
        <v>237</v>
      </c>
      <c r="AJ3979" t="s">
        <v>10212</v>
      </c>
      <c r="AL3979">
        <v>1.75</v>
      </c>
      <c r="AM3979" t="s">
        <v>10885</v>
      </c>
      <c r="AN3979" t="s">
        <v>10938</v>
      </c>
      <c r="AO3979" t="s">
        <v>11010</v>
      </c>
      <c r="AP3979" t="s">
        <v>11056</v>
      </c>
      <c r="AQ3979" t="s">
        <v>11118</v>
      </c>
      <c r="AR3979" t="s">
        <v>11507</v>
      </c>
      <c r="AS3979" t="s">
        <v>9926</v>
      </c>
      <c r="AT3979" t="s">
        <v>11642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</row>
    <row r="3980" spans="1:59">
      <c r="A3980" s="1">
        <f>HYPERLINK("https://lsnyc.legalserver.org/matter/dynamic-profile/view/1908115","19-1908115")</f>
        <v>0</v>
      </c>
      <c r="B3980" t="s">
        <v>3283</v>
      </c>
      <c r="C3980" t="s">
        <v>8073</v>
      </c>
      <c r="D3980" t="s">
        <v>9928</v>
      </c>
      <c r="E3980" t="s">
        <v>10075</v>
      </c>
      <c r="F3980">
        <v>11234</v>
      </c>
      <c r="G3980" t="s">
        <v>10092</v>
      </c>
      <c r="H3980" t="s">
        <v>10111</v>
      </c>
      <c r="I3980" t="s">
        <v>10168</v>
      </c>
      <c r="J3980" t="s">
        <v>10212</v>
      </c>
      <c r="K3980" t="s">
        <v>10217</v>
      </c>
      <c r="M3980" t="s">
        <v>10398</v>
      </c>
      <c r="N3980" t="s">
        <v>10657</v>
      </c>
      <c r="P3980" t="s">
        <v>10752</v>
      </c>
      <c r="Q3980" t="s">
        <v>10805</v>
      </c>
      <c r="R3980" t="s">
        <v>10824</v>
      </c>
      <c r="T3980">
        <v>32400</v>
      </c>
      <c r="U3980">
        <v>2700</v>
      </c>
      <c r="V3980">
        <v>59</v>
      </c>
      <c r="W3980">
        <v>1</v>
      </c>
      <c r="X3980">
        <v>0</v>
      </c>
      <c r="Z3980">
        <v>259.41</v>
      </c>
      <c r="AA3980">
        <v>40.626365</v>
      </c>
      <c r="AB3980">
        <v>-73.922285</v>
      </c>
      <c r="AD3980" t="s">
        <v>10840</v>
      </c>
      <c r="AG3980" t="s">
        <v>10858</v>
      </c>
      <c r="AH3980" t="s">
        <v>10866</v>
      </c>
      <c r="AI3980">
        <v>237</v>
      </c>
      <c r="AJ3980" t="s">
        <v>10212</v>
      </c>
      <c r="AL3980">
        <v>2</v>
      </c>
      <c r="AM3980" t="s">
        <v>10889</v>
      </c>
      <c r="AN3980" t="s">
        <v>10959</v>
      </c>
      <c r="AO3980" t="s">
        <v>11008</v>
      </c>
      <c r="AP3980" t="s">
        <v>11072</v>
      </c>
      <c r="AQ3980" t="s">
        <v>11155</v>
      </c>
      <c r="AR3980" t="s">
        <v>11256</v>
      </c>
      <c r="AS3980" t="s">
        <v>11595</v>
      </c>
      <c r="AT3980" t="s">
        <v>11642</v>
      </c>
      <c r="BA3980" t="s">
        <v>11741</v>
      </c>
      <c r="BB3980">
        <v>0</v>
      </c>
      <c r="BC3980">
        <v>0</v>
      </c>
      <c r="BD3980">
        <v>0</v>
      </c>
      <c r="BE3980">
        <v>0</v>
      </c>
      <c r="BF3980">
        <v>1</v>
      </c>
      <c r="BG3980">
        <v>0</v>
      </c>
    </row>
    <row r="3981" spans="1:59">
      <c r="A3981" s="1">
        <f>HYPERLINK("https://lsnyc.legalserver.org/matter/dynamic-profile/view/1908116","19-1908116")</f>
        <v>0</v>
      </c>
      <c r="B3981" t="s">
        <v>3284</v>
      </c>
      <c r="C3981" t="s">
        <v>8074</v>
      </c>
      <c r="D3981" t="s">
        <v>9938</v>
      </c>
      <c r="E3981" t="s">
        <v>10075</v>
      </c>
      <c r="F3981">
        <v>11434</v>
      </c>
      <c r="G3981" t="s">
        <v>10092</v>
      </c>
      <c r="H3981" t="s">
        <v>10111</v>
      </c>
      <c r="I3981" t="s">
        <v>10168</v>
      </c>
      <c r="J3981" t="s">
        <v>10212</v>
      </c>
      <c r="K3981" t="s">
        <v>10217</v>
      </c>
      <c r="M3981" t="s">
        <v>10374</v>
      </c>
      <c r="N3981" t="s">
        <v>10657</v>
      </c>
      <c r="P3981" t="s">
        <v>10754</v>
      </c>
      <c r="Q3981" t="s">
        <v>10770</v>
      </c>
      <c r="R3981" t="s">
        <v>10824</v>
      </c>
      <c r="T3981">
        <v>0</v>
      </c>
      <c r="U3981">
        <v>0</v>
      </c>
      <c r="V3981">
        <v>33</v>
      </c>
      <c r="W3981">
        <v>1</v>
      </c>
      <c r="X3981">
        <v>0</v>
      </c>
      <c r="Z3981">
        <v>0</v>
      </c>
      <c r="AA3981">
        <v>40.681412</v>
      </c>
      <c r="AB3981">
        <v>-73.790273</v>
      </c>
      <c r="AD3981" t="s">
        <v>10840</v>
      </c>
      <c r="AG3981" t="s">
        <v>10858</v>
      </c>
      <c r="AH3981" t="s">
        <v>10866</v>
      </c>
      <c r="AI3981">
        <v>237</v>
      </c>
      <c r="AJ3981" t="s">
        <v>10212</v>
      </c>
      <c r="AL3981">
        <v>4.5</v>
      </c>
      <c r="AM3981" t="s">
        <v>10892</v>
      </c>
      <c r="AN3981" t="s">
        <v>10951</v>
      </c>
      <c r="AO3981" t="s">
        <v>11017</v>
      </c>
      <c r="AP3981" t="s">
        <v>11070</v>
      </c>
      <c r="AQ3981" t="s">
        <v>11111</v>
      </c>
      <c r="AR3981" t="s">
        <v>11267</v>
      </c>
      <c r="AS3981" t="s">
        <v>11594</v>
      </c>
      <c r="AT3981" t="s">
        <v>11642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</row>
    <row r="3982" spans="1:59">
      <c r="A3982" s="1">
        <f>HYPERLINK("https://lsnyc.legalserver.org/matter/dynamic-profile/view/1908117","19-1908117")</f>
        <v>0</v>
      </c>
      <c r="B3982" t="s">
        <v>3285</v>
      </c>
      <c r="C3982" t="s">
        <v>8075</v>
      </c>
      <c r="D3982" t="s">
        <v>9929</v>
      </c>
      <c r="E3982" t="s">
        <v>10075</v>
      </c>
      <c r="F3982">
        <v>10304</v>
      </c>
      <c r="G3982" t="s">
        <v>10088</v>
      </c>
      <c r="H3982" t="s">
        <v>10115</v>
      </c>
      <c r="I3982" t="s">
        <v>10168</v>
      </c>
      <c r="J3982" t="s">
        <v>10208</v>
      </c>
      <c r="K3982" t="s">
        <v>10217</v>
      </c>
      <c r="M3982" t="s">
        <v>10240</v>
      </c>
      <c r="N3982" t="s">
        <v>10654</v>
      </c>
      <c r="P3982" t="s">
        <v>10749</v>
      </c>
      <c r="Q3982" t="s">
        <v>10767</v>
      </c>
      <c r="R3982" t="s">
        <v>10824</v>
      </c>
      <c r="T3982">
        <v>17256</v>
      </c>
      <c r="U3982">
        <v>1438</v>
      </c>
      <c r="V3982">
        <v>58</v>
      </c>
      <c r="W3982">
        <v>1</v>
      </c>
      <c r="X3982">
        <v>0</v>
      </c>
      <c r="Z3982">
        <v>138.16</v>
      </c>
      <c r="AA3982">
        <v>40.621566</v>
      </c>
      <c r="AB3982">
        <v>-74.08024500000001</v>
      </c>
      <c r="AD3982" t="s">
        <v>10840</v>
      </c>
      <c r="AG3982" t="s">
        <v>10858</v>
      </c>
      <c r="AH3982" t="s">
        <v>10861</v>
      </c>
      <c r="AI3982">
        <v>285</v>
      </c>
      <c r="AJ3982" t="s">
        <v>10208</v>
      </c>
      <c r="AL3982">
        <v>5.1</v>
      </c>
      <c r="AM3982" t="s">
        <v>10883</v>
      </c>
      <c r="AN3982" t="s">
        <v>10913</v>
      </c>
      <c r="AO3982" t="s">
        <v>11006</v>
      </c>
      <c r="AP3982" t="s">
        <v>11051</v>
      </c>
      <c r="AR3982" t="s">
        <v>11296</v>
      </c>
      <c r="AS3982" t="s">
        <v>11593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</row>
    <row r="3983" spans="1:59">
      <c r="A3983" s="1">
        <f>HYPERLINK("https://lsnyc.legalserver.org/matter/dynamic-profile/view/1908118","19-1908118")</f>
        <v>0</v>
      </c>
      <c r="B3983" t="s">
        <v>3281</v>
      </c>
      <c r="C3983" t="s">
        <v>7209</v>
      </c>
      <c r="D3983" t="s">
        <v>9926</v>
      </c>
      <c r="E3983" t="s">
        <v>10075</v>
      </c>
      <c r="F3983">
        <v>10468</v>
      </c>
      <c r="G3983" t="s">
        <v>10090</v>
      </c>
      <c r="H3983" t="s">
        <v>10145</v>
      </c>
      <c r="I3983" t="s">
        <v>10168</v>
      </c>
      <c r="J3983" t="s">
        <v>10210</v>
      </c>
      <c r="K3983" t="s">
        <v>10217</v>
      </c>
      <c r="M3983" t="s">
        <v>10287</v>
      </c>
      <c r="N3983" t="s">
        <v>10671</v>
      </c>
      <c r="P3983" t="s">
        <v>10751</v>
      </c>
      <c r="Q3983" t="s">
        <v>10761</v>
      </c>
      <c r="R3983" t="s">
        <v>10824</v>
      </c>
      <c r="T3983">
        <v>7200</v>
      </c>
      <c r="U3983">
        <v>600</v>
      </c>
      <c r="V3983">
        <v>35</v>
      </c>
      <c r="W3983">
        <v>1</v>
      </c>
      <c r="X3983">
        <v>0</v>
      </c>
      <c r="Z3983">
        <v>57.65</v>
      </c>
      <c r="AA3983">
        <v>40.86056</v>
      </c>
      <c r="AB3983">
        <v>-73.904062</v>
      </c>
      <c r="AD3983" t="s">
        <v>10839</v>
      </c>
      <c r="AG3983" t="s">
        <v>10858</v>
      </c>
      <c r="AH3983" t="s">
        <v>10862</v>
      </c>
      <c r="AI3983">
        <v>230</v>
      </c>
      <c r="AJ3983" t="s">
        <v>10210</v>
      </c>
      <c r="AL3983">
        <v>0.25</v>
      </c>
      <c r="AM3983" t="s">
        <v>10884</v>
      </c>
      <c r="AN3983" t="s">
        <v>10931</v>
      </c>
      <c r="AO3983" t="s">
        <v>11000</v>
      </c>
      <c r="AP3983" t="s">
        <v>11045</v>
      </c>
      <c r="AR3983" t="s">
        <v>11257</v>
      </c>
      <c r="AS3983" t="s">
        <v>9926</v>
      </c>
      <c r="BA3983" t="s">
        <v>11742</v>
      </c>
      <c r="BB3983">
        <v>0</v>
      </c>
      <c r="BC3983">
        <v>0</v>
      </c>
      <c r="BD3983">
        <v>0</v>
      </c>
      <c r="BE3983">
        <v>0</v>
      </c>
      <c r="BF3983">
        <v>7</v>
      </c>
      <c r="BG3983">
        <v>0</v>
      </c>
    </row>
    <row r="3984" spans="1:59">
      <c r="A3984" s="1">
        <f>HYPERLINK("https://lsnyc.legalserver.org/matter/dynamic-profile/view/1908119","19-1908119")</f>
        <v>0</v>
      </c>
      <c r="B3984" t="s">
        <v>3286</v>
      </c>
      <c r="C3984" t="s">
        <v>8076</v>
      </c>
      <c r="D3984" t="s">
        <v>9959</v>
      </c>
      <c r="E3984" t="s">
        <v>10075</v>
      </c>
      <c r="F3984">
        <v>11356</v>
      </c>
      <c r="G3984" t="s">
        <v>10092</v>
      </c>
      <c r="H3984" t="s">
        <v>10145</v>
      </c>
      <c r="I3984" t="s">
        <v>10182</v>
      </c>
      <c r="J3984" t="s">
        <v>10212</v>
      </c>
      <c r="K3984" t="s">
        <v>10217</v>
      </c>
      <c r="M3984" t="s">
        <v>10295</v>
      </c>
      <c r="N3984" t="s">
        <v>10674</v>
      </c>
      <c r="P3984" t="s">
        <v>10754</v>
      </c>
      <c r="Q3984" t="s">
        <v>10766</v>
      </c>
      <c r="R3984" t="s">
        <v>10827</v>
      </c>
      <c r="T3984">
        <v>4000</v>
      </c>
      <c r="U3984">
        <v>333.33</v>
      </c>
      <c r="V3984">
        <v>34</v>
      </c>
      <c r="W3984">
        <v>1</v>
      </c>
      <c r="X3984">
        <v>2</v>
      </c>
      <c r="Z3984">
        <v>18.75</v>
      </c>
      <c r="AA3984">
        <v>40.77985</v>
      </c>
      <c r="AB3984">
        <v>-73.843565</v>
      </c>
      <c r="AD3984" t="s">
        <v>10839</v>
      </c>
      <c r="AF3984" t="s">
        <v>10843</v>
      </c>
      <c r="AG3984" t="s">
        <v>10859</v>
      </c>
      <c r="AH3984" t="s">
        <v>10865</v>
      </c>
      <c r="AI3984">
        <v>237</v>
      </c>
      <c r="AJ3984" t="s">
        <v>10212</v>
      </c>
      <c r="AK3984" t="s">
        <v>10837</v>
      </c>
      <c r="AL3984">
        <v>14.45</v>
      </c>
      <c r="AM3984" t="s">
        <v>10885</v>
      </c>
      <c r="AN3984" t="s">
        <v>10962</v>
      </c>
      <c r="AO3984" t="s">
        <v>11022</v>
      </c>
      <c r="AP3984" t="s">
        <v>11080</v>
      </c>
      <c r="AQ3984" t="s">
        <v>11112</v>
      </c>
      <c r="AR3984" t="s">
        <v>11262</v>
      </c>
      <c r="AS3984" t="s">
        <v>11594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</row>
    <row r="3985" spans="1:59">
      <c r="A3985" s="1">
        <f>HYPERLINK("https://lsnyc.legalserver.org/matter/dynamic-profile/view/1908120","19-1908120")</f>
        <v>0</v>
      </c>
      <c r="B3985" t="s">
        <v>3287</v>
      </c>
      <c r="C3985" t="s">
        <v>5229</v>
      </c>
      <c r="D3985" t="s">
        <v>9926</v>
      </c>
      <c r="E3985" t="s">
        <v>10075</v>
      </c>
      <c r="F3985">
        <v>10452</v>
      </c>
      <c r="G3985" t="s">
        <v>10090</v>
      </c>
      <c r="H3985" t="s">
        <v>10145</v>
      </c>
      <c r="I3985" t="s">
        <v>10168</v>
      </c>
      <c r="J3985" t="s">
        <v>10210</v>
      </c>
      <c r="K3985" t="s">
        <v>10217</v>
      </c>
      <c r="M3985" t="s">
        <v>10250</v>
      </c>
      <c r="N3985" t="s">
        <v>10646</v>
      </c>
      <c r="P3985" t="s">
        <v>10749</v>
      </c>
      <c r="Q3985" t="s">
        <v>10765</v>
      </c>
      <c r="R3985" t="s">
        <v>10824</v>
      </c>
      <c r="T3985">
        <v>39000</v>
      </c>
      <c r="U3985">
        <v>3250</v>
      </c>
      <c r="V3985">
        <v>64</v>
      </c>
      <c r="W3985">
        <v>1</v>
      </c>
      <c r="X3985">
        <v>0</v>
      </c>
      <c r="Z3985">
        <v>312.25</v>
      </c>
      <c r="AA3985">
        <v>40.837158</v>
      </c>
      <c r="AB3985">
        <v>-73.923618</v>
      </c>
      <c r="AD3985" t="s">
        <v>10840</v>
      </c>
      <c r="AG3985" t="s">
        <v>10858</v>
      </c>
      <c r="AH3985" t="s">
        <v>10862</v>
      </c>
      <c r="AI3985">
        <v>230</v>
      </c>
      <c r="AJ3985" t="s">
        <v>10210</v>
      </c>
      <c r="AL3985">
        <v>0.7</v>
      </c>
      <c r="AM3985" t="s">
        <v>10884</v>
      </c>
      <c r="AN3985" t="s">
        <v>10929</v>
      </c>
      <c r="AO3985" t="s">
        <v>11013</v>
      </c>
      <c r="AP3985" t="s">
        <v>11055</v>
      </c>
      <c r="AR3985" t="s">
        <v>11257</v>
      </c>
      <c r="AS3985" t="s">
        <v>9926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</row>
    <row r="3986" spans="1:59">
      <c r="A3986" s="1">
        <f>HYPERLINK("https://lsnyc.legalserver.org/matter/dynamic-profile/view/1908121","19-1908121")</f>
        <v>0</v>
      </c>
      <c r="B3986" t="s">
        <v>3288</v>
      </c>
      <c r="C3986" t="s">
        <v>7047</v>
      </c>
      <c r="D3986" t="s">
        <v>9928</v>
      </c>
      <c r="E3986" t="s">
        <v>10075</v>
      </c>
      <c r="F3986">
        <v>11214</v>
      </c>
      <c r="G3986" t="s">
        <v>10093</v>
      </c>
      <c r="H3986" t="s">
        <v>10111</v>
      </c>
      <c r="I3986" t="s">
        <v>10168</v>
      </c>
      <c r="J3986" t="s">
        <v>10213</v>
      </c>
      <c r="K3986" t="s">
        <v>10218</v>
      </c>
      <c r="L3986" t="s">
        <v>10151</v>
      </c>
      <c r="M3986" t="s">
        <v>10390</v>
      </c>
      <c r="N3986" t="s">
        <v>10644</v>
      </c>
      <c r="P3986" t="s">
        <v>10749</v>
      </c>
      <c r="Q3986" t="s">
        <v>10765</v>
      </c>
      <c r="R3986" t="s">
        <v>10820</v>
      </c>
      <c r="T3986">
        <v>10296</v>
      </c>
      <c r="U3986">
        <v>858</v>
      </c>
      <c r="V3986">
        <v>62</v>
      </c>
      <c r="W3986">
        <v>1</v>
      </c>
      <c r="X3986">
        <v>0</v>
      </c>
      <c r="Y3986" t="s">
        <v>10829</v>
      </c>
      <c r="Z3986">
        <v>82.43000000000001</v>
      </c>
      <c r="AA3986">
        <v>40.605195</v>
      </c>
      <c r="AB3986">
        <v>-73.990776</v>
      </c>
      <c r="AD3986" t="s">
        <v>10839</v>
      </c>
      <c r="AG3986" t="s">
        <v>10858</v>
      </c>
      <c r="AH3986" t="s">
        <v>10869</v>
      </c>
      <c r="AI3986">
        <v>239</v>
      </c>
      <c r="AJ3986" t="s">
        <v>10213</v>
      </c>
      <c r="AK3986" t="s">
        <v>10838</v>
      </c>
      <c r="AL3986">
        <v>3.75</v>
      </c>
      <c r="AM3986" t="s">
        <v>10883</v>
      </c>
      <c r="AN3986" t="s">
        <v>10969</v>
      </c>
      <c r="AO3986" t="s">
        <v>11023</v>
      </c>
      <c r="AP3986" t="s">
        <v>11079</v>
      </c>
      <c r="AQ3986" t="s">
        <v>11101</v>
      </c>
      <c r="AR3986" t="s">
        <v>11263</v>
      </c>
      <c r="AS3986" t="s">
        <v>11595</v>
      </c>
      <c r="AY3986" t="s">
        <v>10829</v>
      </c>
      <c r="AZ3986" t="s">
        <v>11681</v>
      </c>
      <c r="BA3986" t="s">
        <v>11742</v>
      </c>
      <c r="BB3986">
        <v>0</v>
      </c>
      <c r="BC3986">
        <v>0</v>
      </c>
      <c r="BD3986">
        <v>0</v>
      </c>
      <c r="BE3986">
        <v>0</v>
      </c>
      <c r="BF3986">
        <v>7</v>
      </c>
      <c r="BG3986">
        <v>0</v>
      </c>
    </row>
    <row r="3987" spans="1:59">
      <c r="A3987" s="1">
        <f>HYPERLINK("https://lsnyc.legalserver.org/matter/dynamic-profile/view/1908122","19-1908122")</f>
        <v>0</v>
      </c>
      <c r="B3987" t="s">
        <v>3289</v>
      </c>
      <c r="C3987" t="s">
        <v>8077</v>
      </c>
      <c r="D3987" t="s">
        <v>9925</v>
      </c>
      <c r="E3987" t="s">
        <v>10075</v>
      </c>
      <c r="F3987">
        <v>10009</v>
      </c>
      <c r="G3987" t="s">
        <v>10089</v>
      </c>
      <c r="H3987" t="s">
        <v>10145</v>
      </c>
      <c r="I3987" t="s">
        <v>10168</v>
      </c>
      <c r="J3987" t="s">
        <v>10209</v>
      </c>
      <c r="K3987" t="s">
        <v>10218</v>
      </c>
      <c r="L3987" t="s">
        <v>10157</v>
      </c>
      <c r="M3987" t="s">
        <v>10332</v>
      </c>
      <c r="N3987" t="s">
        <v>10690</v>
      </c>
      <c r="P3987" t="s">
        <v>10749</v>
      </c>
      <c r="Q3987" t="s">
        <v>10765</v>
      </c>
      <c r="R3987" t="s">
        <v>10820</v>
      </c>
      <c r="T3987">
        <v>49200</v>
      </c>
      <c r="U3987">
        <v>4100</v>
      </c>
      <c r="V3987">
        <v>73</v>
      </c>
      <c r="W3987">
        <v>1</v>
      </c>
      <c r="X3987">
        <v>0</v>
      </c>
      <c r="Y3987" t="s">
        <v>10829</v>
      </c>
      <c r="Z3987">
        <v>393.92</v>
      </c>
      <c r="AA3987">
        <v>40.725827</v>
      </c>
      <c r="AB3987">
        <v>-73.985905</v>
      </c>
      <c r="AC3987" t="s">
        <v>10837</v>
      </c>
      <c r="AD3987" t="s">
        <v>10840</v>
      </c>
      <c r="AG3987" t="s">
        <v>10858</v>
      </c>
      <c r="AH3987" t="s">
        <v>10861</v>
      </c>
      <c r="AI3987">
        <v>234</v>
      </c>
      <c r="AJ3987" t="s">
        <v>10214</v>
      </c>
      <c r="AK3987" t="s">
        <v>10882</v>
      </c>
      <c r="AL3987">
        <v>11.5</v>
      </c>
      <c r="AM3987" t="s">
        <v>10891</v>
      </c>
      <c r="AN3987" t="s">
        <v>10910</v>
      </c>
      <c r="AO3987" t="s">
        <v>11021</v>
      </c>
      <c r="AP3987" t="s">
        <v>11048</v>
      </c>
      <c r="AR3987" t="s">
        <v>11529</v>
      </c>
      <c r="AS3987" t="s">
        <v>9925</v>
      </c>
      <c r="AT3987" t="s">
        <v>11642</v>
      </c>
      <c r="AX3987" t="s">
        <v>10838</v>
      </c>
      <c r="AY3987" t="s">
        <v>10829</v>
      </c>
      <c r="AZ3987" t="s">
        <v>11681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</row>
    <row r="3988" spans="1:59">
      <c r="A3988" s="1">
        <f>HYPERLINK("https://lsnyc.legalserver.org/matter/dynamic-profile/view/1908123","19-1908123")</f>
        <v>0</v>
      </c>
      <c r="B3988" t="s">
        <v>3290</v>
      </c>
      <c r="C3988" t="s">
        <v>8078</v>
      </c>
      <c r="D3988" t="s">
        <v>9926</v>
      </c>
      <c r="E3988" t="s">
        <v>10075</v>
      </c>
      <c r="F3988">
        <v>10457</v>
      </c>
      <c r="G3988" t="s">
        <v>10090</v>
      </c>
      <c r="H3988" t="s">
        <v>10145</v>
      </c>
      <c r="I3988" t="s">
        <v>10168</v>
      </c>
      <c r="J3988" t="s">
        <v>10210</v>
      </c>
      <c r="K3988" t="s">
        <v>10217</v>
      </c>
      <c r="M3988" t="s">
        <v>10418</v>
      </c>
      <c r="N3988" t="s">
        <v>10651</v>
      </c>
      <c r="P3988" t="s">
        <v>10749</v>
      </c>
      <c r="Q3988" t="s">
        <v>10765</v>
      </c>
      <c r="R3988" t="s">
        <v>10824</v>
      </c>
      <c r="T3988">
        <v>4030</v>
      </c>
      <c r="U3988">
        <v>335.83</v>
      </c>
      <c r="V3988">
        <v>45</v>
      </c>
      <c r="W3988">
        <v>2</v>
      </c>
      <c r="X3988">
        <v>2</v>
      </c>
      <c r="Z3988">
        <v>15.65</v>
      </c>
      <c r="AA3988">
        <v>40.8493</v>
      </c>
      <c r="AB3988">
        <v>-73.903368</v>
      </c>
      <c r="AD3988" t="s">
        <v>10839</v>
      </c>
      <c r="AG3988" t="s">
        <v>10858</v>
      </c>
      <c r="AH3988" t="s">
        <v>10862</v>
      </c>
      <c r="AI3988">
        <v>230</v>
      </c>
      <c r="AJ3988" t="s">
        <v>10210</v>
      </c>
      <c r="AL3988">
        <v>1</v>
      </c>
      <c r="AM3988" t="s">
        <v>10884</v>
      </c>
      <c r="AN3988" t="s">
        <v>10931</v>
      </c>
      <c r="AO3988" t="s">
        <v>11000</v>
      </c>
      <c r="AP3988" t="s">
        <v>11056</v>
      </c>
      <c r="AR3988" t="s">
        <v>11382</v>
      </c>
      <c r="AS3988" t="s">
        <v>9926</v>
      </c>
      <c r="AT3988" t="s">
        <v>11641</v>
      </c>
      <c r="AX3988" t="s">
        <v>10838</v>
      </c>
      <c r="BA3988" t="s">
        <v>11742</v>
      </c>
      <c r="BB3988">
        <v>0</v>
      </c>
      <c r="BC3988">
        <v>0</v>
      </c>
      <c r="BD3988">
        <v>0</v>
      </c>
      <c r="BE3988">
        <v>0</v>
      </c>
      <c r="BF3988">
        <v>7</v>
      </c>
      <c r="BG3988">
        <v>0</v>
      </c>
    </row>
    <row r="3989" spans="1:59">
      <c r="A3989" s="1">
        <f>HYPERLINK("https://lsnyc.legalserver.org/matter/dynamic-profile/view/1908124","19-1908124")</f>
        <v>0</v>
      </c>
      <c r="B3989" t="s">
        <v>605</v>
      </c>
      <c r="C3989" t="s">
        <v>8079</v>
      </c>
      <c r="D3989" t="s">
        <v>9949</v>
      </c>
      <c r="E3989" t="s">
        <v>10075</v>
      </c>
      <c r="F3989">
        <v>11413</v>
      </c>
      <c r="G3989" t="s">
        <v>10092</v>
      </c>
      <c r="H3989" t="s">
        <v>10145</v>
      </c>
      <c r="I3989" t="s">
        <v>10168</v>
      </c>
      <c r="J3989" t="s">
        <v>10212</v>
      </c>
      <c r="K3989" t="s">
        <v>10217</v>
      </c>
      <c r="M3989" t="s">
        <v>10547</v>
      </c>
      <c r="N3989" t="s">
        <v>10673</v>
      </c>
      <c r="P3989" t="s">
        <v>10753</v>
      </c>
      <c r="Q3989" t="s">
        <v>10763</v>
      </c>
      <c r="R3989" t="s">
        <v>10824</v>
      </c>
      <c r="T3989">
        <v>21168</v>
      </c>
      <c r="U3989">
        <v>1764</v>
      </c>
      <c r="V3989">
        <v>60</v>
      </c>
      <c r="W3989">
        <v>1</v>
      </c>
      <c r="X3989">
        <v>0</v>
      </c>
      <c r="Z3989">
        <v>169.48</v>
      </c>
      <c r="AA3989">
        <v>40.654552</v>
      </c>
      <c r="AB3989">
        <v>-73.75176399999999</v>
      </c>
      <c r="AD3989" t="s">
        <v>10839</v>
      </c>
      <c r="AF3989" t="s">
        <v>10843</v>
      </c>
      <c r="AG3989" t="s">
        <v>10859</v>
      </c>
      <c r="AH3989" t="s">
        <v>10861</v>
      </c>
      <c r="AI3989">
        <v>234</v>
      </c>
      <c r="AJ3989" t="s">
        <v>10214</v>
      </c>
      <c r="AL3989">
        <v>1</v>
      </c>
      <c r="AM3989" t="s">
        <v>10892</v>
      </c>
      <c r="AN3989" t="s">
        <v>10930</v>
      </c>
      <c r="AO3989" t="s">
        <v>11017</v>
      </c>
      <c r="AP3989" t="s">
        <v>11082</v>
      </c>
      <c r="AR3989" t="s">
        <v>11379</v>
      </c>
      <c r="AS3989" t="s">
        <v>11594</v>
      </c>
      <c r="AT3989" t="s">
        <v>11641</v>
      </c>
      <c r="AX3989" t="s">
        <v>10838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</row>
    <row r="3990" spans="1:59">
      <c r="A3990" s="1">
        <f>HYPERLINK("https://lsnyc.legalserver.org/matter/dynamic-profile/view/1908125","19-1908125")</f>
        <v>0</v>
      </c>
      <c r="B3990" t="s">
        <v>1803</v>
      </c>
      <c r="C3990" t="s">
        <v>8080</v>
      </c>
      <c r="D3990" t="s">
        <v>9928</v>
      </c>
      <c r="E3990" t="s">
        <v>10075</v>
      </c>
      <c r="F3990">
        <v>11225</v>
      </c>
      <c r="G3990" t="s">
        <v>10093</v>
      </c>
      <c r="H3990" t="s">
        <v>10145</v>
      </c>
      <c r="I3990" t="s">
        <v>10168</v>
      </c>
      <c r="J3990" t="s">
        <v>10213</v>
      </c>
      <c r="K3990" t="s">
        <v>10217</v>
      </c>
      <c r="M3990" t="s">
        <v>10570</v>
      </c>
      <c r="N3990" t="s">
        <v>10667</v>
      </c>
      <c r="P3990" t="s">
        <v>10749</v>
      </c>
      <c r="Q3990" t="s">
        <v>10765</v>
      </c>
      <c r="R3990" t="s">
        <v>10824</v>
      </c>
      <c r="T3990">
        <v>0</v>
      </c>
      <c r="U3990">
        <v>0</v>
      </c>
      <c r="V3990">
        <v>56</v>
      </c>
      <c r="W3990">
        <v>1</v>
      </c>
      <c r="X3990">
        <v>0</v>
      </c>
      <c r="Z3990">
        <v>0</v>
      </c>
      <c r="AA3990">
        <v>40.667926</v>
      </c>
      <c r="AB3990">
        <v>-73.956326</v>
      </c>
      <c r="AD3990" t="s">
        <v>10839</v>
      </c>
      <c r="AG3990" t="s">
        <v>10858</v>
      </c>
      <c r="AH3990" t="s">
        <v>10862</v>
      </c>
      <c r="AI3990">
        <v>239</v>
      </c>
      <c r="AJ3990" t="s">
        <v>10213</v>
      </c>
      <c r="AL3990">
        <v>3.75</v>
      </c>
      <c r="AM3990" t="s">
        <v>10888</v>
      </c>
      <c r="AN3990" t="s">
        <v>10923</v>
      </c>
      <c r="AO3990" t="s">
        <v>11005</v>
      </c>
      <c r="AP3990" t="s">
        <v>11061</v>
      </c>
      <c r="AQ3990" t="s">
        <v>11101</v>
      </c>
      <c r="AR3990" t="s">
        <v>11279</v>
      </c>
      <c r="AS3990" t="s">
        <v>11595</v>
      </c>
      <c r="BA3990" t="s">
        <v>11738</v>
      </c>
      <c r="BB3990">
        <v>0</v>
      </c>
      <c r="BC3990">
        <v>0</v>
      </c>
      <c r="BD3990">
        <v>0</v>
      </c>
      <c r="BE3990">
        <v>0</v>
      </c>
      <c r="BF3990">
        <v>5</v>
      </c>
      <c r="BG3990">
        <v>0</v>
      </c>
    </row>
    <row r="3991" spans="1:59">
      <c r="A3991" s="1">
        <f>HYPERLINK("https://lsnyc.legalserver.org/matter/dynamic-profile/view/1908126","19-1908126")</f>
        <v>0</v>
      </c>
      <c r="B3991" t="s">
        <v>3291</v>
      </c>
      <c r="C3991" t="s">
        <v>8081</v>
      </c>
      <c r="D3991" t="s">
        <v>9926</v>
      </c>
      <c r="E3991" t="s">
        <v>10075</v>
      </c>
      <c r="F3991">
        <v>10468</v>
      </c>
      <c r="G3991" t="s">
        <v>10090</v>
      </c>
      <c r="H3991" t="s">
        <v>10145</v>
      </c>
      <c r="I3991" t="s">
        <v>10169</v>
      </c>
      <c r="J3991" t="s">
        <v>10210</v>
      </c>
      <c r="K3991" t="s">
        <v>10217</v>
      </c>
      <c r="M3991" t="s">
        <v>10349</v>
      </c>
      <c r="N3991" t="s">
        <v>10651</v>
      </c>
      <c r="P3991" t="s">
        <v>10749</v>
      </c>
      <c r="Q3991" t="s">
        <v>10765</v>
      </c>
      <c r="R3991" t="s">
        <v>10821</v>
      </c>
      <c r="T3991">
        <v>0</v>
      </c>
      <c r="U3991">
        <v>0</v>
      </c>
      <c r="V3991">
        <v>34</v>
      </c>
      <c r="W3991">
        <v>1</v>
      </c>
      <c r="X3991">
        <v>2</v>
      </c>
      <c r="Z3991">
        <v>0</v>
      </c>
      <c r="AA3991">
        <v>40.868568</v>
      </c>
      <c r="AB3991">
        <v>-73.894876</v>
      </c>
      <c r="AD3991" t="s">
        <v>10839</v>
      </c>
      <c r="AF3991" t="s">
        <v>10843</v>
      </c>
      <c r="AG3991" t="s">
        <v>10859</v>
      </c>
      <c r="AH3991" t="s">
        <v>10862</v>
      </c>
      <c r="AI3991">
        <v>230</v>
      </c>
      <c r="AJ3991" t="s">
        <v>10210</v>
      </c>
      <c r="AL3991">
        <v>2.5</v>
      </c>
      <c r="AM3991" t="s">
        <v>10887</v>
      </c>
      <c r="AN3991" t="s">
        <v>10907</v>
      </c>
      <c r="AO3991" t="s">
        <v>11000</v>
      </c>
      <c r="AP3991" t="s">
        <v>11045</v>
      </c>
      <c r="AR3991" t="s">
        <v>11279</v>
      </c>
      <c r="AS3991" t="s">
        <v>9926</v>
      </c>
      <c r="AT3991" t="s">
        <v>11641</v>
      </c>
      <c r="AX3991" t="s">
        <v>10838</v>
      </c>
      <c r="BA3991" t="s">
        <v>11738</v>
      </c>
      <c r="BB3991">
        <v>0</v>
      </c>
      <c r="BC3991">
        <v>0</v>
      </c>
      <c r="BD3991">
        <v>0</v>
      </c>
      <c r="BE3991">
        <v>0</v>
      </c>
      <c r="BF3991">
        <v>5</v>
      </c>
      <c r="BG3991">
        <v>0</v>
      </c>
    </row>
    <row r="3992" spans="1:59">
      <c r="A3992" s="1">
        <f>HYPERLINK("https://lsnyc.legalserver.org/matter/dynamic-profile/view/1908127","19-1908127")</f>
        <v>0</v>
      </c>
      <c r="B3992" t="s">
        <v>3164</v>
      </c>
      <c r="C3992" t="s">
        <v>8082</v>
      </c>
      <c r="D3992" t="s">
        <v>9949</v>
      </c>
      <c r="E3992" t="s">
        <v>10075</v>
      </c>
      <c r="F3992">
        <v>11413</v>
      </c>
      <c r="G3992" t="s">
        <v>10092</v>
      </c>
      <c r="H3992" t="s">
        <v>10145</v>
      </c>
      <c r="I3992" t="s">
        <v>10168</v>
      </c>
      <c r="J3992" t="s">
        <v>10212</v>
      </c>
      <c r="K3992" t="s">
        <v>10217</v>
      </c>
      <c r="M3992" t="s">
        <v>10294</v>
      </c>
      <c r="N3992" t="s">
        <v>10678</v>
      </c>
      <c r="P3992" t="s">
        <v>10749</v>
      </c>
      <c r="Q3992" t="s">
        <v>10769</v>
      </c>
      <c r="R3992" t="s">
        <v>10825</v>
      </c>
      <c r="T3992">
        <v>66000</v>
      </c>
      <c r="U3992">
        <v>5500</v>
      </c>
      <c r="V3992">
        <v>59</v>
      </c>
      <c r="W3992">
        <v>3</v>
      </c>
      <c r="X3992">
        <v>0</v>
      </c>
      <c r="Z3992">
        <v>309.42</v>
      </c>
      <c r="AA3992">
        <v>40.659657</v>
      </c>
      <c r="AB3992">
        <v>-73.75144</v>
      </c>
      <c r="AC3992" t="s">
        <v>10837</v>
      </c>
      <c r="AD3992" t="s">
        <v>10840</v>
      </c>
      <c r="AG3992" t="s">
        <v>10858</v>
      </c>
      <c r="AH3992" t="s">
        <v>10861</v>
      </c>
      <c r="AI3992">
        <v>234</v>
      </c>
      <c r="AJ3992" t="s">
        <v>10214</v>
      </c>
      <c r="AL3992">
        <v>1.3</v>
      </c>
      <c r="AM3992" t="s">
        <v>10892</v>
      </c>
      <c r="AN3992" t="s">
        <v>10930</v>
      </c>
      <c r="AO3992" t="s">
        <v>11017</v>
      </c>
      <c r="AP3992" t="s">
        <v>11082</v>
      </c>
      <c r="AQ3992" t="s">
        <v>11199</v>
      </c>
      <c r="AR3992" t="s">
        <v>11530</v>
      </c>
      <c r="AS3992" t="s">
        <v>11594</v>
      </c>
      <c r="AT3992" t="s">
        <v>11642</v>
      </c>
      <c r="AX3992" t="s">
        <v>10838</v>
      </c>
      <c r="BA3992" t="s">
        <v>11742</v>
      </c>
      <c r="BB3992">
        <v>0</v>
      </c>
      <c r="BC3992">
        <v>0</v>
      </c>
      <c r="BD3992">
        <v>0</v>
      </c>
      <c r="BE3992">
        <v>0</v>
      </c>
      <c r="BF3992">
        <v>7</v>
      </c>
      <c r="BG3992">
        <v>0</v>
      </c>
    </row>
    <row r="3993" spans="1:59">
      <c r="A3993" s="1">
        <f>HYPERLINK("https://lsnyc.legalserver.org/matter/dynamic-profile/view/1908128","19-1908128")</f>
        <v>0</v>
      </c>
      <c r="B3993" t="s">
        <v>3292</v>
      </c>
      <c r="C3993" t="s">
        <v>8083</v>
      </c>
      <c r="D3993" t="s">
        <v>9926</v>
      </c>
      <c r="E3993" t="s">
        <v>10075</v>
      </c>
      <c r="F3993">
        <v>10462</v>
      </c>
      <c r="G3993" t="s">
        <v>10090</v>
      </c>
      <c r="H3993" t="s">
        <v>10145</v>
      </c>
      <c r="I3993" t="s">
        <v>10168</v>
      </c>
      <c r="J3993" t="s">
        <v>10210</v>
      </c>
      <c r="K3993" t="s">
        <v>10218</v>
      </c>
      <c r="L3993" t="s">
        <v>10145</v>
      </c>
      <c r="M3993" t="s">
        <v>10524</v>
      </c>
      <c r="N3993" t="s">
        <v>10671</v>
      </c>
      <c r="P3993" t="s">
        <v>10749</v>
      </c>
      <c r="Q3993" t="s">
        <v>10765</v>
      </c>
      <c r="R3993" t="s">
        <v>10824</v>
      </c>
      <c r="T3993">
        <v>19200</v>
      </c>
      <c r="U3993">
        <v>1600</v>
      </c>
      <c r="V3993">
        <v>73</v>
      </c>
      <c r="W3993">
        <v>3</v>
      </c>
      <c r="X3993">
        <v>0</v>
      </c>
      <c r="Y3993" t="s">
        <v>10829</v>
      </c>
      <c r="Z3993">
        <v>90.01000000000001</v>
      </c>
      <c r="AA3993">
        <v>40.852704</v>
      </c>
      <c r="AB3993">
        <v>-73.865369</v>
      </c>
      <c r="AC3993" t="s">
        <v>10837</v>
      </c>
      <c r="AD3993" t="s">
        <v>10839</v>
      </c>
      <c r="AG3993" t="s">
        <v>10858</v>
      </c>
      <c r="AH3993" t="s">
        <v>10861</v>
      </c>
      <c r="AI3993">
        <v>234</v>
      </c>
      <c r="AJ3993" t="s">
        <v>10214</v>
      </c>
      <c r="AK3993" t="s">
        <v>10838</v>
      </c>
      <c r="AL3993">
        <v>1.3</v>
      </c>
      <c r="AM3993" t="s">
        <v>10885</v>
      </c>
      <c r="AN3993" t="s">
        <v>10938</v>
      </c>
      <c r="AO3993" t="s">
        <v>11002</v>
      </c>
      <c r="AP3993" t="s">
        <v>11049</v>
      </c>
      <c r="AR3993" t="s">
        <v>11346</v>
      </c>
      <c r="AS3993" t="s">
        <v>9926</v>
      </c>
      <c r="AT3993" t="s">
        <v>11641</v>
      </c>
      <c r="AX3993" t="s">
        <v>10838</v>
      </c>
      <c r="AY3993" t="s">
        <v>10829</v>
      </c>
      <c r="AZ3993" t="s">
        <v>11681</v>
      </c>
      <c r="BA3993" t="s">
        <v>11741</v>
      </c>
      <c r="BB3993">
        <v>0</v>
      </c>
      <c r="BC3993">
        <v>0</v>
      </c>
      <c r="BD3993">
        <v>0</v>
      </c>
      <c r="BE3993">
        <v>0</v>
      </c>
      <c r="BF3993">
        <v>1</v>
      </c>
      <c r="BG3993">
        <v>0</v>
      </c>
    </row>
    <row r="3994" spans="1:59">
      <c r="A3994" s="1">
        <f>HYPERLINK("https://lsnyc.legalserver.org/matter/dynamic-profile/view/1908129","19-1908129")</f>
        <v>0</v>
      </c>
      <c r="B3994" t="s">
        <v>1415</v>
      </c>
      <c r="C3994" t="s">
        <v>8084</v>
      </c>
      <c r="D3994" t="s">
        <v>9926</v>
      </c>
      <c r="E3994" t="s">
        <v>10075</v>
      </c>
      <c r="F3994">
        <v>10453</v>
      </c>
      <c r="G3994" t="s">
        <v>10090</v>
      </c>
      <c r="H3994" t="s">
        <v>10145</v>
      </c>
      <c r="I3994" t="s">
        <v>10169</v>
      </c>
      <c r="J3994" t="s">
        <v>10210</v>
      </c>
      <c r="K3994" t="s">
        <v>10217</v>
      </c>
      <c r="M3994" t="s">
        <v>10250</v>
      </c>
      <c r="N3994" t="s">
        <v>10650</v>
      </c>
      <c r="P3994" t="s">
        <v>10749</v>
      </c>
      <c r="Q3994" t="s">
        <v>10765</v>
      </c>
      <c r="R3994" t="s">
        <v>10821</v>
      </c>
      <c r="T3994">
        <v>9348</v>
      </c>
      <c r="U3994">
        <v>779</v>
      </c>
      <c r="V3994">
        <v>77</v>
      </c>
      <c r="W3994">
        <v>5</v>
      </c>
      <c r="X3994">
        <v>0</v>
      </c>
      <c r="Z3994">
        <v>30.98</v>
      </c>
      <c r="AA3994">
        <v>40.854606</v>
      </c>
      <c r="AB3994">
        <v>-73.90347300000001</v>
      </c>
      <c r="AD3994" t="s">
        <v>10839</v>
      </c>
      <c r="AG3994" t="s">
        <v>10858</v>
      </c>
      <c r="AH3994" t="s">
        <v>10862</v>
      </c>
      <c r="AI3994">
        <v>230</v>
      </c>
      <c r="AJ3994" t="s">
        <v>10210</v>
      </c>
      <c r="AL3994">
        <v>0.2</v>
      </c>
      <c r="AM3994" t="s">
        <v>10884</v>
      </c>
      <c r="AN3994" t="s">
        <v>10931</v>
      </c>
      <c r="AO3994" t="s">
        <v>11000</v>
      </c>
      <c r="AP3994" t="s">
        <v>11045</v>
      </c>
      <c r="AR3994" t="s">
        <v>11263</v>
      </c>
      <c r="AS3994" t="s">
        <v>9926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</row>
    <row r="3995" spans="1:59">
      <c r="A3995" s="1">
        <f>HYPERLINK("https://lsnyc.legalserver.org/matter/dynamic-profile/view/1908130","19-1908130")</f>
        <v>0</v>
      </c>
      <c r="B3995" t="s">
        <v>3293</v>
      </c>
      <c r="C3995" t="s">
        <v>6937</v>
      </c>
      <c r="D3995" t="s">
        <v>9926</v>
      </c>
      <c r="E3995" t="s">
        <v>10075</v>
      </c>
      <c r="F3995">
        <v>10453</v>
      </c>
      <c r="G3995" t="s">
        <v>10090</v>
      </c>
      <c r="H3995" t="s">
        <v>10145</v>
      </c>
      <c r="I3995" t="s">
        <v>10168</v>
      </c>
      <c r="J3995" t="s">
        <v>10210</v>
      </c>
      <c r="K3995" t="s">
        <v>10217</v>
      </c>
      <c r="M3995" t="s">
        <v>10272</v>
      </c>
      <c r="N3995" t="s">
        <v>10671</v>
      </c>
      <c r="O3995" t="s">
        <v>10650</v>
      </c>
      <c r="P3995" t="s">
        <v>10749</v>
      </c>
      <c r="Q3995" t="s">
        <v>10765</v>
      </c>
      <c r="R3995" t="s">
        <v>10821</v>
      </c>
      <c r="T3995">
        <v>12036</v>
      </c>
      <c r="U3995">
        <v>1003</v>
      </c>
      <c r="V3995">
        <v>40</v>
      </c>
      <c r="W3995">
        <v>2</v>
      </c>
      <c r="X3995">
        <v>3</v>
      </c>
      <c r="Z3995">
        <v>39.89</v>
      </c>
      <c r="AA3995">
        <v>40.852195</v>
      </c>
      <c r="AB3995">
        <v>-73.922752</v>
      </c>
      <c r="AD3995" t="s">
        <v>10839</v>
      </c>
      <c r="AG3995" t="s">
        <v>10858</v>
      </c>
      <c r="AH3995" t="s">
        <v>10861</v>
      </c>
      <c r="AI3995">
        <v>234</v>
      </c>
      <c r="AJ3995" t="s">
        <v>10214</v>
      </c>
      <c r="AL3995">
        <v>1</v>
      </c>
      <c r="AM3995" t="s">
        <v>10887</v>
      </c>
      <c r="AN3995" t="s">
        <v>10929</v>
      </c>
      <c r="AO3995" t="s">
        <v>11013</v>
      </c>
      <c r="AP3995" t="s">
        <v>11055</v>
      </c>
      <c r="AR3995" t="s">
        <v>11353</v>
      </c>
      <c r="AS3995" t="s">
        <v>9926</v>
      </c>
      <c r="AT3995" t="s">
        <v>11641</v>
      </c>
      <c r="AX3995" t="s">
        <v>10838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</row>
    <row r="3996" spans="1:59">
      <c r="A3996" s="1">
        <f>HYPERLINK("https://lsnyc.legalserver.org/matter/dynamic-profile/view/1908132","19-1908132")</f>
        <v>0</v>
      </c>
      <c r="B3996" t="s">
        <v>3290</v>
      </c>
      <c r="C3996" t="s">
        <v>8078</v>
      </c>
      <c r="D3996" t="s">
        <v>9926</v>
      </c>
      <c r="E3996" t="s">
        <v>10075</v>
      </c>
      <c r="F3996">
        <v>10457</v>
      </c>
      <c r="G3996" t="s">
        <v>10090</v>
      </c>
      <c r="H3996" t="s">
        <v>10145</v>
      </c>
      <c r="I3996" t="s">
        <v>10168</v>
      </c>
      <c r="J3996" t="s">
        <v>10210</v>
      </c>
      <c r="K3996" t="s">
        <v>10217</v>
      </c>
      <c r="M3996" t="s">
        <v>10418</v>
      </c>
      <c r="N3996" t="s">
        <v>10671</v>
      </c>
      <c r="P3996" t="s">
        <v>10751</v>
      </c>
      <c r="Q3996" t="s">
        <v>10761</v>
      </c>
      <c r="R3996" t="s">
        <v>10824</v>
      </c>
      <c r="T3996">
        <v>3720</v>
      </c>
      <c r="U3996">
        <v>310</v>
      </c>
      <c r="V3996">
        <v>45</v>
      </c>
      <c r="W3996">
        <v>2</v>
      </c>
      <c r="X3996">
        <v>2</v>
      </c>
      <c r="Z3996">
        <v>14.45</v>
      </c>
      <c r="AA3996">
        <v>40.8493</v>
      </c>
      <c r="AB3996">
        <v>-73.903368</v>
      </c>
      <c r="AD3996" t="s">
        <v>10839</v>
      </c>
      <c r="AG3996" t="s">
        <v>10858</v>
      </c>
      <c r="AH3996" t="s">
        <v>10862</v>
      </c>
      <c r="AI3996">
        <v>230</v>
      </c>
      <c r="AJ3996" t="s">
        <v>10210</v>
      </c>
      <c r="AL3996">
        <v>0</v>
      </c>
      <c r="AR3996" t="s">
        <v>11382</v>
      </c>
      <c r="AS3996" t="s">
        <v>9926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</row>
    <row r="3997" spans="1:59">
      <c r="A3997" s="1">
        <f>HYPERLINK("https://lsnyc.legalserver.org/matter/dynamic-profile/view/1908133","19-1908133")</f>
        <v>0</v>
      </c>
      <c r="B3997" t="s">
        <v>3294</v>
      </c>
      <c r="C3997" t="s">
        <v>8085</v>
      </c>
      <c r="D3997" t="s">
        <v>9926</v>
      </c>
      <c r="E3997" t="s">
        <v>10075</v>
      </c>
      <c r="F3997">
        <v>10475</v>
      </c>
      <c r="G3997" t="s">
        <v>10090</v>
      </c>
      <c r="H3997" t="s">
        <v>10145</v>
      </c>
      <c r="I3997" t="s">
        <v>10168</v>
      </c>
      <c r="J3997" t="s">
        <v>10210</v>
      </c>
      <c r="K3997" t="s">
        <v>10218</v>
      </c>
      <c r="L3997" t="s">
        <v>10100</v>
      </c>
      <c r="M3997" t="s">
        <v>10586</v>
      </c>
      <c r="N3997" t="s">
        <v>10690</v>
      </c>
      <c r="P3997" t="s">
        <v>10751</v>
      </c>
      <c r="Q3997" t="s">
        <v>10768</v>
      </c>
      <c r="R3997" t="s">
        <v>10821</v>
      </c>
      <c r="T3997">
        <v>36684</v>
      </c>
      <c r="U3997">
        <v>3057</v>
      </c>
      <c r="V3997">
        <v>57</v>
      </c>
      <c r="W3997">
        <v>1</v>
      </c>
      <c r="X3997">
        <v>0</v>
      </c>
      <c r="Y3997" t="s">
        <v>10829</v>
      </c>
      <c r="Z3997">
        <v>293.71</v>
      </c>
      <c r="AA3997">
        <v>40.863417</v>
      </c>
      <c r="AB3997">
        <v>-73.82374799999999</v>
      </c>
      <c r="AC3997" t="s">
        <v>10837</v>
      </c>
      <c r="AD3997" t="s">
        <v>10840</v>
      </c>
      <c r="AG3997" t="s">
        <v>10858</v>
      </c>
      <c r="AH3997" t="s">
        <v>10861</v>
      </c>
      <c r="AI3997">
        <v>234</v>
      </c>
      <c r="AJ3997" t="s">
        <v>10214</v>
      </c>
      <c r="AK3997" t="s">
        <v>10882</v>
      </c>
      <c r="AL3997">
        <v>1.6</v>
      </c>
      <c r="AM3997" t="s">
        <v>10893</v>
      </c>
      <c r="AN3997" t="s">
        <v>10911</v>
      </c>
      <c r="AO3997" t="s">
        <v>11010</v>
      </c>
      <c r="AP3997" t="s">
        <v>11085</v>
      </c>
      <c r="AR3997" t="s">
        <v>11303</v>
      </c>
      <c r="AS3997" t="s">
        <v>9926</v>
      </c>
      <c r="AT3997" t="s">
        <v>11642</v>
      </c>
      <c r="AX3997" t="s">
        <v>10838</v>
      </c>
      <c r="AY3997" t="s">
        <v>10829</v>
      </c>
      <c r="AZ3997" t="s">
        <v>11682</v>
      </c>
      <c r="BA3997" t="s">
        <v>11741</v>
      </c>
      <c r="BB3997">
        <v>0</v>
      </c>
      <c r="BC3997">
        <v>0</v>
      </c>
      <c r="BD3997">
        <v>0</v>
      </c>
      <c r="BE3997">
        <v>0</v>
      </c>
      <c r="BF3997">
        <v>1</v>
      </c>
      <c r="BG3997">
        <v>0</v>
      </c>
    </row>
    <row r="3998" spans="1:59">
      <c r="A3998" s="1">
        <f>HYPERLINK("https://lsnyc.legalserver.org/matter/dynamic-profile/view/1908134","19-1908134")</f>
        <v>0</v>
      </c>
      <c r="B3998" t="s">
        <v>3295</v>
      </c>
      <c r="C3998" t="s">
        <v>8086</v>
      </c>
      <c r="D3998" t="s">
        <v>9925</v>
      </c>
      <c r="E3998" t="s">
        <v>10075</v>
      </c>
      <c r="F3998">
        <v>10034</v>
      </c>
      <c r="G3998" t="s">
        <v>10089</v>
      </c>
      <c r="H3998" t="s">
        <v>10145</v>
      </c>
      <c r="I3998" t="s">
        <v>10168</v>
      </c>
      <c r="J3998" t="s">
        <v>10209</v>
      </c>
      <c r="K3998" t="s">
        <v>10217</v>
      </c>
      <c r="M3998" t="s">
        <v>10490</v>
      </c>
      <c r="N3998" t="s">
        <v>10718</v>
      </c>
      <c r="P3998" t="s">
        <v>10750</v>
      </c>
      <c r="Q3998" t="s">
        <v>10760</v>
      </c>
      <c r="R3998" t="s">
        <v>10824</v>
      </c>
      <c r="T3998">
        <v>48000</v>
      </c>
      <c r="U3998">
        <v>4000</v>
      </c>
      <c r="V3998">
        <v>27</v>
      </c>
      <c r="W3998">
        <v>1</v>
      </c>
      <c r="X3998">
        <v>0</v>
      </c>
      <c r="Z3998">
        <v>384.31</v>
      </c>
      <c r="AA3998">
        <v>40.86711</v>
      </c>
      <c r="AB3998">
        <v>-73.923428</v>
      </c>
      <c r="AD3998" t="s">
        <v>10840</v>
      </c>
      <c r="AG3998" t="s">
        <v>10858</v>
      </c>
      <c r="AH3998" t="s">
        <v>10861</v>
      </c>
      <c r="AI3998">
        <v>234</v>
      </c>
      <c r="AJ3998" t="s">
        <v>10214</v>
      </c>
      <c r="AL3998">
        <v>2.25</v>
      </c>
      <c r="AM3998" t="s">
        <v>10887</v>
      </c>
      <c r="AN3998" t="s">
        <v>10937</v>
      </c>
      <c r="AO3998" t="s">
        <v>11019</v>
      </c>
      <c r="AP3998" t="s">
        <v>11074</v>
      </c>
      <c r="AR3998" t="s">
        <v>11276</v>
      </c>
      <c r="AS3998" t="s">
        <v>9925</v>
      </c>
      <c r="AT3998" t="s">
        <v>11641</v>
      </c>
      <c r="AX3998" t="s">
        <v>10837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</row>
    <row r="3999" spans="1:59">
      <c r="A3999" s="1">
        <f>HYPERLINK("https://lsnyc.legalserver.org/matter/dynamic-profile/view/1908135","19-1908135")</f>
        <v>0</v>
      </c>
      <c r="B3999" t="s">
        <v>3296</v>
      </c>
      <c r="C3999" t="s">
        <v>8087</v>
      </c>
      <c r="D3999" t="s">
        <v>9928</v>
      </c>
      <c r="E3999" t="s">
        <v>10075</v>
      </c>
      <c r="F3999">
        <v>11230</v>
      </c>
      <c r="G3999" t="s">
        <v>10093</v>
      </c>
      <c r="H3999" t="s">
        <v>10145</v>
      </c>
      <c r="J3999" t="s">
        <v>10213</v>
      </c>
      <c r="K3999" t="s">
        <v>10217</v>
      </c>
      <c r="M3999" t="s">
        <v>10289</v>
      </c>
      <c r="N3999" t="s">
        <v>10698</v>
      </c>
      <c r="P3999" t="s">
        <v>10751</v>
      </c>
      <c r="Q3999" t="s">
        <v>10761</v>
      </c>
      <c r="R3999" t="s">
        <v>10824</v>
      </c>
      <c r="T3999">
        <v>10536</v>
      </c>
      <c r="U3999">
        <v>878</v>
      </c>
      <c r="V3999">
        <v>56</v>
      </c>
      <c r="W3999">
        <v>1</v>
      </c>
      <c r="X3999">
        <v>0</v>
      </c>
      <c r="Z3999">
        <v>84.36</v>
      </c>
      <c r="AA3999">
        <v>40.625202</v>
      </c>
      <c r="AB3999">
        <v>-73.956733</v>
      </c>
      <c r="AD3999" t="s">
        <v>10839</v>
      </c>
      <c r="AG3999" t="s">
        <v>10858</v>
      </c>
      <c r="AH3999" t="s">
        <v>10868</v>
      </c>
      <c r="AI3999">
        <v>239</v>
      </c>
      <c r="AJ3999" t="s">
        <v>10213</v>
      </c>
      <c r="AL3999">
        <v>7</v>
      </c>
      <c r="AM3999" t="s">
        <v>10888</v>
      </c>
      <c r="AN3999" t="s">
        <v>10947</v>
      </c>
      <c r="AO3999" t="s">
        <v>11015</v>
      </c>
      <c r="AP3999" t="s">
        <v>11065</v>
      </c>
      <c r="AR3999" t="s">
        <v>11331</v>
      </c>
      <c r="AS3999" t="s">
        <v>11595</v>
      </c>
      <c r="AT3999" t="s">
        <v>11641</v>
      </c>
      <c r="AX3999" t="s">
        <v>10838</v>
      </c>
      <c r="BA3999" t="s">
        <v>11742</v>
      </c>
      <c r="BB3999">
        <v>0</v>
      </c>
      <c r="BC3999">
        <v>0</v>
      </c>
      <c r="BD3999">
        <v>0</v>
      </c>
      <c r="BE3999">
        <v>0</v>
      </c>
      <c r="BF3999">
        <v>7</v>
      </c>
      <c r="BG3999">
        <v>0</v>
      </c>
    </row>
    <row r="4000" spans="1:59">
      <c r="A4000" s="1">
        <f>HYPERLINK("https://lsnyc.legalserver.org/matter/dynamic-profile/view/1908136","19-1908136")</f>
        <v>0</v>
      </c>
      <c r="B4000" t="s">
        <v>3297</v>
      </c>
      <c r="C4000" t="s">
        <v>5250</v>
      </c>
      <c r="D4000" t="s">
        <v>9926</v>
      </c>
      <c r="E4000" t="s">
        <v>10075</v>
      </c>
      <c r="F4000">
        <v>10467</v>
      </c>
      <c r="G4000" t="s">
        <v>10090</v>
      </c>
      <c r="H4000" t="s">
        <v>10145</v>
      </c>
      <c r="I4000" t="s">
        <v>10168</v>
      </c>
      <c r="J4000" t="s">
        <v>10215</v>
      </c>
      <c r="K4000" t="s">
        <v>10217</v>
      </c>
      <c r="M4000" t="s">
        <v>10306</v>
      </c>
      <c r="N4000" t="s">
        <v>10651</v>
      </c>
      <c r="P4000" t="s">
        <v>10749</v>
      </c>
      <c r="Q4000" t="s">
        <v>10767</v>
      </c>
      <c r="R4000" t="s">
        <v>10823</v>
      </c>
      <c r="T4000">
        <v>6240</v>
      </c>
      <c r="U4000">
        <v>520</v>
      </c>
      <c r="V4000">
        <v>28</v>
      </c>
      <c r="W4000">
        <v>1</v>
      </c>
      <c r="X4000">
        <v>1</v>
      </c>
      <c r="Z4000">
        <v>36.9</v>
      </c>
      <c r="AA4000">
        <v>40.87541</v>
      </c>
      <c r="AB4000">
        <v>-73.865426</v>
      </c>
      <c r="AD4000" t="s">
        <v>10839</v>
      </c>
      <c r="AG4000" t="s">
        <v>10858</v>
      </c>
      <c r="AH4000" t="s">
        <v>10862</v>
      </c>
      <c r="AI4000">
        <v>231</v>
      </c>
      <c r="AJ4000" t="s">
        <v>10215</v>
      </c>
      <c r="AL4000">
        <v>5.75</v>
      </c>
      <c r="AM4000" t="s">
        <v>10893</v>
      </c>
      <c r="AN4000" t="s">
        <v>10956</v>
      </c>
      <c r="AO4000" t="s">
        <v>11010</v>
      </c>
      <c r="AP4000" t="s">
        <v>11085</v>
      </c>
      <c r="AR4000" t="s">
        <v>11257</v>
      </c>
      <c r="AS4000" t="s">
        <v>9926</v>
      </c>
      <c r="AT4000" t="s">
        <v>11641</v>
      </c>
      <c r="AW4000" t="s">
        <v>11645</v>
      </c>
      <c r="BA4000" t="s">
        <v>11738</v>
      </c>
      <c r="BB4000">
        <v>0</v>
      </c>
      <c r="BC4000">
        <v>0</v>
      </c>
      <c r="BD4000">
        <v>0</v>
      </c>
      <c r="BE4000">
        <v>0</v>
      </c>
      <c r="BF4000">
        <v>5</v>
      </c>
      <c r="BG4000">
        <v>0</v>
      </c>
    </row>
    <row r="4001" spans="1:59">
      <c r="A4001" s="1">
        <f>HYPERLINK("https://lsnyc.legalserver.org/matter/dynamic-profile/view/1908137","19-1908137")</f>
        <v>0</v>
      </c>
      <c r="B4001" t="s">
        <v>3298</v>
      </c>
      <c r="C4001" t="s">
        <v>8088</v>
      </c>
      <c r="D4001" t="s">
        <v>9928</v>
      </c>
      <c r="E4001" t="s">
        <v>10075</v>
      </c>
      <c r="F4001">
        <v>11208</v>
      </c>
      <c r="G4001" t="s">
        <v>10093</v>
      </c>
      <c r="H4001" t="s">
        <v>10145</v>
      </c>
      <c r="I4001" t="s">
        <v>10169</v>
      </c>
      <c r="J4001" t="s">
        <v>10213</v>
      </c>
      <c r="K4001" t="s">
        <v>10217</v>
      </c>
      <c r="M4001" t="s">
        <v>10280</v>
      </c>
      <c r="N4001" t="s">
        <v>10656</v>
      </c>
      <c r="P4001" t="s">
        <v>10751</v>
      </c>
      <c r="Q4001" t="s">
        <v>10780</v>
      </c>
      <c r="R4001" t="s">
        <v>10821</v>
      </c>
      <c r="T4001">
        <v>9000</v>
      </c>
      <c r="U4001">
        <v>750</v>
      </c>
      <c r="V4001">
        <v>52</v>
      </c>
      <c r="W4001">
        <v>2</v>
      </c>
      <c r="X4001">
        <v>0</v>
      </c>
      <c r="Z4001">
        <v>53.22</v>
      </c>
      <c r="AA4001">
        <v>40.672192</v>
      </c>
      <c r="AB4001">
        <v>-73.874044</v>
      </c>
      <c r="AD4001" t="s">
        <v>10839</v>
      </c>
      <c r="AG4001" t="s">
        <v>10858</v>
      </c>
      <c r="AH4001" t="s">
        <v>10861</v>
      </c>
      <c r="AI4001">
        <v>234</v>
      </c>
      <c r="AJ4001" t="s">
        <v>10214</v>
      </c>
      <c r="AL4001">
        <v>3.25</v>
      </c>
      <c r="AM4001" t="s">
        <v>10889</v>
      </c>
      <c r="AN4001" t="s">
        <v>10946</v>
      </c>
      <c r="AO4001" t="s">
        <v>11011</v>
      </c>
      <c r="AP4001" t="s">
        <v>11060</v>
      </c>
      <c r="AR4001" t="s">
        <v>11274</v>
      </c>
      <c r="AS4001" t="s">
        <v>11595</v>
      </c>
      <c r="AT4001" t="s">
        <v>11641</v>
      </c>
      <c r="AX4001" t="s">
        <v>10838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</row>
    <row r="4002" spans="1:59">
      <c r="A4002" s="1">
        <f>HYPERLINK("https://lsnyc.legalserver.org/matter/dynamic-profile/view/1908138","19-1908138")</f>
        <v>0</v>
      </c>
      <c r="B4002" t="s">
        <v>3299</v>
      </c>
      <c r="C4002" t="s">
        <v>8089</v>
      </c>
      <c r="D4002" t="s">
        <v>9928</v>
      </c>
      <c r="E4002" t="s">
        <v>10075</v>
      </c>
      <c r="F4002">
        <v>11210</v>
      </c>
      <c r="G4002" t="s">
        <v>10093</v>
      </c>
      <c r="H4002" t="s">
        <v>10145</v>
      </c>
      <c r="I4002" t="s">
        <v>10168</v>
      </c>
      <c r="J4002" t="s">
        <v>10213</v>
      </c>
      <c r="K4002" t="s">
        <v>10218</v>
      </c>
      <c r="L4002" t="s">
        <v>10151</v>
      </c>
      <c r="M4002" t="s">
        <v>10435</v>
      </c>
      <c r="N4002" t="s">
        <v>10665</v>
      </c>
      <c r="P4002" t="s">
        <v>10750</v>
      </c>
      <c r="Q4002" t="s">
        <v>10779</v>
      </c>
      <c r="R4002" t="s">
        <v>10825</v>
      </c>
      <c r="T4002">
        <v>3744</v>
      </c>
      <c r="U4002">
        <v>312</v>
      </c>
      <c r="V4002">
        <v>36</v>
      </c>
      <c r="W4002">
        <v>1</v>
      </c>
      <c r="X4002">
        <v>0</v>
      </c>
      <c r="Y4002" t="s">
        <v>10829</v>
      </c>
      <c r="Z4002">
        <v>29.98</v>
      </c>
      <c r="AA4002">
        <v>40.638697</v>
      </c>
      <c r="AB4002">
        <v>-73.94285499999999</v>
      </c>
      <c r="AD4002" t="s">
        <v>10840</v>
      </c>
      <c r="AG4002" t="s">
        <v>10858</v>
      </c>
      <c r="AH4002" t="s">
        <v>10861</v>
      </c>
      <c r="AI4002">
        <v>234</v>
      </c>
      <c r="AJ4002" t="s">
        <v>10214</v>
      </c>
      <c r="AK4002" t="s">
        <v>10838</v>
      </c>
      <c r="AL4002">
        <v>1.1</v>
      </c>
      <c r="AM4002" t="s">
        <v>10888</v>
      </c>
      <c r="AN4002" t="s">
        <v>10925</v>
      </c>
      <c r="AO4002" t="s">
        <v>11008</v>
      </c>
      <c r="AP4002" t="s">
        <v>11065</v>
      </c>
      <c r="AQ4002" t="s">
        <v>11095</v>
      </c>
      <c r="AR4002" t="s">
        <v>11255</v>
      </c>
      <c r="AS4002" t="s">
        <v>11595</v>
      </c>
      <c r="AT4002" t="s">
        <v>11642</v>
      </c>
      <c r="AX4002" t="s">
        <v>10838</v>
      </c>
      <c r="AY4002" t="s">
        <v>10829</v>
      </c>
      <c r="AZ4002" t="s">
        <v>11679</v>
      </c>
      <c r="BA4002" t="s">
        <v>11741</v>
      </c>
      <c r="BB4002">
        <v>0</v>
      </c>
      <c r="BC4002">
        <v>0</v>
      </c>
      <c r="BD4002">
        <v>0</v>
      </c>
      <c r="BE4002">
        <v>0</v>
      </c>
      <c r="BF4002">
        <v>1</v>
      </c>
      <c r="BG4002">
        <v>0</v>
      </c>
    </row>
    <row r="4003" spans="1:59">
      <c r="A4003" s="1">
        <f>HYPERLINK("https://lsnyc.legalserver.org/matter/dynamic-profile/view/1908139","19-1908139")</f>
        <v>0</v>
      </c>
      <c r="B4003" t="s">
        <v>3300</v>
      </c>
      <c r="C4003" t="s">
        <v>8090</v>
      </c>
      <c r="D4003" t="s">
        <v>9982</v>
      </c>
      <c r="E4003" t="s">
        <v>10075</v>
      </c>
      <c r="F4003">
        <v>11375</v>
      </c>
      <c r="G4003" t="s">
        <v>10091</v>
      </c>
      <c r="H4003" t="s">
        <v>10145</v>
      </c>
      <c r="I4003" t="s">
        <v>10171</v>
      </c>
      <c r="J4003" t="s">
        <v>10214</v>
      </c>
      <c r="K4003" t="s">
        <v>10217</v>
      </c>
      <c r="M4003" t="s">
        <v>10537</v>
      </c>
      <c r="N4003" t="s">
        <v>10673</v>
      </c>
      <c r="P4003" t="s">
        <v>10753</v>
      </c>
      <c r="Q4003" t="s">
        <v>10763</v>
      </c>
      <c r="R4003" t="s">
        <v>10827</v>
      </c>
      <c r="T4003">
        <v>0</v>
      </c>
      <c r="U4003">
        <v>0</v>
      </c>
      <c r="V4003">
        <v>26</v>
      </c>
      <c r="W4003">
        <v>2</v>
      </c>
      <c r="X4003">
        <v>0</v>
      </c>
      <c r="Z4003">
        <v>0</v>
      </c>
      <c r="AA4003">
        <v>40.723388</v>
      </c>
      <c r="AB4003">
        <v>-73.85419400000001</v>
      </c>
      <c r="AD4003" t="s">
        <v>10839</v>
      </c>
      <c r="AF4003" t="s">
        <v>10842</v>
      </c>
      <c r="AG4003" t="s">
        <v>10859</v>
      </c>
      <c r="AH4003" t="s">
        <v>10861</v>
      </c>
      <c r="AI4003">
        <v>234</v>
      </c>
      <c r="AJ4003" t="s">
        <v>10214</v>
      </c>
      <c r="AL4003">
        <v>2.45</v>
      </c>
      <c r="AM4003" t="s">
        <v>10890</v>
      </c>
      <c r="AN4003" t="s">
        <v>10952</v>
      </c>
      <c r="AO4003" t="s">
        <v>11009</v>
      </c>
      <c r="AP4003" t="s">
        <v>11083</v>
      </c>
      <c r="AR4003" t="s">
        <v>11267</v>
      </c>
      <c r="AS4003" t="s">
        <v>11594</v>
      </c>
      <c r="AT4003" t="s">
        <v>11641</v>
      </c>
      <c r="AX4003" t="s">
        <v>10837</v>
      </c>
      <c r="BA4003" t="s">
        <v>11742</v>
      </c>
      <c r="BB4003">
        <v>0</v>
      </c>
      <c r="BC4003">
        <v>0</v>
      </c>
      <c r="BD4003">
        <v>0</v>
      </c>
      <c r="BE4003">
        <v>0</v>
      </c>
      <c r="BF4003">
        <v>7</v>
      </c>
      <c r="BG4003">
        <v>0</v>
      </c>
    </row>
    <row r="4004" spans="1:59">
      <c r="A4004" s="1">
        <f>HYPERLINK("https://lsnyc.legalserver.org/matter/dynamic-profile/view/1908140","19-1908140")</f>
        <v>0</v>
      </c>
      <c r="B4004" t="s">
        <v>3301</v>
      </c>
      <c r="C4004" t="s">
        <v>8091</v>
      </c>
      <c r="D4004" t="s">
        <v>9928</v>
      </c>
      <c r="E4004" t="s">
        <v>10075</v>
      </c>
      <c r="F4004">
        <v>11206</v>
      </c>
      <c r="G4004" t="s">
        <v>10093</v>
      </c>
      <c r="H4004" t="s">
        <v>10145</v>
      </c>
      <c r="I4004" t="s">
        <v>10168</v>
      </c>
      <c r="J4004" t="s">
        <v>10213</v>
      </c>
      <c r="K4004" t="s">
        <v>10217</v>
      </c>
      <c r="M4004" t="s">
        <v>10435</v>
      </c>
      <c r="N4004" t="s">
        <v>10671</v>
      </c>
      <c r="P4004" t="s">
        <v>10750</v>
      </c>
      <c r="Q4004" t="s">
        <v>10760</v>
      </c>
      <c r="R4004" t="s">
        <v>10821</v>
      </c>
      <c r="T4004">
        <v>0</v>
      </c>
      <c r="U4004">
        <v>0</v>
      </c>
      <c r="V4004">
        <v>47</v>
      </c>
      <c r="W4004">
        <v>1</v>
      </c>
      <c r="X4004">
        <v>0</v>
      </c>
      <c r="Z4004">
        <v>0</v>
      </c>
      <c r="AA4004">
        <v>40.699376</v>
      </c>
      <c r="AB4004">
        <v>-73.9354</v>
      </c>
      <c r="AD4004" t="s">
        <v>10840</v>
      </c>
      <c r="AG4004" t="s">
        <v>10858</v>
      </c>
      <c r="AH4004" t="s">
        <v>10871</v>
      </c>
      <c r="AI4004">
        <v>234</v>
      </c>
      <c r="AJ4004" t="s">
        <v>10214</v>
      </c>
      <c r="AL4004">
        <v>2.3</v>
      </c>
      <c r="AM4004" t="s">
        <v>10886</v>
      </c>
      <c r="AN4004" t="s">
        <v>10942</v>
      </c>
      <c r="AO4004" t="s">
        <v>11011</v>
      </c>
      <c r="AP4004" t="s">
        <v>11071</v>
      </c>
      <c r="AR4004" t="s">
        <v>11267</v>
      </c>
      <c r="AS4004" t="s">
        <v>11595</v>
      </c>
      <c r="AT4004" t="s">
        <v>11642</v>
      </c>
      <c r="AX4004" t="s">
        <v>10837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</row>
    <row r="4005" spans="1:59">
      <c r="A4005" s="1">
        <f>HYPERLINK("https://lsnyc.legalserver.org/matter/dynamic-profile/view/1908141","19-1908141")</f>
        <v>0</v>
      </c>
      <c r="B4005" t="s">
        <v>832</v>
      </c>
      <c r="C4005" t="s">
        <v>5863</v>
      </c>
      <c r="D4005" t="s">
        <v>9926</v>
      </c>
      <c r="E4005" t="s">
        <v>10075</v>
      </c>
      <c r="F4005">
        <v>10467</v>
      </c>
      <c r="G4005" t="s">
        <v>10090</v>
      </c>
      <c r="H4005" t="s">
        <v>10145</v>
      </c>
      <c r="I4005" t="s">
        <v>10169</v>
      </c>
      <c r="J4005" t="s">
        <v>10210</v>
      </c>
      <c r="K4005" t="s">
        <v>10217</v>
      </c>
      <c r="M4005" t="s">
        <v>10606</v>
      </c>
      <c r="N4005" t="s">
        <v>10688</v>
      </c>
      <c r="P4005" t="s">
        <v>10751</v>
      </c>
      <c r="Q4005" t="s">
        <v>10761</v>
      </c>
      <c r="R4005" t="s">
        <v>10821</v>
      </c>
      <c r="T4005">
        <v>9252</v>
      </c>
      <c r="U4005">
        <v>771</v>
      </c>
      <c r="V4005">
        <v>55</v>
      </c>
      <c r="W4005">
        <v>2</v>
      </c>
      <c r="X4005">
        <v>0</v>
      </c>
      <c r="Z4005">
        <v>54.71</v>
      </c>
      <c r="AA4005">
        <v>40.870429</v>
      </c>
      <c r="AB4005">
        <v>-73.867497</v>
      </c>
      <c r="AD4005" t="s">
        <v>10840</v>
      </c>
      <c r="AG4005" t="s">
        <v>10858</v>
      </c>
      <c r="AH4005" t="s">
        <v>10862</v>
      </c>
      <c r="AI4005">
        <v>230</v>
      </c>
      <c r="AJ4005" t="s">
        <v>10210</v>
      </c>
      <c r="AL4005">
        <v>0</v>
      </c>
      <c r="AM4005" t="s">
        <v>10893</v>
      </c>
      <c r="AN4005" t="s">
        <v>10938</v>
      </c>
      <c r="AO4005" t="s">
        <v>11010</v>
      </c>
      <c r="AP4005" t="s">
        <v>11056</v>
      </c>
      <c r="AR4005" t="s">
        <v>11263</v>
      </c>
      <c r="AS4005" t="s">
        <v>9926</v>
      </c>
      <c r="AT4005" t="s">
        <v>11642</v>
      </c>
      <c r="AX4005" t="s">
        <v>10837</v>
      </c>
      <c r="BA4005" t="s">
        <v>11741</v>
      </c>
      <c r="BB4005">
        <v>0</v>
      </c>
      <c r="BC4005">
        <v>0</v>
      </c>
      <c r="BD4005">
        <v>0</v>
      </c>
      <c r="BE4005">
        <v>0</v>
      </c>
      <c r="BF4005">
        <v>1</v>
      </c>
      <c r="BG4005">
        <v>0</v>
      </c>
    </row>
    <row r="4006" spans="1:59">
      <c r="A4006" s="1">
        <f>HYPERLINK("https://lsnyc.legalserver.org/matter/dynamic-profile/view/1908142","19-1908142")</f>
        <v>0</v>
      </c>
      <c r="B4006" t="s">
        <v>3302</v>
      </c>
      <c r="C4006" t="s">
        <v>8092</v>
      </c>
      <c r="D4006" t="s">
        <v>9928</v>
      </c>
      <c r="E4006" t="s">
        <v>10075</v>
      </c>
      <c r="F4006">
        <v>11223</v>
      </c>
      <c r="G4006" t="s">
        <v>10093</v>
      </c>
      <c r="H4006" t="s">
        <v>10145</v>
      </c>
      <c r="I4006" t="s">
        <v>10168</v>
      </c>
      <c r="J4006" t="s">
        <v>10213</v>
      </c>
      <c r="K4006" t="s">
        <v>10218</v>
      </c>
      <c r="L4006" t="s">
        <v>10155</v>
      </c>
      <c r="M4006" t="s">
        <v>10405</v>
      </c>
      <c r="N4006" t="s">
        <v>10650</v>
      </c>
      <c r="P4006" t="s">
        <v>10749</v>
      </c>
      <c r="Q4006" t="s">
        <v>10765</v>
      </c>
      <c r="R4006" t="s">
        <v>10822</v>
      </c>
      <c r="T4006">
        <v>21840</v>
      </c>
      <c r="U4006">
        <v>1820</v>
      </c>
      <c r="V4006">
        <v>38</v>
      </c>
      <c r="W4006">
        <v>1</v>
      </c>
      <c r="X4006">
        <v>1</v>
      </c>
      <c r="Y4006" t="s">
        <v>10829</v>
      </c>
      <c r="Z4006">
        <v>129.15</v>
      </c>
      <c r="AA4006">
        <v>40.597317</v>
      </c>
      <c r="AB4006">
        <v>-73.968414</v>
      </c>
      <c r="AD4006" t="s">
        <v>10839</v>
      </c>
      <c r="AG4006" t="s">
        <v>10858</v>
      </c>
      <c r="AH4006" t="s">
        <v>10861</v>
      </c>
      <c r="AI4006">
        <v>234</v>
      </c>
      <c r="AJ4006" t="s">
        <v>10214</v>
      </c>
      <c r="AK4006" t="s">
        <v>10838</v>
      </c>
      <c r="AL4006">
        <v>1.1</v>
      </c>
      <c r="AM4006" t="s">
        <v>10883</v>
      </c>
      <c r="AN4006" t="s">
        <v>10965</v>
      </c>
      <c r="AO4006" t="s">
        <v>11023</v>
      </c>
      <c r="AP4006" t="s">
        <v>11087</v>
      </c>
      <c r="AR4006" t="s">
        <v>11262</v>
      </c>
      <c r="AS4006" t="s">
        <v>11595</v>
      </c>
      <c r="AT4006" t="s">
        <v>11641</v>
      </c>
      <c r="AX4006" t="s">
        <v>10838</v>
      </c>
      <c r="AY4006" t="s">
        <v>10829</v>
      </c>
      <c r="AZ4006" t="s">
        <v>11681</v>
      </c>
      <c r="BA4006" t="s">
        <v>11741</v>
      </c>
      <c r="BB4006">
        <v>0</v>
      </c>
      <c r="BC4006">
        <v>0</v>
      </c>
      <c r="BD4006">
        <v>0</v>
      </c>
      <c r="BE4006">
        <v>0</v>
      </c>
      <c r="BF4006">
        <v>1</v>
      </c>
      <c r="BG4006">
        <v>0</v>
      </c>
    </row>
    <row r="4007" spans="1:59">
      <c r="A4007" s="1">
        <f>HYPERLINK("https://lsnyc.legalserver.org/matter/dynamic-profile/view/1908143","19-1908143")</f>
        <v>0</v>
      </c>
      <c r="B4007" t="s">
        <v>3303</v>
      </c>
      <c r="C4007" t="s">
        <v>8093</v>
      </c>
      <c r="D4007" t="s">
        <v>9926</v>
      </c>
      <c r="E4007" t="s">
        <v>10075</v>
      </c>
      <c r="F4007">
        <v>10456</v>
      </c>
      <c r="G4007" t="s">
        <v>10090</v>
      </c>
      <c r="H4007" t="s">
        <v>10145</v>
      </c>
      <c r="I4007" t="s">
        <v>10168</v>
      </c>
      <c r="J4007" t="s">
        <v>10210</v>
      </c>
      <c r="K4007" t="s">
        <v>10218</v>
      </c>
      <c r="L4007" t="s">
        <v>10157</v>
      </c>
      <c r="M4007" t="s">
        <v>10438</v>
      </c>
      <c r="N4007" t="s">
        <v>10694</v>
      </c>
      <c r="P4007" t="s">
        <v>10751</v>
      </c>
      <c r="Q4007" t="s">
        <v>10773</v>
      </c>
      <c r="R4007" t="s">
        <v>10821</v>
      </c>
      <c r="T4007">
        <v>0</v>
      </c>
      <c r="U4007">
        <v>0</v>
      </c>
      <c r="V4007">
        <v>28</v>
      </c>
      <c r="W4007">
        <v>1</v>
      </c>
      <c r="X4007">
        <v>0</v>
      </c>
      <c r="Y4007" t="s">
        <v>10829</v>
      </c>
      <c r="Z4007">
        <v>0</v>
      </c>
      <c r="AA4007">
        <v>40.829087</v>
      </c>
      <c r="AB4007">
        <v>-73.905333</v>
      </c>
      <c r="AD4007" t="s">
        <v>10839</v>
      </c>
      <c r="AG4007" t="s">
        <v>10858</v>
      </c>
      <c r="AH4007" t="s">
        <v>10871</v>
      </c>
      <c r="AI4007">
        <v>234</v>
      </c>
      <c r="AJ4007" t="s">
        <v>10214</v>
      </c>
      <c r="AK4007" t="s">
        <v>10882</v>
      </c>
      <c r="AL4007">
        <v>3.66</v>
      </c>
      <c r="AM4007" t="s">
        <v>10884</v>
      </c>
      <c r="AN4007" t="s">
        <v>10918</v>
      </c>
      <c r="AO4007" t="s">
        <v>11001</v>
      </c>
      <c r="AP4007" t="s">
        <v>11055</v>
      </c>
      <c r="AR4007" t="s">
        <v>11279</v>
      </c>
      <c r="AS4007" t="s">
        <v>9926</v>
      </c>
      <c r="AT4007" t="s">
        <v>11641</v>
      </c>
      <c r="AX4007" t="s">
        <v>10838</v>
      </c>
      <c r="AY4007" t="s">
        <v>10829</v>
      </c>
      <c r="AZ4007" t="s">
        <v>11682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</row>
    <row r="4008" spans="1:59">
      <c r="A4008" s="1">
        <f>HYPERLINK("https://lsnyc.legalserver.org/matter/dynamic-profile/view/1908144","19-1908144")</f>
        <v>0</v>
      </c>
      <c r="B4008" t="s">
        <v>3304</v>
      </c>
      <c r="C4008" t="s">
        <v>8094</v>
      </c>
      <c r="D4008" t="s">
        <v>9925</v>
      </c>
      <c r="E4008" t="s">
        <v>10075</v>
      </c>
      <c r="F4008">
        <v>10031</v>
      </c>
      <c r="G4008" t="s">
        <v>10089</v>
      </c>
      <c r="H4008" t="s">
        <v>10145</v>
      </c>
      <c r="I4008" t="s">
        <v>10168</v>
      </c>
      <c r="J4008" t="s">
        <v>10209</v>
      </c>
      <c r="K4008" t="s">
        <v>10217</v>
      </c>
      <c r="M4008" t="s">
        <v>10432</v>
      </c>
      <c r="N4008" t="s">
        <v>10743</v>
      </c>
      <c r="P4008" t="s">
        <v>10749</v>
      </c>
      <c r="Q4008" t="s">
        <v>10765</v>
      </c>
      <c r="R4008" t="s">
        <v>10821</v>
      </c>
      <c r="T4008">
        <v>36400</v>
      </c>
      <c r="U4008">
        <v>3033.33</v>
      </c>
      <c r="V4008">
        <v>40</v>
      </c>
      <c r="W4008">
        <v>1</v>
      </c>
      <c r="X4008">
        <v>2</v>
      </c>
      <c r="Z4008">
        <v>170.65</v>
      </c>
      <c r="AA4008">
        <v>40.818981</v>
      </c>
      <c r="AB4008">
        <v>-73.95308799999999</v>
      </c>
      <c r="AD4008" t="s">
        <v>10839</v>
      </c>
      <c r="AG4008" t="s">
        <v>10858</v>
      </c>
      <c r="AH4008" t="s">
        <v>10862</v>
      </c>
      <c r="AI4008">
        <v>236</v>
      </c>
      <c r="AJ4008" t="s">
        <v>10209</v>
      </c>
      <c r="AL4008">
        <v>6.75</v>
      </c>
      <c r="AM4008" t="s">
        <v>10887</v>
      </c>
      <c r="AN4008" t="s">
        <v>10936</v>
      </c>
      <c r="AO4008" t="s">
        <v>11019</v>
      </c>
      <c r="AP4008" t="s">
        <v>11073</v>
      </c>
      <c r="AQ4008" t="s">
        <v>11101</v>
      </c>
      <c r="AR4008" t="s">
        <v>11257</v>
      </c>
      <c r="AS4008" t="s">
        <v>9925</v>
      </c>
      <c r="AT4008" t="s">
        <v>11641</v>
      </c>
      <c r="BA4008" t="s">
        <v>11738</v>
      </c>
      <c r="BB4008">
        <v>0</v>
      </c>
      <c r="BC4008">
        <v>0</v>
      </c>
      <c r="BD4008">
        <v>0</v>
      </c>
      <c r="BE4008">
        <v>0</v>
      </c>
      <c r="BF4008">
        <v>5</v>
      </c>
      <c r="BG4008">
        <v>0</v>
      </c>
    </row>
    <row r="4009" spans="1:59">
      <c r="A4009" s="1">
        <f>HYPERLINK("https://lsnyc.legalserver.org/matter/dynamic-profile/view/1908145","19-1908145")</f>
        <v>0</v>
      </c>
      <c r="B4009" t="s">
        <v>3305</v>
      </c>
      <c r="C4009" t="s">
        <v>8095</v>
      </c>
      <c r="D4009" t="s">
        <v>9926</v>
      </c>
      <c r="E4009" t="s">
        <v>10075</v>
      </c>
      <c r="F4009">
        <v>10457</v>
      </c>
      <c r="G4009" t="s">
        <v>10090</v>
      </c>
      <c r="H4009" t="s">
        <v>10145</v>
      </c>
      <c r="I4009" t="s">
        <v>10168</v>
      </c>
      <c r="J4009" t="s">
        <v>10210</v>
      </c>
      <c r="K4009" t="s">
        <v>10217</v>
      </c>
      <c r="M4009" t="s">
        <v>10336</v>
      </c>
      <c r="N4009" t="s">
        <v>10671</v>
      </c>
      <c r="P4009" t="s">
        <v>10754</v>
      </c>
      <c r="Q4009" t="s">
        <v>10770</v>
      </c>
      <c r="R4009" t="s">
        <v>10824</v>
      </c>
      <c r="T4009">
        <v>11568</v>
      </c>
      <c r="U4009">
        <v>964</v>
      </c>
      <c r="V4009">
        <v>42</v>
      </c>
      <c r="W4009">
        <v>1</v>
      </c>
      <c r="X4009">
        <v>0</v>
      </c>
      <c r="Z4009">
        <v>92.62</v>
      </c>
      <c r="AA4009">
        <v>40.851465</v>
      </c>
      <c r="AB4009">
        <v>-73.901976</v>
      </c>
      <c r="AD4009" t="s">
        <v>10839</v>
      </c>
      <c r="AG4009" t="s">
        <v>10858</v>
      </c>
      <c r="AH4009" t="s">
        <v>10861</v>
      </c>
      <c r="AI4009">
        <v>234</v>
      </c>
      <c r="AJ4009" t="s">
        <v>10214</v>
      </c>
      <c r="AL4009">
        <v>1.4</v>
      </c>
      <c r="AM4009" t="s">
        <v>10884</v>
      </c>
      <c r="AN4009" t="s">
        <v>10931</v>
      </c>
      <c r="AO4009" t="s">
        <v>11000</v>
      </c>
      <c r="AP4009" t="s">
        <v>11056</v>
      </c>
      <c r="AR4009" t="s">
        <v>11298</v>
      </c>
      <c r="AS4009" t="s">
        <v>9926</v>
      </c>
      <c r="AT4009" t="s">
        <v>11641</v>
      </c>
      <c r="AX4009" t="s">
        <v>10838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</row>
    <row r="4010" spans="1:59">
      <c r="A4010" s="1">
        <f>HYPERLINK("https://lsnyc.legalserver.org/matter/dynamic-profile/view/1908146","19-1908146")</f>
        <v>0</v>
      </c>
      <c r="B4010" t="s">
        <v>3306</v>
      </c>
      <c r="C4010" t="s">
        <v>8096</v>
      </c>
      <c r="D4010" t="s">
        <v>9926</v>
      </c>
      <c r="E4010" t="s">
        <v>10075</v>
      </c>
      <c r="F4010">
        <v>10467</v>
      </c>
      <c r="G4010" t="s">
        <v>10090</v>
      </c>
      <c r="H4010" t="s">
        <v>10145</v>
      </c>
      <c r="I4010" t="s">
        <v>10168</v>
      </c>
      <c r="J4010" t="s">
        <v>10210</v>
      </c>
      <c r="K4010" t="s">
        <v>10217</v>
      </c>
      <c r="M4010" t="s">
        <v>10297</v>
      </c>
      <c r="N4010" t="s">
        <v>10651</v>
      </c>
      <c r="P4010" t="s">
        <v>10749</v>
      </c>
      <c r="Q4010" t="s">
        <v>10765</v>
      </c>
      <c r="R4010" t="s">
        <v>10821</v>
      </c>
      <c r="T4010">
        <v>10236</v>
      </c>
      <c r="U4010">
        <v>853</v>
      </c>
      <c r="V4010">
        <v>63</v>
      </c>
      <c r="W4010">
        <v>1</v>
      </c>
      <c r="X4010">
        <v>0</v>
      </c>
      <c r="Z4010">
        <v>81.95</v>
      </c>
      <c r="AA4010">
        <v>40.862917</v>
      </c>
      <c r="AB4010">
        <v>-73.86667</v>
      </c>
      <c r="AD4010" t="s">
        <v>10839</v>
      </c>
      <c r="AG4010" t="s">
        <v>10858</v>
      </c>
      <c r="AH4010" t="s">
        <v>10861</v>
      </c>
      <c r="AI4010">
        <v>230</v>
      </c>
      <c r="AJ4010" t="s">
        <v>10210</v>
      </c>
      <c r="AL4010">
        <v>4.4</v>
      </c>
      <c r="AM4010" t="s">
        <v>10885</v>
      </c>
      <c r="AN4010" t="s">
        <v>10938</v>
      </c>
      <c r="AO4010" t="s">
        <v>11002</v>
      </c>
      <c r="AP4010" t="s">
        <v>11056</v>
      </c>
      <c r="AR4010" t="s">
        <v>11298</v>
      </c>
      <c r="AS4010" t="s">
        <v>9926</v>
      </c>
      <c r="AT4010" t="s">
        <v>11641</v>
      </c>
      <c r="AX4010" t="s">
        <v>10838</v>
      </c>
      <c r="BA4010" t="s">
        <v>11738</v>
      </c>
      <c r="BB4010">
        <v>0</v>
      </c>
      <c r="BC4010">
        <v>0</v>
      </c>
      <c r="BD4010">
        <v>0</v>
      </c>
      <c r="BE4010">
        <v>0</v>
      </c>
      <c r="BF4010">
        <v>5</v>
      </c>
      <c r="BG4010">
        <v>0</v>
      </c>
    </row>
    <row r="4011" spans="1:59">
      <c r="A4011" s="1">
        <f>HYPERLINK("https://lsnyc.legalserver.org/matter/dynamic-profile/view/1908147","19-1908147")</f>
        <v>0</v>
      </c>
      <c r="B4011" t="s">
        <v>3307</v>
      </c>
      <c r="C4011" t="s">
        <v>8097</v>
      </c>
      <c r="D4011" t="s">
        <v>10042</v>
      </c>
      <c r="E4011" t="s">
        <v>10075</v>
      </c>
      <c r="F4011">
        <v>11412</v>
      </c>
      <c r="G4011" t="s">
        <v>10092</v>
      </c>
      <c r="H4011" t="s">
        <v>10145</v>
      </c>
      <c r="I4011" t="s">
        <v>10168</v>
      </c>
      <c r="J4011" t="s">
        <v>10212</v>
      </c>
      <c r="K4011" t="s">
        <v>10217</v>
      </c>
      <c r="M4011" t="s">
        <v>10366</v>
      </c>
      <c r="N4011" t="s">
        <v>10688</v>
      </c>
      <c r="P4011" t="s">
        <v>10752</v>
      </c>
      <c r="Q4011" t="s">
        <v>10783</v>
      </c>
      <c r="R4011" t="s">
        <v>10824</v>
      </c>
      <c r="T4011">
        <v>24000</v>
      </c>
      <c r="U4011">
        <v>2000</v>
      </c>
      <c r="V4011">
        <v>52</v>
      </c>
      <c r="W4011">
        <v>2</v>
      </c>
      <c r="X4011">
        <v>1</v>
      </c>
      <c r="Z4011">
        <v>112.52</v>
      </c>
      <c r="AA4011">
        <v>40.703554</v>
      </c>
      <c r="AB4011">
        <v>-73.766955</v>
      </c>
      <c r="AD4011" t="s">
        <v>10840</v>
      </c>
      <c r="AG4011" t="s">
        <v>10858</v>
      </c>
      <c r="AH4011" t="s">
        <v>10860</v>
      </c>
      <c r="AI4011">
        <v>237</v>
      </c>
      <c r="AJ4011" t="s">
        <v>10212</v>
      </c>
      <c r="AL4011">
        <v>2.2</v>
      </c>
      <c r="AM4011" t="s">
        <v>10892</v>
      </c>
      <c r="AN4011" t="s">
        <v>10940</v>
      </c>
      <c r="AO4011" t="s">
        <v>11020</v>
      </c>
      <c r="AP4011" t="s">
        <v>11075</v>
      </c>
      <c r="AQ4011" t="s">
        <v>11210</v>
      </c>
      <c r="AR4011" t="s">
        <v>11257</v>
      </c>
      <c r="AS4011" t="s">
        <v>11594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</row>
    <row r="4012" spans="1:59">
      <c r="A4012" s="1">
        <f>HYPERLINK("https://lsnyc.legalserver.org/matter/dynamic-profile/view/1908148","19-1908148")</f>
        <v>0</v>
      </c>
      <c r="B4012" t="s">
        <v>3308</v>
      </c>
      <c r="C4012" t="s">
        <v>8098</v>
      </c>
      <c r="D4012" t="s">
        <v>9938</v>
      </c>
      <c r="E4012" t="s">
        <v>10075</v>
      </c>
      <c r="F4012">
        <v>11432</v>
      </c>
      <c r="G4012" t="s">
        <v>10092</v>
      </c>
      <c r="H4012" t="s">
        <v>10145</v>
      </c>
      <c r="I4012" t="s">
        <v>10169</v>
      </c>
      <c r="J4012" t="s">
        <v>10212</v>
      </c>
      <c r="K4012" t="s">
        <v>10217</v>
      </c>
      <c r="M4012" t="s">
        <v>10547</v>
      </c>
      <c r="N4012" t="s">
        <v>10649</v>
      </c>
      <c r="P4012" t="s">
        <v>10753</v>
      </c>
      <c r="Q4012" t="s">
        <v>10763</v>
      </c>
      <c r="R4012" t="s">
        <v>10821</v>
      </c>
      <c r="T4012">
        <v>36660</v>
      </c>
      <c r="U4012">
        <v>3055</v>
      </c>
      <c r="V4012">
        <v>39</v>
      </c>
      <c r="W4012">
        <v>2</v>
      </c>
      <c r="X4012">
        <v>2</v>
      </c>
      <c r="Z4012">
        <v>142.37</v>
      </c>
      <c r="AA4012">
        <v>40.705404</v>
      </c>
      <c r="AB4012">
        <v>-73.79858400000001</v>
      </c>
      <c r="AD4012" t="s">
        <v>10839</v>
      </c>
      <c r="AF4012" t="s">
        <v>10843</v>
      </c>
      <c r="AG4012" t="s">
        <v>10859</v>
      </c>
      <c r="AH4012" t="s">
        <v>10864</v>
      </c>
      <c r="AI4012">
        <v>234</v>
      </c>
      <c r="AJ4012" t="s">
        <v>10214</v>
      </c>
      <c r="AL4012">
        <v>1.85</v>
      </c>
      <c r="AM4012" t="s">
        <v>10892</v>
      </c>
      <c r="AN4012" t="s">
        <v>10951</v>
      </c>
      <c r="AO4012" t="s">
        <v>11020</v>
      </c>
      <c r="AP4012" t="s">
        <v>11081</v>
      </c>
      <c r="AR4012" t="s">
        <v>11262</v>
      </c>
      <c r="AS4012" t="s">
        <v>11594</v>
      </c>
      <c r="AT4012" t="s">
        <v>11641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</row>
    <row r="4013" spans="1:59">
      <c r="A4013" s="1">
        <f>HYPERLINK("https://lsnyc.legalserver.org/matter/dynamic-profile/view/1908150","19-1908150")</f>
        <v>0</v>
      </c>
      <c r="B4013" t="s">
        <v>832</v>
      </c>
      <c r="C4013" t="s">
        <v>5863</v>
      </c>
      <c r="D4013" t="s">
        <v>9926</v>
      </c>
      <c r="E4013" t="s">
        <v>10075</v>
      </c>
      <c r="F4013">
        <v>10467</v>
      </c>
      <c r="G4013" t="s">
        <v>10090</v>
      </c>
      <c r="H4013" t="s">
        <v>10145</v>
      </c>
      <c r="I4013" t="s">
        <v>10169</v>
      </c>
      <c r="J4013" t="s">
        <v>10210</v>
      </c>
      <c r="K4013" t="s">
        <v>10217</v>
      </c>
      <c r="M4013" t="s">
        <v>10303</v>
      </c>
      <c r="N4013" t="s">
        <v>10688</v>
      </c>
      <c r="P4013" t="s">
        <v>10751</v>
      </c>
      <c r="Q4013" t="s">
        <v>10786</v>
      </c>
      <c r="R4013" t="s">
        <v>10821</v>
      </c>
      <c r="T4013">
        <v>9252</v>
      </c>
      <c r="U4013">
        <v>771</v>
      </c>
      <c r="V4013">
        <v>55</v>
      </c>
      <c r="W4013">
        <v>2</v>
      </c>
      <c r="X4013">
        <v>0</v>
      </c>
      <c r="Z4013">
        <v>54.71</v>
      </c>
      <c r="AA4013">
        <v>40.870429</v>
      </c>
      <c r="AB4013">
        <v>-73.867497</v>
      </c>
      <c r="AD4013" t="s">
        <v>10840</v>
      </c>
      <c r="AG4013" t="s">
        <v>10858</v>
      </c>
      <c r="AH4013" t="s">
        <v>10862</v>
      </c>
      <c r="AI4013">
        <v>230</v>
      </c>
      <c r="AJ4013" t="s">
        <v>10210</v>
      </c>
      <c r="AL4013">
        <v>0.35</v>
      </c>
      <c r="AR4013" t="s">
        <v>11263</v>
      </c>
      <c r="AS4013" t="s">
        <v>9926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</row>
    <row r="4014" spans="1:59">
      <c r="A4014" s="1">
        <f>HYPERLINK("https://lsnyc.legalserver.org/matter/dynamic-profile/view/1908151","19-1908151")</f>
        <v>0</v>
      </c>
      <c r="B4014" t="s">
        <v>3309</v>
      </c>
      <c r="C4014" t="s">
        <v>8099</v>
      </c>
      <c r="D4014" t="s">
        <v>9928</v>
      </c>
      <c r="E4014" t="s">
        <v>10075</v>
      </c>
      <c r="F4014">
        <v>11207</v>
      </c>
      <c r="G4014" t="s">
        <v>10093</v>
      </c>
      <c r="H4014" t="s">
        <v>10145</v>
      </c>
      <c r="I4014" t="s">
        <v>10168</v>
      </c>
      <c r="J4014" t="s">
        <v>10213</v>
      </c>
      <c r="K4014" t="s">
        <v>10218</v>
      </c>
      <c r="L4014" t="s">
        <v>10116</v>
      </c>
      <c r="M4014" t="s">
        <v>10564</v>
      </c>
      <c r="N4014" t="s">
        <v>10650</v>
      </c>
      <c r="P4014" t="s">
        <v>10749</v>
      </c>
      <c r="Q4014" t="s">
        <v>10765</v>
      </c>
      <c r="R4014" t="s">
        <v>10825</v>
      </c>
      <c r="T4014">
        <v>9600</v>
      </c>
      <c r="U4014">
        <v>800</v>
      </c>
      <c r="V4014">
        <v>63</v>
      </c>
      <c r="W4014">
        <v>1</v>
      </c>
      <c r="X4014">
        <v>0</v>
      </c>
      <c r="Y4014" t="s">
        <v>10829</v>
      </c>
      <c r="Z4014">
        <v>76.86</v>
      </c>
      <c r="AA4014">
        <v>40.664549</v>
      </c>
      <c r="AB4014">
        <v>-73.894428</v>
      </c>
      <c r="AD4014" t="s">
        <v>10840</v>
      </c>
      <c r="AG4014" t="s">
        <v>10858</v>
      </c>
      <c r="AH4014" t="s">
        <v>10861</v>
      </c>
      <c r="AI4014">
        <v>234</v>
      </c>
      <c r="AJ4014" t="s">
        <v>10214</v>
      </c>
      <c r="AK4014" t="s">
        <v>10838</v>
      </c>
      <c r="AL4014">
        <v>1</v>
      </c>
      <c r="AM4014" t="s">
        <v>10889</v>
      </c>
      <c r="AN4014" t="s">
        <v>10946</v>
      </c>
      <c r="AO4014" t="s">
        <v>11012</v>
      </c>
      <c r="AP4014" t="s">
        <v>11060</v>
      </c>
      <c r="AR4014" t="s">
        <v>11274</v>
      </c>
      <c r="AS4014" t="s">
        <v>11595</v>
      </c>
      <c r="AT4014" t="s">
        <v>11642</v>
      </c>
      <c r="AX4014" t="s">
        <v>10838</v>
      </c>
      <c r="AY4014" t="s">
        <v>10829</v>
      </c>
      <c r="AZ4014" t="s">
        <v>11681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</row>
    <row r="4015" spans="1:59">
      <c r="A4015" s="1">
        <f>HYPERLINK("https://lsnyc.legalserver.org/matter/dynamic-profile/view/1908153","19-1908153")</f>
        <v>0</v>
      </c>
      <c r="B4015" t="s">
        <v>3280</v>
      </c>
      <c r="C4015" t="s">
        <v>8070</v>
      </c>
      <c r="D4015" t="s">
        <v>9928</v>
      </c>
      <c r="E4015" t="s">
        <v>10075</v>
      </c>
      <c r="F4015">
        <v>11221</v>
      </c>
      <c r="G4015" t="s">
        <v>10093</v>
      </c>
      <c r="H4015" t="s">
        <v>10145</v>
      </c>
      <c r="I4015" t="s">
        <v>10168</v>
      </c>
      <c r="J4015" t="s">
        <v>10213</v>
      </c>
      <c r="K4015" t="s">
        <v>10217</v>
      </c>
      <c r="M4015" t="s">
        <v>10265</v>
      </c>
      <c r="N4015" t="s">
        <v>10668</v>
      </c>
      <c r="P4015" t="s">
        <v>10751</v>
      </c>
      <c r="Q4015" t="s">
        <v>10761</v>
      </c>
      <c r="R4015" t="s">
        <v>10821</v>
      </c>
      <c r="T4015">
        <v>0</v>
      </c>
      <c r="U4015">
        <v>0</v>
      </c>
      <c r="V4015">
        <v>54</v>
      </c>
      <c r="W4015">
        <v>1</v>
      </c>
      <c r="X4015">
        <v>0</v>
      </c>
      <c r="Z4015">
        <v>0</v>
      </c>
      <c r="AA4015">
        <v>40.695755</v>
      </c>
      <c r="AB4015">
        <v>-73.932543</v>
      </c>
      <c r="AD4015" t="s">
        <v>10839</v>
      </c>
      <c r="AG4015" t="s">
        <v>10858</v>
      </c>
      <c r="AH4015" t="s">
        <v>10862</v>
      </c>
      <c r="AI4015">
        <v>239</v>
      </c>
      <c r="AJ4015" t="s">
        <v>10213</v>
      </c>
      <c r="AL4015">
        <v>0.6</v>
      </c>
      <c r="AM4015" t="s">
        <v>10886</v>
      </c>
      <c r="AN4015" t="s">
        <v>10920</v>
      </c>
      <c r="AO4015" t="s">
        <v>11011</v>
      </c>
      <c r="AP4015" t="s">
        <v>11071</v>
      </c>
      <c r="AR4015" t="s">
        <v>11279</v>
      </c>
      <c r="AS4015" t="s">
        <v>11595</v>
      </c>
      <c r="BA4015" t="s">
        <v>11737</v>
      </c>
      <c r="BB4015">
        <v>0</v>
      </c>
      <c r="BC4015">
        <v>0</v>
      </c>
      <c r="BD4015">
        <v>0</v>
      </c>
      <c r="BE4015">
        <v>0</v>
      </c>
      <c r="BF4015">
        <v>3</v>
      </c>
      <c r="BG4015">
        <v>0</v>
      </c>
    </row>
    <row r="4016" spans="1:59">
      <c r="A4016" s="1">
        <f>HYPERLINK("https://lsnyc.legalserver.org/matter/dynamic-profile/view/1908154","19-1908154")</f>
        <v>0</v>
      </c>
      <c r="B4016" t="s">
        <v>3310</v>
      </c>
      <c r="C4016" t="s">
        <v>8100</v>
      </c>
      <c r="D4016" t="s">
        <v>9950</v>
      </c>
      <c r="E4016" t="s">
        <v>10075</v>
      </c>
      <c r="F4016">
        <v>11418</v>
      </c>
      <c r="G4016" t="s">
        <v>10092</v>
      </c>
      <c r="H4016" t="s">
        <v>10145</v>
      </c>
      <c r="I4016" t="s">
        <v>10168</v>
      </c>
      <c r="J4016" t="s">
        <v>10212</v>
      </c>
      <c r="K4016" t="s">
        <v>10217</v>
      </c>
      <c r="M4016" t="s">
        <v>10547</v>
      </c>
      <c r="N4016" t="s">
        <v>10671</v>
      </c>
      <c r="P4016" t="s">
        <v>10753</v>
      </c>
      <c r="Q4016" t="s">
        <v>10763</v>
      </c>
      <c r="R4016" t="s">
        <v>10825</v>
      </c>
      <c r="T4016">
        <v>5850</v>
      </c>
      <c r="U4016">
        <v>487.5</v>
      </c>
      <c r="V4016">
        <v>21</v>
      </c>
      <c r="W4016">
        <v>1</v>
      </c>
      <c r="X4016">
        <v>0</v>
      </c>
      <c r="Z4016">
        <v>46.84</v>
      </c>
      <c r="AA4016">
        <v>40.69506</v>
      </c>
      <c r="AB4016">
        <v>-73.830913</v>
      </c>
      <c r="AD4016" t="s">
        <v>10839</v>
      </c>
      <c r="AF4016" t="s">
        <v>10843</v>
      </c>
      <c r="AG4016" t="s">
        <v>10859</v>
      </c>
      <c r="AH4016" t="s">
        <v>10861</v>
      </c>
      <c r="AI4016">
        <v>234</v>
      </c>
      <c r="AJ4016" t="s">
        <v>10214</v>
      </c>
      <c r="AL4016">
        <v>1</v>
      </c>
      <c r="AM4016" t="s">
        <v>10892</v>
      </c>
      <c r="AN4016" t="s">
        <v>10944</v>
      </c>
      <c r="AO4016" t="s">
        <v>11017</v>
      </c>
      <c r="AP4016" t="s">
        <v>11083</v>
      </c>
      <c r="AQ4016" t="s">
        <v>11097</v>
      </c>
      <c r="AR4016" t="s">
        <v>11257</v>
      </c>
      <c r="AS4016" t="s">
        <v>11594</v>
      </c>
      <c r="AT4016" t="s">
        <v>11641</v>
      </c>
      <c r="AX4016" t="s">
        <v>10838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</row>
    <row r="4017" spans="1:59">
      <c r="A4017" s="1">
        <f>HYPERLINK("https://lsnyc.legalserver.org/matter/dynamic-profile/view/1908155","19-1908155")</f>
        <v>0</v>
      </c>
      <c r="B4017" t="s">
        <v>3311</v>
      </c>
      <c r="C4017" t="s">
        <v>8101</v>
      </c>
      <c r="D4017" t="s">
        <v>9925</v>
      </c>
      <c r="E4017" t="s">
        <v>10075</v>
      </c>
      <c r="F4017">
        <v>10039</v>
      </c>
      <c r="G4017" t="s">
        <v>10089</v>
      </c>
      <c r="H4017" t="s">
        <v>10145</v>
      </c>
      <c r="I4017" t="s">
        <v>10169</v>
      </c>
      <c r="J4017" t="s">
        <v>10209</v>
      </c>
      <c r="K4017" t="s">
        <v>10217</v>
      </c>
      <c r="M4017" t="s">
        <v>10233</v>
      </c>
      <c r="N4017" t="s">
        <v>10673</v>
      </c>
      <c r="P4017" t="s">
        <v>10753</v>
      </c>
      <c r="Q4017" t="s">
        <v>10763</v>
      </c>
      <c r="R4017" t="s">
        <v>10821</v>
      </c>
      <c r="T4017">
        <v>10800</v>
      </c>
      <c r="U4017">
        <v>900</v>
      </c>
      <c r="V4017">
        <v>36</v>
      </c>
      <c r="W4017">
        <v>2</v>
      </c>
      <c r="X4017">
        <v>1</v>
      </c>
      <c r="Z4017">
        <v>50.63</v>
      </c>
      <c r="AA4017">
        <v>40.822581</v>
      </c>
      <c r="AB4017">
        <v>-73.938929</v>
      </c>
      <c r="AD4017" t="s">
        <v>10839</v>
      </c>
      <c r="AF4017" t="s">
        <v>10842</v>
      </c>
      <c r="AG4017" t="s">
        <v>10859</v>
      </c>
      <c r="AH4017" t="s">
        <v>10861</v>
      </c>
      <c r="AI4017">
        <v>234</v>
      </c>
      <c r="AJ4017" t="s">
        <v>10214</v>
      </c>
      <c r="AL4017">
        <v>6</v>
      </c>
      <c r="AM4017" t="s">
        <v>10887</v>
      </c>
      <c r="AN4017" t="s">
        <v>10943</v>
      </c>
      <c r="AO4017" t="s">
        <v>11016</v>
      </c>
      <c r="AP4017" t="s">
        <v>11076</v>
      </c>
      <c r="AQ4017" t="s">
        <v>11119</v>
      </c>
      <c r="AR4017" t="s">
        <v>11351</v>
      </c>
      <c r="AS4017" t="s">
        <v>9925</v>
      </c>
      <c r="AT4017" t="s">
        <v>11641</v>
      </c>
      <c r="AX4017" t="s">
        <v>10838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</row>
    <row r="4018" spans="1:59">
      <c r="A4018" s="1">
        <f>HYPERLINK("https://lsnyc.legalserver.org/matter/dynamic-profile/view/1908156","19-1908156")</f>
        <v>0</v>
      </c>
      <c r="B4018" t="s">
        <v>3306</v>
      </c>
      <c r="C4018" t="s">
        <v>8096</v>
      </c>
      <c r="D4018" t="s">
        <v>9926</v>
      </c>
      <c r="E4018" t="s">
        <v>10075</v>
      </c>
      <c r="F4018">
        <v>10467</v>
      </c>
      <c r="G4018" t="s">
        <v>10090</v>
      </c>
      <c r="H4018" t="s">
        <v>10145</v>
      </c>
      <c r="I4018" t="s">
        <v>10168</v>
      </c>
      <c r="J4018" t="s">
        <v>10210</v>
      </c>
      <c r="K4018" t="s">
        <v>10217</v>
      </c>
      <c r="M4018" t="s">
        <v>10334</v>
      </c>
      <c r="N4018" t="s">
        <v>10677</v>
      </c>
      <c r="P4018" t="s">
        <v>10751</v>
      </c>
      <c r="Q4018" t="s">
        <v>10761</v>
      </c>
      <c r="R4018" t="s">
        <v>10821</v>
      </c>
      <c r="T4018">
        <v>10236</v>
      </c>
      <c r="U4018">
        <v>853</v>
      </c>
      <c r="V4018">
        <v>63</v>
      </c>
      <c r="W4018">
        <v>1</v>
      </c>
      <c r="X4018">
        <v>0</v>
      </c>
      <c r="Z4018">
        <v>81.95</v>
      </c>
      <c r="AA4018">
        <v>40.862917</v>
      </c>
      <c r="AB4018">
        <v>-73.86667</v>
      </c>
      <c r="AD4018" t="s">
        <v>10839</v>
      </c>
      <c r="AG4018" t="s">
        <v>10858</v>
      </c>
      <c r="AH4018" t="s">
        <v>10861</v>
      </c>
      <c r="AI4018">
        <v>230</v>
      </c>
      <c r="AJ4018" t="s">
        <v>10210</v>
      </c>
      <c r="AL4018">
        <v>0.25</v>
      </c>
      <c r="AM4018" t="s">
        <v>10885</v>
      </c>
      <c r="AN4018" t="s">
        <v>10938</v>
      </c>
      <c r="AO4018" t="s">
        <v>11002</v>
      </c>
      <c r="AP4018" t="s">
        <v>11056</v>
      </c>
      <c r="AR4018" t="s">
        <v>11298</v>
      </c>
      <c r="AS4018" t="s">
        <v>9926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</row>
    <row r="4019" spans="1:59">
      <c r="A4019" s="1">
        <f>HYPERLINK("https://lsnyc.legalserver.org/matter/dynamic-profile/view/1908157","19-1908157")</f>
        <v>0</v>
      </c>
      <c r="B4019" t="s">
        <v>3312</v>
      </c>
      <c r="C4019" t="s">
        <v>8102</v>
      </c>
      <c r="D4019" t="s">
        <v>9928</v>
      </c>
      <c r="E4019" t="s">
        <v>10075</v>
      </c>
      <c r="F4019">
        <v>11224</v>
      </c>
      <c r="G4019" t="s">
        <v>10093</v>
      </c>
      <c r="H4019" t="s">
        <v>10145</v>
      </c>
      <c r="I4019" t="s">
        <v>10197</v>
      </c>
      <c r="J4019" t="s">
        <v>10213</v>
      </c>
      <c r="K4019" t="s">
        <v>10217</v>
      </c>
      <c r="M4019" t="s">
        <v>10390</v>
      </c>
      <c r="N4019" t="s">
        <v>10644</v>
      </c>
      <c r="P4019" t="s">
        <v>10749</v>
      </c>
      <c r="Q4019" t="s">
        <v>10774</v>
      </c>
      <c r="R4019" t="s">
        <v>10820</v>
      </c>
      <c r="T4019">
        <v>8160</v>
      </c>
      <c r="U4019">
        <v>680</v>
      </c>
      <c r="V4019">
        <v>72</v>
      </c>
      <c r="W4019">
        <v>1</v>
      </c>
      <c r="X4019">
        <v>0</v>
      </c>
      <c r="Z4019">
        <v>65.33</v>
      </c>
      <c r="AA4019">
        <v>40.577058</v>
      </c>
      <c r="AB4019">
        <v>-73.97918</v>
      </c>
      <c r="AD4019" t="s">
        <v>10839</v>
      </c>
      <c r="AG4019" t="s">
        <v>10858</v>
      </c>
      <c r="AH4019" t="s">
        <v>10869</v>
      </c>
      <c r="AI4019">
        <v>239</v>
      </c>
      <c r="AJ4019" t="s">
        <v>10213</v>
      </c>
      <c r="AL4019">
        <v>5.7</v>
      </c>
      <c r="AM4019" t="s">
        <v>10889</v>
      </c>
      <c r="AN4019" t="s">
        <v>10960</v>
      </c>
      <c r="AO4019" t="s">
        <v>11006</v>
      </c>
      <c r="AP4019" t="s">
        <v>11092</v>
      </c>
      <c r="AQ4019" t="s">
        <v>11136</v>
      </c>
      <c r="AR4019" t="s">
        <v>11268</v>
      </c>
      <c r="AS4019" t="s">
        <v>11595</v>
      </c>
      <c r="BA4019" t="s">
        <v>11742</v>
      </c>
      <c r="BB4019">
        <v>0</v>
      </c>
      <c r="BC4019">
        <v>0</v>
      </c>
      <c r="BD4019">
        <v>0</v>
      </c>
      <c r="BE4019">
        <v>0</v>
      </c>
      <c r="BF4019">
        <v>7</v>
      </c>
      <c r="BG4019">
        <v>0</v>
      </c>
    </row>
    <row r="4020" spans="1:59">
      <c r="A4020" s="1">
        <f>HYPERLINK("https://lsnyc.legalserver.org/matter/dynamic-profile/view/1908158","19-1908158")</f>
        <v>0</v>
      </c>
      <c r="B4020" t="s">
        <v>3313</v>
      </c>
      <c r="C4020" t="s">
        <v>8103</v>
      </c>
      <c r="D4020" t="s">
        <v>9928</v>
      </c>
      <c r="E4020" t="s">
        <v>10075</v>
      </c>
      <c r="F4020">
        <v>11233</v>
      </c>
      <c r="G4020" t="s">
        <v>10093</v>
      </c>
      <c r="H4020" t="s">
        <v>10145</v>
      </c>
      <c r="J4020" t="s">
        <v>10213</v>
      </c>
      <c r="K4020" t="s">
        <v>10218</v>
      </c>
      <c r="L4020" t="s">
        <v>10157</v>
      </c>
      <c r="M4020" t="s">
        <v>10309</v>
      </c>
      <c r="N4020" t="s">
        <v>10698</v>
      </c>
      <c r="P4020" t="s">
        <v>10749</v>
      </c>
      <c r="Q4020" t="s">
        <v>10765</v>
      </c>
      <c r="R4020" t="s">
        <v>10824</v>
      </c>
      <c r="T4020">
        <v>22080</v>
      </c>
      <c r="U4020">
        <v>1840</v>
      </c>
      <c r="V4020">
        <v>65</v>
      </c>
      <c r="W4020">
        <v>1</v>
      </c>
      <c r="X4020">
        <v>0</v>
      </c>
      <c r="Y4020" t="s">
        <v>10829</v>
      </c>
      <c r="Z4020">
        <v>176.78</v>
      </c>
      <c r="AA4020">
        <v>40.682722</v>
      </c>
      <c r="AB4020">
        <v>-73.913443</v>
      </c>
      <c r="AC4020" t="s">
        <v>10837</v>
      </c>
      <c r="AD4020" t="s">
        <v>10840</v>
      </c>
      <c r="AG4020" t="s">
        <v>10858</v>
      </c>
      <c r="AH4020" t="s">
        <v>10868</v>
      </c>
      <c r="AI4020">
        <v>239</v>
      </c>
      <c r="AJ4020" t="s">
        <v>10213</v>
      </c>
      <c r="AK4020" t="s">
        <v>10838</v>
      </c>
      <c r="AL4020">
        <v>5.75</v>
      </c>
      <c r="AR4020" t="s">
        <v>11290</v>
      </c>
      <c r="AS4020" t="s">
        <v>11595</v>
      </c>
      <c r="AT4020" t="s">
        <v>11642</v>
      </c>
      <c r="AU4020" t="s">
        <v>11650</v>
      </c>
      <c r="AX4020" t="s">
        <v>10837</v>
      </c>
      <c r="AY4020" t="s">
        <v>10829</v>
      </c>
      <c r="AZ4020" t="s">
        <v>11681</v>
      </c>
      <c r="BA4020" t="s">
        <v>11742</v>
      </c>
      <c r="BB4020">
        <v>0</v>
      </c>
      <c r="BC4020">
        <v>0</v>
      </c>
      <c r="BD4020">
        <v>0</v>
      </c>
      <c r="BE4020">
        <v>0</v>
      </c>
      <c r="BF4020">
        <v>7</v>
      </c>
      <c r="BG4020">
        <v>0</v>
      </c>
    </row>
    <row r="4021" spans="1:59">
      <c r="A4021" s="1">
        <f>HYPERLINK("https://lsnyc.legalserver.org/matter/dynamic-profile/view/1908159","19-1908159")</f>
        <v>0</v>
      </c>
      <c r="B4021" t="s">
        <v>3314</v>
      </c>
      <c r="C4021" t="s">
        <v>8104</v>
      </c>
      <c r="D4021" t="s">
        <v>9925</v>
      </c>
      <c r="E4021" t="s">
        <v>10075</v>
      </c>
      <c r="F4021">
        <v>10023</v>
      </c>
      <c r="G4021" t="s">
        <v>10091</v>
      </c>
      <c r="H4021" t="s">
        <v>10145</v>
      </c>
      <c r="I4021" t="s">
        <v>10168</v>
      </c>
      <c r="J4021" t="s">
        <v>10211</v>
      </c>
      <c r="K4021" t="s">
        <v>10218</v>
      </c>
      <c r="L4021" t="s">
        <v>10145</v>
      </c>
      <c r="M4021" t="s">
        <v>10231</v>
      </c>
      <c r="N4021" t="s">
        <v>10647</v>
      </c>
      <c r="P4021" t="s">
        <v>10752</v>
      </c>
      <c r="Q4021" t="s">
        <v>10762</v>
      </c>
      <c r="R4021" t="s">
        <v>10824</v>
      </c>
      <c r="T4021">
        <v>0</v>
      </c>
      <c r="U4021">
        <v>0</v>
      </c>
      <c r="V4021">
        <v>80</v>
      </c>
      <c r="W4021">
        <v>2</v>
      </c>
      <c r="X4021">
        <v>0</v>
      </c>
      <c r="Y4021" t="s">
        <v>10829</v>
      </c>
      <c r="Z4021">
        <v>0</v>
      </c>
      <c r="AA4021">
        <v>40.772235</v>
      </c>
      <c r="AB4021">
        <v>-73.98618</v>
      </c>
      <c r="AC4021" t="s">
        <v>10837</v>
      </c>
      <c r="AD4021" t="s">
        <v>10839</v>
      </c>
      <c r="AG4021" t="s">
        <v>10858</v>
      </c>
      <c r="AH4021" t="s">
        <v>10863</v>
      </c>
      <c r="AI4021">
        <v>235</v>
      </c>
      <c r="AJ4021" t="s">
        <v>10211</v>
      </c>
      <c r="AK4021" t="s">
        <v>10882</v>
      </c>
      <c r="AL4021">
        <v>0.05</v>
      </c>
      <c r="AR4021" t="s">
        <v>11267</v>
      </c>
      <c r="AS4021" t="s">
        <v>9925</v>
      </c>
      <c r="AY4021" t="s">
        <v>10829</v>
      </c>
      <c r="AZ4021" t="s">
        <v>11680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</row>
    <row r="4022" spans="1:59">
      <c r="A4022" s="1">
        <f>HYPERLINK("https://lsnyc.legalserver.org/matter/dynamic-profile/view/1908160","19-1908160")</f>
        <v>0</v>
      </c>
      <c r="B4022" t="s">
        <v>3315</v>
      </c>
      <c r="C4022" t="s">
        <v>8105</v>
      </c>
      <c r="D4022" t="s">
        <v>9928</v>
      </c>
      <c r="E4022" t="s">
        <v>10075</v>
      </c>
      <c r="F4022">
        <v>11230</v>
      </c>
      <c r="G4022" t="s">
        <v>10093</v>
      </c>
      <c r="H4022" t="s">
        <v>10145</v>
      </c>
      <c r="I4022" t="s">
        <v>10168</v>
      </c>
      <c r="J4022" t="s">
        <v>10213</v>
      </c>
      <c r="K4022" t="s">
        <v>10217</v>
      </c>
      <c r="M4022" t="s">
        <v>10317</v>
      </c>
      <c r="N4022" t="s">
        <v>10671</v>
      </c>
      <c r="P4022" t="s">
        <v>10757</v>
      </c>
      <c r="Q4022" t="s">
        <v>10789</v>
      </c>
      <c r="R4022" t="s">
        <v>10820</v>
      </c>
      <c r="T4022">
        <v>13200</v>
      </c>
      <c r="U4022">
        <v>1100</v>
      </c>
      <c r="V4022">
        <v>81</v>
      </c>
      <c r="W4022">
        <v>1</v>
      </c>
      <c r="X4022">
        <v>0</v>
      </c>
      <c r="Z4022">
        <v>105.68</v>
      </c>
      <c r="AA4022">
        <v>40.625786</v>
      </c>
      <c r="AB4022">
        <v>-73.95795200000001</v>
      </c>
      <c r="AD4022" t="s">
        <v>10840</v>
      </c>
      <c r="AG4022" t="s">
        <v>10858</v>
      </c>
      <c r="AH4022" t="s">
        <v>10861</v>
      </c>
      <c r="AI4022">
        <v>234</v>
      </c>
      <c r="AJ4022" t="s">
        <v>10214</v>
      </c>
      <c r="AL4022">
        <v>4.1</v>
      </c>
      <c r="AM4022" t="s">
        <v>10888</v>
      </c>
      <c r="AN4022" t="s">
        <v>10947</v>
      </c>
      <c r="AO4022" t="s">
        <v>11015</v>
      </c>
      <c r="AP4022" t="s">
        <v>11079</v>
      </c>
      <c r="AR4022" t="s">
        <v>11316</v>
      </c>
      <c r="AS4022" t="s">
        <v>11595</v>
      </c>
      <c r="AT4022" t="s">
        <v>11642</v>
      </c>
      <c r="AX4022" t="s">
        <v>11678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</row>
    <row r="4023" spans="1:59">
      <c r="A4023" s="1">
        <f>HYPERLINK("https://lsnyc.legalserver.org/matter/dynamic-profile/view/1908161","19-1908161")</f>
        <v>0</v>
      </c>
      <c r="B4023" t="s">
        <v>3316</v>
      </c>
      <c r="C4023" t="s">
        <v>8106</v>
      </c>
      <c r="D4023" t="s">
        <v>9928</v>
      </c>
      <c r="E4023" t="s">
        <v>10075</v>
      </c>
      <c r="F4023">
        <v>11204</v>
      </c>
      <c r="G4023" t="s">
        <v>10093</v>
      </c>
      <c r="H4023" t="s">
        <v>10145</v>
      </c>
      <c r="I4023" t="s">
        <v>10169</v>
      </c>
      <c r="J4023" t="s">
        <v>10213</v>
      </c>
      <c r="K4023" t="s">
        <v>10218</v>
      </c>
      <c r="L4023" t="s">
        <v>10156</v>
      </c>
      <c r="M4023" t="s">
        <v>10351</v>
      </c>
      <c r="N4023" t="s">
        <v>10744</v>
      </c>
      <c r="P4023" t="s">
        <v>10754</v>
      </c>
      <c r="Q4023" t="s">
        <v>10775</v>
      </c>
      <c r="R4023" t="s">
        <v>10821</v>
      </c>
      <c r="T4023">
        <v>0</v>
      </c>
      <c r="U4023">
        <v>0</v>
      </c>
      <c r="V4023">
        <v>26</v>
      </c>
      <c r="W4023">
        <v>2</v>
      </c>
      <c r="X4023">
        <v>1</v>
      </c>
      <c r="Y4023" t="s">
        <v>10829</v>
      </c>
      <c r="Z4023">
        <v>0</v>
      </c>
      <c r="AA4023">
        <v>40.621079</v>
      </c>
      <c r="AB4023">
        <v>-73.992846</v>
      </c>
      <c r="AD4023" t="s">
        <v>10839</v>
      </c>
      <c r="AF4023" t="s">
        <v>10842</v>
      </c>
      <c r="AG4023" t="s">
        <v>10859</v>
      </c>
      <c r="AH4023" t="s">
        <v>10865</v>
      </c>
      <c r="AI4023">
        <v>239</v>
      </c>
      <c r="AJ4023" t="s">
        <v>10213</v>
      </c>
      <c r="AK4023" t="s">
        <v>10837</v>
      </c>
      <c r="AL4023">
        <v>2.5</v>
      </c>
      <c r="AM4023" t="s">
        <v>10894</v>
      </c>
      <c r="AN4023" t="s">
        <v>10974</v>
      </c>
      <c r="AO4023" t="s">
        <v>11015</v>
      </c>
      <c r="AP4023" t="s">
        <v>11069</v>
      </c>
      <c r="AR4023" t="s">
        <v>11267</v>
      </c>
      <c r="AS4023" t="s">
        <v>11595</v>
      </c>
      <c r="AY4023" t="s">
        <v>10829</v>
      </c>
      <c r="AZ4023" t="s">
        <v>11683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</row>
    <row r="4024" spans="1:59">
      <c r="A4024" s="1">
        <f>HYPERLINK("https://lsnyc.legalserver.org/matter/dynamic-profile/view/1908162","19-1908162")</f>
        <v>0</v>
      </c>
      <c r="B4024" t="s">
        <v>3317</v>
      </c>
      <c r="C4024" t="s">
        <v>8107</v>
      </c>
      <c r="D4024" t="s">
        <v>9928</v>
      </c>
      <c r="E4024" t="s">
        <v>10075</v>
      </c>
      <c r="F4024">
        <v>11221</v>
      </c>
      <c r="G4024" t="s">
        <v>10093</v>
      </c>
      <c r="H4024" t="s">
        <v>10145</v>
      </c>
      <c r="I4024" t="s">
        <v>10168</v>
      </c>
      <c r="J4024" t="s">
        <v>10213</v>
      </c>
      <c r="K4024" t="s">
        <v>10218</v>
      </c>
      <c r="L4024" t="s">
        <v>10221</v>
      </c>
      <c r="M4024" t="s">
        <v>10265</v>
      </c>
      <c r="N4024" t="s">
        <v>10667</v>
      </c>
      <c r="O4024" t="s">
        <v>10653</v>
      </c>
      <c r="P4024" t="s">
        <v>10749</v>
      </c>
      <c r="Q4024" t="s">
        <v>10767</v>
      </c>
      <c r="R4024" t="s">
        <v>10824</v>
      </c>
      <c r="T4024">
        <v>18648</v>
      </c>
      <c r="U4024">
        <v>1554</v>
      </c>
      <c r="V4024">
        <v>64</v>
      </c>
      <c r="W4024">
        <v>2</v>
      </c>
      <c r="X4024">
        <v>1</v>
      </c>
      <c r="Y4024" t="s">
        <v>10832</v>
      </c>
      <c r="Z4024">
        <v>87.43000000000001</v>
      </c>
      <c r="AA4024">
        <v>40.688528</v>
      </c>
      <c r="AB4024">
        <v>-73.9315</v>
      </c>
      <c r="AD4024" t="s">
        <v>10839</v>
      </c>
      <c r="AG4024" t="s">
        <v>10858</v>
      </c>
      <c r="AH4024" t="s">
        <v>10862</v>
      </c>
      <c r="AI4024">
        <v>239</v>
      </c>
      <c r="AJ4024" t="s">
        <v>10213</v>
      </c>
      <c r="AK4024" t="s">
        <v>10838</v>
      </c>
      <c r="AL4024">
        <v>0.5</v>
      </c>
      <c r="AM4024" t="s">
        <v>10889</v>
      </c>
      <c r="AN4024" t="s">
        <v>10914</v>
      </c>
      <c r="AO4024" t="s">
        <v>11007</v>
      </c>
      <c r="AP4024" t="s">
        <v>11052</v>
      </c>
      <c r="AR4024" t="s">
        <v>11268</v>
      </c>
      <c r="AS4024" t="s">
        <v>11595</v>
      </c>
      <c r="AY4024" t="s">
        <v>10832</v>
      </c>
      <c r="AZ4024" t="s">
        <v>11697</v>
      </c>
      <c r="BA4024" t="s">
        <v>11737</v>
      </c>
      <c r="BB4024">
        <v>0</v>
      </c>
      <c r="BC4024">
        <v>0</v>
      </c>
      <c r="BD4024">
        <v>0</v>
      </c>
      <c r="BE4024">
        <v>0</v>
      </c>
      <c r="BF4024">
        <v>3</v>
      </c>
      <c r="BG4024">
        <v>0</v>
      </c>
    </row>
    <row r="4025" spans="1:59">
      <c r="A4025" s="1">
        <f>HYPERLINK("https://lsnyc.legalserver.org/matter/dynamic-profile/view/1908163","19-1908163")</f>
        <v>0</v>
      </c>
      <c r="B4025" t="s">
        <v>3150</v>
      </c>
      <c r="C4025" t="s">
        <v>8108</v>
      </c>
      <c r="D4025" t="s">
        <v>9926</v>
      </c>
      <c r="E4025" t="s">
        <v>10075</v>
      </c>
      <c r="F4025">
        <v>10453</v>
      </c>
      <c r="G4025" t="s">
        <v>10091</v>
      </c>
      <c r="H4025" t="s">
        <v>10145</v>
      </c>
      <c r="I4025" t="s">
        <v>10168</v>
      </c>
      <c r="J4025" t="s">
        <v>10211</v>
      </c>
      <c r="K4025" t="s">
        <v>10217</v>
      </c>
      <c r="M4025" t="s">
        <v>10231</v>
      </c>
      <c r="N4025" t="s">
        <v>10647</v>
      </c>
      <c r="P4025" t="s">
        <v>10752</v>
      </c>
      <c r="Q4025" t="s">
        <v>10762</v>
      </c>
      <c r="R4025" t="s">
        <v>10824</v>
      </c>
      <c r="T4025">
        <v>42744</v>
      </c>
      <c r="U4025">
        <v>3562</v>
      </c>
      <c r="V4025">
        <v>52</v>
      </c>
      <c r="W4025">
        <v>1</v>
      </c>
      <c r="X4025">
        <v>0</v>
      </c>
      <c r="Z4025">
        <v>342.23</v>
      </c>
      <c r="AA4025">
        <v>40.858492</v>
      </c>
      <c r="AB4025">
        <v>-73.904841</v>
      </c>
      <c r="AD4025" t="s">
        <v>10840</v>
      </c>
      <c r="AG4025" t="s">
        <v>10858</v>
      </c>
      <c r="AH4025" t="s">
        <v>10863</v>
      </c>
      <c r="AI4025">
        <v>235</v>
      </c>
      <c r="AJ4025" t="s">
        <v>10211</v>
      </c>
      <c r="AL4025">
        <v>4</v>
      </c>
      <c r="AM4025" t="s">
        <v>10884</v>
      </c>
      <c r="AN4025" t="s">
        <v>10931</v>
      </c>
      <c r="AO4025" t="s">
        <v>11000</v>
      </c>
      <c r="AP4025" t="s">
        <v>11045</v>
      </c>
      <c r="AR4025" t="s">
        <v>11257</v>
      </c>
      <c r="AS4025" t="s">
        <v>9926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</row>
    <row r="4026" spans="1:59">
      <c r="A4026" s="1">
        <f>HYPERLINK("https://lsnyc.legalserver.org/matter/dynamic-profile/view/1908165","19-1908165")</f>
        <v>0</v>
      </c>
      <c r="B4026" t="s">
        <v>3318</v>
      </c>
      <c r="C4026" t="s">
        <v>8109</v>
      </c>
      <c r="D4026" t="s">
        <v>9928</v>
      </c>
      <c r="E4026" t="s">
        <v>10075</v>
      </c>
      <c r="F4026">
        <v>11225</v>
      </c>
      <c r="G4026" t="s">
        <v>10093</v>
      </c>
      <c r="H4026" t="s">
        <v>10145</v>
      </c>
      <c r="I4026" t="s">
        <v>10168</v>
      </c>
      <c r="J4026" t="s">
        <v>10213</v>
      </c>
      <c r="K4026" t="s">
        <v>10217</v>
      </c>
      <c r="M4026" t="s">
        <v>10465</v>
      </c>
      <c r="N4026" t="s">
        <v>10667</v>
      </c>
      <c r="P4026" t="s">
        <v>10749</v>
      </c>
      <c r="Q4026" t="s">
        <v>10765</v>
      </c>
      <c r="R4026" t="s">
        <v>10821</v>
      </c>
      <c r="T4026">
        <v>18720</v>
      </c>
      <c r="U4026">
        <v>1560</v>
      </c>
      <c r="V4026">
        <v>45</v>
      </c>
      <c r="W4026">
        <v>1</v>
      </c>
      <c r="X4026">
        <v>0</v>
      </c>
      <c r="Z4026">
        <v>149.88</v>
      </c>
      <c r="AA4026">
        <v>40.66613</v>
      </c>
      <c r="AB4026">
        <v>-73.953873</v>
      </c>
      <c r="AD4026" t="s">
        <v>10839</v>
      </c>
      <c r="AG4026" t="s">
        <v>10858</v>
      </c>
      <c r="AH4026" t="s">
        <v>10862</v>
      </c>
      <c r="AI4026">
        <v>239</v>
      </c>
      <c r="AJ4026" t="s">
        <v>10213</v>
      </c>
      <c r="AL4026">
        <v>3</v>
      </c>
      <c r="AM4026" t="s">
        <v>10888</v>
      </c>
      <c r="AN4026" t="s">
        <v>10923</v>
      </c>
      <c r="AO4026" t="s">
        <v>11005</v>
      </c>
      <c r="AP4026" t="s">
        <v>11061</v>
      </c>
      <c r="AQ4026" t="s">
        <v>11101</v>
      </c>
      <c r="AR4026" t="s">
        <v>11257</v>
      </c>
      <c r="AS4026" t="s">
        <v>11595</v>
      </c>
      <c r="BA4026" t="s">
        <v>11738</v>
      </c>
      <c r="BB4026">
        <v>0</v>
      </c>
      <c r="BC4026">
        <v>0</v>
      </c>
      <c r="BD4026">
        <v>0</v>
      </c>
      <c r="BE4026">
        <v>0</v>
      </c>
      <c r="BF4026">
        <v>5</v>
      </c>
      <c r="BG4026">
        <v>0</v>
      </c>
    </row>
    <row r="4027" spans="1:59">
      <c r="A4027" s="1">
        <f>HYPERLINK("https://lsnyc.legalserver.org/matter/dynamic-profile/view/1908166","19-1908166")</f>
        <v>0</v>
      </c>
      <c r="B4027" t="s">
        <v>3319</v>
      </c>
      <c r="C4027" t="s">
        <v>8110</v>
      </c>
      <c r="D4027" t="s">
        <v>9925</v>
      </c>
      <c r="E4027" t="s">
        <v>10075</v>
      </c>
      <c r="F4027">
        <v>10037</v>
      </c>
      <c r="G4027" t="s">
        <v>10089</v>
      </c>
      <c r="H4027" t="s">
        <v>10145</v>
      </c>
      <c r="I4027" t="s">
        <v>10168</v>
      </c>
      <c r="J4027" t="s">
        <v>10209</v>
      </c>
      <c r="K4027" t="s">
        <v>10217</v>
      </c>
      <c r="M4027" t="s">
        <v>10607</v>
      </c>
      <c r="N4027" t="s">
        <v>10671</v>
      </c>
      <c r="P4027" t="s">
        <v>10751</v>
      </c>
      <c r="Q4027" t="s">
        <v>10761</v>
      </c>
      <c r="R4027" t="s">
        <v>10824</v>
      </c>
      <c r="T4027">
        <v>9600</v>
      </c>
      <c r="U4027">
        <v>800</v>
      </c>
      <c r="V4027">
        <v>54</v>
      </c>
      <c r="W4027">
        <v>2</v>
      </c>
      <c r="X4027">
        <v>0</v>
      </c>
      <c r="Z4027">
        <v>56.77</v>
      </c>
      <c r="AA4027">
        <v>40.812881</v>
      </c>
      <c r="AB4027">
        <v>-73.93517799999999</v>
      </c>
      <c r="AD4027" t="s">
        <v>10839</v>
      </c>
      <c r="AG4027" t="s">
        <v>10858</v>
      </c>
      <c r="AH4027" t="s">
        <v>10861</v>
      </c>
      <c r="AI4027">
        <v>234</v>
      </c>
      <c r="AJ4027" t="s">
        <v>10214</v>
      </c>
      <c r="AL4027">
        <v>1</v>
      </c>
      <c r="AM4027" t="s">
        <v>10887</v>
      </c>
      <c r="AN4027" t="s">
        <v>10936</v>
      </c>
      <c r="AO4027" t="s">
        <v>11016</v>
      </c>
      <c r="AP4027" t="s">
        <v>11076</v>
      </c>
      <c r="AR4027" t="s">
        <v>11274</v>
      </c>
      <c r="AS4027" t="s">
        <v>9925</v>
      </c>
      <c r="AT4027" t="s">
        <v>11641</v>
      </c>
      <c r="AX4027" t="s">
        <v>10837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</row>
    <row r="4028" spans="1:59">
      <c r="A4028" s="1">
        <f>HYPERLINK("https://lsnyc.legalserver.org/matter/dynamic-profile/view/1908167","19-1908167")</f>
        <v>0</v>
      </c>
      <c r="B4028" t="s">
        <v>3320</v>
      </c>
      <c r="C4028" t="s">
        <v>8090</v>
      </c>
      <c r="D4028" t="s">
        <v>9982</v>
      </c>
      <c r="E4028" t="s">
        <v>10075</v>
      </c>
      <c r="F4028">
        <v>11375</v>
      </c>
      <c r="G4028" t="s">
        <v>10091</v>
      </c>
      <c r="H4028" t="s">
        <v>10145</v>
      </c>
      <c r="I4028" t="s">
        <v>10171</v>
      </c>
      <c r="J4028" t="s">
        <v>10214</v>
      </c>
      <c r="K4028" t="s">
        <v>10217</v>
      </c>
      <c r="M4028" t="s">
        <v>10537</v>
      </c>
      <c r="N4028" t="s">
        <v>10673</v>
      </c>
      <c r="P4028" t="s">
        <v>10753</v>
      </c>
      <c r="Q4028" t="s">
        <v>10763</v>
      </c>
      <c r="R4028" t="s">
        <v>10820</v>
      </c>
      <c r="T4028">
        <v>0</v>
      </c>
      <c r="U4028">
        <v>0</v>
      </c>
      <c r="V4028">
        <v>24</v>
      </c>
      <c r="W4028">
        <v>2</v>
      </c>
      <c r="X4028">
        <v>0</v>
      </c>
      <c r="Z4028">
        <v>0</v>
      </c>
      <c r="AA4028">
        <v>40.723388</v>
      </c>
      <c r="AB4028">
        <v>-73.85419400000001</v>
      </c>
      <c r="AD4028" t="s">
        <v>10839</v>
      </c>
      <c r="AF4028" t="s">
        <v>10842</v>
      </c>
      <c r="AG4028" t="s">
        <v>10859</v>
      </c>
      <c r="AH4028" t="s">
        <v>10861</v>
      </c>
      <c r="AI4028">
        <v>234</v>
      </c>
      <c r="AJ4028" t="s">
        <v>10214</v>
      </c>
      <c r="AL4028">
        <v>2.2</v>
      </c>
      <c r="AM4028" t="s">
        <v>10890</v>
      </c>
      <c r="AN4028" t="s">
        <v>10952</v>
      </c>
      <c r="AO4028" t="s">
        <v>11009</v>
      </c>
      <c r="AP4028" t="s">
        <v>11083</v>
      </c>
      <c r="AR4028" t="s">
        <v>11267</v>
      </c>
      <c r="AS4028" t="s">
        <v>11594</v>
      </c>
      <c r="AT4028" t="s">
        <v>11641</v>
      </c>
      <c r="AX4028" t="s">
        <v>10837</v>
      </c>
      <c r="BA4028" t="s">
        <v>11742</v>
      </c>
      <c r="BB4028">
        <v>0</v>
      </c>
      <c r="BC4028">
        <v>0</v>
      </c>
      <c r="BD4028">
        <v>0</v>
      </c>
      <c r="BE4028">
        <v>0</v>
      </c>
      <c r="BF4028">
        <v>7</v>
      </c>
      <c r="BG4028">
        <v>0</v>
      </c>
    </row>
    <row r="4029" spans="1:59">
      <c r="A4029" s="1">
        <f>HYPERLINK("https://lsnyc.legalserver.org/matter/dynamic-profile/view/1908168","19-1908168")</f>
        <v>0</v>
      </c>
      <c r="B4029" t="s">
        <v>2658</v>
      </c>
      <c r="C4029" t="s">
        <v>7967</v>
      </c>
      <c r="D4029" t="s">
        <v>9926</v>
      </c>
      <c r="E4029" t="s">
        <v>10075</v>
      </c>
      <c r="F4029">
        <v>10463</v>
      </c>
      <c r="G4029" t="s">
        <v>10091</v>
      </c>
      <c r="H4029" t="s">
        <v>10145</v>
      </c>
      <c r="I4029" t="s">
        <v>10168</v>
      </c>
      <c r="J4029" t="s">
        <v>10211</v>
      </c>
      <c r="K4029" t="s">
        <v>10218</v>
      </c>
      <c r="L4029" t="s">
        <v>10145</v>
      </c>
      <c r="M4029" t="s">
        <v>10231</v>
      </c>
      <c r="N4029" t="s">
        <v>10647</v>
      </c>
      <c r="P4029" t="s">
        <v>10752</v>
      </c>
      <c r="Q4029" t="s">
        <v>10762</v>
      </c>
      <c r="R4029" t="s">
        <v>10824</v>
      </c>
      <c r="T4029">
        <v>27600</v>
      </c>
      <c r="U4029">
        <v>2300</v>
      </c>
      <c r="V4029">
        <v>68</v>
      </c>
      <c r="W4029">
        <v>2</v>
      </c>
      <c r="X4029">
        <v>0</v>
      </c>
      <c r="Y4029" t="s">
        <v>10829</v>
      </c>
      <c r="Z4029">
        <v>163.22</v>
      </c>
      <c r="AA4029">
        <v>40.88284</v>
      </c>
      <c r="AB4029">
        <v>-73.903143</v>
      </c>
      <c r="AC4029" t="s">
        <v>10837</v>
      </c>
      <c r="AD4029" t="s">
        <v>10840</v>
      </c>
      <c r="AG4029" t="s">
        <v>10858</v>
      </c>
      <c r="AH4029" t="s">
        <v>10863</v>
      </c>
      <c r="AI4029">
        <v>235</v>
      </c>
      <c r="AJ4029" t="s">
        <v>10211</v>
      </c>
      <c r="AK4029" t="s">
        <v>10882</v>
      </c>
      <c r="AL4029">
        <v>0.05</v>
      </c>
      <c r="AM4029" t="s">
        <v>10887</v>
      </c>
      <c r="AN4029" t="s">
        <v>10919</v>
      </c>
      <c r="AO4029" t="s">
        <v>11000</v>
      </c>
      <c r="AP4029" t="s">
        <v>11057</v>
      </c>
      <c r="AR4029" t="s">
        <v>11257</v>
      </c>
      <c r="AS4029" t="s">
        <v>9926</v>
      </c>
      <c r="AY4029" t="s">
        <v>10829</v>
      </c>
      <c r="AZ4029" t="s">
        <v>11680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</row>
    <row r="4030" spans="1:59">
      <c r="A4030" s="1">
        <f>HYPERLINK("https://lsnyc.legalserver.org/matter/dynamic-profile/view/1908169","19-1908169")</f>
        <v>0</v>
      </c>
      <c r="B4030" t="s">
        <v>3321</v>
      </c>
      <c r="C4030" t="s">
        <v>5466</v>
      </c>
      <c r="D4030" t="s">
        <v>9929</v>
      </c>
      <c r="E4030" t="s">
        <v>10075</v>
      </c>
      <c r="F4030">
        <v>10310</v>
      </c>
      <c r="G4030" t="s">
        <v>10089</v>
      </c>
      <c r="H4030" t="s">
        <v>10145</v>
      </c>
      <c r="I4030" t="s">
        <v>10168</v>
      </c>
      <c r="J4030" t="s">
        <v>10209</v>
      </c>
      <c r="K4030" t="s">
        <v>10217</v>
      </c>
      <c r="M4030" t="s">
        <v>10301</v>
      </c>
      <c r="N4030" t="s">
        <v>10665</v>
      </c>
      <c r="P4030" t="s">
        <v>10751</v>
      </c>
      <c r="Q4030" t="s">
        <v>10773</v>
      </c>
      <c r="R4030" t="s">
        <v>10824</v>
      </c>
      <c r="T4030">
        <v>3492</v>
      </c>
      <c r="U4030">
        <v>291</v>
      </c>
      <c r="V4030">
        <v>28</v>
      </c>
      <c r="W4030">
        <v>1</v>
      </c>
      <c r="X4030">
        <v>1</v>
      </c>
      <c r="Z4030">
        <v>20.65</v>
      </c>
      <c r="AA4030">
        <v>40.635746</v>
      </c>
      <c r="AB4030">
        <v>-74.11912700000001</v>
      </c>
      <c r="AD4030" t="s">
        <v>10839</v>
      </c>
      <c r="AG4030" t="s">
        <v>10858</v>
      </c>
      <c r="AH4030" t="s">
        <v>10861</v>
      </c>
      <c r="AI4030">
        <v>234</v>
      </c>
      <c r="AJ4030" t="s">
        <v>10214</v>
      </c>
      <c r="AL4030">
        <v>3.85</v>
      </c>
      <c r="AM4030" t="s">
        <v>10883</v>
      </c>
      <c r="AN4030" t="s">
        <v>10913</v>
      </c>
      <c r="AO4030" t="s">
        <v>11006</v>
      </c>
      <c r="AP4030" t="s">
        <v>11051</v>
      </c>
      <c r="AQ4030" t="s">
        <v>11115</v>
      </c>
      <c r="AR4030" t="s">
        <v>11311</v>
      </c>
      <c r="AS4030" t="s">
        <v>11593</v>
      </c>
      <c r="AT4030" t="s">
        <v>11641</v>
      </c>
      <c r="AX4030" t="s">
        <v>10838</v>
      </c>
      <c r="BA4030" t="s">
        <v>11741</v>
      </c>
      <c r="BB4030">
        <v>0</v>
      </c>
      <c r="BC4030">
        <v>0</v>
      </c>
      <c r="BD4030">
        <v>0</v>
      </c>
      <c r="BE4030">
        <v>0</v>
      </c>
      <c r="BF4030">
        <v>1</v>
      </c>
      <c r="BG4030">
        <v>0</v>
      </c>
    </row>
    <row r="4031" spans="1:59">
      <c r="A4031" s="1">
        <f>HYPERLINK("https://lsnyc.legalserver.org/matter/dynamic-profile/view/1908170","19-1908170")</f>
        <v>0</v>
      </c>
      <c r="B4031" t="s">
        <v>3322</v>
      </c>
      <c r="C4031" t="s">
        <v>8111</v>
      </c>
      <c r="D4031" t="s">
        <v>9926</v>
      </c>
      <c r="E4031" t="s">
        <v>10075</v>
      </c>
      <c r="F4031">
        <v>10472</v>
      </c>
      <c r="G4031" t="s">
        <v>10091</v>
      </c>
      <c r="H4031" t="s">
        <v>10145</v>
      </c>
      <c r="I4031" t="s">
        <v>10168</v>
      </c>
      <c r="J4031" t="s">
        <v>10211</v>
      </c>
      <c r="K4031" t="s">
        <v>10218</v>
      </c>
      <c r="L4031" t="s">
        <v>10145</v>
      </c>
      <c r="M4031" t="s">
        <v>10231</v>
      </c>
      <c r="N4031" t="s">
        <v>10647</v>
      </c>
      <c r="P4031" t="s">
        <v>10752</v>
      </c>
      <c r="Q4031" t="s">
        <v>10762</v>
      </c>
      <c r="R4031" t="s">
        <v>10824</v>
      </c>
      <c r="T4031">
        <v>16800</v>
      </c>
      <c r="U4031">
        <v>1400</v>
      </c>
      <c r="V4031">
        <v>43</v>
      </c>
      <c r="W4031">
        <v>2</v>
      </c>
      <c r="X4031">
        <v>2</v>
      </c>
      <c r="Y4031" t="s">
        <v>10829</v>
      </c>
      <c r="Z4031">
        <v>65.23999999999999</v>
      </c>
      <c r="AA4031">
        <v>40.829585</v>
      </c>
      <c r="AB4031">
        <v>-73.86267100000001</v>
      </c>
      <c r="AD4031" t="s">
        <v>10822</v>
      </c>
      <c r="AG4031" t="s">
        <v>10858</v>
      </c>
      <c r="AH4031" t="s">
        <v>10863</v>
      </c>
      <c r="AI4031">
        <v>235</v>
      </c>
      <c r="AJ4031" t="s">
        <v>10211</v>
      </c>
      <c r="AK4031" t="s">
        <v>10882</v>
      </c>
      <c r="AL4031">
        <v>0.05</v>
      </c>
      <c r="AM4031" t="s">
        <v>10884</v>
      </c>
      <c r="AN4031" t="s">
        <v>10908</v>
      </c>
      <c r="AO4031" t="s">
        <v>11002</v>
      </c>
      <c r="AP4031" t="s">
        <v>11046</v>
      </c>
      <c r="AR4031" t="s">
        <v>11257</v>
      </c>
      <c r="AS4031" t="s">
        <v>9926</v>
      </c>
      <c r="AY4031" t="s">
        <v>10829</v>
      </c>
      <c r="AZ4031" t="s">
        <v>11680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</row>
    <row r="4032" spans="1:59">
      <c r="A4032" s="1">
        <f>HYPERLINK("https://lsnyc.legalserver.org/matter/dynamic-profile/view/1908171","19-1908171")</f>
        <v>0</v>
      </c>
      <c r="B4032" t="s">
        <v>1485</v>
      </c>
      <c r="C4032" t="s">
        <v>8112</v>
      </c>
      <c r="D4032" t="s">
        <v>9983</v>
      </c>
      <c r="E4032" t="s">
        <v>10075</v>
      </c>
      <c r="F4032">
        <v>11694</v>
      </c>
      <c r="G4032" t="s">
        <v>10092</v>
      </c>
      <c r="H4032" t="s">
        <v>10145</v>
      </c>
      <c r="J4032" t="s">
        <v>10212</v>
      </c>
      <c r="K4032" t="s">
        <v>10217</v>
      </c>
      <c r="M4032" t="s">
        <v>10350</v>
      </c>
      <c r="N4032" t="s">
        <v>10692</v>
      </c>
      <c r="P4032" t="s">
        <v>10754</v>
      </c>
      <c r="Q4032" t="s">
        <v>10775</v>
      </c>
      <c r="R4032" t="s">
        <v>10820</v>
      </c>
      <c r="T4032">
        <v>2328</v>
      </c>
      <c r="U4032">
        <v>194</v>
      </c>
      <c r="V4032">
        <v>29</v>
      </c>
      <c r="W4032">
        <v>1</v>
      </c>
      <c r="X4032">
        <v>2</v>
      </c>
      <c r="Z4032">
        <v>10.91</v>
      </c>
      <c r="AA4032">
        <v>40.580425</v>
      </c>
      <c r="AB4032">
        <v>-73.827956</v>
      </c>
      <c r="AD4032" t="s">
        <v>10839</v>
      </c>
      <c r="AG4032" t="s">
        <v>10858</v>
      </c>
      <c r="AH4032" t="s">
        <v>10865</v>
      </c>
      <c r="AI4032">
        <v>237</v>
      </c>
      <c r="AJ4032" t="s">
        <v>10212</v>
      </c>
      <c r="AL4032">
        <v>1.25</v>
      </c>
      <c r="AM4032" t="s">
        <v>10892</v>
      </c>
      <c r="AN4032" t="s">
        <v>10958</v>
      </c>
      <c r="AO4032" t="s">
        <v>11024</v>
      </c>
      <c r="AP4032" t="s">
        <v>11088</v>
      </c>
      <c r="AR4032" t="s">
        <v>11306</v>
      </c>
      <c r="AS4032" t="s">
        <v>11594</v>
      </c>
      <c r="BA4032" t="s">
        <v>11738</v>
      </c>
      <c r="BB4032">
        <v>0</v>
      </c>
      <c r="BC4032">
        <v>0</v>
      </c>
      <c r="BD4032">
        <v>0</v>
      </c>
      <c r="BE4032">
        <v>0</v>
      </c>
      <c r="BF4032">
        <v>5</v>
      </c>
      <c r="BG4032">
        <v>0</v>
      </c>
    </row>
    <row r="4033" spans="1:59">
      <c r="A4033" s="1">
        <f>HYPERLINK("https://lsnyc.legalserver.org/matter/dynamic-profile/view/1908173","19-1908173")</f>
        <v>0</v>
      </c>
      <c r="B4033" t="s">
        <v>3323</v>
      </c>
      <c r="C4033" t="s">
        <v>8113</v>
      </c>
      <c r="D4033" t="s">
        <v>9926</v>
      </c>
      <c r="E4033" t="s">
        <v>10075</v>
      </c>
      <c r="F4033">
        <v>10457</v>
      </c>
      <c r="G4033" t="s">
        <v>10091</v>
      </c>
      <c r="H4033" t="s">
        <v>10145</v>
      </c>
      <c r="I4033" t="s">
        <v>10168</v>
      </c>
      <c r="J4033" t="s">
        <v>10214</v>
      </c>
      <c r="K4033" t="s">
        <v>10217</v>
      </c>
      <c r="M4033" t="s">
        <v>10286</v>
      </c>
      <c r="N4033" t="s">
        <v>10671</v>
      </c>
      <c r="P4033" t="s">
        <v>10751</v>
      </c>
      <c r="Q4033" t="s">
        <v>10768</v>
      </c>
      <c r="R4033" t="s">
        <v>10824</v>
      </c>
      <c r="T4033">
        <v>2366</v>
      </c>
      <c r="U4033">
        <v>197.17</v>
      </c>
      <c r="V4033">
        <v>46</v>
      </c>
      <c r="W4033">
        <v>1</v>
      </c>
      <c r="X4033">
        <v>0</v>
      </c>
      <c r="Z4033">
        <v>18.94</v>
      </c>
      <c r="AA4033">
        <v>40.847838</v>
      </c>
      <c r="AB4033">
        <v>-73.90330400000001</v>
      </c>
      <c r="AD4033" t="s">
        <v>10840</v>
      </c>
      <c r="AG4033" t="s">
        <v>10858</v>
      </c>
      <c r="AH4033" t="s">
        <v>10871</v>
      </c>
      <c r="AI4033">
        <v>234</v>
      </c>
      <c r="AJ4033" t="s">
        <v>10214</v>
      </c>
      <c r="AL4033">
        <v>1</v>
      </c>
      <c r="AM4033" t="s">
        <v>10884</v>
      </c>
      <c r="AN4033" t="s">
        <v>10931</v>
      </c>
      <c r="AO4033" t="s">
        <v>11000</v>
      </c>
      <c r="AP4033" t="s">
        <v>11056</v>
      </c>
      <c r="AR4033" t="s">
        <v>11311</v>
      </c>
      <c r="AS4033" t="s">
        <v>9926</v>
      </c>
      <c r="AT4033" t="s">
        <v>11642</v>
      </c>
      <c r="AX4033" t="s">
        <v>10838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</row>
    <row r="4034" spans="1:59">
      <c r="A4034" s="1">
        <f>HYPERLINK("https://lsnyc.legalserver.org/matter/dynamic-profile/view/1908174","19-1908174")</f>
        <v>0</v>
      </c>
      <c r="B4034" t="s">
        <v>220</v>
      </c>
      <c r="C4034" t="s">
        <v>6825</v>
      </c>
      <c r="D4034" t="s">
        <v>9977</v>
      </c>
      <c r="E4034" t="s">
        <v>10075</v>
      </c>
      <c r="F4034">
        <v>11361</v>
      </c>
      <c r="G4034" t="s">
        <v>10092</v>
      </c>
      <c r="H4034" t="s">
        <v>10145</v>
      </c>
      <c r="I4034" t="s">
        <v>10168</v>
      </c>
      <c r="J4034" t="s">
        <v>10212</v>
      </c>
      <c r="K4034" t="s">
        <v>10217</v>
      </c>
      <c r="M4034" t="s">
        <v>10343</v>
      </c>
      <c r="N4034" t="s">
        <v>10695</v>
      </c>
      <c r="P4034" t="s">
        <v>10749</v>
      </c>
      <c r="Q4034" t="s">
        <v>10765</v>
      </c>
      <c r="R4034" t="s">
        <v>10824</v>
      </c>
      <c r="T4034">
        <v>12000</v>
      </c>
      <c r="U4034">
        <v>1000</v>
      </c>
      <c r="V4034">
        <v>40</v>
      </c>
      <c r="W4034">
        <v>1</v>
      </c>
      <c r="X4034">
        <v>2</v>
      </c>
      <c r="Z4034">
        <v>56.26</v>
      </c>
      <c r="AA4034">
        <v>40.758382</v>
      </c>
      <c r="AB4034">
        <v>-73.780761</v>
      </c>
      <c r="AD4034" t="s">
        <v>10839</v>
      </c>
      <c r="AG4034" t="s">
        <v>10858</v>
      </c>
      <c r="AH4034" t="s">
        <v>10862</v>
      </c>
      <c r="AI4034">
        <v>237</v>
      </c>
      <c r="AJ4034" t="s">
        <v>10212</v>
      </c>
      <c r="AL4034">
        <v>9.5</v>
      </c>
      <c r="AM4034" t="s">
        <v>10890</v>
      </c>
      <c r="AN4034" t="s">
        <v>10948</v>
      </c>
      <c r="AO4034" t="s">
        <v>11022</v>
      </c>
      <c r="AP4034" t="s">
        <v>11080</v>
      </c>
      <c r="AR4034" t="s">
        <v>11445</v>
      </c>
      <c r="AS4034" t="s">
        <v>11594</v>
      </c>
      <c r="AT4034" t="s">
        <v>11641</v>
      </c>
      <c r="BA4034" t="s">
        <v>11740</v>
      </c>
      <c r="BB4034">
        <v>0</v>
      </c>
      <c r="BC4034">
        <v>0</v>
      </c>
      <c r="BD4034">
        <v>0</v>
      </c>
      <c r="BE4034">
        <v>0</v>
      </c>
      <c r="BF4034">
        <v>2</v>
      </c>
      <c r="BG4034">
        <v>0</v>
      </c>
    </row>
    <row r="4035" spans="1:59">
      <c r="A4035" s="1">
        <f>HYPERLINK("https://lsnyc.legalserver.org/matter/dynamic-profile/view/1908175","19-1908175")</f>
        <v>0</v>
      </c>
      <c r="B4035" t="s">
        <v>3324</v>
      </c>
      <c r="C4035" t="s">
        <v>8114</v>
      </c>
      <c r="D4035" t="s">
        <v>9926</v>
      </c>
      <c r="E4035" t="s">
        <v>10075</v>
      </c>
      <c r="F4035">
        <v>10467</v>
      </c>
      <c r="G4035" t="s">
        <v>10090</v>
      </c>
      <c r="H4035" t="s">
        <v>10145</v>
      </c>
      <c r="I4035" t="s">
        <v>10168</v>
      </c>
      <c r="J4035" t="s">
        <v>10210</v>
      </c>
      <c r="K4035" t="s">
        <v>10217</v>
      </c>
      <c r="M4035" t="s">
        <v>10306</v>
      </c>
      <c r="N4035" t="s">
        <v>10651</v>
      </c>
      <c r="P4035" t="s">
        <v>10749</v>
      </c>
      <c r="Q4035" t="s">
        <v>10765</v>
      </c>
      <c r="R4035" t="s">
        <v>10824</v>
      </c>
      <c r="T4035">
        <v>4500</v>
      </c>
      <c r="U4035">
        <v>375</v>
      </c>
      <c r="V4035">
        <v>57</v>
      </c>
      <c r="W4035">
        <v>1</v>
      </c>
      <c r="X4035">
        <v>0</v>
      </c>
      <c r="Z4035">
        <v>36.03</v>
      </c>
      <c r="AA4035">
        <v>40.879921</v>
      </c>
      <c r="AB4035">
        <v>-73.86281099999999</v>
      </c>
      <c r="AD4035" t="s">
        <v>10840</v>
      </c>
      <c r="AG4035" t="s">
        <v>10858</v>
      </c>
      <c r="AH4035" t="s">
        <v>10861</v>
      </c>
      <c r="AI4035">
        <v>230</v>
      </c>
      <c r="AJ4035" t="s">
        <v>10210</v>
      </c>
      <c r="AL4035">
        <v>6.5</v>
      </c>
      <c r="AM4035" t="s">
        <v>10893</v>
      </c>
      <c r="AN4035" t="s">
        <v>10956</v>
      </c>
      <c r="AO4035" t="s">
        <v>11010</v>
      </c>
      <c r="AP4035" t="s">
        <v>11085</v>
      </c>
      <c r="AR4035" t="s">
        <v>11273</v>
      </c>
      <c r="AS4035" t="s">
        <v>9926</v>
      </c>
      <c r="AT4035" t="s">
        <v>11642</v>
      </c>
      <c r="AX4035" t="s">
        <v>10838</v>
      </c>
      <c r="BA4035" t="s">
        <v>11738</v>
      </c>
      <c r="BB4035">
        <v>0</v>
      </c>
      <c r="BC4035">
        <v>0</v>
      </c>
      <c r="BD4035">
        <v>0</v>
      </c>
      <c r="BE4035">
        <v>0</v>
      </c>
      <c r="BF4035">
        <v>5</v>
      </c>
      <c r="BG4035">
        <v>0</v>
      </c>
    </row>
    <row r="4036" spans="1:59">
      <c r="A4036" s="1">
        <f>HYPERLINK("https://lsnyc.legalserver.org/matter/dynamic-profile/view/1908176","19-1908176")</f>
        <v>0</v>
      </c>
      <c r="B4036" t="s">
        <v>3325</v>
      </c>
      <c r="C4036" t="s">
        <v>6641</v>
      </c>
      <c r="D4036" t="s">
        <v>9928</v>
      </c>
      <c r="E4036" t="s">
        <v>10075</v>
      </c>
      <c r="F4036">
        <v>11210</v>
      </c>
      <c r="G4036" t="s">
        <v>10093</v>
      </c>
      <c r="H4036" t="s">
        <v>10145</v>
      </c>
      <c r="I4036" t="s">
        <v>10168</v>
      </c>
      <c r="J4036" t="s">
        <v>10213</v>
      </c>
      <c r="K4036" t="s">
        <v>10217</v>
      </c>
      <c r="M4036" t="s">
        <v>10304</v>
      </c>
      <c r="N4036" t="s">
        <v>10646</v>
      </c>
      <c r="P4036" t="s">
        <v>10749</v>
      </c>
      <c r="Q4036" t="s">
        <v>10765</v>
      </c>
      <c r="R4036" t="s">
        <v>10824</v>
      </c>
      <c r="T4036">
        <v>58000</v>
      </c>
      <c r="U4036">
        <v>4833.33</v>
      </c>
      <c r="V4036">
        <v>43</v>
      </c>
      <c r="W4036">
        <v>2</v>
      </c>
      <c r="X4036">
        <v>0</v>
      </c>
      <c r="Z4036">
        <v>342.99</v>
      </c>
      <c r="AA4036">
        <v>40.637101</v>
      </c>
      <c r="AB4036">
        <v>-73.957266</v>
      </c>
      <c r="AD4036" t="s">
        <v>10839</v>
      </c>
      <c r="AG4036" t="s">
        <v>10858</v>
      </c>
      <c r="AH4036" t="s">
        <v>10861</v>
      </c>
      <c r="AI4036">
        <v>234</v>
      </c>
      <c r="AJ4036" t="s">
        <v>10214</v>
      </c>
      <c r="AL4036">
        <v>1</v>
      </c>
      <c r="AM4036" t="s">
        <v>10888</v>
      </c>
      <c r="AN4036" t="s">
        <v>10932</v>
      </c>
      <c r="AO4036" t="s">
        <v>11008</v>
      </c>
      <c r="AP4036" t="s">
        <v>11050</v>
      </c>
      <c r="AR4036" t="s">
        <v>11257</v>
      </c>
      <c r="AS4036" t="s">
        <v>11595</v>
      </c>
      <c r="AT4036" t="s">
        <v>11641</v>
      </c>
      <c r="AX4036" t="s">
        <v>10838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</row>
    <row r="4037" spans="1:59">
      <c r="A4037" s="1">
        <f>HYPERLINK("https://lsnyc.legalserver.org/matter/dynamic-profile/view/1908177","19-1908177")</f>
        <v>0</v>
      </c>
      <c r="B4037" t="s">
        <v>1483</v>
      </c>
      <c r="C4037" t="s">
        <v>8115</v>
      </c>
      <c r="D4037" t="s">
        <v>10043</v>
      </c>
      <c r="E4037" t="s">
        <v>10085</v>
      </c>
      <c r="F4037">
        <v>1604</v>
      </c>
      <c r="G4037" t="s">
        <v>10093</v>
      </c>
      <c r="H4037" t="s">
        <v>10145</v>
      </c>
      <c r="I4037" t="s">
        <v>10168</v>
      </c>
      <c r="J4037" t="s">
        <v>10213</v>
      </c>
      <c r="K4037" t="s">
        <v>10217</v>
      </c>
      <c r="M4037" t="s">
        <v>10358</v>
      </c>
      <c r="N4037" t="s">
        <v>10737</v>
      </c>
      <c r="P4037" t="s">
        <v>10752</v>
      </c>
      <c r="Q4037" t="s">
        <v>10783</v>
      </c>
      <c r="R4037" t="s">
        <v>10820</v>
      </c>
      <c r="T4037">
        <v>36684</v>
      </c>
      <c r="U4037">
        <v>3057</v>
      </c>
      <c r="V4037">
        <v>62</v>
      </c>
      <c r="W4037">
        <v>1</v>
      </c>
      <c r="X4037">
        <v>0</v>
      </c>
      <c r="Z4037">
        <v>293.71</v>
      </c>
      <c r="AA4037">
        <v>42.23907</v>
      </c>
      <c r="AB4037">
        <v>-71.753606</v>
      </c>
      <c r="AC4037" t="s">
        <v>10837</v>
      </c>
      <c r="AD4037" t="s">
        <v>10840</v>
      </c>
      <c r="AG4037" t="s">
        <v>10858</v>
      </c>
      <c r="AH4037" t="s">
        <v>10863</v>
      </c>
      <c r="AI4037">
        <v>239</v>
      </c>
      <c r="AJ4037" t="s">
        <v>10213</v>
      </c>
      <c r="AL4037">
        <v>1.5</v>
      </c>
      <c r="AR4037" t="s">
        <v>11303</v>
      </c>
      <c r="AS4037" t="s">
        <v>10043</v>
      </c>
      <c r="BA4037" t="s">
        <v>11740</v>
      </c>
      <c r="BB4037">
        <v>0</v>
      </c>
      <c r="BC4037">
        <v>0</v>
      </c>
      <c r="BD4037">
        <v>0</v>
      </c>
      <c r="BE4037">
        <v>0</v>
      </c>
      <c r="BF4037">
        <v>2</v>
      </c>
      <c r="BG4037">
        <v>0</v>
      </c>
    </row>
    <row r="4038" spans="1:59">
      <c r="A4038" s="1">
        <f>HYPERLINK("https://lsnyc.legalserver.org/matter/dynamic-profile/view/1908178","19-1908178")</f>
        <v>0</v>
      </c>
      <c r="B4038" t="s">
        <v>3326</v>
      </c>
      <c r="C4038" t="s">
        <v>8116</v>
      </c>
      <c r="D4038" t="s">
        <v>9928</v>
      </c>
      <c r="E4038" t="s">
        <v>10075</v>
      </c>
      <c r="F4038">
        <v>11226</v>
      </c>
      <c r="G4038" t="s">
        <v>10093</v>
      </c>
      <c r="H4038" t="s">
        <v>10145</v>
      </c>
      <c r="I4038" t="s">
        <v>10168</v>
      </c>
      <c r="J4038" t="s">
        <v>10213</v>
      </c>
      <c r="K4038" t="s">
        <v>10217</v>
      </c>
      <c r="M4038" t="s">
        <v>10344</v>
      </c>
      <c r="N4038" t="s">
        <v>10667</v>
      </c>
      <c r="P4038" t="s">
        <v>10749</v>
      </c>
      <c r="Q4038" t="s">
        <v>10765</v>
      </c>
      <c r="R4038" t="s">
        <v>10824</v>
      </c>
      <c r="T4038">
        <v>10512</v>
      </c>
      <c r="U4038">
        <v>876</v>
      </c>
      <c r="V4038">
        <v>81</v>
      </c>
      <c r="W4038">
        <v>1</v>
      </c>
      <c r="X4038">
        <v>0</v>
      </c>
      <c r="Z4038">
        <v>84.16</v>
      </c>
      <c r="AA4038">
        <v>40.651564</v>
      </c>
      <c r="AB4038">
        <v>-73.95706</v>
      </c>
      <c r="AD4038" t="s">
        <v>10840</v>
      </c>
      <c r="AG4038" t="s">
        <v>10858</v>
      </c>
      <c r="AH4038" t="s">
        <v>10861</v>
      </c>
      <c r="AI4038">
        <v>239</v>
      </c>
      <c r="AJ4038" t="s">
        <v>10213</v>
      </c>
      <c r="AL4038">
        <v>0</v>
      </c>
      <c r="AM4038" t="s">
        <v>10888</v>
      </c>
      <c r="AN4038" t="s">
        <v>10912</v>
      </c>
      <c r="AO4038" t="s">
        <v>11008</v>
      </c>
      <c r="AP4038" t="s">
        <v>11050</v>
      </c>
      <c r="AR4038" t="s">
        <v>11258</v>
      </c>
      <c r="AS4038" t="s">
        <v>11595</v>
      </c>
      <c r="BA4038" t="s">
        <v>11742</v>
      </c>
      <c r="BB4038">
        <v>0</v>
      </c>
      <c r="BC4038">
        <v>0</v>
      </c>
      <c r="BD4038">
        <v>0</v>
      </c>
      <c r="BE4038">
        <v>0</v>
      </c>
      <c r="BF4038">
        <v>7</v>
      </c>
      <c r="BG4038">
        <v>0</v>
      </c>
    </row>
    <row r="4039" spans="1:59">
      <c r="A4039" s="1">
        <f>HYPERLINK("https://lsnyc.legalserver.org/matter/dynamic-profile/view/1908179","19-1908179")</f>
        <v>0</v>
      </c>
      <c r="B4039" t="s">
        <v>3327</v>
      </c>
      <c r="C4039" t="s">
        <v>8117</v>
      </c>
      <c r="D4039" t="s">
        <v>9926</v>
      </c>
      <c r="E4039" t="s">
        <v>10075</v>
      </c>
      <c r="F4039">
        <v>10460</v>
      </c>
      <c r="G4039" t="s">
        <v>10090</v>
      </c>
      <c r="H4039" t="s">
        <v>10145</v>
      </c>
      <c r="I4039" t="s">
        <v>10169</v>
      </c>
      <c r="J4039" t="s">
        <v>10210</v>
      </c>
      <c r="K4039" t="s">
        <v>10217</v>
      </c>
      <c r="M4039" t="s">
        <v>10303</v>
      </c>
      <c r="N4039" t="s">
        <v>10688</v>
      </c>
      <c r="P4039" t="s">
        <v>10751</v>
      </c>
      <c r="Q4039" t="s">
        <v>10786</v>
      </c>
      <c r="R4039" t="s">
        <v>10821</v>
      </c>
      <c r="T4039">
        <v>15480</v>
      </c>
      <c r="U4039">
        <v>1290</v>
      </c>
      <c r="V4039">
        <v>49</v>
      </c>
      <c r="W4039">
        <v>2</v>
      </c>
      <c r="X4039">
        <v>1</v>
      </c>
      <c r="Z4039">
        <v>72.56999999999999</v>
      </c>
      <c r="AA4039">
        <v>40.845931</v>
      </c>
      <c r="AB4039">
        <v>-73.88369299999999</v>
      </c>
      <c r="AD4039" t="s">
        <v>10839</v>
      </c>
      <c r="AF4039" t="s">
        <v>10843</v>
      </c>
      <c r="AG4039" t="s">
        <v>10859</v>
      </c>
      <c r="AH4039" t="s">
        <v>10861</v>
      </c>
      <c r="AI4039">
        <v>230</v>
      </c>
      <c r="AJ4039" t="s">
        <v>10210</v>
      </c>
      <c r="AL4039">
        <v>2.1</v>
      </c>
      <c r="AM4039" t="s">
        <v>10884</v>
      </c>
      <c r="AN4039" t="s">
        <v>10908</v>
      </c>
      <c r="AO4039" t="s">
        <v>11000</v>
      </c>
      <c r="AP4039" t="s">
        <v>11062</v>
      </c>
      <c r="AR4039" t="s">
        <v>11257</v>
      </c>
      <c r="AS4039" t="s">
        <v>9926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</row>
    <row r="4040" spans="1:59">
      <c r="A4040" s="1">
        <f>HYPERLINK("https://lsnyc.legalserver.org/matter/dynamic-profile/view/1908180","19-1908180")</f>
        <v>0</v>
      </c>
      <c r="B4040" t="s">
        <v>3328</v>
      </c>
      <c r="C4040" t="s">
        <v>8118</v>
      </c>
      <c r="D4040" t="s">
        <v>9950</v>
      </c>
      <c r="E4040" t="s">
        <v>10075</v>
      </c>
      <c r="F4040">
        <v>11418</v>
      </c>
      <c r="G4040" t="s">
        <v>10092</v>
      </c>
      <c r="H4040" t="s">
        <v>10145</v>
      </c>
      <c r="I4040" t="s">
        <v>10169</v>
      </c>
      <c r="J4040" t="s">
        <v>10212</v>
      </c>
      <c r="K4040" t="s">
        <v>10217</v>
      </c>
      <c r="M4040" t="s">
        <v>10547</v>
      </c>
      <c r="N4040" t="s">
        <v>10671</v>
      </c>
      <c r="P4040" t="s">
        <v>10753</v>
      </c>
      <c r="Q4040" t="s">
        <v>10763</v>
      </c>
      <c r="R4040" t="s">
        <v>10821</v>
      </c>
      <c r="T4040">
        <v>23400</v>
      </c>
      <c r="U4040">
        <v>1950</v>
      </c>
      <c r="V4040">
        <v>62</v>
      </c>
      <c r="W4040">
        <v>1</v>
      </c>
      <c r="X4040">
        <v>0</v>
      </c>
      <c r="Z4040">
        <v>187.35</v>
      </c>
      <c r="AA4040">
        <v>40.703229</v>
      </c>
      <c r="AB4040">
        <v>-73.819474</v>
      </c>
      <c r="AD4040" t="s">
        <v>10839</v>
      </c>
      <c r="AF4040" t="s">
        <v>10843</v>
      </c>
      <c r="AG4040" t="s">
        <v>10859</v>
      </c>
      <c r="AH4040" t="s">
        <v>10861</v>
      </c>
      <c r="AI4040">
        <v>234</v>
      </c>
      <c r="AJ4040" t="s">
        <v>10214</v>
      </c>
      <c r="AL4040">
        <v>1.7</v>
      </c>
      <c r="AM4040" t="s">
        <v>10890</v>
      </c>
      <c r="AN4040" t="s">
        <v>10962</v>
      </c>
      <c r="AO4040" t="s">
        <v>11020</v>
      </c>
      <c r="AP4040" t="s">
        <v>11083</v>
      </c>
      <c r="AQ4040" t="s">
        <v>11097</v>
      </c>
      <c r="AR4040" t="s">
        <v>11257</v>
      </c>
      <c r="AS4040" t="s">
        <v>11594</v>
      </c>
      <c r="AT4040" t="s">
        <v>11641</v>
      </c>
      <c r="AX4040" t="s">
        <v>10838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</row>
    <row r="4041" spans="1:59">
      <c r="A4041" s="1">
        <f>HYPERLINK("https://lsnyc.legalserver.org/matter/dynamic-profile/view/1908181","19-1908181")</f>
        <v>0</v>
      </c>
      <c r="B4041" t="s">
        <v>3329</v>
      </c>
      <c r="C4041" t="s">
        <v>8119</v>
      </c>
      <c r="D4041" t="s">
        <v>9928</v>
      </c>
      <c r="E4041" t="s">
        <v>10075</v>
      </c>
      <c r="F4041">
        <v>11203</v>
      </c>
      <c r="G4041" t="s">
        <v>10090</v>
      </c>
      <c r="H4041" t="s">
        <v>10145</v>
      </c>
      <c r="I4041" t="s">
        <v>10168</v>
      </c>
      <c r="J4041" t="s">
        <v>10210</v>
      </c>
      <c r="K4041" t="s">
        <v>10218</v>
      </c>
      <c r="L4041" t="s">
        <v>10223</v>
      </c>
      <c r="M4041" t="s">
        <v>10247</v>
      </c>
      <c r="N4041" t="s">
        <v>10646</v>
      </c>
      <c r="P4041" t="s">
        <v>10754</v>
      </c>
      <c r="Q4041" t="s">
        <v>10775</v>
      </c>
      <c r="R4041" t="s">
        <v>10825</v>
      </c>
      <c r="T4041">
        <v>34000</v>
      </c>
      <c r="U4041">
        <v>2833.33</v>
      </c>
      <c r="V4041">
        <v>42</v>
      </c>
      <c r="W4041">
        <v>1</v>
      </c>
      <c r="X4041">
        <v>1</v>
      </c>
      <c r="Y4041" t="s">
        <v>10829</v>
      </c>
      <c r="Z4041">
        <v>201.06</v>
      </c>
      <c r="AA4041">
        <v>40.643981</v>
      </c>
      <c r="AB4041">
        <v>-73.945741</v>
      </c>
      <c r="AD4041" t="s">
        <v>10839</v>
      </c>
      <c r="AG4041" t="s">
        <v>10858</v>
      </c>
      <c r="AH4041" t="s">
        <v>10861</v>
      </c>
      <c r="AI4041">
        <v>234</v>
      </c>
      <c r="AJ4041" t="s">
        <v>10214</v>
      </c>
      <c r="AK4041" t="s">
        <v>10837</v>
      </c>
      <c r="AL4041">
        <v>2.1</v>
      </c>
      <c r="AM4041" t="s">
        <v>10888</v>
      </c>
      <c r="AN4041" t="s">
        <v>10932</v>
      </c>
      <c r="AO4041" t="s">
        <v>11008</v>
      </c>
      <c r="AP4041" t="s">
        <v>11065</v>
      </c>
      <c r="AR4041" t="s">
        <v>11257</v>
      </c>
      <c r="AS4041" t="s">
        <v>11595</v>
      </c>
      <c r="AT4041" t="s">
        <v>11641</v>
      </c>
      <c r="AX4041" t="s">
        <v>10838</v>
      </c>
      <c r="AY4041" t="s">
        <v>10829</v>
      </c>
      <c r="AZ4041" t="s">
        <v>11683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</row>
    <row r="4042" spans="1:59">
      <c r="A4042" s="1">
        <f>HYPERLINK("https://lsnyc.legalserver.org/matter/dynamic-profile/view/1908182","19-1908182")</f>
        <v>0</v>
      </c>
      <c r="B4042" t="s">
        <v>3324</v>
      </c>
      <c r="C4042" t="s">
        <v>8114</v>
      </c>
      <c r="D4042" t="s">
        <v>9926</v>
      </c>
      <c r="E4042" t="s">
        <v>10075</v>
      </c>
      <c r="F4042">
        <v>10467</v>
      </c>
      <c r="G4042" t="s">
        <v>10090</v>
      </c>
      <c r="H4042" t="s">
        <v>10145</v>
      </c>
      <c r="I4042" t="s">
        <v>10168</v>
      </c>
      <c r="J4042" t="s">
        <v>10210</v>
      </c>
      <c r="K4042" t="s">
        <v>10217</v>
      </c>
      <c r="M4042" t="s">
        <v>10303</v>
      </c>
      <c r="N4042" t="s">
        <v>10671</v>
      </c>
      <c r="P4042" t="s">
        <v>10751</v>
      </c>
      <c r="Q4042" t="s">
        <v>10761</v>
      </c>
      <c r="R4042" t="s">
        <v>10824</v>
      </c>
      <c r="T4042">
        <v>4500</v>
      </c>
      <c r="U4042">
        <v>375</v>
      </c>
      <c r="V4042">
        <v>57</v>
      </c>
      <c r="W4042">
        <v>1</v>
      </c>
      <c r="X4042">
        <v>0</v>
      </c>
      <c r="Z4042">
        <v>36.03</v>
      </c>
      <c r="AA4042">
        <v>40.879921</v>
      </c>
      <c r="AB4042">
        <v>-73.86281099999999</v>
      </c>
      <c r="AD4042" t="s">
        <v>10840</v>
      </c>
      <c r="AG4042" t="s">
        <v>10858</v>
      </c>
      <c r="AH4042" t="s">
        <v>10861</v>
      </c>
      <c r="AI4042">
        <v>230</v>
      </c>
      <c r="AJ4042" t="s">
        <v>10210</v>
      </c>
      <c r="AL4042">
        <v>0</v>
      </c>
      <c r="AM4042" t="s">
        <v>10893</v>
      </c>
      <c r="AN4042" t="s">
        <v>10956</v>
      </c>
      <c r="AO4042" t="s">
        <v>11010</v>
      </c>
      <c r="AP4042" t="s">
        <v>11085</v>
      </c>
      <c r="AR4042" t="s">
        <v>11273</v>
      </c>
      <c r="AS4042" t="s">
        <v>9926</v>
      </c>
      <c r="AT4042" t="s">
        <v>11642</v>
      </c>
      <c r="AX4042" t="s">
        <v>10838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</row>
    <row r="4043" spans="1:59">
      <c r="A4043" s="1">
        <f>HYPERLINK("https://lsnyc.legalserver.org/matter/dynamic-profile/view/1908183","19-1908183")</f>
        <v>0</v>
      </c>
      <c r="B4043" t="s">
        <v>2687</v>
      </c>
      <c r="C4043" t="s">
        <v>8120</v>
      </c>
      <c r="D4043" t="s">
        <v>9925</v>
      </c>
      <c r="E4043" t="s">
        <v>10075</v>
      </c>
      <c r="F4043">
        <v>10013</v>
      </c>
      <c r="G4043" t="s">
        <v>10089</v>
      </c>
      <c r="H4043" t="s">
        <v>10145</v>
      </c>
      <c r="I4043" t="s">
        <v>10168</v>
      </c>
      <c r="J4043" t="s">
        <v>10209</v>
      </c>
      <c r="K4043" t="s">
        <v>10217</v>
      </c>
      <c r="M4043" t="s">
        <v>10270</v>
      </c>
      <c r="N4043" t="s">
        <v>10671</v>
      </c>
      <c r="P4043" t="s">
        <v>10754</v>
      </c>
      <c r="Q4043" t="s">
        <v>10777</v>
      </c>
      <c r="R4043" t="s">
        <v>10825</v>
      </c>
      <c r="T4043">
        <v>26400</v>
      </c>
      <c r="U4043">
        <v>2200</v>
      </c>
      <c r="V4043">
        <v>33</v>
      </c>
      <c r="W4043">
        <v>1</v>
      </c>
      <c r="X4043">
        <v>1</v>
      </c>
      <c r="Z4043">
        <v>156.12</v>
      </c>
      <c r="AA4043">
        <v>40.722989</v>
      </c>
      <c r="AB4043">
        <v>-74.004733</v>
      </c>
      <c r="AD4043" t="s">
        <v>10839</v>
      </c>
      <c r="AG4043" t="s">
        <v>10858</v>
      </c>
      <c r="AH4043" t="s">
        <v>10861</v>
      </c>
      <c r="AI4043">
        <v>234</v>
      </c>
      <c r="AJ4043" t="s">
        <v>10214</v>
      </c>
      <c r="AL4043">
        <v>1.1</v>
      </c>
      <c r="AM4043" t="s">
        <v>10894</v>
      </c>
      <c r="AN4043" t="s">
        <v>10950</v>
      </c>
      <c r="AO4043" t="s">
        <v>11004</v>
      </c>
      <c r="AP4043" t="s">
        <v>11093</v>
      </c>
      <c r="AR4043" t="s">
        <v>11297</v>
      </c>
      <c r="AS4043" t="s">
        <v>9925</v>
      </c>
      <c r="AT4043" t="s">
        <v>11641</v>
      </c>
      <c r="AX4043" t="s">
        <v>10838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</row>
    <row r="4044" spans="1:59">
      <c r="A4044" s="1">
        <f>HYPERLINK("https://lsnyc.legalserver.org/matter/dynamic-profile/view/1908185","19-1908185")</f>
        <v>0</v>
      </c>
      <c r="B4044" t="s">
        <v>3330</v>
      </c>
      <c r="C4044" t="s">
        <v>8121</v>
      </c>
      <c r="D4044" t="s">
        <v>9928</v>
      </c>
      <c r="E4044" t="s">
        <v>10075</v>
      </c>
      <c r="F4044">
        <v>11236</v>
      </c>
      <c r="G4044" t="s">
        <v>10093</v>
      </c>
      <c r="H4044" t="s">
        <v>10145</v>
      </c>
      <c r="I4044" t="s">
        <v>10168</v>
      </c>
      <c r="J4044" t="s">
        <v>10213</v>
      </c>
      <c r="K4044" t="s">
        <v>10217</v>
      </c>
      <c r="M4044" t="s">
        <v>10280</v>
      </c>
      <c r="N4044" t="s">
        <v>10656</v>
      </c>
      <c r="P4044" t="s">
        <v>10751</v>
      </c>
      <c r="Q4044" t="s">
        <v>10768</v>
      </c>
      <c r="R4044" t="s">
        <v>10824</v>
      </c>
      <c r="T4044">
        <v>0</v>
      </c>
      <c r="U4044">
        <v>0</v>
      </c>
      <c r="V4044">
        <v>42</v>
      </c>
      <c r="W4044">
        <v>1</v>
      </c>
      <c r="X4044">
        <v>0</v>
      </c>
      <c r="Z4044">
        <v>0</v>
      </c>
      <c r="AA4044">
        <v>40.649008</v>
      </c>
      <c r="AB4044">
        <v>-73.92075800000001</v>
      </c>
      <c r="AD4044" t="s">
        <v>10839</v>
      </c>
      <c r="AG4044" t="s">
        <v>10858</v>
      </c>
      <c r="AH4044" t="s">
        <v>10871</v>
      </c>
      <c r="AI4044">
        <v>234</v>
      </c>
      <c r="AJ4044" t="s">
        <v>10214</v>
      </c>
      <c r="AL4044">
        <v>3.5</v>
      </c>
      <c r="AM4044" t="s">
        <v>10888</v>
      </c>
      <c r="AN4044" t="s">
        <v>10925</v>
      </c>
      <c r="AO4044" t="s">
        <v>11008</v>
      </c>
      <c r="AP4044" t="s">
        <v>11065</v>
      </c>
      <c r="AR4044" t="s">
        <v>11279</v>
      </c>
      <c r="AS4044" t="s">
        <v>11595</v>
      </c>
      <c r="AT4044" t="s">
        <v>11641</v>
      </c>
      <c r="AX4044" t="s">
        <v>10838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</row>
    <row r="4045" spans="1:59">
      <c r="A4045" s="1">
        <f>HYPERLINK("https://lsnyc.legalserver.org/matter/dynamic-profile/view/1908186","19-1908186")</f>
        <v>0</v>
      </c>
      <c r="B4045" t="s">
        <v>3331</v>
      </c>
      <c r="C4045" t="s">
        <v>8122</v>
      </c>
      <c r="D4045" t="s">
        <v>9926</v>
      </c>
      <c r="E4045" t="s">
        <v>10075</v>
      </c>
      <c r="F4045">
        <v>10462</v>
      </c>
      <c r="G4045" t="s">
        <v>10090</v>
      </c>
      <c r="H4045" t="s">
        <v>10145</v>
      </c>
      <c r="I4045" t="s">
        <v>10168</v>
      </c>
      <c r="J4045" t="s">
        <v>10210</v>
      </c>
      <c r="K4045" t="s">
        <v>10217</v>
      </c>
      <c r="M4045" t="s">
        <v>10306</v>
      </c>
      <c r="N4045" t="s">
        <v>10651</v>
      </c>
      <c r="P4045" t="s">
        <v>10749</v>
      </c>
      <c r="Q4045" t="s">
        <v>10765</v>
      </c>
      <c r="R4045" t="s">
        <v>10823</v>
      </c>
      <c r="T4045">
        <v>51833</v>
      </c>
      <c r="U4045">
        <v>4319.42</v>
      </c>
      <c r="V4045">
        <v>57</v>
      </c>
      <c r="W4045">
        <v>1</v>
      </c>
      <c r="X4045">
        <v>0</v>
      </c>
      <c r="Z4045">
        <v>415</v>
      </c>
      <c r="AA4045">
        <v>40.849409</v>
      </c>
      <c r="AB4045">
        <v>-73.868708</v>
      </c>
      <c r="AD4045" t="s">
        <v>10840</v>
      </c>
      <c r="AG4045" t="s">
        <v>10858</v>
      </c>
      <c r="AH4045" t="s">
        <v>10861</v>
      </c>
      <c r="AI4045">
        <v>230</v>
      </c>
      <c r="AJ4045" t="s">
        <v>10210</v>
      </c>
      <c r="AL4045">
        <v>3.5</v>
      </c>
      <c r="AM4045" t="s">
        <v>10885</v>
      </c>
      <c r="AN4045" t="s">
        <v>10908</v>
      </c>
      <c r="AO4045" t="s">
        <v>11000</v>
      </c>
      <c r="AP4045" t="s">
        <v>11056</v>
      </c>
      <c r="AR4045" t="s">
        <v>11257</v>
      </c>
      <c r="AS4045" t="s">
        <v>9926</v>
      </c>
      <c r="AT4045" t="s">
        <v>11642</v>
      </c>
      <c r="AX4045" t="s">
        <v>10838</v>
      </c>
      <c r="BA4045" t="s">
        <v>11738</v>
      </c>
      <c r="BB4045">
        <v>0</v>
      </c>
      <c r="BC4045">
        <v>0</v>
      </c>
      <c r="BD4045">
        <v>0</v>
      </c>
      <c r="BE4045">
        <v>0</v>
      </c>
      <c r="BF4045">
        <v>5</v>
      </c>
      <c r="BG4045">
        <v>0</v>
      </c>
    </row>
    <row r="4046" spans="1:59">
      <c r="A4046" s="1">
        <f>HYPERLINK("https://lsnyc.legalserver.org/matter/dynamic-profile/view/1908187","19-1908187")</f>
        <v>0</v>
      </c>
      <c r="B4046" t="s">
        <v>3332</v>
      </c>
      <c r="C4046" t="s">
        <v>8123</v>
      </c>
      <c r="D4046" t="s">
        <v>9925</v>
      </c>
      <c r="E4046" t="s">
        <v>10075</v>
      </c>
      <c r="F4046">
        <v>10027</v>
      </c>
      <c r="G4046" t="s">
        <v>10089</v>
      </c>
      <c r="H4046" t="s">
        <v>10145</v>
      </c>
      <c r="I4046" t="s">
        <v>10168</v>
      </c>
      <c r="J4046" t="s">
        <v>10209</v>
      </c>
      <c r="K4046" t="s">
        <v>10217</v>
      </c>
      <c r="M4046" t="s">
        <v>10270</v>
      </c>
      <c r="N4046" t="s">
        <v>10671</v>
      </c>
      <c r="P4046" t="s">
        <v>10754</v>
      </c>
      <c r="Q4046" t="s">
        <v>10777</v>
      </c>
      <c r="R4046" t="s">
        <v>10824</v>
      </c>
      <c r="T4046">
        <v>24000</v>
      </c>
      <c r="U4046">
        <v>2000</v>
      </c>
      <c r="V4046">
        <v>32</v>
      </c>
      <c r="W4046">
        <v>1</v>
      </c>
      <c r="X4046">
        <v>0</v>
      </c>
      <c r="Z4046">
        <v>192.15</v>
      </c>
      <c r="AA4046">
        <v>40.813747</v>
      </c>
      <c r="AB4046">
        <v>-73.946557</v>
      </c>
      <c r="AD4046" t="s">
        <v>10840</v>
      </c>
      <c r="AG4046" t="s">
        <v>10858</v>
      </c>
      <c r="AH4046" t="s">
        <v>10861</v>
      </c>
      <c r="AI4046">
        <v>234</v>
      </c>
      <c r="AJ4046" t="s">
        <v>10214</v>
      </c>
      <c r="AL4046">
        <v>1.3</v>
      </c>
      <c r="AM4046" t="s">
        <v>10887</v>
      </c>
      <c r="AN4046" t="s">
        <v>10936</v>
      </c>
      <c r="AO4046" t="s">
        <v>11016</v>
      </c>
      <c r="AP4046" t="s">
        <v>11076</v>
      </c>
      <c r="AR4046" t="s">
        <v>11257</v>
      </c>
      <c r="AS4046" t="s">
        <v>9925</v>
      </c>
      <c r="AT4046" t="s">
        <v>11642</v>
      </c>
      <c r="AX4046" t="s">
        <v>10838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</row>
    <row r="4047" spans="1:59">
      <c r="A4047" s="1">
        <f>HYPERLINK("https://lsnyc.legalserver.org/matter/dynamic-profile/view/1908188","19-1908188")</f>
        <v>0</v>
      </c>
      <c r="B4047" t="s">
        <v>1415</v>
      </c>
      <c r="C4047" t="s">
        <v>8084</v>
      </c>
      <c r="D4047" t="s">
        <v>9926</v>
      </c>
      <c r="E4047" t="s">
        <v>10075</v>
      </c>
      <c r="F4047">
        <v>10453</v>
      </c>
      <c r="G4047" t="s">
        <v>10090</v>
      </c>
      <c r="H4047" t="s">
        <v>10145</v>
      </c>
      <c r="I4047" t="s">
        <v>10169</v>
      </c>
      <c r="J4047" t="s">
        <v>10210</v>
      </c>
      <c r="K4047" t="s">
        <v>10217</v>
      </c>
      <c r="M4047" t="s">
        <v>10333</v>
      </c>
      <c r="N4047" t="s">
        <v>10677</v>
      </c>
      <c r="P4047" t="s">
        <v>10751</v>
      </c>
      <c r="Q4047" t="s">
        <v>10761</v>
      </c>
      <c r="R4047" t="s">
        <v>10821</v>
      </c>
      <c r="T4047">
        <v>9348</v>
      </c>
      <c r="U4047">
        <v>779</v>
      </c>
      <c r="V4047">
        <v>77</v>
      </c>
      <c r="W4047">
        <v>5</v>
      </c>
      <c r="X4047">
        <v>0</v>
      </c>
      <c r="Z4047">
        <v>30.98</v>
      </c>
      <c r="AA4047">
        <v>40.854606</v>
      </c>
      <c r="AB4047">
        <v>-73.90347300000001</v>
      </c>
      <c r="AD4047" t="s">
        <v>10839</v>
      </c>
      <c r="AG4047" t="s">
        <v>10858</v>
      </c>
      <c r="AH4047" t="s">
        <v>10862</v>
      </c>
      <c r="AI4047">
        <v>230</v>
      </c>
      <c r="AJ4047" t="s">
        <v>10210</v>
      </c>
      <c r="AL4047">
        <v>0.1</v>
      </c>
      <c r="AM4047" t="s">
        <v>10884</v>
      </c>
      <c r="AN4047" t="s">
        <v>10931</v>
      </c>
      <c r="AO4047" t="s">
        <v>11000</v>
      </c>
      <c r="AP4047" t="s">
        <v>11045</v>
      </c>
      <c r="AR4047" t="s">
        <v>11263</v>
      </c>
      <c r="AS4047" t="s">
        <v>9926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</row>
    <row r="4048" spans="1:59">
      <c r="A4048" s="1">
        <f>HYPERLINK("https://lsnyc.legalserver.org/matter/dynamic-profile/view/1908191","19-1908191")</f>
        <v>0</v>
      </c>
      <c r="B4048" t="s">
        <v>3333</v>
      </c>
      <c r="C4048" t="s">
        <v>8124</v>
      </c>
      <c r="D4048" t="s">
        <v>9926</v>
      </c>
      <c r="E4048" t="s">
        <v>10075</v>
      </c>
      <c r="F4048">
        <v>10457</v>
      </c>
      <c r="G4048" t="s">
        <v>10090</v>
      </c>
      <c r="H4048" t="s">
        <v>10145</v>
      </c>
      <c r="I4048" t="s">
        <v>10168</v>
      </c>
      <c r="J4048" t="s">
        <v>10210</v>
      </c>
      <c r="K4048" t="s">
        <v>10217</v>
      </c>
      <c r="M4048" t="s">
        <v>10511</v>
      </c>
      <c r="N4048" t="s">
        <v>10651</v>
      </c>
      <c r="P4048" t="s">
        <v>10749</v>
      </c>
      <c r="Q4048" t="s">
        <v>10765</v>
      </c>
      <c r="R4048" t="s">
        <v>10821</v>
      </c>
      <c r="T4048">
        <v>9528</v>
      </c>
      <c r="U4048">
        <v>794</v>
      </c>
      <c r="V4048">
        <v>59</v>
      </c>
      <c r="W4048">
        <v>2</v>
      </c>
      <c r="X4048">
        <v>0</v>
      </c>
      <c r="Z4048">
        <v>56.35</v>
      </c>
      <c r="AA4048">
        <v>40.852367</v>
      </c>
      <c r="AB4048">
        <v>-73.902146</v>
      </c>
      <c r="AD4048" t="s">
        <v>10839</v>
      </c>
      <c r="AF4048" t="s">
        <v>10843</v>
      </c>
      <c r="AG4048" t="s">
        <v>10859</v>
      </c>
      <c r="AH4048" t="s">
        <v>10861</v>
      </c>
      <c r="AI4048">
        <v>230</v>
      </c>
      <c r="AJ4048" t="s">
        <v>10210</v>
      </c>
      <c r="AL4048">
        <v>2.5</v>
      </c>
      <c r="AM4048" t="s">
        <v>10884</v>
      </c>
      <c r="AN4048" t="s">
        <v>10931</v>
      </c>
      <c r="AO4048" t="s">
        <v>11000</v>
      </c>
      <c r="AP4048" t="s">
        <v>11056</v>
      </c>
      <c r="AR4048" t="s">
        <v>11263</v>
      </c>
      <c r="AS4048" t="s">
        <v>9926</v>
      </c>
      <c r="AT4048" t="s">
        <v>11641</v>
      </c>
      <c r="AX4048" t="s">
        <v>10838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</row>
    <row r="4049" spans="1:59">
      <c r="A4049" s="1">
        <f>HYPERLINK("https://lsnyc.legalserver.org/matter/dynamic-profile/view/1908192","19-1908192")</f>
        <v>0</v>
      </c>
      <c r="B4049" t="s">
        <v>310</v>
      </c>
      <c r="C4049" t="s">
        <v>8125</v>
      </c>
      <c r="D4049" t="s">
        <v>9928</v>
      </c>
      <c r="E4049" t="s">
        <v>10075</v>
      </c>
      <c r="F4049">
        <v>11203</v>
      </c>
      <c r="G4049" t="s">
        <v>10093</v>
      </c>
      <c r="H4049" t="s">
        <v>10145</v>
      </c>
      <c r="I4049" t="s">
        <v>10168</v>
      </c>
      <c r="J4049" t="s">
        <v>10213</v>
      </c>
      <c r="K4049" t="s">
        <v>10217</v>
      </c>
      <c r="M4049" t="s">
        <v>10280</v>
      </c>
      <c r="N4049" t="s">
        <v>10671</v>
      </c>
      <c r="P4049" t="s">
        <v>10751</v>
      </c>
      <c r="Q4049" t="s">
        <v>10780</v>
      </c>
      <c r="R4049" t="s">
        <v>10824</v>
      </c>
      <c r="T4049">
        <v>6840</v>
      </c>
      <c r="U4049">
        <v>570</v>
      </c>
      <c r="V4049">
        <v>58</v>
      </c>
      <c r="W4049">
        <v>1</v>
      </c>
      <c r="X4049">
        <v>0</v>
      </c>
      <c r="Z4049">
        <v>54.76</v>
      </c>
      <c r="AA4049">
        <v>40.656824</v>
      </c>
      <c r="AB4049">
        <v>-73.93058600000001</v>
      </c>
      <c r="AD4049" t="s">
        <v>10840</v>
      </c>
      <c r="AG4049" t="s">
        <v>10858</v>
      </c>
      <c r="AH4049" t="s">
        <v>10871</v>
      </c>
      <c r="AI4049">
        <v>234</v>
      </c>
      <c r="AJ4049" t="s">
        <v>10214</v>
      </c>
      <c r="AL4049">
        <v>0.9399999999999999</v>
      </c>
      <c r="AM4049" t="s">
        <v>10888</v>
      </c>
      <c r="AN4049" t="s">
        <v>10925</v>
      </c>
      <c r="AO4049" t="s">
        <v>11005</v>
      </c>
      <c r="AP4049" t="s">
        <v>11064</v>
      </c>
      <c r="AR4049" t="s">
        <v>11319</v>
      </c>
      <c r="AS4049" t="s">
        <v>11595</v>
      </c>
      <c r="AT4049" t="s">
        <v>11642</v>
      </c>
      <c r="AX4049" t="s">
        <v>10838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</row>
    <row r="4050" spans="1:59">
      <c r="A4050" s="1">
        <f>HYPERLINK("https://lsnyc.legalserver.org/matter/dynamic-profile/view/1908193","19-1908193")</f>
        <v>0</v>
      </c>
      <c r="B4050" t="s">
        <v>3334</v>
      </c>
      <c r="C4050" t="s">
        <v>8126</v>
      </c>
      <c r="D4050" t="s">
        <v>9928</v>
      </c>
      <c r="E4050" t="s">
        <v>10075</v>
      </c>
      <c r="F4050">
        <v>11201</v>
      </c>
      <c r="G4050" t="s">
        <v>10089</v>
      </c>
      <c r="H4050" t="s">
        <v>10145</v>
      </c>
      <c r="I4050" t="s">
        <v>10168</v>
      </c>
      <c r="J4050" t="s">
        <v>10209</v>
      </c>
      <c r="K4050" t="s">
        <v>10217</v>
      </c>
      <c r="M4050" t="s">
        <v>10490</v>
      </c>
      <c r="N4050" t="s">
        <v>10718</v>
      </c>
      <c r="P4050" t="s">
        <v>10750</v>
      </c>
      <c r="Q4050" t="s">
        <v>10760</v>
      </c>
      <c r="R4050" t="s">
        <v>10822</v>
      </c>
      <c r="T4050">
        <v>19000</v>
      </c>
      <c r="U4050">
        <v>1583.33</v>
      </c>
      <c r="V4050">
        <v>45</v>
      </c>
      <c r="W4050">
        <v>1</v>
      </c>
      <c r="X4050">
        <v>0</v>
      </c>
      <c r="Z4050">
        <v>152.12</v>
      </c>
      <c r="AA4050">
        <v>40.689221</v>
      </c>
      <c r="AB4050">
        <v>-73.987324</v>
      </c>
      <c r="AD4050" t="s">
        <v>10840</v>
      </c>
      <c r="AG4050" t="s">
        <v>10858</v>
      </c>
      <c r="AH4050" t="s">
        <v>10861</v>
      </c>
      <c r="AI4050">
        <v>234</v>
      </c>
      <c r="AJ4050" t="s">
        <v>10214</v>
      </c>
      <c r="AL4050">
        <v>3.75</v>
      </c>
      <c r="AM4050" t="s">
        <v>10886</v>
      </c>
      <c r="AN4050" t="s">
        <v>10917</v>
      </c>
      <c r="AO4050" t="s">
        <v>11007</v>
      </c>
      <c r="AP4050" t="s">
        <v>11054</v>
      </c>
      <c r="AR4050" t="s">
        <v>11257</v>
      </c>
      <c r="AS4050" t="s">
        <v>11595</v>
      </c>
      <c r="AT4050" t="s">
        <v>11642</v>
      </c>
      <c r="AX4050" t="s">
        <v>11678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</row>
    <row r="4051" spans="1:59">
      <c r="A4051" s="1">
        <f>HYPERLINK("https://lsnyc.legalserver.org/matter/dynamic-profile/view/1908194","19-1908194")</f>
        <v>0</v>
      </c>
      <c r="B4051" t="s">
        <v>3335</v>
      </c>
      <c r="C4051" t="s">
        <v>8127</v>
      </c>
      <c r="D4051" t="s">
        <v>9928</v>
      </c>
      <c r="E4051" t="s">
        <v>10075</v>
      </c>
      <c r="F4051">
        <v>11221</v>
      </c>
      <c r="G4051" t="s">
        <v>10093</v>
      </c>
      <c r="H4051" t="s">
        <v>10145</v>
      </c>
      <c r="I4051" t="s">
        <v>10168</v>
      </c>
      <c r="J4051" t="s">
        <v>10213</v>
      </c>
      <c r="K4051" t="s">
        <v>10218</v>
      </c>
      <c r="L4051" t="s">
        <v>10115</v>
      </c>
      <c r="M4051" t="s">
        <v>10290</v>
      </c>
      <c r="N4051" t="s">
        <v>10665</v>
      </c>
      <c r="P4051" t="s">
        <v>10751</v>
      </c>
      <c r="Q4051" t="s">
        <v>10773</v>
      </c>
      <c r="R4051" t="s">
        <v>10824</v>
      </c>
      <c r="T4051">
        <v>0</v>
      </c>
      <c r="U4051">
        <v>0</v>
      </c>
      <c r="V4051">
        <v>35</v>
      </c>
      <c r="W4051">
        <v>1</v>
      </c>
      <c r="X4051">
        <v>0</v>
      </c>
      <c r="Y4051" t="s">
        <v>10829</v>
      </c>
      <c r="Z4051">
        <v>0</v>
      </c>
      <c r="AA4051">
        <v>40.69082</v>
      </c>
      <c r="AB4051">
        <v>-73.932034</v>
      </c>
      <c r="AD4051" t="s">
        <v>10840</v>
      </c>
      <c r="AG4051" t="s">
        <v>10858</v>
      </c>
      <c r="AH4051" t="s">
        <v>10861</v>
      </c>
      <c r="AI4051">
        <v>234</v>
      </c>
      <c r="AJ4051" t="s">
        <v>10214</v>
      </c>
      <c r="AK4051" t="s">
        <v>10838</v>
      </c>
      <c r="AL4051">
        <v>4.53</v>
      </c>
      <c r="AM4051" t="s">
        <v>10889</v>
      </c>
      <c r="AN4051" t="s">
        <v>10914</v>
      </c>
      <c r="AO4051" t="s">
        <v>11007</v>
      </c>
      <c r="AP4051" t="s">
        <v>11052</v>
      </c>
      <c r="AR4051" t="s">
        <v>11279</v>
      </c>
      <c r="AS4051" t="s">
        <v>11595</v>
      </c>
      <c r="AT4051" t="s">
        <v>11642</v>
      </c>
      <c r="AX4051" t="s">
        <v>10838</v>
      </c>
      <c r="AY4051" t="s">
        <v>10829</v>
      </c>
      <c r="AZ4051" t="s">
        <v>11682</v>
      </c>
      <c r="BA4051" t="s">
        <v>11741</v>
      </c>
      <c r="BB4051">
        <v>0</v>
      </c>
      <c r="BC4051">
        <v>0</v>
      </c>
      <c r="BD4051">
        <v>0</v>
      </c>
      <c r="BE4051">
        <v>0</v>
      </c>
      <c r="BF4051">
        <v>1</v>
      </c>
      <c r="BG4051">
        <v>0</v>
      </c>
    </row>
    <row r="4052" spans="1:59">
      <c r="A4052" s="1">
        <f>HYPERLINK("https://lsnyc.legalserver.org/matter/dynamic-profile/view/1908195","19-1908195")</f>
        <v>0</v>
      </c>
      <c r="B4052" t="s">
        <v>3336</v>
      </c>
      <c r="C4052" t="s">
        <v>8128</v>
      </c>
      <c r="D4052" t="s">
        <v>9925</v>
      </c>
      <c r="E4052" t="s">
        <v>10075</v>
      </c>
      <c r="F4052">
        <v>10032</v>
      </c>
      <c r="G4052" t="s">
        <v>10089</v>
      </c>
      <c r="H4052" t="s">
        <v>10145</v>
      </c>
      <c r="I4052" t="s">
        <v>10169</v>
      </c>
      <c r="J4052" t="s">
        <v>10209</v>
      </c>
      <c r="K4052" t="s">
        <v>10217</v>
      </c>
      <c r="M4052" t="s">
        <v>10442</v>
      </c>
      <c r="N4052" t="s">
        <v>10671</v>
      </c>
      <c r="P4052" t="s">
        <v>10749</v>
      </c>
      <c r="Q4052" t="s">
        <v>10765</v>
      </c>
      <c r="R4052" t="s">
        <v>10821</v>
      </c>
      <c r="T4052">
        <v>22828</v>
      </c>
      <c r="U4052">
        <v>1902.33</v>
      </c>
      <c r="V4052">
        <v>51</v>
      </c>
      <c r="W4052">
        <v>1</v>
      </c>
      <c r="X4052">
        <v>0</v>
      </c>
      <c r="Z4052">
        <v>182.77</v>
      </c>
      <c r="AA4052">
        <v>40.841717</v>
      </c>
      <c r="AB4052">
        <v>-73.93693500000001</v>
      </c>
      <c r="AD4052" t="s">
        <v>10839</v>
      </c>
      <c r="AG4052" t="s">
        <v>10858</v>
      </c>
      <c r="AH4052" t="s">
        <v>10861</v>
      </c>
      <c r="AI4052">
        <v>234</v>
      </c>
      <c r="AJ4052" t="s">
        <v>10214</v>
      </c>
      <c r="AL4052">
        <v>1</v>
      </c>
      <c r="AM4052" t="s">
        <v>10887</v>
      </c>
      <c r="AN4052" t="s">
        <v>10937</v>
      </c>
      <c r="AO4052" t="s">
        <v>11019</v>
      </c>
      <c r="AP4052" t="s">
        <v>11074</v>
      </c>
      <c r="AR4052" t="s">
        <v>11257</v>
      </c>
      <c r="AS4052" t="s">
        <v>9925</v>
      </c>
      <c r="AT4052" t="s">
        <v>11641</v>
      </c>
      <c r="AX4052" t="s">
        <v>10838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</row>
    <row r="4053" spans="1:59">
      <c r="A4053" s="1">
        <f>HYPERLINK("https://lsnyc.legalserver.org/matter/dynamic-profile/view/1908196","19-1908196")</f>
        <v>0</v>
      </c>
      <c r="B4053" t="s">
        <v>3337</v>
      </c>
      <c r="C4053" t="s">
        <v>8129</v>
      </c>
      <c r="D4053" t="s">
        <v>9926</v>
      </c>
      <c r="E4053" t="s">
        <v>10075</v>
      </c>
      <c r="F4053">
        <v>10457</v>
      </c>
      <c r="G4053" t="s">
        <v>10090</v>
      </c>
      <c r="H4053" t="s">
        <v>10145</v>
      </c>
      <c r="I4053" t="s">
        <v>10168</v>
      </c>
      <c r="J4053" t="s">
        <v>10210</v>
      </c>
      <c r="K4053" t="s">
        <v>10217</v>
      </c>
      <c r="M4053" t="s">
        <v>10272</v>
      </c>
      <c r="N4053" t="s">
        <v>10671</v>
      </c>
      <c r="O4053" t="s">
        <v>10650</v>
      </c>
      <c r="P4053" t="s">
        <v>10749</v>
      </c>
      <c r="Q4053" t="s">
        <v>10765</v>
      </c>
      <c r="R4053" t="s">
        <v>10821</v>
      </c>
      <c r="T4053">
        <v>9100</v>
      </c>
      <c r="U4053">
        <v>758.33</v>
      </c>
      <c r="V4053">
        <v>42</v>
      </c>
      <c r="W4053">
        <v>2</v>
      </c>
      <c r="X4053">
        <v>1</v>
      </c>
      <c r="Z4053">
        <v>42.66</v>
      </c>
      <c r="AA4053">
        <v>40.853931</v>
      </c>
      <c r="AB4053">
        <v>-73.894638</v>
      </c>
      <c r="AD4053" t="s">
        <v>10839</v>
      </c>
      <c r="AG4053" t="s">
        <v>10858</v>
      </c>
      <c r="AH4053" t="s">
        <v>10861</v>
      </c>
      <c r="AI4053">
        <v>234</v>
      </c>
      <c r="AJ4053" t="s">
        <v>10214</v>
      </c>
      <c r="AL4053">
        <v>2.55</v>
      </c>
      <c r="AM4053" t="s">
        <v>10884</v>
      </c>
      <c r="AN4053" t="s">
        <v>10931</v>
      </c>
      <c r="AO4053" t="s">
        <v>11000</v>
      </c>
      <c r="AP4053" t="s">
        <v>11056</v>
      </c>
      <c r="AR4053" t="s">
        <v>11262</v>
      </c>
      <c r="AS4053" t="s">
        <v>9926</v>
      </c>
      <c r="AT4053" t="s">
        <v>11641</v>
      </c>
      <c r="AX4053" t="s">
        <v>10838</v>
      </c>
      <c r="BA4053" t="s">
        <v>11741</v>
      </c>
      <c r="BB4053">
        <v>0</v>
      </c>
      <c r="BC4053">
        <v>0</v>
      </c>
      <c r="BD4053">
        <v>0</v>
      </c>
      <c r="BE4053">
        <v>0</v>
      </c>
      <c r="BF4053">
        <v>1</v>
      </c>
      <c r="BG4053">
        <v>0</v>
      </c>
    </row>
    <row r="4054" spans="1:59">
      <c r="A4054" s="1">
        <f>HYPERLINK("https://lsnyc.legalserver.org/matter/dynamic-profile/view/1908197","19-1908197")</f>
        <v>0</v>
      </c>
      <c r="B4054" t="s">
        <v>3338</v>
      </c>
      <c r="C4054" t="s">
        <v>5008</v>
      </c>
      <c r="D4054" t="s">
        <v>9926</v>
      </c>
      <c r="E4054" t="s">
        <v>10075</v>
      </c>
      <c r="F4054">
        <v>10468</v>
      </c>
      <c r="G4054" t="s">
        <v>10091</v>
      </c>
      <c r="H4054" t="s">
        <v>10145</v>
      </c>
      <c r="I4054" t="s">
        <v>10168</v>
      </c>
      <c r="J4054" t="s">
        <v>10214</v>
      </c>
      <c r="K4054" t="s">
        <v>10217</v>
      </c>
      <c r="M4054" t="s">
        <v>10286</v>
      </c>
      <c r="N4054" t="s">
        <v>10671</v>
      </c>
      <c r="P4054" t="s">
        <v>10751</v>
      </c>
      <c r="Q4054" t="s">
        <v>10768</v>
      </c>
      <c r="R4054" t="s">
        <v>10821</v>
      </c>
      <c r="T4054">
        <v>91.5</v>
      </c>
      <c r="U4054">
        <v>7.63</v>
      </c>
      <c r="V4054">
        <v>60</v>
      </c>
      <c r="W4054">
        <v>1</v>
      </c>
      <c r="X4054">
        <v>0</v>
      </c>
      <c r="Z4054">
        <v>0.73</v>
      </c>
      <c r="AA4054">
        <v>40.868879</v>
      </c>
      <c r="AB4054">
        <v>-73.892877</v>
      </c>
      <c r="AD4054" t="s">
        <v>10839</v>
      </c>
      <c r="AG4054" t="s">
        <v>10858</v>
      </c>
      <c r="AH4054" t="s">
        <v>10871</v>
      </c>
      <c r="AI4054">
        <v>234</v>
      </c>
      <c r="AJ4054" t="s">
        <v>10214</v>
      </c>
      <c r="AL4054">
        <v>1</v>
      </c>
      <c r="AM4054" t="s">
        <v>10887</v>
      </c>
      <c r="AN4054" t="s">
        <v>10907</v>
      </c>
      <c r="AO4054" t="s">
        <v>11000</v>
      </c>
      <c r="AP4054" t="s">
        <v>11045</v>
      </c>
      <c r="AR4054" t="s">
        <v>11311</v>
      </c>
      <c r="AS4054" t="s">
        <v>9926</v>
      </c>
      <c r="AT4054" t="s">
        <v>11641</v>
      </c>
      <c r="AX4054" t="s">
        <v>10838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</row>
    <row r="4055" spans="1:59">
      <c r="A4055" s="1">
        <f>HYPERLINK("https://lsnyc.legalserver.org/matter/dynamic-profile/view/1908198","19-1908198")</f>
        <v>0</v>
      </c>
      <c r="B4055" t="s">
        <v>3339</v>
      </c>
      <c r="C4055" t="s">
        <v>8130</v>
      </c>
      <c r="D4055" t="s">
        <v>9992</v>
      </c>
      <c r="E4055" t="s">
        <v>10075</v>
      </c>
      <c r="F4055">
        <v>11101</v>
      </c>
      <c r="G4055" t="s">
        <v>10092</v>
      </c>
      <c r="H4055" t="s">
        <v>10145</v>
      </c>
      <c r="I4055" t="s">
        <v>10168</v>
      </c>
      <c r="J4055" t="s">
        <v>10212</v>
      </c>
      <c r="K4055" t="s">
        <v>10218</v>
      </c>
      <c r="L4055" t="s">
        <v>10223</v>
      </c>
      <c r="M4055" t="s">
        <v>10363</v>
      </c>
      <c r="N4055" t="s">
        <v>10706</v>
      </c>
      <c r="P4055" t="s">
        <v>10749</v>
      </c>
      <c r="Q4055" t="s">
        <v>10765</v>
      </c>
      <c r="R4055" t="s">
        <v>10820</v>
      </c>
      <c r="T4055">
        <v>1300</v>
      </c>
      <c r="U4055">
        <v>108.33</v>
      </c>
      <c r="V4055">
        <v>38</v>
      </c>
      <c r="W4055">
        <v>1</v>
      </c>
      <c r="X4055">
        <v>0</v>
      </c>
      <c r="Y4055" t="s">
        <v>10829</v>
      </c>
      <c r="Z4055">
        <v>10.41</v>
      </c>
      <c r="AA4055">
        <v>40.748822</v>
      </c>
      <c r="AB4055">
        <v>-73.940522</v>
      </c>
      <c r="AD4055" t="s">
        <v>10840</v>
      </c>
      <c r="AG4055" t="s">
        <v>10858</v>
      </c>
      <c r="AH4055" t="s">
        <v>10868</v>
      </c>
      <c r="AI4055">
        <v>237</v>
      </c>
      <c r="AJ4055" t="s">
        <v>10212</v>
      </c>
      <c r="AK4055" t="s">
        <v>10838</v>
      </c>
      <c r="AL4055">
        <v>3.2</v>
      </c>
      <c r="AM4055" t="s">
        <v>10891</v>
      </c>
      <c r="AN4055" t="s">
        <v>10961</v>
      </c>
      <c r="AO4055" t="s">
        <v>11003</v>
      </c>
      <c r="AP4055" t="s">
        <v>11047</v>
      </c>
      <c r="AR4055" t="s">
        <v>11255</v>
      </c>
      <c r="AS4055" t="s">
        <v>11594</v>
      </c>
      <c r="AY4055" t="s">
        <v>10829</v>
      </c>
      <c r="AZ4055" t="s">
        <v>11681</v>
      </c>
      <c r="BA4055" t="s">
        <v>11741</v>
      </c>
      <c r="BB4055">
        <v>0</v>
      </c>
      <c r="BC4055">
        <v>0</v>
      </c>
      <c r="BD4055">
        <v>0</v>
      </c>
      <c r="BE4055">
        <v>0</v>
      </c>
      <c r="BF4055">
        <v>1</v>
      </c>
      <c r="BG4055">
        <v>0</v>
      </c>
    </row>
    <row r="4056" spans="1:59">
      <c r="A4056" s="1">
        <f>HYPERLINK("https://lsnyc.legalserver.org/matter/dynamic-profile/view/1908199","19-1908199")</f>
        <v>0</v>
      </c>
      <c r="B4056" t="s">
        <v>3340</v>
      </c>
      <c r="C4056" t="s">
        <v>8131</v>
      </c>
      <c r="D4056" t="s">
        <v>9925</v>
      </c>
      <c r="E4056" t="s">
        <v>10075</v>
      </c>
      <c r="F4056">
        <v>10035</v>
      </c>
      <c r="G4056" t="s">
        <v>10091</v>
      </c>
      <c r="H4056" t="s">
        <v>10145</v>
      </c>
      <c r="J4056" t="s">
        <v>10211</v>
      </c>
      <c r="K4056" t="s">
        <v>10217</v>
      </c>
      <c r="M4056" t="s">
        <v>10231</v>
      </c>
      <c r="N4056" t="s">
        <v>10647</v>
      </c>
      <c r="P4056" t="s">
        <v>10752</v>
      </c>
      <c r="Q4056" t="s">
        <v>10762</v>
      </c>
      <c r="R4056" t="s">
        <v>10824</v>
      </c>
      <c r="T4056">
        <v>45600</v>
      </c>
      <c r="U4056">
        <v>3800</v>
      </c>
      <c r="V4056">
        <v>55</v>
      </c>
      <c r="W4056">
        <v>3</v>
      </c>
      <c r="X4056">
        <v>0</v>
      </c>
      <c r="Z4056">
        <v>213.78</v>
      </c>
      <c r="AA4056">
        <v>40.799009</v>
      </c>
      <c r="AB4056">
        <v>-73.935006</v>
      </c>
      <c r="AD4056" t="s">
        <v>10839</v>
      </c>
      <c r="AG4056" t="s">
        <v>10858</v>
      </c>
      <c r="AH4056" t="s">
        <v>10863</v>
      </c>
      <c r="AI4056">
        <v>235</v>
      </c>
      <c r="AJ4056" t="s">
        <v>10211</v>
      </c>
      <c r="AL4056">
        <v>0</v>
      </c>
      <c r="AM4056" t="s">
        <v>10887</v>
      </c>
      <c r="AN4056" t="s">
        <v>10926</v>
      </c>
      <c r="AO4056" t="s">
        <v>11016</v>
      </c>
      <c r="AP4056" t="s">
        <v>11066</v>
      </c>
      <c r="AR4056" t="s">
        <v>11257</v>
      </c>
      <c r="AS4056" t="s">
        <v>9925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</row>
    <row r="4057" spans="1:59">
      <c r="A4057" s="1">
        <f>HYPERLINK("https://lsnyc.legalserver.org/matter/dynamic-profile/view/1908200","19-1908200")</f>
        <v>0</v>
      </c>
      <c r="B4057" t="s">
        <v>3341</v>
      </c>
      <c r="C4057" t="s">
        <v>8132</v>
      </c>
      <c r="D4057" t="s">
        <v>9926</v>
      </c>
      <c r="E4057" t="s">
        <v>10075</v>
      </c>
      <c r="F4057">
        <v>10457</v>
      </c>
      <c r="G4057" t="s">
        <v>10090</v>
      </c>
      <c r="H4057" t="s">
        <v>10145</v>
      </c>
      <c r="J4057" t="s">
        <v>10210</v>
      </c>
      <c r="K4057" t="s">
        <v>10217</v>
      </c>
      <c r="M4057" t="s">
        <v>10417</v>
      </c>
      <c r="N4057" t="s">
        <v>10666</v>
      </c>
      <c r="P4057" t="s">
        <v>10749</v>
      </c>
      <c r="Q4057" t="s">
        <v>10765</v>
      </c>
      <c r="R4057" t="s">
        <v>10824</v>
      </c>
      <c r="T4057">
        <v>30400</v>
      </c>
      <c r="U4057">
        <v>2533.33</v>
      </c>
      <c r="V4057">
        <v>26</v>
      </c>
      <c r="W4057">
        <v>2</v>
      </c>
      <c r="X4057">
        <v>0</v>
      </c>
      <c r="Z4057">
        <v>179.78</v>
      </c>
      <c r="AA4057">
        <v>40.844861</v>
      </c>
      <c r="AB4057">
        <v>-73.89244600000001</v>
      </c>
      <c r="AD4057" t="s">
        <v>10840</v>
      </c>
      <c r="AG4057" t="s">
        <v>10858</v>
      </c>
      <c r="AH4057" t="s">
        <v>10861</v>
      </c>
      <c r="AI4057">
        <v>230</v>
      </c>
      <c r="AJ4057" t="s">
        <v>10210</v>
      </c>
      <c r="AL4057">
        <v>18.5</v>
      </c>
      <c r="AM4057" t="s">
        <v>10884</v>
      </c>
      <c r="AN4057" t="s">
        <v>10918</v>
      </c>
      <c r="AO4057" t="s">
        <v>11000</v>
      </c>
      <c r="AP4057" t="s">
        <v>11062</v>
      </c>
      <c r="AR4057" t="s">
        <v>11257</v>
      </c>
      <c r="AS4057" t="s">
        <v>9926</v>
      </c>
      <c r="AT4057" t="s">
        <v>11642</v>
      </c>
      <c r="AX4057" t="s">
        <v>10838</v>
      </c>
      <c r="BA4057" t="s">
        <v>11738</v>
      </c>
      <c r="BB4057">
        <v>0</v>
      </c>
      <c r="BC4057">
        <v>0</v>
      </c>
      <c r="BD4057">
        <v>0</v>
      </c>
      <c r="BE4057">
        <v>0</v>
      </c>
      <c r="BF4057">
        <v>5</v>
      </c>
      <c r="BG4057">
        <v>0</v>
      </c>
    </row>
    <row r="4058" spans="1:59">
      <c r="A4058" s="1">
        <f>HYPERLINK("https://lsnyc.legalserver.org/matter/dynamic-profile/view/1908201","19-1908201")</f>
        <v>0</v>
      </c>
      <c r="B4058" t="s">
        <v>3342</v>
      </c>
      <c r="C4058" t="s">
        <v>8133</v>
      </c>
      <c r="D4058" t="s">
        <v>9926</v>
      </c>
      <c r="E4058" t="s">
        <v>10075</v>
      </c>
      <c r="F4058">
        <v>10451</v>
      </c>
      <c r="G4058" t="s">
        <v>10090</v>
      </c>
      <c r="H4058" t="s">
        <v>10145</v>
      </c>
      <c r="I4058" t="s">
        <v>10168</v>
      </c>
      <c r="J4058" t="s">
        <v>10210</v>
      </c>
      <c r="K4058" t="s">
        <v>10217</v>
      </c>
      <c r="M4058" t="s">
        <v>10303</v>
      </c>
      <c r="N4058" t="s">
        <v>10671</v>
      </c>
      <c r="P4058" t="s">
        <v>10751</v>
      </c>
      <c r="Q4058" t="s">
        <v>10761</v>
      </c>
      <c r="R4058" t="s">
        <v>10824</v>
      </c>
      <c r="T4058">
        <v>17836</v>
      </c>
      <c r="U4058">
        <v>1486.33</v>
      </c>
      <c r="V4058">
        <v>35</v>
      </c>
      <c r="W4058">
        <v>3</v>
      </c>
      <c r="X4058">
        <v>1</v>
      </c>
      <c r="Z4058">
        <v>69.27</v>
      </c>
      <c r="AA4058">
        <v>40.825083</v>
      </c>
      <c r="AB4058">
        <v>-73.91363200000001</v>
      </c>
      <c r="AD4058" t="s">
        <v>10839</v>
      </c>
      <c r="AG4058" t="s">
        <v>10858</v>
      </c>
      <c r="AH4058" t="s">
        <v>10861</v>
      </c>
      <c r="AI4058">
        <v>234</v>
      </c>
      <c r="AJ4058" t="s">
        <v>10214</v>
      </c>
      <c r="AL4058">
        <v>8.050000000000001</v>
      </c>
      <c r="AM4058" t="s">
        <v>10884</v>
      </c>
      <c r="AN4058" t="s">
        <v>10918</v>
      </c>
      <c r="AO4058" t="s">
        <v>11001</v>
      </c>
      <c r="AP4058" t="s">
        <v>11062</v>
      </c>
      <c r="AR4058" t="s">
        <v>11281</v>
      </c>
      <c r="AS4058" t="s">
        <v>9926</v>
      </c>
      <c r="AT4058" t="s">
        <v>11641</v>
      </c>
      <c r="AX4058" t="s">
        <v>10838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</row>
    <row r="4059" spans="1:59">
      <c r="A4059" s="1">
        <f>HYPERLINK("https://lsnyc.legalserver.org/matter/dynamic-profile/view/1908202","19-1908202")</f>
        <v>0</v>
      </c>
      <c r="B4059" t="s">
        <v>3343</v>
      </c>
      <c r="C4059" t="s">
        <v>8134</v>
      </c>
      <c r="D4059" t="s">
        <v>9928</v>
      </c>
      <c r="E4059" t="s">
        <v>10075</v>
      </c>
      <c r="F4059">
        <v>11210</v>
      </c>
      <c r="G4059" t="s">
        <v>10093</v>
      </c>
      <c r="H4059" t="s">
        <v>10145</v>
      </c>
      <c r="I4059" t="s">
        <v>10168</v>
      </c>
      <c r="J4059" t="s">
        <v>10213</v>
      </c>
      <c r="K4059" t="s">
        <v>10217</v>
      </c>
      <c r="M4059" t="s">
        <v>10532</v>
      </c>
      <c r="N4059" t="s">
        <v>10726</v>
      </c>
      <c r="P4059" t="s">
        <v>10751</v>
      </c>
      <c r="Q4059" t="s">
        <v>10780</v>
      </c>
      <c r="R4059" t="s">
        <v>10824</v>
      </c>
      <c r="T4059">
        <v>4419</v>
      </c>
      <c r="U4059">
        <v>368.25</v>
      </c>
      <c r="V4059">
        <v>49</v>
      </c>
      <c r="W4059">
        <v>2</v>
      </c>
      <c r="X4059">
        <v>0</v>
      </c>
      <c r="Z4059">
        <v>26.13</v>
      </c>
      <c r="AA4059">
        <v>40.634476</v>
      </c>
      <c r="AB4059">
        <v>-73.95109100000001</v>
      </c>
      <c r="AD4059" t="s">
        <v>10840</v>
      </c>
      <c r="AG4059" t="s">
        <v>10858</v>
      </c>
      <c r="AH4059" t="s">
        <v>10866</v>
      </c>
      <c r="AI4059">
        <v>239</v>
      </c>
      <c r="AJ4059" t="s">
        <v>10213</v>
      </c>
      <c r="AL4059">
        <v>2.3</v>
      </c>
      <c r="AM4059" t="s">
        <v>10888</v>
      </c>
      <c r="AN4059" t="s">
        <v>10932</v>
      </c>
      <c r="AO4059" t="s">
        <v>11008</v>
      </c>
      <c r="AP4059" t="s">
        <v>11065</v>
      </c>
      <c r="AR4059" t="s">
        <v>11255</v>
      </c>
      <c r="AS4059" t="s">
        <v>11595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</row>
    <row r="4060" spans="1:59">
      <c r="A4060" s="1">
        <f>HYPERLINK("https://lsnyc.legalserver.org/matter/dynamic-profile/view/1908203","19-1908203")</f>
        <v>0</v>
      </c>
      <c r="B4060" t="s">
        <v>3344</v>
      </c>
      <c r="C4060" t="s">
        <v>8135</v>
      </c>
      <c r="D4060" t="s">
        <v>9926</v>
      </c>
      <c r="E4060" t="s">
        <v>10075</v>
      </c>
      <c r="F4060">
        <v>10452</v>
      </c>
      <c r="G4060" t="s">
        <v>10090</v>
      </c>
      <c r="H4060" t="s">
        <v>10145</v>
      </c>
      <c r="I4060" t="s">
        <v>10169</v>
      </c>
      <c r="J4060" t="s">
        <v>10210</v>
      </c>
      <c r="K4060" t="s">
        <v>10217</v>
      </c>
      <c r="M4060" t="s">
        <v>10548</v>
      </c>
      <c r="N4060" t="s">
        <v>10671</v>
      </c>
      <c r="P4060" t="s">
        <v>10757</v>
      </c>
      <c r="Q4060" t="s">
        <v>10789</v>
      </c>
      <c r="R4060" t="s">
        <v>10821</v>
      </c>
      <c r="T4060">
        <v>41600</v>
      </c>
      <c r="U4060">
        <v>3466.67</v>
      </c>
      <c r="V4060">
        <v>9</v>
      </c>
      <c r="W4060">
        <v>2</v>
      </c>
      <c r="X4060">
        <v>3</v>
      </c>
      <c r="Z4060">
        <v>137.89</v>
      </c>
      <c r="AA4060">
        <v>40.841813</v>
      </c>
      <c r="AB4060">
        <v>-73.926016</v>
      </c>
      <c r="AD4060" t="s">
        <v>10839</v>
      </c>
      <c r="AG4060" t="s">
        <v>10858</v>
      </c>
      <c r="AH4060" t="s">
        <v>10861</v>
      </c>
      <c r="AI4060">
        <v>234</v>
      </c>
      <c r="AJ4060" t="s">
        <v>10214</v>
      </c>
      <c r="AL4060">
        <v>16.95</v>
      </c>
      <c r="AM4060" t="s">
        <v>10884</v>
      </c>
      <c r="AN4060" t="s">
        <v>10929</v>
      </c>
      <c r="AO4060" t="s">
        <v>11013</v>
      </c>
      <c r="AP4060" t="s">
        <v>11055</v>
      </c>
      <c r="AR4060" t="s">
        <v>11257</v>
      </c>
      <c r="AS4060" t="s">
        <v>9926</v>
      </c>
      <c r="AT4060" t="s">
        <v>11641</v>
      </c>
      <c r="AX4060" t="s">
        <v>10838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</row>
    <row r="4061" spans="1:59">
      <c r="A4061" s="1">
        <f>HYPERLINK("https://lsnyc.legalserver.org/matter/dynamic-profile/view/1908204","19-1908204")</f>
        <v>0</v>
      </c>
      <c r="B4061" t="s">
        <v>3345</v>
      </c>
      <c r="C4061" t="s">
        <v>8136</v>
      </c>
      <c r="D4061" t="s">
        <v>9928</v>
      </c>
      <c r="E4061" t="s">
        <v>10075</v>
      </c>
      <c r="F4061">
        <v>11222</v>
      </c>
      <c r="G4061" t="s">
        <v>10090</v>
      </c>
      <c r="H4061" t="s">
        <v>10145</v>
      </c>
      <c r="I4061" t="s">
        <v>10168</v>
      </c>
      <c r="J4061" t="s">
        <v>10210</v>
      </c>
      <c r="K4061" t="s">
        <v>10217</v>
      </c>
      <c r="M4061" t="s">
        <v>10336</v>
      </c>
      <c r="N4061" t="s">
        <v>10671</v>
      </c>
      <c r="P4061" t="s">
        <v>10754</v>
      </c>
      <c r="Q4061" t="s">
        <v>10771</v>
      </c>
      <c r="R4061" t="s">
        <v>10820</v>
      </c>
      <c r="T4061">
        <v>3840</v>
      </c>
      <c r="U4061">
        <v>320</v>
      </c>
      <c r="V4061">
        <v>50</v>
      </c>
      <c r="W4061">
        <v>2</v>
      </c>
      <c r="X4061">
        <v>0</v>
      </c>
      <c r="Z4061">
        <v>22.71</v>
      </c>
      <c r="AA4061">
        <v>40.726772</v>
      </c>
      <c r="AB4061">
        <v>-73.951723</v>
      </c>
      <c r="AD4061" t="s">
        <v>10839</v>
      </c>
      <c r="AG4061" t="s">
        <v>10858</v>
      </c>
      <c r="AH4061" t="s">
        <v>10861</v>
      </c>
      <c r="AI4061">
        <v>234</v>
      </c>
      <c r="AJ4061" t="s">
        <v>10214</v>
      </c>
      <c r="AL4061">
        <v>1</v>
      </c>
      <c r="AM4061" t="s">
        <v>10891</v>
      </c>
      <c r="AN4061" t="s">
        <v>10939</v>
      </c>
      <c r="AO4061" t="s">
        <v>11004</v>
      </c>
      <c r="AP4061" t="s">
        <v>11054</v>
      </c>
      <c r="AR4061" t="s">
        <v>11320</v>
      </c>
      <c r="AS4061" t="s">
        <v>11595</v>
      </c>
      <c r="AT4061" t="s">
        <v>11641</v>
      </c>
      <c r="AX4061" t="s">
        <v>10838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</row>
    <row r="4062" spans="1:59">
      <c r="A4062" s="1">
        <f>HYPERLINK("https://lsnyc.legalserver.org/matter/dynamic-profile/view/1908205","19-1908205")</f>
        <v>0</v>
      </c>
      <c r="B4062" t="s">
        <v>3346</v>
      </c>
      <c r="C4062" t="s">
        <v>8137</v>
      </c>
      <c r="D4062" t="s">
        <v>9925</v>
      </c>
      <c r="E4062" t="s">
        <v>10075</v>
      </c>
      <c r="F4062">
        <v>10026</v>
      </c>
      <c r="G4062" t="s">
        <v>10089</v>
      </c>
      <c r="H4062" t="s">
        <v>10145</v>
      </c>
      <c r="I4062" t="s">
        <v>10168</v>
      </c>
      <c r="J4062" t="s">
        <v>10209</v>
      </c>
      <c r="K4062" t="s">
        <v>10217</v>
      </c>
      <c r="M4062" t="s">
        <v>10509</v>
      </c>
      <c r="N4062" t="s">
        <v>10703</v>
      </c>
      <c r="P4062" t="s">
        <v>10749</v>
      </c>
      <c r="Q4062" t="s">
        <v>10791</v>
      </c>
      <c r="R4062" t="s">
        <v>10824</v>
      </c>
      <c r="T4062">
        <v>0</v>
      </c>
      <c r="U4062">
        <v>0</v>
      </c>
      <c r="V4062">
        <v>56</v>
      </c>
      <c r="W4062">
        <v>1</v>
      </c>
      <c r="X4062">
        <v>0</v>
      </c>
      <c r="Z4062">
        <v>0</v>
      </c>
      <c r="AA4062">
        <v>40.801504</v>
      </c>
      <c r="AB4062">
        <v>-73.953272</v>
      </c>
      <c r="AD4062" t="s">
        <v>10839</v>
      </c>
      <c r="AG4062" t="s">
        <v>10858</v>
      </c>
      <c r="AH4062" t="s">
        <v>10862</v>
      </c>
      <c r="AI4062">
        <v>236</v>
      </c>
      <c r="AJ4062" t="s">
        <v>10209</v>
      </c>
      <c r="AL4062">
        <v>0</v>
      </c>
      <c r="AM4062" t="s">
        <v>10887</v>
      </c>
      <c r="AN4062" t="s">
        <v>10936</v>
      </c>
      <c r="AO4062" t="s">
        <v>11016</v>
      </c>
      <c r="AP4062" t="s">
        <v>11076</v>
      </c>
      <c r="AQ4062" t="s">
        <v>11133</v>
      </c>
      <c r="AR4062" t="s">
        <v>11267</v>
      </c>
      <c r="AS4062" t="s">
        <v>9925</v>
      </c>
      <c r="AT4062" t="s">
        <v>11641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</row>
    <row r="4063" spans="1:59">
      <c r="A4063" s="1">
        <f>HYPERLINK("https://lsnyc.legalserver.org/matter/dynamic-profile/view/1908209","19-1908209")</f>
        <v>0</v>
      </c>
      <c r="B4063" t="s">
        <v>1619</v>
      </c>
      <c r="C4063" t="s">
        <v>6428</v>
      </c>
      <c r="D4063" t="s">
        <v>9939</v>
      </c>
      <c r="E4063" t="s">
        <v>10075</v>
      </c>
      <c r="F4063">
        <v>11419</v>
      </c>
      <c r="G4063" t="s">
        <v>10092</v>
      </c>
      <c r="H4063" t="s">
        <v>10145</v>
      </c>
      <c r="I4063" t="s">
        <v>10168</v>
      </c>
      <c r="J4063" t="s">
        <v>10212</v>
      </c>
      <c r="K4063" t="s">
        <v>10217</v>
      </c>
      <c r="M4063" t="s">
        <v>10273</v>
      </c>
      <c r="N4063" t="s">
        <v>10672</v>
      </c>
      <c r="P4063" t="s">
        <v>10750</v>
      </c>
      <c r="Q4063" t="s">
        <v>10778</v>
      </c>
      <c r="R4063" t="s">
        <v>10828</v>
      </c>
      <c r="T4063">
        <v>0</v>
      </c>
      <c r="U4063">
        <v>0</v>
      </c>
      <c r="V4063">
        <v>27</v>
      </c>
      <c r="W4063">
        <v>1</v>
      </c>
      <c r="X4063">
        <v>0</v>
      </c>
      <c r="Z4063">
        <v>0</v>
      </c>
      <c r="AA4063">
        <v>40.690891</v>
      </c>
      <c r="AB4063">
        <v>-73.811134</v>
      </c>
      <c r="AD4063" t="s">
        <v>10839</v>
      </c>
      <c r="AF4063" t="s">
        <v>10842</v>
      </c>
      <c r="AG4063" t="s">
        <v>10859</v>
      </c>
      <c r="AH4063" t="s">
        <v>10870</v>
      </c>
      <c r="AI4063">
        <v>237</v>
      </c>
      <c r="AJ4063" t="s">
        <v>10212</v>
      </c>
      <c r="AL4063">
        <v>2.3</v>
      </c>
      <c r="AM4063" t="s">
        <v>10892</v>
      </c>
      <c r="AN4063" t="s">
        <v>10951</v>
      </c>
      <c r="AO4063" t="s">
        <v>11017</v>
      </c>
      <c r="AP4063" t="s">
        <v>11070</v>
      </c>
      <c r="AR4063" t="s">
        <v>11267</v>
      </c>
      <c r="AS4063" t="s">
        <v>11594</v>
      </c>
      <c r="AT4063" t="s">
        <v>11641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</row>
    <row r="4064" spans="1:59">
      <c r="A4064" s="1">
        <f>HYPERLINK("https://lsnyc.legalserver.org/matter/dynamic-profile/view/1908210","19-1908210")</f>
        <v>0</v>
      </c>
      <c r="B4064" t="s">
        <v>3347</v>
      </c>
      <c r="C4064" t="s">
        <v>8138</v>
      </c>
      <c r="D4064" t="s">
        <v>9925</v>
      </c>
      <c r="E4064" t="s">
        <v>10075</v>
      </c>
      <c r="F4064">
        <v>10026</v>
      </c>
      <c r="G4064" t="s">
        <v>10089</v>
      </c>
      <c r="H4064" t="s">
        <v>10145</v>
      </c>
      <c r="I4064" t="s">
        <v>10168</v>
      </c>
      <c r="J4064" t="s">
        <v>10209</v>
      </c>
      <c r="K4064" t="s">
        <v>10217</v>
      </c>
      <c r="M4064" t="s">
        <v>10509</v>
      </c>
      <c r="N4064" t="s">
        <v>10703</v>
      </c>
      <c r="P4064" t="s">
        <v>10749</v>
      </c>
      <c r="Q4064" t="s">
        <v>10791</v>
      </c>
      <c r="R4064" t="s">
        <v>10824</v>
      </c>
      <c r="T4064">
        <v>1656</v>
      </c>
      <c r="U4064">
        <v>138</v>
      </c>
      <c r="V4064">
        <v>51</v>
      </c>
      <c r="W4064">
        <v>1</v>
      </c>
      <c r="X4064">
        <v>0</v>
      </c>
      <c r="Z4064">
        <v>13.26</v>
      </c>
      <c r="AA4064">
        <v>40.797916</v>
      </c>
      <c r="AB4064">
        <v>-73.950309</v>
      </c>
      <c r="AD4064" t="s">
        <v>10839</v>
      </c>
      <c r="AG4064" t="s">
        <v>10858</v>
      </c>
      <c r="AH4064" t="s">
        <v>10862</v>
      </c>
      <c r="AI4064">
        <v>236</v>
      </c>
      <c r="AJ4064" t="s">
        <v>10209</v>
      </c>
      <c r="AL4064">
        <v>0</v>
      </c>
      <c r="AM4064" t="s">
        <v>10887</v>
      </c>
      <c r="AN4064" t="s">
        <v>10926</v>
      </c>
      <c r="AO4064" t="s">
        <v>11016</v>
      </c>
      <c r="AP4064" t="s">
        <v>11076</v>
      </c>
      <c r="AQ4064" t="s">
        <v>11133</v>
      </c>
      <c r="AR4064" t="s">
        <v>11255</v>
      </c>
      <c r="AS4064" t="s">
        <v>9925</v>
      </c>
      <c r="AT4064" t="s">
        <v>11641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</row>
    <row r="4065" spans="1:59">
      <c r="A4065" s="1">
        <f>HYPERLINK("https://lsnyc.legalserver.org/matter/dynamic-profile/view/1908211","19-1908211")</f>
        <v>0</v>
      </c>
      <c r="B4065" t="s">
        <v>3348</v>
      </c>
      <c r="C4065" t="s">
        <v>8139</v>
      </c>
      <c r="D4065" t="s">
        <v>9926</v>
      </c>
      <c r="E4065" t="s">
        <v>10075</v>
      </c>
      <c r="F4065">
        <v>10473</v>
      </c>
      <c r="G4065" t="s">
        <v>10090</v>
      </c>
      <c r="H4065" t="s">
        <v>10145</v>
      </c>
      <c r="I4065" t="s">
        <v>10168</v>
      </c>
      <c r="J4065" t="s">
        <v>10210</v>
      </c>
      <c r="K4065" t="s">
        <v>10217</v>
      </c>
      <c r="M4065" t="s">
        <v>10438</v>
      </c>
      <c r="N4065" t="s">
        <v>10694</v>
      </c>
      <c r="O4065" t="s">
        <v>10694</v>
      </c>
      <c r="P4065" t="s">
        <v>10751</v>
      </c>
      <c r="Q4065" t="s">
        <v>10773</v>
      </c>
      <c r="R4065" t="s">
        <v>10824</v>
      </c>
      <c r="T4065">
        <v>0</v>
      </c>
      <c r="U4065">
        <v>0</v>
      </c>
      <c r="V4065">
        <v>53</v>
      </c>
      <c r="W4065">
        <v>1</v>
      </c>
      <c r="X4065">
        <v>0</v>
      </c>
      <c r="Z4065">
        <v>0</v>
      </c>
      <c r="AA4065">
        <v>40.819675</v>
      </c>
      <c r="AB4065">
        <v>-73.86814</v>
      </c>
      <c r="AD4065" t="s">
        <v>10840</v>
      </c>
      <c r="AG4065" t="s">
        <v>10858</v>
      </c>
      <c r="AH4065" t="s">
        <v>10861</v>
      </c>
      <c r="AI4065">
        <v>234</v>
      </c>
      <c r="AJ4065" t="s">
        <v>10214</v>
      </c>
      <c r="AL4065">
        <v>7</v>
      </c>
      <c r="AM4065" t="s">
        <v>10884</v>
      </c>
      <c r="AN4065" t="s">
        <v>10968</v>
      </c>
      <c r="AO4065" t="s">
        <v>11002</v>
      </c>
      <c r="AP4065" t="s">
        <v>11046</v>
      </c>
      <c r="AR4065" t="s">
        <v>11267</v>
      </c>
      <c r="AS4065" t="s">
        <v>9926</v>
      </c>
      <c r="AT4065" t="s">
        <v>11642</v>
      </c>
      <c r="AX4065" t="s">
        <v>10838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</row>
    <row r="4066" spans="1:59">
      <c r="A4066" s="1">
        <f>HYPERLINK("https://lsnyc.legalserver.org/matter/dynamic-profile/view/1908212","19-1908212")</f>
        <v>0</v>
      </c>
      <c r="B4066" t="s">
        <v>3221</v>
      </c>
      <c r="C4066" t="s">
        <v>8010</v>
      </c>
      <c r="D4066" t="s">
        <v>9928</v>
      </c>
      <c r="E4066" t="s">
        <v>10075</v>
      </c>
      <c r="F4066">
        <v>11236</v>
      </c>
      <c r="G4066" t="s">
        <v>10093</v>
      </c>
      <c r="H4066" t="s">
        <v>10145</v>
      </c>
      <c r="I4066" t="s">
        <v>10168</v>
      </c>
      <c r="J4066" t="s">
        <v>10213</v>
      </c>
      <c r="K4066" t="s">
        <v>10217</v>
      </c>
      <c r="M4066" t="s">
        <v>10265</v>
      </c>
      <c r="N4066" t="s">
        <v>10671</v>
      </c>
      <c r="P4066" t="s">
        <v>10751</v>
      </c>
      <c r="Q4066" t="s">
        <v>10761</v>
      </c>
      <c r="R4066" t="s">
        <v>10824</v>
      </c>
      <c r="T4066">
        <v>19000</v>
      </c>
      <c r="U4066">
        <v>1583.33</v>
      </c>
      <c r="V4066">
        <v>26</v>
      </c>
      <c r="W4066">
        <v>1</v>
      </c>
      <c r="X4066">
        <v>0</v>
      </c>
      <c r="Z4066">
        <v>152.12</v>
      </c>
      <c r="AA4066">
        <v>40.636807</v>
      </c>
      <c r="AB4066">
        <v>-73.899917</v>
      </c>
      <c r="AD4066" t="s">
        <v>10839</v>
      </c>
      <c r="AG4066" t="s">
        <v>10858</v>
      </c>
      <c r="AH4066" t="s">
        <v>10862</v>
      </c>
      <c r="AI4066">
        <v>239</v>
      </c>
      <c r="AJ4066" t="s">
        <v>10213</v>
      </c>
      <c r="AL4066">
        <v>5.75</v>
      </c>
      <c r="AM4066" t="s">
        <v>10889</v>
      </c>
      <c r="AN4066" t="s">
        <v>10959</v>
      </c>
      <c r="AO4066" t="s">
        <v>11012</v>
      </c>
      <c r="AP4066" t="s">
        <v>11072</v>
      </c>
      <c r="AR4066" t="s">
        <v>11257</v>
      </c>
      <c r="AS4066" t="s">
        <v>11595</v>
      </c>
      <c r="BA4066" t="s">
        <v>11737</v>
      </c>
      <c r="BB4066">
        <v>0</v>
      </c>
      <c r="BC4066">
        <v>0</v>
      </c>
      <c r="BD4066">
        <v>0</v>
      </c>
      <c r="BE4066">
        <v>0</v>
      </c>
      <c r="BF4066">
        <v>3</v>
      </c>
      <c r="BG4066">
        <v>0</v>
      </c>
    </row>
    <row r="4067" spans="1:59">
      <c r="A4067" s="1">
        <f>HYPERLINK("https://lsnyc.legalserver.org/matter/dynamic-profile/view/1908213","19-1908213")</f>
        <v>0</v>
      </c>
      <c r="B4067" t="s">
        <v>3349</v>
      </c>
      <c r="C4067" t="s">
        <v>8140</v>
      </c>
      <c r="D4067" t="s">
        <v>9928</v>
      </c>
      <c r="E4067" t="s">
        <v>10075</v>
      </c>
      <c r="F4067">
        <v>11218</v>
      </c>
      <c r="G4067" t="s">
        <v>10093</v>
      </c>
      <c r="H4067" t="s">
        <v>10145</v>
      </c>
      <c r="I4067" t="s">
        <v>10168</v>
      </c>
      <c r="J4067" t="s">
        <v>10213</v>
      </c>
      <c r="K4067" t="s">
        <v>10218</v>
      </c>
      <c r="L4067" t="s">
        <v>10159</v>
      </c>
      <c r="M4067" t="s">
        <v>10317</v>
      </c>
      <c r="N4067" t="s">
        <v>10671</v>
      </c>
      <c r="P4067" t="s">
        <v>10751</v>
      </c>
      <c r="Q4067" t="s">
        <v>10776</v>
      </c>
      <c r="R4067" t="s">
        <v>10820</v>
      </c>
      <c r="T4067">
        <v>21600</v>
      </c>
      <c r="U4067">
        <v>1800</v>
      </c>
      <c r="V4067">
        <v>52</v>
      </c>
      <c r="W4067">
        <v>1</v>
      </c>
      <c r="X4067">
        <v>0</v>
      </c>
      <c r="Y4067" t="s">
        <v>10829</v>
      </c>
      <c r="Z4067">
        <v>172.94</v>
      </c>
      <c r="AA4067">
        <v>40.637777</v>
      </c>
      <c r="AB4067">
        <v>-73.97023900000001</v>
      </c>
      <c r="AD4067" t="s">
        <v>10840</v>
      </c>
      <c r="AG4067" t="s">
        <v>10858</v>
      </c>
      <c r="AH4067" t="s">
        <v>10861</v>
      </c>
      <c r="AI4067">
        <v>234</v>
      </c>
      <c r="AJ4067" t="s">
        <v>10214</v>
      </c>
      <c r="AK4067" t="s">
        <v>10838</v>
      </c>
      <c r="AL4067">
        <v>2</v>
      </c>
      <c r="AM4067" t="s">
        <v>10894</v>
      </c>
      <c r="AN4067" t="s">
        <v>10941</v>
      </c>
      <c r="AO4067" t="s">
        <v>11015</v>
      </c>
      <c r="AP4067" t="s">
        <v>11050</v>
      </c>
      <c r="AR4067" t="s">
        <v>11312</v>
      </c>
      <c r="AS4067" t="s">
        <v>11595</v>
      </c>
      <c r="AT4067" t="s">
        <v>11642</v>
      </c>
      <c r="AX4067" t="s">
        <v>10838</v>
      </c>
      <c r="AY4067" t="s">
        <v>10829</v>
      </c>
      <c r="AZ4067" t="s">
        <v>11682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</row>
    <row r="4068" spans="1:59">
      <c r="A4068" s="1">
        <f>HYPERLINK("https://lsnyc.legalserver.org/matter/dynamic-profile/view/1908214","19-1908214")</f>
        <v>0</v>
      </c>
      <c r="B4068" t="s">
        <v>3350</v>
      </c>
      <c r="C4068" t="s">
        <v>8141</v>
      </c>
      <c r="D4068" t="s">
        <v>9925</v>
      </c>
      <c r="E4068" t="s">
        <v>10075</v>
      </c>
      <c r="F4068">
        <v>10027</v>
      </c>
      <c r="G4068" t="s">
        <v>10089</v>
      </c>
      <c r="H4068" t="s">
        <v>10145</v>
      </c>
      <c r="I4068" t="s">
        <v>10168</v>
      </c>
      <c r="J4068" t="s">
        <v>10209</v>
      </c>
      <c r="K4068" t="s">
        <v>10217</v>
      </c>
      <c r="M4068" t="s">
        <v>10453</v>
      </c>
      <c r="N4068" t="s">
        <v>10703</v>
      </c>
      <c r="P4068" t="s">
        <v>10749</v>
      </c>
      <c r="Q4068" t="s">
        <v>10765</v>
      </c>
      <c r="R4068" t="s">
        <v>10824</v>
      </c>
      <c r="T4068">
        <v>4728</v>
      </c>
      <c r="U4068">
        <v>394</v>
      </c>
      <c r="V4068">
        <v>29</v>
      </c>
      <c r="W4068">
        <v>1</v>
      </c>
      <c r="X4068">
        <v>4</v>
      </c>
      <c r="Z4068">
        <v>15.67</v>
      </c>
      <c r="AA4068">
        <v>40.811226</v>
      </c>
      <c r="AB4068">
        <v>-73.94345300000001</v>
      </c>
      <c r="AD4068" t="s">
        <v>10839</v>
      </c>
      <c r="AG4068" t="s">
        <v>10858</v>
      </c>
      <c r="AH4068" t="s">
        <v>10862</v>
      </c>
      <c r="AI4068">
        <v>236</v>
      </c>
      <c r="AJ4068" t="s">
        <v>10209</v>
      </c>
      <c r="AL4068">
        <v>3.5</v>
      </c>
      <c r="AM4068" t="s">
        <v>10887</v>
      </c>
      <c r="AN4068" t="s">
        <v>10936</v>
      </c>
      <c r="AO4068" t="s">
        <v>11016</v>
      </c>
      <c r="AP4068" t="s">
        <v>11076</v>
      </c>
      <c r="AQ4068" t="s">
        <v>11101</v>
      </c>
      <c r="AR4068" t="s">
        <v>11292</v>
      </c>
      <c r="AS4068" t="s">
        <v>9925</v>
      </c>
      <c r="AT4068" t="s">
        <v>11641</v>
      </c>
      <c r="BA4068" t="s">
        <v>11738</v>
      </c>
      <c r="BB4068">
        <v>0</v>
      </c>
      <c r="BC4068">
        <v>0</v>
      </c>
      <c r="BD4068">
        <v>0</v>
      </c>
      <c r="BE4068">
        <v>0</v>
      </c>
      <c r="BF4068">
        <v>5</v>
      </c>
      <c r="BG4068">
        <v>0</v>
      </c>
    </row>
    <row r="4069" spans="1:59">
      <c r="A4069" s="1">
        <f>HYPERLINK("https://lsnyc.legalserver.org/matter/dynamic-profile/view/1908215","19-1908215")</f>
        <v>0</v>
      </c>
      <c r="B4069" t="s">
        <v>3351</v>
      </c>
      <c r="C4069" t="s">
        <v>8142</v>
      </c>
      <c r="D4069" t="s">
        <v>9950</v>
      </c>
      <c r="E4069" t="s">
        <v>10075</v>
      </c>
      <c r="F4069">
        <v>11418</v>
      </c>
      <c r="G4069" t="s">
        <v>10092</v>
      </c>
      <c r="H4069" t="s">
        <v>10145</v>
      </c>
      <c r="I4069" t="s">
        <v>10169</v>
      </c>
      <c r="J4069" t="s">
        <v>10212</v>
      </c>
      <c r="K4069" t="s">
        <v>10217</v>
      </c>
      <c r="M4069" t="s">
        <v>10547</v>
      </c>
      <c r="N4069" t="s">
        <v>10671</v>
      </c>
      <c r="P4069" t="s">
        <v>10753</v>
      </c>
      <c r="Q4069" t="s">
        <v>10763</v>
      </c>
      <c r="R4069" t="s">
        <v>10821</v>
      </c>
      <c r="T4069">
        <v>24400</v>
      </c>
      <c r="U4069">
        <v>2033.33</v>
      </c>
      <c r="V4069">
        <v>43</v>
      </c>
      <c r="W4069">
        <v>2</v>
      </c>
      <c r="X4069">
        <v>3</v>
      </c>
      <c r="Z4069">
        <v>80.88</v>
      </c>
      <c r="AA4069">
        <v>40.69623</v>
      </c>
      <c r="AB4069">
        <v>-73.846181</v>
      </c>
      <c r="AD4069" t="s">
        <v>10839</v>
      </c>
      <c r="AF4069" t="s">
        <v>10843</v>
      </c>
      <c r="AG4069" t="s">
        <v>10859</v>
      </c>
      <c r="AH4069" t="s">
        <v>10871</v>
      </c>
      <c r="AI4069">
        <v>234</v>
      </c>
      <c r="AJ4069" t="s">
        <v>10214</v>
      </c>
      <c r="AL4069">
        <v>0.82</v>
      </c>
      <c r="AM4069" t="s">
        <v>10886</v>
      </c>
      <c r="AN4069" t="s">
        <v>10945</v>
      </c>
      <c r="AO4069" t="s">
        <v>11017</v>
      </c>
      <c r="AP4069" t="s">
        <v>11088</v>
      </c>
      <c r="AR4069" t="s">
        <v>11531</v>
      </c>
      <c r="AS4069" t="s">
        <v>11594</v>
      </c>
      <c r="AT4069" t="s">
        <v>11641</v>
      </c>
      <c r="AX4069" t="s">
        <v>10838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</row>
    <row r="4070" spans="1:59">
      <c r="A4070" s="1">
        <f>HYPERLINK("https://lsnyc.legalserver.org/matter/dynamic-profile/view/1908216","19-1908216")</f>
        <v>0</v>
      </c>
      <c r="B4070" t="s">
        <v>3269</v>
      </c>
      <c r="C4070" t="s">
        <v>8058</v>
      </c>
      <c r="D4070" t="s">
        <v>9928</v>
      </c>
      <c r="E4070" t="s">
        <v>10075</v>
      </c>
      <c r="F4070">
        <v>11208</v>
      </c>
      <c r="G4070" t="s">
        <v>10093</v>
      </c>
      <c r="H4070" t="s">
        <v>10145</v>
      </c>
      <c r="I4070" t="s">
        <v>10179</v>
      </c>
      <c r="J4070" t="s">
        <v>10213</v>
      </c>
      <c r="K4070" t="s">
        <v>10218</v>
      </c>
      <c r="L4070" t="s">
        <v>10155</v>
      </c>
      <c r="M4070" t="s">
        <v>10405</v>
      </c>
      <c r="N4070" t="s">
        <v>10650</v>
      </c>
      <c r="P4070" t="s">
        <v>10749</v>
      </c>
      <c r="Q4070" t="s">
        <v>10765</v>
      </c>
      <c r="R4070" t="s">
        <v>10822</v>
      </c>
      <c r="T4070">
        <v>26000</v>
      </c>
      <c r="U4070">
        <v>2166.67</v>
      </c>
      <c r="V4070">
        <v>40</v>
      </c>
      <c r="W4070">
        <v>2</v>
      </c>
      <c r="X4070">
        <v>2</v>
      </c>
      <c r="Y4070" t="s">
        <v>10829</v>
      </c>
      <c r="Z4070">
        <v>100.97</v>
      </c>
      <c r="AA4070">
        <v>40.668163</v>
      </c>
      <c r="AB4070">
        <v>-73.870547</v>
      </c>
      <c r="AD4070" t="s">
        <v>10839</v>
      </c>
      <c r="AG4070" t="s">
        <v>10858</v>
      </c>
      <c r="AH4070" t="s">
        <v>10862</v>
      </c>
      <c r="AI4070">
        <v>239</v>
      </c>
      <c r="AJ4070" t="s">
        <v>10213</v>
      </c>
      <c r="AK4070" t="s">
        <v>10838</v>
      </c>
      <c r="AL4070">
        <v>1</v>
      </c>
      <c r="AM4070" t="s">
        <v>10889</v>
      </c>
      <c r="AN4070" t="s">
        <v>10946</v>
      </c>
      <c r="AO4070" t="s">
        <v>11012</v>
      </c>
      <c r="AP4070" t="s">
        <v>11060</v>
      </c>
      <c r="AR4070" t="s">
        <v>11257</v>
      </c>
      <c r="AS4070" t="s">
        <v>11595</v>
      </c>
      <c r="AY4070" t="s">
        <v>10829</v>
      </c>
      <c r="AZ4070" t="s">
        <v>11681</v>
      </c>
      <c r="BA4070" t="s">
        <v>11741</v>
      </c>
      <c r="BB4070">
        <v>0</v>
      </c>
      <c r="BC4070">
        <v>0</v>
      </c>
      <c r="BD4070">
        <v>0</v>
      </c>
      <c r="BE4070">
        <v>0</v>
      </c>
      <c r="BF4070">
        <v>1</v>
      </c>
      <c r="BG4070">
        <v>0</v>
      </c>
    </row>
    <row r="4071" spans="1:59">
      <c r="A4071" s="1">
        <f>HYPERLINK("https://lsnyc.legalserver.org/matter/dynamic-profile/view/1908217","19-1908217")</f>
        <v>0</v>
      </c>
      <c r="B4071" t="s">
        <v>3352</v>
      </c>
      <c r="C4071" t="s">
        <v>8143</v>
      </c>
      <c r="D4071" t="s">
        <v>9926</v>
      </c>
      <c r="E4071" t="s">
        <v>10075</v>
      </c>
      <c r="F4071">
        <v>10459</v>
      </c>
      <c r="G4071" t="s">
        <v>10090</v>
      </c>
      <c r="H4071" t="s">
        <v>10145</v>
      </c>
      <c r="I4071" t="s">
        <v>10168</v>
      </c>
      <c r="J4071" t="s">
        <v>10210</v>
      </c>
      <c r="K4071" t="s">
        <v>10217</v>
      </c>
      <c r="M4071" t="s">
        <v>10401</v>
      </c>
      <c r="N4071" t="s">
        <v>10671</v>
      </c>
      <c r="P4071" t="s">
        <v>10751</v>
      </c>
      <c r="Q4071" t="s">
        <v>10761</v>
      </c>
      <c r="R4071" t="s">
        <v>10824</v>
      </c>
      <c r="T4071">
        <v>15646.8</v>
      </c>
      <c r="U4071">
        <v>1303.9</v>
      </c>
      <c r="V4071">
        <v>49</v>
      </c>
      <c r="W4071">
        <v>3</v>
      </c>
      <c r="X4071">
        <v>3</v>
      </c>
      <c r="Z4071">
        <v>45.24</v>
      </c>
      <c r="AA4071">
        <v>40.830572</v>
      </c>
      <c r="AB4071">
        <v>-73.89688099999999</v>
      </c>
      <c r="AD4071" t="s">
        <v>10839</v>
      </c>
      <c r="AG4071" t="s">
        <v>10858</v>
      </c>
      <c r="AH4071" t="s">
        <v>10862</v>
      </c>
      <c r="AI4071">
        <v>230</v>
      </c>
      <c r="AJ4071" t="s">
        <v>10210</v>
      </c>
      <c r="AL4071">
        <v>4.75</v>
      </c>
      <c r="AM4071" t="s">
        <v>10884</v>
      </c>
      <c r="AN4071" t="s">
        <v>10918</v>
      </c>
      <c r="AO4071" t="s">
        <v>11001</v>
      </c>
      <c r="AP4071" t="s">
        <v>11055</v>
      </c>
      <c r="AR4071" t="s">
        <v>11257</v>
      </c>
      <c r="AS4071" t="s">
        <v>9926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</row>
    <row r="4072" spans="1:59">
      <c r="A4072" s="1">
        <f>HYPERLINK("https://lsnyc.legalserver.org/matter/dynamic-profile/view/1908218","19-1908218")</f>
        <v>0</v>
      </c>
      <c r="B4072" t="s">
        <v>3353</v>
      </c>
      <c r="C4072" t="s">
        <v>7867</v>
      </c>
      <c r="D4072" t="s">
        <v>9927</v>
      </c>
      <c r="E4072" t="s">
        <v>10075</v>
      </c>
      <c r="F4072">
        <v>11377</v>
      </c>
      <c r="G4072" t="s">
        <v>10092</v>
      </c>
      <c r="H4072" t="s">
        <v>10145</v>
      </c>
      <c r="I4072" t="s">
        <v>10168</v>
      </c>
      <c r="J4072" t="s">
        <v>10212</v>
      </c>
      <c r="K4072" t="s">
        <v>10217</v>
      </c>
      <c r="M4072" t="s">
        <v>10387</v>
      </c>
      <c r="N4072" t="s">
        <v>10650</v>
      </c>
      <c r="P4072" t="s">
        <v>10749</v>
      </c>
      <c r="Q4072" t="s">
        <v>10765</v>
      </c>
      <c r="R4072" t="s">
        <v>10821</v>
      </c>
      <c r="T4072">
        <v>106000</v>
      </c>
      <c r="U4072">
        <v>8833.33</v>
      </c>
      <c r="V4072">
        <v>46</v>
      </c>
      <c r="W4072">
        <v>4</v>
      </c>
      <c r="X4072">
        <v>0</v>
      </c>
      <c r="Z4072">
        <v>411.65</v>
      </c>
      <c r="AA4072">
        <v>40.741994</v>
      </c>
      <c r="AB4072">
        <v>-73.90494</v>
      </c>
      <c r="AD4072" t="s">
        <v>10839</v>
      </c>
      <c r="AG4072" t="s">
        <v>10858</v>
      </c>
      <c r="AH4072" t="s">
        <v>10862</v>
      </c>
      <c r="AI4072">
        <v>237</v>
      </c>
      <c r="AJ4072" t="s">
        <v>10212</v>
      </c>
      <c r="AL4072">
        <v>0.45</v>
      </c>
      <c r="AM4072" t="s">
        <v>10885</v>
      </c>
      <c r="AN4072" t="s">
        <v>10935</v>
      </c>
      <c r="AO4072" t="s">
        <v>11003</v>
      </c>
      <c r="AP4072" t="s">
        <v>11047</v>
      </c>
      <c r="AR4072" t="s">
        <v>11257</v>
      </c>
      <c r="AS4072" t="s">
        <v>11594</v>
      </c>
      <c r="AX4072" t="s">
        <v>10838</v>
      </c>
      <c r="BA4072" t="s">
        <v>11739</v>
      </c>
      <c r="BB4072">
        <v>0</v>
      </c>
      <c r="BC4072">
        <v>0</v>
      </c>
      <c r="BD4072">
        <v>0</v>
      </c>
      <c r="BE4072">
        <v>0</v>
      </c>
      <c r="BF4072">
        <v>4</v>
      </c>
      <c r="BG4072">
        <v>0</v>
      </c>
    </row>
    <row r="4073" spans="1:59">
      <c r="A4073" s="1">
        <f>HYPERLINK("https://lsnyc.legalserver.org/matter/dynamic-profile/view/1908219","19-1908219")</f>
        <v>0</v>
      </c>
      <c r="B4073" t="s">
        <v>3354</v>
      </c>
      <c r="C4073" t="s">
        <v>8144</v>
      </c>
      <c r="D4073" t="s">
        <v>9928</v>
      </c>
      <c r="E4073" t="s">
        <v>10075</v>
      </c>
      <c r="F4073">
        <v>11215</v>
      </c>
      <c r="G4073" t="s">
        <v>10093</v>
      </c>
      <c r="H4073" t="s">
        <v>10145</v>
      </c>
      <c r="I4073" t="s">
        <v>10168</v>
      </c>
      <c r="J4073" t="s">
        <v>10213</v>
      </c>
      <c r="K4073" t="s">
        <v>10217</v>
      </c>
      <c r="M4073" t="s">
        <v>10304</v>
      </c>
      <c r="N4073" t="s">
        <v>10646</v>
      </c>
      <c r="P4073" t="s">
        <v>10749</v>
      </c>
      <c r="Q4073" t="s">
        <v>10765</v>
      </c>
      <c r="R4073" t="s">
        <v>10824</v>
      </c>
      <c r="T4073">
        <v>35360.04</v>
      </c>
      <c r="U4073">
        <v>2946.67</v>
      </c>
      <c r="V4073">
        <v>23</v>
      </c>
      <c r="W4073">
        <v>1</v>
      </c>
      <c r="X4073">
        <v>0</v>
      </c>
      <c r="Z4073">
        <v>283.11</v>
      </c>
      <c r="AA4073">
        <v>40.668156</v>
      </c>
      <c r="AB4073">
        <v>-73.98632000000001</v>
      </c>
      <c r="AD4073" t="s">
        <v>10840</v>
      </c>
      <c r="AF4073" t="s">
        <v>10842</v>
      </c>
      <c r="AG4073" t="s">
        <v>10859</v>
      </c>
      <c r="AH4073" t="s">
        <v>10861</v>
      </c>
      <c r="AI4073">
        <v>234</v>
      </c>
      <c r="AJ4073" t="s">
        <v>10214</v>
      </c>
      <c r="AL4073">
        <v>0.6</v>
      </c>
      <c r="AM4073" t="s">
        <v>10886</v>
      </c>
      <c r="AN4073" t="s">
        <v>10917</v>
      </c>
      <c r="AO4073" t="s">
        <v>11008</v>
      </c>
      <c r="AP4073" t="s">
        <v>11059</v>
      </c>
      <c r="AR4073" t="s">
        <v>11257</v>
      </c>
      <c r="AS4073" t="s">
        <v>11595</v>
      </c>
      <c r="AT4073" t="s">
        <v>11642</v>
      </c>
      <c r="AX4073" t="s">
        <v>10837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</row>
    <row r="4074" spans="1:59">
      <c r="A4074" s="1">
        <f>HYPERLINK("https://lsnyc.legalserver.org/matter/dynamic-profile/view/1908220","19-1908220")</f>
        <v>0</v>
      </c>
      <c r="B4074" t="s">
        <v>3355</v>
      </c>
      <c r="C4074" t="s">
        <v>8145</v>
      </c>
      <c r="D4074" t="s">
        <v>9925</v>
      </c>
      <c r="E4074" t="s">
        <v>10075</v>
      </c>
      <c r="F4074">
        <v>10014</v>
      </c>
      <c r="G4074" t="s">
        <v>10089</v>
      </c>
      <c r="H4074" t="s">
        <v>10145</v>
      </c>
      <c r="I4074" t="s">
        <v>10168</v>
      </c>
      <c r="J4074" t="s">
        <v>10209</v>
      </c>
      <c r="K4074" t="s">
        <v>10217</v>
      </c>
      <c r="M4074" t="s">
        <v>10301</v>
      </c>
      <c r="N4074" t="s">
        <v>10665</v>
      </c>
      <c r="P4074" t="s">
        <v>10751</v>
      </c>
      <c r="Q4074" t="s">
        <v>10773</v>
      </c>
      <c r="R4074" t="s">
        <v>10820</v>
      </c>
      <c r="T4074">
        <v>5400</v>
      </c>
      <c r="U4074">
        <v>450</v>
      </c>
      <c r="V4074">
        <v>37</v>
      </c>
      <c r="W4074">
        <v>1</v>
      </c>
      <c r="X4074">
        <v>0</v>
      </c>
      <c r="Z4074">
        <v>43.23</v>
      </c>
      <c r="AA4074">
        <v>40.731324</v>
      </c>
      <c r="AB4074">
        <v>-74.009608</v>
      </c>
      <c r="AD4074" t="s">
        <v>10839</v>
      </c>
      <c r="AG4074" t="s">
        <v>10858</v>
      </c>
      <c r="AH4074" t="s">
        <v>10861</v>
      </c>
      <c r="AI4074">
        <v>234</v>
      </c>
      <c r="AJ4074" t="s">
        <v>10214</v>
      </c>
      <c r="AL4074">
        <v>3.5</v>
      </c>
      <c r="AM4074" t="s">
        <v>10894</v>
      </c>
      <c r="AN4074" t="s">
        <v>10950</v>
      </c>
      <c r="AO4074" t="s">
        <v>11021</v>
      </c>
      <c r="AP4074" t="s">
        <v>11090</v>
      </c>
      <c r="AQ4074" t="s">
        <v>11115</v>
      </c>
      <c r="AR4074" t="s">
        <v>11293</v>
      </c>
      <c r="AS4074" t="s">
        <v>9925</v>
      </c>
      <c r="AT4074" t="s">
        <v>11642</v>
      </c>
      <c r="AX4074" t="s">
        <v>10838</v>
      </c>
      <c r="BA4074" t="s">
        <v>11741</v>
      </c>
      <c r="BB4074">
        <v>0</v>
      </c>
      <c r="BC4074">
        <v>0</v>
      </c>
      <c r="BD4074">
        <v>0</v>
      </c>
      <c r="BE4074">
        <v>0</v>
      </c>
      <c r="BF4074">
        <v>1</v>
      </c>
      <c r="BG4074">
        <v>0</v>
      </c>
    </row>
    <row r="4075" spans="1:59">
      <c r="A4075" s="1">
        <f>HYPERLINK("https://lsnyc.legalserver.org/matter/dynamic-profile/view/1908221","19-1908221")</f>
        <v>0</v>
      </c>
      <c r="B4075" t="s">
        <v>3236</v>
      </c>
      <c r="C4075" t="s">
        <v>8027</v>
      </c>
      <c r="D4075" t="s">
        <v>9928</v>
      </c>
      <c r="E4075" t="s">
        <v>10075</v>
      </c>
      <c r="F4075">
        <v>11238</v>
      </c>
      <c r="G4075" t="s">
        <v>10091</v>
      </c>
      <c r="H4075" t="s">
        <v>10145</v>
      </c>
      <c r="I4075" t="s">
        <v>10168</v>
      </c>
      <c r="J4075" t="s">
        <v>10214</v>
      </c>
      <c r="K4075" t="s">
        <v>10217</v>
      </c>
      <c r="M4075" t="s">
        <v>10537</v>
      </c>
      <c r="N4075" t="s">
        <v>10671</v>
      </c>
      <c r="P4075" t="s">
        <v>10753</v>
      </c>
      <c r="Q4075" t="s">
        <v>10763</v>
      </c>
      <c r="R4075" t="s">
        <v>10824</v>
      </c>
      <c r="T4075">
        <v>4800</v>
      </c>
      <c r="U4075">
        <v>400</v>
      </c>
      <c r="V4075">
        <v>54</v>
      </c>
      <c r="W4075">
        <v>1</v>
      </c>
      <c r="X4075">
        <v>0</v>
      </c>
      <c r="Z4075">
        <v>38.43</v>
      </c>
      <c r="AA4075">
        <v>40.682018</v>
      </c>
      <c r="AB4075">
        <v>-73.96181300000001</v>
      </c>
      <c r="AD4075" t="s">
        <v>10839</v>
      </c>
      <c r="AF4075" t="s">
        <v>10843</v>
      </c>
      <c r="AG4075" t="s">
        <v>10859</v>
      </c>
      <c r="AH4075" t="s">
        <v>10861</v>
      </c>
      <c r="AI4075">
        <v>234</v>
      </c>
      <c r="AJ4075" t="s">
        <v>10214</v>
      </c>
      <c r="AL4075">
        <v>0.8</v>
      </c>
      <c r="AR4075" t="s">
        <v>11257</v>
      </c>
      <c r="AS4075" t="s">
        <v>11595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</row>
    <row r="4076" spans="1:59">
      <c r="A4076" s="1">
        <f>HYPERLINK("https://lsnyc.legalserver.org/matter/dynamic-profile/view/1908223","19-1908223")</f>
        <v>0</v>
      </c>
      <c r="B4076" t="s">
        <v>3353</v>
      </c>
      <c r="C4076" t="s">
        <v>7867</v>
      </c>
      <c r="D4076" t="s">
        <v>9927</v>
      </c>
      <c r="E4076" t="s">
        <v>10075</v>
      </c>
      <c r="F4076">
        <v>11377</v>
      </c>
      <c r="G4076" t="s">
        <v>10092</v>
      </c>
      <c r="H4076" t="s">
        <v>10145</v>
      </c>
      <c r="I4076" t="s">
        <v>10168</v>
      </c>
      <c r="J4076" t="s">
        <v>10212</v>
      </c>
      <c r="K4076" t="s">
        <v>10217</v>
      </c>
      <c r="M4076" t="s">
        <v>10387</v>
      </c>
      <c r="N4076" t="s">
        <v>10650</v>
      </c>
      <c r="P4076" t="s">
        <v>10749</v>
      </c>
      <c r="Q4076" t="s">
        <v>10765</v>
      </c>
      <c r="R4076" t="s">
        <v>10821</v>
      </c>
      <c r="T4076">
        <v>106000</v>
      </c>
      <c r="U4076">
        <v>8833.33</v>
      </c>
      <c r="V4076">
        <v>46</v>
      </c>
      <c r="W4076">
        <v>4</v>
      </c>
      <c r="X4076">
        <v>0</v>
      </c>
      <c r="Z4076">
        <v>411.65</v>
      </c>
      <c r="AA4076">
        <v>40.741994</v>
      </c>
      <c r="AB4076">
        <v>-73.90494</v>
      </c>
      <c r="AD4076" t="s">
        <v>10839</v>
      </c>
      <c r="AG4076" t="s">
        <v>10858</v>
      </c>
      <c r="AH4076" t="s">
        <v>10862</v>
      </c>
      <c r="AI4076">
        <v>237</v>
      </c>
      <c r="AJ4076" t="s">
        <v>10212</v>
      </c>
      <c r="AL4076">
        <v>0.3</v>
      </c>
      <c r="AM4076" t="s">
        <v>10885</v>
      </c>
      <c r="AN4076" t="s">
        <v>10935</v>
      </c>
      <c r="AO4076" t="s">
        <v>11003</v>
      </c>
      <c r="AP4076" t="s">
        <v>11047</v>
      </c>
      <c r="AR4076" t="s">
        <v>11257</v>
      </c>
      <c r="AS4076" t="s">
        <v>11594</v>
      </c>
      <c r="BA4076" t="s">
        <v>11739</v>
      </c>
      <c r="BB4076">
        <v>0</v>
      </c>
      <c r="BC4076">
        <v>0</v>
      </c>
      <c r="BD4076">
        <v>0</v>
      </c>
      <c r="BE4076">
        <v>0</v>
      </c>
      <c r="BF4076">
        <v>4</v>
      </c>
      <c r="BG4076">
        <v>0</v>
      </c>
    </row>
    <row r="4077" spans="1:59">
      <c r="A4077" s="1">
        <f>HYPERLINK("https://lsnyc.legalserver.org/matter/dynamic-profile/view/1908224","19-1908224")</f>
        <v>0</v>
      </c>
      <c r="B4077" t="s">
        <v>2600</v>
      </c>
      <c r="C4077" t="s">
        <v>7382</v>
      </c>
      <c r="D4077" t="s">
        <v>9926</v>
      </c>
      <c r="E4077" t="s">
        <v>10075</v>
      </c>
      <c r="F4077">
        <v>10452</v>
      </c>
      <c r="G4077" t="s">
        <v>10090</v>
      </c>
      <c r="H4077" t="s">
        <v>10145</v>
      </c>
      <c r="I4077" t="s">
        <v>10168</v>
      </c>
      <c r="J4077" t="s">
        <v>10210</v>
      </c>
      <c r="K4077" t="s">
        <v>10218</v>
      </c>
      <c r="L4077" t="s">
        <v>10155</v>
      </c>
      <c r="M4077" t="s">
        <v>10596</v>
      </c>
      <c r="N4077" t="s">
        <v>10688</v>
      </c>
      <c r="P4077" t="s">
        <v>10751</v>
      </c>
      <c r="Q4077" t="s">
        <v>10776</v>
      </c>
      <c r="R4077" t="s">
        <v>10821</v>
      </c>
      <c r="S4077" t="s">
        <v>10821</v>
      </c>
      <c r="T4077">
        <v>19500</v>
      </c>
      <c r="U4077">
        <v>1625</v>
      </c>
      <c r="V4077">
        <v>35</v>
      </c>
      <c r="W4077">
        <v>1</v>
      </c>
      <c r="X4077">
        <v>3</v>
      </c>
      <c r="Y4077" t="s">
        <v>10830</v>
      </c>
      <c r="Z4077">
        <v>75.73</v>
      </c>
      <c r="AA4077">
        <v>40.838447</v>
      </c>
      <c r="AB4077">
        <v>-73.91646299999999</v>
      </c>
      <c r="AD4077" t="s">
        <v>10839</v>
      </c>
      <c r="AG4077" t="s">
        <v>10858</v>
      </c>
      <c r="AH4077" t="s">
        <v>10874</v>
      </c>
      <c r="AI4077">
        <v>234</v>
      </c>
      <c r="AJ4077" t="s">
        <v>10214</v>
      </c>
      <c r="AK4077" t="s">
        <v>10882</v>
      </c>
      <c r="AL4077">
        <v>1.15</v>
      </c>
      <c r="AQ4077" t="s">
        <v>11192</v>
      </c>
      <c r="AR4077" t="s">
        <v>11262</v>
      </c>
      <c r="AS4077" t="s">
        <v>9926</v>
      </c>
      <c r="AY4077" t="s">
        <v>10830</v>
      </c>
      <c r="AZ4077" t="s">
        <v>11710</v>
      </c>
      <c r="BB4077">
        <v>0</v>
      </c>
      <c r="BC4077">
        <v>0</v>
      </c>
      <c r="BD4077">
        <v>914.54</v>
      </c>
      <c r="BE4077">
        <v>0</v>
      </c>
      <c r="BF4077">
        <v>0</v>
      </c>
      <c r="BG4077">
        <v>0</v>
      </c>
    </row>
    <row r="4078" spans="1:59">
      <c r="A4078" s="1">
        <f>HYPERLINK("https://lsnyc.legalserver.org/matter/dynamic-profile/view/1908225","19-1908225")</f>
        <v>0</v>
      </c>
      <c r="B4078" t="s">
        <v>733</v>
      </c>
      <c r="C4078" t="s">
        <v>8146</v>
      </c>
      <c r="D4078" t="s">
        <v>9925</v>
      </c>
      <c r="E4078" t="s">
        <v>10075</v>
      </c>
      <c r="F4078">
        <v>10031</v>
      </c>
      <c r="G4078" t="s">
        <v>10089</v>
      </c>
      <c r="H4078" t="s">
        <v>10145</v>
      </c>
      <c r="I4078" t="s">
        <v>10168</v>
      </c>
      <c r="J4078" t="s">
        <v>10209</v>
      </c>
      <c r="K4078" t="s">
        <v>10217</v>
      </c>
      <c r="M4078" t="s">
        <v>10453</v>
      </c>
      <c r="N4078" t="s">
        <v>10703</v>
      </c>
      <c r="P4078" t="s">
        <v>10749</v>
      </c>
      <c r="Q4078" t="s">
        <v>10765</v>
      </c>
      <c r="R4078" t="s">
        <v>10821</v>
      </c>
      <c r="T4078">
        <v>0</v>
      </c>
      <c r="U4078">
        <v>0</v>
      </c>
      <c r="V4078">
        <v>30</v>
      </c>
      <c r="W4078">
        <v>1</v>
      </c>
      <c r="X4078">
        <v>1</v>
      </c>
      <c r="Z4078">
        <v>0</v>
      </c>
      <c r="AA4078">
        <v>40.824593</v>
      </c>
      <c r="AB4078">
        <v>-73.952371</v>
      </c>
      <c r="AD4078" t="s">
        <v>10840</v>
      </c>
      <c r="AG4078" t="s">
        <v>10858</v>
      </c>
      <c r="AH4078" t="s">
        <v>10862</v>
      </c>
      <c r="AI4078">
        <v>236</v>
      </c>
      <c r="AJ4078" t="s">
        <v>10209</v>
      </c>
      <c r="AL4078">
        <v>0</v>
      </c>
      <c r="AM4078" t="s">
        <v>10887</v>
      </c>
      <c r="AN4078" t="s">
        <v>10943</v>
      </c>
      <c r="AO4078" t="s">
        <v>11019</v>
      </c>
      <c r="AP4078" t="s">
        <v>11073</v>
      </c>
      <c r="AQ4078" t="s">
        <v>11101</v>
      </c>
      <c r="AR4078" t="s">
        <v>11279</v>
      </c>
      <c r="AS4078" t="s">
        <v>9925</v>
      </c>
      <c r="AT4078" t="s">
        <v>11642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</row>
    <row r="4079" spans="1:59">
      <c r="A4079" s="1">
        <f>HYPERLINK("https://lsnyc.legalserver.org/matter/dynamic-profile/view/1908227","19-1908227")</f>
        <v>0</v>
      </c>
      <c r="B4079" t="s">
        <v>3356</v>
      </c>
      <c r="C4079" t="s">
        <v>8147</v>
      </c>
      <c r="D4079" t="s">
        <v>9929</v>
      </c>
      <c r="E4079" t="s">
        <v>10075</v>
      </c>
      <c r="F4079">
        <v>10302</v>
      </c>
      <c r="G4079" t="s">
        <v>10088</v>
      </c>
      <c r="H4079" t="s">
        <v>10145</v>
      </c>
      <c r="I4079" t="s">
        <v>10190</v>
      </c>
      <c r="J4079" t="s">
        <v>10208</v>
      </c>
      <c r="K4079" t="s">
        <v>10217</v>
      </c>
      <c r="M4079" t="s">
        <v>10228</v>
      </c>
      <c r="N4079" t="s">
        <v>10644</v>
      </c>
      <c r="P4079" t="s">
        <v>10749</v>
      </c>
      <c r="Q4079" t="s">
        <v>10769</v>
      </c>
      <c r="R4079" t="s">
        <v>10820</v>
      </c>
      <c r="T4079">
        <v>15276</v>
      </c>
      <c r="U4079">
        <v>1273</v>
      </c>
      <c r="V4079">
        <v>76</v>
      </c>
      <c r="W4079">
        <v>1</v>
      </c>
      <c r="X4079">
        <v>0</v>
      </c>
      <c r="Z4079">
        <v>122.31</v>
      </c>
      <c r="AA4079">
        <v>40.628878</v>
      </c>
      <c r="AB4079">
        <v>-74.138779</v>
      </c>
      <c r="AD4079" t="s">
        <v>10839</v>
      </c>
      <c r="AG4079" t="s">
        <v>10858</v>
      </c>
      <c r="AH4079" t="s">
        <v>10860</v>
      </c>
      <c r="AI4079">
        <v>285</v>
      </c>
      <c r="AJ4079" t="s">
        <v>10208</v>
      </c>
      <c r="AL4079">
        <v>1.1</v>
      </c>
      <c r="AM4079" t="s">
        <v>10883</v>
      </c>
      <c r="AN4079" t="s">
        <v>10913</v>
      </c>
      <c r="AO4079" t="s">
        <v>11006</v>
      </c>
      <c r="AP4079" t="s">
        <v>11051</v>
      </c>
      <c r="AR4079" t="s">
        <v>11456</v>
      </c>
      <c r="AS4079" t="s">
        <v>11593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</row>
    <row r="4080" spans="1:59">
      <c r="A4080" s="1">
        <f>HYPERLINK("https://lsnyc.legalserver.org/matter/dynamic-profile/view/1908228","19-1908228")</f>
        <v>0</v>
      </c>
      <c r="B4080" t="s">
        <v>3357</v>
      </c>
      <c r="C4080" t="s">
        <v>6668</v>
      </c>
      <c r="D4080" t="s">
        <v>9928</v>
      </c>
      <c r="E4080" t="s">
        <v>10075</v>
      </c>
      <c r="F4080">
        <v>11216</v>
      </c>
      <c r="G4080" t="s">
        <v>10093</v>
      </c>
      <c r="H4080" t="s">
        <v>10145</v>
      </c>
      <c r="I4080" t="s">
        <v>10168</v>
      </c>
      <c r="J4080" t="s">
        <v>10213</v>
      </c>
      <c r="K4080" t="s">
        <v>10217</v>
      </c>
      <c r="M4080" t="s">
        <v>10308</v>
      </c>
      <c r="N4080" t="s">
        <v>10650</v>
      </c>
      <c r="P4080" t="s">
        <v>10749</v>
      </c>
      <c r="Q4080" t="s">
        <v>10765</v>
      </c>
      <c r="R4080" t="s">
        <v>10820</v>
      </c>
      <c r="T4080">
        <v>97500</v>
      </c>
      <c r="U4080">
        <v>8125</v>
      </c>
      <c r="V4080">
        <v>30</v>
      </c>
      <c r="W4080">
        <v>1</v>
      </c>
      <c r="X4080">
        <v>0</v>
      </c>
      <c r="Z4080">
        <v>780.62</v>
      </c>
      <c r="AA4080">
        <v>40.672367</v>
      </c>
      <c r="AB4080">
        <v>-73.952482</v>
      </c>
      <c r="AD4080" t="s">
        <v>10840</v>
      </c>
      <c r="AG4080" t="s">
        <v>10858</v>
      </c>
      <c r="AH4080" t="s">
        <v>10862</v>
      </c>
      <c r="AI4080">
        <v>239</v>
      </c>
      <c r="AJ4080" t="s">
        <v>10213</v>
      </c>
      <c r="AL4080">
        <v>0</v>
      </c>
      <c r="AM4080" t="s">
        <v>10888</v>
      </c>
      <c r="AN4080" t="s">
        <v>10912</v>
      </c>
      <c r="AO4080" t="s">
        <v>11005</v>
      </c>
      <c r="AP4080" t="s">
        <v>11061</v>
      </c>
      <c r="AR4080" t="s">
        <v>11257</v>
      </c>
      <c r="AS4080" t="s">
        <v>11595</v>
      </c>
      <c r="AT4080" t="s">
        <v>11642</v>
      </c>
      <c r="AX4080" t="s">
        <v>10838</v>
      </c>
      <c r="BA4080" t="s">
        <v>11740</v>
      </c>
      <c r="BB4080">
        <v>0</v>
      </c>
      <c r="BC4080">
        <v>0</v>
      </c>
      <c r="BD4080">
        <v>0</v>
      </c>
      <c r="BE4080">
        <v>0</v>
      </c>
      <c r="BF4080">
        <v>2</v>
      </c>
      <c r="BG4080">
        <v>0</v>
      </c>
    </row>
    <row r="4081" spans="1:59">
      <c r="A4081" s="1">
        <f>HYPERLINK("https://lsnyc.legalserver.org/matter/dynamic-profile/view/1908229","19-1908229")</f>
        <v>0</v>
      </c>
      <c r="B4081" t="s">
        <v>3357</v>
      </c>
      <c r="C4081" t="s">
        <v>6668</v>
      </c>
      <c r="D4081" t="s">
        <v>9928</v>
      </c>
      <c r="E4081" t="s">
        <v>10075</v>
      </c>
      <c r="F4081">
        <v>11216</v>
      </c>
      <c r="G4081" t="s">
        <v>10093</v>
      </c>
      <c r="H4081" t="s">
        <v>10145</v>
      </c>
      <c r="I4081" t="s">
        <v>10168</v>
      </c>
      <c r="J4081" t="s">
        <v>10213</v>
      </c>
      <c r="K4081" t="s">
        <v>10217</v>
      </c>
      <c r="M4081" t="s">
        <v>10308</v>
      </c>
      <c r="N4081" t="s">
        <v>10650</v>
      </c>
      <c r="P4081" t="s">
        <v>10749</v>
      </c>
      <c r="Q4081" t="s">
        <v>10765</v>
      </c>
      <c r="R4081" t="s">
        <v>10820</v>
      </c>
      <c r="T4081">
        <v>97500</v>
      </c>
      <c r="U4081">
        <v>8125</v>
      </c>
      <c r="V4081">
        <v>30</v>
      </c>
      <c r="W4081">
        <v>1</v>
      </c>
      <c r="X4081">
        <v>0</v>
      </c>
      <c r="Z4081">
        <v>780.62</v>
      </c>
      <c r="AA4081">
        <v>40.672367</v>
      </c>
      <c r="AB4081">
        <v>-73.952482</v>
      </c>
      <c r="AC4081" t="s">
        <v>10838</v>
      </c>
      <c r="AD4081" t="s">
        <v>10840</v>
      </c>
      <c r="AG4081" t="s">
        <v>10858</v>
      </c>
      <c r="AH4081" t="s">
        <v>10862</v>
      </c>
      <c r="AI4081">
        <v>239</v>
      </c>
      <c r="AJ4081" t="s">
        <v>10213</v>
      </c>
      <c r="AL4081">
        <v>0</v>
      </c>
      <c r="AR4081" t="s">
        <v>11257</v>
      </c>
      <c r="AS4081" t="s">
        <v>11595</v>
      </c>
      <c r="AT4081" t="s">
        <v>11642</v>
      </c>
      <c r="AX4081" t="s">
        <v>10838</v>
      </c>
      <c r="BA4081" t="s">
        <v>11738</v>
      </c>
      <c r="BB4081">
        <v>0</v>
      </c>
      <c r="BC4081">
        <v>0</v>
      </c>
      <c r="BD4081">
        <v>0</v>
      </c>
      <c r="BE4081">
        <v>0</v>
      </c>
      <c r="BF4081">
        <v>5</v>
      </c>
      <c r="BG4081">
        <v>0</v>
      </c>
    </row>
    <row r="4082" spans="1:59">
      <c r="A4082" s="1">
        <f>HYPERLINK("https://lsnyc.legalserver.org/matter/dynamic-profile/view/1908230","19-1908230")</f>
        <v>0</v>
      </c>
      <c r="B4082" t="s">
        <v>3358</v>
      </c>
      <c r="C4082" t="s">
        <v>8148</v>
      </c>
      <c r="D4082" t="s">
        <v>9928</v>
      </c>
      <c r="E4082" t="s">
        <v>10075</v>
      </c>
      <c r="F4082">
        <v>11226</v>
      </c>
      <c r="G4082" t="s">
        <v>10091</v>
      </c>
      <c r="H4082" t="s">
        <v>10151</v>
      </c>
      <c r="I4082" t="s">
        <v>10168</v>
      </c>
      <c r="J4082" t="s">
        <v>10214</v>
      </c>
      <c r="K4082" t="s">
        <v>10217</v>
      </c>
      <c r="M4082" t="s">
        <v>10537</v>
      </c>
      <c r="N4082" t="s">
        <v>10671</v>
      </c>
      <c r="P4082" t="s">
        <v>10753</v>
      </c>
      <c r="Q4082" t="s">
        <v>10763</v>
      </c>
      <c r="R4082" t="s">
        <v>10824</v>
      </c>
      <c r="T4082">
        <v>7800</v>
      </c>
      <c r="U4082">
        <v>650</v>
      </c>
      <c r="V4082">
        <v>57</v>
      </c>
      <c r="W4082">
        <v>3</v>
      </c>
      <c r="X4082">
        <v>0</v>
      </c>
      <c r="Z4082">
        <v>36.57</v>
      </c>
      <c r="AA4082">
        <v>40.64199</v>
      </c>
      <c r="AB4082">
        <v>-73.961808</v>
      </c>
      <c r="AD4082" t="s">
        <v>10839</v>
      </c>
      <c r="AF4082" t="s">
        <v>10843</v>
      </c>
      <c r="AG4082" t="s">
        <v>10859</v>
      </c>
      <c r="AH4082" t="s">
        <v>10862</v>
      </c>
      <c r="AI4082">
        <v>234</v>
      </c>
      <c r="AJ4082" t="s">
        <v>10214</v>
      </c>
      <c r="AL4082">
        <v>0.5</v>
      </c>
      <c r="AM4082" t="s">
        <v>10888</v>
      </c>
      <c r="AN4082" t="s">
        <v>10932</v>
      </c>
      <c r="AO4082" t="s">
        <v>11008</v>
      </c>
      <c r="AP4082" t="s">
        <v>11050</v>
      </c>
      <c r="AR4082" t="s">
        <v>11262</v>
      </c>
      <c r="AS4082" t="s">
        <v>11595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</row>
    <row r="4083" spans="1:59">
      <c r="A4083" s="1">
        <f>HYPERLINK("https://lsnyc.legalserver.org/matter/dynamic-profile/view/1908231","19-1908231")</f>
        <v>0</v>
      </c>
      <c r="B4083" t="s">
        <v>930</v>
      </c>
      <c r="C4083" t="s">
        <v>6794</v>
      </c>
      <c r="D4083" t="s">
        <v>9926</v>
      </c>
      <c r="E4083" t="s">
        <v>10075</v>
      </c>
      <c r="F4083">
        <v>10473</v>
      </c>
      <c r="G4083" t="s">
        <v>10090</v>
      </c>
      <c r="H4083" t="s">
        <v>10143</v>
      </c>
      <c r="I4083" t="s">
        <v>10168</v>
      </c>
      <c r="J4083" t="s">
        <v>10210</v>
      </c>
      <c r="K4083" t="s">
        <v>10217</v>
      </c>
      <c r="M4083" t="s">
        <v>10510</v>
      </c>
      <c r="N4083" t="s">
        <v>10677</v>
      </c>
      <c r="P4083" t="s">
        <v>10754</v>
      </c>
      <c r="Q4083" t="s">
        <v>10798</v>
      </c>
      <c r="R4083" t="s">
        <v>10824</v>
      </c>
      <c r="T4083">
        <v>10296</v>
      </c>
      <c r="U4083">
        <v>858</v>
      </c>
      <c r="V4083">
        <v>60</v>
      </c>
      <c r="W4083">
        <v>1</v>
      </c>
      <c r="X4083">
        <v>0</v>
      </c>
      <c r="Z4083">
        <v>82.43000000000001</v>
      </c>
      <c r="AA4083">
        <v>40.820461</v>
      </c>
      <c r="AB4083">
        <v>-73.849599</v>
      </c>
      <c r="AD4083" t="s">
        <v>10840</v>
      </c>
      <c r="AG4083" t="s">
        <v>10858</v>
      </c>
      <c r="AH4083" t="s">
        <v>10874</v>
      </c>
      <c r="AI4083">
        <v>230</v>
      </c>
      <c r="AJ4083" t="s">
        <v>10210</v>
      </c>
      <c r="AL4083">
        <v>2.25</v>
      </c>
      <c r="AQ4083" t="s">
        <v>11239</v>
      </c>
      <c r="AR4083" t="s">
        <v>11274</v>
      </c>
      <c r="AS4083" t="s">
        <v>9926</v>
      </c>
      <c r="BA4083" t="s">
        <v>11740</v>
      </c>
      <c r="BB4083">
        <v>0</v>
      </c>
      <c r="BC4083">
        <v>0</v>
      </c>
      <c r="BD4083">
        <v>0</v>
      </c>
      <c r="BE4083">
        <v>0</v>
      </c>
      <c r="BF4083">
        <v>2</v>
      </c>
      <c r="BG4083">
        <v>0</v>
      </c>
    </row>
    <row r="4084" spans="1:59">
      <c r="A4084" s="1">
        <f>HYPERLINK("https://lsnyc.legalserver.org/matter/dynamic-profile/view/1908232","19-1908232")</f>
        <v>0</v>
      </c>
      <c r="B4084" t="s">
        <v>3359</v>
      </c>
      <c r="C4084" t="s">
        <v>8149</v>
      </c>
      <c r="D4084" t="s">
        <v>9925</v>
      </c>
      <c r="E4084" t="s">
        <v>10075</v>
      </c>
      <c r="F4084">
        <v>10033</v>
      </c>
      <c r="G4084" t="s">
        <v>10091</v>
      </c>
      <c r="H4084" t="s">
        <v>10143</v>
      </c>
      <c r="I4084" t="s">
        <v>10169</v>
      </c>
      <c r="J4084" t="s">
        <v>10211</v>
      </c>
      <c r="K4084" t="s">
        <v>10217</v>
      </c>
      <c r="M4084" t="s">
        <v>10231</v>
      </c>
      <c r="N4084" t="s">
        <v>10647</v>
      </c>
      <c r="P4084" t="s">
        <v>10752</v>
      </c>
      <c r="Q4084" t="s">
        <v>10762</v>
      </c>
      <c r="R4084" t="s">
        <v>10821</v>
      </c>
      <c r="T4084">
        <v>23400</v>
      </c>
      <c r="U4084">
        <v>1950</v>
      </c>
      <c r="V4084">
        <v>48</v>
      </c>
      <c r="W4084">
        <v>1</v>
      </c>
      <c r="X4084">
        <v>1</v>
      </c>
      <c r="Z4084">
        <v>138.38</v>
      </c>
      <c r="AA4084">
        <v>40.845987</v>
      </c>
      <c r="AB4084">
        <v>-73.932852</v>
      </c>
      <c r="AD4084" t="s">
        <v>10839</v>
      </c>
      <c r="AF4084" t="s">
        <v>10843</v>
      </c>
      <c r="AG4084" t="s">
        <v>10859</v>
      </c>
      <c r="AH4084" t="s">
        <v>10861</v>
      </c>
      <c r="AI4084">
        <v>234</v>
      </c>
      <c r="AJ4084" t="s">
        <v>10214</v>
      </c>
      <c r="AL4084">
        <v>1.15</v>
      </c>
      <c r="AM4084" t="s">
        <v>10887</v>
      </c>
      <c r="AN4084" t="s">
        <v>10937</v>
      </c>
      <c r="AO4084" t="s">
        <v>11019</v>
      </c>
      <c r="AP4084" t="s">
        <v>11074</v>
      </c>
      <c r="AR4084" t="s">
        <v>11257</v>
      </c>
      <c r="AS4084" t="s">
        <v>9925</v>
      </c>
      <c r="AT4084" t="s">
        <v>11641</v>
      </c>
      <c r="AX4084" t="s">
        <v>10838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</row>
    <row r="4085" spans="1:59">
      <c r="A4085" s="1">
        <f>HYPERLINK("https://lsnyc.legalserver.org/matter/dynamic-profile/view/1908233","19-1908233")</f>
        <v>0</v>
      </c>
      <c r="B4085" t="s">
        <v>3360</v>
      </c>
      <c r="C4085" t="s">
        <v>8150</v>
      </c>
      <c r="D4085" t="s">
        <v>9926</v>
      </c>
      <c r="E4085" t="s">
        <v>10075</v>
      </c>
      <c r="F4085">
        <v>10460</v>
      </c>
      <c r="G4085" t="s">
        <v>10090</v>
      </c>
      <c r="H4085" t="s">
        <v>10143</v>
      </c>
      <c r="I4085" t="s">
        <v>10169</v>
      </c>
      <c r="J4085" t="s">
        <v>10210</v>
      </c>
      <c r="K4085" t="s">
        <v>10217</v>
      </c>
      <c r="M4085" t="s">
        <v>10579</v>
      </c>
      <c r="N4085" t="s">
        <v>10671</v>
      </c>
      <c r="P4085" t="s">
        <v>10749</v>
      </c>
      <c r="Q4085" t="s">
        <v>10765</v>
      </c>
      <c r="R4085" t="s">
        <v>10823</v>
      </c>
      <c r="T4085">
        <v>10600</v>
      </c>
      <c r="U4085">
        <v>883.33</v>
      </c>
      <c r="V4085">
        <v>60</v>
      </c>
      <c r="W4085">
        <v>2</v>
      </c>
      <c r="X4085">
        <v>0</v>
      </c>
      <c r="Z4085">
        <v>62.68</v>
      </c>
      <c r="AA4085">
        <v>40.845878</v>
      </c>
      <c r="AB4085">
        <v>-73.88243199999999</v>
      </c>
      <c r="AD4085" t="s">
        <v>10839</v>
      </c>
      <c r="AG4085" t="s">
        <v>10858</v>
      </c>
      <c r="AH4085" t="s">
        <v>10861</v>
      </c>
      <c r="AI4085">
        <v>234</v>
      </c>
      <c r="AJ4085" t="s">
        <v>10214</v>
      </c>
      <c r="AL4085">
        <v>0.4</v>
      </c>
      <c r="AM4085" t="s">
        <v>10884</v>
      </c>
      <c r="AN4085" t="s">
        <v>10908</v>
      </c>
      <c r="AO4085" t="s">
        <v>11001</v>
      </c>
      <c r="AP4085" t="s">
        <v>11062</v>
      </c>
      <c r="AR4085" t="s">
        <v>11317</v>
      </c>
      <c r="AS4085" t="s">
        <v>9926</v>
      </c>
      <c r="AT4085" t="s">
        <v>11641</v>
      </c>
      <c r="AX4085" t="s">
        <v>10838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</row>
    <row r="4086" spans="1:59">
      <c r="A4086" s="1">
        <f>HYPERLINK("https://lsnyc.legalserver.org/matter/dynamic-profile/view/1908234","19-1908234")</f>
        <v>0</v>
      </c>
      <c r="B4086" t="s">
        <v>3361</v>
      </c>
      <c r="C4086" t="s">
        <v>8151</v>
      </c>
      <c r="D4086" t="s">
        <v>9925</v>
      </c>
      <c r="E4086" t="s">
        <v>10075</v>
      </c>
      <c r="F4086">
        <v>10033</v>
      </c>
      <c r="G4086" t="s">
        <v>10089</v>
      </c>
      <c r="H4086" t="s">
        <v>10143</v>
      </c>
      <c r="I4086" t="s">
        <v>10169</v>
      </c>
      <c r="J4086" t="s">
        <v>10209</v>
      </c>
      <c r="K4086" t="s">
        <v>10217</v>
      </c>
      <c r="M4086" t="s">
        <v>10460</v>
      </c>
      <c r="N4086" t="s">
        <v>10650</v>
      </c>
      <c r="P4086" t="s">
        <v>10749</v>
      </c>
      <c r="Q4086" t="s">
        <v>10774</v>
      </c>
      <c r="R4086" t="s">
        <v>10821</v>
      </c>
      <c r="T4086">
        <v>2400</v>
      </c>
      <c r="U4086">
        <v>200</v>
      </c>
      <c r="V4086">
        <v>63</v>
      </c>
      <c r="W4086">
        <v>2</v>
      </c>
      <c r="X4086">
        <v>0</v>
      </c>
      <c r="Z4086">
        <v>14.19</v>
      </c>
      <c r="AA4086">
        <v>40.845822</v>
      </c>
      <c r="AB4086">
        <v>-73.934907</v>
      </c>
      <c r="AD4086" t="s">
        <v>10839</v>
      </c>
      <c r="AG4086" t="s">
        <v>10858</v>
      </c>
      <c r="AH4086" t="s">
        <v>10862</v>
      </c>
      <c r="AI4086">
        <v>236</v>
      </c>
      <c r="AJ4086" t="s">
        <v>10209</v>
      </c>
      <c r="AL4086">
        <v>1</v>
      </c>
      <c r="AM4086" t="s">
        <v>10887</v>
      </c>
      <c r="AN4086" t="s">
        <v>10937</v>
      </c>
      <c r="AO4086" t="s">
        <v>11019</v>
      </c>
      <c r="AP4086" t="s">
        <v>11074</v>
      </c>
      <c r="AR4086" t="s">
        <v>11297</v>
      </c>
      <c r="AS4086" t="s">
        <v>9925</v>
      </c>
      <c r="BA4086" t="s">
        <v>11742</v>
      </c>
      <c r="BB4086">
        <v>0</v>
      </c>
      <c r="BC4086">
        <v>0</v>
      </c>
      <c r="BD4086">
        <v>0</v>
      </c>
      <c r="BE4086">
        <v>0</v>
      </c>
      <c r="BF4086">
        <v>7</v>
      </c>
      <c r="BG4086">
        <v>0</v>
      </c>
    </row>
    <row r="4087" spans="1:59">
      <c r="A4087" s="1">
        <f>HYPERLINK("https://lsnyc.legalserver.org/matter/dynamic-profile/view/1908235","19-1908235")</f>
        <v>0</v>
      </c>
      <c r="B4087" t="s">
        <v>1212</v>
      </c>
      <c r="C4087" t="s">
        <v>8152</v>
      </c>
      <c r="D4087" t="s">
        <v>9929</v>
      </c>
      <c r="E4087" t="s">
        <v>10075</v>
      </c>
      <c r="F4087">
        <v>10308</v>
      </c>
      <c r="G4087" t="s">
        <v>10088</v>
      </c>
      <c r="H4087" t="s">
        <v>10158</v>
      </c>
      <c r="I4087" t="s">
        <v>10168</v>
      </c>
      <c r="J4087" t="s">
        <v>10208</v>
      </c>
      <c r="K4087" t="s">
        <v>10217</v>
      </c>
      <c r="M4087" t="s">
        <v>10542</v>
      </c>
      <c r="N4087" t="s">
        <v>10729</v>
      </c>
      <c r="P4087" t="s">
        <v>10754</v>
      </c>
      <c r="Q4087" t="s">
        <v>10766</v>
      </c>
      <c r="R4087" t="s">
        <v>10820</v>
      </c>
      <c r="T4087">
        <v>40000</v>
      </c>
      <c r="U4087">
        <v>3333.33</v>
      </c>
      <c r="V4087">
        <v>45</v>
      </c>
      <c r="W4087">
        <v>1</v>
      </c>
      <c r="X4087">
        <v>3</v>
      </c>
      <c r="Z4087">
        <v>155.34</v>
      </c>
      <c r="AA4087">
        <v>40.555639</v>
      </c>
      <c r="AB4087">
        <v>-74.15506600000001</v>
      </c>
      <c r="AD4087" t="s">
        <v>10839</v>
      </c>
      <c r="AG4087" t="s">
        <v>10858</v>
      </c>
      <c r="AH4087" t="s">
        <v>10865</v>
      </c>
      <c r="AI4087">
        <v>285</v>
      </c>
      <c r="AJ4087" t="s">
        <v>10208</v>
      </c>
      <c r="AL4087">
        <v>1</v>
      </c>
      <c r="AM4087" t="s">
        <v>10883</v>
      </c>
      <c r="AN4087" t="s">
        <v>10906</v>
      </c>
      <c r="AO4087" t="s">
        <v>10999</v>
      </c>
      <c r="AP4087" t="s">
        <v>11044</v>
      </c>
      <c r="AR4087" t="s">
        <v>11257</v>
      </c>
      <c r="AS4087" t="s">
        <v>11593</v>
      </c>
      <c r="AT4087" t="s">
        <v>11641</v>
      </c>
      <c r="AX4087" t="s">
        <v>11678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</row>
    <row r="4088" spans="1:59">
      <c r="A4088" s="1">
        <f>HYPERLINK("https://lsnyc.legalserver.org/matter/dynamic-profile/view/1908236","19-1908236")</f>
        <v>0</v>
      </c>
      <c r="B4088" t="s">
        <v>3362</v>
      </c>
      <c r="C4088" t="s">
        <v>8153</v>
      </c>
      <c r="D4088" t="s">
        <v>9926</v>
      </c>
      <c r="E4088" t="s">
        <v>10075</v>
      </c>
      <c r="F4088">
        <v>10456</v>
      </c>
      <c r="G4088" t="s">
        <v>10090</v>
      </c>
      <c r="H4088" t="s">
        <v>10143</v>
      </c>
      <c r="I4088" t="s">
        <v>10168</v>
      </c>
      <c r="J4088" t="s">
        <v>10210</v>
      </c>
      <c r="K4088" t="s">
        <v>10217</v>
      </c>
      <c r="M4088" t="s">
        <v>10438</v>
      </c>
      <c r="N4088" t="s">
        <v>10694</v>
      </c>
      <c r="P4088" t="s">
        <v>10751</v>
      </c>
      <c r="Q4088" t="s">
        <v>10773</v>
      </c>
      <c r="R4088" t="s">
        <v>10821</v>
      </c>
      <c r="T4088">
        <v>0</v>
      </c>
      <c r="U4088">
        <v>0</v>
      </c>
      <c r="V4088">
        <v>44</v>
      </c>
      <c r="W4088">
        <v>1</v>
      </c>
      <c r="X4088">
        <v>0</v>
      </c>
      <c r="Z4088">
        <v>0</v>
      </c>
      <c r="AA4088">
        <v>40.820142</v>
      </c>
      <c r="AB4088">
        <v>-73.909436</v>
      </c>
      <c r="AD4088" t="s">
        <v>10839</v>
      </c>
      <c r="AG4088" t="s">
        <v>10858</v>
      </c>
      <c r="AH4088" t="s">
        <v>10861</v>
      </c>
      <c r="AI4088">
        <v>234</v>
      </c>
      <c r="AJ4088" t="s">
        <v>10214</v>
      </c>
      <c r="AL4088">
        <v>7.8</v>
      </c>
      <c r="AM4088" t="s">
        <v>10884</v>
      </c>
      <c r="AN4088" t="s">
        <v>10918</v>
      </c>
      <c r="AO4088" t="s">
        <v>11001</v>
      </c>
      <c r="AP4088" t="s">
        <v>11062</v>
      </c>
      <c r="AR4088" t="s">
        <v>11255</v>
      </c>
      <c r="AS4088" t="s">
        <v>9926</v>
      </c>
      <c r="AT4088" t="s">
        <v>11641</v>
      </c>
      <c r="AX4088" t="s">
        <v>10838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</row>
    <row r="4089" spans="1:59">
      <c r="A4089" s="1">
        <f>HYPERLINK("https://lsnyc.legalserver.org/matter/dynamic-profile/view/1908237","19-1908237")</f>
        <v>0</v>
      </c>
      <c r="B4089" t="s">
        <v>3359</v>
      </c>
      <c r="C4089" t="s">
        <v>8149</v>
      </c>
      <c r="D4089" t="s">
        <v>9925</v>
      </c>
      <c r="E4089" t="s">
        <v>10075</v>
      </c>
      <c r="F4089">
        <v>10033</v>
      </c>
      <c r="G4089" t="s">
        <v>10091</v>
      </c>
      <c r="H4089" t="s">
        <v>10143</v>
      </c>
      <c r="I4089" t="s">
        <v>10169</v>
      </c>
      <c r="J4089" t="s">
        <v>10214</v>
      </c>
      <c r="K4089" t="s">
        <v>10217</v>
      </c>
      <c r="M4089" t="s">
        <v>10537</v>
      </c>
      <c r="N4089" t="s">
        <v>10671</v>
      </c>
      <c r="P4089" t="s">
        <v>10753</v>
      </c>
      <c r="Q4089" t="s">
        <v>10763</v>
      </c>
      <c r="R4089" t="s">
        <v>10821</v>
      </c>
      <c r="T4089">
        <v>23400</v>
      </c>
      <c r="U4089">
        <v>1950</v>
      </c>
      <c r="V4089">
        <v>48</v>
      </c>
      <c r="W4089">
        <v>1</v>
      </c>
      <c r="X4089">
        <v>1</v>
      </c>
      <c r="Z4089">
        <v>138.38</v>
      </c>
      <c r="AA4089">
        <v>40.845987</v>
      </c>
      <c r="AB4089">
        <v>-73.932852</v>
      </c>
      <c r="AD4089" t="s">
        <v>10839</v>
      </c>
      <c r="AF4089" t="s">
        <v>10843</v>
      </c>
      <c r="AG4089" t="s">
        <v>10859</v>
      </c>
      <c r="AH4089" t="s">
        <v>10861</v>
      </c>
      <c r="AI4089">
        <v>234</v>
      </c>
      <c r="AJ4089" t="s">
        <v>10214</v>
      </c>
      <c r="AL4089">
        <v>0.55</v>
      </c>
      <c r="AQ4089" t="s">
        <v>11097</v>
      </c>
      <c r="AR4089" t="s">
        <v>11257</v>
      </c>
      <c r="AS4089" t="s">
        <v>9925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</row>
    <row r="4090" spans="1:59">
      <c r="A4090" s="1">
        <f>HYPERLINK("https://lsnyc.legalserver.org/matter/dynamic-profile/view/1908238","19-1908238")</f>
        <v>0</v>
      </c>
      <c r="B4090" t="s">
        <v>3363</v>
      </c>
      <c r="C4090" t="s">
        <v>8154</v>
      </c>
      <c r="D4090" t="s">
        <v>9938</v>
      </c>
      <c r="E4090" t="s">
        <v>10075</v>
      </c>
      <c r="F4090">
        <v>11433</v>
      </c>
      <c r="G4090" t="s">
        <v>10092</v>
      </c>
      <c r="H4090" t="s">
        <v>10143</v>
      </c>
      <c r="I4090" t="s">
        <v>10168</v>
      </c>
      <c r="J4090" t="s">
        <v>10212</v>
      </c>
      <c r="K4090" t="s">
        <v>10217</v>
      </c>
      <c r="M4090" t="s">
        <v>10347</v>
      </c>
      <c r="N4090" t="s">
        <v>10693</v>
      </c>
      <c r="P4090" t="s">
        <v>10749</v>
      </c>
      <c r="Q4090" t="s">
        <v>10765</v>
      </c>
      <c r="R4090" t="s">
        <v>10827</v>
      </c>
      <c r="T4090">
        <v>0</v>
      </c>
      <c r="U4090">
        <v>0</v>
      </c>
      <c r="V4090">
        <v>60</v>
      </c>
      <c r="W4090">
        <v>1</v>
      </c>
      <c r="X4090">
        <v>0</v>
      </c>
      <c r="Z4090">
        <v>0</v>
      </c>
      <c r="AA4090">
        <v>40.70609</v>
      </c>
      <c r="AB4090">
        <v>-73.787723</v>
      </c>
      <c r="AD4090" t="s">
        <v>10839</v>
      </c>
      <c r="AF4090" t="s">
        <v>10843</v>
      </c>
      <c r="AG4090" t="s">
        <v>10859</v>
      </c>
      <c r="AH4090" t="s">
        <v>10862</v>
      </c>
      <c r="AI4090">
        <v>237</v>
      </c>
      <c r="AJ4090" t="s">
        <v>10212</v>
      </c>
      <c r="AL4090">
        <v>4.55</v>
      </c>
      <c r="AM4090" t="s">
        <v>10892</v>
      </c>
      <c r="AN4090" t="s">
        <v>10955</v>
      </c>
      <c r="AO4090" t="s">
        <v>11020</v>
      </c>
      <c r="AP4090" t="s">
        <v>11075</v>
      </c>
      <c r="AR4090" t="s">
        <v>11267</v>
      </c>
      <c r="AS4090" t="s">
        <v>11594</v>
      </c>
      <c r="BA4090" t="s">
        <v>11738</v>
      </c>
      <c r="BB4090">
        <v>0</v>
      </c>
      <c r="BC4090">
        <v>0</v>
      </c>
      <c r="BD4090">
        <v>0</v>
      </c>
      <c r="BE4090">
        <v>0</v>
      </c>
      <c r="BF4090">
        <v>5</v>
      </c>
      <c r="BG4090">
        <v>0</v>
      </c>
    </row>
    <row r="4091" spans="1:59">
      <c r="A4091" s="1">
        <f>HYPERLINK("https://lsnyc.legalserver.org/matter/dynamic-profile/view/1908239","19-1908239")</f>
        <v>0</v>
      </c>
      <c r="B4091" t="s">
        <v>3364</v>
      </c>
      <c r="C4091" t="s">
        <v>8155</v>
      </c>
      <c r="D4091" t="s">
        <v>9928</v>
      </c>
      <c r="E4091" t="s">
        <v>10075</v>
      </c>
      <c r="F4091">
        <v>11233</v>
      </c>
      <c r="G4091" t="s">
        <v>10093</v>
      </c>
      <c r="H4091" t="s">
        <v>10143</v>
      </c>
      <c r="I4091" t="s">
        <v>10168</v>
      </c>
      <c r="J4091" t="s">
        <v>10213</v>
      </c>
      <c r="K4091" t="s">
        <v>10218</v>
      </c>
      <c r="L4091" t="s">
        <v>10137</v>
      </c>
      <c r="M4091" t="s">
        <v>10317</v>
      </c>
      <c r="N4091" t="s">
        <v>10671</v>
      </c>
      <c r="P4091" t="s">
        <v>10751</v>
      </c>
      <c r="Q4091" t="s">
        <v>10776</v>
      </c>
      <c r="R4091" t="s">
        <v>10824</v>
      </c>
      <c r="T4091">
        <v>5040</v>
      </c>
      <c r="U4091">
        <v>420</v>
      </c>
      <c r="V4091">
        <v>36</v>
      </c>
      <c r="W4091">
        <v>1</v>
      </c>
      <c r="X4091">
        <v>0</v>
      </c>
      <c r="Y4091" t="s">
        <v>10829</v>
      </c>
      <c r="Z4091">
        <v>40.35</v>
      </c>
      <c r="AA4091">
        <v>40.677226</v>
      </c>
      <c r="AB4091">
        <v>-73.912938</v>
      </c>
      <c r="AD4091" t="s">
        <v>10839</v>
      </c>
      <c r="AG4091" t="s">
        <v>10858</v>
      </c>
      <c r="AH4091" t="s">
        <v>10871</v>
      </c>
      <c r="AI4091">
        <v>234</v>
      </c>
      <c r="AJ4091" t="s">
        <v>10214</v>
      </c>
      <c r="AK4091" t="s">
        <v>10882</v>
      </c>
      <c r="AL4091">
        <v>6.25</v>
      </c>
      <c r="AM4091" t="s">
        <v>10889</v>
      </c>
      <c r="AN4091" t="s">
        <v>10922</v>
      </c>
      <c r="AO4091" t="s">
        <v>11007</v>
      </c>
      <c r="AP4091" t="s">
        <v>11064</v>
      </c>
      <c r="AR4091" t="s">
        <v>11293</v>
      </c>
      <c r="AS4091" t="s">
        <v>11595</v>
      </c>
      <c r="AT4091" t="s">
        <v>11641</v>
      </c>
      <c r="AX4091" t="s">
        <v>10838</v>
      </c>
      <c r="AY4091" t="s">
        <v>10829</v>
      </c>
      <c r="AZ4091" t="s">
        <v>11682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</row>
    <row r="4092" spans="1:59">
      <c r="A4092" s="1">
        <f>HYPERLINK("https://lsnyc.legalserver.org/matter/dynamic-profile/view/1908240","19-1908240")</f>
        <v>0</v>
      </c>
      <c r="B4092" t="s">
        <v>1033</v>
      </c>
      <c r="C4092" t="s">
        <v>8156</v>
      </c>
      <c r="D4092" t="s">
        <v>9926</v>
      </c>
      <c r="E4092" t="s">
        <v>10075</v>
      </c>
      <c r="F4092">
        <v>10459</v>
      </c>
      <c r="G4092" t="s">
        <v>10090</v>
      </c>
      <c r="H4092" t="s">
        <v>10143</v>
      </c>
      <c r="I4092" t="s">
        <v>10168</v>
      </c>
      <c r="J4092" t="s">
        <v>10210</v>
      </c>
      <c r="K4092" t="s">
        <v>10217</v>
      </c>
      <c r="M4092" t="s">
        <v>10336</v>
      </c>
      <c r="N4092" t="s">
        <v>10671</v>
      </c>
      <c r="P4092" t="s">
        <v>10754</v>
      </c>
      <c r="Q4092" t="s">
        <v>10777</v>
      </c>
      <c r="R4092" t="s">
        <v>10822</v>
      </c>
      <c r="T4092">
        <v>27000</v>
      </c>
      <c r="U4092">
        <v>2250</v>
      </c>
      <c r="V4092">
        <v>55</v>
      </c>
      <c r="W4092">
        <v>2</v>
      </c>
      <c r="X4092">
        <v>0</v>
      </c>
      <c r="Z4092">
        <v>159.67</v>
      </c>
      <c r="AA4092">
        <v>40.826976</v>
      </c>
      <c r="AB4092">
        <v>-73.895861</v>
      </c>
      <c r="AD4092" t="s">
        <v>10839</v>
      </c>
      <c r="AG4092" t="s">
        <v>10858</v>
      </c>
      <c r="AH4092" t="s">
        <v>10861</v>
      </c>
      <c r="AI4092">
        <v>234</v>
      </c>
      <c r="AJ4092" t="s">
        <v>10214</v>
      </c>
      <c r="AL4092">
        <v>1.1</v>
      </c>
      <c r="AM4092" t="s">
        <v>10884</v>
      </c>
      <c r="AN4092" t="s">
        <v>10968</v>
      </c>
      <c r="AO4092" t="s">
        <v>11001</v>
      </c>
      <c r="AP4092" t="s">
        <v>11062</v>
      </c>
      <c r="AR4092" t="s">
        <v>11257</v>
      </c>
      <c r="AS4092" t="s">
        <v>9926</v>
      </c>
      <c r="AT4092" t="s">
        <v>11641</v>
      </c>
      <c r="AX4092" t="s">
        <v>10838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</row>
    <row r="4093" spans="1:59">
      <c r="A4093" s="1">
        <f>HYPERLINK("https://lsnyc.legalserver.org/matter/dynamic-profile/view/1908243","19-1908243")</f>
        <v>0</v>
      </c>
      <c r="B4093" t="s">
        <v>2930</v>
      </c>
      <c r="C4093" t="s">
        <v>7722</v>
      </c>
      <c r="D4093" t="s">
        <v>9926</v>
      </c>
      <c r="E4093" t="s">
        <v>10075</v>
      </c>
      <c r="F4093">
        <v>10455</v>
      </c>
      <c r="G4093" t="s">
        <v>10090</v>
      </c>
      <c r="H4093" t="s">
        <v>10143</v>
      </c>
      <c r="I4093" t="s">
        <v>10169</v>
      </c>
      <c r="J4093" t="s">
        <v>10210</v>
      </c>
      <c r="K4093" t="s">
        <v>10217</v>
      </c>
      <c r="M4093" t="s">
        <v>10353</v>
      </c>
      <c r="N4093" t="s">
        <v>10671</v>
      </c>
      <c r="P4093" t="s">
        <v>10757</v>
      </c>
      <c r="Q4093" t="s">
        <v>10815</v>
      </c>
      <c r="R4093" t="s">
        <v>10821</v>
      </c>
      <c r="T4093">
        <v>9072</v>
      </c>
      <c r="U4093">
        <v>756</v>
      </c>
      <c r="V4093">
        <v>56</v>
      </c>
      <c r="W4093">
        <v>1</v>
      </c>
      <c r="X4093">
        <v>0</v>
      </c>
      <c r="Z4093">
        <v>72.63</v>
      </c>
      <c r="AA4093">
        <v>40.819157</v>
      </c>
      <c r="AB4093">
        <v>-73.911295</v>
      </c>
      <c r="AD4093" t="s">
        <v>10839</v>
      </c>
      <c r="AG4093" t="s">
        <v>10858</v>
      </c>
      <c r="AH4093" t="s">
        <v>10861</v>
      </c>
      <c r="AI4093">
        <v>230</v>
      </c>
      <c r="AJ4093" t="s">
        <v>10210</v>
      </c>
      <c r="AL4093">
        <v>1.25</v>
      </c>
      <c r="AQ4093" t="s">
        <v>11212</v>
      </c>
      <c r="AR4093" t="s">
        <v>11263</v>
      </c>
      <c r="AS4093" t="s">
        <v>9926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</row>
    <row r="4094" spans="1:59">
      <c r="A4094" s="1">
        <f>HYPERLINK("https://lsnyc.legalserver.org/matter/dynamic-profile/view/1908244","19-1908244")</f>
        <v>0</v>
      </c>
      <c r="B4094" t="s">
        <v>3365</v>
      </c>
      <c r="C4094" t="s">
        <v>8157</v>
      </c>
      <c r="D4094" t="s">
        <v>9929</v>
      </c>
      <c r="E4094" t="s">
        <v>10075</v>
      </c>
      <c r="F4094">
        <v>10304</v>
      </c>
      <c r="G4094" t="s">
        <v>10088</v>
      </c>
      <c r="H4094" t="s">
        <v>10143</v>
      </c>
      <c r="I4094" t="s">
        <v>10168</v>
      </c>
      <c r="J4094" t="s">
        <v>10208</v>
      </c>
      <c r="K4094" t="s">
        <v>10217</v>
      </c>
      <c r="M4094" t="s">
        <v>10478</v>
      </c>
      <c r="N4094" t="s">
        <v>10663</v>
      </c>
      <c r="P4094" t="s">
        <v>10755</v>
      </c>
      <c r="Q4094" t="s">
        <v>10801</v>
      </c>
      <c r="R4094" t="s">
        <v>10824</v>
      </c>
      <c r="T4094">
        <v>51000</v>
      </c>
      <c r="U4094">
        <v>4250</v>
      </c>
      <c r="V4094">
        <v>6</v>
      </c>
      <c r="W4094">
        <v>5</v>
      </c>
      <c r="X4094">
        <v>1</v>
      </c>
      <c r="Z4094">
        <v>147.44</v>
      </c>
      <c r="AA4094">
        <v>40.614846</v>
      </c>
      <c r="AB4094">
        <v>-74.07888800000001</v>
      </c>
      <c r="AD4094" t="s">
        <v>10839</v>
      </c>
      <c r="AG4094" t="s">
        <v>10858</v>
      </c>
      <c r="AH4094" t="s">
        <v>10861</v>
      </c>
      <c r="AI4094">
        <v>285</v>
      </c>
      <c r="AJ4094" t="s">
        <v>10208</v>
      </c>
      <c r="AL4094">
        <v>2.5</v>
      </c>
      <c r="AM4094" t="s">
        <v>10883</v>
      </c>
      <c r="AN4094" t="s">
        <v>10913</v>
      </c>
      <c r="AO4094" t="s">
        <v>11006</v>
      </c>
      <c r="AP4094" t="s">
        <v>11051</v>
      </c>
      <c r="AR4094" t="s">
        <v>11257</v>
      </c>
      <c r="AS4094" t="s">
        <v>11593</v>
      </c>
      <c r="AT4094" t="s">
        <v>11642</v>
      </c>
      <c r="AX4094" t="s">
        <v>10838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</row>
    <row r="4095" spans="1:59">
      <c r="A4095" s="1">
        <f>HYPERLINK("https://lsnyc.legalserver.org/matter/dynamic-profile/view/1908245","19-1908245")</f>
        <v>0</v>
      </c>
      <c r="B4095" t="s">
        <v>3366</v>
      </c>
      <c r="C4095" t="s">
        <v>8158</v>
      </c>
      <c r="D4095" t="s">
        <v>9963</v>
      </c>
      <c r="E4095" t="s">
        <v>10075</v>
      </c>
      <c r="F4095">
        <v>11385</v>
      </c>
      <c r="G4095" t="s">
        <v>10092</v>
      </c>
      <c r="H4095" t="s">
        <v>10143</v>
      </c>
      <c r="I4095" t="s">
        <v>10168</v>
      </c>
      <c r="J4095" t="s">
        <v>10212</v>
      </c>
      <c r="K4095" t="s">
        <v>10217</v>
      </c>
      <c r="M4095" t="s">
        <v>10386</v>
      </c>
      <c r="N4095" t="s">
        <v>10656</v>
      </c>
      <c r="P4095" t="s">
        <v>10751</v>
      </c>
      <c r="Q4095" t="s">
        <v>10780</v>
      </c>
      <c r="R4095" t="s">
        <v>10825</v>
      </c>
      <c r="T4095">
        <v>0</v>
      </c>
      <c r="U4095">
        <v>0</v>
      </c>
      <c r="V4095">
        <v>54</v>
      </c>
      <c r="W4095">
        <v>1</v>
      </c>
      <c r="X4095">
        <v>0</v>
      </c>
      <c r="Z4095">
        <v>0</v>
      </c>
      <c r="AA4095">
        <v>40.700442</v>
      </c>
      <c r="AB4095">
        <v>-73.892342</v>
      </c>
      <c r="AD4095" t="s">
        <v>10840</v>
      </c>
      <c r="AG4095" t="s">
        <v>10858</v>
      </c>
      <c r="AH4095" t="s">
        <v>10861</v>
      </c>
      <c r="AI4095">
        <v>237</v>
      </c>
      <c r="AJ4095" t="s">
        <v>10212</v>
      </c>
      <c r="AL4095">
        <v>32.5</v>
      </c>
      <c r="AM4095" t="s">
        <v>10890</v>
      </c>
      <c r="AN4095" t="s">
        <v>10945</v>
      </c>
      <c r="AO4095" t="s">
        <v>11003</v>
      </c>
      <c r="AP4095" t="s">
        <v>11077</v>
      </c>
      <c r="AR4095" t="s">
        <v>11267</v>
      </c>
      <c r="AS4095" t="s">
        <v>11594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</row>
    <row r="4096" spans="1:59">
      <c r="A4096" s="1">
        <f>HYPERLINK("https://lsnyc.legalserver.org/matter/dynamic-profile/view/1908246","19-1908246")</f>
        <v>0</v>
      </c>
      <c r="B4096" t="s">
        <v>1086</v>
      </c>
      <c r="C4096" t="s">
        <v>8159</v>
      </c>
      <c r="D4096" t="s">
        <v>9926</v>
      </c>
      <c r="E4096" t="s">
        <v>10075</v>
      </c>
      <c r="F4096">
        <v>10457</v>
      </c>
      <c r="G4096" t="s">
        <v>10091</v>
      </c>
      <c r="H4096" t="s">
        <v>10143</v>
      </c>
      <c r="I4096" t="s">
        <v>10169</v>
      </c>
      <c r="J4096" t="s">
        <v>10214</v>
      </c>
      <c r="K4096" t="s">
        <v>10217</v>
      </c>
      <c r="M4096" t="s">
        <v>10537</v>
      </c>
      <c r="N4096" t="s">
        <v>10646</v>
      </c>
      <c r="P4096" t="s">
        <v>10753</v>
      </c>
      <c r="Q4096" t="s">
        <v>10763</v>
      </c>
      <c r="R4096" t="s">
        <v>10823</v>
      </c>
      <c r="T4096">
        <v>39936</v>
      </c>
      <c r="U4096">
        <v>3328</v>
      </c>
      <c r="V4096">
        <v>51</v>
      </c>
      <c r="W4096">
        <v>2</v>
      </c>
      <c r="X4096">
        <v>0</v>
      </c>
      <c r="Z4096">
        <v>236.17</v>
      </c>
      <c r="AA4096">
        <v>40.849128</v>
      </c>
      <c r="AB4096">
        <v>-73.89617699999999</v>
      </c>
      <c r="AD4096" t="s">
        <v>10839</v>
      </c>
      <c r="AF4096" t="s">
        <v>10843</v>
      </c>
      <c r="AG4096" t="s">
        <v>10859</v>
      </c>
      <c r="AH4096" t="s">
        <v>10861</v>
      </c>
      <c r="AI4096">
        <v>234</v>
      </c>
      <c r="AJ4096" t="s">
        <v>10214</v>
      </c>
      <c r="AL4096">
        <v>0.55</v>
      </c>
      <c r="AM4096" t="s">
        <v>10884</v>
      </c>
      <c r="AN4096" t="s">
        <v>10931</v>
      </c>
      <c r="AO4096" t="s">
        <v>11000</v>
      </c>
      <c r="AP4096" t="s">
        <v>11056</v>
      </c>
      <c r="AR4096" t="s">
        <v>11257</v>
      </c>
      <c r="AS4096" t="s">
        <v>9926</v>
      </c>
      <c r="AT4096" t="s">
        <v>11641</v>
      </c>
      <c r="AX4096" t="s">
        <v>10838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</row>
    <row r="4097" spans="1:59">
      <c r="A4097" s="1">
        <f>HYPERLINK("https://lsnyc.legalserver.org/matter/dynamic-profile/view/1908247","19-1908247")</f>
        <v>0</v>
      </c>
      <c r="B4097" t="s">
        <v>3367</v>
      </c>
      <c r="C4097" t="s">
        <v>8160</v>
      </c>
      <c r="D4097" t="s">
        <v>9928</v>
      </c>
      <c r="E4097" t="s">
        <v>10075</v>
      </c>
      <c r="F4097">
        <v>11226</v>
      </c>
      <c r="G4097" t="s">
        <v>10093</v>
      </c>
      <c r="H4097" t="s">
        <v>10143</v>
      </c>
      <c r="I4097" t="s">
        <v>10168</v>
      </c>
      <c r="J4097" t="s">
        <v>10213</v>
      </c>
      <c r="K4097" t="s">
        <v>10217</v>
      </c>
      <c r="M4097" t="s">
        <v>10435</v>
      </c>
      <c r="N4097" t="s">
        <v>10671</v>
      </c>
      <c r="P4097" t="s">
        <v>10750</v>
      </c>
      <c r="Q4097" t="s">
        <v>10760</v>
      </c>
      <c r="R4097" t="s">
        <v>10825</v>
      </c>
      <c r="T4097">
        <v>0</v>
      </c>
      <c r="U4097">
        <v>0</v>
      </c>
      <c r="V4097">
        <v>30</v>
      </c>
      <c r="W4097">
        <v>1</v>
      </c>
      <c r="X4097">
        <v>1</v>
      </c>
      <c r="Z4097">
        <v>0</v>
      </c>
      <c r="AA4097">
        <v>40.647029</v>
      </c>
      <c r="AB4097">
        <v>-73.95602700000001</v>
      </c>
      <c r="AD4097" t="s">
        <v>10840</v>
      </c>
      <c r="AG4097" t="s">
        <v>10858</v>
      </c>
      <c r="AH4097" t="s">
        <v>10861</v>
      </c>
      <c r="AI4097">
        <v>234</v>
      </c>
      <c r="AJ4097" t="s">
        <v>10214</v>
      </c>
      <c r="AL4097">
        <v>1.5</v>
      </c>
      <c r="AM4097" t="s">
        <v>10888</v>
      </c>
      <c r="AN4097" t="s">
        <v>10932</v>
      </c>
      <c r="AO4097" t="s">
        <v>11008</v>
      </c>
      <c r="AP4097" t="s">
        <v>11050</v>
      </c>
      <c r="AR4097" t="s">
        <v>11267</v>
      </c>
      <c r="AS4097" t="s">
        <v>11595</v>
      </c>
      <c r="AT4097" t="s">
        <v>11642</v>
      </c>
      <c r="AX4097" t="s">
        <v>10838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</row>
    <row r="4098" spans="1:59">
      <c r="A4098" s="1">
        <f>HYPERLINK("https://lsnyc.legalserver.org/matter/dynamic-profile/view/1908248","19-1908248")</f>
        <v>0</v>
      </c>
      <c r="B4098" t="s">
        <v>3368</v>
      </c>
      <c r="C4098" t="s">
        <v>8161</v>
      </c>
      <c r="D4098" t="s">
        <v>9936</v>
      </c>
      <c r="E4098" t="s">
        <v>10075</v>
      </c>
      <c r="F4098">
        <v>11102</v>
      </c>
      <c r="G4098" t="s">
        <v>10092</v>
      </c>
      <c r="H4098" t="s">
        <v>10143</v>
      </c>
      <c r="I4098" t="s">
        <v>10168</v>
      </c>
      <c r="J4098" t="s">
        <v>10212</v>
      </c>
      <c r="K4098" t="s">
        <v>10217</v>
      </c>
      <c r="M4098" t="s">
        <v>10318</v>
      </c>
      <c r="N4098" t="s">
        <v>10684</v>
      </c>
      <c r="P4098" t="s">
        <v>10751</v>
      </c>
      <c r="Q4098" t="s">
        <v>10786</v>
      </c>
      <c r="R4098" t="s">
        <v>10821</v>
      </c>
      <c r="T4098">
        <v>35100</v>
      </c>
      <c r="U4098">
        <v>2925</v>
      </c>
      <c r="V4098">
        <v>24</v>
      </c>
      <c r="W4098">
        <v>1</v>
      </c>
      <c r="X4098">
        <v>2</v>
      </c>
      <c r="Z4098">
        <v>164.56</v>
      </c>
      <c r="AA4098">
        <v>40.774131</v>
      </c>
      <c r="AB4098">
        <v>-73.933937</v>
      </c>
      <c r="AD4098" t="s">
        <v>10839</v>
      </c>
      <c r="AG4098" t="s">
        <v>10858</v>
      </c>
      <c r="AH4098" t="s">
        <v>10861</v>
      </c>
      <c r="AI4098">
        <v>234</v>
      </c>
      <c r="AJ4098" t="s">
        <v>10214</v>
      </c>
      <c r="AL4098">
        <v>1</v>
      </c>
      <c r="AM4098" t="s">
        <v>10891</v>
      </c>
      <c r="AN4098" t="s">
        <v>10961</v>
      </c>
      <c r="AO4098" t="s">
        <v>11003</v>
      </c>
      <c r="AP4098" t="s">
        <v>11084</v>
      </c>
      <c r="AR4098" t="s">
        <v>11280</v>
      </c>
      <c r="AS4098" t="s">
        <v>11594</v>
      </c>
      <c r="AT4098" t="s">
        <v>11641</v>
      </c>
      <c r="AX4098" t="s">
        <v>10838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</row>
    <row r="4099" spans="1:59">
      <c r="A4099" s="1">
        <f>HYPERLINK("https://lsnyc.legalserver.org/matter/dynamic-profile/view/1908249","19-1908249")</f>
        <v>0</v>
      </c>
      <c r="B4099" t="s">
        <v>3369</v>
      </c>
      <c r="C4099" t="s">
        <v>6273</v>
      </c>
      <c r="D4099" t="s">
        <v>9925</v>
      </c>
      <c r="E4099" t="s">
        <v>10075</v>
      </c>
      <c r="F4099">
        <v>10034</v>
      </c>
      <c r="G4099" t="s">
        <v>10089</v>
      </c>
      <c r="H4099" t="s">
        <v>10143</v>
      </c>
      <c r="I4099" t="s">
        <v>10168</v>
      </c>
      <c r="J4099" t="s">
        <v>10209</v>
      </c>
      <c r="K4099" t="s">
        <v>10217</v>
      </c>
      <c r="M4099" t="s">
        <v>10483</v>
      </c>
      <c r="N4099" t="s">
        <v>10650</v>
      </c>
      <c r="P4099" t="s">
        <v>10749</v>
      </c>
      <c r="Q4099" t="s">
        <v>10765</v>
      </c>
      <c r="R4099" t="s">
        <v>10824</v>
      </c>
      <c r="T4099">
        <v>10000</v>
      </c>
      <c r="U4099">
        <v>833.33</v>
      </c>
      <c r="V4099">
        <v>46</v>
      </c>
      <c r="W4099">
        <v>1</v>
      </c>
      <c r="X4099">
        <v>0</v>
      </c>
      <c r="Z4099">
        <v>80.06</v>
      </c>
      <c r="AA4099">
        <v>40.868105</v>
      </c>
      <c r="AB4099">
        <v>-73.924547</v>
      </c>
      <c r="AD4099" t="s">
        <v>10840</v>
      </c>
      <c r="AG4099" t="s">
        <v>10858</v>
      </c>
      <c r="AH4099" t="s">
        <v>10862</v>
      </c>
      <c r="AI4099">
        <v>236</v>
      </c>
      <c r="AJ4099" t="s">
        <v>10209</v>
      </c>
      <c r="AL4099">
        <v>3.7</v>
      </c>
      <c r="AM4099" t="s">
        <v>10887</v>
      </c>
      <c r="AN4099" t="s">
        <v>10937</v>
      </c>
      <c r="AO4099" t="s">
        <v>11019</v>
      </c>
      <c r="AP4099" t="s">
        <v>11074</v>
      </c>
      <c r="AR4099" t="s">
        <v>11293</v>
      </c>
      <c r="AS4099" t="s">
        <v>9925</v>
      </c>
      <c r="BA4099" t="s">
        <v>11738</v>
      </c>
      <c r="BB4099">
        <v>0</v>
      </c>
      <c r="BC4099">
        <v>0</v>
      </c>
      <c r="BD4099">
        <v>0</v>
      </c>
      <c r="BE4099">
        <v>0</v>
      </c>
      <c r="BF4099">
        <v>5</v>
      </c>
      <c r="BG4099">
        <v>0</v>
      </c>
    </row>
    <row r="4100" spans="1:59">
      <c r="A4100" s="1">
        <f>HYPERLINK("https://lsnyc.legalserver.org/matter/dynamic-profile/view/1908250","19-1908250")</f>
        <v>0</v>
      </c>
      <c r="B4100" t="s">
        <v>3370</v>
      </c>
      <c r="C4100" t="s">
        <v>8162</v>
      </c>
      <c r="D4100" t="s">
        <v>9927</v>
      </c>
      <c r="E4100" t="s">
        <v>10075</v>
      </c>
      <c r="F4100">
        <v>11377</v>
      </c>
      <c r="G4100" t="s">
        <v>10092</v>
      </c>
      <c r="H4100" t="s">
        <v>10143</v>
      </c>
      <c r="I4100" t="s">
        <v>10168</v>
      </c>
      <c r="J4100" t="s">
        <v>10212</v>
      </c>
      <c r="K4100" t="s">
        <v>10217</v>
      </c>
      <c r="M4100" t="s">
        <v>10342</v>
      </c>
      <c r="N4100" t="s">
        <v>10650</v>
      </c>
      <c r="P4100" t="s">
        <v>10749</v>
      </c>
      <c r="Q4100" t="s">
        <v>10765</v>
      </c>
      <c r="R4100" t="s">
        <v>10825</v>
      </c>
      <c r="T4100">
        <v>5400</v>
      </c>
      <c r="U4100">
        <v>450</v>
      </c>
      <c r="V4100">
        <v>39</v>
      </c>
      <c r="W4100">
        <v>1</v>
      </c>
      <c r="X4100">
        <v>0</v>
      </c>
      <c r="Z4100">
        <v>43.23</v>
      </c>
      <c r="AA4100">
        <v>40.735911</v>
      </c>
      <c r="AB4100">
        <v>-73.903454</v>
      </c>
      <c r="AD4100" t="s">
        <v>10839</v>
      </c>
      <c r="AG4100" t="s">
        <v>10858</v>
      </c>
      <c r="AH4100" t="s">
        <v>10862</v>
      </c>
      <c r="AI4100">
        <v>237</v>
      </c>
      <c r="AJ4100" t="s">
        <v>10212</v>
      </c>
      <c r="AL4100">
        <v>8.15</v>
      </c>
      <c r="AR4100" t="s">
        <v>11293</v>
      </c>
      <c r="AS4100" t="s">
        <v>11594</v>
      </c>
      <c r="BA4100" t="s">
        <v>11738</v>
      </c>
      <c r="BB4100">
        <v>0</v>
      </c>
      <c r="BC4100">
        <v>0</v>
      </c>
      <c r="BD4100">
        <v>0</v>
      </c>
      <c r="BE4100">
        <v>0</v>
      </c>
      <c r="BF4100">
        <v>5</v>
      </c>
      <c r="BG4100">
        <v>0</v>
      </c>
    </row>
    <row r="4101" spans="1:59">
      <c r="A4101" s="1">
        <f>HYPERLINK("https://lsnyc.legalserver.org/matter/dynamic-profile/view/1908251","19-1908251")</f>
        <v>0</v>
      </c>
      <c r="B4101" t="s">
        <v>3371</v>
      </c>
      <c r="C4101" t="s">
        <v>8163</v>
      </c>
      <c r="D4101" t="s">
        <v>9937</v>
      </c>
      <c r="E4101" t="s">
        <v>10075</v>
      </c>
      <c r="F4101">
        <v>11412</v>
      </c>
      <c r="G4101" t="s">
        <v>10091</v>
      </c>
      <c r="H4101" t="s">
        <v>10143</v>
      </c>
      <c r="I4101" t="s">
        <v>10168</v>
      </c>
      <c r="J4101" t="s">
        <v>10214</v>
      </c>
      <c r="K4101" t="s">
        <v>10217</v>
      </c>
      <c r="M4101" t="s">
        <v>10286</v>
      </c>
      <c r="N4101" t="s">
        <v>10671</v>
      </c>
      <c r="P4101" t="s">
        <v>10751</v>
      </c>
      <c r="Q4101" t="s">
        <v>10786</v>
      </c>
      <c r="R4101" t="s">
        <v>10824</v>
      </c>
      <c r="T4101">
        <v>11748</v>
      </c>
      <c r="U4101">
        <v>979</v>
      </c>
      <c r="V4101">
        <v>77</v>
      </c>
      <c r="W4101">
        <v>2</v>
      </c>
      <c r="X4101">
        <v>0</v>
      </c>
      <c r="Z4101">
        <v>69.47</v>
      </c>
      <c r="AA4101">
        <v>40.70087</v>
      </c>
      <c r="AB4101">
        <v>-73.76588</v>
      </c>
      <c r="AD4101" t="s">
        <v>10840</v>
      </c>
      <c r="AG4101" t="s">
        <v>10858</v>
      </c>
      <c r="AH4101" t="s">
        <v>10861</v>
      </c>
      <c r="AI4101">
        <v>234</v>
      </c>
      <c r="AJ4101" t="s">
        <v>10214</v>
      </c>
      <c r="AL4101">
        <v>0.5</v>
      </c>
      <c r="AM4101" t="s">
        <v>10892</v>
      </c>
      <c r="AN4101" t="s">
        <v>10955</v>
      </c>
      <c r="AO4101" t="s">
        <v>11020</v>
      </c>
      <c r="AP4101" t="s">
        <v>11075</v>
      </c>
      <c r="AR4101" t="s">
        <v>11437</v>
      </c>
      <c r="AS4101" t="s">
        <v>11594</v>
      </c>
      <c r="AT4101" t="s">
        <v>11642</v>
      </c>
      <c r="AX4101" t="s">
        <v>10838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</row>
    <row r="4102" spans="1:59">
      <c r="A4102" s="1">
        <f>HYPERLINK("https://lsnyc.legalserver.org/matter/dynamic-profile/view/1908252","19-1908252")</f>
        <v>0</v>
      </c>
      <c r="B4102" t="s">
        <v>3372</v>
      </c>
      <c r="C4102" t="s">
        <v>8164</v>
      </c>
      <c r="D4102" t="s">
        <v>9928</v>
      </c>
      <c r="E4102" t="s">
        <v>10075</v>
      </c>
      <c r="F4102">
        <v>11225</v>
      </c>
      <c r="G4102" t="s">
        <v>10093</v>
      </c>
      <c r="H4102" t="s">
        <v>10143</v>
      </c>
      <c r="I4102" t="s">
        <v>10168</v>
      </c>
      <c r="J4102" t="s">
        <v>10213</v>
      </c>
      <c r="K4102" t="s">
        <v>10218</v>
      </c>
      <c r="L4102" t="s">
        <v>10143</v>
      </c>
      <c r="M4102" t="s">
        <v>10358</v>
      </c>
      <c r="N4102" t="s">
        <v>10688</v>
      </c>
      <c r="P4102" t="s">
        <v>10752</v>
      </c>
      <c r="Q4102" t="s">
        <v>10783</v>
      </c>
      <c r="R4102" t="s">
        <v>10821</v>
      </c>
      <c r="T4102">
        <v>0</v>
      </c>
      <c r="U4102">
        <v>0</v>
      </c>
      <c r="V4102">
        <v>56</v>
      </c>
      <c r="W4102">
        <v>1</v>
      </c>
      <c r="X4102">
        <v>0</v>
      </c>
      <c r="Y4102" t="s">
        <v>10829</v>
      </c>
      <c r="Z4102">
        <v>0</v>
      </c>
      <c r="AA4102">
        <v>40.657923</v>
      </c>
      <c r="AB4102">
        <v>-73.957035</v>
      </c>
      <c r="AD4102" t="s">
        <v>10839</v>
      </c>
      <c r="AG4102" t="s">
        <v>10858</v>
      </c>
      <c r="AH4102" t="s">
        <v>10879</v>
      </c>
      <c r="AI4102">
        <v>239</v>
      </c>
      <c r="AJ4102" t="s">
        <v>10213</v>
      </c>
      <c r="AK4102" t="s">
        <v>10838</v>
      </c>
      <c r="AL4102">
        <v>1.25</v>
      </c>
      <c r="AM4102" t="s">
        <v>10888</v>
      </c>
      <c r="AN4102" t="s">
        <v>10912</v>
      </c>
      <c r="AO4102" t="s">
        <v>11005</v>
      </c>
      <c r="AP4102" t="s">
        <v>11050</v>
      </c>
      <c r="AQ4102" t="s">
        <v>11184</v>
      </c>
      <c r="AR4102" t="s">
        <v>11267</v>
      </c>
      <c r="AS4102" t="s">
        <v>11595</v>
      </c>
      <c r="AY4102" t="s">
        <v>10829</v>
      </c>
      <c r="AZ4102" t="s">
        <v>11680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</row>
    <row r="4103" spans="1:59">
      <c r="A4103" s="1">
        <f>HYPERLINK("https://lsnyc.legalserver.org/matter/dynamic-profile/view/1908254","19-1908254")</f>
        <v>0</v>
      </c>
      <c r="B4103" t="s">
        <v>3373</v>
      </c>
      <c r="C4103" t="s">
        <v>8165</v>
      </c>
      <c r="D4103" t="s">
        <v>9926</v>
      </c>
      <c r="E4103" t="s">
        <v>10075</v>
      </c>
      <c r="F4103">
        <v>10473</v>
      </c>
      <c r="G4103" t="s">
        <v>10090</v>
      </c>
      <c r="H4103" t="s">
        <v>10143</v>
      </c>
      <c r="I4103" t="s">
        <v>10168</v>
      </c>
      <c r="J4103" t="s">
        <v>10210</v>
      </c>
      <c r="K4103" t="s">
        <v>10217</v>
      </c>
      <c r="M4103" t="s">
        <v>10346</v>
      </c>
      <c r="N4103" t="s">
        <v>10677</v>
      </c>
      <c r="P4103" t="s">
        <v>10752</v>
      </c>
      <c r="Q4103" t="s">
        <v>10795</v>
      </c>
      <c r="R4103" t="s">
        <v>10823</v>
      </c>
      <c r="T4103">
        <v>15180</v>
      </c>
      <c r="U4103">
        <v>1265</v>
      </c>
      <c r="V4103">
        <v>81</v>
      </c>
      <c r="W4103">
        <v>1</v>
      </c>
      <c r="X4103">
        <v>0</v>
      </c>
      <c r="Z4103">
        <v>121.54</v>
      </c>
      <c r="AA4103">
        <v>40.810311</v>
      </c>
      <c r="AB4103">
        <v>-73.84991599999999</v>
      </c>
      <c r="AD4103" t="s">
        <v>10840</v>
      </c>
      <c r="AG4103" t="s">
        <v>10858</v>
      </c>
      <c r="AH4103" t="s">
        <v>10874</v>
      </c>
      <c r="AI4103">
        <v>230</v>
      </c>
      <c r="AJ4103" t="s">
        <v>10210</v>
      </c>
      <c r="AL4103">
        <v>4.75</v>
      </c>
      <c r="AM4103" t="s">
        <v>10884</v>
      </c>
      <c r="AN4103" t="s">
        <v>10968</v>
      </c>
      <c r="AO4103" t="s">
        <v>11002</v>
      </c>
      <c r="AP4103" t="s">
        <v>11046</v>
      </c>
      <c r="AR4103" t="s">
        <v>11274</v>
      </c>
      <c r="AS4103" t="s">
        <v>9926</v>
      </c>
      <c r="AT4103" t="s">
        <v>11642</v>
      </c>
      <c r="AX4103" t="s">
        <v>10838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</row>
    <row r="4104" spans="1:59">
      <c r="A4104" s="1">
        <f>HYPERLINK("https://lsnyc.legalserver.org/matter/dynamic-profile/view/1908255","19-1908255")</f>
        <v>0</v>
      </c>
      <c r="B4104" t="s">
        <v>3374</v>
      </c>
      <c r="C4104" t="s">
        <v>8166</v>
      </c>
      <c r="D4104" t="s">
        <v>9928</v>
      </c>
      <c r="E4104" t="s">
        <v>10075</v>
      </c>
      <c r="F4104">
        <v>11213</v>
      </c>
      <c r="G4104" t="s">
        <v>10093</v>
      </c>
      <c r="H4104" t="s">
        <v>10143</v>
      </c>
      <c r="I4104" t="s">
        <v>10168</v>
      </c>
      <c r="J4104" t="s">
        <v>10213</v>
      </c>
      <c r="K4104" t="s">
        <v>10217</v>
      </c>
      <c r="M4104" t="s">
        <v>10565</v>
      </c>
      <c r="N4104" t="s">
        <v>10664</v>
      </c>
      <c r="P4104" t="s">
        <v>10749</v>
      </c>
      <c r="Q4104" t="s">
        <v>10765</v>
      </c>
      <c r="R4104" t="s">
        <v>10824</v>
      </c>
      <c r="T4104">
        <v>18000</v>
      </c>
      <c r="U4104">
        <v>1500</v>
      </c>
      <c r="V4104">
        <v>39</v>
      </c>
      <c r="W4104">
        <v>2</v>
      </c>
      <c r="X4104">
        <v>0</v>
      </c>
      <c r="Z4104">
        <v>106.45</v>
      </c>
      <c r="AA4104">
        <v>40.669531</v>
      </c>
      <c r="AB4104">
        <v>-73.929496</v>
      </c>
      <c r="AD4104" t="s">
        <v>10839</v>
      </c>
      <c r="AF4104" t="s">
        <v>10843</v>
      </c>
      <c r="AG4104" t="s">
        <v>10859</v>
      </c>
      <c r="AH4104" t="s">
        <v>10861</v>
      </c>
      <c r="AI4104">
        <v>239</v>
      </c>
      <c r="AJ4104" t="s">
        <v>10213</v>
      </c>
      <c r="AL4104">
        <v>0</v>
      </c>
      <c r="AM4104" t="s">
        <v>10888</v>
      </c>
      <c r="AN4104" t="s">
        <v>10922</v>
      </c>
      <c r="AO4104" t="s">
        <v>11005</v>
      </c>
      <c r="AP4104" t="s">
        <v>11064</v>
      </c>
      <c r="AR4104" t="s">
        <v>11280</v>
      </c>
      <c r="AS4104" t="s">
        <v>11595</v>
      </c>
      <c r="BA4104" t="s">
        <v>11741</v>
      </c>
      <c r="BB4104">
        <v>0</v>
      </c>
      <c r="BC4104">
        <v>0</v>
      </c>
      <c r="BD4104">
        <v>0</v>
      </c>
      <c r="BE4104">
        <v>0</v>
      </c>
      <c r="BF4104">
        <v>1</v>
      </c>
      <c r="BG4104">
        <v>0</v>
      </c>
    </row>
    <row r="4105" spans="1:59">
      <c r="A4105" s="1">
        <f>HYPERLINK("https://lsnyc.legalserver.org/matter/dynamic-profile/view/1908257","19-1908257")</f>
        <v>0</v>
      </c>
      <c r="B4105" t="s">
        <v>3375</v>
      </c>
      <c r="C4105" t="s">
        <v>8167</v>
      </c>
      <c r="D4105" t="s">
        <v>9933</v>
      </c>
      <c r="E4105" t="s">
        <v>10075</v>
      </c>
      <c r="F4105">
        <v>11420</v>
      </c>
      <c r="G4105" t="s">
        <v>10092</v>
      </c>
      <c r="H4105" t="s">
        <v>10143</v>
      </c>
      <c r="I4105" t="s">
        <v>10168</v>
      </c>
      <c r="J4105" t="s">
        <v>10212</v>
      </c>
      <c r="K4105" t="s">
        <v>10217</v>
      </c>
      <c r="M4105" t="s">
        <v>10547</v>
      </c>
      <c r="N4105" t="s">
        <v>10671</v>
      </c>
      <c r="P4105" t="s">
        <v>10753</v>
      </c>
      <c r="Q4105" t="s">
        <v>10763</v>
      </c>
      <c r="R4105" t="s">
        <v>10824</v>
      </c>
      <c r="T4105">
        <v>6900</v>
      </c>
      <c r="U4105">
        <v>575</v>
      </c>
      <c r="V4105">
        <v>71</v>
      </c>
      <c r="W4105">
        <v>1</v>
      </c>
      <c r="X4105">
        <v>0</v>
      </c>
      <c r="Z4105">
        <v>55.24</v>
      </c>
      <c r="AA4105">
        <v>40.6785</v>
      </c>
      <c r="AB4105">
        <v>-73.80886099999999</v>
      </c>
      <c r="AD4105" t="s">
        <v>10840</v>
      </c>
      <c r="AF4105" t="s">
        <v>10843</v>
      </c>
      <c r="AG4105" t="s">
        <v>10859</v>
      </c>
      <c r="AH4105" t="s">
        <v>10861</v>
      </c>
      <c r="AI4105">
        <v>234</v>
      </c>
      <c r="AJ4105" t="s">
        <v>10214</v>
      </c>
      <c r="AL4105">
        <v>0.6</v>
      </c>
      <c r="AM4105" t="s">
        <v>10892</v>
      </c>
      <c r="AN4105" t="s">
        <v>10930</v>
      </c>
      <c r="AO4105" t="s">
        <v>11017</v>
      </c>
      <c r="AP4105" t="s">
        <v>11070</v>
      </c>
      <c r="AR4105" t="s">
        <v>11274</v>
      </c>
      <c r="AS4105" t="s">
        <v>11594</v>
      </c>
      <c r="AT4105" t="s">
        <v>11642</v>
      </c>
      <c r="AX4105" t="s">
        <v>10838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</row>
    <row r="4106" spans="1:59">
      <c r="A4106" s="1">
        <f>HYPERLINK("https://lsnyc.legalserver.org/matter/dynamic-profile/view/1908258","19-1908258")</f>
        <v>0</v>
      </c>
      <c r="B4106" t="s">
        <v>3359</v>
      </c>
      <c r="C4106" t="s">
        <v>8149</v>
      </c>
      <c r="D4106" t="s">
        <v>9925</v>
      </c>
      <c r="E4106" t="s">
        <v>10075</v>
      </c>
      <c r="F4106">
        <v>10033</v>
      </c>
      <c r="G4106" t="s">
        <v>10089</v>
      </c>
      <c r="H4106" t="s">
        <v>10143</v>
      </c>
      <c r="I4106" t="s">
        <v>10169</v>
      </c>
      <c r="J4106" t="s">
        <v>10209</v>
      </c>
      <c r="K4106" t="s">
        <v>10217</v>
      </c>
      <c r="M4106" t="s">
        <v>10305</v>
      </c>
      <c r="N4106" t="s">
        <v>10688</v>
      </c>
      <c r="P4106" t="s">
        <v>10752</v>
      </c>
      <c r="Q4106" t="s">
        <v>10811</v>
      </c>
      <c r="R4106" t="s">
        <v>10821</v>
      </c>
      <c r="T4106">
        <v>23400</v>
      </c>
      <c r="U4106">
        <v>1950</v>
      </c>
      <c r="V4106">
        <v>48</v>
      </c>
      <c r="W4106">
        <v>2</v>
      </c>
      <c r="X4106">
        <v>1</v>
      </c>
      <c r="Z4106">
        <v>109.7</v>
      </c>
      <c r="AA4106">
        <v>40.845987</v>
      </c>
      <c r="AB4106">
        <v>-73.932852</v>
      </c>
      <c r="AD4106" t="s">
        <v>10839</v>
      </c>
      <c r="AF4106" t="s">
        <v>10843</v>
      </c>
      <c r="AG4106" t="s">
        <v>10859</v>
      </c>
      <c r="AH4106" t="s">
        <v>10863</v>
      </c>
      <c r="AI4106">
        <v>236</v>
      </c>
      <c r="AJ4106" t="s">
        <v>10209</v>
      </c>
      <c r="AL4106">
        <v>0</v>
      </c>
      <c r="AM4106" t="s">
        <v>10887</v>
      </c>
      <c r="AN4106" t="s">
        <v>10937</v>
      </c>
      <c r="AO4106" t="s">
        <v>11019</v>
      </c>
      <c r="AP4106" t="s">
        <v>11074</v>
      </c>
      <c r="AQ4106" t="s">
        <v>11240</v>
      </c>
      <c r="AR4106" t="s">
        <v>11257</v>
      </c>
      <c r="AS4106" t="s">
        <v>9925</v>
      </c>
      <c r="AT4106" t="s">
        <v>11641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</row>
    <row r="4107" spans="1:59">
      <c r="A4107" s="1">
        <f>HYPERLINK("https://lsnyc.legalserver.org/matter/dynamic-profile/view/1908259","19-1908259")</f>
        <v>0</v>
      </c>
      <c r="B4107" t="s">
        <v>3376</v>
      </c>
      <c r="C4107" t="s">
        <v>8168</v>
      </c>
      <c r="D4107" t="s">
        <v>9926</v>
      </c>
      <c r="E4107" t="s">
        <v>10075</v>
      </c>
      <c r="F4107">
        <v>10451</v>
      </c>
      <c r="G4107" t="s">
        <v>10090</v>
      </c>
      <c r="H4107" t="s">
        <v>10151</v>
      </c>
      <c r="I4107" t="s">
        <v>10168</v>
      </c>
      <c r="J4107" t="s">
        <v>10210</v>
      </c>
      <c r="K4107" t="s">
        <v>10217</v>
      </c>
      <c r="M4107" t="s">
        <v>10346</v>
      </c>
      <c r="N4107" t="s">
        <v>10671</v>
      </c>
      <c r="P4107" t="s">
        <v>10751</v>
      </c>
      <c r="Q4107" t="s">
        <v>10761</v>
      </c>
      <c r="R4107" t="s">
        <v>10824</v>
      </c>
      <c r="T4107">
        <v>3492</v>
      </c>
      <c r="U4107">
        <v>291</v>
      </c>
      <c r="V4107">
        <v>37</v>
      </c>
      <c r="W4107">
        <v>1</v>
      </c>
      <c r="X4107">
        <v>1</v>
      </c>
      <c r="Z4107">
        <v>20.65</v>
      </c>
      <c r="AA4107">
        <v>40.818739</v>
      </c>
      <c r="AB4107">
        <v>-73.927164</v>
      </c>
      <c r="AD4107" t="s">
        <v>10839</v>
      </c>
      <c r="AF4107" t="s">
        <v>10842</v>
      </c>
      <c r="AG4107" t="s">
        <v>10859</v>
      </c>
      <c r="AH4107" t="s">
        <v>10861</v>
      </c>
      <c r="AI4107">
        <v>230</v>
      </c>
      <c r="AJ4107" t="s">
        <v>10210</v>
      </c>
      <c r="AL4107">
        <v>2</v>
      </c>
      <c r="AR4107" t="s">
        <v>11255</v>
      </c>
      <c r="AS4107" t="s">
        <v>9926</v>
      </c>
      <c r="AT4107" t="s">
        <v>11641</v>
      </c>
      <c r="AX4107" t="s">
        <v>10838</v>
      </c>
      <c r="BA4107" t="s">
        <v>11741</v>
      </c>
      <c r="BB4107">
        <v>0</v>
      </c>
      <c r="BC4107">
        <v>0</v>
      </c>
      <c r="BD4107">
        <v>0</v>
      </c>
      <c r="BE4107">
        <v>0</v>
      </c>
      <c r="BF4107">
        <v>1</v>
      </c>
      <c r="BG4107">
        <v>0</v>
      </c>
    </row>
    <row r="4108" spans="1:59">
      <c r="A4108" s="1">
        <f>HYPERLINK("https://lsnyc.legalserver.org/matter/dynamic-profile/view/1908260","19-1908260")</f>
        <v>0</v>
      </c>
      <c r="B4108" t="s">
        <v>3377</v>
      </c>
      <c r="C4108" t="s">
        <v>8169</v>
      </c>
      <c r="D4108" t="s">
        <v>9928</v>
      </c>
      <c r="E4108" t="s">
        <v>10075</v>
      </c>
      <c r="F4108">
        <v>11203</v>
      </c>
      <c r="G4108" t="s">
        <v>10093</v>
      </c>
      <c r="H4108" t="s">
        <v>10143</v>
      </c>
      <c r="I4108" t="s">
        <v>10168</v>
      </c>
      <c r="J4108" t="s">
        <v>10213</v>
      </c>
      <c r="K4108" t="s">
        <v>10217</v>
      </c>
      <c r="M4108" t="s">
        <v>10304</v>
      </c>
      <c r="N4108" t="s">
        <v>10646</v>
      </c>
      <c r="P4108" t="s">
        <v>10749</v>
      </c>
      <c r="Q4108" t="s">
        <v>10765</v>
      </c>
      <c r="R4108" t="s">
        <v>10824</v>
      </c>
      <c r="T4108">
        <v>47500</v>
      </c>
      <c r="U4108">
        <v>3958.33</v>
      </c>
      <c r="V4108">
        <v>24</v>
      </c>
      <c r="W4108">
        <v>1</v>
      </c>
      <c r="X4108">
        <v>0</v>
      </c>
      <c r="Z4108">
        <v>380.3</v>
      </c>
      <c r="AA4108">
        <v>40.656987</v>
      </c>
      <c r="AB4108">
        <v>-73.929118</v>
      </c>
      <c r="AD4108" t="s">
        <v>10840</v>
      </c>
      <c r="AG4108" t="s">
        <v>10858</v>
      </c>
      <c r="AH4108" t="s">
        <v>10861</v>
      </c>
      <c r="AI4108">
        <v>234</v>
      </c>
      <c r="AJ4108" t="s">
        <v>10214</v>
      </c>
      <c r="AL4108">
        <v>1</v>
      </c>
      <c r="AM4108" t="s">
        <v>10888</v>
      </c>
      <c r="AN4108" t="s">
        <v>10925</v>
      </c>
      <c r="AO4108" t="s">
        <v>11005</v>
      </c>
      <c r="AP4108" t="s">
        <v>11064</v>
      </c>
      <c r="AR4108" t="s">
        <v>11257</v>
      </c>
      <c r="AS4108" t="s">
        <v>11595</v>
      </c>
      <c r="AT4108" t="s">
        <v>11642</v>
      </c>
      <c r="AX4108" t="s">
        <v>10837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</row>
    <row r="4109" spans="1:59">
      <c r="A4109" s="1">
        <f>HYPERLINK("https://lsnyc.legalserver.org/matter/dynamic-profile/view/1908262","19-1908262")</f>
        <v>0</v>
      </c>
      <c r="B4109" t="s">
        <v>2218</v>
      </c>
      <c r="C4109" t="s">
        <v>7697</v>
      </c>
      <c r="D4109" t="s">
        <v>9926</v>
      </c>
      <c r="E4109" t="s">
        <v>10075</v>
      </c>
      <c r="F4109">
        <v>10457</v>
      </c>
      <c r="G4109" t="s">
        <v>10090</v>
      </c>
      <c r="H4109" t="s">
        <v>10153</v>
      </c>
      <c r="I4109" t="s">
        <v>10197</v>
      </c>
      <c r="J4109" t="s">
        <v>10210</v>
      </c>
      <c r="K4109" t="s">
        <v>10217</v>
      </c>
      <c r="M4109" t="s">
        <v>10417</v>
      </c>
      <c r="N4109" t="s">
        <v>10651</v>
      </c>
      <c r="P4109" t="s">
        <v>10749</v>
      </c>
      <c r="Q4109" t="s">
        <v>10765</v>
      </c>
      <c r="R4109" t="s">
        <v>10824</v>
      </c>
      <c r="T4109">
        <v>14300</v>
      </c>
      <c r="U4109">
        <v>1191.67</v>
      </c>
      <c r="V4109">
        <v>42</v>
      </c>
      <c r="W4109">
        <v>1</v>
      </c>
      <c r="X4109">
        <v>2</v>
      </c>
      <c r="Z4109">
        <v>67.04000000000001</v>
      </c>
      <c r="AA4109">
        <v>40.850448</v>
      </c>
      <c r="AB4109">
        <v>-73.885075</v>
      </c>
      <c r="AD4109" t="s">
        <v>10839</v>
      </c>
      <c r="AG4109" t="s">
        <v>10858</v>
      </c>
      <c r="AH4109" t="s">
        <v>10862</v>
      </c>
      <c r="AI4109">
        <v>230</v>
      </c>
      <c r="AJ4109" t="s">
        <v>10210</v>
      </c>
      <c r="AL4109">
        <v>3.5</v>
      </c>
      <c r="AM4109" t="s">
        <v>10884</v>
      </c>
      <c r="AN4109" t="s">
        <v>10907</v>
      </c>
      <c r="AO4109" t="s">
        <v>11000</v>
      </c>
      <c r="AP4109" t="s">
        <v>11056</v>
      </c>
      <c r="AR4109" t="s">
        <v>11262</v>
      </c>
      <c r="AS4109" t="s">
        <v>9926</v>
      </c>
      <c r="AT4109" t="s">
        <v>11641</v>
      </c>
      <c r="AX4109" t="s">
        <v>10838</v>
      </c>
      <c r="BA4109" t="s">
        <v>11738</v>
      </c>
      <c r="BB4109">
        <v>0</v>
      </c>
      <c r="BC4109">
        <v>0</v>
      </c>
      <c r="BD4109">
        <v>0</v>
      </c>
      <c r="BE4109">
        <v>0</v>
      </c>
      <c r="BF4109">
        <v>5</v>
      </c>
      <c r="BG4109">
        <v>0</v>
      </c>
    </row>
    <row r="4110" spans="1:59">
      <c r="A4110" s="1">
        <f>HYPERLINK("https://lsnyc.legalserver.org/matter/dynamic-profile/view/1908263","19-1908263")</f>
        <v>0</v>
      </c>
      <c r="B4110" t="s">
        <v>3378</v>
      </c>
      <c r="C4110" t="s">
        <v>8170</v>
      </c>
      <c r="D4110" t="s">
        <v>9928</v>
      </c>
      <c r="E4110" t="s">
        <v>10075</v>
      </c>
      <c r="F4110">
        <v>11208</v>
      </c>
      <c r="G4110" t="s">
        <v>10089</v>
      </c>
      <c r="H4110" t="s">
        <v>10143</v>
      </c>
      <c r="I4110" t="s">
        <v>10168</v>
      </c>
      <c r="J4110" t="s">
        <v>10209</v>
      </c>
      <c r="K4110" t="s">
        <v>10217</v>
      </c>
      <c r="M4110" t="s">
        <v>10529</v>
      </c>
      <c r="N4110" t="s">
        <v>10671</v>
      </c>
      <c r="P4110" t="s">
        <v>10751</v>
      </c>
      <c r="Q4110" t="s">
        <v>10768</v>
      </c>
      <c r="R4110" t="s">
        <v>10825</v>
      </c>
      <c r="T4110">
        <v>1634.88</v>
      </c>
      <c r="U4110">
        <v>136.24</v>
      </c>
      <c r="V4110">
        <v>42</v>
      </c>
      <c r="W4110">
        <v>1</v>
      </c>
      <c r="X4110">
        <v>0</v>
      </c>
      <c r="Z4110">
        <v>13.09</v>
      </c>
      <c r="AA4110">
        <v>40.673846</v>
      </c>
      <c r="AB4110">
        <v>-73.866118</v>
      </c>
      <c r="AC4110" t="s">
        <v>10837</v>
      </c>
      <c r="AD4110" t="s">
        <v>10840</v>
      </c>
      <c r="AG4110" t="s">
        <v>10858</v>
      </c>
      <c r="AH4110" t="s">
        <v>10861</v>
      </c>
      <c r="AI4110">
        <v>234</v>
      </c>
      <c r="AJ4110" t="s">
        <v>10214</v>
      </c>
      <c r="AL4110">
        <v>0.7</v>
      </c>
      <c r="AM4110" t="s">
        <v>10889</v>
      </c>
      <c r="AN4110" t="s">
        <v>10946</v>
      </c>
      <c r="AO4110" t="s">
        <v>11012</v>
      </c>
      <c r="AP4110" t="s">
        <v>11060</v>
      </c>
      <c r="AR4110" t="s">
        <v>11302</v>
      </c>
      <c r="AS4110" t="s">
        <v>11595</v>
      </c>
      <c r="AT4110" t="s">
        <v>11642</v>
      </c>
      <c r="AX4110" t="s">
        <v>10838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</row>
    <row r="4111" spans="1:59">
      <c r="A4111" s="1">
        <f>HYPERLINK("https://lsnyc.legalserver.org/matter/dynamic-profile/view/1908264","19-1908264")</f>
        <v>0</v>
      </c>
      <c r="B4111" t="s">
        <v>393</v>
      </c>
      <c r="C4111" t="s">
        <v>8171</v>
      </c>
      <c r="D4111" t="s">
        <v>9926</v>
      </c>
      <c r="E4111" t="s">
        <v>10075</v>
      </c>
      <c r="F4111">
        <v>10463</v>
      </c>
      <c r="G4111" t="s">
        <v>10091</v>
      </c>
      <c r="H4111" t="s">
        <v>10143</v>
      </c>
      <c r="I4111" t="s">
        <v>10169</v>
      </c>
      <c r="J4111" t="s">
        <v>10214</v>
      </c>
      <c r="K4111" t="s">
        <v>10217</v>
      </c>
      <c r="M4111" t="s">
        <v>10286</v>
      </c>
      <c r="N4111" t="s">
        <v>10671</v>
      </c>
      <c r="P4111" t="s">
        <v>10749</v>
      </c>
      <c r="Q4111" t="s">
        <v>10765</v>
      </c>
      <c r="R4111" t="s">
        <v>10821</v>
      </c>
      <c r="T4111">
        <v>23400</v>
      </c>
      <c r="U4111">
        <v>1950</v>
      </c>
      <c r="V4111">
        <v>24</v>
      </c>
      <c r="W4111">
        <v>1</v>
      </c>
      <c r="X4111">
        <v>0</v>
      </c>
      <c r="Z4111">
        <v>187.35</v>
      </c>
      <c r="AA4111">
        <v>40.887529</v>
      </c>
      <c r="AB4111">
        <v>-73.905036</v>
      </c>
      <c r="AD4111" t="s">
        <v>10839</v>
      </c>
      <c r="AG4111" t="s">
        <v>10858</v>
      </c>
      <c r="AH4111" t="s">
        <v>10871</v>
      </c>
      <c r="AI4111">
        <v>234</v>
      </c>
      <c r="AJ4111" t="s">
        <v>10214</v>
      </c>
      <c r="AL4111">
        <v>1</v>
      </c>
      <c r="AM4111" t="s">
        <v>10893</v>
      </c>
      <c r="AN4111" t="s">
        <v>10919</v>
      </c>
      <c r="AO4111" t="s">
        <v>11002</v>
      </c>
      <c r="AP4111" t="s">
        <v>11057</v>
      </c>
      <c r="AR4111" t="s">
        <v>11257</v>
      </c>
      <c r="AS4111" t="s">
        <v>9926</v>
      </c>
      <c r="AT4111" t="s">
        <v>11641</v>
      </c>
      <c r="AX4111" t="s">
        <v>10838</v>
      </c>
      <c r="BA4111" t="s">
        <v>11741</v>
      </c>
      <c r="BB4111">
        <v>0</v>
      </c>
      <c r="BC4111">
        <v>0</v>
      </c>
      <c r="BD4111">
        <v>0</v>
      </c>
      <c r="BE4111">
        <v>0</v>
      </c>
      <c r="BF4111">
        <v>1</v>
      </c>
      <c r="BG4111">
        <v>0</v>
      </c>
    </row>
    <row r="4112" spans="1:59">
      <c r="A4112" s="1">
        <f>HYPERLINK("https://lsnyc.legalserver.org/matter/dynamic-profile/view/1908267","19-1908267")</f>
        <v>0</v>
      </c>
      <c r="B4112" t="s">
        <v>3379</v>
      </c>
      <c r="C4112" t="s">
        <v>8172</v>
      </c>
      <c r="D4112" t="s">
        <v>9926</v>
      </c>
      <c r="E4112" t="s">
        <v>10075</v>
      </c>
      <c r="F4112">
        <v>10463</v>
      </c>
      <c r="G4112" t="s">
        <v>10090</v>
      </c>
      <c r="H4112" t="s">
        <v>10143</v>
      </c>
      <c r="I4112" t="s">
        <v>10168</v>
      </c>
      <c r="J4112" t="s">
        <v>10210</v>
      </c>
      <c r="K4112" t="s">
        <v>10217</v>
      </c>
      <c r="M4112" t="s">
        <v>10353</v>
      </c>
      <c r="N4112" t="s">
        <v>10737</v>
      </c>
      <c r="P4112" t="s">
        <v>10751</v>
      </c>
      <c r="Q4112" t="s">
        <v>10776</v>
      </c>
      <c r="R4112" t="s">
        <v>10822</v>
      </c>
      <c r="T4112">
        <v>9252</v>
      </c>
      <c r="U4112">
        <v>771</v>
      </c>
      <c r="V4112">
        <v>58</v>
      </c>
      <c r="W4112">
        <v>1</v>
      </c>
      <c r="X4112">
        <v>0</v>
      </c>
      <c r="Z4112">
        <v>74.08</v>
      </c>
      <c r="AA4112">
        <v>40.870924</v>
      </c>
      <c r="AB4112">
        <v>-73.904089</v>
      </c>
      <c r="AC4112" t="s">
        <v>10837</v>
      </c>
      <c r="AD4112" t="s">
        <v>10840</v>
      </c>
      <c r="AG4112" t="s">
        <v>10858</v>
      </c>
      <c r="AH4112" t="s">
        <v>10874</v>
      </c>
      <c r="AI4112">
        <v>230</v>
      </c>
      <c r="AJ4112" t="s">
        <v>10210</v>
      </c>
      <c r="AL4112">
        <v>0.25</v>
      </c>
      <c r="AM4112" t="s">
        <v>10887</v>
      </c>
      <c r="AN4112" t="s">
        <v>10907</v>
      </c>
      <c r="AO4112" t="s">
        <v>11000</v>
      </c>
      <c r="AP4112" t="s">
        <v>11045</v>
      </c>
      <c r="AR4112" t="s">
        <v>11268</v>
      </c>
      <c r="AS4112" t="s">
        <v>9926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</row>
    <row r="4113" spans="1:59">
      <c r="A4113" s="1">
        <f>HYPERLINK("https://lsnyc.legalserver.org/matter/dynamic-profile/view/1908268","19-1908268")</f>
        <v>0</v>
      </c>
      <c r="B4113" t="s">
        <v>3380</v>
      </c>
      <c r="C4113" t="s">
        <v>8173</v>
      </c>
      <c r="D4113" t="s">
        <v>9926</v>
      </c>
      <c r="E4113" t="s">
        <v>10075</v>
      </c>
      <c r="F4113">
        <v>10457</v>
      </c>
      <c r="G4113" t="s">
        <v>10090</v>
      </c>
      <c r="H4113" t="s">
        <v>10143</v>
      </c>
      <c r="I4113" t="s">
        <v>10169</v>
      </c>
      <c r="J4113" t="s">
        <v>10210</v>
      </c>
      <c r="K4113" t="s">
        <v>10217</v>
      </c>
      <c r="M4113" t="s">
        <v>10424</v>
      </c>
      <c r="N4113" t="s">
        <v>10673</v>
      </c>
      <c r="P4113" t="s">
        <v>10753</v>
      </c>
      <c r="Q4113" t="s">
        <v>10763</v>
      </c>
      <c r="R4113" t="s">
        <v>10821</v>
      </c>
      <c r="T4113">
        <v>31200</v>
      </c>
      <c r="U4113">
        <v>2600</v>
      </c>
      <c r="V4113">
        <v>39</v>
      </c>
      <c r="W4113">
        <v>2</v>
      </c>
      <c r="X4113">
        <v>1</v>
      </c>
      <c r="Z4113">
        <v>146.27</v>
      </c>
      <c r="AA4113">
        <v>40.846594</v>
      </c>
      <c r="AB4113">
        <v>-73.892359</v>
      </c>
      <c r="AD4113" t="s">
        <v>10839</v>
      </c>
      <c r="AF4113" t="s">
        <v>10842</v>
      </c>
      <c r="AG4113" t="s">
        <v>10859</v>
      </c>
      <c r="AH4113" t="s">
        <v>10861</v>
      </c>
      <c r="AI4113">
        <v>230</v>
      </c>
      <c r="AJ4113" t="s">
        <v>10210</v>
      </c>
      <c r="AL4113">
        <v>1.9</v>
      </c>
      <c r="AM4113" t="s">
        <v>10884</v>
      </c>
      <c r="AN4113" t="s">
        <v>10918</v>
      </c>
      <c r="AO4113" t="s">
        <v>11000</v>
      </c>
      <c r="AP4113" t="s">
        <v>11062</v>
      </c>
      <c r="AQ4113" t="s">
        <v>11096</v>
      </c>
      <c r="AR4113" t="s">
        <v>11257</v>
      </c>
      <c r="AS4113" t="s">
        <v>9926</v>
      </c>
      <c r="BA4113" t="s">
        <v>11739</v>
      </c>
      <c r="BB4113">
        <v>0</v>
      </c>
      <c r="BC4113">
        <v>0</v>
      </c>
      <c r="BD4113">
        <v>0</v>
      </c>
      <c r="BE4113">
        <v>0</v>
      </c>
      <c r="BF4113">
        <v>4</v>
      </c>
      <c r="BG4113">
        <v>0</v>
      </c>
    </row>
    <row r="4114" spans="1:59">
      <c r="A4114" s="1">
        <f>HYPERLINK("https://lsnyc.legalserver.org/matter/dynamic-profile/view/1908269","19-1908269")</f>
        <v>0</v>
      </c>
      <c r="B4114" t="s">
        <v>3381</v>
      </c>
      <c r="C4114" t="s">
        <v>8174</v>
      </c>
      <c r="D4114" t="s">
        <v>9928</v>
      </c>
      <c r="E4114" t="s">
        <v>10075</v>
      </c>
      <c r="F4114">
        <v>11233</v>
      </c>
      <c r="G4114" t="s">
        <v>10093</v>
      </c>
      <c r="H4114" t="s">
        <v>10143</v>
      </c>
      <c r="I4114" t="s">
        <v>10168</v>
      </c>
      <c r="J4114" t="s">
        <v>10213</v>
      </c>
      <c r="K4114" t="s">
        <v>10217</v>
      </c>
      <c r="M4114" t="s">
        <v>10308</v>
      </c>
      <c r="N4114" t="s">
        <v>10650</v>
      </c>
      <c r="P4114" t="s">
        <v>10749</v>
      </c>
      <c r="Q4114" t="s">
        <v>10765</v>
      </c>
      <c r="R4114" t="s">
        <v>10824</v>
      </c>
      <c r="T4114">
        <v>3900</v>
      </c>
      <c r="U4114">
        <v>325</v>
      </c>
      <c r="V4114">
        <v>49</v>
      </c>
      <c r="W4114">
        <v>1</v>
      </c>
      <c r="X4114">
        <v>0</v>
      </c>
      <c r="Z4114">
        <v>31.22</v>
      </c>
      <c r="AA4114">
        <v>40.6704</v>
      </c>
      <c r="AB4114">
        <v>-73.922613</v>
      </c>
      <c r="AD4114" t="s">
        <v>10840</v>
      </c>
      <c r="AG4114" t="s">
        <v>10858</v>
      </c>
      <c r="AH4114" t="s">
        <v>10862</v>
      </c>
      <c r="AI4114">
        <v>239</v>
      </c>
      <c r="AJ4114" t="s">
        <v>10213</v>
      </c>
      <c r="AL4114">
        <v>0</v>
      </c>
      <c r="AM4114" t="s">
        <v>10888</v>
      </c>
      <c r="AN4114" t="s">
        <v>10922</v>
      </c>
      <c r="AO4114" t="s">
        <v>11005</v>
      </c>
      <c r="AP4114" t="s">
        <v>11064</v>
      </c>
      <c r="AR4114" t="s">
        <v>11255</v>
      </c>
      <c r="AS4114" t="s">
        <v>11595</v>
      </c>
      <c r="AT4114" t="s">
        <v>11642</v>
      </c>
      <c r="BA4114" t="s">
        <v>11740</v>
      </c>
      <c r="BB4114">
        <v>0</v>
      </c>
      <c r="BC4114">
        <v>0</v>
      </c>
      <c r="BD4114">
        <v>0</v>
      </c>
      <c r="BE4114">
        <v>0</v>
      </c>
      <c r="BF4114">
        <v>2</v>
      </c>
      <c r="BG4114">
        <v>0</v>
      </c>
    </row>
    <row r="4115" spans="1:59">
      <c r="A4115" s="1">
        <f>HYPERLINK("https://lsnyc.legalserver.org/matter/dynamic-profile/view/1908270","19-1908270")</f>
        <v>0</v>
      </c>
      <c r="B4115" t="s">
        <v>3382</v>
      </c>
      <c r="C4115" t="s">
        <v>8175</v>
      </c>
      <c r="D4115" t="s">
        <v>9926</v>
      </c>
      <c r="E4115" t="s">
        <v>10075</v>
      </c>
      <c r="F4115">
        <v>10467</v>
      </c>
      <c r="G4115" t="s">
        <v>10090</v>
      </c>
      <c r="H4115" t="s">
        <v>10143</v>
      </c>
      <c r="I4115" t="s">
        <v>10169</v>
      </c>
      <c r="J4115" t="s">
        <v>10210</v>
      </c>
      <c r="K4115" t="s">
        <v>10217</v>
      </c>
      <c r="M4115" t="s">
        <v>10385</v>
      </c>
      <c r="N4115" t="s">
        <v>10651</v>
      </c>
      <c r="P4115" t="s">
        <v>10749</v>
      </c>
      <c r="Q4115" t="s">
        <v>10765</v>
      </c>
      <c r="R4115" t="s">
        <v>10821</v>
      </c>
      <c r="T4115">
        <v>36400</v>
      </c>
      <c r="U4115">
        <v>3033.33</v>
      </c>
      <c r="V4115">
        <v>24</v>
      </c>
      <c r="W4115">
        <v>3</v>
      </c>
      <c r="X4115">
        <v>0</v>
      </c>
      <c r="Z4115">
        <v>170.65</v>
      </c>
      <c r="AA4115">
        <v>40.879246</v>
      </c>
      <c r="AB4115">
        <v>-73.87530700000001</v>
      </c>
      <c r="AD4115" t="s">
        <v>10839</v>
      </c>
      <c r="AF4115" t="s">
        <v>10843</v>
      </c>
      <c r="AG4115" t="s">
        <v>10859</v>
      </c>
      <c r="AH4115" t="s">
        <v>10862</v>
      </c>
      <c r="AI4115">
        <v>230</v>
      </c>
      <c r="AJ4115" t="s">
        <v>10210</v>
      </c>
      <c r="AL4115">
        <v>2</v>
      </c>
      <c r="AM4115" t="s">
        <v>10887</v>
      </c>
      <c r="AN4115" t="s">
        <v>10919</v>
      </c>
      <c r="AO4115" t="s">
        <v>11010</v>
      </c>
      <c r="AP4115" t="s">
        <v>11057</v>
      </c>
      <c r="AR4115" t="s">
        <v>11257</v>
      </c>
      <c r="AS4115" t="s">
        <v>9926</v>
      </c>
      <c r="AT4115" t="s">
        <v>11641</v>
      </c>
      <c r="AX4115" t="s">
        <v>10838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</row>
    <row r="4116" spans="1:59">
      <c r="A4116" s="1">
        <f>HYPERLINK("https://lsnyc.legalserver.org/matter/dynamic-profile/view/1908271","19-1908271")</f>
        <v>0</v>
      </c>
      <c r="B4116" t="s">
        <v>3383</v>
      </c>
      <c r="C4116" t="s">
        <v>8176</v>
      </c>
      <c r="D4116" t="s">
        <v>9929</v>
      </c>
      <c r="E4116" t="s">
        <v>10075</v>
      </c>
      <c r="F4116">
        <v>10312</v>
      </c>
      <c r="G4116" t="s">
        <v>10093</v>
      </c>
      <c r="H4116" t="s">
        <v>10143</v>
      </c>
      <c r="I4116" t="s">
        <v>10168</v>
      </c>
      <c r="J4116" t="s">
        <v>10213</v>
      </c>
      <c r="K4116" t="s">
        <v>10217</v>
      </c>
      <c r="M4116" t="s">
        <v>10315</v>
      </c>
      <c r="N4116" t="s">
        <v>10671</v>
      </c>
      <c r="P4116" t="s">
        <v>10750</v>
      </c>
      <c r="Q4116" t="s">
        <v>10778</v>
      </c>
      <c r="R4116" t="s">
        <v>10820</v>
      </c>
      <c r="T4116">
        <v>10800</v>
      </c>
      <c r="U4116">
        <v>900</v>
      </c>
      <c r="V4116">
        <v>57</v>
      </c>
      <c r="W4116">
        <v>1</v>
      </c>
      <c r="X4116">
        <v>0</v>
      </c>
      <c r="Z4116">
        <v>86.47</v>
      </c>
      <c r="AA4116">
        <v>40.559679</v>
      </c>
      <c r="AB4116">
        <v>-74.17080199999999</v>
      </c>
      <c r="AD4116" t="s">
        <v>10840</v>
      </c>
      <c r="AG4116" t="s">
        <v>10858</v>
      </c>
      <c r="AH4116" t="s">
        <v>10871</v>
      </c>
      <c r="AI4116">
        <v>234</v>
      </c>
      <c r="AJ4116" t="s">
        <v>10214</v>
      </c>
      <c r="AL4116">
        <v>1.85</v>
      </c>
      <c r="AM4116" t="s">
        <v>10883</v>
      </c>
      <c r="AN4116" t="s">
        <v>10906</v>
      </c>
      <c r="AO4116" t="s">
        <v>10999</v>
      </c>
      <c r="AP4116" t="s">
        <v>11044</v>
      </c>
      <c r="AR4116" t="s">
        <v>11296</v>
      </c>
      <c r="AS4116" t="s">
        <v>11593</v>
      </c>
      <c r="AT4116" t="s">
        <v>11642</v>
      </c>
      <c r="AX4116" t="s">
        <v>10838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</row>
    <row r="4117" spans="1:59">
      <c r="A4117" s="1">
        <f>HYPERLINK("https://lsnyc.legalserver.org/matter/dynamic-profile/view/1908272","19-1908272")</f>
        <v>0</v>
      </c>
      <c r="B4117" t="s">
        <v>3381</v>
      </c>
      <c r="C4117" t="s">
        <v>8174</v>
      </c>
      <c r="D4117" t="s">
        <v>9928</v>
      </c>
      <c r="E4117" t="s">
        <v>10075</v>
      </c>
      <c r="F4117">
        <v>11233</v>
      </c>
      <c r="G4117" t="s">
        <v>10093</v>
      </c>
      <c r="H4117" t="s">
        <v>10143</v>
      </c>
      <c r="I4117" t="s">
        <v>10168</v>
      </c>
      <c r="J4117" t="s">
        <v>10213</v>
      </c>
      <c r="K4117" t="s">
        <v>10217</v>
      </c>
      <c r="M4117" t="s">
        <v>10308</v>
      </c>
      <c r="N4117" t="s">
        <v>10650</v>
      </c>
      <c r="P4117" t="s">
        <v>10749</v>
      </c>
      <c r="Q4117" t="s">
        <v>10765</v>
      </c>
      <c r="R4117" t="s">
        <v>10824</v>
      </c>
      <c r="T4117">
        <v>3900</v>
      </c>
      <c r="U4117">
        <v>325</v>
      </c>
      <c r="V4117">
        <v>49</v>
      </c>
      <c r="W4117">
        <v>1</v>
      </c>
      <c r="X4117">
        <v>0</v>
      </c>
      <c r="Z4117">
        <v>31.22</v>
      </c>
      <c r="AA4117">
        <v>40.6704</v>
      </c>
      <c r="AB4117">
        <v>-73.922613</v>
      </c>
      <c r="AD4117" t="s">
        <v>10840</v>
      </c>
      <c r="AG4117" t="s">
        <v>10858</v>
      </c>
      <c r="AH4117" t="s">
        <v>10862</v>
      </c>
      <c r="AI4117">
        <v>239</v>
      </c>
      <c r="AJ4117" t="s">
        <v>10213</v>
      </c>
      <c r="AL4117">
        <v>8.4</v>
      </c>
      <c r="AQ4117" t="s">
        <v>11120</v>
      </c>
      <c r="AR4117" t="s">
        <v>11255</v>
      </c>
      <c r="AS4117" t="s">
        <v>11595</v>
      </c>
      <c r="BA4117" t="s">
        <v>11738</v>
      </c>
      <c r="BB4117">
        <v>0</v>
      </c>
      <c r="BC4117">
        <v>0</v>
      </c>
      <c r="BD4117">
        <v>0</v>
      </c>
      <c r="BE4117">
        <v>0</v>
      </c>
      <c r="BF4117">
        <v>5</v>
      </c>
      <c r="BG4117">
        <v>0</v>
      </c>
    </row>
    <row r="4118" spans="1:59">
      <c r="A4118" s="1">
        <f>HYPERLINK("https://lsnyc.legalserver.org/matter/dynamic-profile/view/1908273","19-1908273")</f>
        <v>0</v>
      </c>
      <c r="B4118" t="s">
        <v>3384</v>
      </c>
      <c r="C4118" t="s">
        <v>8177</v>
      </c>
      <c r="D4118" t="s">
        <v>9926</v>
      </c>
      <c r="E4118" t="s">
        <v>10075</v>
      </c>
      <c r="F4118">
        <v>10454</v>
      </c>
      <c r="G4118" t="s">
        <v>10090</v>
      </c>
      <c r="H4118" t="s">
        <v>10143</v>
      </c>
      <c r="I4118" t="s">
        <v>10168</v>
      </c>
      <c r="J4118" t="s">
        <v>10210</v>
      </c>
      <c r="K4118" t="s">
        <v>10217</v>
      </c>
      <c r="M4118" t="s">
        <v>10372</v>
      </c>
      <c r="N4118" t="s">
        <v>10704</v>
      </c>
      <c r="P4118" t="s">
        <v>10750</v>
      </c>
      <c r="Q4118" t="s">
        <v>10778</v>
      </c>
      <c r="R4118" t="s">
        <v>10820</v>
      </c>
      <c r="T4118">
        <v>24000</v>
      </c>
      <c r="U4118">
        <v>2000</v>
      </c>
      <c r="V4118">
        <v>43</v>
      </c>
      <c r="W4118">
        <v>1</v>
      </c>
      <c r="X4118">
        <v>0</v>
      </c>
      <c r="Z4118">
        <v>192.15</v>
      </c>
      <c r="AA4118">
        <v>40.810309</v>
      </c>
      <c r="AB4118">
        <v>-73.92455699999999</v>
      </c>
      <c r="AD4118" t="s">
        <v>10840</v>
      </c>
      <c r="AG4118" t="s">
        <v>10858</v>
      </c>
      <c r="AH4118" t="s">
        <v>10861</v>
      </c>
      <c r="AI4118">
        <v>234</v>
      </c>
      <c r="AJ4118" t="s">
        <v>10214</v>
      </c>
      <c r="AL4118">
        <v>3.75</v>
      </c>
      <c r="AM4118" t="s">
        <v>10884</v>
      </c>
      <c r="AN4118" t="s">
        <v>10924</v>
      </c>
      <c r="AO4118" t="s">
        <v>11013</v>
      </c>
      <c r="AP4118" t="s">
        <v>11066</v>
      </c>
      <c r="AR4118" t="s">
        <v>11276</v>
      </c>
      <c r="AS4118" t="s">
        <v>9926</v>
      </c>
      <c r="AT4118" t="s">
        <v>11642</v>
      </c>
      <c r="AX4118" t="s">
        <v>10838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</row>
    <row r="4119" spans="1:59">
      <c r="A4119" s="1">
        <f>HYPERLINK("https://lsnyc.legalserver.org/matter/dynamic-profile/view/1908274","19-1908274")</f>
        <v>0</v>
      </c>
      <c r="B4119" t="s">
        <v>3385</v>
      </c>
      <c r="C4119" t="s">
        <v>8178</v>
      </c>
      <c r="D4119" t="s">
        <v>9928</v>
      </c>
      <c r="E4119" t="s">
        <v>10075</v>
      </c>
      <c r="F4119">
        <v>11236</v>
      </c>
      <c r="G4119" t="s">
        <v>10091</v>
      </c>
      <c r="H4119" t="s">
        <v>10143</v>
      </c>
      <c r="I4119" t="s">
        <v>10168</v>
      </c>
      <c r="J4119" t="s">
        <v>10211</v>
      </c>
      <c r="K4119" t="s">
        <v>10218</v>
      </c>
      <c r="L4119" t="s">
        <v>10100</v>
      </c>
      <c r="M4119" t="s">
        <v>10231</v>
      </c>
      <c r="N4119" t="s">
        <v>10647</v>
      </c>
      <c r="P4119" t="s">
        <v>10752</v>
      </c>
      <c r="Q4119" t="s">
        <v>10762</v>
      </c>
      <c r="R4119" t="s">
        <v>10824</v>
      </c>
      <c r="T4119">
        <v>22400</v>
      </c>
      <c r="U4119">
        <v>1866.67</v>
      </c>
      <c r="V4119">
        <v>55</v>
      </c>
      <c r="W4119">
        <v>1</v>
      </c>
      <c r="X4119">
        <v>0</v>
      </c>
      <c r="Y4119" t="s">
        <v>10829</v>
      </c>
      <c r="Z4119">
        <v>179.34</v>
      </c>
      <c r="AA4119">
        <v>40.633273</v>
      </c>
      <c r="AB4119">
        <v>-73.883484</v>
      </c>
      <c r="AD4119" t="s">
        <v>10840</v>
      </c>
      <c r="AG4119" t="s">
        <v>10858</v>
      </c>
      <c r="AH4119" t="s">
        <v>10871</v>
      </c>
      <c r="AI4119">
        <v>234</v>
      </c>
      <c r="AJ4119" t="s">
        <v>10214</v>
      </c>
      <c r="AK4119" t="s">
        <v>10882</v>
      </c>
      <c r="AL4119">
        <v>0.86</v>
      </c>
      <c r="AM4119" t="s">
        <v>10889</v>
      </c>
      <c r="AN4119" t="s">
        <v>10959</v>
      </c>
      <c r="AO4119" t="s">
        <v>11012</v>
      </c>
      <c r="AP4119" t="s">
        <v>11072</v>
      </c>
      <c r="AR4119" t="s">
        <v>11328</v>
      </c>
      <c r="AS4119" t="s">
        <v>11595</v>
      </c>
      <c r="AT4119" t="s">
        <v>11642</v>
      </c>
      <c r="AX4119" t="s">
        <v>10838</v>
      </c>
      <c r="AY4119" t="s">
        <v>10829</v>
      </c>
      <c r="AZ4119" t="s">
        <v>11680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</row>
    <row r="4120" spans="1:59">
      <c r="A4120" s="1">
        <f>HYPERLINK("https://lsnyc.legalserver.org/matter/dynamic-profile/view/1908275","19-1908275")</f>
        <v>0</v>
      </c>
      <c r="B4120" t="s">
        <v>2239</v>
      </c>
      <c r="C4120" t="s">
        <v>8179</v>
      </c>
      <c r="D4120" t="s">
        <v>9936</v>
      </c>
      <c r="E4120" t="s">
        <v>10075</v>
      </c>
      <c r="F4120">
        <v>11102</v>
      </c>
      <c r="G4120" t="s">
        <v>10092</v>
      </c>
      <c r="H4120" t="s">
        <v>10143</v>
      </c>
      <c r="I4120" t="s">
        <v>10168</v>
      </c>
      <c r="J4120" t="s">
        <v>10212</v>
      </c>
      <c r="K4120" t="s">
        <v>10217</v>
      </c>
      <c r="M4120" t="s">
        <v>10387</v>
      </c>
      <c r="N4120" t="s">
        <v>10695</v>
      </c>
      <c r="P4120" t="s">
        <v>10749</v>
      </c>
      <c r="Q4120" t="s">
        <v>10767</v>
      </c>
      <c r="R4120" t="s">
        <v>10821</v>
      </c>
      <c r="T4120">
        <v>17000</v>
      </c>
      <c r="U4120">
        <v>1416.67</v>
      </c>
      <c r="V4120">
        <v>33</v>
      </c>
      <c r="W4120">
        <v>1</v>
      </c>
      <c r="X4120">
        <v>0</v>
      </c>
      <c r="Z4120">
        <v>136.11</v>
      </c>
      <c r="AA4120">
        <v>40.772938</v>
      </c>
      <c r="AB4120">
        <v>-73.935931</v>
      </c>
      <c r="AD4120" t="s">
        <v>10839</v>
      </c>
      <c r="AG4120" t="s">
        <v>10858</v>
      </c>
      <c r="AH4120" t="s">
        <v>10862</v>
      </c>
      <c r="AI4120">
        <v>237</v>
      </c>
      <c r="AJ4120" t="s">
        <v>10212</v>
      </c>
      <c r="AL4120">
        <v>0.5</v>
      </c>
      <c r="AM4120" t="s">
        <v>10891</v>
      </c>
      <c r="AN4120" t="s">
        <v>10961</v>
      </c>
      <c r="AO4120" t="s">
        <v>11003</v>
      </c>
      <c r="AP4120" t="s">
        <v>11084</v>
      </c>
      <c r="AR4120" t="s">
        <v>11257</v>
      </c>
      <c r="AS4120" t="s">
        <v>11594</v>
      </c>
      <c r="BA4120" t="s">
        <v>11741</v>
      </c>
      <c r="BB4120">
        <v>0</v>
      </c>
      <c r="BC4120">
        <v>0</v>
      </c>
      <c r="BD4120">
        <v>0</v>
      </c>
      <c r="BE4120">
        <v>0</v>
      </c>
      <c r="BF4120">
        <v>1</v>
      </c>
      <c r="BG4120">
        <v>0</v>
      </c>
    </row>
    <row r="4121" spans="1:59">
      <c r="A4121" s="1">
        <f>HYPERLINK("https://lsnyc.legalserver.org/matter/dynamic-profile/view/1908276","19-1908276")</f>
        <v>0</v>
      </c>
      <c r="B4121" t="s">
        <v>1715</v>
      </c>
      <c r="C4121" t="s">
        <v>6511</v>
      </c>
      <c r="D4121" t="s">
        <v>9931</v>
      </c>
      <c r="E4121" t="s">
        <v>10075</v>
      </c>
      <c r="F4121">
        <v>11354</v>
      </c>
      <c r="G4121" t="s">
        <v>10092</v>
      </c>
      <c r="H4121" t="s">
        <v>10143</v>
      </c>
      <c r="I4121" t="s">
        <v>10189</v>
      </c>
      <c r="J4121" t="s">
        <v>10212</v>
      </c>
      <c r="K4121" t="s">
        <v>10217</v>
      </c>
      <c r="M4121" t="s">
        <v>10295</v>
      </c>
      <c r="N4121" t="s">
        <v>10674</v>
      </c>
      <c r="P4121" t="s">
        <v>10754</v>
      </c>
      <c r="Q4121" t="s">
        <v>10775</v>
      </c>
      <c r="R4121" t="s">
        <v>10827</v>
      </c>
      <c r="T4121">
        <v>0</v>
      </c>
      <c r="U4121">
        <v>0</v>
      </c>
      <c r="V4121">
        <v>41</v>
      </c>
      <c r="W4121">
        <v>1</v>
      </c>
      <c r="X4121">
        <v>0</v>
      </c>
      <c r="Z4121">
        <v>0</v>
      </c>
      <c r="AA4121">
        <v>40.762842</v>
      </c>
      <c r="AB4121">
        <v>-73.81588600000001</v>
      </c>
      <c r="AD4121" t="s">
        <v>10840</v>
      </c>
      <c r="AF4121" t="s">
        <v>10842</v>
      </c>
      <c r="AG4121" t="s">
        <v>10859</v>
      </c>
      <c r="AH4121" t="s">
        <v>10865</v>
      </c>
      <c r="AI4121">
        <v>237</v>
      </c>
      <c r="AJ4121" t="s">
        <v>10212</v>
      </c>
      <c r="AL4121">
        <v>3.6</v>
      </c>
      <c r="AM4121" t="s">
        <v>10890</v>
      </c>
      <c r="AN4121" t="s">
        <v>10927</v>
      </c>
      <c r="AO4121" t="s">
        <v>11009</v>
      </c>
      <c r="AP4121" t="s">
        <v>11067</v>
      </c>
      <c r="AQ4121" t="s">
        <v>11241</v>
      </c>
      <c r="AR4121" t="s">
        <v>11267</v>
      </c>
      <c r="AS4121" t="s">
        <v>11594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</row>
    <row r="4122" spans="1:59">
      <c r="A4122" s="1">
        <f>HYPERLINK("https://lsnyc.legalserver.org/matter/dynamic-profile/view/1908277","19-1908277")</f>
        <v>0</v>
      </c>
      <c r="B4122" t="s">
        <v>3384</v>
      </c>
      <c r="C4122" t="s">
        <v>8177</v>
      </c>
      <c r="D4122" t="s">
        <v>9926</v>
      </c>
      <c r="E4122" t="s">
        <v>10075</v>
      </c>
      <c r="F4122">
        <v>10454</v>
      </c>
      <c r="G4122" t="s">
        <v>10091</v>
      </c>
      <c r="H4122" t="s">
        <v>10143</v>
      </c>
      <c r="I4122" t="s">
        <v>10168</v>
      </c>
      <c r="J4122" t="s">
        <v>10211</v>
      </c>
      <c r="K4122" t="s">
        <v>10217</v>
      </c>
      <c r="M4122" t="s">
        <v>10231</v>
      </c>
      <c r="N4122" t="s">
        <v>10647</v>
      </c>
      <c r="P4122" t="s">
        <v>10752</v>
      </c>
      <c r="Q4122" t="s">
        <v>10762</v>
      </c>
      <c r="R4122" t="s">
        <v>10820</v>
      </c>
      <c r="T4122">
        <v>24000</v>
      </c>
      <c r="U4122">
        <v>2000</v>
      </c>
      <c r="V4122">
        <v>43</v>
      </c>
      <c r="W4122">
        <v>1</v>
      </c>
      <c r="X4122">
        <v>0</v>
      </c>
      <c r="Z4122">
        <v>192.15</v>
      </c>
      <c r="AA4122">
        <v>40.810309</v>
      </c>
      <c r="AB4122">
        <v>-73.92455699999999</v>
      </c>
      <c r="AC4122" t="s">
        <v>10838</v>
      </c>
      <c r="AD4122" t="s">
        <v>10840</v>
      </c>
      <c r="AG4122" t="s">
        <v>10858</v>
      </c>
      <c r="AH4122" t="s">
        <v>10861</v>
      </c>
      <c r="AI4122">
        <v>234</v>
      </c>
      <c r="AJ4122" t="s">
        <v>10214</v>
      </c>
      <c r="AL4122">
        <v>0.6</v>
      </c>
      <c r="AQ4122" t="s">
        <v>11110</v>
      </c>
      <c r="AR4122" t="s">
        <v>11276</v>
      </c>
      <c r="AS4122" t="s">
        <v>9926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</row>
    <row r="4123" spans="1:59">
      <c r="A4123" s="1">
        <f>HYPERLINK("https://lsnyc.legalserver.org/matter/dynamic-profile/view/1908278","19-1908278")</f>
        <v>0</v>
      </c>
      <c r="B4123" t="s">
        <v>3382</v>
      </c>
      <c r="C4123" t="s">
        <v>8175</v>
      </c>
      <c r="D4123" t="s">
        <v>9926</v>
      </c>
      <c r="E4123" t="s">
        <v>10075</v>
      </c>
      <c r="F4123">
        <v>10467</v>
      </c>
      <c r="G4123" t="s">
        <v>10090</v>
      </c>
      <c r="H4123" t="s">
        <v>10153</v>
      </c>
      <c r="I4123" t="s">
        <v>10169</v>
      </c>
      <c r="J4123" t="s">
        <v>10210</v>
      </c>
      <c r="K4123" t="s">
        <v>10217</v>
      </c>
      <c r="M4123" t="s">
        <v>10385</v>
      </c>
      <c r="N4123" t="s">
        <v>10671</v>
      </c>
      <c r="P4123" t="s">
        <v>10751</v>
      </c>
      <c r="Q4123" t="s">
        <v>10761</v>
      </c>
      <c r="R4123" t="s">
        <v>10821</v>
      </c>
      <c r="T4123">
        <v>36400</v>
      </c>
      <c r="U4123">
        <v>3033.33</v>
      </c>
      <c r="V4123">
        <v>24</v>
      </c>
      <c r="W4123">
        <v>3</v>
      </c>
      <c r="X4123">
        <v>0</v>
      </c>
      <c r="Z4123">
        <v>170.65</v>
      </c>
      <c r="AA4123">
        <v>40.879246</v>
      </c>
      <c r="AB4123">
        <v>-73.87530700000001</v>
      </c>
      <c r="AD4123" t="s">
        <v>10839</v>
      </c>
      <c r="AF4123" t="s">
        <v>10843</v>
      </c>
      <c r="AG4123" t="s">
        <v>10859</v>
      </c>
      <c r="AH4123" t="s">
        <v>10862</v>
      </c>
      <c r="AI4123">
        <v>230</v>
      </c>
      <c r="AJ4123" t="s">
        <v>10210</v>
      </c>
      <c r="AL4123">
        <v>0</v>
      </c>
      <c r="AM4123" t="s">
        <v>10887</v>
      </c>
      <c r="AN4123" t="s">
        <v>10919</v>
      </c>
      <c r="AO4123" t="s">
        <v>11010</v>
      </c>
      <c r="AP4123" t="s">
        <v>11057</v>
      </c>
      <c r="AR4123" t="s">
        <v>11257</v>
      </c>
      <c r="AS4123" t="s">
        <v>9926</v>
      </c>
      <c r="AT4123" t="s">
        <v>11641</v>
      </c>
      <c r="AX4123" t="s">
        <v>10838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</row>
    <row r="4124" spans="1:59">
      <c r="A4124" s="1">
        <f>HYPERLINK("https://lsnyc.legalserver.org/matter/dynamic-profile/view/1908279","19-1908279")</f>
        <v>0</v>
      </c>
      <c r="B4124" t="s">
        <v>3386</v>
      </c>
      <c r="C4124" t="s">
        <v>8180</v>
      </c>
      <c r="D4124" t="s">
        <v>9928</v>
      </c>
      <c r="E4124" t="s">
        <v>10075</v>
      </c>
      <c r="F4124">
        <v>11233</v>
      </c>
      <c r="G4124" t="s">
        <v>10093</v>
      </c>
      <c r="H4124" t="s">
        <v>10143</v>
      </c>
      <c r="I4124" t="s">
        <v>10168</v>
      </c>
      <c r="J4124" t="s">
        <v>10213</v>
      </c>
      <c r="K4124" t="s">
        <v>10218</v>
      </c>
      <c r="L4124" t="s">
        <v>10222</v>
      </c>
      <c r="M4124" t="s">
        <v>10405</v>
      </c>
      <c r="N4124" t="s">
        <v>10650</v>
      </c>
      <c r="P4124" t="s">
        <v>10749</v>
      </c>
      <c r="Q4124" t="s">
        <v>10765</v>
      </c>
      <c r="R4124" t="s">
        <v>10824</v>
      </c>
      <c r="T4124">
        <v>0</v>
      </c>
      <c r="U4124">
        <v>0</v>
      </c>
      <c r="V4124">
        <v>26</v>
      </c>
      <c r="W4124">
        <v>1</v>
      </c>
      <c r="X4124">
        <v>2</v>
      </c>
      <c r="Y4124" t="s">
        <v>10831</v>
      </c>
      <c r="Z4124">
        <v>0</v>
      </c>
      <c r="AA4124">
        <v>40.67283</v>
      </c>
      <c r="AB4124">
        <v>-73.918542</v>
      </c>
      <c r="AD4124" t="s">
        <v>10839</v>
      </c>
      <c r="AG4124" t="s">
        <v>10858</v>
      </c>
      <c r="AH4124" t="s">
        <v>10862</v>
      </c>
      <c r="AI4124">
        <v>239</v>
      </c>
      <c r="AJ4124" t="s">
        <v>10213</v>
      </c>
      <c r="AK4124" t="s">
        <v>10838</v>
      </c>
      <c r="AL4124">
        <v>4.9</v>
      </c>
      <c r="AM4124" t="s">
        <v>10888</v>
      </c>
      <c r="AN4124" t="s">
        <v>10922</v>
      </c>
      <c r="AO4124" t="s">
        <v>11007</v>
      </c>
      <c r="AP4124" t="s">
        <v>11064</v>
      </c>
      <c r="AR4124" t="s">
        <v>11267</v>
      </c>
      <c r="AS4124" t="s">
        <v>11595</v>
      </c>
      <c r="AT4124" t="s">
        <v>11641</v>
      </c>
      <c r="AX4124" t="s">
        <v>10838</v>
      </c>
      <c r="AY4124" t="s">
        <v>10831</v>
      </c>
      <c r="AZ4124" t="s">
        <v>11687</v>
      </c>
      <c r="BA4124" t="s">
        <v>11738</v>
      </c>
      <c r="BB4124">
        <v>0</v>
      </c>
      <c r="BC4124">
        <v>0</v>
      </c>
      <c r="BD4124">
        <v>0</v>
      </c>
      <c r="BE4124">
        <v>0</v>
      </c>
      <c r="BF4124">
        <v>5</v>
      </c>
      <c r="BG4124">
        <v>0</v>
      </c>
    </row>
    <row r="4125" spans="1:59">
      <c r="A4125" s="1">
        <f>HYPERLINK("https://lsnyc.legalserver.org/matter/dynamic-profile/view/1908280","19-1908280")</f>
        <v>0</v>
      </c>
      <c r="B4125" t="s">
        <v>3387</v>
      </c>
      <c r="C4125" t="s">
        <v>8181</v>
      </c>
      <c r="D4125" t="s">
        <v>9936</v>
      </c>
      <c r="E4125" t="s">
        <v>10075</v>
      </c>
      <c r="F4125">
        <v>11103</v>
      </c>
      <c r="G4125" t="s">
        <v>10092</v>
      </c>
      <c r="H4125" t="s">
        <v>10143</v>
      </c>
      <c r="J4125" t="s">
        <v>10212</v>
      </c>
      <c r="K4125" t="s">
        <v>10218</v>
      </c>
      <c r="L4125" t="s">
        <v>10223</v>
      </c>
      <c r="M4125" t="s">
        <v>10350</v>
      </c>
      <c r="N4125" t="s">
        <v>10692</v>
      </c>
      <c r="P4125" t="s">
        <v>10754</v>
      </c>
      <c r="Q4125" t="s">
        <v>10777</v>
      </c>
      <c r="R4125" t="s">
        <v>10821</v>
      </c>
      <c r="T4125">
        <v>72800</v>
      </c>
      <c r="U4125">
        <v>6066.67</v>
      </c>
      <c r="V4125">
        <v>46</v>
      </c>
      <c r="W4125">
        <v>2</v>
      </c>
      <c r="X4125">
        <v>2</v>
      </c>
      <c r="Y4125" t="s">
        <v>10829</v>
      </c>
      <c r="Z4125">
        <v>282.72</v>
      </c>
      <c r="AA4125">
        <v>40.756282</v>
      </c>
      <c r="AB4125">
        <v>-73.91381</v>
      </c>
      <c r="AD4125" t="s">
        <v>10839</v>
      </c>
      <c r="AG4125" t="s">
        <v>10858</v>
      </c>
      <c r="AH4125" t="s">
        <v>10865</v>
      </c>
      <c r="AI4125">
        <v>237</v>
      </c>
      <c r="AJ4125" t="s">
        <v>10212</v>
      </c>
      <c r="AK4125" t="s">
        <v>10837</v>
      </c>
      <c r="AL4125">
        <v>2.75</v>
      </c>
      <c r="AM4125" t="s">
        <v>10885</v>
      </c>
      <c r="AN4125" t="s">
        <v>10954</v>
      </c>
      <c r="AO4125" t="s">
        <v>11003</v>
      </c>
      <c r="AP4125" t="s">
        <v>11047</v>
      </c>
      <c r="AR4125" t="s">
        <v>11257</v>
      </c>
      <c r="AS4125" t="s">
        <v>11594</v>
      </c>
      <c r="AY4125" t="s">
        <v>10829</v>
      </c>
      <c r="AZ4125" t="s">
        <v>11683</v>
      </c>
      <c r="BA4125" t="s">
        <v>11741</v>
      </c>
      <c r="BB4125">
        <v>0</v>
      </c>
      <c r="BC4125">
        <v>0</v>
      </c>
      <c r="BD4125">
        <v>0</v>
      </c>
      <c r="BE4125">
        <v>0</v>
      </c>
      <c r="BF4125">
        <v>1</v>
      </c>
      <c r="BG4125">
        <v>0</v>
      </c>
    </row>
    <row r="4126" spans="1:59">
      <c r="A4126" s="1">
        <f>HYPERLINK("https://lsnyc.legalserver.org/matter/dynamic-profile/view/1908281","19-1908281")</f>
        <v>0</v>
      </c>
      <c r="B4126" t="s">
        <v>2902</v>
      </c>
      <c r="C4126" t="s">
        <v>7691</v>
      </c>
      <c r="D4126" t="s">
        <v>9926</v>
      </c>
      <c r="E4126" t="s">
        <v>10075</v>
      </c>
      <c r="F4126">
        <v>10460</v>
      </c>
      <c r="G4126" t="s">
        <v>10090</v>
      </c>
      <c r="H4126" t="s">
        <v>10153</v>
      </c>
      <c r="I4126" t="s">
        <v>10168</v>
      </c>
      <c r="J4126" t="s">
        <v>10210</v>
      </c>
      <c r="K4126" t="s">
        <v>10217</v>
      </c>
      <c r="M4126" t="s">
        <v>10272</v>
      </c>
      <c r="N4126" t="s">
        <v>10677</v>
      </c>
      <c r="P4126" t="s">
        <v>10751</v>
      </c>
      <c r="Q4126" t="s">
        <v>10761</v>
      </c>
      <c r="R4126" t="s">
        <v>10821</v>
      </c>
      <c r="T4126">
        <v>10392</v>
      </c>
      <c r="U4126">
        <v>866</v>
      </c>
      <c r="V4126">
        <v>81</v>
      </c>
      <c r="W4126">
        <v>2</v>
      </c>
      <c r="X4126">
        <v>0</v>
      </c>
      <c r="Z4126">
        <v>61.45</v>
      </c>
      <c r="AA4126">
        <v>40.841921</v>
      </c>
      <c r="AB4126">
        <v>-73.879324</v>
      </c>
      <c r="AD4126" t="s">
        <v>10839</v>
      </c>
      <c r="AG4126" t="s">
        <v>10858</v>
      </c>
      <c r="AH4126" t="s">
        <v>10871</v>
      </c>
      <c r="AI4126">
        <v>230</v>
      </c>
      <c r="AJ4126" t="s">
        <v>10210</v>
      </c>
      <c r="AL4126">
        <v>0</v>
      </c>
      <c r="AM4126" t="s">
        <v>10884</v>
      </c>
      <c r="AN4126" t="s">
        <v>10908</v>
      </c>
      <c r="AO4126" t="s">
        <v>11001</v>
      </c>
      <c r="AP4126" t="s">
        <v>11056</v>
      </c>
      <c r="AR4126" t="s">
        <v>11253</v>
      </c>
      <c r="AS4126" t="s">
        <v>9926</v>
      </c>
      <c r="AT4126" t="s">
        <v>11641</v>
      </c>
      <c r="AX4126" t="s">
        <v>10838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</row>
    <row r="4127" spans="1:59">
      <c r="A4127" s="1">
        <f>HYPERLINK("https://lsnyc.legalserver.org/matter/dynamic-profile/view/1908282","19-1908282")</f>
        <v>0</v>
      </c>
      <c r="B4127" t="s">
        <v>3388</v>
      </c>
      <c r="C4127" t="s">
        <v>8182</v>
      </c>
      <c r="D4127" t="s">
        <v>9926</v>
      </c>
      <c r="E4127" t="s">
        <v>10075</v>
      </c>
      <c r="F4127">
        <v>10467</v>
      </c>
      <c r="G4127" t="s">
        <v>10090</v>
      </c>
      <c r="H4127" t="s">
        <v>10143</v>
      </c>
      <c r="I4127" t="s">
        <v>10168</v>
      </c>
      <c r="J4127" t="s">
        <v>10210</v>
      </c>
      <c r="K4127" t="s">
        <v>10217</v>
      </c>
      <c r="M4127" t="s">
        <v>10548</v>
      </c>
      <c r="N4127" t="s">
        <v>10677</v>
      </c>
      <c r="P4127" t="s">
        <v>10757</v>
      </c>
      <c r="Q4127" t="s">
        <v>10789</v>
      </c>
      <c r="R4127" t="s">
        <v>10821</v>
      </c>
      <c r="T4127">
        <v>8016</v>
      </c>
      <c r="U4127">
        <v>668</v>
      </c>
      <c r="V4127">
        <v>65</v>
      </c>
      <c r="W4127">
        <v>4</v>
      </c>
      <c r="X4127">
        <v>0</v>
      </c>
      <c r="Z4127">
        <v>31.13</v>
      </c>
      <c r="AA4127">
        <v>40.87167</v>
      </c>
      <c r="AB4127">
        <v>-73.869067</v>
      </c>
      <c r="AD4127" t="s">
        <v>10839</v>
      </c>
      <c r="AG4127" t="s">
        <v>10858</v>
      </c>
      <c r="AH4127" t="s">
        <v>10874</v>
      </c>
      <c r="AI4127">
        <v>230</v>
      </c>
      <c r="AJ4127" t="s">
        <v>10210</v>
      </c>
      <c r="AL4127">
        <v>9.199999999999999</v>
      </c>
      <c r="AM4127" t="s">
        <v>10893</v>
      </c>
      <c r="AN4127" t="s">
        <v>10938</v>
      </c>
      <c r="AO4127" t="s">
        <v>11010</v>
      </c>
      <c r="AP4127" t="s">
        <v>11056</v>
      </c>
      <c r="AQ4127" t="s">
        <v>11121</v>
      </c>
      <c r="AR4127" t="s">
        <v>11274</v>
      </c>
      <c r="AS4127" t="s">
        <v>9926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</row>
    <row r="4128" spans="1:59">
      <c r="A4128" s="1">
        <f>HYPERLINK("https://lsnyc.legalserver.org/matter/dynamic-profile/view/1908283","19-1908283")</f>
        <v>0</v>
      </c>
      <c r="B4128" t="s">
        <v>3017</v>
      </c>
      <c r="C4128" t="s">
        <v>7808</v>
      </c>
      <c r="D4128" t="s">
        <v>9926</v>
      </c>
      <c r="E4128" t="s">
        <v>10075</v>
      </c>
      <c r="F4128">
        <v>10456</v>
      </c>
      <c r="G4128" t="s">
        <v>10090</v>
      </c>
      <c r="H4128" t="s">
        <v>10143</v>
      </c>
      <c r="I4128" t="s">
        <v>10168</v>
      </c>
      <c r="J4128" t="s">
        <v>10210</v>
      </c>
      <c r="K4128" t="s">
        <v>10217</v>
      </c>
      <c r="M4128" t="s">
        <v>10375</v>
      </c>
      <c r="N4128" t="s">
        <v>10688</v>
      </c>
      <c r="P4128" t="s">
        <v>10752</v>
      </c>
      <c r="Q4128" t="s">
        <v>10795</v>
      </c>
      <c r="R4128" t="s">
        <v>10823</v>
      </c>
      <c r="T4128">
        <v>19574</v>
      </c>
      <c r="U4128">
        <v>1631.17</v>
      </c>
      <c r="V4128">
        <v>46</v>
      </c>
      <c r="W4128">
        <v>2</v>
      </c>
      <c r="X4128">
        <v>1</v>
      </c>
      <c r="Z4128">
        <v>91.77</v>
      </c>
      <c r="AA4128">
        <v>40.822289</v>
      </c>
      <c r="AB4128">
        <v>-73.907605</v>
      </c>
      <c r="AD4128" t="s">
        <v>10839</v>
      </c>
      <c r="AG4128" t="s">
        <v>10858</v>
      </c>
      <c r="AH4128" t="s">
        <v>10862</v>
      </c>
      <c r="AI4128">
        <v>230</v>
      </c>
      <c r="AJ4128" t="s">
        <v>10210</v>
      </c>
      <c r="AL4128">
        <v>7.15</v>
      </c>
      <c r="AM4128" t="s">
        <v>10884</v>
      </c>
      <c r="AN4128" t="s">
        <v>10918</v>
      </c>
      <c r="AO4128" t="s">
        <v>11001</v>
      </c>
      <c r="AP4128" t="s">
        <v>11062</v>
      </c>
      <c r="AR4128" t="s">
        <v>11295</v>
      </c>
      <c r="AS4128" t="s">
        <v>9926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</row>
    <row r="4129" spans="1:59">
      <c r="A4129" s="1">
        <f>HYPERLINK("https://lsnyc.legalserver.org/matter/dynamic-profile/view/1908284","19-1908284")</f>
        <v>0</v>
      </c>
      <c r="B4129" t="s">
        <v>3249</v>
      </c>
      <c r="C4129" t="s">
        <v>8183</v>
      </c>
      <c r="D4129" t="s">
        <v>9933</v>
      </c>
      <c r="E4129" t="s">
        <v>10075</v>
      </c>
      <c r="F4129">
        <v>11420</v>
      </c>
      <c r="G4129" t="s">
        <v>10092</v>
      </c>
      <c r="H4129" t="s">
        <v>10143</v>
      </c>
      <c r="I4129" t="s">
        <v>10168</v>
      </c>
      <c r="J4129" t="s">
        <v>10212</v>
      </c>
      <c r="K4129" t="s">
        <v>10217</v>
      </c>
      <c r="M4129" t="s">
        <v>10555</v>
      </c>
      <c r="N4129" t="s">
        <v>10695</v>
      </c>
      <c r="P4129" t="s">
        <v>10749</v>
      </c>
      <c r="Q4129" t="s">
        <v>10765</v>
      </c>
      <c r="R4129" t="s">
        <v>10820</v>
      </c>
      <c r="T4129">
        <v>25000</v>
      </c>
      <c r="U4129">
        <v>2083.33</v>
      </c>
      <c r="V4129">
        <v>50</v>
      </c>
      <c r="W4129">
        <v>2</v>
      </c>
      <c r="X4129">
        <v>2</v>
      </c>
      <c r="Z4129">
        <v>97.09</v>
      </c>
      <c r="AA4129">
        <v>40.668656</v>
      </c>
      <c r="AB4129">
        <v>-73.81690399999999</v>
      </c>
      <c r="AC4129" t="s">
        <v>10837</v>
      </c>
      <c r="AD4129" t="s">
        <v>10839</v>
      </c>
      <c r="AG4129" t="s">
        <v>10858</v>
      </c>
      <c r="AH4129" t="s">
        <v>10862</v>
      </c>
      <c r="AI4129">
        <v>237</v>
      </c>
      <c r="AJ4129" t="s">
        <v>10212</v>
      </c>
      <c r="AL4129">
        <v>1.4</v>
      </c>
      <c r="AM4129" t="s">
        <v>10892</v>
      </c>
      <c r="AN4129" t="s">
        <v>10930</v>
      </c>
      <c r="AO4129" t="s">
        <v>11017</v>
      </c>
      <c r="AP4129" t="s">
        <v>11088</v>
      </c>
      <c r="AR4129" t="s">
        <v>11296</v>
      </c>
      <c r="AS4129" t="s">
        <v>11594</v>
      </c>
      <c r="BA4129" t="s">
        <v>11741</v>
      </c>
      <c r="BB4129">
        <v>0</v>
      </c>
      <c r="BC4129">
        <v>0</v>
      </c>
      <c r="BD4129">
        <v>0</v>
      </c>
      <c r="BE4129">
        <v>0</v>
      </c>
      <c r="BF4129">
        <v>1</v>
      </c>
      <c r="BG4129">
        <v>0</v>
      </c>
    </row>
    <row r="4130" spans="1:59">
      <c r="A4130" s="1">
        <f>HYPERLINK("https://lsnyc.legalserver.org/matter/dynamic-profile/view/1908285","19-1908285")</f>
        <v>0</v>
      </c>
      <c r="B4130" t="s">
        <v>2521</v>
      </c>
      <c r="C4130" t="s">
        <v>8184</v>
      </c>
      <c r="D4130" t="s">
        <v>9928</v>
      </c>
      <c r="E4130" t="s">
        <v>10075</v>
      </c>
      <c r="F4130">
        <v>11233</v>
      </c>
      <c r="G4130" t="s">
        <v>10093</v>
      </c>
      <c r="H4130" t="s">
        <v>10143</v>
      </c>
      <c r="J4130" t="s">
        <v>10213</v>
      </c>
      <c r="K4130" t="s">
        <v>10217</v>
      </c>
      <c r="M4130" t="s">
        <v>10505</v>
      </c>
      <c r="N4130" t="s">
        <v>10650</v>
      </c>
      <c r="P4130" t="s">
        <v>10749</v>
      </c>
      <c r="Q4130" t="s">
        <v>10765</v>
      </c>
      <c r="R4130" t="s">
        <v>10824</v>
      </c>
      <c r="T4130">
        <v>45000</v>
      </c>
      <c r="U4130">
        <v>3750</v>
      </c>
      <c r="V4130">
        <v>47</v>
      </c>
      <c r="W4130">
        <v>2</v>
      </c>
      <c r="X4130">
        <v>2</v>
      </c>
      <c r="Z4130">
        <v>174.76</v>
      </c>
      <c r="AA4130">
        <v>40.683608</v>
      </c>
      <c r="AB4130">
        <v>-73.935452</v>
      </c>
      <c r="AD4130" t="s">
        <v>10840</v>
      </c>
      <c r="AG4130" t="s">
        <v>10858</v>
      </c>
      <c r="AH4130" t="s">
        <v>10862</v>
      </c>
      <c r="AI4130">
        <v>239</v>
      </c>
      <c r="AJ4130" t="s">
        <v>10213</v>
      </c>
      <c r="AL4130">
        <v>0</v>
      </c>
      <c r="AM4130" t="s">
        <v>10889</v>
      </c>
      <c r="AN4130" t="s">
        <v>10914</v>
      </c>
      <c r="AO4130" t="s">
        <v>11007</v>
      </c>
      <c r="AP4130" t="s">
        <v>11052</v>
      </c>
      <c r="AQ4130" t="s">
        <v>11101</v>
      </c>
      <c r="AR4130" t="s">
        <v>11257</v>
      </c>
      <c r="AS4130" t="s">
        <v>11595</v>
      </c>
      <c r="AT4130" t="s">
        <v>11642</v>
      </c>
      <c r="BA4130" t="s">
        <v>11742</v>
      </c>
      <c r="BB4130">
        <v>0</v>
      </c>
      <c r="BC4130">
        <v>0</v>
      </c>
      <c r="BD4130">
        <v>0</v>
      </c>
      <c r="BE4130">
        <v>0</v>
      </c>
      <c r="BF4130">
        <v>7</v>
      </c>
      <c r="BG4130">
        <v>0</v>
      </c>
    </row>
    <row r="4131" spans="1:59">
      <c r="A4131" s="1">
        <f>HYPERLINK("https://lsnyc.legalserver.org/matter/dynamic-profile/view/1908286","19-1908286")</f>
        <v>0</v>
      </c>
      <c r="B4131" t="s">
        <v>3389</v>
      </c>
      <c r="C4131" t="s">
        <v>8185</v>
      </c>
      <c r="D4131" t="s">
        <v>9948</v>
      </c>
      <c r="E4131" t="s">
        <v>10075</v>
      </c>
      <c r="F4131">
        <v>11691</v>
      </c>
      <c r="G4131" t="s">
        <v>10092</v>
      </c>
      <c r="H4131" t="s">
        <v>10143</v>
      </c>
      <c r="I4131" t="s">
        <v>10168</v>
      </c>
      <c r="J4131" t="s">
        <v>10212</v>
      </c>
      <c r="K4131" t="s">
        <v>10217</v>
      </c>
      <c r="M4131" t="s">
        <v>10416</v>
      </c>
      <c r="N4131" t="s">
        <v>10646</v>
      </c>
      <c r="P4131" t="s">
        <v>10749</v>
      </c>
      <c r="Q4131" t="s">
        <v>10769</v>
      </c>
      <c r="R4131" t="s">
        <v>10825</v>
      </c>
      <c r="T4131">
        <v>138144</v>
      </c>
      <c r="U4131">
        <v>11512</v>
      </c>
      <c r="V4131">
        <v>80</v>
      </c>
      <c r="W4131">
        <v>1</v>
      </c>
      <c r="X4131">
        <v>0</v>
      </c>
      <c r="Z4131">
        <v>1106.04</v>
      </c>
      <c r="AA4131">
        <v>40.602782</v>
      </c>
      <c r="AB4131">
        <v>-73.763414</v>
      </c>
      <c r="AD4131" t="s">
        <v>10839</v>
      </c>
      <c r="AG4131" t="s">
        <v>10858</v>
      </c>
      <c r="AH4131" t="s">
        <v>10871</v>
      </c>
      <c r="AI4131">
        <v>234</v>
      </c>
      <c r="AJ4131" t="s">
        <v>10214</v>
      </c>
      <c r="AL4131">
        <v>3.9</v>
      </c>
      <c r="AM4131" t="s">
        <v>10892</v>
      </c>
      <c r="AN4131" t="s">
        <v>10958</v>
      </c>
      <c r="AO4131" t="s">
        <v>11017</v>
      </c>
      <c r="AP4131" t="s">
        <v>11082</v>
      </c>
      <c r="AR4131" t="s">
        <v>11345</v>
      </c>
      <c r="AS4131" t="s">
        <v>11594</v>
      </c>
      <c r="AT4131" t="s">
        <v>11641</v>
      </c>
      <c r="AX4131" t="s">
        <v>10838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</row>
    <row r="4132" spans="1:59">
      <c r="A4132" s="1">
        <f>HYPERLINK("https://lsnyc.legalserver.org/matter/dynamic-profile/view/1908287","19-1908287")</f>
        <v>0</v>
      </c>
      <c r="B4132" t="s">
        <v>3390</v>
      </c>
      <c r="C4132" t="s">
        <v>8186</v>
      </c>
      <c r="D4132" t="s">
        <v>9928</v>
      </c>
      <c r="E4132" t="s">
        <v>10075</v>
      </c>
      <c r="F4132">
        <v>11207</v>
      </c>
      <c r="G4132" t="s">
        <v>10093</v>
      </c>
      <c r="H4132" t="s">
        <v>10143</v>
      </c>
      <c r="I4132" t="s">
        <v>10168</v>
      </c>
      <c r="J4132" t="s">
        <v>10213</v>
      </c>
      <c r="K4132" t="s">
        <v>10217</v>
      </c>
      <c r="M4132" t="s">
        <v>10564</v>
      </c>
      <c r="N4132" t="s">
        <v>10646</v>
      </c>
      <c r="P4132" t="s">
        <v>10749</v>
      </c>
      <c r="Q4132" t="s">
        <v>10765</v>
      </c>
      <c r="R4132" t="s">
        <v>10821</v>
      </c>
      <c r="T4132">
        <v>50960</v>
      </c>
      <c r="U4132">
        <v>4246.67</v>
      </c>
      <c r="V4132">
        <v>50</v>
      </c>
      <c r="W4132">
        <v>2</v>
      </c>
      <c r="X4132">
        <v>0</v>
      </c>
      <c r="Z4132">
        <v>301.36</v>
      </c>
      <c r="AA4132">
        <v>40.668567</v>
      </c>
      <c r="AB4132">
        <v>-73.896254</v>
      </c>
      <c r="AC4132" t="s">
        <v>10838</v>
      </c>
      <c r="AD4132" t="s">
        <v>10839</v>
      </c>
      <c r="AG4132" t="s">
        <v>10858</v>
      </c>
      <c r="AH4132" t="s">
        <v>10861</v>
      </c>
      <c r="AI4132">
        <v>234</v>
      </c>
      <c r="AJ4132" t="s">
        <v>10214</v>
      </c>
      <c r="AL4132">
        <v>0.5</v>
      </c>
      <c r="AM4132" t="s">
        <v>10889</v>
      </c>
      <c r="AN4132" t="s">
        <v>10946</v>
      </c>
      <c r="AO4132" t="s">
        <v>11012</v>
      </c>
      <c r="AP4132" t="s">
        <v>11060</v>
      </c>
      <c r="AR4132" t="s">
        <v>11257</v>
      </c>
      <c r="AS4132" t="s">
        <v>11595</v>
      </c>
      <c r="AT4132" t="s">
        <v>11641</v>
      </c>
      <c r="AX4132" t="s">
        <v>11678</v>
      </c>
      <c r="BA4132" t="s">
        <v>11741</v>
      </c>
      <c r="BB4132">
        <v>0</v>
      </c>
      <c r="BC4132">
        <v>0</v>
      </c>
      <c r="BD4132">
        <v>0</v>
      </c>
      <c r="BE4132">
        <v>0</v>
      </c>
      <c r="BF4132">
        <v>1</v>
      </c>
      <c r="BG4132">
        <v>0</v>
      </c>
    </row>
    <row r="4133" spans="1:59">
      <c r="A4133" s="1">
        <f>HYPERLINK("https://lsnyc.legalserver.org/matter/dynamic-profile/view/1908288","19-1908288")</f>
        <v>0</v>
      </c>
      <c r="B4133" t="s">
        <v>3391</v>
      </c>
      <c r="C4133" t="s">
        <v>8187</v>
      </c>
      <c r="D4133" t="s">
        <v>9937</v>
      </c>
      <c r="E4133" t="s">
        <v>10075</v>
      </c>
      <c r="F4133">
        <v>11412</v>
      </c>
      <c r="G4133" t="s">
        <v>10092</v>
      </c>
      <c r="H4133" t="s">
        <v>10143</v>
      </c>
      <c r="I4133" t="s">
        <v>10168</v>
      </c>
      <c r="J4133" t="s">
        <v>10212</v>
      </c>
      <c r="K4133" t="s">
        <v>10217</v>
      </c>
      <c r="M4133" t="s">
        <v>10473</v>
      </c>
      <c r="N4133" t="s">
        <v>10678</v>
      </c>
      <c r="P4133" t="s">
        <v>10749</v>
      </c>
      <c r="Q4133" t="s">
        <v>10769</v>
      </c>
      <c r="R4133" t="s">
        <v>10824</v>
      </c>
      <c r="T4133">
        <v>65964</v>
      </c>
      <c r="U4133">
        <v>5497</v>
      </c>
      <c r="V4133">
        <v>62</v>
      </c>
      <c r="W4133">
        <v>3</v>
      </c>
      <c r="X4133">
        <v>0</v>
      </c>
      <c r="Z4133">
        <v>309.25</v>
      </c>
      <c r="AA4133">
        <v>40.695717</v>
      </c>
      <c r="AB4133">
        <v>-73.766747</v>
      </c>
      <c r="AD4133" t="s">
        <v>10839</v>
      </c>
      <c r="AG4133" t="s">
        <v>10858</v>
      </c>
      <c r="AH4133" t="s">
        <v>10861</v>
      </c>
      <c r="AI4133">
        <v>234</v>
      </c>
      <c r="AJ4133" t="s">
        <v>10214</v>
      </c>
      <c r="AL4133">
        <v>5.2</v>
      </c>
      <c r="AM4133" t="s">
        <v>10892</v>
      </c>
      <c r="AN4133" t="s">
        <v>10940</v>
      </c>
      <c r="AO4133" t="s">
        <v>11020</v>
      </c>
      <c r="AP4133" t="s">
        <v>11075</v>
      </c>
      <c r="AR4133" t="s">
        <v>11532</v>
      </c>
      <c r="AS4133" t="s">
        <v>11594</v>
      </c>
      <c r="AT4133" t="s">
        <v>11641</v>
      </c>
      <c r="AX4133" t="s">
        <v>10838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</row>
    <row r="4134" spans="1:59">
      <c r="A4134" s="1">
        <f>HYPERLINK("https://lsnyc.legalserver.org/matter/dynamic-profile/view/1908289","19-1908289")</f>
        <v>0</v>
      </c>
      <c r="B4134" t="s">
        <v>3392</v>
      </c>
      <c r="C4134" t="s">
        <v>7025</v>
      </c>
      <c r="D4134" t="s">
        <v>9928</v>
      </c>
      <c r="E4134" t="s">
        <v>10075</v>
      </c>
      <c r="F4134">
        <v>11235</v>
      </c>
      <c r="G4134" t="s">
        <v>10091</v>
      </c>
      <c r="H4134" t="s">
        <v>10143</v>
      </c>
      <c r="I4134" t="s">
        <v>10168</v>
      </c>
      <c r="J4134" t="s">
        <v>10214</v>
      </c>
      <c r="K4134" t="s">
        <v>10217</v>
      </c>
      <c r="M4134" t="s">
        <v>10608</v>
      </c>
      <c r="N4134" t="s">
        <v>10646</v>
      </c>
      <c r="P4134" t="s">
        <v>10754</v>
      </c>
      <c r="Q4134" t="s">
        <v>10775</v>
      </c>
      <c r="R4134" t="s">
        <v>10820</v>
      </c>
      <c r="T4134">
        <v>45108</v>
      </c>
      <c r="U4134">
        <v>3759</v>
      </c>
      <c r="V4134">
        <v>63</v>
      </c>
      <c r="W4134">
        <v>1</v>
      </c>
      <c r="X4134">
        <v>0</v>
      </c>
      <c r="Z4134">
        <v>361.15</v>
      </c>
      <c r="AA4134">
        <v>40.577685</v>
      </c>
      <c r="AB4134">
        <v>-73.954787</v>
      </c>
      <c r="AC4134" t="s">
        <v>10837</v>
      </c>
      <c r="AD4134" t="s">
        <v>10840</v>
      </c>
      <c r="AG4134" t="s">
        <v>10858</v>
      </c>
      <c r="AH4134" t="s">
        <v>10861</v>
      </c>
      <c r="AI4134">
        <v>234</v>
      </c>
      <c r="AJ4134" t="s">
        <v>10214</v>
      </c>
      <c r="AL4134">
        <v>0.5</v>
      </c>
      <c r="AM4134" t="s">
        <v>10889</v>
      </c>
      <c r="AN4134" t="s">
        <v>10965</v>
      </c>
      <c r="AO4134" t="s">
        <v>11006</v>
      </c>
      <c r="AP4134" t="s">
        <v>11092</v>
      </c>
      <c r="AR4134" t="s">
        <v>11363</v>
      </c>
      <c r="AS4134" t="s">
        <v>11595</v>
      </c>
      <c r="AT4134" t="s">
        <v>11642</v>
      </c>
      <c r="AX4134" t="s">
        <v>10838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</row>
    <row r="4135" spans="1:59">
      <c r="A4135" s="1">
        <f>HYPERLINK("https://lsnyc.legalserver.org/matter/dynamic-profile/view/1908290","19-1908290")</f>
        <v>0</v>
      </c>
      <c r="B4135" t="s">
        <v>3393</v>
      </c>
      <c r="C4135" t="s">
        <v>8188</v>
      </c>
      <c r="D4135" t="s">
        <v>9956</v>
      </c>
      <c r="E4135" t="s">
        <v>10075</v>
      </c>
      <c r="F4135">
        <v>11365</v>
      </c>
      <c r="G4135" t="s">
        <v>10092</v>
      </c>
      <c r="H4135" t="s">
        <v>10143</v>
      </c>
      <c r="I4135" t="s">
        <v>10168</v>
      </c>
      <c r="J4135" t="s">
        <v>10212</v>
      </c>
      <c r="K4135" t="s">
        <v>10218</v>
      </c>
      <c r="L4135" t="s">
        <v>10167</v>
      </c>
      <c r="M4135" t="s">
        <v>10258</v>
      </c>
      <c r="N4135" t="s">
        <v>10650</v>
      </c>
      <c r="P4135" t="s">
        <v>10749</v>
      </c>
      <c r="Q4135" t="s">
        <v>10765</v>
      </c>
      <c r="R4135" t="s">
        <v>10824</v>
      </c>
      <c r="T4135">
        <v>15012</v>
      </c>
      <c r="U4135">
        <v>1251</v>
      </c>
      <c r="V4135">
        <v>69</v>
      </c>
      <c r="W4135">
        <v>1</v>
      </c>
      <c r="X4135">
        <v>0</v>
      </c>
      <c r="Y4135" t="s">
        <v>10830</v>
      </c>
      <c r="Z4135">
        <v>120.19</v>
      </c>
      <c r="AA4135">
        <v>40.740361</v>
      </c>
      <c r="AB4135">
        <v>-73.782223</v>
      </c>
      <c r="AD4135" t="s">
        <v>10840</v>
      </c>
      <c r="AG4135" t="s">
        <v>10858</v>
      </c>
      <c r="AH4135" t="s">
        <v>10862</v>
      </c>
      <c r="AI4135">
        <v>237</v>
      </c>
      <c r="AJ4135" t="s">
        <v>10212</v>
      </c>
      <c r="AK4135" t="s">
        <v>10882</v>
      </c>
      <c r="AL4135">
        <v>0.71</v>
      </c>
      <c r="AM4135" t="s">
        <v>10890</v>
      </c>
      <c r="AN4135" t="s">
        <v>10934</v>
      </c>
      <c r="AO4135" t="s">
        <v>11009</v>
      </c>
      <c r="AP4135" t="s">
        <v>11078</v>
      </c>
      <c r="AR4135" t="s">
        <v>11263</v>
      </c>
      <c r="AS4135" t="s">
        <v>11594</v>
      </c>
      <c r="AY4135" t="s">
        <v>10830</v>
      </c>
      <c r="AZ4135" t="s">
        <v>11690</v>
      </c>
      <c r="BA4135" t="s">
        <v>11740</v>
      </c>
      <c r="BB4135">
        <v>0</v>
      </c>
      <c r="BC4135">
        <v>0</v>
      </c>
      <c r="BD4135">
        <v>0</v>
      </c>
      <c r="BE4135">
        <v>0</v>
      </c>
      <c r="BF4135">
        <v>2</v>
      </c>
      <c r="BG4135">
        <v>0</v>
      </c>
    </row>
    <row r="4136" spans="1:59">
      <c r="A4136" s="1">
        <f>HYPERLINK("https://lsnyc.legalserver.org/matter/dynamic-profile/view/1908291","19-1908291")</f>
        <v>0</v>
      </c>
      <c r="B4136" t="s">
        <v>3394</v>
      </c>
      <c r="C4136" t="s">
        <v>8189</v>
      </c>
      <c r="D4136" t="s">
        <v>9926</v>
      </c>
      <c r="E4136" t="s">
        <v>10075</v>
      </c>
      <c r="F4136">
        <v>10452</v>
      </c>
      <c r="G4136" t="s">
        <v>10090</v>
      </c>
      <c r="H4136" t="s">
        <v>10143</v>
      </c>
      <c r="I4136" t="s">
        <v>10168</v>
      </c>
      <c r="J4136" t="s">
        <v>10210</v>
      </c>
      <c r="K4136" t="s">
        <v>10218</v>
      </c>
      <c r="L4136" t="s">
        <v>10108</v>
      </c>
      <c r="M4136" t="s">
        <v>10463</v>
      </c>
      <c r="N4136" t="s">
        <v>10650</v>
      </c>
      <c r="P4136" t="s">
        <v>10749</v>
      </c>
      <c r="Q4136" t="s">
        <v>10765</v>
      </c>
      <c r="R4136" t="s">
        <v>10824</v>
      </c>
      <c r="T4136">
        <v>9252</v>
      </c>
      <c r="U4136">
        <v>771</v>
      </c>
      <c r="V4136">
        <v>60</v>
      </c>
      <c r="W4136">
        <v>1</v>
      </c>
      <c r="X4136">
        <v>0</v>
      </c>
      <c r="Y4136" t="s">
        <v>10829</v>
      </c>
      <c r="Z4136">
        <v>74.08</v>
      </c>
      <c r="AA4136">
        <v>40.844299</v>
      </c>
      <c r="AB4136">
        <v>-73.912852</v>
      </c>
      <c r="AD4136" t="s">
        <v>10839</v>
      </c>
      <c r="AG4136" t="s">
        <v>10858</v>
      </c>
      <c r="AH4136" t="s">
        <v>10861</v>
      </c>
      <c r="AI4136">
        <v>230</v>
      </c>
      <c r="AJ4136" t="s">
        <v>10210</v>
      </c>
      <c r="AK4136" t="s">
        <v>10882</v>
      </c>
      <c r="AL4136">
        <v>0.1</v>
      </c>
      <c r="AM4136" t="s">
        <v>10884</v>
      </c>
      <c r="AN4136" t="s">
        <v>10929</v>
      </c>
      <c r="AO4136" t="s">
        <v>11000</v>
      </c>
      <c r="AP4136" t="s">
        <v>11045</v>
      </c>
      <c r="AR4136" t="s">
        <v>11296</v>
      </c>
      <c r="AS4136" t="s">
        <v>9926</v>
      </c>
      <c r="AY4136" t="s">
        <v>10829</v>
      </c>
      <c r="AZ4136" t="s">
        <v>11681</v>
      </c>
      <c r="BA4136" t="s">
        <v>11741</v>
      </c>
      <c r="BB4136">
        <v>0</v>
      </c>
      <c r="BC4136">
        <v>0</v>
      </c>
      <c r="BD4136">
        <v>0</v>
      </c>
      <c r="BE4136">
        <v>0</v>
      </c>
      <c r="BF4136">
        <v>1</v>
      </c>
      <c r="BG4136">
        <v>0</v>
      </c>
    </row>
    <row r="4137" spans="1:59">
      <c r="A4137" s="1">
        <f>HYPERLINK("https://lsnyc.legalserver.org/matter/dynamic-profile/view/1908292","19-1908292")</f>
        <v>0</v>
      </c>
      <c r="B4137" t="s">
        <v>3395</v>
      </c>
      <c r="C4137" t="s">
        <v>8190</v>
      </c>
      <c r="D4137" t="s">
        <v>9938</v>
      </c>
      <c r="E4137" t="s">
        <v>10075</v>
      </c>
      <c r="F4137">
        <v>11432</v>
      </c>
      <c r="G4137" t="s">
        <v>10092</v>
      </c>
      <c r="H4137" t="s">
        <v>10143</v>
      </c>
      <c r="I4137" t="s">
        <v>10169</v>
      </c>
      <c r="J4137" t="s">
        <v>10212</v>
      </c>
      <c r="K4137" t="s">
        <v>10218</v>
      </c>
      <c r="L4137" t="s">
        <v>10143</v>
      </c>
      <c r="M4137" t="s">
        <v>10340</v>
      </c>
      <c r="N4137" t="s">
        <v>10694</v>
      </c>
      <c r="P4137" t="s">
        <v>10751</v>
      </c>
      <c r="Q4137" t="s">
        <v>10768</v>
      </c>
      <c r="R4137" t="s">
        <v>10821</v>
      </c>
      <c r="T4137">
        <v>1320</v>
      </c>
      <c r="U4137">
        <v>110</v>
      </c>
      <c r="V4137">
        <v>53</v>
      </c>
      <c r="W4137">
        <v>1</v>
      </c>
      <c r="X4137">
        <v>0</v>
      </c>
      <c r="Y4137" t="s">
        <v>10829</v>
      </c>
      <c r="Z4137">
        <v>10.57</v>
      </c>
      <c r="AA4137">
        <v>40.710286</v>
      </c>
      <c r="AB4137">
        <v>-73.788443</v>
      </c>
      <c r="AD4137" t="s">
        <v>10840</v>
      </c>
      <c r="AG4137" t="s">
        <v>10858</v>
      </c>
      <c r="AH4137" t="s">
        <v>10861</v>
      </c>
      <c r="AI4137">
        <v>237</v>
      </c>
      <c r="AJ4137" t="s">
        <v>10212</v>
      </c>
      <c r="AK4137" t="s">
        <v>10838</v>
      </c>
      <c r="AL4137">
        <v>1.1</v>
      </c>
      <c r="AM4137" t="s">
        <v>10892</v>
      </c>
      <c r="AN4137" t="s">
        <v>10955</v>
      </c>
      <c r="AO4137" t="s">
        <v>11020</v>
      </c>
      <c r="AP4137" t="s">
        <v>11075</v>
      </c>
      <c r="AR4137" t="s">
        <v>11387</v>
      </c>
      <c r="AS4137" t="s">
        <v>11594</v>
      </c>
      <c r="AY4137" t="s">
        <v>10829</v>
      </c>
      <c r="AZ4137" t="s">
        <v>11682</v>
      </c>
      <c r="BA4137" t="s">
        <v>11741</v>
      </c>
      <c r="BB4137">
        <v>0</v>
      </c>
      <c r="BC4137">
        <v>0</v>
      </c>
      <c r="BD4137">
        <v>0</v>
      </c>
      <c r="BE4137">
        <v>0</v>
      </c>
      <c r="BF4137">
        <v>1</v>
      </c>
      <c r="BG4137">
        <v>0</v>
      </c>
    </row>
    <row r="4138" spans="1:59">
      <c r="A4138" s="1">
        <f>HYPERLINK("https://lsnyc.legalserver.org/matter/dynamic-profile/view/1908294","19-1908294")</f>
        <v>0</v>
      </c>
      <c r="B4138" t="s">
        <v>3396</v>
      </c>
      <c r="C4138" t="s">
        <v>8191</v>
      </c>
      <c r="D4138" t="s">
        <v>9925</v>
      </c>
      <c r="E4138" t="s">
        <v>10075</v>
      </c>
      <c r="F4138">
        <v>10027</v>
      </c>
      <c r="G4138" t="s">
        <v>10089</v>
      </c>
      <c r="H4138" t="s">
        <v>10143</v>
      </c>
      <c r="I4138" t="s">
        <v>10168</v>
      </c>
      <c r="J4138" t="s">
        <v>10209</v>
      </c>
      <c r="K4138" t="s">
        <v>10217</v>
      </c>
      <c r="M4138" t="s">
        <v>10332</v>
      </c>
      <c r="N4138" t="s">
        <v>10691</v>
      </c>
      <c r="P4138" t="s">
        <v>10749</v>
      </c>
      <c r="Q4138" t="s">
        <v>10765</v>
      </c>
      <c r="R4138" t="s">
        <v>10820</v>
      </c>
      <c r="T4138">
        <v>0</v>
      </c>
      <c r="U4138">
        <v>0</v>
      </c>
      <c r="V4138">
        <v>30</v>
      </c>
      <c r="W4138">
        <v>1</v>
      </c>
      <c r="X4138">
        <v>0</v>
      </c>
      <c r="Z4138">
        <v>0</v>
      </c>
      <c r="AA4138">
        <v>40.81363</v>
      </c>
      <c r="AB4138">
        <v>-73.961279</v>
      </c>
      <c r="AC4138" t="s">
        <v>10837</v>
      </c>
      <c r="AD4138" t="s">
        <v>10840</v>
      </c>
      <c r="AG4138" t="s">
        <v>10858</v>
      </c>
      <c r="AH4138" t="s">
        <v>10861</v>
      </c>
      <c r="AI4138">
        <v>234</v>
      </c>
      <c r="AJ4138" t="s">
        <v>10214</v>
      </c>
      <c r="AL4138">
        <v>1.85</v>
      </c>
      <c r="AM4138" t="s">
        <v>10887</v>
      </c>
      <c r="AN4138" t="s">
        <v>10936</v>
      </c>
      <c r="AO4138" t="s">
        <v>11016</v>
      </c>
      <c r="AP4138" t="s">
        <v>11073</v>
      </c>
      <c r="AR4138" t="s">
        <v>11267</v>
      </c>
      <c r="AS4138" t="s">
        <v>9925</v>
      </c>
      <c r="AT4138" t="s">
        <v>11642</v>
      </c>
      <c r="AX4138" t="s">
        <v>10838</v>
      </c>
      <c r="BA4138" t="s">
        <v>11742</v>
      </c>
      <c r="BB4138">
        <v>0</v>
      </c>
      <c r="BC4138">
        <v>0</v>
      </c>
      <c r="BD4138">
        <v>0</v>
      </c>
      <c r="BE4138">
        <v>0</v>
      </c>
      <c r="BF4138">
        <v>7</v>
      </c>
      <c r="BG4138">
        <v>0</v>
      </c>
    </row>
    <row r="4139" spans="1:59">
      <c r="A4139" s="1">
        <f>HYPERLINK("https://lsnyc.legalserver.org/matter/dynamic-profile/view/1908295","19-1908295")</f>
        <v>0</v>
      </c>
      <c r="B4139" t="s">
        <v>3397</v>
      </c>
      <c r="C4139" t="s">
        <v>8192</v>
      </c>
      <c r="D4139" t="s">
        <v>9938</v>
      </c>
      <c r="E4139" t="s">
        <v>10075</v>
      </c>
      <c r="F4139">
        <v>11433</v>
      </c>
      <c r="G4139" t="s">
        <v>10092</v>
      </c>
      <c r="H4139" t="s">
        <v>10143</v>
      </c>
      <c r="I4139" t="s">
        <v>10168</v>
      </c>
      <c r="J4139" t="s">
        <v>10212</v>
      </c>
      <c r="K4139" t="s">
        <v>10217</v>
      </c>
      <c r="M4139" t="s">
        <v>10609</v>
      </c>
      <c r="N4139" t="s">
        <v>10671</v>
      </c>
      <c r="P4139" t="s">
        <v>10751</v>
      </c>
      <c r="Q4139" t="s">
        <v>10780</v>
      </c>
      <c r="R4139" t="s">
        <v>10821</v>
      </c>
      <c r="T4139">
        <v>0</v>
      </c>
      <c r="U4139">
        <v>0</v>
      </c>
      <c r="V4139">
        <v>19</v>
      </c>
      <c r="W4139">
        <v>1</v>
      </c>
      <c r="X4139">
        <v>0</v>
      </c>
      <c r="Z4139">
        <v>0</v>
      </c>
      <c r="AA4139">
        <v>40.699066</v>
      </c>
      <c r="AB4139">
        <v>-73.791693</v>
      </c>
      <c r="AD4139" t="s">
        <v>10839</v>
      </c>
      <c r="AG4139" t="s">
        <v>10858</v>
      </c>
      <c r="AH4139" t="s">
        <v>10871</v>
      </c>
      <c r="AI4139">
        <v>234</v>
      </c>
      <c r="AJ4139" t="s">
        <v>10214</v>
      </c>
      <c r="AL4139">
        <v>22.7</v>
      </c>
      <c r="AM4139" t="s">
        <v>10892</v>
      </c>
      <c r="AN4139" t="s">
        <v>10951</v>
      </c>
      <c r="AO4139" t="s">
        <v>11020</v>
      </c>
      <c r="AP4139" t="s">
        <v>11075</v>
      </c>
      <c r="AR4139" t="s">
        <v>11267</v>
      </c>
      <c r="AS4139" t="s">
        <v>11594</v>
      </c>
      <c r="AT4139" t="s">
        <v>11641</v>
      </c>
      <c r="AX4139" t="s">
        <v>10838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</row>
    <row r="4140" spans="1:59">
      <c r="A4140" s="1">
        <f>HYPERLINK("https://lsnyc.legalserver.org/matter/dynamic-profile/view/1908296","19-1908296")</f>
        <v>0</v>
      </c>
      <c r="B4140" t="s">
        <v>3398</v>
      </c>
      <c r="C4140" t="s">
        <v>8193</v>
      </c>
      <c r="D4140" t="s">
        <v>9926</v>
      </c>
      <c r="E4140" t="s">
        <v>10075</v>
      </c>
      <c r="F4140">
        <v>10451</v>
      </c>
      <c r="G4140" t="s">
        <v>10091</v>
      </c>
      <c r="H4140" t="s">
        <v>10143</v>
      </c>
      <c r="I4140" t="s">
        <v>10168</v>
      </c>
      <c r="J4140" t="s">
        <v>10214</v>
      </c>
      <c r="K4140" t="s">
        <v>10217</v>
      </c>
      <c r="M4140" t="s">
        <v>10286</v>
      </c>
      <c r="N4140" t="s">
        <v>10646</v>
      </c>
      <c r="P4140" t="s">
        <v>10751</v>
      </c>
      <c r="Q4140" t="s">
        <v>10768</v>
      </c>
      <c r="R4140" t="s">
        <v>10821</v>
      </c>
      <c r="T4140">
        <v>36160.8</v>
      </c>
      <c r="U4140">
        <v>3013.4</v>
      </c>
      <c r="V4140">
        <v>61</v>
      </c>
      <c r="W4140">
        <v>1</v>
      </c>
      <c r="X4140">
        <v>0</v>
      </c>
      <c r="Z4140">
        <v>289.52</v>
      </c>
      <c r="AA4140">
        <v>40.822662</v>
      </c>
      <c r="AB4140">
        <v>-73.915418</v>
      </c>
      <c r="AD4140" t="s">
        <v>10839</v>
      </c>
      <c r="AG4140" t="s">
        <v>10858</v>
      </c>
      <c r="AH4140" t="s">
        <v>10861</v>
      </c>
      <c r="AI4140">
        <v>234</v>
      </c>
      <c r="AJ4140" t="s">
        <v>10214</v>
      </c>
      <c r="AL4140">
        <v>0</v>
      </c>
      <c r="AM4140" t="s">
        <v>10884</v>
      </c>
      <c r="AN4140" t="s">
        <v>10918</v>
      </c>
      <c r="AO4140" t="s">
        <v>11001</v>
      </c>
      <c r="AP4140" t="s">
        <v>11062</v>
      </c>
      <c r="AR4140" t="s">
        <v>11257</v>
      </c>
      <c r="AS4140" t="s">
        <v>9926</v>
      </c>
      <c r="AT4140" t="s">
        <v>11641</v>
      </c>
      <c r="AX4140" t="s">
        <v>10838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</row>
    <row r="4141" spans="1:59">
      <c r="A4141" s="1">
        <f>HYPERLINK("https://lsnyc.legalserver.org/matter/dynamic-profile/view/1908297","19-1908297")</f>
        <v>0</v>
      </c>
      <c r="B4141" t="s">
        <v>3399</v>
      </c>
      <c r="C4141" t="s">
        <v>8194</v>
      </c>
      <c r="D4141" t="s">
        <v>9929</v>
      </c>
      <c r="E4141" t="s">
        <v>10075</v>
      </c>
      <c r="F4141">
        <v>10303</v>
      </c>
      <c r="G4141" t="s">
        <v>10088</v>
      </c>
      <c r="H4141" t="s">
        <v>10143</v>
      </c>
      <c r="I4141" t="s">
        <v>10168</v>
      </c>
      <c r="J4141" t="s">
        <v>10208</v>
      </c>
      <c r="K4141" t="s">
        <v>10217</v>
      </c>
      <c r="M4141" t="s">
        <v>10542</v>
      </c>
      <c r="N4141" t="s">
        <v>10729</v>
      </c>
      <c r="P4141" t="s">
        <v>10754</v>
      </c>
      <c r="Q4141" t="s">
        <v>10770</v>
      </c>
      <c r="R4141" t="s">
        <v>10824</v>
      </c>
      <c r="T4141">
        <v>57000</v>
      </c>
      <c r="U4141">
        <v>4750</v>
      </c>
      <c r="V4141">
        <v>42</v>
      </c>
      <c r="W4141">
        <v>1</v>
      </c>
      <c r="X4141">
        <v>3</v>
      </c>
      <c r="Z4141">
        <v>221.36</v>
      </c>
      <c r="AA4141">
        <v>40.622507</v>
      </c>
      <c r="AB4141">
        <v>-74.158322</v>
      </c>
      <c r="AD4141" t="s">
        <v>10839</v>
      </c>
      <c r="AG4141" t="s">
        <v>10858</v>
      </c>
      <c r="AH4141" t="s">
        <v>10865</v>
      </c>
      <c r="AI4141">
        <v>285</v>
      </c>
      <c r="AJ4141" t="s">
        <v>10208</v>
      </c>
      <c r="AL4141">
        <v>2.4</v>
      </c>
      <c r="AM4141" t="s">
        <v>10883</v>
      </c>
      <c r="AN4141" t="s">
        <v>10913</v>
      </c>
      <c r="AO4141" t="s">
        <v>11006</v>
      </c>
      <c r="AP4141" t="s">
        <v>11051</v>
      </c>
      <c r="AR4141" t="s">
        <v>11257</v>
      </c>
      <c r="AS4141" t="s">
        <v>11593</v>
      </c>
      <c r="AT4141" t="s">
        <v>11641</v>
      </c>
      <c r="AX4141" t="s">
        <v>10838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</row>
    <row r="4142" spans="1:59">
      <c r="A4142" s="1">
        <f>HYPERLINK("https://lsnyc.legalserver.org/matter/dynamic-profile/view/1908298","19-1908298")</f>
        <v>0</v>
      </c>
      <c r="B4142" t="s">
        <v>2678</v>
      </c>
      <c r="C4142" t="s">
        <v>7461</v>
      </c>
      <c r="D4142" t="s">
        <v>9926</v>
      </c>
      <c r="E4142" t="s">
        <v>10075</v>
      </c>
      <c r="F4142">
        <v>10470</v>
      </c>
      <c r="G4142" t="s">
        <v>10090</v>
      </c>
      <c r="H4142" t="s">
        <v>10143</v>
      </c>
      <c r="I4142" t="s">
        <v>10168</v>
      </c>
      <c r="J4142" t="s">
        <v>10210</v>
      </c>
      <c r="K4142" t="s">
        <v>10218</v>
      </c>
      <c r="L4142" t="s">
        <v>10108</v>
      </c>
      <c r="M4142" t="s">
        <v>10463</v>
      </c>
      <c r="N4142" t="s">
        <v>10650</v>
      </c>
      <c r="P4142" t="s">
        <v>10749</v>
      </c>
      <c r="Q4142" t="s">
        <v>10765</v>
      </c>
      <c r="R4142" t="s">
        <v>10824</v>
      </c>
      <c r="T4142">
        <v>0</v>
      </c>
      <c r="U4142">
        <v>0</v>
      </c>
      <c r="V4142">
        <v>62</v>
      </c>
      <c r="W4142">
        <v>1</v>
      </c>
      <c r="X4142">
        <v>0</v>
      </c>
      <c r="Y4142" t="s">
        <v>10829</v>
      </c>
      <c r="Z4142">
        <v>0</v>
      </c>
      <c r="AA4142">
        <v>40.905036</v>
      </c>
      <c r="AB4142">
        <v>-73.85033</v>
      </c>
      <c r="AD4142" t="s">
        <v>10839</v>
      </c>
      <c r="AG4142" t="s">
        <v>10858</v>
      </c>
      <c r="AH4142" t="s">
        <v>10862</v>
      </c>
      <c r="AI4142">
        <v>230</v>
      </c>
      <c r="AJ4142" t="s">
        <v>10210</v>
      </c>
      <c r="AK4142" t="s">
        <v>10838</v>
      </c>
      <c r="AL4142">
        <v>0.1</v>
      </c>
      <c r="AM4142" t="s">
        <v>10893</v>
      </c>
      <c r="AN4142" t="s">
        <v>10919</v>
      </c>
      <c r="AO4142" t="s">
        <v>11010</v>
      </c>
      <c r="AP4142" t="s">
        <v>11057</v>
      </c>
      <c r="AR4142" t="s">
        <v>11267</v>
      </c>
      <c r="AS4142" t="s">
        <v>9926</v>
      </c>
      <c r="AY4142" t="s">
        <v>10829</v>
      </c>
      <c r="AZ4142" t="s">
        <v>11681</v>
      </c>
      <c r="BA4142" t="s">
        <v>11741</v>
      </c>
      <c r="BB4142">
        <v>0</v>
      </c>
      <c r="BC4142">
        <v>0</v>
      </c>
      <c r="BD4142">
        <v>0</v>
      </c>
      <c r="BE4142">
        <v>0</v>
      </c>
      <c r="BF4142">
        <v>1</v>
      </c>
      <c r="BG4142">
        <v>0</v>
      </c>
    </row>
    <row r="4143" spans="1:59">
      <c r="A4143" s="1">
        <f>HYPERLINK("https://lsnyc.legalserver.org/matter/dynamic-profile/view/1908299","19-1908299")</f>
        <v>0</v>
      </c>
      <c r="B4143" t="s">
        <v>3400</v>
      </c>
      <c r="C4143" t="s">
        <v>8195</v>
      </c>
      <c r="D4143" t="s">
        <v>9938</v>
      </c>
      <c r="E4143" t="s">
        <v>10075</v>
      </c>
      <c r="F4143">
        <v>11432</v>
      </c>
      <c r="G4143" t="s">
        <v>10092</v>
      </c>
      <c r="H4143" t="s">
        <v>10143</v>
      </c>
      <c r="I4143" t="s">
        <v>10168</v>
      </c>
      <c r="J4143" t="s">
        <v>10212</v>
      </c>
      <c r="K4143" t="s">
        <v>10217</v>
      </c>
      <c r="M4143" t="s">
        <v>10527</v>
      </c>
      <c r="N4143" t="s">
        <v>10671</v>
      </c>
      <c r="P4143" t="s">
        <v>10751</v>
      </c>
      <c r="Q4143" t="s">
        <v>10768</v>
      </c>
      <c r="R4143" t="s">
        <v>10823</v>
      </c>
      <c r="T4143">
        <v>10400</v>
      </c>
      <c r="U4143">
        <v>866.67</v>
      </c>
      <c r="V4143">
        <v>19</v>
      </c>
      <c r="W4143">
        <v>2</v>
      </c>
      <c r="X4143">
        <v>0</v>
      </c>
      <c r="Z4143">
        <v>61.5</v>
      </c>
      <c r="AA4143">
        <v>40.706159</v>
      </c>
      <c r="AB4143">
        <v>-73.80058200000001</v>
      </c>
      <c r="AD4143" t="s">
        <v>10840</v>
      </c>
      <c r="AG4143" t="s">
        <v>10858</v>
      </c>
      <c r="AH4143" t="s">
        <v>10871</v>
      </c>
      <c r="AI4143">
        <v>234</v>
      </c>
      <c r="AJ4143" t="s">
        <v>10214</v>
      </c>
      <c r="AL4143">
        <v>4.36</v>
      </c>
      <c r="AM4143" t="s">
        <v>10892</v>
      </c>
      <c r="AN4143" t="s">
        <v>10951</v>
      </c>
      <c r="AO4143" t="s">
        <v>11020</v>
      </c>
      <c r="AP4143" t="s">
        <v>11081</v>
      </c>
      <c r="AR4143" t="s">
        <v>11257</v>
      </c>
      <c r="AS4143" t="s">
        <v>11594</v>
      </c>
      <c r="AT4143" t="s">
        <v>11642</v>
      </c>
      <c r="AX4143" t="s">
        <v>10838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</row>
    <row r="4144" spans="1:59">
      <c r="A4144" s="1">
        <f>HYPERLINK("https://lsnyc.legalserver.org/matter/dynamic-profile/view/1908300","19-1908300")</f>
        <v>0</v>
      </c>
      <c r="B4144" t="s">
        <v>3270</v>
      </c>
      <c r="C4144" t="s">
        <v>8059</v>
      </c>
      <c r="D4144" t="s">
        <v>9926</v>
      </c>
      <c r="E4144" t="s">
        <v>10075</v>
      </c>
      <c r="F4144">
        <v>10453</v>
      </c>
      <c r="G4144" t="s">
        <v>10090</v>
      </c>
      <c r="H4144" t="s">
        <v>10143</v>
      </c>
      <c r="I4144" t="s">
        <v>10169</v>
      </c>
      <c r="J4144" t="s">
        <v>10210</v>
      </c>
      <c r="K4144" t="s">
        <v>10218</v>
      </c>
      <c r="L4144" t="s">
        <v>10156</v>
      </c>
      <c r="M4144" t="s">
        <v>10272</v>
      </c>
      <c r="N4144" t="s">
        <v>10671</v>
      </c>
      <c r="P4144" t="s">
        <v>10751</v>
      </c>
      <c r="Q4144" t="s">
        <v>10761</v>
      </c>
      <c r="R4144" t="s">
        <v>10821</v>
      </c>
      <c r="T4144">
        <v>2880</v>
      </c>
      <c r="U4144">
        <v>240</v>
      </c>
      <c r="V4144">
        <v>55</v>
      </c>
      <c r="W4144">
        <v>1</v>
      </c>
      <c r="X4144">
        <v>0</v>
      </c>
      <c r="Y4144" t="s">
        <v>10829</v>
      </c>
      <c r="Z4144">
        <v>23.06</v>
      </c>
      <c r="AA4144">
        <v>40.859754</v>
      </c>
      <c r="AB4144">
        <v>-73.908539</v>
      </c>
      <c r="AD4144" t="s">
        <v>10839</v>
      </c>
      <c r="AG4144" t="s">
        <v>10858</v>
      </c>
      <c r="AH4144" t="s">
        <v>10871</v>
      </c>
      <c r="AI4144">
        <v>230</v>
      </c>
      <c r="AJ4144" t="s">
        <v>10210</v>
      </c>
      <c r="AK4144" t="s">
        <v>10838</v>
      </c>
      <c r="AL4144">
        <v>0.5</v>
      </c>
      <c r="AM4144" t="s">
        <v>10884</v>
      </c>
      <c r="AN4144" t="s">
        <v>10931</v>
      </c>
      <c r="AO4144" t="s">
        <v>11000</v>
      </c>
      <c r="AP4144" t="s">
        <v>11045</v>
      </c>
      <c r="AR4144" t="s">
        <v>11293</v>
      </c>
      <c r="AS4144" t="s">
        <v>9926</v>
      </c>
      <c r="AT4144" t="s">
        <v>11641</v>
      </c>
      <c r="AX4144" t="s">
        <v>10838</v>
      </c>
      <c r="AY4144" t="s">
        <v>10829</v>
      </c>
      <c r="AZ4144" t="s">
        <v>11682</v>
      </c>
      <c r="BA4144" t="s">
        <v>11741</v>
      </c>
      <c r="BB4144">
        <v>0</v>
      </c>
      <c r="BC4144">
        <v>0</v>
      </c>
      <c r="BD4144">
        <v>0</v>
      </c>
      <c r="BE4144">
        <v>0</v>
      </c>
      <c r="BF4144">
        <v>1</v>
      </c>
      <c r="BG4144">
        <v>0</v>
      </c>
    </row>
    <row r="4145" spans="1:59">
      <c r="A4145" s="1">
        <f>HYPERLINK("https://lsnyc.legalserver.org/matter/dynamic-profile/view/1908301","19-1908301")</f>
        <v>0</v>
      </c>
      <c r="B4145" t="s">
        <v>3401</v>
      </c>
      <c r="C4145" t="s">
        <v>8196</v>
      </c>
      <c r="D4145" t="s">
        <v>9955</v>
      </c>
      <c r="E4145" t="s">
        <v>10075</v>
      </c>
      <c r="F4145">
        <v>11692</v>
      </c>
      <c r="G4145" t="s">
        <v>10092</v>
      </c>
      <c r="H4145" t="s">
        <v>10143</v>
      </c>
      <c r="I4145" t="s">
        <v>10168</v>
      </c>
      <c r="J4145" t="s">
        <v>10212</v>
      </c>
      <c r="K4145" t="s">
        <v>10217</v>
      </c>
      <c r="M4145" t="s">
        <v>10258</v>
      </c>
      <c r="N4145" t="s">
        <v>10671</v>
      </c>
      <c r="P4145" t="s">
        <v>10749</v>
      </c>
      <c r="Q4145" t="s">
        <v>10765</v>
      </c>
      <c r="R4145" t="s">
        <v>10824</v>
      </c>
      <c r="T4145">
        <v>9144</v>
      </c>
      <c r="U4145">
        <v>762</v>
      </c>
      <c r="V4145">
        <v>77</v>
      </c>
      <c r="W4145">
        <v>1</v>
      </c>
      <c r="X4145">
        <v>0</v>
      </c>
      <c r="Z4145">
        <v>73.20999999999999</v>
      </c>
      <c r="AA4145">
        <v>40.591951</v>
      </c>
      <c r="AB4145">
        <v>-73.796368</v>
      </c>
      <c r="AD4145" t="s">
        <v>10839</v>
      </c>
      <c r="AG4145" t="s">
        <v>10858</v>
      </c>
      <c r="AH4145" t="s">
        <v>10861</v>
      </c>
      <c r="AI4145">
        <v>234</v>
      </c>
      <c r="AJ4145" t="s">
        <v>10214</v>
      </c>
      <c r="AL4145">
        <v>1</v>
      </c>
      <c r="AM4145" t="s">
        <v>10892</v>
      </c>
      <c r="AN4145" t="s">
        <v>10930</v>
      </c>
      <c r="AO4145" t="s">
        <v>11017</v>
      </c>
      <c r="AP4145" t="s">
        <v>11082</v>
      </c>
      <c r="AR4145" t="s">
        <v>11298</v>
      </c>
      <c r="AS4145" t="s">
        <v>11594</v>
      </c>
      <c r="AT4145" t="s">
        <v>11641</v>
      </c>
      <c r="AX4145" t="s">
        <v>10838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</row>
    <row r="4146" spans="1:59">
      <c r="A4146" s="1">
        <f>HYPERLINK("https://lsnyc.legalserver.org/matter/dynamic-profile/view/1908303","19-1908303")</f>
        <v>0</v>
      </c>
      <c r="B4146" t="s">
        <v>2567</v>
      </c>
      <c r="C4146" t="s">
        <v>6590</v>
      </c>
      <c r="D4146" t="s">
        <v>9926</v>
      </c>
      <c r="E4146" t="s">
        <v>10075</v>
      </c>
      <c r="F4146">
        <v>10474</v>
      </c>
      <c r="G4146" t="s">
        <v>10090</v>
      </c>
      <c r="H4146" t="s">
        <v>10143</v>
      </c>
      <c r="I4146" t="s">
        <v>10168</v>
      </c>
      <c r="J4146" t="s">
        <v>10210</v>
      </c>
      <c r="K4146" t="s">
        <v>10217</v>
      </c>
      <c r="M4146" t="s">
        <v>10234</v>
      </c>
      <c r="N4146" t="s">
        <v>10650</v>
      </c>
      <c r="P4146" t="s">
        <v>10749</v>
      </c>
      <c r="Q4146" t="s">
        <v>10765</v>
      </c>
      <c r="R4146" t="s">
        <v>10821</v>
      </c>
      <c r="T4146">
        <v>4548</v>
      </c>
      <c r="U4146">
        <v>379</v>
      </c>
      <c r="V4146">
        <v>48</v>
      </c>
      <c r="W4146">
        <v>1</v>
      </c>
      <c r="X4146">
        <v>0</v>
      </c>
      <c r="Z4146">
        <v>36.41</v>
      </c>
      <c r="AA4146">
        <v>40.816635</v>
      </c>
      <c r="AB4146">
        <v>-73.886374</v>
      </c>
      <c r="AD4146" t="s">
        <v>10839</v>
      </c>
      <c r="AG4146" t="s">
        <v>10858</v>
      </c>
      <c r="AH4146" t="s">
        <v>10862</v>
      </c>
      <c r="AI4146">
        <v>230</v>
      </c>
      <c r="AJ4146" t="s">
        <v>10210</v>
      </c>
      <c r="AL4146">
        <v>3</v>
      </c>
      <c r="AQ4146" t="s">
        <v>11147</v>
      </c>
      <c r="AR4146" t="s">
        <v>10180</v>
      </c>
      <c r="AS4146" t="s">
        <v>9926</v>
      </c>
      <c r="BA4146" t="s">
        <v>11739</v>
      </c>
      <c r="BB4146">
        <v>0</v>
      </c>
      <c r="BC4146">
        <v>0</v>
      </c>
      <c r="BD4146">
        <v>0</v>
      </c>
      <c r="BE4146">
        <v>0</v>
      </c>
      <c r="BF4146">
        <v>4</v>
      </c>
      <c r="BG4146">
        <v>0</v>
      </c>
    </row>
    <row r="4147" spans="1:59">
      <c r="A4147" s="1">
        <f>HYPERLINK("https://lsnyc.legalserver.org/matter/dynamic-profile/view/1908304","19-1908304")</f>
        <v>0</v>
      </c>
      <c r="B4147" t="s">
        <v>3402</v>
      </c>
      <c r="C4147" t="s">
        <v>7042</v>
      </c>
      <c r="D4147" t="s">
        <v>9926</v>
      </c>
      <c r="E4147" t="s">
        <v>10075</v>
      </c>
      <c r="F4147">
        <v>10456</v>
      </c>
      <c r="G4147" t="s">
        <v>10091</v>
      </c>
      <c r="H4147" t="s">
        <v>10143</v>
      </c>
      <c r="I4147" t="s">
        <v>10168</v>
      </c>
      <c r="J4147" t="s">
        <v>10214</v>
      </c>
      <c r="K4147" t="s">
        <v>10217</v>
      </c>
      <c r="M4147" t="s">
        <v>10537</v>
      </c>
      <c r="N4147" t="s">
        <v>10671</v>
      </c>
      <c r="P4147" t="s">
        <v>10753</v>
      </c>
      <c r="Q4147" t="s">
        <v>10763</v>
      </c>
      <c r="R4147" t="s">
        <v>10823</v>
      </c>
      <c r="T4147">
        <v>9360</v>
      </c>
      <c r="U4147">
        <v>780</v>
      </c>
      <c r="V4147">
        <v>43</v>
      </c>
      <c r="W4147">
        <v>1</v>
      </c>
      <c r="X4147">
        <v>0</v>
      </c>
      <c r="Z4147">
        <v>74.94</v>
      </c>
      <c r="AA4147">
        <v>40.829684</v>
      </c>
      <c r="AB4147">
        <v>-73.91986199999999</v>
      </c>
      <c r="AD4147" t="s">
        <v>10840</v>
      </c>
      <c r="AF4147" t="s">
        <v>10843</v>
      </c>
      <c r="AG4147" t="s">
        <v>10859</v>
      </c>
      <c r="AH4147" t="s">
        <v>10861</v>
      </c>
      <c r="AI4147">
        <v>234</v>
      </c>
      <c r="AJ4147" t="s">
        <v>10214</v>
      </c>
      <c r="AL4147">
        <v>0.45</v>
      </c>
      <c r="AM4147" t="s">
        <v>10884</v>
      </c>
      <c r="AN4147" t="s">
        <v>10929</v>
      </c>
      <c r="AO4147" t="s">
        <v>11001</v>
      </c>
      <c r="AP4147" t="s">
        <v>11055</v>
      </c>
      <c r="AR4147" t="s">
        <v>11293</v>
      </c>
      <c r="AS4147" t="s">
        <v>9926</v>
      </c>
      <c r="AT4147" t="s">
        <v>11642</v>
      </c>
      <c r="AX4147" t="s">
        <v>10837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</row>
    <row r="4148" spans="1:59">
      <c r="A4148" s="1">
        <f>HYPERLINK("https://lsnyc.legalserver.org/matter/dynamic-profile/view/1908305","19-1908305")</f>
        <v>0</v>
      </c>
      <c r="B4148" t="s">
        <v>760</v>
      </c>
      <c r="C4148" t="s">
        <v>8197</v>
      </c>
      <c r="D4148" t="s">
        <v>10044</v>
      </c>
      <c r="E4148" t="s">
        <v>10076</v>
      </c>
      <c r="F4148">
        <v>7030</v>
      </c>
      <c r="G4148" t="s">
        <v>10089</v>
      </c>
      <c r="H4148" t="s">
        <v>10143</v>
      </c>
      <c r="I4148" t="s">
        <v>10168</v>
      </c>
      <c r="J4148" t="s">
        <v>10209</v>
      </c>
      <c r="K4148" t="s">
        <v>10217</v>
      </c>
      <c r="M4148" t="s">
        <v>10301</v>
      </c>
      <c r="N4148" t="s">
        <v>10665</v>
      </c>
      <c r="P4148" t="s">
        <v>10751</v>
      </c>
      <c r="Q4148" t="s">
        <v>10773</v>
      </c>
      <c r="R4148" t="s">
        <v>10820</v>
      </c>
      <c r="T4148">
        <v>23400</v>
      </c>
      <c r="U4148">
        <v>1950</v>
      </c>
      <c r="V4148">
        <v>43</v>
      </c>
      <c r="W4148">
        <v>1</v>
      </c>
      <c r="X4148">
        <v>0</v>
      </c>
      <c r="Z4148">
        <v>187.35</v>
      </c>
      <c r="AA4148">
        <v>40.739968</v>
      </c>
      <c r="AB4148">
        <v>-74.031674</v>
      </c>
      <c r="AD4148" t="s">
        <v>10840</v>
      </c>
      <c r="AG4148" t="s">
        <v>10858</v>
      </c>
      <c r="AH4148" t="s">
        <v>10861</v>
      </c>
      <c r="AI4148">
        <v>234</v>
      </c>
      <c r="AJ4148" t="s">
        <v>10214</v>
      </c>
      <c r="AL4148">
        <v>2.5</v>
      </c>
      <c r="AQ4148" t="s">
        <v>11115</v>
      </c>
      <c r="AR4148" t="s">
        <v>11293</v>
      </c>
      <c r="AS4148" t="s">
        <v>11620</v>
      </c>
      <c r="AT4148" t="s">
        <v>11642</v>
      </c>
      <c r="AX4148" t="s">
        <v>10838</v>
      </c>
      <c r="BA4148" t="s">
        <v>11741</v>
      </c>
      <c r="BB4148">
        <v>0</v>
      </c>
      <c r="BC4148">
        <v>0</v>
      </c>
      <c r="BD4148">
        <v>0</v>
      </c>
      <c r="BE4148">
        <v>0</v>
      </c>
      <c r="BF4148">
        <v>1</v>
      </c>
      <c r="BG4148">
        <v>0</v>
      </c>
    </row>
    <row r="4149" spans="1:59">
      <c r="A4149" s="1">
        <f>HYPERLINK("https://lsnyc.legalserver.org/matter/dynamic-profile/view/1908306","19-1908306")</f>
        <v>0</v>
      </c>
      <c r="B4149" t="s">
        <v>3403</v>
      </c>
      <c r="C4149" t="s">
        <v>7086</v>
      </c>
      <c r="D4149" t="s">
        <v>9928</v>
      </c>
      <c r="E4149" t="s">
        <v>10075</v>
      </c>
      <c r="F4149">
        <v>11213</v>
      </c>
      <c r="G4149" t="s">
        <v>10093</v>
      </c>
      <c r="H4149" t="s">
        <v>10143</v>
      </c>
      <c r="J4149" t="s">
        <v>10213</v>
      </c>
      <c r="K4149" t="s">
        <v>10217</v>
      </c>
      <c r="M4149" t="s">
        <v>10351</v>
      </c>
      <c r="N4149" t="s">
        <v>10657</v>
      </c>
      <c r="P4149" t="s">
        <v>10754</v>
      </c>
      <c r="Q4149" t="s">
        <v>10775</v>
      </c>
      <c r="R4149" t="s">
        <v>10824</v>
      </c>
      <c r="T4149">
        <v>14352</v>
      </c>
      <c r="U4149">
        <v>1196</v>
      </c>
      <c r="V4149">
        <v>64</v>
      </c>
      <c r="W4149">
        <v>1</v>
      </c>
      <c r="X4149">
        <v>0</v>
      </c>
      <c r="Z4149">
        <v>114.91</v>
      </c>
      <c r="AA4149">
        <v>40.67619</v>
      </c>
      <c r="AB4149">
        <v>-73.946499</v>
      </c>
      <c r="AD4149" t="s">
        <v>10840</v>
      </c>
      <c r="AG4149" t="s">
        <v>10858</v>
      </c>
      <c r="AH4149" t="s">
        <v>10861</v>
      </c>
      <c r="AI4149">
        <v>239</v>
      </c>
      <c r="AJ4149" t="s">
        <v>10213</v>
      </c>
      <c r="AL4149">
        <v>0.6</v>
      </c>
      <c r="AM4149" t="s">
        <v>10888</v>
      </c>
      <c r="AN4149" t="s">
        <v>10912</v>
      </c>
      <c r="AO4149" t="s">
        <v>11007</v>
      </c>
      <c r="AP4149" t="s">
        <v>11052</v>
      </c>
      <c r="AR4149" t="s">
        <v>11345</v>
      </c>
      <c r="AS4149" t="s">
        <v>11595</v>
      </c>
      <c r="AT4149" t="s">
        <v>11642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</row>
    <row r="4150" spans="1:59">
      <c r="A4150" s="1">
        <f>HYPERLINK("https://lsnyc.legalserver.org/matter/dynamic-profile/view/1908307","19-1908307")</f>
        <v>0</v>
      </c>
      <c r="B4150" t="s">
        <v>3404</v>
      </c>
      <c r="C4150" t="s">
        <v>5868</v>
      </c>
      <c r="D4150" t="s">
        <v>9926</v>
      </c>
      <c r="E4150" t="s">
        <v>10075</v>
      </c>
      <c r="F4150">
        <v>10462</v>
      </c>
      <c r="G4150" t="s">
        <v>10090</v>
      </c>
      <c r="H4150" t="s">
        <v>10143</v>
      </c>
      <c r="I4150" t="s">
        <v>10168</v>
      </c>
      <c r="J4150" t="s">
        <v>10210</v>
      </c>
      <c r="K4150" t="s">
        <v>10217</v>
      </c>
      <c r="M4150" t="s">
        <v>10549</v>
      </c>
      <c r="N4150" t="s">
        <v>10671</v>
      </c>
      <c r="P4150" t="s">
        <v>10751</v>
      </c>
      <c r="Q4150" t="s">
        <v>10761</v>
      </c>
      <c r="R4150" t="s">
        <v>10821</v>
      </c>
      <c r="T4150">
        <v>2340</v>
      </c>
      <c r="U4150">
        <v>195</v>
      </c>
      <c r="V4150">
        <v>29</v>
      </c>
      <c r="W4150">
        <v>1</v>
      </c>
      <c r="X4150">
        <v>0</v>
      </c>
      <c r="Z4150">
        <v>18.73</v>
      </c>
      <c r="AA4150">
        <v>40.833385</v>
      </c>
      <c r="AB4150">
        <v>-73.856517</v>
      </c>
      <c r="AD4150" t="s">
        <v>10840</v>
      </c>
      <c r="AG4150" t="s">
        <v>10858</v>
      </c>
      <c r="AH4150" t="s">
        <v>10861</v>
      </c>
      <c r="AI4150">
        <v>234</v>
      </c>
      <c r="AJ4150" t="s">
        <v>10214</v>
      </c>
      <c r="AL4150">
        <v>3.5</v>
      </c>
      <c r="AM4150" t="s">
        <v>10885</v>
      </c>
      <c r="AN4150" t="s">
        <v>10908</v>
      </c>
      <c r="AO4150" t="s">
        <v>11002</v>
      </c>
      <c r="AP4150" t="s">
        <v>11046</v>
      </c>
      <c r="AR4150" t="s">
        <v>11344</v>
      </c>
      <c r="AS4150" t="s">
        <v>9926</v>
      </c>
      <c r="AT4150" t="s">
        <v>11642</v>
      </c>
      <c r="AX4150" t="s">
        <v>10838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</row>
    <row r="4151" spans="1:59">
      <c r="A4151" s="1">
        <f>HYPERLINK("https://lsnyc.legalserver.org/matter/dynamic-profile/view/1908308","19-1908308")</f>
        <v>0</v>
      </c>
      <c r="B4151" t="s">
        <v>3405</v>
      </c>
      <c r="C4151" t="s">
        <v>8198</v>
      </c>
      <c r="D4151" t="s">
        <v>9928</v>
      </c>
      <c r="E4151" t="s">
        <v>10075</v>
      </c>
      <c r="F4151">
        <v>11221</v>
      </c>
      <c r="G4151" t="s">
        <v>10093</v>
      </c>
      <c r="H4151" t="s">
        <v>10143</v>
      </c>
      <c r="I4151" t="s">
        <v>10168</v>
      </c>
      <c r="J4151" t="s">
        <v>10213</v>
      </c>
      <c r="K4151" t="s">
        <v>10218</v>
      </c>
      <c r="L4151" t="s">
        <v>10108</v>
      </c>
      <c r="M4151" t="s">
        <v>10436</v>
      </c>
      <c r="N4151" t="s">
        <v>10671</v>
      </c>
      <c r="P4151" t="s">
        <v>10750</v>
      </c>
      <c r="Q4151" t="s">
        <v>10760</v>
      </c>
      <c r="R4151" t="s">
        <v>10824</v>
      </c>
      <c r="T4151">
        <v>2384</v>
      </c>
      <c r="U4151">
        <v>198.67</v>
      </c>
      <c r="V4151">
        <v>53</v>
      </c>
      <c r="W4151">
        <v>1</v>
      </c>
      <c r="X4151">
        <v>0</v>
      </c>
      <c r="Y4151" t="s">
        <v>10829</v>
      </c>
      <c r="Z4151">
        <v>19.09</v>
      </c>
      <c r="AA4151">
        <v>40.693887</v>
      </c>
      <c r="AB4151">
        <v>-73.91107599999999</v>
      </c>
      <c r="AD4151" t="s">
        <v>10839</v>
      </c>
      <c r="AG4151" t="s">
        <v>10858</v>
      </c>
      <c r="AH4151" t="s">
        <v>10861</v>
      </c>
      <c r="AI4151">
        <v>234</v>
      </c>
      <c r="AJ4151" t="s">
        <v>10214</v>
      </c>
      <c r="AK4151" t="s">
        <v>10838</v>
      </c>
      <c r="AL4151">
        <v>0.75</v>
      </c>
      <c r="AM4151" t="s">
        <v>10886</v>
      </c>
      <c r="AN4151" t="s">
        <v>10920</v>
      </c>
      <c r="AO4151" t="s">
        <v>11011</v>
      </c>
      <c r="AP4151" t="s">
        <v>11058</v>
      </c>
      <c r="AR4151" t="s">
        <v>11255</v>
      </c>
      <c r="AS4151" t="s">
        <v>11595</v>
      </c>
      <c r="AT4151" t="s">
        <v>11641</v>
      </c>
      <c r="AX4151" t="s">
        <v>10838</v>
      </c>
      <c r="AY4151" t="s">
        <v>10829</v>
      </c>
      <c r="AZ4151" t="s">
        <v>11679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</row>
    <row r="4152" spans="1:59">
      <c r="A4152" s="1">
        <f>HYPERLINK("https://lsnyc.legalserver.org/matter/dynamic-profile/view/1908309","19-1908309")</f>
        <v>0</v>
      </c>
      <c r="B4152" t="s">
        <v>3406</v>
      </c>
      <c r="C4152" t="s">
        <v>8199</v>
      </c>
      <c r="D4152" t="s">
        <v>10045</v>
      </c>
      <c r="E4152" t="s">
        <v>10075</v>
      </c>
      <c r="F4152">
        <v>10989</v>
      </c>
      <c r="G4152" t="s">
        <v>10093</v>
      </c>
      <c r="H4152" t="s">
        <v>10143</v>
      </c>
      <c r="I4152" t="s">
        <v>10168</v>
      </c>
      <c r="J4152" t="s">
        <v>10213</v>
      </c>
      <c r="K4152" t="s">
        <v>10218</v>
      </c>
      <c r="L4152" t="s">
        <v>10152</v>
      </c>
      <c r="M4152" t="s">
        <v>10436</v>
      </c>
      <c r="N4152" t="s">
        <v>10710</v>
      </c>
      <c r="P4152" t="s">
        <v>10750</v>
      </c>
      <c r="Q4152" t="s">
        <v>10760</v>
      </c>
      <c r="R4152" t="s">
        <v>10822</v>
      </c>
      <c r="T4152">
        <v>12000</v>
      </c>
      <c r="U4152">
        <v>1000</v>
      </c>
      <c r="V4152">
        <v>67</v>
      </c>
      <c r="W4152">
        <v>1</v>
      </c>
      <c r="X4152">
        <v>0</v>
      </c>
      <c r="Y4152" t="s">
        <v>10829</v>
      </c>
      <c r="Z4152">
        <v>96.08</v>
      </c>
      <c r="AA4152">
        <v>41.122499</v>
      </c>
      <c r="AB4152">
        <v>-73.931912</v>
      </c>
      <c r="AD4152" t="s">
        <v>10839</v>
      </c>
      <c r="AG4152" t="s">
        <v>10858</v>
      </c>
      <c r="AH4152" t="s">
        <v>10861</v>
      </c>
      <c r="AI4152">
        <v>234</v>
      </c>
      <c r="AJ4152" t="s">
        <v>10214</v>
      </c>
      <c r="AK4152" t="s">
        <v>10838</v>
      </c>
      <c r="AL4152">
        <v>1</v>
      </c>
      <c r="AM4152" t="s">
        <v>10896</v>
      </c>
      <c r="AN4152" t="s">
        <v>10992</v>
      </c>
      <c r="AO4152" t="s">
        <v>11027</v>
      </c>
      <c r="AR4152" t="s">
        <v>11300</v>
      </c>
      <c r="AS4152" t="s">
        <v>11598</v>
      </c>
      <c r="AT4152" t="s">
        <v>11641</v>
      </c>
      <c r="AX4152" t="s">
        <v>11678</v>
      </c>
      <c r="AY4152" t="s">
        <v>10829</v>
      </c>
      <c r="AZ4152" t="s">
        <v>11679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</row>
    <row r="4153" spans="1:59">
      <c r="A4153" s="1">
        <f>HYPERLINK("https://lsnyc.legalserver.org/matter/dynamic-profile/view/1908310","19-1908310")</f>
        <v>0</v>
      </c>
      <c r="B4153" t="s">
        <v>704</v>
      </c>
      <c r="C4153" t="s">
        <v>8200</v>
      </c>
      <c r="D4153" t="s">
        <v>9926</v>
      </c>
      <c r="E4153" t="s">
        <v>10075</v>
      </c>
      <c r="F4153">
        <v>10456</v>
      </c>
      <c r="G4153" t="s">
        <v>10091</v>
      </c>
      <c r="H4153" t="s">
        <v>10143</v>
      </c>
      <c r="I4153" t="s">
        <v>10169</v>
      </c>
      <c r="J4153" t="s">
        <v>10214</v>
      </c>
      <c r="K4153" t="s">
        <v>10217</v>
      </c>
      <c r="M4153" t="s">
        <v>10537</v>
      </c>
      <c r="N4153" t="s">
        <v>10673</v>
      </c>
      <c r="P4153" t="s">
        <v>10753</v>
      </c>
      <c r="Q4153" t="s">
        <v>10763</v>
      </c>
      <c r="R4153" t="s">
        <v>10823</v>
      </c>
      <c r="T4153">
        <v>8820</v>
      </c>
      <c r="U4153">
        <v>735</v>
      </c>
      <c r="V4153">
        <v>62</v>
      </c>
      <c r="W4153">
        <v>1</v>
      </c>
      <c r="X4153">
        <v>0</v>
      </c>
      <c r="Z4153">
        <v>70.62</v>
      </c>
      <c r="AA4153">
        <v>40.831998</v>
      </c>
      <c r="AB4153">
        <v>-73.917615</v>
      </c>
      <c r="AD4153" t="s">
        <v>10839</v>
      </c>
      <c r="AF4153" t="s">
        <v>10843</v>
      </c>
      <c r="AG4153" t="s">
        <v>10859</v>
      </c>
      <c r="AH4153" t="s">
        <v>10861</v>
      </c>
      <c r="AI4153">
        <v>234</v>
      </c>
      <c r="AJ4153" t="s">
        <v>10214</v>
      </c>
      <c r="AL4153">
        <v>0.55</v>
      </c>
      <c r="AM4153" t="s">
        <v>10884</v>
      </c>
      <c r="AN4153" t="s">
        <v>10929</v>
      </c>
      <c r="AO4153" t="s">
        <v>11013</v>
      </c>
      <c r="AP4153" t="s">
        <v>11055</v>
      </c>
      <c r="AR4153" t="s">
        <v>11298</v>
      </c>
      <c r="AS4153" t="s">
        <v>9926</v>
      </c>
      <c r="AT4153" t="s">
        <v>11641</v>
      </c>
      <c r="AX4153" t="s">
        <v>10838</v>
      </c>
      <c r="BA4153" t="s">
        <v>11742</v>
      </c>
      <c r="BB4153">
        <v>0</v>
      </c>
      <c r="BC4153">
        <v>0</v>
      </c>
      <c r="BD4153">
        <v>0</v>
      </c>
      <c r="BE4153">
        <v>0</v>
      </c>
      <c r="BF4153">
        <v>7</v>
      </c>
      <c r="BG4153">
        <v>0</v>
      </c>
    </row>
    <row r="4154" spans="1:59">
      <c r="A4154" s="1">
        <f>HYPERLINK("https://lsnyc.legalserver.org/matter/dynamic-profile/view/1908311","19-1908311")</f>
        <v>0</v>
      </c>
      <c r="B4154" t="s">
        <v>3407</v>
      </c>
      <c r="C4154" t="s">
        <v>8201</v>
      </c>
      <c r="D4154" t="s">
        <v>9938</v>
      </c>
      <c r="E4154" t="s">
        <v>10075</v>
      </c>
      <c r="F4154">
        <v>11434</v>
      </c>
      <c r="G4154" t="s">
        <v>10093</v>
      </c>
      <c r="H4154" t="s">
        <v>10143</v>
      </c>
      <c r="I4154" t="s">
        <v>10168</v>
      </c>
      <c r="J4154" t="s">
        <v>10213</v>
      </c>
      <c r="K4154" t="s">
        <v>10217</v>
      </c>
      <c r="M4154" t="s">
        <v>10358</v>
      </c>
      <c r="N4154" t="s">
        <v>10646</v>
      </c>
      <c r="P4154" t="s">
        <v>10752</v>
      </c>
      <c r="Q4154" t="s">
        <v>10783</v>
      </c>
      <c r="R4154" t="s">
        <v>10824</v>
      </c>
      <c r="T4154">
        <v>62000</v>
      </c>
      <c r="U4154">
        <v>5166.67</v>
      </c>
      <c r="V4154">
        <v>50</v>
      </c>
      <c r="W4154">
        <v>2</v>
      </c>
      <c r="X4154">
        <v>2</v>
      </c>
      <c r="Z4154">
        <v>240.78</v>
      </c>
      <c r="AA4154">
        <v>40.672903</v>
      </c>
      <c r="AB4154">
        <v>-73.7741</v>
      </c>
      <c r="AD4154" t="s">
        <v>10839</v>
      </c>
      <c r="AG4154" t="s">
        <v>10858</v>
      </c>
      <c r="AH4154" t="s">
        <v>10861</v>
      </c>
      <c r="AI4154">
        <v>234</v>
      </c>
      <c r="AJ4154" t="s">
        <v>10214</v>
      </c>
      <c r="AL4154">
        <v>2.25</v>
      </c>
      <c r="AM4154" t="s">
        <v>10892</v>
      </c>
      <c r="AN4154" t="s">
        <v>10951</v>
      </c>
      <c r="AO4154" t="s">
        <v>11017</v>
      </c>
      <c r="AP4154" t="s">
        <v>11070</v>
      </c>
      <c r="AQ4154" t="s">
        <v>11184</v>
      </c>
      <c r="AR4154" t="s">
        <v>11257</v>
      </c>
      <c r="AS4154" t="s">
        <v>11594</v>
      </c>
      <c r="AT4154" t="s">
        <v>11641</v>
      </c>
      <c r="AX4154" t="s">
        <v>10838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</row>
    <row r="4155" spans="1:59">
      <c r="A4155" s="1">
        <f>HYPERLINK("https://lsnyc.legalserver.org/matter/dynamic-profile/view/1908312","19-1908312")</f>
        <v>0</v>
      </c>
      <c r="B4155" t="s">
        <v>3408</v>
      </c>
      <c r="C4155" t="s">
        <v>8202</v>
      </c>
      <c r="D4155" t="s">
        <v>9926</v>
      </c>
      <c r="E4155" t="s">
        <v>10075</v>
      </c>
      <c r="F4155">
        <v>10454</v>
      </c>
      <c r="G4155" t="s">
        <v>10091</v>
      </c>
      <c r="H4155" t="s">
        <v>10143</v>
      </c>
      <c r="I4155" t="s">
        <v>10169</v>
      </c>
      <c r="J4155" t="s">
        <v>10214</v>
      </c>
      <c r="K4155" t="s">
        <v>10217</v>
      </c>
      <c r="M4155" t="s">
        <v>10286</v>
      </c>
      <c r="N4155" t="s">
        <v>10671</v>
      </c>
      <c r="P4155" t="s">
        <v>10750</v>
      </c>
      <c r="Q4155" t="s">
        <v>10779</v>
      </c>
      <c r="R4155" t="s">
        <v>10821</v>
      </c>
      <c r="T4155">
        <v>0</v>
      </c>
      <c r="U4155">
        <v>0</v>
      </c>
      <c r="V4155">
        <v>59</v>
      </c>
      <c r="W4155">
        <v>1</v>
      </c>
      <c r="X4155">
        <v>0</v>
      </c>
      <c r="Z4155">
        <v>0</v>
      </c>
      <c r="AA4155">
        <v>40.807073</v>
      </c>
      <c r="AB4155">
        <v>-73.915666</v>
      </c>
      <c r="AD4155" t="s">
        <v>10840</v>
      </c>
      <c r="AG4155" t="s">
        <v>10858</v>
      </c>
      <c r="AH4155" t="s">
        <v>10861</v>
      </c>
      <c r="AI4155">
        <v>234</v>
      </c>
      <c r="AJ4155" t="s">
        <v>10214</v>
      </c>
      <c r="AL4155">
        <v>0.85</v>
      </c>
      <c r="AM4155" t="s">
        <v>10884</v>
      </c>
      <c r="AN4155" t="s">
        <v>10924</v>
      </c>
      <c r="AO4155" t="s">
        <v>11013</v>
      </c>
      <c r="AP4155" t="s">
        <v>11066</v>
      </c>
      <c r="AR4155" t="s">
        <v>11267</v>
      </c>
      <c r="AS4155" t="s">
        <v>9926</v>
      </c>
      <c r="AT4155" t="s">
        <v>11642</v>
      </c>
      <c r="AX4155" t="s">
        <v>10838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</row>
    <row r="4156" spans="1:59">
      <c r="A4156" s="1">
        <f>HYPERLINK("https://lsnyc.legalserver.org/matter/dynamic-profile/view/1908313","19-1908313")</f>
        <v>0</v>
      </c>
      <c r="B4156" t="s">
        <v>3409</v>
      </c>
      <c r="C4156" t="s">
        <v>5401</v>
      </c>
      <c r="D4156" t="s">
        <v>9928</v>
      </c>
      <c r="E4156" t="s">
        <v>10075</v>
      </c>
      <c r="F4156">
        <v>11233</v>
      </c>
      <c r="G4156" t="s">
        <v>10093</v>
      </c>
      <c r="H4156" t="s">
        <v>10143</v>
      </c>
      <c r="I4156" t="s">
        <v>10168</v>
      </c>
      <c r="J4156" t="s">
        <v>10213</v>
      </c>
      <c r="K4156" t="s">
        <v>10217</v>
      </c>
      <c r="M4156" t="s">
        <v>10405</v>
      </c>
      <c r="N4156" t="s">
        <v>10650</v>
      </c>
      <c r="P4156" t="s">
        <v>10749</v>
      </c>
      <c r="Q4156" t="s">
        <v>10765</v>
      </c>
      <c r="R4156" t="s">
        <v>10824</v>
      </c>
      <c r="T4156">
        <v>13000</v>
      </c>
      <c r="U4156">
        <v>1083.33</v>
      </c>
      <c r="V4156">
        <v>55</v>
      </c>
      <c r="W4156">
        <v>1</v>
      </c>
      <c r="X4156">
        <v>0</v>
      </c>
      <c r="Z4156">
        <v>104.08</v>
      </c>
      <c r="AA4156">
        <v>40.675515</v>
      </c>
      <c r="AB4156">
        <v>-73.911641</v>
      </c>
      <c r="AD4156" t="s">
        <v>10840</v>
      </c>
      <c r="AG4156" t="s">
        <v>10858</v>
      </c>
      <c r="AH4156" t="s">
        <v>10862</v>
      </c>
      <c r="AI4156">
        <v>239</v>
      </c>
      <c r="AJ4156" t="s">
        <v>10213</v>
      </c>
      <c r="AL4156">
        <v>7.7</v>
      </c>
      <c r="AM4156" t="s">
        <v>10889</v>
      </c>
      <c r="AN4156" t="s">
        <v>10922</v>
      </c>
      <c r="AO4156" t="s">
        <v>11007</v>
      </c>
      <c r="AP4156" t="s">
        <v>11064</v>
      </c>
      <c r="AQ4156" t="s">
        <v>11101</v>
      </c>
      <c r="AR4156" t="s">
        <v>11400</v>
      </c>
      <c r="AS4156" t="s">
        <v>11595</v>
      </c>
      <c r="AT4156" t="s">
        <v>11642</v>
      </c>
      <c r="BA4156" t="s">
        <v>11738</v>
      </c>
      <c r="BB4156">
        <v>0</v>
      </c>
      <c r="BC4156">
        <v>0</v>
      </c>
      <c r="BD4156">
        <v>0</v>
      </c>
      <c r="BE4156">
        <v>0</v>
      </c>
      <c r="BF4156">
        <v>5</v>
      </c>
      <c r="BG4156">
        <v>0</v>
      </c>
    </row>
    <row r="4157" spans="1:59">
      <c r="A4157" s="1">
        <f>HYPERLINK("https://lsnyc.legalserver.org/matter/dynamic-profile/view/1908315","19-1908315")</f>
        <v>0</v>
      </c>
      <c r="B4157" t="s">
        <v>3410</v>
      </c>
      <c r="C4157" t="s">
        <v>6296</v>
      </c>
      <c r="D4157" t="s">
        <v>9926</v>
      </c>
      <c r="E4157" t="s">
        <v>10075</v>
      </c>
      <c r="F4157">
        <v>10455</v>
      </c>
      <c r="G4157" t="s">
        <v>10090</v>
      </c>
      <c r="H4157" t="s">
        <v>10151</v>
      </c>
      <c r="I4157" t="s">
        <v>10169</v>
      </c>
      <c r="J4157" t="s">
        <v>10210</v>
      </c>
      <c r="K4157" t="s">
        <v>10217</v>
      </c>
      <c r="M4157" t="s">
        <v>10296</v>
      </c>
      <c r="N4157" t="s">
        <v>10679</v>
      </c>
      <c r="P4157" t="s">
        <v>10753</v>
      </c>
      <c r="Q4157" t="s">
        <v>10763</v>
      </c>
      <c r="R4157" t="s">
        <v>10823</v>
      </c>
      <c r="T4157">
        <v>0</v>
      </c>
      <c r="U4157">
        <v>0</v>
      </c>
      <c r="V4157">
        <v>15</v>
      </c>
      <c r="W4157">
        <v>1</v>
      </c>
      <c r="X4157">
        <v>3</v>
      </c>
      <c r="Z4157">
        <v>0</v>
      </c>
      <c r="AA4157">
        <v>40.817794</v>
      </c>
      <c r="AB4157">
        <v>-73.91756599999999</v>
      </c>
      <c r="AD4157" t="s">
        <v>10840</v>
      </c>
      <c r="AF4157" t="s">
        <v>10842</v>
      </c>
      <c r="AG4157" t="s">
        <v>10859</v>
      </c>
      <c r="AH4157" t="s">
        <v>10864</v>
      </c>
      <c r="AI4157">
        <v>230</v>
      </c>
      <c r="AJ4157" t="s">
        <v>10210</v>
      </c>
      <c r="AL4157">
        <v>5</v>
      </c>
      <c r="AM4157" t="s">
        <v>10884</v>
      </c>
      <c r="AN4157" t="s">
        <v>10924</v>
      </c>
      <c r="AO4157" t="s">
        <v>11001</v>
      </c>
      <c r="AP4157" t="s">
        <v>11062</v>
      </c>
      <c r="AQ4157" t="s">
        <v>11109</v>
      </c>
      <c r="AR4157" t="s">
        <v>11267</v>
      </c>
      <c r="AS4157" t="s">
        <v>9926</v>
      </c>
      <c r="AT4157" t="s">
        <v>11642</v>
      </c>
      <c r="AV4157" t="s">
        <v>11655</v>
      </c>
      <c r="AW4157" t="s">
        <v>11666</v>
      </c>
      <c r="AX4157" t="s">
        <v>10838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</row>
    <row r="4158" spans="1:59">
      <c r="A4158" s="1">
        <f>HYPERLINK("https://lsnyc.legalserver.org/matter/dynamic-profile/view/1908316","19-1908316")</f>
        <v>0</v>
      </c>
      <c r="B4158" t="s">
        <v>3411</v>
      </c>
      <c r="C4158" t="s">
        <v>8203</v>
      </c>
      <c r="D4158" t="s">
        <v>9928</v>
      </c>
      <c r="E4158" t="s">
        <v>10075</v>
      </c>
      <c r="F4158">
        <v>11212</v>
      </c>
      <c r="G4158" t="s">
        <v>10093</v>
      </c>
      <c r="H4158" t="s">
        <v>10143</v>
      </c>
      <c r="I4158" t="s">
        <v>10168</v>
      </c>
      <c r="J4158" t="s">
        <v>10213</v>
      </c>
      <c r="K4158" t="s">
        <v>10217</v>
      </c>
      <c r="M4158" t="s">
        <v>10327</v>
      </c>
      <c r="N4158" t="s">
        <v>10671</v>
      </c>
      <c r="P4158" t="s">
        <v>10749</v>
      </c>
      <c r="Q4158" t="s">
        <v>10765</v>
      </c>
      <c r="R4158" t="s">
        <v>10823</v>
      </c>
      <c r="T4158">
        <v>21426</v>
      </c>
      <c r="U4158">
        <v>1785.5</v>
      </c>
      <c r="V4158">
        <v>36</v>
      </c>
      <c r="W4158">
        <v>1</v>
      </c>
      <c r="X4158">
        <v>1</v>
      </c>
      <c r="Z4158">
        <v>126.71</v>
      </c>
      <c r="AA4158">
        <v>40.66164</v>
      </c>
      <c r="AB4158">
        <v>-73.91427</v>
      </c>
      <c r="AC4158" t="s">
        <v>10837</v>
      </c>
      <c r="AD4158" t="s">
        <v>10839</v>
      </c>
      <c r="AG4158" t="s">
        <v>10858</v>
      </c>
      <c r="AH4158" t="s">
        <v>10861</v>
      </c>
      <c r="AI4158">
        <v>234</v>
      </c>
      <c r="AJ4158" t="s">
        <v>10214</v>
      </c>
      <c r="AL4158">
        <v>7.2</v>
      </c>
      <c r="AM4158" t="s">
        <v>10888</v>
      </c>
      <c r="AN4158" t="s">
        <v>10922</v>
      </c>
      <c r="AO4158" t="s">
        <v>11012</v>
      </c>
      <c r="AP4158" t="s">
        <v>11060</v>
      </c>
      <c r="AR4158" t="s">
        <v>11533</v>
      </c>
      <c r="AS4158" t="s">
        <v>11595</v>
      </c>
      <c r="AT4158" t="s">
        <v>11641</v>
      </c>
      <c r="AX4158" t="s">
        <v>10838</v>
      </c>
      <c r="BA4158" t="s">
        <v>11741</v>
      </c>
      <c r="BB4158">
        <v>0</v>
      </c>
      <c r="BC4158">
        <v>0</v>
      </c>
      <c r="BD4158">
        <v>0</v>
      </c>
      <c r="BE4158">
        <v>0</v>
      </c>
      <c r="BF4158">
        <v>1</v>
      </c>
      <c r="BG4158">
        <v>0</v>
      </c>
    </row>
    <row r="4159" spans="1:59">
      <c r="A4159" s="1">
        <f>HYPERLINK("https://lsnyc.legalserver.org/matter/dynamic-profile/view/1908317","19-1908317")</f>
        <v>0</v>
      </c>
      <c r="B4159" t="s">
        <v>3412</v>
      </c>
      <c r="C4159" t="s">
        <v>7474</v>
      </c>
      <c r="D4159" t="s">
        <v>9925</v>
      </c>
      <c r="E4159" t="s">
        <v>10075</v>
      </c>
      <c r="F4159">
        <v>10029</v>
      </c>
      <c r="G4159" t="s">
        <v>10091</v>
      </c>
      <c r="H4159" t="s">
        <v>10143</v>
      </c>
      <c r="I4159" t="s">
        <v>10168</v>
      </c>
      <c r="J4159" t="s">
        <v>10214</v>
      </c>
      <c r="K4159" t="s">
        <v>10217</v>
      </c>
      <c r="M4159" t="s">
        <v>10537</v>
      </c>
      <c r="N4159" t="s">
        <v>10671</v>
      </c>
      <c r="P4159" t="s">
        <v>10753</v>
      </c>
      <c r="Q4159" t="s">
        <v>10763</v>
      </c>
      <c r="R4159" t="s">
        <v>10821</v>
      </c>
      <c r="T4159">
        <v>10860</v>
      </c>
      <c r="U4159">
        <v>905</v>
      </c>
      <c r="V4159">
        <v>70</v>
      </c>
      <c r="W4159">
        <v>1</v>
      </c>
      <c r="X4159">
        <v>0</v>
      </c>
      <c r="Z4159">
        <v>86.95</v>
      </c>
      <c r="AA4159">
        <v>40.787852</v>
      </c>
      <c r="AB4159">
        <v>-73.943376</v>
      </c>
      <c r="AC4159" t="s">
        <v>10837</v>
      </c>
      <c r="AD4159" t="s">
        <v>10840</v>
      </c>
      <c r="AF4159" t="s">
        <v>10843</v>
      </c>
      <c r="AG4159" t="s">
        <v>10859</v>
      </c>
      <c r="AH4159" t="s">
        <v>10861</v>
      </c>
      <c r="AI4159">
        <v>234</v>
      </c>
      <c r="AJ4159" t="s">
        <v>10214</v>
      </c>
      <c r="AL4159">
        <v>0.85</v>
      </c>
      <c r="AM4159" t="s">
        <v>10887</v>
      </c>
      <c r="AN4159" t="s">
        <v>10926</v>
      </c>
      <c r="AO4159" t="s">
        <v>11013</v>
      </c>
      <c r="AP4159" t="s">
        <v>11066</v>
      </c>
      <c r="AR4159" t="s">
        <v>11534</v>
      </c>
      <c r="AS4159" t="s">
        <v>9925</v>
      </c>
      <c r="AT4159" t="s">
        <v>11642</v>
      </c>
      <c r="AX4159" t="s">
        <v>10838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</row>
    <row r="4160" spans="1:59">
      <c r="A4160" s="1">
        <f>HYPERLINK("https://lsnyc.legalserver.org/matter/dynamic-profile/view/1908318","19-1908318")</f>
        <v>0</v>
      </c>
      <c r="B4160" t="s">
        <v>3413</v>
      </c>
      <c r="C4160" t="s">
        <v>8204</v>
      </c>
      <c r="D4160" t="s">
        <v>9926</v>
      </c>
      <c r="E4160" t="s">
        <v>10075</v>
      </c>
      <c r="F4160">
        <v>10456</v>
      </c>
      <c r="G4160" t="s">
        <v>10090</v>
      </c>
      <c r="H4160" t="s">
        <v>10143</v>
      </c>
      <c r="I4160" t="s">
        <v>10169</v>
      </c>
      <c r="J4160" t="s">
        <v>10210</v>
      </c>
      <c r="K4160" t="s">
        <v>10217</v>
      </c>
      <c r="M4160" t="s">
        <v>10353</v>
      </c>
      <c r="N4160" t="s">
        <v>10671</v>
      </c>
      <c r="P4160" t="s">
        <v>10751</v>
      </c>
      <c r="Q4160" t="s">
        <v>10761</v>
      </c>
      <c r="R4160" t="s">
        <v>10823</v>
      </c>
      <c r="T4160">
        <v>9300</v>
      </c>
      <c r="U4160">
        <v>775</v>
      </c>
      <c r="V4160">
        <v>55</v>
      </c>
      <c r="W4160">
        <v>2</v>
      </c>
      <c r="X4160">
        <v>1</v>
      </c>
      <c r="Z4160">
        <v>43.6</v>
      </c>
      <c r="AA4160">
        <v>40.818715</v>
      </c>
      <c r="AB4160">
        <v>-73.907094</v>
      </c>
      <c r="AD4160" t="s">
        <v>10839</v>
      </c>
      <c r="AG4160" t="s">
        <v>10858</v>
      </c>
      <c r="AH4160" t="s">
        <v>10874</v>
      </c>
      <c r="AI4160">
        <v>230</v>
      </c>
      <c r="AJ4160" t="s">
        <v>10210</v>
      </c>
      <c r="AL4160">
        <v>0</v>
      </c>
      <c r="AM4160" t="s">
        <v>10884</v>
      </c>
      <c r="AN4160" t="s">
        <v>10918</v>
      </c>
      <c r="AO4160" t="s">
        <v>11001</v>
      </c>
      <c r="AP4160" t="s">
        <v>11062</v>
      </c>
      <c r="AR4160" t="s">
        <v>11535</v>
      </c>
      <c r="AS4160" t="s">
        <v>9926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</row>
    <row r="4161" spans="1:59">
      <c r="A4161" s="1">
        <f>HYPERLINK("https://lsnyc.legalserver.org/matter/dynamic-profile/view/1908320","19-1908320")</f>
        <v>0</v>
      </c>
      <c r="B4161" t="s">
        <v>3414</v>
      </c>
      <c r="C4161" t="s">
        <v>8205</v>
      </c>
      <c r="D4161" t="s">
        <v>9926</v>
      </c>
      <c r="E4161" t="s">
        <v>10075</v>
      </c>
      <c r="F4161">
        <v>10458</v>
      </c>
      <c r="G4161" t="s">
        <v>10091</v>
      </c>
      <c r="H4161" t="s">
        <v>10143</v>
      </c>
      <c r="I4161" t="s">
        <v>10169</v>
      </c>
      <c r="J4161" t="s">
        <v>10214</v>
      </c>
      <c r="K4161" t="s">
        <v>10217</v>
      </c>
      <c r="M4161" t="s">
        <v>10537</v>
      </c>
      <c r="N4161" t="s">
        <v>10671</v>
      </c>
      <c r="P4161" t="s">
        <v>10753</v>
      </c>
      <c r="Q4161" t="s">
        <v>10763</v>
      </c>
      <c r="R4161" t="s">
        <v>10821</v>
      </c>
      <c r="T4161">
        <v>0</v>
      </c>
      <c r="U4161">
        <v>0</v>
      </c>
      <c r="V4161">
        <v>20</v>
      </c>
      <c r="W4161">
        <v>1</v>
      </c>
      <c r="X4161">
        <v>0</v>
      </c>
      <c r="Z4161">
        <v>0</v>
      </c>
      <c r="AA4161">
        <v>40.855573</v>
      </c>
      <c r="AB4161">
        <v>-73.889639</v>
      </c>
      <c r="AD4161" t="s">
        <v>10839</v>
      </c>
      <c r="AF4161" t="s">
        <v>10843</v>
      </c>
      <c r="AG4161" t="s">
        <v>10859</v>
      </c>
      <c r="AH4161" t="s">
        <v>10861</v>
      </c>
      <c r="AI4161">
        <v>234</v>
      </c>
      <c r="AJ4161" t="s">
        <v>10214</v>
      </c>
      <c r="AL4161">
        <v>0.8</v>
      </c>
      <c r="AM4161" t="s">
        <v>10884</v>
      </c>
      <c r="AN4161" t="s">
        <v>10907</v>
      </c>
      <c r="AO4161" t="s">
        <v>11000</v>
      </c>
      <c r="AP4161" t="s">
        <v>11056</v>
      </c>
      <c r="AR4161" t="s">
        <v>11267</v>
      </c>
      <c r="AS4161" t="s">
        <v>9926</v>
      </c>
      <c r="AT4161" t="s">
        <v>11641</v>
      </c>
      <c r="AX4161" t="s">
        <v>10838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</row>
    <row r="4162" spans="1:59">
      <c r="A4162" s="1">
        <f>HYPERLINK("https://lsnyc.legalserver.org/matter/dynamic-profile/view/1908321","19-1908321")</f>
        <v>0</v>
      </c>
      <c r="B4162" t="s">
        <v>3415</v>
      </c>
      <c r="C4162" t="s">
        <v>8206</v>
      </c>
      <c r="D4162" t="s">
        <v>9929</v>
      </c>
      <c r="E4162" t="s">
        <v>10075</v>
      </c>
      <c r="F4162">
        <v>10301</v>
      </c>
      <c r="G4162" t="s">
        <v>10088</v>
      </c>
      <c r="H4162" t="s">
        <v>10159</v>
      </c>
      <c r="I4162" t="s">
        <v>10168</v>
      </c>
      <c r="J4162" t="s">
        <v>10208</v>
      </c>
      <c r="K4162" t="s">
        <v>10218</v>
      </c>
      <c r="L4162" t="s">
        <v>10158</v>
      </c>
      <c r="M4162" t="s">
        <v>10259</v>
      </c>
      <c r="N4162" t="s">
        <v>10650</v>
      </c>
      <c r="P4162" t="s">
        <v>10749</v>
      </c>
      <c r="Q4162" t="s">
        <v>10765</v>
      </c>
      <c r="R4162" t="s">
        <v>10820</v>
      </c>
      <c r="T4162">
        <v>10800</v>
      </c>
      <c r="U4162">
        <v>900</v>
      </c>
      <c r="V4162">
        <v>50</v>
      </c>
      <c r="W4162">
        <v>1</v>
      </c>
      <c r="X4162">
        <v>0</v>
      </c>
      <c r="Y4162" t="s">
        <v>10831</v>
      </c>
      <c r="Z4162">
        <v>86.47</v>
      </c>
      <c r="AA4162">
        <v>40.639461</v>
      </c>
      <c r="AB4162">
        <v>-74.077675</v>
      </c>
      <c r="AD4162" t="s">
        <v>10840</v>
      </c>
      <c r="AG4162" t="s">
        <v>10858</v>
      </c>
      <c r="AH4162" t="s">
        <v>10862</v>
      </c>
      <c r="AI4162">
        <v>285</v>
      </c>
      <c r="AJ4162" t="s">
        <v>10208</v>
      </c>
      <c r="AK4162" t="s">
        <v>10838</v>
      </c>
      <c r="AL4162">
        <v>2.1</v>
      </c>
      <c r="AM4162" t="s">
        <v>10883</v>
      </c>
      <c r="AN4162" t="s">
        <v>10913</v>
      </c>
      <c r="AO4162" t="s">
        <v>11006</v>
      </c>
      <c r="AP4162" t="s">
        <v>11051</v>
      </c>
      <c r="AR4162" t="s">
        <v>11296</v>
      </c>
      <c r="AS4162" t="s">
        <v>11593</v>
      </c>
      <c r="AY4162" t="s">
        <v>10831</v>
      </c>
      <c r="AZ4162" t="s">
        <v>11687</v>
      </c>
      <c r="BA4162" t="s">
        <v>11738</v>
      </c>
      <c r="BB4162">
        <v>0</v>
      </c>
      <c r="BC4162">
        <v>0</v>
      </c>
      <c r="BD4162">
        <v>0</v>
      </c>
      <c r="BE4162">
        <v>0</v>
      </c>
      <c r="BF4162">
        <v>5</v>
      </c>
      <c r="BG4162">
        <v>0</v>
      </c>
    </row>
    <row r="4163" spans="1:59">
      <c r="A4163" s="1">
        <f>HYPERLINK("https://lsnyc.legalserver.org/matter/dynamic-profile/view/1908322","19-1908322")</f>
        <v>0</v>
      </c>
      <c r="B4163" t="s">
        <v>3416</v>
      </c>
      <c r="C4163" t="s">
        <v>7074</v>
      </c>
      <c r="D4163" t="s">
        <v>9926</v>
      </c>
      <c r="E4163" t="s">
        <v>10075</v>
      </c>
      <c r="F4163">
        <v>10468</v>
      </c>
      <c r="G4163" t="s">
        <v>10090</v>
      </c>
      <c r="H4163" t="s">
        <v>10143</v>
      </c>
      <c r="I4163" t="s">
        <v>10169</v>
      </c>
      <c r="J4163" t="s">
        <v>10210</v>
      </c>
      <c r="K4163" t="s">
        <v>10217</v>
      </c>
      <c r="M4163" t="s">
        <v>10372</v>
      </c>
      <c r="N4163" t="s">
        <v>10671</v>
      </c>
      <c r="P4163" t="s">
        <v>10750</v>
      </c>
      <c r="Q4163" t="s">
        <v>10778</v>
      </c>
      <c r="R4163" t="s">
        <v>10821</v>
      </c>
      <c r="T4163">
        <v>38880</v>
      </c>
      <c r="U4163">
        <v>3240</v>
      </c>
      <c r="V4163">
        <v>36</v>
      </c>
      <c r="W4163">
        <v>2</v>
      </c>
      <c r="X4163">
        <v>4</v>
      </c>
      <c r="Z4163">
        <v>112.4</v>
      </c>
      <c r="AA4163">
        <v>40.85916</v>
      </c>
      <c r="AB4163">
        <v>-73.901033</v>
      </c>
      <c r="AD4163" t="s">
        <v>10840</v>
      </c>
      <c r="AF4163" t="s">
        <v>10842</v>
      </c>
      <c r="AG4163" t="s">
        <v>10859</v>
      </c>
      <c r="AH4163" t="s">
        <v>10861</v>
      </c>
      <c r="AI4163">
        <v>234</v>
      </c>
      <c r="AJ4163" t="s">
        <v>10214</v>
      </c>
      <c r="AL4163">
        <v>0.75</v>
      </c>
      <c r="AM4163" t="s">
        <v>10884</v>
      </c>
      <c r="AN4163" t="s">
        <v>10931</v>
      </c>
      <c r="AO4163" t="s">
        <v>11000</v>
      </c>
      <c r="AP4163" t="s">
        <v>11045</v>
      </c>
      <c r="AR4163" t="s">
        <v>11295</v>
      </c>
      <c r="AS4163" t="s">
        <v>9926</v>
      </c>
      <c r="AT4163" t="s">
        <v>11642</v>
      </c>
      <c r="AX4163" t="s">
        <v>10838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</row>
    <row r="4164" spans="1:59">
      <c r="A4164" s="1">
        <f>HYPERLINK("https://lsnyc.legalserver.org/matter/dynamic-profile/view/1908324","19-1908324")</f>
        <v>0</v>
      </c>
      <c r="B4164" t="s">
        <v>70</v>
      </c>
      <c r="C4164" t="s">
        <v>8163</v>
      </c>
      <c r="D4164" t="s">
        <v>9937</v>
      </c>
      <c r="E4164" t="s">
        <v>10075</v>
      </c>
      <c r="F4164">
        <v>11412</v>
      </c>
      <c r="G4164" t="s">
        <v>10091</v>
      </c>
      <c r="H4164" t="s">
        <v>10143</v>
      </c>
      <c r="I4164" t="s">
        <v>10168</v>
      </c>
      <c r="J4164" t="s">
        <v>10214</v>
      </c>
      <c r="K4164" t="s">
        <v>10217</v>
      </c>
      <c r="M4164" t="s">
        <v>10286</v>
      </c>
      <c r="N4164" t="s">
        <v>10671</v>
      </c>
      <c r="P4164" t="s">
        <v>10751</v>
      </c>
      <c r="Q4164" t="s">
        <v>10776</v>
      </c>
      <c r="R4164" t="s">
        <v>10824</v>
      </c>
      <c r="T4164">
        <v>13260</v>
      </c>
      <c r="U4164">
        <v>1105</v>
      </c>
      <c r="V4164">
        <v>66</v>
      </c>
      <c r="W4164">
        <v>1</v>
      </c>
      <c r="X4164">
        <v>0</v>
      </c>
      <c r="Z4164">
        <v>106.16</v>
      </c>
      <c r="AA4164">
        <v>40.70087</v>
      </c>
      <c r="AB4164">
        <v>-73.76588</v>
      </c>
      <c r="AD4164" t="s">
        <v>10839</v>
      </c>
      <c r="AG4164" t="s">
        <v>10858</v>
      </c>
      <c r="AH4164" t="s">
        <v>10871</v>
      </c>
      <c r="AI4164">
        <v>234</v>
      </c>
      <c r="AJ4164" t="s">
        <v>10214</v>
      </c>
      <c r="AL4164">
        <v>1</v>
      </c>
      <c r="AM4164" t="s">
        <v>10892</v>
      </c>
      <c r="AN4164" t="s">
        <v>10955</v>
      </c>
      <c r="AO4164" t="s">
        <v>11020</v>
      </c>
      <c r="AP4164" t="s">
        <v>11075</v>
      </c>
      <c r="AR4164" t="s">
        <v>11257</v>
      </c>
      <c r="AS4164" t="s">
        <v>11594</v>
      </c>
      <c r="AT4164" t="s">
        <v>11641</v>
      </c>
      <c r="AX4164" t="s">
        <v>10838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</row>
    <row r="4165" spans="1:59">
      <c r="A4165" s="1">
        <f>HYPERLINK("https://lsnyc.legalserver.org/matter/dynamic-profile/view/1908325","19-1908325")</f>
        <v>0</v>
      </c>
      <c r="B4165" t="s">
        <v>3417</v>
      </c>
      <c r="C4165" t="s">
        <v>5575</v>
      </c>
      <c r="D4165" t="s">
        <v>9928</v>
      </c>
      <c r="E4165" t="s">
        <v>10075</v>
      </c>
      <c r="F4165">
        <v>11213</v>
      </c>
      <c r="G4165" t="s">
        <v>10093</v>
      </c>
      <c r="H4165" t="s">
        <v>10143</v>
      </c>
      <c r="I4165" t="s">
        <v>10168</v>
      </c>
      <c r="J4165" t="s">
        <v>10213</v>
      </c>
      <c r="K4165" t="s">
        <v>10217</v>
      </c>
      <c r="M4165" t="s">
        <v>10371</v>
      </c>
      <c r="N4165" t="s">
        <v>10650</v>
      </c>
      <c r="P4165" t="s">
        <v>10749</v>
      </c>
      <c r="Q4165" t="s">
        <v>10765</v>
      </c>
      <c r="R4165" t="s">
        <v>10824</v>
      </c>
      <c r="T4165">
        <v>1098</v>
      </c>
      <c r="U4165">
        <v>91.5</v>
      </c>
      <c r="V4165">
        <v>52</v>
      </c>
      <c r="W4165">
        <v>1</v>
      </c>
      <c r="X4165">
        <v>0</v>
      </c>
      <c r="Z4165">
        <v>8.789999999999999</v>
      </c>
      <c r="AA4165">
        <v>40.664746</v>
      </c>
      <c r="AB4165">
        <v>-73.934788</v>
      </c>
      <c r="AD4165" t="s">
        <v>10839</v>
      </c>
      <c r="AG4165" t="s">
        <v>10858</v>
      </c>
      <c r="AH4165" t="s">
        <v>10862</v>
      </c>
      <c r="AI4165">
        <v>239</v>
      </c>
      <c r="AJ4165" t="s">
        <v>10213</v>
      </c>
      <c r="AL4165">
        <v>0</v>
      </c>
      <c r="AM4165" t="s">
        <v>10888</v>
      </c>
      <c r="AN4165" t="s">
        <v>10912</v>
      </c>
      <c r="AO4165" t="s">
        <v>11005</v>
      </c>
      <c r="AP4165" t="s">
        <v>11061</v>
      </c>
      <c r="AR4165" t="s">
        <v>11260</v>
      </c>
      <c r="AS4165" t="s">
        <v>11595</v>
      </c>
      <c r="AT4165" t="s">
        <v>11641</v>
      </c>
      <c r="BA4165" t="s">
        <v>11740</v>
      </c>
      <c r="BB4165">
        <v>0</v>
      </c>
      <c r="BC4165">
        <v>0</v>
      </c>
      <c r="BD4165">
        <v>0</v>
      </c>
      <c r="BE4165">
        <v>0</v>
      </c>
      <c r="BF4165">
        <v>2</v>
      </c>
      <c r="BG4165">
        <v>0</v>
      </c>
    </row>
    <row r="4166" spans="1:59">
      <c r="A4166" s="1">
        <f>HYPERLINK("https://lsnyc.legalserver.org/matter/dynamic-profile/view/1908326","19-1908326")</f>
        <v>0</v>
      </c>
      <c r="B4166" t="s">
        <v>3418</v>
      </c>
      <c r="C4166" t="s">
        <v>8207</v>
      </c>
      <c r="D4166" t="s">
        <v>9928</v>
      </c>
      <c r="E4166" t="s">
        <v>10075</v>
      </c>
      <c r="F4166">
        <v>11207</v>
      </c>
      <c r="G4166" t="s">
        <v>10093</v>
      </c>
      <c r="H4166" t="s">
        <v>10100</v>
      </c>
      <c r="I4166" t="s">
        <v>10168</v>
      </c>
      <c r="J4166" t="s">
        <v>10213</v>
      </c>
      <c r="K4166" t="s">
        <v>10217</v>
      </c>
      <c r="M4166" t="s">
        <v>10249</v>
      </c>
      <c r="N4166" t="s">
        <v>10720</v>
      </c>
      <c r="P4166" t="s">
        <v>10749</v>
      </c>
      <c r="Q4166" t="s">
        <v>10769</v>
      </c>
      <c r="R4166" t="s">
        <v>10824</v>
      </c>
      <c r="T4166">
        <v>79369.12</v>
      </c>
      <c r="U4166">
        <v>6614.09</v>
      </c>
      <c r="V4166">
        <v>68</v>
      </c>
      <c r="W4166">
        <v>2</v>
      </c>
      <c r="X4166">
        <v>0</v>
      </c>
      <c r="Z4166">
        <v>469.36</v>
      </c>
      <c r="AA4166">
        <v>40.670688</v>
      </c>
      <c r="AB4166">
        <v>-73.891419</v>
      </c>
      <c r="AC4166" t="s">
        <v>10838</v>
      </c>
      <c r="AD4166" t="s">
        <v>10839</v>
      </c>
      <c r="AG4166" t="s">
        <v>10858</v>
      </c>
      <c r="AH4166" t="s">
        <v>10860</v>
      </c>
      <c r="AI4166">
        <v>239</v>
      </c>
      <c r="AJ4166" t="s">
        <v>10213</v>
      </c>
      <c r="AL4166">
        <v>6.6</v>
      </c>
      <c r="AM4166" t="s">
        <v>10889</v>
      </c>
      <c r="AN4166" t="s">
        <v>10946</v>
      </c>
      <c r="AO4166" t="s">
        <v>11012</v>
      </c>
      <c r="AP4166" t="s">
        <v>11060</v>
      </c>
      <c r="AQ4166" t="s">
        <v>11098</v>
      </c>
      <c r="AR4166" t="s">
        <v>11536</v>
      </c>
      <c r="AS4166" t="s">
        <v>11595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</row>
    <row r="4167" spans="1:59">
      <c r="A4167" s="1">
        <f>HYPERLINK("https://lsnyc.legalserver.org/matter/dynamic-profile/view/1908327","19-1908327")</f>
        <v>0</v>
      </c>
      <c r="B4167" t="s">
        <v>3414</v>
      </c>
      <c r="C4167" t="s">
        <v>8205</v>
      </c>
      <c r="D4167" t="s">
        <v>9926</v>
      </c>
      <c r="E4167" t="s">
        <v>10075</v>
      </c>
      <c r="F4167">
        <v>10458</v>
      </c>
      <c r="G4167" t="s">
        <v>10091</v>
      </c>
      <c r="H4167" t="s">
        <v>10143</v>
      </c>
      <c r="I4167" t="s">
        <v>10169</v>
      </c>
      <c r="J4167" t="s">
        <v>10214</v>
      </c>
      <c r="K4167" t="s">
        <v>10217</v>
      </c>
      <c r="M4167" t="s">
        <v>10537</v>
      </c>
      <c r="N4167" t="s">
        <v>10671</v>
      </c>
      <c r="P4167" t="s">
        <v>10753</v>
      </c>
      <c r="Q4167" t="s">
        <v>10763</v>
      </c>
      <c r="R4167" t="s">
        <v>10821</v>
      </c>
      <c r="T4167">
        <v>0</v>
      </c>
      <c r="U4167">
        <v>0</v>
      </c>
      <c r="V4167">
        <v>20</v>
      </c>
      <c r="W4167">
        <v>1</v>
      </c>
      <c r="X4167">
        <v>0</v>
      </c>
      <c r="Z4167">
        <v>0</v>
      </c>
      <c r="AA4167">
        <v>40.855573</v>
      </c>
      <c r="AB4167">
        <v>-73.889639</v>
      </c>
      <c r="AC4167" t="s">
        <v>10838</v>
      </c>
      <c r="AD4167" t="s">
        <v>10840</v>
      </c>
      <c r="AF4167" t="s">
        <v>10843</v>
      </c>
      <c r="AG4167" t="s">
        <v>10859</v>
      </c>
      <c r="AH4167" t="s">
        <v>10861</v>
      </c>
      <c r="AI4167">
        <v>234</v>
      </c>
      <c r="AJ4167" t="s">
        <v>10214</v>
      </c>
      <c r="AL4167">
        <v>0.55</v>
      </c>
      <c r="AR4167" t="s">
        <v>11267</v>
      </c>
      <c r="AS4167" t="s">
        <v>9926</v>
      </c>
      <c r="AT4167" t="s">
        <v>11642</v>
      </c>
      <c r="AV4167" t="s">
        <v>11655</v>
      </c>
      <c r="AX4167" t="s">
        <v>10838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</row>
    <row r="4168" spans="1:59">
      <c r="A4168" s="1">
        <f>HYPERLINK("https://lsnyc.legalserver.org/matter/dynamic-profile/view/1908328","19-1908328")</f>
        <v>0</v>
      </c>
      <c r="B4168" t="s">
        <v>2734</v>
      </c>
      <c r="C4168" t="s">
        <v>7518</v>
      </c>
      <c r="D4168" t="s">
        <v>9946</v>
      </c>
      <c r="E4168" t="s">
        <v>10075</v>
      </c>
      <c r="F4168">
        <v>11385</v>
      </c>
      <c r="G4168" t="s">
        <v>10092</v>
      </c>
      <c r="H4168" t="s">
        <v>10143</v>
      </c>
      <c r="J4168" t="s">
        <v>10212</v>
      </c>
      <c r="K4168" t="s">
        <v>10218</v>
      </c>
      <c r="L4168" t="s">
        <v>10116</v>
      </c>
      <c r="M4168" t="s">
        <v>10350</v>
      </c>
      <c r="N4168" t="s">
        <v>10692</v>
      </c>
      <c r="P4168" t="s">
        <v>10754</v>
      </c>
      <c r="Q4168" t="s">
        <v>10775</v>
      </c>
      <c r="R4168" t="s">
        <v>10821</v>
      </c>
      <c r="T4168">
        <v>23400</v>
      </c>
      <c r="U4168">
        <v>1950</v>
      </c>
      <c r="V4168">
        <v>37</v>
      </c>
      <c r="W4168">
        <v>1</v>
      </c>
      <c r="X4168">
        <v>3</v>
      </c>
      <c r="Y4168" t="s">
        <v>10829</v>
      </c>
      <c r="Z4168">
        <v>90.87</v>
      </c>
      <c r="AA4168">
        <v>40.705931</v>
      </c>
      <c r="AB4168">
        <v>-73.915522</v>
      </c>
      <c r="AD4168" t="s">
        <v>10839</v>
      </c>
      <c r="AF4168" t="s">
        <v>10842</v>
      </c>
      <c r="AG4168" t="s">
        <v>10859</v>
      </c>
      <c r="AH4168" t="s">
        <v>10865</v>
      </c>
      <c r="AI4168">
        <v>237</v>
      </c>
      <c r="AJ4168" t="s">
        <v>10212</v>
      </c>
      <c r="AK4168" t="s">
        <v>10837</v>
      </c>
      <c r="AL4168">
        <v>1.5</v>
      </c>
      <c r="AM4168" t="s">
        <v>10886</v>
      </c>
      <c r="AN4168" t="s">
        <v>10961</v>
      </c>
      <c r="AO4168" t="s">
        <v>11003</v>
      </c>
      <c r="AP4168" t="s">
        <v>11071</v>
      </c>
      <c r="AR4168" t="s">
        <v>11257</v>
      </c>
      <c r="AS4168" t="s">
        <v>11594</v>
      </c>
      <c r="AY4168" t="s">
        <v>10829</v>
      </c>
      <c r="AZ4168" t="s">
        <v>11683</v>
      </c>
      <c r="BA4168" t="s">
        <v>11741</v>
      </c>
      <c r="BB4168">
        <v>0</v>
      </c>
      <c r="BC4168">
        <v>0</v>
      </c>
      <c r="BD4168">
        <v>0</v>
      </c>
      <c r="BE4168">
        <v>0</v>
      </c>
      <c r="BF4168">
        <v>1</v>
      </c>
      <c r="BG4168">
        <v>0</v>
      </c>
    </row>
    <row r="4169" spans="1:59">
      <c r="A4169" s="1">
        <f>HYPERLINK("https://lsnyc.legalserver.org/matter/dynamic-profile/view/1908329","19-1908329")</f>
        <v>0</v>
      </c>
      <c r="B4169" t="s">
        <v>3419</v>
      </c>
      <c r="C4169" t="s">
        <v>8208</v>
      </c>
      <c r="D4169" t="s">
        <v>9931</v>
      </c>
      <c r="E4169" t="s">
        <v>10075</v>
      </c>
      <c r="F4169">
        <v>11355</v>
      </c>
      <c r="G4169" t="s">
        <v>10092</v>
      </c>
      <c r="H4169" t="s">
        <v>10143</v>
      </c>
      <c r="J4169" t="s">
        <v>10212</v>
      </c>
      <c r="K4169" t="s">
        <v>10217</v>
      </c>
      <c r="M4169" t="s">
        <v>10343</v>
      </c>
      <c r="N4169" t="s">
        <v>10695</v>
      </c>
      <c r="P4169" t="s">
        <v>10749</v>
      </c>
      <c r="Q4169" t="s">
        <v>10765</v>
      </c>
      <c r="R4169" t="s">
        <v>10822</v>
      </c>
      <c r="T4169">
        <v>20000</v>
      </c>
      <c r="U4169">
        <v>1666.67</v>
      </c>
      <c r="V4169">
        <v>39</v>
      </c>
      <c r="W4169">
        <v>1</v>
      </c>
      <c r="X4169">
        <v>0</v>
      </c>
      <c r="Z4169">
        <v>160.13</v>
      </c>
      <c r="AA4169">
        <v>40.761176</v>
      </c>
      <c r="AB4169">
        <v>-73.815134</v>
      </c>
      <c r="AD4169" t="s">
        <v>10839</v>
      </c>
      <c r="AG4169" t="s">
        <v>10858</v>
      </c>
      <c r="AH4169" t="s">
        <v>10862</v>
      </c>
      <c r="AI4169">
        <v>237</v>
      </c>
      <c r="AJ4169" t="s">
        <v>10212</v>
      </c>
      <c r="AL4169">
        <v>3.9</v>
      </c>
      <c r="AM4169" t="s">
        <v>10890</v>
      </c>
      <c r="AN4169" t="s">
        <v>10927</v>
      </c>
      <c r="AO4169" t="s">
        <v>11009</v>
      </c>
      <c r="AP4169" t="s">
        <v>11067</v>
      </c>
      <c r="AR4169" t="s">
        <v>11262</v>
      </c>
      <c r="AS4169" t="s">
        <v>11594</v>
      </c>
      <c r="AT4169" t="s">
        <v>11641</v>
      </c>
      <c r="AX4169" t="s">
        <v>10838</v>
      </c>
      <c r="BA4169" t="s">
        <v>11741</v>
      </c>
      <c r="BB4169">
        <v>0</v>
      </c>
      <c r="BC4169">
        <v>0</v>
      </c>
      <c r="BD4169">
        <v>0</v>
      </c>
      <c r="BE4169">
        <v>0</v>
      </c>
      <c r="BF4169">
        <v>1</v>
      </c>
      <c r="BG4169">
        <v>0</v>
      </c>
    </row>
    <row r="4170" spans="1:59">
      <c r="A4170" s="1">
        <f>HYPERLINK("https://lsnyc.legalserver.org/matter/dynamic-profile/view/1908330","19-1908330")</f>
        <v>0</v>
      </c>
      <c r="B4170" t="s">
        <v>3135</v>
      </c>
      <c r="C4170" t="s">
        <v>7922</v>
      </c>
      <c r="D4170" t="s">
        <v>9938</v>
      </c>
      <c r="E4170" t="s">
        <v>10075</v>
      </c>
      <c r="F4170">
        <v>11434</v>
      </c>
      <c r="G4170" t="s">
        <v>10092</v>
      </c>
      <c r="H4170" t="s">
        <v>10143</v>
      </c>
      <c r="I4170" t="s">
        <v>10168</v>
      </c>
      <c r="J4170" t="s">
        <v>10212</v>
      </c>
      <c r="K4170" t="s">
        <v>10217</v>
      </c>
      <c r="M4170" t="s">
        <v>10423</v>
      </c>
      <c r="N4170" t="s">
        <v>10709</v>
      </c>
      <c r="P4170" t="s">
        <v>10754</v>
      </c>
      <c r="Q4170" t="s">
        <v>10766</v>
      </c>
      <c r="R4170" t="s">
        <v>10824</v>
      </c>
      <c r="T4170">
        <v>14400</v>
      </c>
      <c r="U4170">
        <v>1200</v>
      </c>
      <c r="V4170">
        <v>32</v>
      </c>
      <c r="W4170">
        <v>1</v>
      </c>
      <c r="X4170">
        <v>1</v>
      </c>
      <c r="Z4170">
        <v>85.16</v>
      </c>
      <c r="AA4170">
        <v>40.68081</v>
      </c>
      <c r="AB4170">
        <v>-73.772188</v>
      </c>
      <c r="AD4170" t="s">
        <v>10839</v>
      </c>
      <c r="AF4170" t="s">
        <v>10848</v>
      </c>
      <c r="AG4170" t="s">
        <v>10859</v>
      </c>
      <c r="AH4170" t="s">
        <v>10865</v>
      </c>
      <c r="AI4170">
        <v>237</v>
      </c>
      <c r="AJ4170" t="s">
        <v>10212</v>
      </c>
      <c r="AL4170">
        <v>16</v>
      </c>
      <c r="AM4170" t="s">
        <v>10892</v>
      </c>
      <c r="AN4170" t="s">
        <v>10951</v>
      </c>
      <c r="AO4170" t="s">
        <v>11017</v>
      </c>
      <c r="AP4170" t="s">
        <v>11075</v>
      </c>
      <c r="AR4170" t="s">
        <v>11257</v>
      </c>
      <c r="AS4170" t="s">
        <v>11594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</row>
    <row r="4171" spans="1:59">
      <c r="A4171" s="1">
        <f>HYPERLINK("https://lsnyc.legalserver.org/matter/dynamic-profile/view/1908331","19-1908331")</f>
        <v>0</v>
      </c>
      <c r="B4171" t="s">
        <v>3420</v>
      </c>
      <c r="C4171" t="s">
        <v>8209</v>
      </c>
      <c r="D4171" t="s">
        <v>9928</v>
      </c>
      <c r="E4171" t="s">
        <v>10075</v>
      </c>
      <c r="F4171">
        <v>11216</v>
      </c>
      <c r="G4171" t="s">
        <v>10093</v>
      </c>
      <c r="H4171" t="s">
        <v>10143</v>
      </c>
      <c r="I4171" t="s">
        <v>10168</v>
      </c>
      <c r="J4171" t="s">
        <v>10213</v>
      </c>
      <c r="K4171" t="s">
        <v>10217</v>
      </c>
      <c r="M4171" t="s">
        <v>10264</v>
      </c>
      <c r="N4171" t="s">
        <v>10657</v>
      </c>
      <c r="P4171" t="s">
        <v>10749</v>
      </c>
      <c r="Q4171" t="s">
        <v>10765</v>
      </c>
      <c r="R4171" t="s">
        <v>10822</v>
      </c>
      <c r="T4171">
        <v>13000</v>
      </c>
      <c r="U4171">
        <v>1083.33</v>
      </c>
      <c r="V4171">
        <v>49</v>
      </c>
      <c r="W4171">
        <v>1</v>
      </c>
      <c r="X4171">
        <v>0</v>
      </c>
      <c r="Z4171">
        <v>104.08</v>
      </c>
      <c r="AA4171">
        <v>40.686587</v>
      </c>
      <c r="AB4171">
        <v>-73.95576</v>
      </c>
      <c r="AD4171" t="s">
        <v>10840</v>
      </c>
      <c r="AG4171" t="s">
        <v>10858</v>
      </c>
      <c r="AH4171" t="s">
        <v>10861</v>
      </c>
      <c r="AI4171">
        <v>239</v>
      </c>
      <c r="AJ4171" t="s">
        <v>10213</v>
      </c>
      <c r="AL4171">
        <v>6.7</v>
      </c>
      <c r="AR4171" t="s">
        <v>11276</v>
      </c>
      <c r="AS4171" t="s">
        <v>11595</v>
      </c>
      <c r="AV4171" t="s">
        <v>11661</v>
      </c>
      <c r="BA4171" t="s">
        <v>11738</v>
      </c>
      <c r="BB4171">
        <v>0</v>
      </c>
      <c r="BC4171">
        <v>0</v>
      </c>
      <c r="BD4171">
        <v>0</v>
      </c>
      <c r="BE4171">
        <v>0</v>
      </c>
      <c r="BF4171">
        <v>5</v>
      </c>
      <c r="BG4171">
        <v>0</v>
      </c>
    </row>
    <row r="4172" spans="1:59">
      <c r="A4172" s="1">
        <f>HYPERLINK("https://lsnyc.legalserver.org/matter/dynamic-profile/view/1908332","19-1908332")</f>
        <v>0</v>
      </c>
      <c r="B4172" t="s">
        <v>3421</v>
      </c>
      <c r="C4172" t="s">
        <v>6018</v>
      </c>
      <c r="D4172" t="s">
        <v>9925</v>
      </c>
      <c r="E4172" t="s">
        <v>10075</v>
      </c>
      <c r="F4172">
        <v>10039</v>
      </c>
      <c r="G4172" t="s">
        <v>10089</v>
      </c>
      <c r="H4172" t="s">
        <v>10143</v>
      </c>
      <c r="I4172" t="s">
        <v>10168</v>
      </c>
      <c r="J4172" t="s">
        <v>10209</v>
      </c>
      <c r="K4172" t="s">
        <v>10217</v>
      </c>
      <c r="M4172" t="s">
        <v>10488</v>
      </c>
      <c r="N4172" t="s">
        <v>10673</v>
      </c>
      <c r="P4172" t="s">
        <v>10754</v>
      </c>
      <c r="Q4172" t="s">
        <v>10775</v>
      </c>
      <c r="R4172" t="s">
        <v>10824</v>
      </c>
      <c r="T4172">
        <v>26400</v>
      </c>
      <c r="U4172">
        <v>2200</v>
      </c>
      <c r="V4172">
        <v>38</v>
      </c>
      <c r="W4172">
        <v>1</v>
      </c>
      <c r="X4172">
        <v>2</v>
      </c>
      <c r="Z4172">
        <v>123.77</v>
      </c>
      <c r="AA4172">
        <v>40.82377</v>
      </c>
      <c r="AB4172">
        <v>-73.94151599999999</v>
      </c>
      <c r="AD4172" t="s">
        <v>10840</v>
      </c>
      <c r="AF4172" t="s">
        <v>10843</v>
      </c>
      <c r="AG4172" t="s">
        <v>10858</v>
      </c>
      <c r="AH4172" t="s">
        <v>10864</v>
      </c>
      <c r="AI4172">
        <v>236</v>
      </c>
      <c r="AJ4172" t="s">
        <v>10209</v>
      </c>
      <c r="AL4172">
        <v>13.75</v>
      </c>
      <c r="AM4172" t="s">
        <v>10887</v>
      </c>
      <c r="AN4172" t="s">
        <v>10943</v>
      </c>
      <c r="AO4172" t="s">
        <v>11016</v>
      </c>
      <c r="AP4172" t="s">
        <v>11076</v>
      </c>
      <c r="AQ4172" t="s">
        <v>11143</v>
      </c>
      <c r="AR4172" t="s">
        <v>11257</v>
      </c>
      <c r="AS4172" t="s">
        <v>9925</v>
      </c>
      <c r="BA4172" t="s">
        <v>11738</v>
      </c>
      <c r="BB4172">
        <v>0</v>
      </c>
      <c r="BC4172">
        <v>0</v>
      </c>
      <c r="BD4172">
        <v>0</v>
      </c>
      <c r="BE4172">
        <v>0</v>
      </c>
      <c r="BF4172">
        <v>5</v>
      </c>
      <c r="BG4172">
        <v>0</v>
      </c>
    </row>
    <row r="4173" spans="1:59">
      <c r="A4173" s="1">
        <f>HYPERLINK("https://lsnyc.legalserver.org/matter/dynamic-profile/view/1908333","19-1908333")</f>
        <v>0</v>
      </c>
      <c r="B4173" t="s">
        <v>3422</v>
      </c>
      <c r="C4173" t="s">
        <v>8210</v>
      </c>
      <c r="D4173" t="s">
        <v>9936</v>
      </c>
      <c r="E4173" t="s">
        <v>10075</v>
      </c>
      <c r="F4173">
        <v>11103</v>
      </c>
      <c r="G4173" t="s">
        <v>10092</v>
      </c>
      <c r="H4173" t="s">
        <v>10143</v>
      </c>
      <c r="J4173" t="s">
        <v>10212</v>
      </c>
      <c r="K4173" t="s">
        <v>10217</v>
      </c>
      <c r="M4173" t="s">
        <v>10374</v>
      </c>
      <c r="N4173" t="s">
        <v>10692</v>
      </c>
      <c r="P4173" t="s">
        <v>10754</v>
      </c>
      <c r="Q4173" t="s">
        <v>10777</v>
      </c>
      <c r="R4173" t="s">
        <v>10821</v>
      </c>
      <c r="T4173">
        <v>20800</v>
      </c>
      <c r="U4173">
        <v>1733.33</v>
      </c>
      <c r="V4173">
        <v>29</v>
      </c>
      <c r="W4173">
        <v>1</v>
      </c>
      <c r="X4173">
        <v>1</v>
      </c>
      <c r="Z4173">
        <v>123</v>
      </c>
      <c r="AA4173">
        <v>40.767561</v>
      </c>
      <c r="AB4173">
        <v>-73.91274799999999</v>
      </c>
      <c r="AD4173" t="s">
        <v>10839</v>
      </c>
      <c r="AG4173" t="s">
        <v>10858</v>
      </c>
      <c r="AH4173" t="s">
        <v>10865</v>
      </c>
      <c r="AI4173">
        <v>237</v>
      </c>
      <c r="AJ4173" t="s">
        <v>10212</v>
      </c>
      <c r="AL4173">
        <v>6.75</v>
      </c>
      <c r="AM4173" t="s">
        <v>10891</v>
      </c>
      <c r="AN4173" t="s">
        <v>10954</v>
      </c>
      <c r="AO4173" t="s">
        <v>11003</v>
      </c>
      <c r="AP4173" t="s">
        <v>11084</v>
      </c>
      <c r="AR4173" t="s">
        <v>11257</v>
      </c>
      <c r="AS4173" t="s">
        <v>11594</v>
      </c>
      <c r="BA4173" t="s">
        <v>11738</v>
      </c>
      <c r="BB4173">
        <v>0</v>
      </c>
      <c r="BC4173">
        <v>0</v>
      </c>
      <c r="BD4173">
        <v>0</v>
      </c>
      <c r="BE4173">
        <v>0</v>
      </c>
      <c r="BF4173">
        <v>5</v>
      </c>
      <c r="BG4173">
        <v>0</v>
      </c>
    </row>
    <row r="4174" spans="1:59">
      <c r="A4174" s="1">
        <f>HYPERLINK("https://lsnyc.legalserver.org/matter/dynamic-profile/view/1908334","19-1908334")</f>
        <v>0</v>
      </c>
      <c r="B4174" t="s">
        <v>3423</v>
      </c>
      <c r="C4174" t="s">
        <v>8211</v>
      </c>
      <c r="D4174" t="s">
        <v>9928</v>
      </c>
      <c r="E4174" t="s">
        <v>10075</v>
      </c>
      <c r="F4174">
        <v>11206</v>
      </c>
      <c r="G4174" t="s">
        <v>10093</v>
      </c>
      <c r="H4174" t="s">
        <v>10143</v>
      </c>
      <c r="J4174" t="s">
        <v>10213</v>
      </c>
      <c r="K4174" t="s">
        <v>10217</v>
      </c>
      <c r="M4174" t="s">
        <v>10317</v>
      </c>
      <c r="N4174" t="s">
        <v>10671</v>
      </c>
      <c r="P4174" t="s">
        <v>10751</v>
      </c>
      <c r="Q4174" t="s">
        <v>10761</v>
      </c>
      <c r="R4174" t="s">
        <v>10821</v>
      </c>
      <c r="T4174">
        <v>12192</v>
      </c>
      <c r="U4174">
        <v>1016</v>
      </c>
      <c r="V4174">
        <v>31</v>
      </c>
      <c r="W4174">
        <v>2</v>
      </c>
      <c r="X4174">
        <v>2</v>
      </c>
      <c r="Z4174">
        <v>47.35</v>
      </c>
      <c r="AA4174">
        <v>40.693081</v>
      </c>
      <c r="AB4174">
        <v>-73.94560300000001</v>
      </c>
      <c r="AD4174" t="s">
        <v>10840</v>
      </c>
      <c r="AG4174" t="s">
        <v>10858</v>
      </c>
      <c r="AH4174" t="s">
        <v>10874</v>
      </c>
      <c r="AI4174">
        <v>239</v>
      </c>
      <c r="AJ4174" t="s">
        <v>10213</v>
      </c>
      <c r="AL4174">
        <v>7.1</v>
      </c>
      <c r="AM4174" t="s">
        <v>10889</v>
      </c>
      <c r="AN4174" t="s">
        <v>10914</v>
      </c>
      <c r="AO4174" t="s">
        <v>11007</v>
      </c>
      <c r="AP4174" t="s">
        <v>11052</v>
      </c>
      <c r="AR4174" t="s">
        <v>11353</v>
      </c>
      <c r="AS4174" t="s">
        <v>11595</v>
      </c>
      <c r="AX4174" t="s">
        <v>10838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</row>
    <row r="4175" spans="1:59">
      <c r="A4175" s="1">
        <f>HYPERLINK("https://lsnyc.legalserver.org/matter/dynamic-profile/view/1908335","19-1908335")</f>
        <v>0</v>
      </c>
      <c r="B4175" t="s">
        <v>1922</v>
      </c>
      <c r="C4175" t="s">
        <v>6716</v>
      </c>
      <c r="D4175" t="s">
        <v>9926</v>
      </c>
      <c r="E4175" t="s">
        <v>10075</v>
      </c>
      <c r="F4175">
        <v>10470</v>
      </c>
      <c r="G4175" t="s">
        <v>10090</v>
      </c>
      <c r="H4175" t="s">
        <v>10143</v>
      </c>
      <c r="I4175" t="s">
        <v>10168</v>
      </c>
      <c r="J4175" t="s">
        <v>10210</v>
      </c>
      <c r="K4175" t="s">
        <v>10218</v>
      </c>
      <c r="L4175" t="s">
        <v>10151</v>
      </c>
      <c r="M4175" t="s">
        <v>10262</v>
      </c>
      <c r="N4175" t="s">
        <v>10666</v>
      </c>
      <c r="P4175" t="s">
        <v>10749</v>
      </c>
      <c r="Q4175" t="s">
        <v>10765</v>
      </c>
      <c r="R4175" t="s">
        <v>10821</v>
      </c>
      <c r="T4175">
        <v>17000</v>
      </c>
      <c r="U4175">
        <v>1416.67</v>
      </c>
      <c r="V4175">
        <v>32</v>
      </c>
      <c r="W4175">
        <v>1</v>
      </c>
      <c r="X4175">
        <v>2</v>
      </c>
      <c r="Y4175" t="s">
        <v>10829</v>
      </c>
      <c r="Z4175">
        <v>79.7</v>
      </c>
      <c r="AA4175">
        <v>40.896947</v>
      </c>
      <c r="AB4175">
        <v>-73.864786</v>
      </c>
      <c r="AD4175" t="s">
        <v>10839</v>
      </c>
      <c r="AG4175" t="s">
        <v>10858</v>
      </c>
      <c r="AH4175" t="s">
        <v>10862</v>
      </c>
      <c r="AI4175">
        <v>230</v>
      </c>
      <c r="AJ4175" t="s">
        <v>10210</v>
      </c>
      <c r="AK4175" t="s">
        <v>10837</v>
      </c>
      <c r="AL4175">
        <v>0.5</v>
      </c>
      <c r="AM4175" t="s">
        <v>10893</v>
      </c>
      <c r="AN4175" t="s">
        <v>10919</v>
      </c>
      <c r="AO4175" t="s">
        <v>11002</v>
      </c>
      <c r="AP4175" t="s">
        <v>11057</v>
      </c>
      <c r="AR4175" t="s">
        <v>11257</v>
      </c>
      <c r="AS4175" t="s">
        <v>9926</v>
      </c>
      <c r="AY4175" t="s">
        <v>10829</v>
      </c>
      <c r="AZ4175" t="s">
        <v>11681</v>
      </c>
      <c r="BA4175" t="s">
        <v>11741</v>
      </c>
      <c r="BB4175">
        <v>0</v>
      </c>
      <c r="BC4175">
        <v>0</v>
      </c>
      <c r="BD4175">
        <v>0</v>
      </c>
      <c r="BE4175">
        <v>0</v>
      </c>
      <c r="BF4175">
        <v>1</v>
      </c>
      <c r="BG4175">
        <v>0</v>
      </c>
    </row>
    <row r="4176" spans="1:59">
      <c r="A4176" s="1">
        <f>HYPERLINK("https://lsnyc.legalserver.org/matter/dynamic-profile/view/1908336","19-1908336")</f>
        <v>0</v>
      </c>
      <c r="B4176" t="s">
        <v>3424</v>
      </c>
      <c r="C4176" t="s">
        <v>8212</v>
      </c>
      <c r="D4176" t="s">
        <v>9926</v>
      </c>
      <c r="E4176" t="s">
        <v>10075</v>
      </c>
      <c r="F4176">
        <v>10460</v>
      </c>
      <c r="G4176" t="s">
        <v>10090</v>
      </c>
      <c r="H4176" t="s">
        <v>10137</v>
      </c>
      <c r="I4176" t="s">
        <v>10169</v>
      </c>
      <c r="J4176" t="s">
        <v>10210</v>
      </c>
      <c r="K4176" t="s">
        <v>10217</v>
      </c>
      <c r="M4176" t="s">
        <v>10353</v>
      </c>
      <c r="N4176" t="s">
        <v>10671</v>
      </c>
      <c r="P4176" t="s">
        <v>10753</v>
      </c>
      <c r="Q4176" t="s">
        <v>10790</v>
      </c>
      <c r="R4176" t="s">
        <v>10823</v>
      </c>
      <c r="T4176">
        <v>5088</v>
      </c>
      <c r="U4176">
        <v>424</v>
      </c>
      <c r="V4176">
        <v>56</v>
      </c>
      <c r="W4176">
        <v>2</v>
      </c>
      <c r="X4176">
        <v>2</v>
      </c>
      <c r="Z4176">
        <v>19.76</v>
      </c>
      <c r="AA4176">
        <v>40.840515</v>
      </c>
      <c r="AB4176">
        <v>-73.874917</v>
      </c>
      <c r="AD4176" t="s">
        <v>10839</v>
      </c>
      <c r="AG4176" t="s">
        <v>10858</v>
      </c>
      <c r="AH4176" t="s">
        <v>10874</v>
      </c>
      <c r="AI4176">
        <v>230</v>
      </c>
      <c r="AJ4176" t="s">
        <v>10210</v>
      </c>
      <c r="AL4176">
        <v>1.5</v>
      </c>
      <c r="AM4176" t="s">
        <v>10884</v>
      </c>
      <c r="AN4176" t="s">
        <v>10908</v>
      </c>
      <c r="AO4176" t="s">
        <v>11001</v>
      </c>
      <c r="AP4176" t="s">
        <v>11056</v>
      </c>
      <c r="AR4176" t="s">
        <v>11327</v>
      </c>
      <c r="AS4176" t="s">
        <v>9926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</row>
    <row r="4177" spans="1:59">
      <c r="A4177" s="1">
        <f>HYPERLINK("https://lsnyc.legalserver.org/matter/dynamic-profile/view/1908337","19-1908337")</f>
        <v>0</v>
      </c>
      <c r="B4177" t="s">
        <v>3425</v>
      </c>
      <c r="C4177" t="s">
        <v>8213</v>
      </c>
      <c r="D4177" t="s">
        <v>9975</v>
      </c>
      <c r="E4177" t="s">
        <v>10075</v>
      </c>
      <c r="F4177">
        <v>11415</v>
      </c>
      <c r="G4177" t="s">
        <v>10092</v>
      </c>
      <c r="H4177" t="s">
        <v>10143</v>
      </c>
      <c r="J4177" t="s">
        <v>10212</v>
      </c>
      <c r="K4177" t="s">
        <v>10217</v>
      </c>
      <c r="M4177" t="s">
        <v>10343</v>
      </c>
      <c r="N4177" t="s">
        <v>10695</v>
      </c>
      <c r="P4177" t="s">
        <v>10749</v>
      </c>
      <c r="Q4177" t="s">
        <v>10765</v>
      </c>
      <c r="R4177" t="s">
        <v>10821</v>
      </c>
      <c r="T4177">
        <v>15600</v>
      </c>
      <c r="U4177">
        <v>1300</v>
      </c>
      <c r="V4177">
        <v>51</v>
      </c>
      <c r="W4177">
        <v>1</v>
      </c>
      <c r="X4177">
        <v>2</v>
      </c>
      <c r="Z4177">
        <v>73.14</v>
      </c>
      <c r="AA4177">
        <v>40.706291</v>
      </c>
      <c r="AB4177">
        <v>-73.83432500000001</v>
      </c>
      <c r="AD4177" t="s">
        <v>10839</v>
      </c>
      <c r="AG4177" t="s">
        <v>10858</v>
      </c>
      <c r="AH4177" t="s">
        <v>10862</v>
      </c>
      <c r="AI4177">
        <v>237</v>
      </c>
      <c r="AJ4177" t="s">
        <v>10212</v>
      </c>
      <c r="AL4177">
        <v>0.5</v>
      </c>
      <c r="AM4177" t="s">
        <v>10890</v>
      </c>
      <c r="AN4177" t="s">
        <v>10962</v>
      </c>
      <c r="AO4177" t="s">
        <v>11020</v>
      </c>
      <c r="AP4177" t="s">
        <v>11083</v>
      </c>
      <c r="AR4177" t="s">
        <v>11401</v>
      </c>
      <c r="AS4177" t="s">
        <v>11594</v>
      </c>
      <c r="AT4177" t="s">
        <v>11641</v>
      </c>
      <c r="AX4177" t="s">
        <v>10838</v>
      </c>
      <c r="BA4177" t="s">
        <v>11741</v>
      </c>
      <c r="BB4177">
        <v>0</v>
      </c>
      <c r="BC4177">
        <v>0</v>
      </c>
      <c r="BD4177">
        <v>0</v>
      </c>
      <c r="BE4177">
        <v>0</v>
      </c>
      <c r="BF4177">
        <v>1</v>
      </c>
      <c r="BG4177">
        <v>0</v>
      </c>
    </row>
    <row r="4178" spans="1:59">
      <c r="A4178" s="1">
        <f>HYPERLINK("https://lsnyc.legalserver.org/matter/dynamic-profile/view/1908338","19-1908338")</f>
        <v>0</v>
      </c>
      <c r="B4178" t="s">
        <v>3426</v>
      </c>
      <c r="C4178" t="s">
        <v>8214</v>
      </c>
      <c r="D4178" t="s">
        <v>9926</v>
      </c>
      <c r="E4178" t="s">
        <v>10075</v>
      </c>
      <c r="F4178">
        <v>10462</v>
      </c>
      <c r="G4178" t="s">
        <v>10090</v>
      </c>
      <c r="H4178" t="s">
        <v>10143</v>
      </c>
      <c r="I4178" t="s">
        <v>10168</v>
      </c>
      <c r="J4178" t="s">
        <v>10210</v>
      </c>
      <c r="K4178" t="s">
        <v>10217</v>
      </c>
      <c r="M4178" t="s">
        <v>10353</v>
      </c>
      <c r="N4178" t="s">
        <v>10671</v>
      </c>
      <c r="P4178" t="s">
        <v>10749</v>
      </c>
      <c r="Q4178" t="s">
        <v>10767</v>
      </c>
      <c r="R4178" t="s">
        <v>10820</v>
      </c>
      <c r="T4178">
        <v>8652</v>
      </c>
      <c r="U4178">
        <v>721</v>
      </c>
      <c r="V4178">
        <v>49</v>
      </c>
      <c r="W4178">
        <v>2</v>
      </c>
      <c r="X4178">
        <v>0</v>
      </c>
      <c r="Z4178">
        <v>51.16</v>
      </c>
      <c r="AA4178">
        <v>40.840954</v>
      </c>
      <c r="AB4178">
        <v>-73.86105999999999</v>
      </c>
      <c r="AD4178" t="s">
        <v>10839</v>
      </c>
      <c r="AG4178" t="s">
        <v>10858</v>
      </c>
      <c r="AH4178" t="s">
        <v>10862</v>
      </c>
      <c r="AI4178">
        <v>230</v>
      </c>
      <c r="AJ4178" t="s">
        <v>10210</v>
      </c>
      <c r="AL4178">
        <v>0.75</v>
      </c>
      <c r="AM4178" t="s">
        <v>10885</v>
      </c>
      <c r="AN4178" t="s">
        <v>10908</v>
      </c>
      <c r="AO4178" t="s">
        <v>11001</v>
      </c>
      <c r="AP4178" t="s">
        <v>11046</v>
      </c>
      <c r="AQ4178" t="s">
        <v>11144</v>
      </c>
      <c r="AR4178" t="s">
        <v>11296</v>
      </c>
      <c r="AS4178" t="s">
        <v>9926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</row>
    <row r="4179" spans="1:59">
      <c r="A4179" s="1">
        <f>HYPERLINK("https://lsnyc.legalserver.org/matter/dynamic-profile/view/1908339","19-1908339")</f>
        <v>0</v>
      </c>
      <c r="B4179" t="s">
        <v>3427</v>
      </c>
      <c r="C4179" t="s">
        <v>8215</v>
      </c>
      <c r="D4179" t="s">
        <v>9928</v>
      </c>
      <c r="E4179" t="s">
        <v>10075</v>
      </c>
      <c r="F4179">
        <v>11235</v>
      </c>
      <c r="G4179" t="s">
        <v>10093</v>
      </c>
      <c r="H4179" t="s">
        <v>10145</v>
      </c>
      <c r="I4179" t="s">
        <v>10171</v>
      </c>
      <c r="J4179" t="s">
        <v>10213</v>
      </c>
      <c r="K4179" t="s">
        <v>10218</v>
      </c>
      <c r="L4179" t="s">
        <v>10155</v>
      </c>
      <c r="M4179" t="s">
        <v>10390</v>
      </c>
      <c r="N4179" t="s">
        <v>10644</v>
      </c>
      <c r="P4179" t="s">
        <v>10749</v>
      </c>
      <c r="Q4179" t="s">
        <v>10774</v>
      </c>
      <c r="R4179" t="s">
        <v>10820</v>
      </c>
      <c r="T4179">
        <v>10296</v>
      </c>
      <c r="U4179">
        <v>858</v>
      </c>
      <c r="V4179">
        <v>77</v>
      </c>
      <c r="W4179">
        <v>1</v>
      </c>
      <c r="X4179">
        <v>0</v>
      </c>
      <c r="Y4179" t="s">
        <v>10829</v>
      </c>
      <c r="Z4179">
        <v>82.43000000000001</v>
      </c>
      <c r="AA4179">
        <v>40.576079</v>
      </c>
      <c r="AB4179">
        <v>-73.96280299999999</v>
      </c>
      <c r="AD4179" t="s">
        <v>10839</v>
      </c>
      <c r="AG4179" t="s">
        <v>10858</v>
      </c>
      <c r="AH4179" t="s">
        <v>10869</v>
      </c>
      <c r="AI4179">
        <v>239</v>
      </c>
      <c r="AJ4179" t="s">
        <v>10213</v>
      </c>
      <c r="AK4179" t="s">
        <v>10838</v>
      </c>
      <c r="AL4179">
        <v>3</v>
      </c>
      <c r="AM4179" t="s">
        <v>10889</v>
      </c>
      <c r="AN4179" t="s">
        <v>10960</v>
      </c>
      <c r="AO4179" t="s">
        <v>11006</v>
      </c>
      <c r="AP4179" t="s">
        <v>11092</v>
      </c>
      <c r="AQ4179" t="s">
        <v>11136</v>
      </c>
      <c r="AR4179" t="s">
        <v>11263</v>
      </c>
      <c r="AS4179" t="s">
        <v>11595</v>
      </c>
      <c r="AY4179" t="s">
        <v>10829</v>
      </c>
      <c r="AZ4179" t="s">
        <v>11681</v>
      </c>
      <c r="BA4179" t="s">
        <v>11740</v>
      </c>
      <c r="BB4179">
        <v>0</v>
      </c>
      <c r="BC4179">
        <v>0</v>
      </c>
      <c r="BD4179">
        <v>0</v>
      </c>
      <c r="BE4179">
        <v>0</v>
      </c>
      <c r="BF4179">
        <v>2</v>
      </c>
      <c r="BG4179">
        <v>0</v>
      </c>
    </row>
    <row r="4180" spans="1:59">
      <c r="A4180" s="1">
        <f>HYPERLINK("https://lsnyc.legalserver.org/matter/dynamic-profile/view/1908340","19-1908340")</f>
        <v>0</v>
      </c>
      <c r="B4180" t="s">
        <v>3428</v>
      </c>
      <c r="C4180" t="s">
        <v>8216</v>
      </c>
      <c r="D4180" t="s">
        <v>9928</v>
      </c>
      <c r="E4180" t="s">
        <v>10075</v>
      </c>
      <c r="F4180">
        <v>11213</v>
      </c>
      <c r="G4180" t="s">
        <v>10093</v>
      </c>
      <c r="H4180" t="s">
        <v>10143</v>
      </c>
      <c r="I4180" t="s">
        <v>10168</v>
      </c>
      <c r="J4180" t="s">
        <v>10213</v>
      </c>
      <c r="K4180" t="s">
        <v>10217</v>
      </c>
      <c r="M4180" t="s">
        <v>10264</v>
      </c>
      <c r="N4180" t="s">
        <v>10657</v>
      </c>
      <c r="P4180" t="s">
        <v>10749</v>
      </c>
      <c r="Q4180" t="s">
        <v>10765</v>
      </c>
      <c r="R4180" t="s">
        <v>10824</v>
      </c>
      <c r="T4180">
        <v>6474</v>
      </c>
      <c r="U4180">
        <v>539.5</v>
      </c>
      <c r="V4180">
        <v>53</v>
      </c>
      <c r="W4180">
        <v>3</v>
      </c>
      <c r="X4180">
        <v>0</v>
      </c>
      <c r="Z4180">
        <v>30.35</v>
      </c>
      <c r="AA4180">
        <v>40.679371</v>
      </c>
      <c r="AB4180">
        <v>-73.933131</v>
      </c>
      <c r="AD4180" t="s">
        <v>10839</v>
      </c>
      <c r="AG4180" t="s">
        <v>10858</v>
      </c>
      <c r="AH4180" t="s">
        <v>10861</v>
      </c>
      <c r="AI4180">
        <v>239</v>
      </c>
      <c r="AJ4180" t="s">
        <v>10213</v>
      </c>
      <c r="AL4180">
        <v>1</v>
      </c>
      <c r="AM4180" t="s">
        <v>10889</v>
      </c>
      <c r="AN4180" t="s">
        <v>10914</v>
      </c>
      <c r="AO4180" t="s">
        <v>11007</v>
      </c>
      <c r="AP4180" t="s">
        <v>11052</v>
      </c>
      <c r="AR4180" t="s">
        <v>11281</v>
      </c>
      <c r="AS4180" t="s">
        <v>11595</v>
      </c>
      <c r="AT4180" t="s">
        <v>11641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</row>
    <row r="4181" spans="1:59">
      <c r="A4181" s="1">
        <f>HYPERLINK("https://lsnyc.legalserver.org/matter/dynamic-profile/view/1908341","19-1908341")</f>
        <v>0</v>
      </c>
      <c r="B4181" t="s">
        <v>3429</v>
      </c>
      <c r="C4181" t="s">
        <v>8217</v>
      </c>
      <c r="D4181" t="s">
        <v>9926</v>
      </c>
      <c r="E4181" t="s">
        <v>10075</v>
      </c>
      <c r="F4181">
        <v>10467</v>
      </c>
      <c r="G4181" t="s">
        <v>10090</v>
      </c>
      <c r="H4181" t="s">
        <v>10143</v>
      </c>
      <c r="I4181" t="s">
        <v>10168</v>
      </c>
      <c r="J4181" t="s">
        <v>10210</v>
      </c>
      <c r="K4181" t="s">
        <v>10218</v>
      </c>
      <c r="L4181" t="s">
        <v>10108</v>
      </c>
      <c r="M4181" t="s">
        <v>10353</v>
      </c>
      <c r="N4181" t="s">
        <v>10671</v>
      </c>
      <c r="P4181" t="s">
        <v>10751</v>
      </c>
      <c r="Q4181" t="s">
        <v>10776</v>
      </c>
      <c r="R4181" t="s">
        <v>10821</v>
      </c>
      <c r="T4181">
        <v>3600</v>
      </c>
      <c r="U4181">
        <v>300</v>
      </c>
      <c r="V4181">
        <v>33</v>
      </c>
      <c r="W4181">
        <v>2</v>
      </c>
      <c r="X4181">
        <v>2</v>
      </c>
      <c r="Y4181" t="s">
        <v>10829</v>
      </c>
      <c r="Z4181">
        <v>13.98</v>
      </c>
      <c r="AA4181">
        <v>40.882613</v>
      </c>
      <c r="AB4181">
        <v>-73.88431</v>
      </c>
      <c r="AD4181" t="s">
        <v>10840</v>
      </c>
      <c r="AG4181" t="s">
        <v>10858</v>
      </c>
      <c r="AH4181" t="s">
        <v>10874</v>
      </c>
      <c r="AI4181">
        <v>230</v>
      </c>
      <c r="AJ4181" t="s">
        <v>10210</v>
      </c>
      <c r="AK4181" t="s">
        <v>10838</v>
      </c>
      <c r="AL4181">
        <v>0.5</v>
      </c>
      <c r="AM4181" t="s">
        <v>10887</v>
      </c>
      <c r="AN4181" t="s">
        <v>10938</v>
      </c>
      <c r="AO4181" t="s">
        <v>11010</v>
      </c>
      <c r="AP4181" t="s">
        <v>11057</v>
      </c>
      <c r="AR4181" t="s">
        <v>11257</v>
      </c>
      <c r="AS4181" t="s">
        <v>9926</v>
      </c>
      <c r="AY4181" t="s">
        <v>10829</v>
      </c>
      <c r="AZ4181" t="s">
        <v>11682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</row>
    <row r="4182" spans="1:59">
      <c r="A4182" s="1">
        <f>HYPERLINK("https://lsnyc.legalserver.org/matter/dynamic-profile/view/1908342","19-1908342")</f>
        <v>0</v>
      </c>
      <c r="B4182" t="s">
        <v>3430</v>
      </c>
      <c r="C4182" t="s">
        <v>8218</v>
      </c>
      <c r="D4182" t="s">
        <v>9925</v>
      </c>
      <c r="E4182" t="s">
        <v>10075</v>
      </c>
      <c r="F4182">
        <v>10031</v>
      </c>
      <c r="G4182" t="s">
        <v>10089</v>
      </c>
      <c r="H4182" t="s">
        <v>10151</v>
      </c>
      <c r="I4182" t="s">
        <v>10169</v>
      </c>
      <c r="J4182" t="s">
        <v>10209</v>
      </c>
      <c r="K4182" t="s">
        <v>10217</v>
      </c>
      <c r="M4182" t="s">
        <v>10305</v>
      </c>
      <c r="N4182" t="s">
        <v>10691</v>
      </c>
      <c r="P4182" t="s">
        <v>10752</v>
      </c>
      <c r="Q4182" t="s">
        <v>10805</v>
      </c>
      <c r="R4182" t="s">
        <v>10821</v>
      </c>
      <c r="T4182">
        <v>24000</v>
      </c>
      <c r="U4182">
        <v>2000</v>
      </c>
      <c r="V4182">
        <v>56</v>
      </c>
      <c r="W4182">
        <v>1</v>
      </c>
      <c r="X4182">
        <v>0</v>
      </c>
      <c r="Z4182">
        <v>192.15</v>
      </c>
      <c r="AA4182">
        <v>40.820054</v>
      </c>
      <c r="AB4182">
        <v>-73.95449000000001</v>
      </c>
      <c r="AD4182" t="s">
        <v>10840</v>
      </c>
      <c r="AG4182" t="s">
        <v>10858</v>
      </c>
      <c r="AH4182" t="s">
        <v>10863</v>
      </c>
      <c r="AI4182">
        <v>236</v>
      </c>
      <c r="AJ4182" t="s">
        <v>10209</v>
      </c>
      <c r="AL4182">
        <v>2.3</v>
      </c>
      <c r="AM4182" t="s">
        <v>10887</v>
      </c>
      <c r="AN4182" t="s">
        <v>10936</v>
      </c>
      <c r="AO4182" t="s">
        <v>11019</v>
      </c>
      <c r="AP4182" t="s">
        <v>11073</v>
      </c>
      <c r="AQ4182" t="s">
        <v>11155</v>
      </c>
      <c r="AR4182" t="s">
        <v>11257</v>
      </c>
      <c r="AS4182" t="s">
        <v>9925</v>
      </c>
      <c r="AT4182" t="s">
        <v>11641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</row>
    <row r="4183" spans="1:59">
      <c r="A4183" s="1">
        <f>HYPERLINK("https://lsnyc.legalserver.org/matter/dynamic-profile/view/1908343","19-1908343")</f>
        <v>0</v>
      </c>
      <c r="B4183" t="s">
        <v>3431</v>
      </c>
      <c r="C4183" t="s">
        <v>8219</v>
      </c>
      <c r="D4183" t="s">
        <v>9930</v>
      </c>
      <c r="E4183" t="s">
        <v>10075</v>
      </c>
      <c r="F4183">
        <v>11373</v>
      </c>
      <c r="G4183" t="s">
        <v>10092</v>
      </c>
      <c r="H4183" t="s">
        <v>10143</v>
      </c>
      <c r="I4183" t="s">
        <v>10169</v>
      </c>
      <c r="J4183" t="s">
        <v>10212</v>
      </c>
      <c r="K4183" t="s">
        <v>10217</v>
      </c>
      <c r="M4183" t="s">
        <v>10232</v>
      </c>
      <c r="N4183" t="s">
        <v>10648</v>
      </c>
      <c r="P4183" t="s">
        <v>10753</v>
      </c>
      <c r="Q4183" t="s">
        <v>10763</v>
      </c>
      <c r="R4183" t="s">
        <v>10823</v>
      </c>
      <c r="T4183">
        <v>36400</v>
      </c>
      <c r="U4183">
        <v>3033.33</v>
      </c>
      <c r="V4183">
        <v>44</v>
      </c>
      <c r="W4183">
        <v>1</v>
      </c>
      <c r="X4183">
        <v>0</v>
      </c>
      <c r="Z4183">
        <v>291.43</v>
      </c>
      <c r="AA4183">
        <v>40.746123</v>
      </c>
      <c r="AB4183">
        <v>-73.87042</v>
      </c>
      <c r="AD4183" t="s">
        <v>10839</v>
      </c>
      <c r="AF4183" t="s">
        <v>10842</v>
      </c>
      <c r="AG4183" t="s">
        <v>10859</v>
      </c>
      <c r="AH4183" t="s">
        <v>10864</v>
      </c>
      <c r="AI4183">
        <v>237</v>
      </c>
      <c r="AJ4183" t="s">
        <v>10212</v>
      </c>
      <c r="AL4183">
        <v>0.5</v>
      </c>
      <c r="AM4183" t="s">
        <v>10885</v>
      </c>
      <c r="AN4183" t="s">
        <v>10949</v>
      </c>
      <c r="AO4183" t="s">
        <v>11014</v>
      </c>
      <c r="AP4183" t="s">
        <v>11068</v>
      </c>
      <c r="AQ4183" t="s">
        <v>11178</v>
      </c>
      <c r="AR4183" t="s">
        <v>11257</v>
      </c>
      <c r="AS4183" t="s">
        <v>11594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</row>
    <row r="4184" spans="1:59">
      <c r="A4184" s="1">
        <f>HYPERLINK("https://lsnyc.legalserver.org/matter/dynamic-profile/view/1908344","19-1908344")</f>
        <v>0</v>
      </c>
      <c r="B4184" t="s">
        <v>3432</v>
      </c>
      <c r="C4184" t="s">
        <v>8220</v>
      </c>
      <c r="D4184" t="s">
        <v>9932</v>
      </c>
      <c r="E4184" t="s">
        <v>10075</v>
      </c>
      <c r="F4184">
        <v>11368</v>
      </c>
      <c r="G4184" t="s">
        <v>10092</v>
      </c>
      <c r="H4184" t="s">
        <v>10151</v>
      </c>
      <c r="I4184" t="s">
        <v>10169</v>
      </c>
      <c r="J4184" t="s">
        <v>10212</v>
      </c>
      <c r="K4184" t="s">
        <v>10217</v>
      </c>
      <c r="M4184" t="s">
        <v>10311</v>
      </c>
      <c r="N4184" t="s">
        <v>10684</v>
      </c>
      <c r="P4184" t="s">
        <v>10751</v>
      </c>
      <c r="Q4184" t="s">
        <v>10786</v>
      </c>
      <c r="R4184" t="s">
        <v>10823</v>
      </c>
      <c r="T4184">
        <v>9252</v>
      </c>
      <c r="U4184">
        <v>771</v>
      </c>
      <c r="V4184">
        <v>86</v>
      </c>
      <c r="W4184">
        <v>1</v>
      </c>
      <c r="X4184">
        <v>0</v>
      </c>
      <c r="Z4184">
        <v>74.08</v>
      </c>
      <c r="AA4184">
        <v>40.74568</v>
      </c>
      <c r="AB4184">
        <v>-73.85311299999999</v>
      </c>
      <c r="AD4184" t="s">
        <v>10839</v>
      </c>
      <c r="AG4184" t="s">
        <v>10858</v>
      </c>
      <c r="AH4184" t="s">
        <v>10873</v>
      </c>
      <c r="AI4184">
        <v>237</v>
      </c>
      <c r="AJ4184" t="s">
        <v>10212</v>
      </c>
      <c r="AL4184">
        <v>2</v>
      </c>
      <c r="AM4184" t="s">
        <v>10885</v>
      </c>
      <c r="AN4184" t="s">
        <v>10949</v>
      </c>
      <c r="AO4184" t="s">
        <v>11014</v>
      </c>
      <c r="AP4184" t="s">
        <v>11068</v>
      </c>
      <c r="AR4184" t="s">
        <v>11268</v>
      </c>
      <c r="AS4184" t="s">
        <v>11594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</row>
    <row r="4185" spans="1:59">
      <c r="A4185" s="1">
        <f>HYPERLINK("https://lsnyc.legalserver.org/matter/dynamic-profile/view/1908345","19-1908345")</f>
        <v>0</v>
      </c>
      <c r="B4185" t="s">
        <v>2612</v>
      </c>
      <c r="C4185" t="s">
        <v>7396</v>
      </c>
      <c r="D4185" t="s">
        <v>9926</v>
      </c>
      <c r="E4185" t="s">
        <v>10075</v>
      </c>
      <c r="F4185">
        <v>10457</v>
      </c>
      <c r="G4185" t="s">
        <v>10090</v>
      </c>
      <c r="H4185" t="s">
        <v>10151</v>
      </c>
      <c r="I4185" t="s">
        <v>10169</v>
      </c>
      <c r="J4185" t="s">
        <v>10210</v>
      </c>
      <c r="K4185" t="s">
        <v>10217</v>
      </c>
      <c r="M4185" t="s">
        <v>10549</v>
      </c>
      <c r="N4185" t="s">
        <v>10688</v>
      </c>
      <c r="P4185" t="s">
        <v>10751</v>
      </c>
      <c r="Q4185" t="s">
        <v>10786</v>
      </c>
      <c r="R4185" t="s">
        <v>10821</v>
      </c>
      <c r="T4185">
        <v>3840</v>
      </c>
      <c r="U4185">
        <v>320</v>
      </c>
      <c r="V4185">
        <v>37</v>
      </c>
      <c r="W4185">
        <v>1</v>
      </c>
      <c r="X4185">
        <v>5</v>
      </c>
      <c r="Z4185">
        <v>11.1</v>
      </c>
      <c r="AA4185">
        <v>40.85248</v>
      </c>
      <c r="AB4185">
        <v>-73.9025</v>
      </c>
      <c r="AD4185" t="s">
        <v>10839</v>
      </c>
      <c r="AG4185" t="s">
        <v>10858</v>
      </c>
      <c r="AH4185" t="s">
        <v>10861</v>
      </c>
      <c r="AI4185">
        <v>230</v>
      </c>
      <c r="AJ4185" t="s">
        <v>10210</v>
      </c>
      <c r="AL4185">
        <v>2.25</v>
      </c>
      <c r="AM4185" t="s">
        <v>10884</v>
      </c>
      <c r="AN4185" t="s">
        <v>10931</v>
      </c>
      <c r="AO4185" t="s">
        <v>11000</v>
      </c>
      <c r="AP4185" t="s">
        <v>11056</v>
      </c>
      <c r="AR4185" t="s">
        <v>11471</v>
      </c>
      <c r="AS4185" t="s">
        <v>9926</v>
      </c>
      <c r="AT4185" t="s">
        <v>11641</v>
      </c>
      <c r="AX4185" t="s">
        <v>10838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</row>
    <row r="4186" spans="1:59">
      <c r="A4186" s="1">
        <f>HYPERLINK("https://lsnyc.legalserver.org/matter/dynamic-profile/view/1908346","19-1908346")</f>
        <v>0</v>
      </c>
      <c r="B4186" t="s">
        <v>3433</v>
      </c>
      <c r="C4186" t="s">
        <v>8221</v>
      </c>
      <c r="D4186" t="s">
        <v>9951</v>
      </c>
      <c r="E4186" t="s">
        <v>10075</v>
      </c>
      <c r="F4186">
        <v>11417</v>
      </c>
      <c r="G4186" t="s">
        <v>10092</v>
      </c>
      <c r="H4186" t="s">
        <v>10151</v>
      </c>
      <c r="I4186" t="s">
        <v>10168</v>
      </c>
      <c r="J4186" t="s">
        <v>10212</v>
      </c>
      <c r="K4186" t="s">
        <v>10217</v>
      </c>
      <c r="M4186" t="s">
        <v>10365</v>
      </c>
      <c r="N4186" t="s">
        <v>10695</v>
      </c>
      <c r="P4186" t="s">
        <v>10749</v>
      </c>
      <c r="Q4186" t="s">
        <v>10765</v>
      </c>
      <c r="R4186" t="s">
        <v>10824</v>
      </c>
      <c r="T4186">
        <v>0</v>
      </c>
      <c r="U4186">
        <v>0</v>
      </c>
      <c r="V4186">
        <v>48</v>
      </c>
      <c r="W4186">
        <v>1</v>
      </c>
      <c r="X4186">
        <v>1</v>
      </c>
      <c r="Z4186">
        <v>0</v>
      </c>
      <c r="AA4186">
        <v>40.679185</v>
      </c>
      <c r="AB4186">
        <v>-73.84078100000001</v>
      </c>
      <c r="AD4186" t="s">
        <v>10839</v>
      </c>
      <c r="AF4186" t="s">
        <v>10842</v>
      </c>
      <c r="AG4186" t="s">
        <v>10859</v>
      </c>
      <c r="AH4186" t="s">
        <v>10862</v>
      </c>
      <c r="AI4186">
        <v>237</v>
      </c>
      <c r="AJ4186" t="s">
        <v>10212</v>
      </c>
      <c r="AL4186">
        <v>0.7</v>
      </c>
      <c r="AM4186" t="s">
        <v>10889</v>
      </c>
      <c r="AN4186" t="s">
        <v>10958</v>
      </c>
      <c r="AO4186" t="s">
        <v>11024</v>
      </c>
      <c r="AP4186" t="s">
        <v>11088</v>
      </c>
      <c r="AR4186" t="s">
        <v>11279</v>
      </c>
      <c r="AS4186" t="s">
        <v>11594</v>
      </c>
      <c r="BA4186" t="s">
        <v>11742</v>
      </c>
      <c r="BB4186">
        <v>0</v>
      </c>
      <c r="BC4186">
        <v>0</v>
      </c>
      <c r="BD4186">
        <v>0</v>
      </c>
      <c r="BE4186">
        <v>0</v>
      </c>
      <c r="BF4186">
        <v>7</v>
      </c>
      <c r="BG4186">
        <v>0</v>
      </c>
    </row>
    <row r="4187" spans="1:59">
      <c r="A4187" s="1">
        <f>HYPERLINK("https://lsnyc.legalserver.org/matter/dynamic-profile/view/1908347","19-1908347")</f>
        <v>0</v>
      </c>
      <c r="B4187" t="s">
        <v>3434</v>
      </c>
      <c r="C4187" t="s">
        <v>5229</v>
      </c>
      <c r="D4187" t="s">
        <v>9926</v>
      </c>
      <c r="E4187" t="s">
        <v>10075</v>
      </c>
      <c r="F4187">
        <v>10452</v>
      </c>
      <c r="G4187" t="s">
        <v>10090</v>
      </c>
      <c r="H4187" t="s">
        <v>10143</v>
      </c>
      <c r="I4187" t="s">
        <v>10168</v>
      </c>
      <c r="J4187" t="s">
        <v>10210</v>
      </c>
      <c r="K4187" t="s">
        <v>10217</v>
      </c>
      <c r="M4187" t="s">
        <v>10250</v>
      </c>
      <c r="N4187" t="s">
        <v>10650</v>
      </c>
      <c r="P4187" t="s">
        <v>10749</v>
      </c>
      <c r="Q4187" t="s">
        <v>10765</v>
      </c>
      <c r="R4187" t="s">
        <v>10824</v>
      </c>
      <c r="T4187">
        <v>102000</v>
      </c>
      <c r="U4187">
        <v>8500</v>
      </c>
      <c r="V4187">
        <v>48</v>
      </c>
      <c r="W4187">
        <v>2</v>
      </c>
      <c r="X4187">
        <v>0</v>
      </c>
      <c r="Z4187">
        <v>603.1900000000001</v>
      </c>
      <c r="AA4187">
        <v>40.837158</v>
      </c>
      <c r="AB4187">
        <v>-73.923618</v>
      </c>
      <c r="AD4187" t="s">
        <v>10839</v>
      </c>
      <c r="AG4187" t="s">
        <v>10858</v>
      </c>
      <c r="AH4187" t="s">
        <v>10862</v>
      </c>
      <c r="AI4187">
        <v>230</v>
      </c>
      <c r="AJ4187" t="s">
        <v>10210</v>
      </c>
      <c r="AL4187">
        <v>12.9</v>
      </c>
      <c r="AM4187" t="s">
        <v>10884</v>
      </c>
      <c r="AN4187" t="s">
        <v>10929</v>
      </c>
      <c r="AO4187" t="s">
        <v>11013</v>
      </c>
      <c r="AP4187" t="s">
        <v>11055</v>
      </c>
      <c r="AR4187" t="s">
        <v>11257</v>
      </c>
      <c r="AS4187" t="s">
        <v>9926</v>
      </c>
      <c r="BA4187" t="s">
        <v>11738</v>
      </c>
      <c r="BB4187">
        <v>0</v>
      </c>
      <c r="BC4187">
        <v>0</v>
      </c>
      <c r="BD4187">
        <v>0</v>
      </c>
      <c r="BE4187">
        <v>0</v>
      </c>
      <c r="BF4187">
        <v>5</v>
      </c>
      <c r="BG4187">
        <v>0</v>
      </c>
    </row>
    <row r="4188" spans="1:59">
      <c r="A4188" s="1">
        <f>HYPERLINK("https://lsnyc.legalserver.org/matter/dynamic-profile/view/1908348","19-1908348")</f>
        <v>0</v>
      </c>
      <c r="B4188" t="s">
        <v>3435</v>
      </c>
      <c r="C4188" t="s">
        <v>8222</v>
      </c>
      <c r="D4188" t="s">
        <v>9929</v>
      </c>
      <c r="E4188" t="s">
        <v>10075</v>
      </c>
      <c r="F4188">
        <v>10301</v>
      </c>
      <c r="G4188" t="s">
        <v>10088</v>
      </c>
      <c r="H4188" t="s">
        <v>10108</v>
      </c>
      <c r="I4188" t="s">
        <v>10168</v>
      </c>
      <c r="J4188" t="s">
        <v>10208</v>
      </c>
      <c r="K4188" t="s">
        <v>10217</v>
      </c>
      <c r="M4188" t="s">
        <v>10243</v>
      </c>
      <c r="N4188" t="s">
        <v>10711</v>
      </c>
      <c r="P4188" t="s">
        <v>10749</v>
      </c>
      <c r="Q4188" t="s">
        <v>10765</v>
      </c>
      <c r="R4188" t="s">
        <v>10824</v>
      </c>
      <c r="T4188">
        <v>10848</v>
      </c>
      <c r="U4188">
        <v>904</v>
      </c>
      <c r="V4188">
        <v>37</v>
      </c>
      <c r="W4188">
        <v>1</v>
      </c>
      <c r="X4188">
        <v>2</v>
      </c>
      <c r="Z4188">
        <v>50.86</v>
      </c>
      <c r="AA4188">
        <v>40.638151</v>
      </c>
      <c r="AB4188">
        <v>-74.081568</v>
      </c>
      <c r="AD4188" t="s">
        <v>10839</v>
      </c>
      <c r="AF4188" t="s">
        <v>10842</v>
      </c>
      <c r="AG4188" t="s">
        <v>10859</v>
      </c>
      <c r="AH4188" t="s">
        <v>10862</v>
      </c>
      <c r="AI4188">
        <v>285</v>
      </c>
      <c r="AJ4188" t="s">
        <v>10208</v>
      </c>
      <c r="AL4188">
        <v>5.45</v>
      </c>
      <c r="AM4188" t="s">
        <v>10883</v>
      </c>
      <c r="AN4188" t="s">
        <v>10913</v>
      </c>
      <c r="AO4188" t="s">
        <v>11006</v>
      </c>
      <c r="AP4188" t="s">
        <v>11051</v>
      </c>
      <c r="AQ4188" t="s">
        <v>11101</v>
      </c>
      <c r="AR4188" t="s">
        <v>11309</v>
      </c>
      <c r="AS4188" t="s">
        <v>11593</v>
      </c>
      <c r="BA4188" t="s">
        <v>11742</v>
      </c>
      <c r="BB4188">
        <v>0</v>
      </c>
      <c r="BC4188">
        <v>0</v>
      </c>
      <c r="BD4188">
        <v>0</v>
      </c>
      <c r="BE4188">
        <v>0</v>
      </c>
      <c r="BF4188">
        <v>7</v>
      </c>
      <c r="BG4188">
        <v>0</v>
      </c>
    </row>
    <row r="4189" spans="1:59">
      <c r="A4189" s="1">
        <f>HYPERLINK("https://lsnyc.legalserver.org/matter/dynamic-profile/view/1908349","19-1908349")</f>
        <v>0</v>
      </c>
      <c r="B4189" t="s">
        <v>3436</v>
      </c>
      <c r="C4189" t="s">
        <v>5537</v>
      </c>
      <c r="D4189" t="s">
        <v>9925</v>
      </c>
      <c r="E4189" t="s">
        <v>10075</v>
      </c>
      <c r="F4189">
        <v>10031</v>
      </c>
      <c r="G4189" t="s">
        <v>10092</v>
      </c>
      <c r="H4189" t="s">
        <v>10151</v>
      </c>
      <c r="I4189" t="s">
        <v>10168</v>
      </c>
      <c r="J4189" t="s">
        <v>10212</v>
      </c>
      <c r="K4189" t="s">
        <v>10217</v>
      </c>
      <c r="M4189" t="s">
        <v>10340</v>
      </c>
      <c r="N4189" t="s">
        <v>10657</v>
      </c>
      <c r="P4189" t="s">
        <v>10751</v>
      </c>
      <c r="Q4189" t="s">
        <v>10768</v>
      </c>
      <c r="R4189" t="s">
        <v>10824</v>
      </c>
      <c r="T4189">
        <v>4776</v>
      </c>
      <c r="U4189">
        <v>398</v>
      </c>
      <c r="V4189">
        <v>60</v>
      </c>
      <c r="W4189">
        <v>1</v>
      </c>
      <c r="X4189">
        <v>0</v>
      </c>
      <c r="Z4189">
        <v>38.24</v>
      </c>
      <c r="AA4189">
        <v>40.824287</v>
      </c>
      <c r="AB4189">
        <v>-73.954489</v>
      </c>
      <c r="AD4189" t="s">
        <v>10840</v>
      </c>
      <c r="AG4189" t="s">
        <v>10858</v>
      </c>
      <c r="AH4189" t="s">
        <v>10874</v>
      </c>
      <c r="AI4189">
        <v>237</v>
      </c>
      <c r="AJ4189" t="s">
        <v>10212</v>
      </c>
      <c r="AL4189">
        <v>4</v>
      </c>
      <c r="AM4189" t="s">
        <v>10887</v>
      </c>
      <c r="AN4189" t="s">
        <v>10943</v>
      </c>
      <c r="AO4189" t="s">
        <v>11019</v>
      </c>
      <c r="AP4189" t="s">
        <v>11073</v>
      </c>
      <c r="AR4189" t="s">
        <v>11255</v>
      </c>
      <c r="AS4189" t="s">
        <v>9925</v>
      </c>
      <c r="AT4189" t="s">
        <v>11642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</row>
    <row r="4190" spans="1:59">
      <c r="A4190" s="1">
        <f>HYPERLINK("https://lsnyc.legalserver.org/matter/dynamic-profile/view/1908350","19-1908350")</f>
        <v>0</v>
      </c>
      <c r="B4190" t="s">
        <v>3437</v>
      </c>
      <c r="C4190" t="s">
        <v>6213</v>
      </c>
      <c r="D4190" t="s">
        <v>9926</v>
      </c>
      <c r="E4190" t="s">
        <v>10075</v>
      </c>
      <c r="F4190">
        <v>10457</v>
      </c>
      <c r="G4190" t="s">
        <v>10090</v>
      </c>
      <c r="H4190" t="s">
        <v>10151</v>
      </c>
      <c r="I4190" t="s">
        <v>10168</v>
      </c>
      <c r="J4190" t="s">
        <v>10210</v>
      </c>
      <c r="K4190" t="s">
        <v>10217</v>
      </c>
      <c r="M4190" t="s">
        <v>10557</v>
      </c>
      <c r="N4190" t="s">
        <v>10651</v>
      </c>
      <c r="P4190" t="s">
        <v>10749</v>
      </c>
      <c r="Q4190" t="s">
        <v>10765</v>
      </c>
      <c r="R4190" t="s">
        <v>10821</v>
      </c>
      <c r="T4190">
        <v>0</v>
      </c>
      <c r="U4190">
        <v>0</v>
      </c>
      <c r="V4190">
        <v>22</v>
      </c>
      <c r="W4190">
        <v>1</v>
      </c>
      <c r="X4190">
        <v>1</v>
      </c>
      <c r="Z4190">
        <v>0</v>
      </c>
      <c r="AA4190">
        <v>40.840974</v>
      </c>
      <c r="AB4190">
        <v>-73.91095199999999</v>
      </c>
      <c r="AD4190" t="s">
        <v>10839</v>
      </c>
      <c r="AG4190" t="s">
        <v>10858</v>
      </c>
      <c r="AH4190" t="s">
        <v>10862</v>
      </c>
      <c r="AI4190">
        <v>230</v>
      </c>
      <c r="AJ4190" t="s">
        <v>10210</v>
      </c>
      <c r="AL4190">
        <v>4.3</v>
      </c>
      <c r="AM4190" t="s">
        <v>10884</v>
      </c>
      <c r="AN4190" t="s">
        <v>10929</v>
      </c>
      <c r="AO4190" t="s">
        <v>11000</v>
      </c>
      <c r="AP4190" t="s">
        <v>11055</v>
      </c>
      <c r="AR4190" t="s">
        <v>11279</v>
      </c>
      <c r="AS4190" t="s">
        <v>9926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</row>
    <row r="4191" spans="1:59">
      <c r="A4191" s="1">
        <f>HYPERLINK("https://lsnyc.legalserver.org/matter/dynamic-profile/view/1908351","19-1908351")</f>
        <v>0</v>
      </c>
      <c r="B4191" t="s">
        <v>3438</v>
      </c>
      <c r="C4191" t="s">
        <v>7867</v>
      </c>
      <c r="D4191" t="s">
        <v>9927</v>
      </c>
      <c r="E4191" t="s">
        <v>10075</v>
      </c>
      <c r="F4191">
        <v>11377</v>
      </c>
      <c r="G4191" t="s">
        <v>10092</v>
      </c>
      <c r="H4191" t="s">
        <v>10151</v>
      </c>
      <c r="I4191" t="s">
        <v>10168</v>
      </c>
      <c r="J4191" t="s">
        <v>10212</v>
      </c>
      <c r="K4191" t="s">
        <v>10217</v>
      </c>
      <c r="M4191" t="s">
        <v>10387</v>
      </c>
      <c r="N4191" t="s">
        <v>10650</v>
      </c>
      <c r="P4191" t="s">
        <v>10749</v>
      </c>
      <c r="Q4191" t="s">
        <v>10765</v>
      </c>
      <c r="R4191" t="s">
        <v>10827</v>
      </c>
      <c r="T4191">
        <v>36000</v>
      </c>
      <c r="U4191">
        <v>3000</v>
      </c>
      <c r="V4191">
        <v>54</v>
      </c>
      <c r="W4191">
        <v>4</v>
      </c>
      <c r="X4191">
        <v>1</v>
      </c>
      <c r="Z4191">
        <v>119.32</v>
      </c>
      <c r="AA4191">
        <v>40.741994</v>
      </c>
      <c r="AB4191">
        <v>-73.90494</v>
      </c>
      <c r="AD4191" t="s">
        <v>10840</v>
      </c>
      <c r="AG4191" t="s">
        <v>10858</v>
      </c>
      <c r="AH4191" t="s">
        <v>10862</v>
      </c>
      <c r="AI4191">
        <v>237</v>
      </c>
      <c r="AJ4191" t="s">
        <v>10212</v>
      </c>
      <c r="AL4191">
        <v>0.45</v>
      </c>
      <c r="AM4191" t="s">
        <v>10885</v>
      </c>
      <c r="AN4191" t="s">
        <v>10935</v>
      </c>
      <c r="AO4191" t="s">
        <v>11003</v>
      </c>
      <c r="AP4191" t="s">
        <v>11047</v>
      </c>
      <c r="AR4191" t="s">
        <v>11257</v>
      </c>
      <c r="AS4191" t="s">
        <v>11594</v>
      </c>
      <c r="BA4191" t="s">
        <v>11739</v>
      </c>
      <c r="BB4191">
        <v>0</v>
      </c>
      <c r="BC4191">
        <v>0</v>
      </c>
      <c r="BD4191">
        <v>0</v>
      </c>
      <c r="BE4191">
        <v>0</v>
      </c>
      <c r="BF4191">
        <v>4</v>
      </c>
      <c r="BG4191">
        <v>0</v>
      </c>
    </row>
    <row r="4192" spans="1:59">
      <c r="A4192" s="1">
        <f>HYPERLINK("https://lsnyc.legalserver.org/matter/dynamic-profile/view/1908352","19-1908352")</f>
        <v>0</v>
      </c>
      <c r="B4192" t="s">
        <v>283</v>
      </c>
      <c r="C4192" t="s">
        <v>8223</v>
      </c>
      <c r="D4192" t="s">
        <v>9928</v>
      </c>
      <c r="E4192" t="s">
        <v>10075</v>
      </c>
      <c r="F4192">
        <v>11206</v>
      </c>
      <c r="G4192" t="s">
        <v>10093</v>
      </c>
      <c r="H4192" t="s">
        <v>10151</v>
      </c>
      <c r="I4192" t="s">
        <v>10183</v>
      </c>
      <c r="J4192" t="s">
        <v>10213</v>
      </c>
      <c r="K4192" t="s">
        <v>10217</v>
      </c>
      <c r="M4192" t="s">
        <v>10437</v>
      </c>
      <c r="N4192" t="s">
        <v>10656</v>
      </c>
      <c r="P4192" t="s">
        <v>10751</v>
      </c>
      <c r="Q4192" t="s">
        <v>10780</v>
      </c>
      <c r="R4192" t="s">
        <v>10820</v>
      </c>
      <c r="T4192">
        <v>16900</v>
      </c>
      <c r="U4192">
        <v>1408.33</v>
      </c>
      <c r="V4192">
        <v>64</v>
      </c>
      <c r="W4192">
        <v>2</v>
      </c>
      <c r="X4192">
        <v>0</v>
      </c>
      <c r="Z4192">
        <v>99.94</v>
      </c>
      <c r="AA4192">
        <v>40.710527</v>
      </c>
      <c r="AB4192">
        <v>-73.94172</v>
      </c>
      <c r="AD4192" t="s">
        <v>10839</v>
      </c>
      <c r="AG4192" t="s">
        <v>10858</v>
      </c>
      <c r="AH4192" t="s">
        <v>10861</v>
      </c>
      <c r="AI4192">
        <v>234</v>
      </c>
      <c r="AJ4192" t="s">
        <v>10214</v>
      </c>
      <c r="AL4192">
        <v>5</v>
      </c>
      <c r="AM4192" t="s">
        <v>10886</v>
      </c>
      <c r="AN4192" t="s">
        <v>10942</v>
      </c>
      <c r="AO4192" t="s">
        <v>11011</v>
      </c>
      <c r="AP4192" t="s">
        <v>11071</v>
      </c>
      <c r="AR4192" t="s">
        <v>11417</v>
      </c>
      <c r="AS4192" t="s">
        <v>11595</v>
      </c>
      <c r="AT4192" t="s">
        <v>11641</v>
      </c>
      <c r="AX4192" t="s">
        <v>10838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</row>
    <row r="4193" spans="1:59">
      <c r="A4193" s="1">
        <f>HYPERLINK("https://lsnyc.legalserver.org/matter/dynamic-profile/view/1908353","19-1908353")</f>
        <v>0</v>
      </c>
      <c r="B4193" t="s">
        <v>3439</v>
      </c>
      <c r="C4193" t="s">
        <v>8224</v>
      </c>
      <c r="D4193" t="s">
        <v>9925</v>
      </c>
      <c r="E4193" t="s">
        <v>10075</v>
      </c>
      <c r="F4193">
        <v>10029</v>
      </c>
      <c r="G4193" t="s">
        <v>10089</v>
      </c>
      <c r="H4193" t="s">
        <v>10151</v>
      </c>
      <c r="I4193" t="s">
        <v>10168</v>
      </c>
      <c r="J4193" t="s">
        <v>10209</v>
      </c>
      <c r="K4193" t="s">
        <v>10217</v>
      </c>
      <c r="M4193" t="s">
        <v>10589</v>
      </c>
      <c r="N4193" t="s">
        <v>10650</v>
      </c>
      <c r="P4193" t="s">
        <v>10749</v>
      </c>
      <c r="Q4193" t="s">
        <v>10765</v>
      </c>
      <c r="R4193" t="s">
        <v>10821</v>
      </c>
      <c r="T4193">
        <v>26496</v>
      </c>
      <c r="U4193">
        <v>2208</v>
      </c>
      <c r="V4193">
        <v>61</v>
      </c>
      <c r="W4193">
        <v>3</v>
      </c>
      <c r="X4193">
        <v>1</v>
      </c>
      <c r="Z4193">
        <v>102.9</v>
      </c>
      <c r="AA4193">
        <v>40.786515</v>
      </c>
      <c r="AB4193">
        <v>-73.941968</v>
      </c>
      <c r="AD4193" t="s">
        <v>10839</v>
      </c>
      <c r="AG4193" t="s">
        <v>10858</v>
      </c>
      <c r="AH4193" t="s">
        <v>10862</v>
      </c>
      <c r="AI4193">
        <v>236</v>
      </c>
      <c r="AJ4193" t="s">
        <v>10209</v>
      </c>
      <c r="AL4193">
        <v>0.1</v>
      </c>
      <c r="AM4193" t="s">
        <v>10887</v>
      </c>
      <c r="AN4193" t="s">
        <v>10926</v>
      </c>
      <c r="AO4193" t="s">
        <v>11013</v>
      </c>
      <c r="AP4193" t="s">
        <v>11066</v>
      </c>
      <c r="AR4193" t="s">
        <v>11372</v>
      </c>
      <c r="AS4193" t="s">
        <v>9925</v>
      </c>
      <c r="AT4193" t="s">
        <v>11641</v>
      </c>
      <c r="AX4193" t="s">
        <v>10838</v>
      </c>
      <c r="BA4193" t="s">
        <v>11740</v>
      </c>
      <c r="BB4193">
        <v>0</v>
      </c>
      <c r="BC4193">
        <v>0</v>
      </c>
      <c r="BD4193">
        <v>0</v>
      </c>
      <c r="BE4193">
        <v>0</v>
      </c>
      <c r="BF4193">
        <v>2</v>
      </c>
      <c r="BG4193">
        <v>0</v>
      </c>
    </row>
    <row r="4194" spans="1:59">
      <c r="A4194" s="1">
        <f>HYPERLINK("https://lsnyc.legalserver.org/matter/dynamic-profile/view/1908354","19-1908354")</f>
        <v>0</v>
      </c>
      <c r="B4194" t="s">
        <v>3440</v>
      </c>
      <c r="C4194" t="s">
        <v>8225</v>
      </c>
      <c r="D4194" t="s">
        <v>9926</v>
      </c>
      <c r="E4194" t="s">
        <v>10075</v>
      </c>
      <c r="F4194">
        <v>10461</v>
      </c>
      <c r="G4194" t="s">
        <v>10089</v>
      </c>
      <c r="H4194" t="s">
        <v>10151</v>
      </c>
      <c r="I4194" t="s">
        <v>10168</v>
      </c>
      <c r="J4194" t="s">
        <v>10209</v>
      </c>
      <c r="K4194" t="s">
        <v>10217</v>
      </c>
      <c r="M4194" t="s">
        <v>10442</v>
      </c>
      <c r="N4194" t="s">
        <v>10671</v>
      </c>
      <c r="P4194" t="s">
        <v>10749</v>
      </c>
      <c r="Q4194" t="s">
        <v>10765</v>
      </c>
      <c r="R4194" t="s">
        <v>10825</v>
      </c>
      <c r="T4194">
        <v>19680</v>
      </c>
      <c r="U4194">
        <v>1640</v>
      </c>
      <c r="V4194">
        <v>63</v>
      </c>
      <c r="W4194">
        <v>2</v>
      </c>
      <c r="X4194">
        <v>0</v>
      </c>
      <c r="Z4194">
        <v>116.38</v>
      </c>
      <c r="AA4194">
        <v>40.851316</v>
      </c>
      <c r="AB4194">
        <v>-73.83515199999999</v>
      </c>
      <c r="AD4194" t="s">
        <v>10839</v>
      </c>
      <c r="AG4194" t="s">
        <v>10858</v>
      </c>
      <c r="AH4194" t="s">
        <v>10861</v>
      </c>
      <c r="AI4194">
        <v>234</v>
      </c>
      <c r="AJ4194" t="s">
        <v>10214</v>
      </c>
      <c r="AL4194">
        <v>0.5</v>
      </c>
      <c r="AM4194" t="s">
        <v>10885</v>
      </c>
      <c r="AN4194" t="s">
        <v>10911</v>
      </c>
      <c r="AO4194" t="s">
        <v>11002</v>
      </c>
      <c r="AP4194" t="s">
        <v>11049</v>
      </c>
      <c r="AR4194" t="s">
        <v>11537</v>
      </c>
      <c r="AS4194" t="s">
        <v>9926</v>
      </c>
      <c r="AT4194" t="s">
        <v>11641</v>
      </c>
      <c r="AX4194" t="s">
        <v>10838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</row>
    <row r="4195" spans="1:59">
      <c r="A4195" s="1">
        <f>HYPERLINK("https://lsnyc.legalserver.org/matter/dynamic-profile/view/1908355","19-1908355")</f>
        <v>0</v>
      </c>
      <c r="B4195" t="s">
        <v>3438</v>
      </c>
      <c r="C4195" t="s">
        <v>7867</v>
      </c>
      <c r="D4195" t="s">
        <v>9927</v>
      </c>
      <c r="E4195" t="s">
        <v>10075</v>
      </c>
      <c r="F4195">
        <v>11377</v>
      </c>
      <c r="G4195" t="s">
        <v>10092</v>
      </c>
      <c r="H4195" t="s">
        <v>10151</v>
      </c>
      <c r="I4195" t="s">
        <v>10168</v>
      </c>
      <c r="J4195" t="s">
        <v>10212</v>
      </c>
      <c r="K4195" t="s">
        <v>10217</v>
      </c>
      <c r="M4195" t="s">
        <v>10387</v>
      </c>
      <c r="N4195" t="s">
        <v>10650</v>
      </c>
      <c r="P4195" t="s">
        <v>10749</v>
      </c>
      <c r="Q4195" t="s">
        <v>10765</v>
      </c>
      <c r="R4195" t="s">
        <v>10827</v>
      </c>
      <c r="T4195">
        <v>36000</v>
      </c>
      <c r="U4195">
        <v>3000</v>
      </c>
      <c r="V4195">
        <v>54</v>
      </c>
      <c r="W4195">
        <v>4</v>
      </c>
      <c r="X4195">
        <v>1</v>
      </c>
      <c r="Z4195">
        <v>119.32</v>
      </c>
      <c r="AA4195">
        <v>40.741994</v>
      </c>
      <c r="AB4195">
        <v>-73.90494</v>
      </c>
      <c r="AD4195" t="s">
        <v>10840</v>
      </c>
      <c r="AG4195" t="s">
        <v>10858</v>
      </c>
      <c r="AH4195" t="s">
        <v>10862</v>
      </c>
      <c r="AI4195">
        <v>237</v>
      </c>
      <c r="AJ4195" t="s">
        <v>10212</v>
      </c>
      <c r="AL4195">
        <v>0.2</v>
      </c>
      <c r="AM4195" t="s">
        <v>10885</v>
      </c>
      <c r="AN4195" t="s">
        <v>10935</v>
      </c>
      <c r="AO4195" t="s">
        <v>11003</v>
      </c>
      <c r="AP4195" t="s">
        <v>11047</v>
      </c>
      <c r="AR4195" t="s">
        <v>11257</v>
      </c>
      <c r="AS4195" t="s">
        <v>11594</v>
      </c>
      <c r="BA4195" t="s">
        <v>11739</v>
      </c>
      <c r="BB4195">
        <v>0</v>
      </c>
      <c r="BC4195">
        <v>0</v>
      </c>
      <c r="BD4195">
        <v>0</v>
      </c>
      <c r="BE4195">
        <v>0</v>
      </c>
      <c r="BF4195">
        <v>4</v>
      </c>
      <c r="BG4195">
        <v>0</v>
      </c>
    </row>
    <row r="4196" spans="1:59">
      <c r="A4196" s="1">
        <f>HYPERLINK("https://lsnyc.legalserver.org/matter/dynamic-profile/view/1908357","19-1908357")</f>
        <v>0</v>
      </c>
      <c r="B4196" t="s">
        <v>2146</v>
      </c>
      <c r="C4196" t="s">
        <v>8226</v>
      </c>
      <c r="D4196" t="s">
        <v>9929</v>
      </c>
      <c r="E4196" t="s">
        <v>10075</v>
      </c>
      <c r="F4196">
        <v>10302</v>
      </c>
      <c r="G4196" t="s">
        <v>10091</v>
      </c>
      <c r="H4196" t="s">
        <v>10151</v>
      </c>
      <c r="I4196" t="s">
        <v>10169</v>
      </c>
      <c r="J4196" t="s">
        <v>10214</v>
      </c>
      <c r="K4196" t="s">
        <v>10217</v>
      </c>
      <c r="M4196" t="s">
        <v>10537</v>
      </c>
      <c r="N4196" t="s">
        <v>10671</v>
      </c>
      <c r="P4196" t="s">
        <v>10753</v>
      </c>
      <c r="Q4196" t="s">
        <v>10763</v>
      </c>
      <c r="R4196" t="s">
        <v>10823</v>
      </c>
      <c r="T4196">
        <v>32760</v>
      </c>
      <c r="U4196">
        <v>2730</v>
      </c>
      <c r="V4196">
        <v>50</v>
      </c>
      <c r="W4196">
        <v>2</v>
      </c>
      <c r="X4196">
        <v>1</v>
      </c>
      <c r="Z4196">
        <v>153.59</v>
      </c>
      <c r="AA4196">
        <v>40.632814</v>
      </c>
      <c r="AB4196">
        <v>-74.141457</v>
      </c>
      <c r="AD4196" t="s">
        <v>10839</v>
      </c>
      <c r="AF4196" t="s">
        <v>10843</v>
      </c>
      <c r="AG4196" t="s">
        <v>10859</v>
      </c>
      <c r="AH4196" t="s">
        <v>10861</v>
      </c>
      <c r="AI4196">
        <v>234</v>
      </c>
      <c r="AJ4196" t="s">
        <v>10214</v>
      </c>
      <c r="AL4196">
        <v>0.45</v>
      </c>
      <c r="AM4196" t="s">
        <v>10883</v>
      </c>
      <c r="AN4196" t="s">
        <v>10913</v>
      </c>
      <c r="AO4196" t="s">
        <v>11006</v>
      </c>
      <c r="AP4196" t="s">
        <v>11051</v>
      </c>
      <c r="AR4196" t="s">
        <v>11257</v>
      </c>
      <c r="AS4196" t="s">
        <v>11593</v>
      </c>
      <c r="AT4196" t="s">
        <v>11641</v>
      </c>
      <c r="AX4196" t="s">
        <v>10838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</row>
    <row r="4197" spans="1:59">
      <c r="A4197" s="1">
        <f>HYPERLINK("https://lsnyc.legalserver.org/matter/dynamic-profile/view/1908358","19-1908358")</f>
        <v>0</v>
      </c>
      <c r="B4197" t="s">
        <v>3441</v>
      </c>
      <c r="C4197" t="s">
        <v>8227</v>
      </c>
      <c r="D4197" t="s">
        <v>9928</v>
      </c>
      <c r="E4197" t="s">
        <v>10075</v>
      </c>
      <c r="F4197">
        <v>11224</v>
      </c>
      <c r="G4197" t="s">
        <v>10093</v>
      </c>
      <c r="H4197" t="s">
        <v>10151</v>
      </c>
      <c r="I4197" t="s">
        <v>10168</v>
      </c>
      <c r="J4197" t="s">
        <v>10213</v>
      </c>
      <c r="K4197" t="s">
        <v>10217</v>
      </c>
      <c r="M4197" t="s">
        <v>10315</v>
      </c>
      <c r="N4197" t="s">
        <v>10686</v>
      </c>
      <c r="O4197" t="s">
        <v>10686</v>
      </c>
      <c r="P4197" t="s">
        <v>10750</v>
      </c>
      <c r="Q4197" t="s">
        <v>10778</v>
      </c>
      <c r="R4197" t="s">
        <v>10824</v>
      </c>
      <c r="T4197">
        <v>2316</v>
      </c>
      <c r="U4197">
        <v>193</v>
      </c>
      <c r="V4197">
        <v>36</v>
      </c>
      <c r="W4197">
        <v>1</v>
      </c>
      <c r="X4197">
        <v>0</v>
      </c>
      <c r="Z4197">
        <v>18.54</v>
      </c>
      <c r="AA4197">
        <v>40.57427</v>
      </c>
      <c r="AB4197">
        <v>-73.987319</v>
      </c>
      <c r="AC4197" t="s">
        <v>10837</v>
      </c>
      <c r="AD4197" t="s">
        <v>10840</v>
      </c>
      <c r="AG4197" t="s">
        <v>10858</v>
      </c>
      <c r="AH4197" t="s">
        <v>10871</v>
      </c>
      <c r="AI4197">
        <v>234</v>
      </c>
      <c r="AJ4197" t="s">
        <v>10214</v>
      </c>
      <c r="AL4197">
        <v>8.35</v>
      </c>
      <c r="AM4197" t="s">
        <v>10889</v>
      </c>
      <c r="AN4197" t="s">
        <v>10960</v>
      </c>
      <c r="AO4197" t="s">
        <v>11006</v>
      </c>
      <c r="AP4197" t="s">
        <v>11087</v>
      </c>
      <c r="AR4197" t="s">
        <v>11311</v>
      </c>
      <c r="AS4197" t="s">
        <v>11595</v>
      </c>
      <c r="AT4197" t="s">
        <v>11642</v>
      </c>
      <c r="AX4197" t="s">
        <v>10838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</row>
    <row r="4198" spans="1:59">
      <c r="A4198" s="1">
        <f>HYPERLINK("https://lsnyc.legalserver.org/matter/dynamic-profile/view/1908359","19-1908359")</f>
        <v>0</v>
      </c>
      <c r="B4198" t="s">
        <v>3442</v>
      </c>
      <c r="C4198" t="s">
        <v>8228</v>
      </c>
      <c r="D4198" t="s">
        <v>9929</v>
      </c>
      <c r="E4198" t="s">
        <v>10075</v>
      </c>
      <c r="F4198">
        <v>10314</v>
      </c>
      <c r="G4198" t="s">
        <v>10088</v>
      </c>
      <c r="H4198" t="s">
        <v>10151</v>
      </c>
      <c r="I4198" t="s">
        <v>10168</v>
      </c>
      <c r="J4198" t="s">
        <v>10208</v>
      </c>
      <c r="K4198" t="s">
        <v>10217</v>
      </c>
      <c r="M4198" t="s">
        <v>10257</v>
      </c>
      <c r="N4198" t="s">
        <v>10655</v>
      </c>
      <c r="P4198" t="s">
        <v>10749</v>
      </c>
      <c r="Q4198" t="s">
        <v>10765</v>
      </c>
      <c r="R4198" t="s">
        <v>10824</v>
      </c>
      <c r="T4198">
        <v>3783</v>
      </c>
      <c r="U4198">
        <v>315.25</v>
      </c>
      <c r="V4198">
        <v>31</v>
      </c>
      <c r="W4198">
        <v>1</v>
      </c>
      <c r="X4198">
        <v>2</v>
      </c>
      <c r="Z4198">
        <v>17.74</v>
      </c>
      <c r="AA4198">
        <v>40.602058</v>
      </c>
      <c r="AB4198">
        <v>-74.162874</v>
      </c>
      <c r="AD4198" t="s">
        <v>10839</v>
      </c>
      <c r="AF4198" t="s">
        <v>10842</v>
      </c>
      <c r="AG4198" t="s">
        <v>10859</v>
      </c>
      <c r="AH4198" t="s">
        <v>10862</v>
      </c>
      <c r="AI4198">
        <v>285</v>
      </c>
      <c r="AJ4198" t="s">
        <v>10208</v>
      </c>
      <c r="AL4198">
        <v>3.7</v>
      </c>
      <c r="AM4198" t="s">
        <v>10883</v>
      </c>
      <c r="AN4198" t="s">
        <v>10928</v>
      </c>
      <c r="AO4198" t="s">
        <v>10999</v>
      </c>
      <c r="AP4198" t="s">
        <v>11063</v>
      </c>
      <c r="AR4198" t="s">
        <v>11292</v>
      </c>
      <c r="AS4198" t="s">
        <v>11593</v>
      </c>
      <c r="BA4198" t="s">
        <v>11738</v>
      </c>
      <c r="BB4198">
        <v>0</v>
      </c>
      <c r="BC4198">
        <v>0</v>
      </c>
      <c r="BD4198">
        <v>0</v>
      </c>
      <c r="BE4198">
        <v>0</v>
      </c>
      <c r="BF4198">
        <v>5</v>
      </c>
      <c r="BG4198">
        <v>0</v>
      </c>
    </row>
    <row r="4199" spans="1:59">
      <c r="A4199" s="1">
        <f>HYPERLINK("https://lsnyc.legalserver.org/matter/dynamic-profile/view/1908360","19-1908360")</f>
        <v>0</v>
      </c>
      <c r="B4199" t="s">
        <v>2640</v>
      </c>
      <c r="C4199" t="s">
        <v>8229</v>
      </c>
      <c r="D4199" t="s">
        <v>9929</v>
      </c>
      <c r="E4199" t="s">
        <v>10075</v>
      </c>
      <c r="F4199">
        <v>10304</v>
      </c>
      <c r="G4199" t="s">
        <v>10088</v>
      </c>
      <c r="H4199" t="s">
        <v>10143</v>
      </c>
      <c r="I4199" t="s">
        <v>10168</v>
      </c>
      <c r="J4199" t="s">
        <v>10208</v>
      </c>
      <c r="K4199" t="s">
        <v>10217</v>
      </c>
      <c r="M4199" t="s">
        <v>10542</v>
      </c>
      <c r="N4199" t="s">
        <v>10729</v>
      </c>
      <c r="P4199" t="s">
        <v>10754</v>
      </c>
      <c r="Q4199" t="s">
        <v>10766</v>
      </c>
      <c r="R4199" t="s">
        <v>10827</v>
      </c>
      <c r="T4199">
        <v>0</v>
      </c>
      <c r="U4199">
        <v>0</v>
      </c>
      <c r="V4199">
        <v>31</v>
      </c>
      <c r="W4199">
        <v>2</v>
      </c>
      <c r="X4199">
        <v>2</v>
      </c>
      <c r="Z4199">
        <v>0</v>
      </c>
      <c r="AA4199">
        <v>40.596951</v>
      </c>
      <c r="AB4199">
        <v>-74.09264400000001</v>
      </c>
      <c r="AD4199" t="s">
        <v>10839</v>
      </c>
      <c r="AF4199" t="s">
        <v>10843</v>
      </c>
      <c r="AG4199" t="s">
        <v>10859</v>
      </c>
      <c r="AH4199" t="s">
        <v>10865</v>
      </c>
      <c r="AI4199">
        <v>285</v>
      </c>
      <c r="AJ4199" t="s">
        <v>10208</v>
      </c>
      <c r="AL4199">
        <v>1.7</v>
      </c>
      <c r="AM4199" t="s">
        <v>10883</v>
      </c>
      <c r="AN4199" t="s">
        <v>10915</v>
      </c>
      <c r="AO4199" t="s">
        <v>10999</v>
      </c>
      <c r="AP4199" t="s">
        <v>11063</v>
      </c>
      <c r="AQ4199" t="s">
        <v>11112</v>
      </c>
      <c r="AR4199" t="s">
        <v>11267</v>
      </c>
      <c r="AS4199" t="s">
        <v>11593</v>
      </c>
      <c r="AT4199" t="s">
        <v>11641</v>
      </c>
      <c r="AX4199" t="s">
        <v>10838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</row>
    <row r="4200" spans="1:59">
      <c r="A4200" s="1">
        <f>HYPERLINK("https://lsnyc.legalserver.org/matter/dynamic-profile/view/1908361","19-1908361")</f>
        <v>0</v>
      </c>
      <c r="B4200" t="s">
        <v>3443</v>
      </c>
      <c r="C4200" t="s">
        <v>8230</v>
      </c>
      <c r="D4200" t="s">
        <v>9925</v>
      </c>
      <c r="E4200" t="s">
        <v>10075</v>
      </c>
      <c r="F4200">
        <v>10035</v>
      </c>
      <c r="G4200" t="s">
        <v>10092</v>
      </c>
      <c r="H4200" t="s">
        <v>10151</v>
      </c>
      <c r="I4200" t="s">
        <v>10168</v>
      </c>
      <c r="J4200" t="s">
        <v>10212</v>
      </c>
      <c r="K4200" t="s">
        <v>10218</v>
      </c>
      <c r="L4200" t="s">
        <v>10158</v>
      </c>
      <c r="M4200" t="s">
        <v>10325</v>
      </c>
      <c r="N4200" t="s">
        <v>10657</v>
      </c>
      <c r="P4200" t="s">
        <v>10751</v>
      </c>
      <c r="Q4200" t="s">
        <v>10796</v>
      </c>
      <c r="R4200" t="s">
        <v>10820</v>
      </c>
      <c r="T4200">
        <v>9564</v>
      </c>
      <c r="U4200">
        <v>797</v>
      </c>
      <c r="V4200">
        <v>72</v>
      </c>
      <c r="W4200">
        <v>1</v>
      </c>
      <c r="X4200">
        <v>0</v>
      </c>
      <c r="Y4200" t="s">
        <v>10829</v>
      </c>
      <c r="Z4200">
        <v>76.56999999999999</v>
      </c>
      <c r="AA4200">
        <v>40.785252</v>
      </c>
      <c r="AB4200">
        <v>-73.931619</v>
      </c>
      <c r="AD4200" t="s">
        <v>10840</v>
      </c>
      <c r="AG4200" t="s">
        <v>10858</v>
      </c>
      <c r="AH4200" t="s">
        <v>10874</v>
      </c>
      <c r="AI4200">
        <v>237</v>
      </c>
      <c r="AJ4200" t="s">
        <v>10212</v>
      </c>
      <c r="AK4200" t="s">
        <v>10838</v>
      </c>
      <c r="AL4200">
        <v>1.25</v>
      </c>
      <c r="AM4200" t="s">
        <v>10891</v>
      </c>
      <c r="AN4200" t="s">
        <v>10926</v>
      </c>
      <c r="AO4200" t="s">
        <v>11013</v>
      </c>
      <c r="AP4200" t="s">
        <v>11066</v>
      </c>
      <c r="AR4200" t="s">
        <v>11274</v>
      </c>
      <c r="AS4200" t="s">
        <v>9925</v>
      </c>
      <c r="AY4200" t="s">
        <v>10829</v>
      </c>
      <c r="AZ4200" t="s">
        <v>11682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</row>
    <row r="4201" spans="1:59">
      <c r="A4201" s="1">
        <f>HYPERLINK("https://lsnyc.legalserver.org/matter/dynamic-profile/view/1908362","19-1908362")</f>
        <v>0</v>
      </c>
      <c r="B4201" t="s">
        <v>3444</v>
      </c>
      <c r="C4201" t="s">
        <v>8231</v>
      </c>
      <c r="D4201" t="s">
        <v>9938</v>
      </c>
      <c r="E4201" t="s">
        <v>10075</v>
      </c>
      <c r="F4201">
        <v>11432</v>
      </c>
      <c r="G4201" t="s">
        <v>10092</v>
      </c>
      <c r="H4201" t="s">
        <v>10151</v>
      </c>
      <c r="J4201" t="s">
        <v>10212</v>
      </c>
      <c r="K4201" t="s">
        <v>10218</v>
      </c>
      <c r="L4201" t="s">
        <v>10151</v>
      </c>
      <c r="M4201" t="s">
        <v>10350</v>
      </c>
      <c r="N4201" t="s">
        <v>10669</v>
      </c>
      <c r="P4201" t="s">
        <v>10754</v>
      </c>
      <c r="Q4201" t="s">
        <v>10770</v>
      </c>
      <c r="R4201" t="s">
        <v>10821</v>
      </c>
      <c r="T4201">
        <v>0</v>
      </c>
      <c r="U4201">
        <v>0</v>
      </c>
      <c r="V4201">
        <v>25</v>
      </c>
      <c r="W4201">
        <v>1</v>
      </c>
      <c r="X4201">
        <v>2</v>
      </c>
      <c r="Y4201" t="s">
        <v>10829</v>
      </c>
      <c r="Z4201">
        <v>0</v>
      </c>
      <c r="AA4201">
        <v>40.70562</v>
      </c>
      <c r="AB4201">
        <v>-73.802932</v>
      </c>
      <c r="AD4201" t="s">
        <v>10839</v>
      </c>
      <c r="AF4201" t="s">
        <v>10842</v>
      </c>
      <c r="AG4201" t="s">
        <v>10859</v>
      </c>
      <c r="AH4201" t="s">
        <v>10865</v>
      </c>
      <c r="AI4201">
        <v>237</v>
      </c>
      <c r="AJ4201" t="s">
        <v>10212</v>
      </c>
      <c r="AK4201" t="s">
        <v>10837</v>
      </c>
      <c r="AL4201">
        <v>1.25</v>
      </c>
      <c r="AM4201" t="s">
        <v>10892</v>
      </c>
      <c r="AN4201" t="s">
        <v>10951</v>
      </c>
      <c r="AO4201" t="s">
        <v>11020</v>
      </c>
      <c r="AP4201" t="s">
        <v>11081</v>
      </c>
      <c r="AR4201" t="s">
        <v>11267</v>
      </c>
      <c r="AS4201" t="s">
        <v>11594</v>
      </c>
      <c r="AY4201" t="s">
        <v>10829</v>
      </c>
      <c r="AZ4201" t="s">
        <v>11683</v>
      </c>
      <c r="BA4201" t="s">
        <v>11741</v>
      </c>
      <c r="BB4201">
        <v>0</v>
      </c>
      <c r="BC4201">
        <v>0</v>
      </c>
      <c r="BD4201">
        <v>0</v>
      </c>
      <c r="BE4201">
        <v>0</v>
      </c>
      <c r="BF4201">
        <v>1</v>
      </c>
      <c r="BG4201">
        <v>0</v>
      </c>
    </row>
    <row r="4202" spans="1:59">
      <c r="A4202" s="1">
        <f>HYPERLINK("https://lsnyc.legalserver.org/matter/dynamic-profile/view/1908363","19-1908363")</f>
        <v>0</v>
      </c>
      <c r="B4202" t="s">
        <v>3445</v>
      </c>
      <c r="C4202" t="s">
        <v>7867</v>
      </c>
      <c r="D4202" t="s">
        <v>9927</v>
      </c>
      <c r="E4202" t="s">
        <v>10075</v>
      </c>
      <c r="F4202">
        <v>11377</v>
      </c>
      <c r="G4202" t="s">
        <v>10092</v>
      </c>
      <c r="H4202" t="s">
        <v>10151</v>
      </c>
      <c r="I4202" t="s">
        <v>10169</v>
      </c>
      <c r="J4202" t="s">
        <v>10212</v>
      </c>
      <c r="K4202" t="s">
        <v>10217</v>
      </c>
      <c r="M4202" t="s">
        <v>10387</v>
      </c>
      <c r="N4202" t="s">
        <v>10650</v>
      </c>
      <c r="P4202" t="s">
        <v>10749</v>
      </c>
      <c r="Q4202" t="s">
        <v>10765</v>
      </c>
      <c r="R4202" t="s">
        <v>10821</v>
      </c>
      <c r="T4202">
        <v>60000</v>
      </c>
      <c r="U4202">
        <v>5000</v>
      </c>
      <c r="V4202">
        <v>69</v>
      </c>
      <c r="W4202">
        <v>1</v>
      </c>
      <c r="X4202">
        <v>0</v>
      </c>
      <c r="Z4202">
        <v>480.38</v>
      </c>
      <c r="AA4202">
        <v>40.741994</v>
      </c>
      <c r="AB4202">
        <v>-73.90494</v>
      </c>
      <c r="AD4202" t="s">
        <v>10839</v>
      </c>
      <c r="AG4202" t="s">
        <v>10858</v>
      </c>
      <c r="AH4202" t="s">
        <v>10862</v>
      </c>
      <c r="AI4202">
        <v>237</v>
      </c>
      <c r="AJ4202" t="s">
        <v>10212</v>
      </c>
      <c r="AL4202">
        <v>0.4</v>
      </c>
      <c r="AM4202" t="s">
        <v>10885</v>
      </c>
      <c r="AN4202" t="s">
        <v>10935</v>
      </c>
      <c r="AO4202" t="s">
        <v>11003</v>
      </c>
      <c r="AP4202" t="s">
        <v>11047</v>
      </c>
      <c r="AR4202" t="s">
        <v>11257</v>
      </c>
      <c r="AS4202" t="s">
        <v>11594</v>
      </c>
      <c r="BA4202" t="s">
        <v>11739</v>
      </c>
      <c r="BB4202">
        <v>0</v>
      </c>
      <c r="BC4202">
        <v>0</v>
      </c>
      <c r="BD4202">
        <v>0</v>
      </c>
      <c r="BE4202">
        <v>0</v>
      </c>
      <c r="BF4202">
        <v>4</v>
      </c>
      <c r="BG4202">
        <v>0</v>
      </c>
    </row>
    <row r="4203" spans="1:59">
      <c r="A4203" s="1">
        <f>HYPERLINK("https://lsnyc.legalserver.org/matter/dynamic-profile/view/1908364","19-1908364")</f>
        <v>0</v>
      </c>
      <c r="B4203" t="s">
        <v>3446</v>
      </c>
      <c r="C4203" t="s">
        <v>8232</v>
      </c>
      <c r="D4203" t="s">
        <v>9928</v>
      </c>
      <c r="E4203" t="s">
        <v>10075</v>
      </c>
      <c r="F4203">
        <v>11235</v>
      </c>
      <c r="G4203" t="s">
        <v>10093</v>
      </c>
      <c r="H4203" t="s">
        <v>10143</v>
      </c>
      <c r="I4203" t="s">
        <v>10171</v>
      </c>
      <c r="J4203" t="s">
        <v>10213</v>
      </c>
      <c r="K4203" t="s">
        <v>10217</v>
      </c>
      <c r="M4203" t="s">
        <v>10390</v>
      </c>
      <c r="N4203" t="s">
        <v>10644</v>
      </c>
      <c r="P4203" t="s">
        <v>10749</v>
      </c>
      <c r="Q4203" t="s">
        <v>10791</v>
      </c>
      <c r="R4203" t="s">
        <v>10820</v>
      </c>
      <c r="T4203">
        <v>14448</v>
      </c>
      <c r="U4203">
        <v>1204</v>
      </c>
      <c r="V4203">
        <v>89</v>
      </c>
      <c r="W4203">
        <v>2</v>
      </c>
      <c r="X4203">
        <v>0</v>
      </c>
      <c r="Z4203">
        <v>85.44</v>
      </c>
      <c r="AA4203">
        <v>40.588557</v>
      </c>
      <c r="AB4203">
        <v>-73.966611</v>
      </c>
      <c r="AD4203" t="s">
        <v>10840</v>
      </c>
      <c r="AG4203" t="s">
        <v>10858</v>
      </c>
      <c r="AH4203" t="s">
        <v>10869</v>
      </c>
      <c r="AI4203">
        <v>239</v>
      </c>
      <c r="AJ4203" t="s">
        <v>10213</v>
      </c>
      <c r="AL4203">
        <v>1.75</v>
      </c>
      <c r="AM4203" t="s">
        <v>10883</v>
      </c>
      <c r="AN4203" t="s">
        <v>10960</v>
      </c>
      <c r="AO4203" t="s">
        <v>11006</v>
      </c>
      <c r="AP4203" t="s">
        <v>11087</v>
      </c>
      <c r="AQ4203" t="s">
        <v>11133</v>
      </c>
      <c r="AR4203" t="s">
        <v>11263</v>
      </c>
      <c r="AS4203" t="s">
        <v>11595</v>
      </c>
      <c r="BA4203" t="s">
        <v>11741</v>
      </c>
      <c r="BB4203">
        <v>0</v>
      </c>
      <c r="BC4203">
        <v>0</v>
      </c>
      <c r="BD4203">
        <v>0</v>
      </c>
      <c r="BE4203">
        <v>0</v>
      </c>
      <c r="BF4203">
        <v>1</v>
      </c>
      <c r="BG4203">
        <v>0</v>
      </c>
    </row>
    <row r="4204" spans="1:59">
      <c r="A4204" s="1">
        <f>HYPERLINK("https://lsnyc.legalserver.org/matter/dynamic-profile/view/1908366","19-1908366")</f>
        <v>0</v>
      </c>
      <c r="B4204" t="s">
        <v>3447</v>
      </c>
      <c r="C4204" t="s">
        <v>8233</v>
      </c>
      <c r="D4204" t="s">
        <v>9926</v>
      </c>
      <c r="E4204" t="s">
        <v>10075</v>
      </c>
      <c r="F4204">
        <v>10459</v>
      </c>
      <c r="G4204" t="s">
        <v>10090</v>
      </c>
      <c r="H4204" t="s">
        <v>10151</v>
      </c>
      <c r="I4204" t="s">
        <v>10168</v>
      </c>
      <c r="J4204" t="s">
        <v>10210</v>
      </c>
      <c r="K4204" t="s">
        <v>10217</v>
      </c>
      <c r="M4204" t="s">
        <v>10372</v>
      </c>
      <c r="N4204" t="s">
        <v>10646</v>
      </c>
      <c r="P4204" t="s">
        <v>10750</v>
      </c>
      <c r="Q4204" t="s">
        <v>10778</v>
      </c>
      <c r="R4204" t="s">
        <v>10824</v>
      </c>
      <c r="T4204">
        <v>31200</v>
      </c>
      <c r="U4204">
        <v>2600</v>
      </c>
      <c r="V4204">
        <v>53</v>
      </c>
      <c r="W4204">
        <v>1</v>
      </c>
      <c r="X4204">
        <v>0</v>
      </c>
      <c r="Z4204">
        <v>249.8</v>
      </c>
      <c r="AA4204">
        <v>40.826693</v>
      </c>
      <c r="AB4204">
        <v>-73.889703</v>
      </c>
      <c r="AD4204" t="s">
        <v>10839</v>
      </c>
      <c r="AG4204" t="s">
        <v>10858</v>
      </c>
      <c r="AH4204" t="s">
        <v>10861</v>
      </c>
      <c r="AI4204">
        <v>234</v>
      </c>
      <c r="AJ4204" t="s">
        <v>10214</v>
      </c>
      <c r="AL4204">
        <v>1.25</v>
      </c>
      <c r="AM4204" t="s">
        <v>10884</v>
      </c>
      <c r="AN4204" t="s">
        <v>10968</v>
      </c>
      <c r="AO4204" t="s">
        <v>11001</v>
      </c>
      <c r="AP4204" t="s">
        <v>11062</v>
      </c>
      <c r="AR4204" t="s">
        <v>11257</v>
      </c>
      <c r="AS4204" t="s">
        <v>9926</v>
      </c>
      <c r="AT4204" t="s">
        <v>11641</v>
      </c>
      <c r="AX4204" t="s">
        <v>10838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</row>
    <row r="4205" spans="1:59">
      <c r="A4205" s="1">
        <f>HYPERLINK("https://lsnyc.legalserver.org/matter/dynamic-profile/view/1908367","19-1908367")</f>
        <v>0</v>
      </c>
      <c r="B4205" t="s">
        <v>3445</v>
      </c>
      <c r="C4205" t="s">
        <v>7867</v>
      </c>
      <c r="D4205" t="s">
        <v>9927</v>
      </c>
      <c r="E4205" t="s">
        <v>10075</v>
      </c>
      <c r="F4205">
        <v>11377</v>
      </c>
      <c r="G4205" t="s">
        <v>10092</v>
      </c>
      <c r="H4205" t="s">
        <v>10151</v>
      </c>
      <c r="I4205" t="s">
        <v>10169</v>
      </c>
      <c r="J4205" t="s">
        <v>10212</v>
      </c>
      <c r="K4205" t="s">
        <v>10217</v>
      </c>
      <c r="M4205" t="s">
        <v>10387</v>
      </c>
      <c r="N4205" t="s">
        <v>10650</v>
      </c>
      <c r="P4205" t="s">
        <v>10749</v>
      </c>
      <c r="Q4205" t="s">
        <v>10765</v>
      </c>
      <c r="R4205" t="s">
        <v>10821</v>
      </c>
      <c r="T4205">
        <v>60000</v>
      </c>
      <c r="U4205">
        <v>5000</v>
      </c>
      <c r="V4205">
        <v>69</v>
      </c>
      <c r="W4205">
        <v>1</v>
      </c>
      <c r="X4205">
        <v>0</v>
      </c>
      <c r="Z4205">
        <v>480.38</v>
      </c>
      <c r="AA4205">
        <v>40.741994</v>
      </c>
      <c r="AB4205">
        <v>-73.90494</v>
      </c>
      <c r="AD4205" t="s">
        <v>10839</v>
      </c>
      <c r="AG4205" t="s">
        <v>10858</v>
      </c>
      <c r="AH4205" t="s">
        <v>10862</v>
      </c>
      <c r="AI4205">
        <v>237</v>
      </c>
      <c r="AJ4205" t="s">
        <v>10212</v>
      </c>
      <c r="AL4205">
        <v>0.2</v>
      </c>
      <c r="AM4205" t="s">
        <v>10885</v>
      </c>
      <c r="AN4205" t="s">
        <v>10935</v>
      </c>
      <c r="AO4205" t="s">
        <v>11003</v>
      </c>
      <c r="AP4205" t="s">
        <v>11047</v>
      </c>
      <c r="AR4205" t="s">
        <v>11257</v>
      </c>
      <c r="AS4205" t="s">
        <v>11594</v>
      </c>
      <c r="BA4205" t="s">
        <v>11739</v>
      </c>
      <c r="BB4205">
        <v>0</v>
      </c>
      <c r="BC4205">
        <v>0</v>
      </c>
      <c r="BD4205">
        <v>0</v>
      </c>
      <c r="BE4205">
        <v>0</v>
      </c>
      <c r="BF4205">
        <v>4</v>
      </c>
      <c r="BG4205">
        <v>0</v>
      </c>
    </row>
    <row r="4206" spans="1:59">
      <c r="A4206" s="1">
        <f>HYPERLINK("https://lsnyc.legalserver.org/matter/dynamic-profile/view/1908368","19-1908368")</f>
        <v>0</v>
      </c>
      <c r="B4206" t="s">
        <v>3448</v>
      </c>
      <c r="C4206" t="s">
        <v>5064</v>
      </c>
      <c r="D4206" t="s">
        <v>9925</v>
      </c>
      <c r="E4206" t="s">
        <v>10075</v>
      </c>
      <c r="F4206">
        <v>10035</v>
      </c>
      <c r="G4206" t="s">
        <v>10089</v>
      </c>
      <c r="H4206" t="s">
        <v>10151</v>
      </c>
      <c r="I4206" t="s">
        <v>10168</v>
      </c>
      <c r="J4206" t="s">
        <v>10209</v>
      </c>
      <c r="K4206" t="s">
        <v>10217</v>
      </c>
      <c r="M4206" t="s">
        <v>10589</v>
      </c>
      <c r="N4206" t="s">
        <v>10650</v>
      </c>
      <c r="P4206" t="s">
        <v>10749</v>
      </c>
      <c r="Q4206" t="s">
        <v>10765</v>
      </c>
      <c r="R4206" t="s">
        <v>10821</v>
      </c>
      <c r="T4206">
        <v>52000</v>
      </c>
      <c r="U4206">
        <v>4333.33</v>
      </c>
      <c r="V4206">
        <v>57</v>
      </c>
      <c r="W4206">
        <v>1</v>
      </c>
      <c r="X4206">
        <v>0</v>
      </c>
      <c r="Z4206">
        <v>416.33</v>
      </c>
      <c r="AA4206">
        <v>40.799429</v>
      </c>
      <c r="AB4206">
        <v>-73.94181399999999</v>
      </c>
      <c r="AD4206" t="s">
        <v>10839</v>
      </c>
      <c r="AG4206" t="s">
        <v>10858</v>
      </c>
      <c r="AH4206" t="s">
        <v>10862</v>
      </c>
      <c r="AI4206">
        <v>236</v>
      </c>
      <c r="AJ4206" t="s">
        <v>10209</v>
      </c>
      <c r="AL4206">
        <v>0</v>
      </c>
      <c r="AM4206" t="s">
        <v>10887</v>
      </c>
      <c r="AN4206" t="s">
        <v>10926</v>
      </c>
      <c r="AO4206" t="s">
        <v>11016</v>
      </c>
      <c r="AP4206" t="s">
        <v>11066</v>
      </c>
      <c r="AR4206" t="s">
        <v>11257</v>
      </c>
      <c r="AS4206" t="s">
        <v>9925</v>
      </c>
      <c r="AT4206" t="s">
        <v>11641</v>
      </c>
      <c r="AX4206" t="s">
        <v>10838</v>
      </c>
      <c r="BA4206" t="s">
        <v>11740</v>
      </c>
      <c r="BB4206">
        <v>0</v>
      </c>
      <c r="BC4206">
        <v>0</v>
      </c>
      <c r="BD4206">
        <v>0</v>
      </c>
      <c r="BE4206">
        <v>0</v>
      </c>
      <c r="BF4206">
        <v>2</v>
      </c>
      <c r="BG4206">
        <v>0</v>
      </c>
    </row>
    <row r="4207" spans="1:59">
      <c r="A4207" s="1">
        <f>HYPERLINK("https://lsnyc.legalserver.org/matter/dynamic-profile/view/1908369","19-1908369")</f>
        <v>0</v>
      </c>
      <c r="B4207" t="s">
        <v>3449</v>
      </c>
      <c r="C4207" t="s">
        <v>8234</v>
      </c>
      <c r="D4207" t="s">
        <v>9929</v>
      </c>
      <c r="E4207" t="s">
        <v>10075</v>
      </c>
      <c r="F4207">
        <v>10310</v>
      </c>
      <c r="G4207" t="s">
        <v>10088</v>
      </c>
      <c r="H4207" t="s">
        <v>10151</v>
      </c>
      <c r="I4207" t="s">
        <v>10168</v>
      </c>
      <c r="J4207" t="s">
        <v>10208</v>
      </c>
      <c r="K4207" t="s">
        <v>10217</v>
      </c>
      <c r="M4207" t="s">
        <v>10243</v>
      </c>
      <c r="N4207" t="s">
        <v>10655</v>
      </c>
      <c r="P4207" t="s">
        <v>10749</v>
      </c>
      <c r="Q4207" t="s">
        <v>10765</v>
      </c>
      <c r="R4207" t="s">
        <v>10824</v>
      </c>
      <c r="T4207">
        <v>4200</v>
      </c>
      <c r="U4207">
        <v>350</v>
      </c>
      <c r="V4207">
        <v>31</v>
      </c>
      <c r="W4207">
        <v>1</v>
      </c>
      <c r="X4207">
        <v>2</v>
      </c>
      <c r="Z4207">
        <v>19.69</v>
      </c>
      <c r="AA4207">
        <v>40.629788</v>
      </c>
      <c r="AB4207">
        <v>-74.120532</v>
      </c>
      <c r="AD4207" t="s">
        <v>10839</v>
      </c>
      <c r="AG4207" t="s">
        <v>10858</v>
      </c>
      <c r="AH4207" t="s">
        <v>10862</v>
      </c>
      <c r="AI4207">
        <v>285</v>
      </c>
      <c r="AJ4207" t="s">
        <v>10208</v>
      </c>
      <c r="AL4207">
        <v>2.3</v>
      </c>
      <c r="AM4207" t="s">
        <v>10883</v>
      </c>
      <c r="AN4207" t="s">
        <v>10913</v>
      </c>
      <c r="AO4207" t="s">
        <v>11006</v>
      </c>
      <c r="AP4207" t="s">
        <v>11051</v>
      </c>
      <c r="AR4207" t="s">
        <v>11292</v>
      </c>
      <c r="AS4207" t="s">
        <v>11593</v>
      </c>
      <c r="BA4207" t="s">
        <v>11738</v>
      </c>
      <c r="BB4207">
        <v>0</v>
      </c>
      <c r="BC4207">
        <v>0</v>
      </c>
      <c r="BD4207">
        <v>0</v>
      </c>
      <c r="BE4207">
        <v>0</v>
      </c>
      <c r="BF4207">
        <v>5</v>
      </c>
      <c r="BG4207">
        <v>0</v>
      </c>
    </row>
    <row r="4208" spans="1:59">
      <c r="A4208" s="1">
        <f>HYPERLINK("https://lsnyc.legalserver.org/matter/dynamic-profile/view/1908370","19-1908370")</f>
        <v>0</v>
      </c>
      <c r="B4208" t="s">
        <v>3450</v>
      </c>
      <c r="C4208" t="s">
        <v>8235</v>
      </c>
      <c r="D4208" t="s">
        <v>9928</v>
      </c>
      <c r="E4208" t="s">
        <v>10075</v>
      </c>
      <c r="F4208">
        <v>11218</v>
      </c>
      <c r="G4208" t="s">
        <v>10093</v>
      </c>
      <c r="H4208" t="s">
        <v>10151</v>
      </c>
      <c r="I4208" t="s">
        <v>10168</v>
      </c>
      <c r="J4208" t="s">
        <v>10213</v>
      </c>
      <c r="K4208" t="s">
        <v>10217</v>
      </c>
      <c r="M4208" t="s">
        <v>10581</v>
      </c>
      <c r="N4208" t="s">
        <v>10656</v>
      </c>
      <c r="P4208" t="s">
        <v>10751</v>
      </c>
      <c r="Q4208" t="s">
        <v>10768</v>
      </c>
      <c r="R4208" t="s">
        <v>10820</v>
      </c>
      <c r="T4208">
        <v>2304</v>
      </c>
      <c r="U4208">
        <v>192</v>
      </c>
      <c r="V4208">
        <v>40</v>
      </c>
      <c r="W4208">
        <v>1</v>
      </c>
      <c r="X4208">
        <v>0</v>
      </c>
      <c r="Z4208">
        <v>18.45</v>
      </c>
      <c r="AA4208">
        <v>40.640501</v>
      </c>
      <c r="AB4208">
        <v>-73.988685</v>
      </c>
      <c r="AD4208" t="s">
        <v>10839</v>
      </c>
      <c r="AG4208" t="s">
        <v>10858</v>
      </c>
      <c r="AH4208" t="s">
        <v>10861</v>
      </c>
      <c r="AI4208">
        <v>234</v>
      </c>
      <c r="AJ4208" t="s">
        <v>10214</v>
      </c>
      <c r="AL4208">
        <v>3.2</v>
      </c>
      <c r="AM4208" t="s">
        <v>10894</v>
      </c>
      <c r="AN4208" t="s">
        <v>10941</v>
      </c>
      <c r="AO4208" t="s">
        <v>11015</v>
      </c>
      <c r="AP4208" t="s">
        <v>11059</v>
      </c>
      <c r="AR4208" t="s">
        <v>11279</v>
      </c>
      <c r="AS4208" t="s">
        <v>11595</v>
      </c>
      <c r="AT4208" t="s">
        <v>11641</v>
      </c>
      <c r="AX4208" t="s">
        <v>10838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</row>
    <row r="4209" spans="1:59">
      <c r="A4209" s="1">
        <f>HYPERLINK("https://lsnyc.legalserver.org/matter/dynamic-profile/view/1908371","19-1908371")</f>
        <v>0</v>
      </c>
      <c r="B4209" t="s">
        <v>3451</v>
      </c>
      <c r="C4209" t="s">
        <v>8236</v>
      </c>
      <c r="D4209" t="s">
        <v>9928</v>
      </c>
      <c r="E4209" t="s">
        <v>10075</v>
      </c>
      <c r="F4209">
        <v>11209</v>
      </c>
      <c r="G4209" t="s">
        <v>10093</v>
      </c>
      <c r="H4209" t="s">
        <v>10151</v>
      </c>
      <c r="I4209" t="s">
        <v>10168</v>
      </c>
      <c r="J4209" t="s">
        <v>10213</v>
      </c>
      <c r="K4209" t="s">
        <v>10217</v>
      </c>
      <c r="M4209" t="s">
        <v>10280</v>
      </c>
      <c r="N4209" t="s">
        <v>10671</v>
      </c>
      <c r="P4209" t="s">
        <v>10751</v>
      </c>
      <c r="Q4209" t="s">
        <v>10780</v>
      </c>
      <c r="R4209" t="s">
        <v>10820</v>
      </c>
      <c r="T4209">
        <v>15000</v>
      </c>
      <c r="U4209">
        <v>1250</v>
      </c>
      <c r="V4209">
        <v>19</v>
      </c>
      <c r="W4209">
        <v>2</v>
      </c>
      <c r="X4209">
        <v>0</v>
      </c>
      <c r="Z4209">
        <v>88.7</v>
      </c>
      <c r="AA4209">
        <v>40.623103</v>
      </c>
      <c r="AB4209">
        <v>-74.03566499999999</v>
      </c>
      <c r="AD4209" t="s">
        <v>10840</v>
      </c>
      <c r="AG4209" t="s">
        <v>10858</v>
      </c>
      <c r="AH4209" t="s">
        <v>10861</v>
      </c>
      <c r="AI4209">
        <v>234</v>
      </c>
      <c r="AJ4209" t="s">
        <v>10214</v>
      </c>
      <c r="AL4209">
        <v>1</v>
      </c>
      <c r="AM4209" t="s">
        <v>10883</v>
      </c>
      <c r="AN4209" t="s">
        <v>10960</v>
      </c>
      <c r="AO4209" t="s">
        <v>11023</v>
      </c>
      <c r="AP4209" t="s">
        <v>11086</v>
      </c>
      <c r="AR4209" t="s">
        <v>11538</v>
      </c>
      <c r="AS4209" t="s">
        <v>11595</v>
      </c>
      <c r="AT4209" t="s">
        <v>11642</v>
      </c>
      <c r="AX4209" t="s">
        <v>10838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</row>
    <row r="4210" spans="1:59">
      <c r="A4210" s="1">
        <f>HYPERLINK("https://lsnyc.legalserver.org/matter/dynamic-profile/view/1908372","19-1908372")</f>
        <v>0</v>
      </c>
      <c r="B4210" t="s">
        <v>3452</v>
      </c>
      <c r="C4210" t="s">
        <v>8237</v>
      </c>
      <c r="D4210" t="s">
        <v>9925</v>
      </c>
      <c r="E4210" t="s">
        <v>10075</v>
      </c>
      <c r="F4210">
        <v>10025</v>
      </c>
      <c r="G4210" t="s">
        <v>10089</v>
      </c>
      <c r="H4210" t="s">
        <v>10151</v>
      </c>
      <c r="I4210" t="s">
        <v>10168</v>
      </c>
      <c r="J4210" t="s">
        <v>10209</v>
      </c>
      <c r="K4210" t="s">
        <v>10217</v>
      </c>
      <c r="M4210" t="s">
        <v>10476</v>
      </c>
      <c r="N4210" t="s">
        <v>10702</v>
      </c>
      <c r="P4210" t="s">
        <v>10749</v>
      </c>
      <c r="Q4210" t="s">
        <v>10765</v>
      </c>
      <c r="R4210" t="s">
        <v>10825</v>
      </c>
      <c r="T4210">
        <v>12720</v>
      </c>
      <c r="U4210">
        <v>1060</v>
      </c>
      <c r="V4210">
        <v>78</v>
      </c>
      <c r="W4210">
        <v>2</v>
      </c>
      <c r="X4210">
        <v>0</v>
      </c>
      <c r="Z4210">
        <v>75.22</v>
      </c>
      <c r="AA4210">
        <v>40.796882</v>
      </c>
      <c r="AB4210">
        <v>-73.970687</v>
      </c>
      <c r="AD4210" t="s">
        <v>10840</v>
      </c>
      <c r="AG4210" t="s">
        <v>10858</v>
      </c>
      <c r="AH4210" t="s">
        <v>10862</v>
      </c>
      <c r="AI4210">
        <v>236</v>
      </c>
      <c r="AJ4210" t="s">
        <v>10209</v>
      </c>
      <c r="AL4210">
        <v>5.8</v>
      </c>
      <c r="AM4210" t="s">
        <v>10894</v>
      </c>
      <c r="AN4210" t="s">
        <v>10953</v>
      </c>
      <c r="AO4210" t="s">
        <v>11019</v>
      </c>
      <c r="AP4210" t="s">
        <v>11089</v>
      </c>
      <c r="AR4210" t="s">
        <v>11274</v>
      </c>
      <c r="AS4210" t="s">
        <v>9925</v>
      </c>
      <c r="BA4210" t="s">
        <v>11738</v>
      </c>
      <c r="BB4210">
        <v>0</v>
      </c>
      <c r="BC4210">
        <v>0</v>
      </c>
      <c r="BD4210">
        <v>0</v>
      </c>
      <c r="BE4210">
        <v>0</v>
      </c>
      <c r="BF4210">
        <v>5</v>
      </c>
      <c r="BG4210">
        <v>0</v>
      </c>
    </row>
    <row r="4211" spans="1:59">
      <c r="A4211" s="1">
        <f>HYPERLINK("https://lsnyc.legalserver.org/matter/dynamic-profile/view/1908373","19-1908373")</f>
        <v>0</v>
      </c>
      <c r="B4211" t="s">
        <v>3453</v>
      </c>
      <c r="C4211" t="s">
        <v>8238</v>
      </c>
      <c r="D4211" t="s">
        <v>9926</v>
      </c>
      <c r="E4211" t="s">
        <v>10075</v>
      </c>
      <c r="F4211">
        <v>10458</v>
      </c>
      <c r="G4211" t="s">
        <v>10090</v>
      </c>
      <c r="H4211" t="s">
        <v>10151</v>
      </c>
      <c r="I4211" t="s">
        <v>10168</v>
      </c>
      <c r="J4211" t="s">
        <v>10210</v>
      </c>
      <c r="K4211" t="s">
        <v>10218</v>
      </c>
      <c r="L4211" t="s">
        <v>10162</v>
      </c>
      <c r="M4211" t="s">
        <v>10262</v>
      </c>
      <c r="N4211" t="s">
        <v>10666</v>
      </c>
      <c r="P4211" t="s">
        <v>10749</v>
      </c>
      <c r="Q4211" t="s">
        <v>10765</v>
      </c>
      <c r="R4211" t="s">
        <v>10821</v>
      </c>
      <c r="T4211">
        <v>0</v>
      </c>
      <c r="U4211">
        <v>0</v>
      </c>
      <c r="V4211">
        <v>35</v>
      </c>
      <c r="W4211">
        <v>1</v>
      </c>
      <c r="X4211">
        <v>0</v>
      </c>
      <c r="Y4211" t="s">
        <v>10829</v>
      </c>
      <c r="Z4211">
        <v>0</v>
      </c>
      <c r="AA4211">
        <v>40.857546</v>
      </c>
      <c r="AB4211">
        <v>-73.897475</v>
      </c>
      <c r="AD4211" t="s">
        <v>10839</v>
      </c>
      <c r="AG4211" t="s">
        <v>10858</v>
      </c>
      <c r="AH4211" t="s">
        <v>10862</v>
      </c>
      <c r="AI4211">
        <v>230</v>
      </c>
      <c r="AJ4211" t="s">
        <v>10210</v>
      </c>
      <c r="AK4211" t="s">
        <v>10882</v>
      </c>
      <c r="AL4211">
        <v>1.6</v>
      </c>
      <c r="AM4211" t="s">
        <v>10884</v>
      </c>
      <c r="AN4211" t="s">
        <v>10931</v>
      </c>
      <c r="AO4211" t="s">
        <v>11000</v>
      </c>
      <c r="AP4211" t="s">
        <v>11056</v>
      </c>
      <c r="AR4211" t="s">
        <v>11267</v>
      </c>
      <c r="AS4211" t="s">
        <v>9926</v>
      </c>
      <c r="AT4211" t="s">
        <v>11641</v>
      </c>
      <c r="AX4211" t="s">
        <v>10838</v>
      </c>
      <c r="AY4211" t="s">
        <v>10829</v>
      </c>
      <c r="AZ4211" t="s">
        <v>11681</v>
      </c>
      <c r="BA4211" t="s">
        <v>11741</v>
      </c>
      <c r="BB4211">
        <v>0</v>
      </c>
      <c r="BC4211">
        <v>0</v>
      </c>
      <c r="BD4211">
        <v>0</v>
      </c>
      <c r="BE4211">
        <v>0</v>
      </c>
      <c r="BF4211">
        <v>1</v>
      </c>
      <c r="BG4211">
        <v>0</v>
      </c>
    </row>
    <row r="4212" spans="1:59">
      <c r="A4212" s="1">
        <f>HYPERLINK("https://lsnyc.legalserver.org/matter/dynamic-profile/view/1908375","19-1908375")</f>
        <v>0</v>
      </c>
      <c r="B4212" t="s">
        <v>3454</v>
      </c>
      <c r="C4212" t="s">
        <v>7867</v>
      </c>
      <c r="D4212" t="s">
        <v>9927</v>
      </c>
      <c r="E4212" t="s">
        <v>10075</v>
      </c>
      <c r="F4212">
        <v>11377</v>
      </c>
      <c r="G4212" t="s">
        <v>10092</v>
      </c>
      <c r="H4212" t="s">
        <v>10151</v>
      </c>
      <c r="I4212" t="s">
        <v>10169</v>
      </c>
      <c r="J4212" t="s">
        <v>10212</v>
      </c>
      <c r="K4212" t="s">
        <v>10217</v>
      </c>
      <c r="M4212" t="s">
        <v>10387</v>
      </c>
      <c r="N4212" t="s">
        <v>10650</v>
      </c>
      <c r="P4212" t="s">
        <v>10749</v>
      </c>
      <c r="Q4212" t="s">
        <v>10765</v>
      </c>
      <c r="R4212" t="s">
        <v>10821</v>
      </c>
      <c r="T4212">
        <v>14000</v>
      </c>
      <c r="U4212">
        <v>1166.67</v>
      </c>
      <c r="V4212">
        <v>61</v>
      </c>
      <c r="W4212">
        <v>2</v>
      </c>
      <c r="X4212">
        <v>0</v>
      </c>
      <c r="Z4212">
        <v>82.79000000000001</v>
      </c>
      <c r="AA4212">
        <v>40.741994</v>
      </c>
      <c r="AB4212">
        <v>-73.90494</v>
      </c>
      <c r="AD4212" t="s">
        <v>10840</v>
      </c>
      <c r="AF4212" t="s">
        <v>10843</v>
      </c>
      <c r="AG4212" t="s">
        <v>10859</v>
      </c>
      <c r="AH4212" t="s">
        <v>10862</v>
      </c>
      <c r="AI4212">
        <v>237</v>
      </c>
      <c r="AJ4212" t="s">
        <v>10212</v>
      </c>
      <c r="AL4212">
        <v>0.4</v>
      </c>
      <c r="AM4212" t="s">
        <v>10885</v>
      </c>
      <c r="AN4212" t="s">
        <v>10935</v>
      </c>
      <c r="AO4212" t="s">
        <v>11003</v>
      </c>
      <c r="AP4212" t="s">
        <v>11047</v>
      </c>
      <c r="AR4212" t="s">
        <v>11300</v>
      </c>
      <c r="AS4212" t="s">
        <v>11594</v>
      </c>
      <c r="BA4212" t="s">
        <v>11739</v>
      </c>
      <c r="BB4212">
        <v>0</v>
      </c>
      <c r="BC4212">
        <v>0</v>
      </c>
      <c r="BD4212">
        <v>0</v>
      </c>
      <c r="BE4212">
        <v>0</v>
      </c>
      <c r="BF4212">
        <v>4</v>
      </c>
      <c r="BG4212">
        <v>0</v>
      </c>
    </row>
    <row r="4213" spans="1:59">
      <c r="A4213" s="1">
        <f>HYPERLINK("https://lsnyc.legalserver.org/matter/dynamic-profile/view/1908376","19-1908376")</f>
        <v>0</v>
      </c>
      <c r="B4213" t="s">
        <v>3455</v>
      </c>
      <c r="C4213" t="s">
        <v>8239</v>
      </c>
      <c r="D4213" t="s">
        <v>9929</v>
      </c>
      <c r="E4213" t="s">
        <v>10075</v>
      </c>
      <c r="F4213">
        <v>10314</v>
      </c>
      <c r="G4213" t="s">
        <v>10088</v>
      </c>
      <c r="H4213" t="s">
        <v>10151</v>
      </c>
      <c r="I4213" t="s">
        <v>10168</v>
      </c>
      <c r="J4213" t="s">
        <v>10208</v>
      </c>
      <c r="K4213" t="s">
        <v>10218</v>
      </c>
      <c r="L4213" t="s">
        <v>10151</v>
      </c>
      <c r="M4213" t="s">
        <v>10240</v>
      </c>
      <c r="N4213" t="s">
        <v>10655</v>
      </c>
      <c r="P4213" t="s">
        <v>10749</v>
      </c>
      <c r="Q4213" t="s">
        <v>10765</v>
      </c>
      <c r="R4213" t="s">
        <v>10820</v>
      </c>
      <c r="T4213">
        <v>66000</v>
      </c>
      <c r="U4213">
        <v>5500</v>
      </c>
      <c r="V4213">
        <v>45</v>
      </c>
      <c r="W4213">
        <v>2</v>
      </c>
      <c r="X4213">
        <v>1</v>
      </c>
      <c r="Y4213" t="s">
        <v>10829</v>
      </c>
      <c r="Z4213">
        <v>309.42</v>
      </c>
      <c r="AA4213">
        <v>40.611838</v>
      </c>
      <c r="AB4213">
        <v>-74.162014</v>
      </c>
      <c r="AD4213" t="s">
        <v>10839</v>
      </c>
      <c r="AG4213" t="s">
        <v>10858</v>
      </c>
      <c r="AH4213" t="s">
        <v>10862</v>
      </c>
      <c r="AI4213">
        <v>285</v>
      </c>
      <c r="AJ4213" t="s">
        <v>10208</v>
      </c>
      <c r="AK4213" t="s">
        <v>10838</v>
      </c>
      <c r="AL4213">
        <v>0.15</v>
      </c>
      <c r="AM4213" t="s">
        <v>10883</v>
      </c>
      <c r="AN4213" t="s">
        <v>10928</v>
      </c>
      <c r="AO4213" t="s">
        <v>10999</v>
      </c>
      <c r="AP4213" t="s">
        <v>11063</v>
      </c>
      <c r="AR4213" t="s">
        <v>11257</v>
      </c>
      <c r="AS4213" t="s">
        <v>11593</v>
      </c>
      <c r="AY4213" t="s">
        <v>10829</v>
      </c>
      <c r="AZ4213" t="s">
        <v>11681</v>
      </c>
      <c r="BA4213" t="s">
        <v>11741</v>
      </c>
      <c r="BB4213">
        <v>0</v>
      </c>
      <c r="BC4213">
        <v>0</v>
      </c>
      <c r="BD4213">
        <v>0</v>
      </c>
      <c r="BE4213">
        <v>0</v>
      </c>
      <c r="BF4213">
        <v>1</v>
      </c>
      <c r="BG4213">
        <v>0</v>
      </c>
    </row>
    <row r="4214" spans="1:59">
      <c r="A4214" s="1">
        <f>HYPERLINK("https://lsnyc.legalserver.org/matter/dynamic-profile/view/1908377","19-1908377")</f>
        <v>0</v>
      </c>
      <c r="B4214" t="s">
        <v>3456</v>
      </c>
      <c r="C4214" t="s">
        <v>8240</v>
      </c>
      <c r="D4214" t="s">
        <v>9925</v>
      </c>
      <c r="E4214" t="s">
        <v>10075</v>
      </c>
      <c r="F4214">
        <v>10027</v>
      </c>
      <c r="G4214" t="s">
        <v>10092</v>
      </c>
      <c r="H4214" t="s">
        <v>10151</v>
      </c>
      <c r="I4214" t="s">
        <v>10168</v>
      </c>
      <c r="J4214" t="s">
        <v>10212</v>
      </c>
      <c r="K4214" t="s">
        <v>10217</v>
      </c>
      <c r="M4214" t="s">
        <v>10325</v>
      </c>
      <c r="N4214" t="s">
        <v>10657</v>
      </c>
      <c r="P4214" t="s">
        <v>10751</v>
      </c>
      <c r="Q4214" t="s">
        <v>10796</v>
      </c>
      <c r="R4214" t="s">
        <v>10824</v>
      </c>
      <c r="T4214">
        <v>0</v>
      </c>
      <c r="U4214">
        <v>0</v>
      </c>
      <c r="V4214">
        <v>59</v>
      </c>
      <c r="W4214">
        <v>1</v>
      </c>
      <c r="X4214">
        <v>0</v>
      </c>
      <c r="Z4214">
        <v>0</v>
      </c>
      <c r="AA4214">
        <v>40.811061</v>
      </c>
      <c r="AB4214">
        <v>-73.945925</v>
      </c>
      <c r="AD4214" t="s">
        <v>10840</v>
      </c>
      <c r="AG4214" t="s">
        <v>10858</v>
      </c>
      <c r="AH4214" t="s">
        <v>10874</v>
      </c>
      <c r="AI4214">
        <v>237</v>
      </c>
      <c r="AJ4214" t="s">
        <v>10212</v>
      </c>
      <c r="AL4214">
        <v>1.25</v>
      </c>
      <c r="AM4214" t="s">
        <v>10887</v>
      </c>
      <c r="AN4214" t="s">
        <v>10936</v>
      </c>
      <c r="AO4214" t="s">
        <v>11016</v>
      </c>
      <c r="AP4214" t="s">
        <v>11076</v>
      </c>
      <c r="AR4214" t="s">
        <v>11279</v>
      </c>
      <c r="AS4214" t="s">
        <v>9925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</row>
    <row r="4215" spans="1:59">
      <c r="A4215" s="1">
        <f>HYPERLINK("https://lsnyc.legalserver.org/matter/dynamic-profile/view/1908378","19-1908378")</f>
        <v>0</v>
      </c>
      <c r="B4215" t="s">
        <v>3457</v>
      </c>
      <c r="C4215" t="s">
        <v>8241</v>
      </c>
      <c r="D4215" t="s">
        <v>9926</v>
      </c>
      <c r="E4215" t="s">
        <v>10075</v>
      </c>
      <c r="F4215">
        <v>10472</v>
      </c>
      <c r="G4215" t="s">
        <v>10090</v>
      </c>
      <c r="H4215" t="s">
        <v>10151</v>
      </c>
      <c r="I4215" t="s">
        <v>10169</v>
      </c>
      <c r="J4215" t="s">
        <v>10210</v>
      </c>
      <c r="K4215" t="s">
        <v>10217</v>
      </c>
      <c r="M4215" t="s">
        <v>10495</v>
      </c>
      <c r="N4215" t="s">
        <v>10658</v>
      </c>
      <c r="P4215" t="s">
        <v>10749</v>
      </c>
      <c r="Q4215" t="s">
        <v>10769</v>
      </c>
      <c r="R4215" t="s">
        <v>10821</v>
      </c>
      <c r="T4215">
        <v>92400</v>
      </c>
      <c r="U4215">
        <v>7700</v>
      </c>
      <c r="V4215">
        <v>53</v>
      </c>
      <c r="W4215">
        <v>2</v>
      </c>
      <c r="X4215">
        <v>0</v>
      </c>
      <c r="Z4215">
        <v>546.42</v>
      </c>
      <c r="AA4215">
        <v>40.824181</v>
      </c>
      <c r="AB4215">
        <v>-73.878832</v>
      </c>
      <c r="AD4215" t="s">
        <v>10840</v>
      </c>
      <c r="AG4215" t="s">
        <v>10858</v>
      </c>
      <c r="AH4215" t="s">
        <v>10861</v>
      </c>
      <c r="AI4215">
        <v>234</v>
      </c>
      <c r="AJ4215" t="s">
        <v>10214</v>
      </c>
      <c r="AL4215">
        <v>6.11</v>
      </c>
      <c r="AM4215" t="s">
        <v>10884</v>
      </c>
      <c r="AN4215" t="s">
        <v>10968</v>
      </c>
      <c r="AO4215" t="s">
        <v>11001</v>
      </c>
      <c r="AP4215" t="s">
        <v>11062</v>
      </c>
      <c r="AR4215" t="s">
        <v>11539</v>
      </c>
      <c r="AS4215" t="s">
        <v>9926</v>
      </c>
      <c r="AT4215" t="s">
        <v>11642</v>
      </c>
      <c r="AX4215" t="s">
        <v>10838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</row>
    <row r="4216" spans="1:59">
      <c r="A4216" s="1">
        <f>HYPERLINK("https://lsnyc.legalserver.org/matter/dynamic-profile/view/1908379","19-1908379")</f>
        <v>0</v>
      </c>
      <c r="B4216" t="s">
        <v>3458</v>
      </c>
      <c r="C4216" t="s">
        <v>5499</v>
      </c>
      <c r="D4216" t="s">
        <v>9928</v>
      </c>
      <c r="E4216" t="s">
        <v>10075</v>
      </c>
      <c r="F4216">
        <v>11233</v>
      </c>
      <c r="G4216" t="s">
        <v>10093</v>
      </c>
      <c r="H4216" t="s">
        <v>10151</v>
      </c>
      <c r="I4216" t="s">
        <v>10168</v>
      </c>
      <c r="J4216" t="s">
        <v>10213</v>
      </c>
      <c r="K4216" t="s">
        <v>10217</v>
      </c>
      <c r="M4216" t="s">
        <v>10405</v>
      </c>
      <c r="N4216" t="s">
        <v>10650</v>
      </c>
      <c r="P4216" t="s">
        <v>10749</v>
      </c>
      <c r="Q4216" t="s">
        <v>10765</v>
      </c>
      <c r="R4216" t="s">
        <v>10824</v>
      </c>
      <c r="T4216">
        <v>63000</v>
      </c>
      <c r="U4216">
        <v>5250</v>
      </c>
      <c r="V4216">
        <v>55</v>
      </c>
      <c r="W4216">
        <v>1</v>
      </c>
      <c r="X4216">
        <v>0</v>
      </c>
      <c r="Z4216">
        <v>504.4</v>
      </c>
      <c r="AA4216">
        <v>40.675538</v>
      </c>
      <c r="AB4216">
        <v>-73.913156</v>
      </c>
      <c r="AD4216" t="s">
        <v>10839</v>
      </c>
      <c r="AG4216" t="s">
        <v>10858</v>
      </c>
      <c r="AH4216" t="s">
        <v>10862</v>
      </c>
      <c r="AI4216">
        <v>239</v>
      </c>
      <c r="AJ4216" t="s">
        <v>10213</v>
      </c>
      <c r="AL4216">
        <v>1.4</v>
      </c>
      <c r="AM4216" t="s">
        <v>10889</v>
      </c>
      <c r="AN4216" t="s">
        <v>10922</v>
      </c>
      <c r="AO4216" t="s">
        <v>11007</v>
      </c>
      <c r="AP4216" t="s">
        <v>11064</v>
      </c>
      <c r="AQ4216" t="s">
        <v>11101</v>
      </c>
      <c r="AR4216" t="s">
        <v>11257</v>
      </c>
      <c r="AS4216" t="s">
        <v>11595</v>
      </c>
      <c r="AT4216" t="s">
        <v>11641</v>
      </c>
      <c r="AX4216" t="s">
        <v>10838</v>
      </c>
      <c r="BA4216" t="s">
        <v>11738</v>
      </c>
      <c r="BB4216">
        <v>0</v>
      </c>
      <c r="BC4216">
        <v>0</v>
      </c>
      <c r="BD4216">
        <v>0</v>
      </c>
      <c r="BE4216">
        <v>0</v>
      </c>
      <c r="BF4216">
        <v>5</v>
      </c>
      <c r="BG4216">
        <v>0</v>
      </c>
    </row>
    <row r="4217" spans="1:59">
      <c r="A4217" s="1">
        <f>HYPERLINK("https://lsnyc.legalserver.org/matter/dynamic-profile/view/1908380","19-1908380")</f>
        <v>0</v>
      </c>
      <c r="B4217" t="s">
        <v>3439</v>
      </c>
      <c r="C4217" t="s">
        <v>8242</v>
      </c>
      <c r="D4217" t="s">
        <v>9926</v>
      </c>
      <c r="E4217" t="s">
        <v>10075</v>
      </c>
      <c r="F4217">
        <v>10461</v>
      </c>
      <c r="G4217" t="s">
        <v>10090</v>
      </c>
      <c r="H4217" t="s">
        <v>10151</v>
      </c>
      <c r="I4217" t="s">
        <v>10185</v>
      </c>
      <c r="J4217" t="s">
        <v>10210</v>
      </c>
      <c r="K4217" t="s">
        <v>10218</v>
      </c>
      <c r="L4217" t="s">
        <v>10163</v>
      </c>
      <c r="M4217" t="s">
        <v>10262</v>
      </c>
      <c r="N4217" t="s">
        <v>10666</v>
      </c>
      <c r="P4217" t="s">
        <v>10749</v>
      </c>
      <c r="Q4217" t="s">
        <v>10765</v>
      </c>
      <c r="R4217" t="s">
        <v>10820</v>
      </c>
      <c r="T4217">
        <v>13200</v>
      </c>
      <c r="U4217">
        <v>1100</v>
      </c>
      <c r="V4217">
        <v>61</v>
      </c>
      <c r="W4217">
        <v>1</v>
      </c>
      <c r="X4217">
        <v>0</v>
      </c>
      <c r="Y4217" t="s">
        <v>10829</v>
      </c>
      <c r="Z4217">
        <v>105.68</v>
      </c>
      <c r="AA4217">
        <v>40.839803</v>
      </c>
      <c r="AB4217">
        <v>-73.83282</v>
      </c>
      <c r="AD4217" t="s">
        <v>10839</v>
      </c>
      <c r="AG4217" t="s">
        <v>10858</v>
      </c>
      <c r="AH4217" t="s">
        <v>10862</v>
      </c>
      <c r="AI4217">
        <v>230</v>
      </c>
      <c r="AJ4217" t="s">
        <v>10210</v>
      </c>
      <c r="AK4217" t="s">
        <v>10838</v>
      </c>
      <c r="AL4217">
        <v>2.4</v>
      </c>
      <c r="AM4217" t="s">
        <v>10885</v>
      </c>
      <c r="AN4217" t="s">
        <v>10911</v>
      </c>
      <c r="AO4217" t="s">
        <v>11002</v>
      </c>
      <c r="AP4217" t="s">
        <v>11049</v>
      </c>
      <c r="AR4217" t="s">
        <v>11268</v>
      </c>
      <c r="AS4217" t="s">
        <v>9926</v>
      </c>
      <c r="AT4217" t="s">
        <v>11641</v>
      </c>
      <c r="AX4217" t="s">
        <v>10838</v>
      </c>
      <c r="AY4217" t="s">
        <v>10829</v>
      </c>
      <c r="AZ4217" t="s">
        <v>11681</v>
      </c>
      <c r="BA4217" t="s">
        <v>11741</v>
      </c>
      <c r="BB4217">
        <v>0</v>
      </c>
      <c r="BC4217">
        <v>0</v>
      </c>
      <c r="BD4217">
        <v>0</v>
      </c>
      <c r="BE4217">
        <v>0</v>
      </c>
      <c r="BF4217">
        <v>1</v>
      </c>
      <c r="BG4217">
        <v>0</v>
      </c>
    </row>
    <row r="4218" spans="1:59">
      <c r="A4218" s="1">
        <f>HYPERLINK("https://lsnyc.legalserver.org/matter/dynamic-profile/view/1908381","19-1908381")</f>
        <v>0</v>
      </c>
      <c r="B4218" t="s">
        <v>2910</v>
      </c>
      <c r="C4218" t="s">
        <v>7699</v>
      </c>
      <c r="D4218" t="s">
        <v>9930</v>
      </c>
      <c r="E4218" t="s">
        <v>10075</v>
      </c>
      <c r="F4218">
        <v>11373</v>
      </c>
      <c r="G4218" t="s">
        <v>10092</v>
      </c>
      <c r="H4218" t="s">
        <v>10151</v>
      </c>
      <c r="I4218" t="s">
        <v>10169</v>
      </c>
      <c r="J4218" t="s">
        <v>10212</v>
      </c>
      <c r="K4218" t="s">
        <v>10217</v>
      </c>
      <c r="M4218" t="s">
        <v>10422</v>
      </c>
      <c r="N4218" t="s">
        <v>10673</v>
      </c>
      <c r="P4218" t="s">
        <v>10753</v>
      </c>
      <c r="Q4218" t="s">
        <v>10763</v>
      </c>
      <c r="R4218" t="s">
        <v>10823</v>
      </c>
      <c r="T4218">
        <v>15600</v>
      </c>
      <c r="U4218">
        <v>1300</v>
      </c>
      <c r="V4218">
        <v>49</v>
      </c>
      <c r="W4218">
        <v>1</v>
      </c>
      <c r="X4218">
        <v>1</v>
      </c>
      <c r="Z4218">
        <v>92.25</v>
      </c>
      <c r="AA4218">
        <v>40.747595</v>
      </c>
      <c r="AB4218">
        <v>-73.877512</v>
      </c>
      <c r="AD4218" t="s">
        <v>10839</v>
      </c>
      <c r="AF4218" t="s">
        <v>10842</v>
      </c>
      <c r="AG4218" t="s">
        <v>10859</v>
      </c>
      <c r="AH4218" t="s">
        <v>10864</v>
      </c>
      <c r="AI4218">
        <v>237</v>
      </c>
      <c r="AJ4218" t="s">
        <v>10212</v>
      </c>
      <c r="AL4218">
        <v>4</v>
      </c>
      <c r="AM4218" t="s">
        <v>10885</v>
      </c>
      <c r="AN4218" t="s">
        <v>10909</v>
      </c>
      <c r="AO4218" t="s">
        <v>11014</v>
      </c>
      <c r="AP4218" t="s">
        <v>11068</v>
      </c>
      <c r="AQ4218" t="s">
        <v>11119</v>
      </c>
      <c r="AR4218" t="s">
        <v>11257</v>
      </c>
      <c r="AS4218" t="s">
        <v>11594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</row>
    <row r="4219" spans="1:59">
      <c r="A4219" s="1">
        <f>HYPERLINK("https://lsnyc.legalserver.org/matter/dynamic-profile/view/1908382","19-1908382")</f>
        <v>0</v>
      </c>
      <c r="B4219" t="s">
        <v>3459</v>
      </c>
      <c r="C4219" t="s">
        <v>8243</v>
      </c>
      <c r="D4219" t="s">
        <v>9928</v>
      </c>
      <c r="E4219" t="s">
        <v>10075</v>
      </c>
      <c r="F4219">
        <v>11209</v>
      </c>
      <c r="G4219" t="s">
        <v>10093</v>
      </c>
      <c r="H4219" t="s">
        <v>10151</v>
      </c>
      <c r="I4219" t="s">
        <v>10168</v>
      </c>
      <c r="J4219" t="s">
        <v>10213</v>
      </c>
      <c r="K4219" t="s">
        <v>10218</v>
      </c>
      <c r="L4219" t="s">
        <v>10115</v>
      </c>
      <c r="M4219" t="s">
        <v>10290</v>
      </c>
      <c r="N4219" t="s">
        <v>10665</v>
      </c>
      <c r="P4219" t="s">
        <v>10751</v>
      </c>
      <c r="Q4219" t="s">
        <v>10773</v>
      </c>
      <c r="R4219" t="s">
        <v>10821</v>
      </c>
      <c r="T4219">
        <v>32832</v>
      </c>
      <c r="U4219">
        <v>2736</v>
      </c>
      <c r="V4219">
        <v>52</v>
      </c>
      <c r="W4219">
        <v>2</v>
      </c>
      <c r="X4219">
        <v>0</v>
      </c>
      <c r="Y4219" t="s">
        <v>10829</v>
      </c>
      <c r="Z4219">
        <v>194.16</v>
      </c>
      <c r="AA4219">
        <v>40.611772</v>
      </c>
      <c r="AB4219">
        <v>-74.03334700000001</v>
      </c>
      <c r="AD4219" t="s">
        <v>10839</v>
      </c>
      <c r="AG4219" t="s">
        <v>10858</v>
      </c>
      <c r="AH4219" t="s">
        <v>10861</v>
      </c>
      <c r="AI4219">
        <v>234</v>
      </c>
      <c r="AJ4219" t="s">
        <v>10214</v>
      </c>
      <c r="AK4219" t="s">
        <v>10838</v>
      </c>
      <c r="AL4219">
        <v>5.35</v>
      </c>
      <c r="AM4219" t="s">
        <v>10883</v>
      </c>
      <c r="AN4219" t="s">
        <v>10960</v>
      </c>
      <c r="AO4219" t="s">
        <v>11023</v>
      </c>
      <c r="AP4219" t="s">
        <v>11086</v>
      </c>
      <c r="AR4219" t="s">
        <v>11281</v>
      </c>
      <c r="AS4219" t="s">
        <v>11595</v>
      </c>
      <c r="AT4219" t="s">
        <v>11641</v>
      </c>
      <c r="AX4219" t="s">
        <v>10838</v>
      </c>
      <c r="AY4219" t="s">
        <v>10829</v>
      </c>
      <c r="AZ4219" t="s">
        <v>11682</v>
      </c>
      <c r="BA4219" t="s">
        <v>11741</v>
      </c>
      <c r="BB4219">
        <v>0</v>
      </c>
      <c r="BC4219">
        <v>0</v>
      </c>
      <c r="BD4219">
        <v>0</v>
      </c>
      <c r="BE4219">
        <v>0</v>
      </c>
      <c r="BF4219">
        <v>1</v>
      </c>
      <c r="BG4219">
        <v>0</v>
      </c>
    </row>
    <row r="4220" spans="1:59">
      <c r="A4220" s="1">
        <f>HYPERLINK("https://lsnyc.legalserver.org/matter/dynamic-profile/view/1908383","19-1908383")</f>
        <v>0</v>
      </c>
      <c r="B4220" t="s">
        <v>3460</v>
      </c>
      <c r="C4220" t="s">
        <v>8244</v>
      </c>
      <c r="D4220" t="s">
        <v>9936</v>
      </c>
      <c r="E4220" t="s">
        <v>10075</v>
      </c>
      <c r="F4220">
        <v>11106</v>
      </c>
      <c r="G4220" t="s">
        <v>10092</v>
      </c>
      <c r="H4220" t="s">
        <v>10151</v>
      </c>
      <c r="I4220" t="s">
        <v>10169</v>
      </c>
      <c r="J4220" t="s">
        <v>10212</v>
      </c>
      <c r="K4220" t="s">
        <v>10217</v>
      </c>
      <c r="M4220" t="s">
        <v>10350</v>
      </c>
      <c r="N4220" t="s">
        <v>10692</v>
      </c>
      <c r="P4220" t="s">
        <v>10758</v>
      </c>
      <c r="Q4220" t="s">
        <v>10793</v>
      </c>
      <c r="R4220" t="s">
        <v>10821</v>
      </c>
      <c r="T4220">
        <v>20000</v>
      </c>
      <c r="U4220">
        <v>1666.67</v>
      </c>
      <c r="V4220">
        <v>32</v>
      </c>
      <c r="W4220">
        <v>1</v>
      </c>
      <c r="X4220">
        <v>3</v>
      </c>
      <c r="Z4220">
        <v>77.67</v>
      </c>
      <c r="AA4220">
        <v>40.761659</v>
      </c>
      <c r="AB4220">
        <v>-73.92424099999999</v>
      </c>
      <c r="AD4220" t="s">
        <v>10839</v>
      </c>
      <c r="AF4220" t="s">
        <v>10842</v>
      </c>
      <c r="AG4220" t="s">
        <v>10859</v>
      </c>
      <c r="AH4220" t="s">
        <v>10865</v>
      </c>
      <c r="AI4220">
        <v>237</v>
      </c>
      <c r="AJ4220" t="s">
        <v>10212</v>
      </c>
      <c r="AL4220">
        <v>2.5</v>
      </c>
      <c r="AM4220" t="s">
        <v>10891</v>
      </c>
      <c r="AN4220" t="s">
        <v>10954</v>
      </c>
      <c r="AO4220" t="s">
        <v>11003</v>
      </c>
      <c r="AP4220" t="s">
        <v>11084</v>
      </c>
      <c r="AR4220" t="s">
        <v>11257</v>
      </c>
      <c r="AS4220" t="s">
        <v>11594</v>
      </c>
      <c r="BA4220" t="s">
        <v>11739</v>
      </c>
      <c r="BB4220">
        <v>0</v>
      </c>
      <c r="BC4220">
        <v>0</v>
      </c>
      <c r="BD4220">
        <v>0</v>
      </c>
      <c r="BE4220">
        <v>0</v>
      </c>
      <c r="BF4220">
        <v>4</v>
      </c>
      <c r="BG4220">
        <v>0</v>
      </c>
    </row>
    <row r="4221" spans="1:59">
      <c r="A4221" s="1">
        <f>HYPERLINK("https://lsnyc.legalserver.org/matter/dynamic-profile/view/1908384","19-1908384")</f>
        <v>0</v>
      </c>
      <c r="B4221" t="s">
        <v>3461</v>
      </c>
      <c r="C4221" t="s">
        <v>8245</v>
      </c>
      <c r="D4221" t="s">
        <v>9925</v>
      </c>
      <c r="E4221" t="s">
        <v>10075</v>
      </c>
      <c r="F4221">
        <v>10038</v>
      </c>
      <c r="G4221" t="s">
        <v>10091</v>
      </c>
      <c r="H4221" t="s">
        <v>10151</v>
      </c>
      <c r="I4221" t="s">
        <v>10168</v>
      </c>
      <c r="J4221" t="s">
        <v>10211</v>
      </c>
      <c r="K4221" t="s">
        <v>10217</v>
      </c>
      <c r="M4221" t="s">
        <v>10231</v>
      </c>
      <c r="N4221" t="s">
        <v>10647</v>
      </c>
      <c r="P4221" t="s">
        <v>10752</v>
      </c>
      <c r="Q4221" t="s">
        <v>10762</v>
      </c>
      <c r="R4221" t="s">
        <v>10825</v>
      </c>
      <c r="T4221">
        <v>1020</v>
      </c>
      <c r="U4221">
        <v>85</v>
      </c>
      <c r="V4221">
        <v>31</v>
      </c>
      <c r="W4221">
        <v>1</v>
      </c>
      <c r="X4221">
        <v>0</v>
      </c>
      <c r="Z4221">
        <v>8.17</v>
      </c>
      <c r="AA4221">
        <v>40.709704</v>
      </c>
      <c r="AB4221">
        <v>-74.007215</v>
      </c>
      <c r="AD4221" t="s">
        <v>10840</v>
      </c>
      <c r="AG4221" t="s">
        <v>10858</v>
      </c>
      <c r="AH4221" t="s">
        <v>10861</v>
      </c>
      <c r="AI4221">
        <v>234</v>
      </c>
      <c r="AJ4221" t="s">
        <v>10214</v>
      </c>
      <c r="AL4221">
        <v>0.9</v>
      </c>
      <c r="AM4221" t="s">
        <v>10894</v>
      </c>
      <c r="AN4221" t="s">
        <v>10963</v>
      </c>
      <c r="AO4221" t="s">
        <v>11004</v>
      </c>
      <c r="AP4221" t="s">
        <v>11093</v>
      </c>
      <c r="AR4221" t="s">
        <v>11279</v>
      </c>
      <c r="AS4221" t="s">
        <v>9925</v>
      </c>
      <c r="AT4221" t="s">
        <v>11641</v>
      </c>
      <c r="AX4221" t="s">
        <v>10838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</row>
    <row r="4222" spans="1:59">
      <c r="A4222" s="1">
        <f>HYPERLINK("https://lsnyc.legalserver.org/matter/dynamic-profile/view/1908385","19-1908385")</f>
        <v>0</v>
      </c>
      <c r="B4222" t="s">
        <v>3454</v>
      </c>
      <c r="C4222" t="s">
        <v>7867</v>
      </c>
      <c r="D4222" t="s">
        <v>9927</v>
      </c>
      <c r="E4222" t="s">
        <v>10075</v>
      </c>
      <c r="F4222">
        <v>11377</v>
      </c>
      <c r="G4222" t="s">
        <v>10092</v>
      </c>
      <c r="H4222" t="s">
        <v>10151</v>
      </c>
      <c r="I4222" t="s">
        <v>10169</v>
      </c>
      <c r="J4222" t="s">
        <v>10212</v>
      </c>
      <c r="K4222" t="s">
        <v>10217</v>
      </c>
      <c r="M4222" t="s">
        <v>10387</v>
      </c>
      <c r="N4222" t="s">
        <v>10650</v>
      </c>
      <c r="P4222" t="s">
        <v>10749</v>
      </c>
      <c r="Q4222" t="s">
        <v>10765</v>
      </c>
      <c r="R4222" t="s">
        <v>10821</v>
      </c>
      <c r="T4222">
        <v>14000</v>
      </c>
      <c r="U4222">
        <v>1166.67</v>
      </c>
      <c r="V4222">
        <v>61</v>
      </c>
      <c r="W4222">
        <v>2</v>
      </c>
      <c r="X4222">
        <v>0</v>
      </c>
      <c r="Z4222">
        <v>82.79000000000001</v>
      </c>
      <c r="AA4222">
        <v>40.741994</v>
      </c>
      <c r="AB4222">
        <v>-73.90494</v>
      </c>
      <c r="AD4222" t="s">
        <v>10840</v>
      </c>
      <c r="AF4222" t="s">
        <v>10843</v>
      </c>
      <c r="AG4222" t="s">
        <v>10859</v>
      </c>
      <c r="AH4222" t="s">
        <v>10862</v>
      </c>
      <c r="AI4222">
        <v>237</v>
      </c>
      <c r="AJ4222" t="s">
        <v>10212</v>
      </c>
      <c r="AL4222">
        <v>0.2</v>
      </c>
      <c r="AM4222" t="s">
        <v>10885</v>
      </c>
      <c r="AN4222" t="s">
        <v>10935</v>
      </c>
      <c r="AO4222" t="s">
        <v>11003</v>
      </c>
      <c r="AP4222" t="s">
        <v>11047</v>
      </c>
      <c r="AR4222" t="s">
        <v>11300</v>
      </c>
      <c r="AS4222" t="s">
        <v>11594</v>
      </c>
      <c r="BA4222" t="s">
        <v>11739</v>
      </c>
      <c r="BB4222">
        <v>0</v>
      </c>
      <c r="BC4222">
        <v>0</v>
      </c>
      <c r="BD4222">
        <v>0</v>
      </c>
      <c r="BE4222">
        <v>0</v>
      </c>
      <c r="BF4222">
        <v>4</v>
      </c>
      <c r="BG4222">
        <v>0</v>
      </c>
    </row>
    <row r="4223" spans="1:59">
      <c r="A4223" s="1">
        <f>HYPERLINK("https://lsnyc.legalserver.org/matter/dynamic-profile/view/1908386","19-1908386")</f>
        <v>0</v>
      </c>
      <c r="B4223" t="s">
        <v>3462</v>
      </c>
      <c r="C4223" t="s">
        <v>8246</v>
      </c>
      <c r="D4223" t="s">
        <v>9925</v>
      </c>
      <c r="E4223" t="s">
        <v>10075</v>
      </c>
      <c r="F4223">
        <v>10025</v>
      </c>
      <c r="G4223" t="s">
        <v>10089</v>
      </c>
      <c r="H4223" t="s">
        <v>10151</v>
      </c>
      <c r="I4223" t="s">
        <v>10168</v>
      </c>
      <c r="J4223" t="s">
        <v>10209</v>
      </c>
      <c r="K4223" t="s">
        <v>10217</v>
      </c>
      <c r="M4223" t="s">
        <v>10431</v>
      </c>
      <c r="N4223" t="s">
        <v>10702</v>
      </c>
      <c r="P4223" t="s">
        <v>10749</v>
      </c>
      <c r="Q4223" t="s">
        <v>10765</v>
      </c>
      <c r="R4223" t="s">
        <v>10821</v>
      </c>
      <c r="T4223">
        <v>14400</v>
      </c>
      <c r="U4223">
        <v>1200</v>
      </c>
      <c r="V4223">
        <v>63</v>
      </c>
      <c r="W4223">
        <v>5</v>
      </c>
      <c r="X4223">
        <v>1</v>
      </c>
      <c r="Z4223">
        <v>41.63</v>
      </c>
      <c r="AA4223">
        <v>40.795323</v>
      </c>
      <c r="AB4223">
        <v>-73.97095400000001</v>
      </c>
      <c r="AC4223" t="s">
        <v>10837</v>
      </c>
      <c r="AD4223" t="s">
        <v>10840</v>
      </c>
      <c r="AG4223" t="s">
        <v>10858</v>
      </c>
      <c r="AH4223" t="s">
        <v>10862</v>
      </c>
      <c r="AI4223">
        <v>236</v>
      </c>
      <c r="AJ4223" t="s">
        <v>10209</v>
      </c>
      <c r="AL4223">
        <v>6.25</v>
      </c>
      <c r="AM4223" t="s">
        <v>10894</v>
      </c>
      <c r="AN4223" t="s">
        <v>10953</v>
      </c>
      <c r="AO4223" t="s">
        <v>11016</v>
      </c>
      <c r="AP4223" t="s">
        <v>11073</v>
      </c>
      <c r="AR4223" t="s">
        <v>11270</v>
      </c>
      <c r="AS4223" t="s">
        <v>9925</v>
      </c>
      <c r="BA4223" t="s">
        <v>11738</v>
      </c>
      <c r="BB4223">
        <v>0</v>
      </c>
      <c r="BC4223">
        <v>0</v>
      </c>
      <c r="BD4223">
        <v>0</v>
      </c>
      <c r="BE4223">
        <v>0</v>
      </c>
      <c r="BF4223">
        <v>5</v>
      </c>
      <c r="BG4223">
        <v>0</v>
      </c>
    </row>
    <row r="4224" spans="1:59">
      <c r="A4224" s="1">
        <f>HYPERLINK("https://lsnyc.legalserver.org/matter/dynamic-profile/view/1908387","19-1908387")</f>
        <v>0</v>
      </c>
      <c r="B4224" t="s">
        <v>3463</v>
      </c>
      <c r="C4224" t="s">
        <v>8247</v>
      </c>
      <c r="D4224" t="s">
        <v>9926</v>
      </c>
      <c r="E4224" t="s">
        <v>10075</v>
      </c>
      <c r="F4224">
        <v>10467</v>
      </c>
      <c r="G4224" t="s">
        <v>10090</v>
      </c>
      <c r="H4224" t="s">
        <v>10151</v>
      </c>
      <c r="I4224" t="s">
        <v>10168</v>
      </c>
      <c r="J4224" t="s">
        <v>10210</v>
      </c>
      <c r="K4224" t="s">
        <v>10217</v>
      </c>
      <c r="M4224" t="s">
        <v>10306</v>
      </c>
      <c r="N4224" t="s">
        <v>10651</v>
      </c>
      <c r="P4224" t="s">
        <v>10749</v>
      </c>
      <c r="Q4224" t="s">
        <v>10765</v>
      </c>
      <c r="R4224" t="s">
        <v>10825</v>
      </c>
      <c r="T4224">
        <v>9840</v>
      </c>
      <c r="U4224">
        <v>820</v>
      </c>
      <c r="V4224">
        <v>57</v>
      </c>
      <c r="W4224">
        <v>1</v>
      </c>
      <c r="X4224">
        <v>0</v>
      </c>
      <c r="Z4224">
        <v>78.78</v>
      </c>
      <c r="AA4224">
        <v>40.865909</v>
      </c>
      <c r="AB4224">
        <v>-73.869328</v>
      </c>
      <c r="AD4224" t="s">
        <v>10840</v>
      </c>
      <c r="AG4224" t="s">
        <v>10858</v>
      </c>
      <c r="AH4224" t="s">
        <v>10862</v>
      </c>
      <c r="AI4224">
        <v>230</v>
      </c>
      <c r="AJ4224" t="s">
        <v>10210</v>
      </c>
      <c r="AL4224">
        <v>6</v>
      </c>
      <c r="AM4224" t="s">
        <v>10885</v>
      </c>
      <c r="AN4224" t="s">
        <v>10938</v>
      </c>
      <c r="AO4224" t="s">
        <v>11010</v>
      </c>
      <c r="AP4224" t="s">
        <v>11056</v>
      </c>
      <c r="AR4224" t="s">
        <v>11296</v>
      </c>
      <c r="AS4224" t="s">
        <v>9926</v>
      </c>
      <c r="AT4224" t="s">
        <v>11642</v>
      </c>
      <c r="AX4224" t="s">
        <v>10837</v>
      </c>
      <c r="BA4224" t="s">
        <v>11738</v>
      </c>
      <c r="BB4224">
        <v>0</v>
      </c>
      <c r="BC4224">
        <v>0</v>
      </c>
      <c r="BD4224">
        <v>0</v>
      </c>
      <c r="BE4224">
        <v>0</v>
      </c>
      <c r="BF4224">
        <v>5</v>
      </c>
      <c r="BG4224">
        <v>0</v>
      </c>
    </row>
    <row r="4225" spans="1:59">
      <c r="A4225" s="1">
        <f>HYPERLINK("https://lsnyc.legalserver.org/matter/dynamic-profile/view/1908388","19-1908388")</f>
        <v>0</v>
      </c>
      <c r="B4225" t="s">
        <v>3464</v>
      </c>
      <c r="C4225" t="s">
        <v>8248</v>
      </c>
      <c r="D4225" t="s">
        <v>9928</v>
      </c>
      <c r="E4225" t="s">
        <v>10075</v>
      </c>
      <c r="F4225">
        <v>11218</v>
      </c>
      <c r="G4225" t="s">
        <v>10093</v>
      </c>
      <c r="H4225" t="s">
        <v>10151</v>
      </c>
      <c r="I4225" t="s">
        <v>10168</v>
      </c>
      <c r="J4225" t="s">
        <v>10213</v>
      </c>
      <c r="K4225" t="s">
        <v>10217</v>
      </c>
      <c r="M4225" t="s">
        <v>10443</v>
      </c>
      <c r="N4225" t="s">
        <v>10644</v>
      </c>
      <c r="P4225" t="s">
        <v>10749</v>
      </c>
      <c r="Q4225" t="s">
        <v>10765</v>
      </c>
      <c r="R4225" t="s">
        <v>10821</v>
      </c>
      <c r="T4225">
        <v>21432</v>
      </c>
      <c r="U4225">
        <v>1786</v>
      </c>
      <c r="V4225">
        <v>96</v>
      </c>
      <c r="W4225">
        <v>2</v>
      </c>
      <c r="X4225">
        <v>0</v>
      </c>
      <c r="Z4225">
        <v>126.74</v>
      </c>
      <c r="AA4225">
        <v>40.633352</v>
      </c>
      <c r="AB4225">
        <v>-73.972809</v>
      </c>
      <c r="AD4225" t="s">
        <v>10839</v>
      </c>
      <c r="AG4225" t="s">
        <v>10858</v>
      </c>
      <c r="AH4225" t="s">
        <v>10862</v>
      </c>
      <c r="AI4225">
        <v>239</v>
      </c>
      <c r="AJ4225" t="s">
        <v>10213</v>
      </c>
      <c r="AL4225">
        <v>10.4</v>
      </c>
      <c r="AM4225" t="s">
        <v>10894</v>
      </c>
      <c r="AN4225" t="s">
        <v>10941</v>
      </c>
      <c r="AO4225" t="s">
        <v>11015</v>
      </c>
      <c r="AP4225" t="s">
        <v>11079</v>
      </c>
      <c r="AR4225" t="s">
        <v>11346</v>
      </c>
      <c r="AS4225" t="s">
        <v>11595</v>
      </c>
      <c r="BA4225" t="s">
        <v>11738</v>
      </c>
      <c r="BB4225">
        <v>0</v>
      </c>
      <c r="BC4225">
        <v>0</v>
      </c>
      <c r="BD4225">
        <v>0</v>
      </c>
      <c r="BE4225">
        <v>0</v>
      </c>
      <c r="BF4225">
        <v>5</v>
      </c>
      <c r="BG4225">
        <v>0</v>
      </c>
    </row>
    <row r="4226" spans="1:59">
      <c r="A4226" s="1">
        <f>HYPERLINK("https://lsnyc.legalserver.org/matter/dynamic-profile/view/1908389","19-1908389")</f>
        <v>0</v>
      </c>
      <c r="B4226" t="s">
        <v>3149</v>
      </c>
      <c r="C4226" t="s">
        <v>8249</v>
      </c>
      <c r="D4226" t="s">
        <v>9928</v>
      </c>
      <c r="E4226" t="s">
        <v>10075</v>
      </c>
      <c r="F4226">
        <v>11239</v>
      </c>
      <c r="G4226" t="s">
        <v>10093</v>
      </c>
      <c r="H4226" t="s">
        <v>10151</v>
      </c>
      <c r="I4226" t="s">
        <v>10168</v>
      </c>
      <c r="J4226" t="s">
        <v>10213</v>
      </c>
      <c r="K4226" t="s">
        <v>10217</v>
      </c>
      <c r="M4226" t="s">
        <v>10481</v>
      </c>
      <c r="N4226" t="s">
        <v>10671</v>
      </c>
      <c r="P4226" t="s">
        <v>10749</v>
      </c>
      <c r="Q4226" t="s">
        <v>10765</v>
      </c>
      <c r="R4226" t="s">
        <v>10824</v>
      </c>
      <c r="T4226">
        <v>9600</v>
      </c>
      <c r="U4226">
        <v>800</v>
      </c>
      <c r="V4226">
        <v>60</v>
      </c>
      <c r="W4226">
        <v>1</v>
      </c>
      <c r="X4226">
        <v>0</v>
      </c>
      <c r="Z4226">
        <v>76.86</v>
      </c>
      <c r="AA4226">
        <v>40.644115</v>
      </c>
      <c r="AB4226">
        <v>-73.88036</v>
      </c>
      <c r="AD4226" t="s">
        <v>10840</v>
      </c>
      <c r="AG4226" t="s">
        <v>10858</v>
      </c>
      <c r="AH4226" t="s">
        <v>10861</v>
      </c>
      <c r="AI4226">
        <v>234</v>
      </c>
      <c r="AJ4226" t="s">
        <v>10214</v>
      </c>
      <c r="AL4226">
        <v>1</v>
      </c>
      <c r="AM4226" t="s">
        <v>10889</v>
      </c>
      <c r="AN4226" t="s">
        <v>10946</v>
      </c>
      <c r="AO4226" t="s">
        <v>11012</v>
      </c>
      <c r="AP4226" t="s">
        <v>11060</v>
      </c>
      <c r="AR4226" t="s">
        <v>11268</v>
      </c>
      <c r="AS4226" t="s">
        <v>11595</v>
      </c>
      <c r="AT4226" t="s">
        <v>11642</v>
      </c>
      <c r="AX4226" t="s">
        <v>10838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</row>
    <row r="4227" spans="1:59">
      <c r="A4227" s="1">
        <f>HYPERLINK("https://lsnyc.legalserver.org/matter/dynamic-profile/view/1908390","19-1908390")</f>
        <v>0</v>
      </c>
      <c r="B4227" t="s">
        <v>3465</v>
      </c>
      <c r="C4227" t="s">
        <v>8250</v>
      </c>
      <c r="D4227" t="s">
        <v>9928</v>
      </c>
      <c r="E4227" t="s">
        <v>10075</v>
      </c>
      <c r="F4227">
        <v>11213</v>
      </c>
      <c r="G4227" t="s">
        <v>10092</v>
      </c>
      <c r="H4227" t="s">
        <v>10151</v>
      </c>
      <c r="I4227" t="s">
        <v>10168</v>
      </c>
      <c r="J4227" t="s">
        <v>10212</v>
      </c>
      <c r="K4227" t="s">
        <v>10218</v>
      </c>
      <c r="L4227" t="s">
        <v>10158</v>
      </c>
      <c r="M4227" t="s">
        <v>10325</v>
      </c>
      <c r="N4227" t="s">
        <v>10657</v>
      </c>
      <c r="P4227" t="s">
        <v>10754</v>
      </c>
      <c r="Q4227" t="s">
        <v>10770</v>
      </c>
      <c r="R4227" t="s">
        <v>10824</v>
      </c>
      <c r="T4227">
        <v>15600</v>
      </c>
      <c r="U4227">
        <v>1300</v>
      </c>
      <c r="V4227">
        <v>37</v>
      </c>
      <c r="W4227">
        <v>1</v>
      </c>
      <c r="X4227">
        <v>0</v>
      </c>
      <c r="Y4227" t="s">
        <v>10829</v>
      </c>
      <c r="Z4227">
        <v>124.9</v>
      </c>
      <c r="AA4227">
        <v>40.675221</v>
      </c>
      <c r="AB4227">
        <v>-73.945121</v>
      </c>
      <c r="AD4227" t="s">
        <v>10840</v>
      </c>
      <c r="AG4227" t="s">
        <v>10858</v>
      </c>
      <c r="AH4227" t="s">
        <v>10874</v>
      </c>
      <c r="AI4227">
        <v>237</v>
      </c>
      <c r="AJ4227" t="s">
        <v>10212</v>
      </c>
      <c r="AK4227" t="s">
        <v>10838</v>
      </c>
      <c r="AL4227">
        <v>0.75</v>
      </c>
      <c r="AM4227" t="s">
        <v>10888</v>
      </c>
      <c r="AN4227" t="s">
        <v>10912</v>
      </c>
      <c r="AO4227" t="s">
        <v>11007</v>
      </c>
      <c r="AP4227" t="s">
        <v>11052</v>
      </c>
      <c r="AR4227" t="s">
        <v>11262</v>
      </c>
      <c r="AS4227" t="s">
        <v>11595</v>
      </c>
      <c r="AY4227" t="s">
        <v>10829</v>
      </c>
      <c r="AZ4227" t="s">
        <v>11683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</row>
    <row r="4228" spans="1:59">
      <c r="A4228" s="1">
        <f>HYPERLINK("https://lsnyc.legalserver.org/matter/dynamic-profile/view/1908391","19-1908391")</f>
        <v>0</v>
      </c>
      <c r="B4228" t="s">
        <v>668</v>
      </c>
      <c r="C4228" t="s">
        <v>8251</v>
      </c>
      <c r="D4228" t="s">
        <v>9928</v>
      </c>
      <c r="E4228" t="s">
        <v>10075</v>
      </c>
      <c r="F4228">
        <v>11219</v>
      </c>
      <c r="G4228" t="s">
        <v>10093</v>
      </c>
      <c r="H4228" t="s">
        <v>10151</v>
      </c>
      <c r="I4228" t="s">
        <v>10192</v>
      </c>
      <c r="J4228" t="s">
        <v>10213</v>
      </c>
      <c r="K4228" t="s">
        <v>10217</v>
      </c>
      <c r="M4228" t="s">
        <v>10239</v>
      </c>
      <c r="N4228" t="s">
        <v>10650</v>
      </c>
      <c r="P4228" t="s">
        <v>10749</v>
      </c>
      <c r="Q4228" t="s">
        <v>10765</v>
      </c>
      <c r="R4228" t="s">
        <v>10827</v>
      </c>
      <c r="T4228">
        <v>50040</v>
      </c>
      <c r="U4228">
        <v>4170</v>
      </c>
      <c r="V4228">
        <v>61</v>
      </c>
      <c r="W4228">
        <v>3</v>
      </c>
      <c r="X4228">
        <v>0</v>
      </c>
      <c r="Z4228">
        <v>234.6</v>
      </c>
      <c r="AA4228">
        <v>40.640894</v>
      </c>
      <c r="AB4228">
        <v>-73.992346</v>
      </c>
      <c r="AD4228" t="s">
        <v>10840</v>
      </c>
      <c r="AG4228" t="s">
        <v>10858</v>
      </c>
      <c r="AH4228" t="s">
        <v>10862</v>
      </c>
      <c r="AI4228">
        <v>239</v>
      </c>
      <c r="AJ4228" t="s">
        <v>10213</v>
      </c>
      <c r="AL4228">
        <v>10.4</v>
      </c>
      <c r="AM4228" t="s">
        <v>10894</v>
      </c>
      <c r="AN4228" t="s">
        <v>10941</v>
      </c>
      <c r="AO4228" t="s">
        <v>11015</v>
      </c>
      <c r="AP4228" t="s">
        <v>11059</v>
      </c>
      <c r="AR4228" t="s">
        <v>11257</v>
      </c>
      <c r="AS4228" t="s">
        <v>11595</v>
      </c>
      <c r="BA4228" t="s">
        <v>11737</v>
      </c>
      <c r="BB4228">
        <v>0</v>
      </c>
      <c r="BC4228">
        <v>0</v>
      </c>
      <c r="BD4228">
        <v>0</v>
      </c>
      <c r="BE4228">
        <v>0</v>
      </c>
      <c r="BF4228">
        <v>3</v>
      </c>
      <c r="BG4228">
        <v>0</v>
      </c>
    </row>
    <row r="4229" spans="1:59">
      <c r="A4229" s="1">
        <f>HYPERLINK("https://lsnyc.legalserver.org/matter/dynamic-profile/view/1908392","19-1908392")</f>
        <v>0</v>
      </c>
      <c r="B4229" t="s">
        <v>1841</v>
      </c>
      <c r="C4229" t="s">
        <v>6634</v>
      </c>
      <c r="D4229" t="s">
        <v>9925</v>
      </c>
      <c r="E4229" t="s">
        <v>10075</v>
      </c>
      <c r="F4229">
        <v>10029</v>
      </c>
      <c r="G4229" t="s">
        <v>10089</v>
      </c>
      <c r="H4229" t="s">
        <v>10151</v>
      </c>
      <c r="I4229" t="s">
        <v>10168</v>
      </c>
      <c r="J4229" t="s">
        <v>10209</v>
      </c>
      <c r="K4229" t="s">
        <v>10217</v>
      </c>
      <c r="M4229" t="s">
        <v>10490</v>
      </c>
      <c r="N4229" t="s">
        <v>10718</v>
      </c>
      <c r="P4229" t="s">
        <v>10752</v>
      </c>
      <c r="Q4229" t="s">
        <v>10816</v>
      </c>
      <c r="R4229" t="s">
        <v>10821</v>
      </c>
      <c r="T4229">
        <v>0</v>
      </c>
      <c r="U4229">
        <v>0</v>
      </c>
      <c r="V4229">
        <v>38</v>
      </c>
      <c r="W4229">
        <v>1</v>
      </c>
      <c r="X4229">
        <v>2</v>
      </c>
      <c r="Z4229">
        <v>0</v>
      </c>
      <c r="AA4229">
        <v>40.798152</v>
      </c>
      <c r="AB4229">
        <v>-73.943431</v>
      </c>
      <c r="AD4229" t="s">
        <v>10839</v>
      </c>
      <c r="AG4229" t="s">
        <v>10858</v>
      </c>
      <c r="AH4229" t="s">
        <v>10879</v>
      </c>
      <c r="AI4229">
        <v>236</v>
      </c>
      <c r="AJ4229" t="s">
        <v>10209</v>
      </c>
      <c r="AL4229">
        <v>1.25</v>
      </c>
      <c r="AM4229" t="s">
        <v>10887</v>
      </c>
      <c r="AN4229" t="s">
        <v>10926</v>
      </c>
      <c r="AO4229" t="s">
        <v>11016</v>
      </c>
      <c r="AP4229" t="s">
        <v>11066</v>
      </c>
      <c r="AR4229" t="s">
        <v>11267</v>
      </c>
      <c r="AS4229" t="s">
        <v>9925</v>
      </c>
      <c r="AT4229" t="s">
        <v>11641</v>
      </c>
      <c r="AX4229" t="s">
        <v>10838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</row>
    <row r="4230" spans="1:59">
      <c r="A4230" s="1">
        <f>HYPERLINK("https://lsnyc.legalserver.org/matter/dynamic-profile/view/1908393","19-1908393")</f>
        <v>0</v>
      </c>
      <c r="B4230" t="s">
        <v>3466</v>
      </c>
      <c r="C4230" t="s">
        <v>8252</v>
      </c>
      <c r="D4230" t="s">
        <v>9929</v>
      </c>
      <c r="E4230" t="s">
        <v>10075</v>
      </c>
      <c r="F4230">
        <v>10305</v>
      </c>
      <c r="G4230" t="s">
        <v>10093</v>
      </c>
      <c r="H4230" t="s">
        <v>10151</v>
      </c>
      <c r="I4230" t="s">
        <v>10168</v>
      </c>
      <c r="J4230" t="s">
        <v>10213</v>
      </c>
      <c r="K4230" t="s">
        <v>10217</v>
      </c>
      <c r="M4230" t="s">
        <v>10280</v>
      </c>
      <c r="N4230" t="s">
        <v>10656</v>
      </c>
      <c r="P4230" t="s">
        <v>10751</v>
      </c>
      <c r="Q4230" t="s">
        <v>10780</v>
      </c>
      <c r="R4230" t="s">
        <v>10820</v>
      </c>
      <c r="T4230">
        <v>0</v>
      </c>
      <c r="U4230">
        <v>0</v>
      </c>
      <c r="V4230">
        <v>41</v>
      </c>
      <c r="W4230">
        <v>1</v>
      </c>
      <c r="X4230">
        <v>0</v>
      </c>
      <c r="Z4230">
        <v>0</v>
      </c>
      <c r="AA4230">
        <v>40.598761</v>
      </c>
      <c r="AB4230">
        <v>-74.065652</v>
      </c>
      <c r="AD4230" t="s">
        <v>10839</v>
      </c>
      <c r="AG4230" t="s">
        <v>10858</v>
      </c>
      <c r="AH4230" t="s">
        <v>10861</v>
      </c>
      <c r="AI4230">
        <v>234</v>
      </c>
      <c r="AJ4230" t="s">
        <v>10214</v>
      </c>
      <c r="AL4230">
        <v>3.5</v>
      </c>
      <c r="AM4230" t="s">
        <v>10883</v>
      </c>
      <c r="AN4230" t="s">
        <v>10915</v>
      </c>
      <c r="AO4230" t="s">
        <v>11006</v>
      </c>
      <c r="AP4230" t="s">
        <v>11063</v>
      </c>
      <c r="AR4230" t="s">
        <v>11279</v>
      </c>
      <c r="AS4230" t="s">
        <v>11593</v>
      </c>
      <c r="AT4230" t="s">
        <v>11641</v>
      </c>
      <c r="AX4230" t="s">
        <v>10838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</row>
    <row r="4231" spans="1:59">
      <c r="A4231" s="1">
        <f>HYPERLINK("https://lsnyc.legalserver.org/matter/dynamic-profile/view/1908394","19-1908394")</f>
        <v>0</v>
      </c>
      <c r="B4231" t="s">
        <v>3463</v>
      </c>
      <c r="C4231" t="s">
        <v>8247</v>
      </c>
      <c r="D4231" t="s">
        <v>9926</v>
      </c>
      <c r="E4231" t="s">
        <v>10075</v>
      </c>
      <c r="F4231">
        <v>10467</v>
      </c>
      <c r="G4231" t="s">
        <v>10090</v>
      </c>
      <c r="H4231" t="s">
        <v>10151</v>
      </c>
      <c r="I4231" t="s">
        <v>10168</v>
      </c>
      <c r="J4231" t="s">
        <v>10210</v>
      </c>
      <c r="K4231" t="s">
        <v>10218</v>
      </c>
      <c r="L4231" t="s">
        <v>10137</v>
      </c>
      <c r="M4231" t="s">
        <v>10303</v>
      </c>
      <c r="N4231" t="s">
        <v>10671</v>
      </c>
      <c r="P4231" t="s">
        <v>10751</v>
      </c>
      <c r="Q4231" t="s">
        <v>10761</v>
      </c>
      <c r="R4231" t="s">
        <v>10825</v>
      </c>
      <c r="T4231">
        <v>9840</v>
      </c>
      <c r="U4231">
        <v>820</v>
      </c>
      <c r="V4231">
        <v>57</v>
      </c>
      <c r="W4231">
        <v>1</v>
      </c>
      <c r="X4231">
        <v>0</v>
      </c>
      <c r="Y4231" t="s">
        <v>10833</v>
      </c>
      <c r="Z4231">
        <v>78.78</v>
      </c>
      <c r="AA4231">
        <v>40.865909</v>
      </c>
      <c r="AB4231">
        <v>-73.869328</v>
      </c>
      <c r="AD4231" t="s">
        <v>10840</v>
      </c>
      <c r="AG4231" t="s">
        <v>10858</v>
      </c>
      <c r="AH4231" t="s">
        <v>10862</v>
      </c>
      <c r="AI4231">
        <v>230</v>
      </c>
      <c r="AJ4231" t="s">
        <v>10210</v>
      </c>
      <c r="AK4231" t="s">
        <v>10882</v>
      </c>
      <c r="AL4231">
        <v>7.85</v>
      </c>
      <c r="AR4231" t="s">
        <v>11296</v>
      </c>
      <c r="AS4231" t="s">
        <v>9926</v>
      </c>
      <c r="AY4231" t="s">
        <v>10833</v>
      </c>
      <c r="AZ4231" t="s">
        <v>11688</v>
      </c>
      <c r="BA4231" t="s">
        <v>11742</v>
      </c>
      <c r="BB4231">
        <v>0</v>
      </c>
      <c r="BC4231">
        <v>0</v>
      </c>
      <c r="BD4231">
        <v>7314.4</v>
      </c>
      <c r="BE4231">
        <v>0</v>
      </c>
      <c r="BF4231">
        <v>7</v>
      </c>
      <c r="BG4231">
        <v>0</v>
      </c>
    </row>
    <row r="4232" spans="1:59">
      <c r="A4232" s="1">
        <f>HYPERLINK("https://lsnyc.legalserver.org/matter/dynamic-profile/view/1908395","19-1908395")</f>
        <v>0</v>
      </c>
      <c r="B4232" t="s">
        <v>3467</v>
      </c>
      <c r="C4232" t="s">
        <v>8253</v>
      </c>
      <c r="D4232" t="s">
        <v>9928</v>
      </c>
      <c r="E4232" t="s">
        <v>10075</v>
      </c>
      <c r="F4232">
        <v>11212</v>
      </c>
      <c r="G4232" t="s">
        <v>10090</v>
      </c>
      <c r="H4232" t="s">
        <v>10151</v>
      </c>
      <c r="I4232" t="s">
        <v>10170</v>
      </c>
      <c r="J4232" t="s">
        <v>10210</v>
      </c>
      <c r="K4232" t="s">
        <v>10217</v>
      </c>
      <c r="M4232" t="s">
        <v>10445</v>
      </c>
      <c r="N4232" t="s">
        <v>10712</v>
      </c>
      <c r="P4232" t="s">
        <v>10753</v>
      </c>
      <c r="Q4232" t="s">
        <v>10763</v>
      </c>
      <c r="R4232" t="s">
        <v>10824</v>
      </c>
      <c r="T4232">
        <v>18720</v>
      </c>
      <c r="U4232">
        <v>1560</v>
      </c>
      <c r="V4232">
        <v>33</v>
      </c>
      <c r="W4232">
        <v>1</v>
      </c>
      <c r="X4232">
        <v>0</v>
      </c>
      <c r="Z4232">
        <v>149.88</v>
      </c>
      <c r="AA4232">
        <v>40.663407</v>
      </c>
      <c r="AB4232">
        <v>-73.918128</v>
      </c>
      <c r="AD4232" t="s">
        <v>10839</v>
      </c>
      <c r="AF4232" t="s">
        <v>10842</v>
      </c>
      <c r="AG4232" t="s">
        <v>10859</v>
      </c>
      <c r="AH4232" t="s">
        <v>10864</v>
      </c>
      <c r="AI4232">
        <v>230</v>
      </c>
      <c r="AJ4232" t="s">
        <v>10210</v>
      </c>
      <c r="AL4232">
        <v>5.5</v>
      </c>
      <c r="AM4232" t="s">
        <v>10888</v>
      </c>
      <c r="AN4232" t="s">
        <v>10922</v>
      </c>
      <c r="AO4232" t="s">
        <v>11005</v>
      </c>
      <c r="AP4232" t="s">
        <v>11064</v>
      </c>
      <c r="AQ4232" t="s">
        <v>11204</v>
      </c>
      <c r="AR4232" t="s">
        <v>11257</v>
      </c>
      <c r="AS4232" t="s">
        <v>11595</v>
      </c>
      <c r="AT4232" t="s">
        <v>11641</v>
      </c>
      <c r="AX4232" t="s">
        <v>10838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</row>
    <row r="4233" spans="1:59">
      <c r="A4233" s="1">
        <f>HYPERLINK("https://lsnyc.legalserver.org/matter/dynamic-profile/view/1908396","19-1908396")</f>
        <v>0</v>
      </c>
      <c r="B4233" t="s">
        <v>3312</v>
      </c>
      <c r="C4233" t="s">
        <v>8254</v>
      </c>
      <c r="D4233" t="s">
        <v>9926</v>
      </c>
      <c r="E4233" t="s">
        <v>10075</v>
      </c>
      <c r="F4233">
        <v>10468</v>
      </c>
      <c r="G4233" t="s">
        <v>10091</v>
      </c>
      <c r="H4233" t="s">
        <v>10151</v>
      </c>
      <c r="I4233" t="s">
        <v>10168</v>
      </c>
      <c r="J4233" t="s">
        <v>10214</v>
      </c>
      <c r="K4233" t="s">
        <v>10217</v>
      </c>
      <c r="M4233" t="s">
        <v>10286</v>
      </c>
      <c r="N4233" t="s">
        <v>10671</v>
      </c>
      <c r="P4233" t="s">
        <v>10754</v>
      </c>
      <c r="Q4233" t="s">
        <v>10771</v>
      </c>
      <c r="R4233" t="s">
        <v>10824</v>
      </c>
      <c r="T4233">
        <v>2561</v>
      </c>
      <c r="U4233">
        <v>213.42</v>
      </c>
      <c r="V4233">
        <v>72</v>
      </c>
      <c r="W4233">
        <v>1</v>
      </c>
      <c r="X4233">
        <v>1</v>
      </c>
      <c r="Z4233">
        <v>15.14</v>
      </c>
      <c r="AA4233">
        <v>40.86409</v>
      </c>
      <c r="AB4233">
        <v>-73.907875</v>
      </c>
      <c r="AD4233" t="s">
        <v>10839</v>
      </c>
      <c r="AG4233" t="s">
        <v>10858</v>
      </c>
      <c r="AH4233" t="s">
        <v>10861</v>
      </c>
      <c r="AI4233">
        <v>234</v>
      </c>
      <c r="AJ4233" t="s">
        <v>10214</v>
      </c>
      <c r="AL4233">
        <v>0.5</v>
      </c>
      <c r="AM4233" t="s">
        <v>10887</v>
      </c>
      <c r="AN4233" t="s">
        <v>10907</v>
      </c>
      <c r="AO4233" t="s">
        <v>11000</v>
      </c>
      <c r="AP4233" t="s">
        <v>11045</v>
      </c>
      <c r="AR4233" t="s">
        <v>11300</v>
      </c>
      <c r="AS4233" t="s">
        <v>9926</v>
      </c>
      <c r="AT4233" t="s">
        <v>11641</v>
      </c>
      <c r="AX4233" t="s">
        <v>10838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</row>
    <row r="4234" spans="1:59">
      <c r="A4234" s="1">
        <f>HYPERLINK("https://lsnyc.legalserver.org/matter/dynamic-profile/view/1908397","19-1908397")</f>
        <v>0</v>
      </c>
      <c r="B4234" t="s">
        <v>3468</v>
      </c>
      <c r="C4234" t="s">
        <v>5019</v>
      </c>
      <c r="D4234" t="s">
        <v>9928</v>
      </c>
      <c r="E4234" t="s">
        <v>10075</v>
      </c>
      <c r="F4234">
        <v>11217</v>
      </c>
      <c r="G4234" t="s">
        <v>10093</v>
      </c>
      <c r="H4234" t="s">
        <v>10151</v>
      </c>
      <c r="I4234" t="s">
        <v>10168</v>
      </c>
      <c r="J4234" t="s">
        <v>10213</v>
      </c>
      <c r="K4234" t="s">
        <v>10217</v>
      </c>
      <c r="M4234" t="s">
        <v>10239</v>
      </c>
      <c r="N4234" t="s">
        <v>10650</v>
      </c>
      <c r="P4234" t="s">
        <v>10749</v>
      </c>
      <c r="Q4234" t="s">
        <v>10765</v>
      </c>
      <c r="R4234" t="s">
        <v>10821</v>
      </c>
      <c r="T4234">
        <v>14300</v>
      </c>
      <c r="U4234">
        <v>1191.67</v>
      </c>
      <c r="V4234">
        <v>52</v>
      </c>
      <c r="W4234">
        <v>1</v>
      </c>
      <c r="X4234">
        <v>0</v>
      </c>
      <c r="Z4234">
        <v>114.49</v>
      </c>
      <c r="AA4234">
        <v>40.685143</v>
      </c>
      <c r="AB4234">
        <v>-73.981877</v>
      </c>
      <c r="AD4234" t="s">
        <v>10840</v>
      </c>
      <c r="AG4234" t="s">
        <v>10858</v>
      </c>
      <c r="AH4234" t="s">
        <v>10862</v>
      </c>
      <c r="AI4234">
        <v>239</v>
      </c>
      <c r="AJ4234" t="s">
        <v>10213</v>
      </c>
      <c r="AL4234">
        <v>8.4</v>
      </c>
      <c r="AM4234" t="s">
        <v>10889</v>
      </c>
      <c r="AN4234" t="s">
        <v>10917</v>
      </c>
      <c r="AO4234" t="s">
        <v>11007</v>
      </c>
      <c r="AP4234" t="s">
        <v>11054</v>
      </c>
      <c r="AQ4234" t="s">
        <v>11120</v>
      </c>
      <c r="AR4234" t="s">
        <v>11296</v>
      </c>
      <c r="AS4234" t="s">
        <v>11595</v>
      </c>
      <c r="BA4234" t="s">
        <v>11737</v>
      </c>
      <c r="BB4234">
        <v>0</v>
      </c>
      <c r="BC4234">
        <v>0</v>
      </c>
      <c r="BD4234">
        <v>0</v>
      </c>
      <c r="BE4234">
        <v>0</v>
      </c>
      <c r="BF4234">
        <v>3</v>
      </c>
      <c r="BG4234">
        <v>0</v>
      </c>
    </row>
    <row r="4235" spans="1:59">
      <c r="A4235" s="1">
        <f>HYPERLINK("https://lsnyc.legalserver.org/matter/dynamic-profile/view/1908398","19-1908398")</f>
        <v>0</v>
      </c>
      <c r="B4235" t="s">
        <v>3469</v>
      </c>
      <c r="C4235" t="s">
        <v>8255</v>
      </c>
      <c r="D4235" t="s">
        <v>9928</v>
      </c>
      <c r="E4235" t="s">
        <v>10075</v>
      </c>
      <c r="F4235">
        <v>11226</v>
      </c>
      <c r="G4235" t="s">
        <v>10093</v>
      </c>
      <c r="H4235" t="s">
        <v>10104</v>
      </c>
      <c r="I4235" t="s">
        <v>10168</v>
      </c>
      <c r="J4235" t="s">
        <v>10213</v>
      </c>
      <c r="K4235" t="s">
        <v>10217</v>
      </c>
      <c r="M4235" t="s">
        <v>10275</v>
      </c>
      <c r="N4235" t="s">
        <v>10664</v>
      </c>
      <c r="P4235" t="s">
        <v>10749</v>
      </c>
      <c r="Q4235" t="s">
        <v>10791</v>
      </c>
      <c r="R4235" t="s">
        <v>10824</v>
      </c>
      <c r="T4235">
        <v>8759.4</v>
      </c>
      <c r="U4235">
        <v>729.95</v>
      </c>
      <c r="V4235">
        <v>35</v>
      </c>
      <c r="W4235">
        <v>2</v>
      </c>
      <c r="X4235">
        <v>2</v>
      </c>
      <c r="Z4235">
        <v>34.02</v>
      </c>
      <c r="AA4235">
        <v>40.64544</v>
      </c>
      <c r="AB4235">
        <v>-73.95995499999999</v>
      </c>
      <c r="AD4235" t="s">
        <v>10840</v>
      </c>
      <c r="AG4235" t="s">
        <v>10858</v>
      </c>
      <c r="AH4235" t="s">
        <v>10862</v>
      </c>
      <c r="AI4235">
        <v>239</v>
      </c>
      <c r="AJ4235" t="s">
        <v>10213</v>
      </c>
      <c r="AL4235">
        <v>8.4</v>
      </c>
      <c r="AM4235" t="s">
        <v>10888</v>
      </c>
      <c r="AN4235" t="s">
        <v>10932</v>
      </c>
      <c r="AO4235" t="s">
        <v>11008</v>
      </c>
      <c r="AP4235" t="s">
        <v>11050</v>
      </c>
      <c r="AQ4235" t="s">
        <v>11133</v>
      </c>
      <c r="AR4235" t="s">
        <v>11540</v>
      </c>
      <c r="AS4235" t="s">
        <v>11595</v>
      </c>
      <c r="BA4235" t="s">
        <v>11737</v>
      </c>
      <c r="BB4235">
        <v>0</v>
      </c>
      <c r="BC4235">
        <v>0</v>
      </c>
      <c r="BD4235">
        <v>0</v>
      </c>
      <c r="BE4235">
        <v>0</v>
      </c>
      <c r="BF4235">
        <v>3</v>
      </c>
      <c r="BG4235">
        <v>0</v>
      </c>
    </row>
    <row r="4236" spans="1:59">
      <c r="A4236" s="1">
        <f>HYPERLINK("https://lsnyc.legalserver.org/matter/dynamic-profile/view/1908399","19-1908399")</f>
        <v>0</v>
      </c>
      <c r="B4236" t="s">
        <v>3470</v>
      </c>
      <c r="C4236" t="s">
        <v>8256</v>
      </c>
      <c r="D4236" t="s">
        <v>9928</v>
      </c>
      <c r="E4236" t="s">
        <v>10075</v>
      </c>
      <c r="F4236">
        <v>11225</v>
      </c>
      <c r="G4236" t="s">
        <v>10092</v>
      </c>
      <c r="H4236" t="s">
        <v>10151</v>
      </c>
      <c r="I4236" t="s">
        <v>10168</v>
      </c>
      <c r="J4236" t="s">
        <v>10212</v>
      </c>
      <c r="K4236" t="s">
        <v>10218</v>
      </c>
      <c r="L4236" t="s">
        <v>10108</v>
      </c>
      <c r="M4236" t="s">
        <v>10340</v>
      </c>
      <c r="N4236" t="s">
        <v>10694</v>
      </c>
      <c r="P4236" t="s">
        <v>10751</v>
      </c>
      <c r="Q4236" t="s">
        <v>10780</v>
      </c>
      <c r="R4236" t="s">
        <v>10824</v>
      </c>
      <c r="T4236">
        <v>33800</v>
      </c>
      <c r="U4236">
        <v>2816.67</v>
      </c>
      <c r="V4236">
        <v>37</v>
      </c>
      <c r="W4236">
        <v>2</v>
      </c>
      <c r="X4236">
        <v>18</v>
      </c>
      <c r="Y4236" t="s">
        <v>10829</v>
      </c>
      <c r="Z4236">
        <v>35.04</v>
      </c>
      <c r="AA4236">
        <v>40.659767</v>
      </c>
      <c r="AB4236">
        <v>-73.96146899999999</v>
      </c>
      <c r="AD4236" t="s">
        <v>10840</v>
      </c>
      <c r="AG4236" t="s">
        <v>10858</v>
      </c>
      <c r="AH4236" t="s">
        <v>10874</v>
      </c>
      <c r="AI4236">
        <v>237</v>
      </c>
      <c r="AJ4236" t="s">
        <v>10212</v>
      </c>
      <c r="AK4236" t="s">
        <v>10838</v>
      </c>
      <c r="AL4236">
        <v>3.45</v>
      </c>
      <c r="AM4236" t="s">
        <v>10888</v>
      </c>
      <c r="AN4236" t="s">
        <v>10912</v>
      </c>
      <c r="AO4236" t="s">
        <v>11008</v>
      </c>
      <c r="AP4236" t="s">
        <v>11050</v>
      </c>
      <c r="AR4236" t="s">
        <v>11343</v>
      </c>
      <c r="AS4236" t="s">
        <v>11595</v>
      </c>
      <c r="AY4236" t="s">
        <v>10829</v>
      </c>
      <c r="AZ4236" t="s">
        <v>11682</v>
      </c>
      <c r="BA4236" t="s">
        <v>11741</v>
      </c>
      <c r="BB4236">
        <v>0</v>
      </c>
      <c r="BC4236">
        <v>0</v>
      </c>
      <c r="BD4236">
        <v>0</v>
      </c>
      <c r="BE4236">
        <v>0</v>
      </c>
      <c r="BF4236">
        <v>1</v>
      </c>
      <c r="BG4236">
        <v>0</v>
      </c>
    </row>
    <row r="4237" spans="1:59">
      <c r="A4237" s="1">
        <f>HYPERLINK("https://lsnyc.legalserver.org/matter/dynamic-profile/view/1908400","19-1908400")</f>
        <v>0</v>
      </c>
      <c r="B4237" t="s">
        <v>2703</v>
      </c>
      <c r="C4237" t="s">
        <v>8257</v>
      </c>
      <c r="D4237" t="s">
        <v>9938</v>
      </c>
      <c r="E4237" t="s">
        <v>10075</v>
      </c>
      <c r="F4237">
        <v>11433</v>
      </c>
      <c r="G4237" t="s">
        <v>10092</v>
      </c>
      <c r="H4237" t="s">
        <v>10151</v>
      </c>
      <c r="I4237" t="s">
        <v>10168</v>
      </c>
      <c r="J4237" t="s">
        <v>10212</v>
      </c>
      <c r="K4237" t="s">
        <v>10217</v>
      </c>
      <c r="M4237" t="s">
        <v>10594</v>
      </c>
      <c r="N4237" t="s">
        <v>10693</v>
      </c>
      <c r="P4237" t="s">
        <v>10749</v>
      </c>
      <c r="Q4237" t="s">
        <v>10765</v>
      </c>
      <c r="R4237" t="s">
        <v>10824</v>
      </c>
      <c r="T4237">
        <v>15132</v>
      </c>
      <c r="U4237">
        <v>1261</v>
      </c>
      <c r="V4237">
        <v>34</v>
      </c>
      <c r="W4237">
        <v>1</v>
      </c>
      <c r="X4237">
        <v>5</v>
      </c>
      <c r="Z4237">
        <v>43.75</v>
      </c>
      <c r="AA4237">
        <v>40.701966</v>
      </c>
      <c r="AB4237">
        <v>-73.780237</v>
      </c>
      <c r="AD4237" t="s">
        <v>10839</v>
      </c>
      <c r="AG4237" t="s">
        <v>10858</v>
      </c>
      <c r="AH4237" t="s">
        <v>10862</v>
      </c>
      <c r="AI4237">
        <v>237</v>
      </c>
      <c r="AJ4237" t="s">
        <v>10212</v>
      </c>
      <c r="AL4237">
        <v>12.63</v>
      </c>
      <c r="AM4237" t="s">
        <v>10892</v>
      </c>
      <c r="AN4237" t="s">
        <v>10955</v>
      </c>
      <c r="AO4237" t="s">
        <v>11020</v>
      </c>
      <c r="AP4237" t="s">
        <v>11075</v>
      </c>
      <c r="AR4237" t="s">
        <v>11479</v>
      </c>
      <c r="AS4237" t="s">
        <v>11594</v>
      </c>
      <c r="BA4237" t="s">
        <v>11738</v>
      </c>
      <c r="BB4237">
        <v>0</v>
      </c>
      <c r="BC4237">
        <v>0</v>
      </c>
      <c r="BD4237">
        <v>0</v>
      </c>
      <c r="BE4237">
        <v>0</v>
      </c>
      <c r="BF4237">
        <v>5</v>
      </c>
      <c r="BG4237">
        <v>0</v>
      </c>
    </row>
    <row r="4238" spans="1:59">
      <c r="A4238" s="1">
        <f>HYPERLINK("https://lsnyc.legalserver.org/matter/dynamic-profile/view/1908401","19-1908401")</f>
        <v>0</v>
      </c>
      <c r="B4238" t="s">
        <v>3471</v>
      </c>
      <c r="C4238" t="s">
        <v>8258</v>
      </c>
      <c r="D4238" t="s">
        <v>9926</v>
      </c>
      <c r="E4238" t="s">
        <v>10075</v>
      </c>
      <c r="F4238">
        <v>10457</v>
      </c>
      <c r="G4238" t="s">
        <v>10090</v>
      </c>
      <c r="H4238" t="s">
        <v>10151</v>
      </c>
      <c r="I4238" t="s">
        <v>10169</v>
      </c>
      <c r="J4238" t="s">
        <v>10210</v>
      </c>
      <c r="K4238" t="s">
        <v>10217</v>
      </c>
      <c r="M4238" t="s">
        <v>10367</v>
      </c>
      <c r="N4238" t="s">
        <v>10671</v>
      </c>
      <c r="P4238" t="s">
        <v>10751</v>
      </c>
      <c r="Q4238" t="s">
        <v>10761</v>
      </c>
      <c r="R4238" t="s">
        <v>10823</v>
      </c>
      <c r="T4238">
        <v>2760</v>
      </c>
      <c r="U4238">
        <v>230</v>
      </c>
      <c r="V4238">
        <v>33</v>
      </c>
      <c r="W4238">
        <v>1</v>
      </c>
      <c r="X4238">
        <v>3</v>
      </c>
      <c r="Z4238">
        <v>10.72</v>
      </c>
      <c r="AA4238">
        <v>40.850797</v>
      </c>
      <c r="AB4238">
        <v>-73.902098</v>
      </c>
      <c r="AD4238" t="s">
        <v>10839</v>
      </c>
      <c r="AF4238" t="s">
        <v>10843</v>
      </c>
      <c r="AG4238" t="s">
        <v>10859</v>
      </c>
      <c r="AH4238" t="s">
        <v>10874</v>
      </c>
      <c r="AI4238">
        <v>230</v>
      </c>
      <c r="AJ4238" t="s">
        <v>10210</v>
      </c>
      <c r="AL4238">
        <v>5.9</v>
      </c>
      <c r="AM4238" t="s">
        <v>10884</v>
      </c>
      <c r="AN4238" t="s">
        <v>10931</v>
      </c>
      <c r="AO4238" t="s">
        <v>11000</v>
      </c>
      <c r="AP4238" t="s">
        <v>11056</v>
      </c>
      <c r="AR4238" t="s">
        <v>11344</v>
      </c>
      <c r="AS4238" t="s">
        <v>9926</v>
      </c>
      <c r="AT4238" t="s">
        <v>11641</v>
      </c>
      <c r="AX4238" t="s">
        <v>10838</v>
      </c>
      <c r="BA4238" t="s">
        <v>11742</v>
      </c>
      <c r="BB4238">
        <v>0</v>
      </c>
      <c r="BC4238">
        <v>0</v>
      </c>
      <c r="BD4238">
        <v>0</v>
      </c>
      <c r="BE4238">
        <v>0</v>
      </c>
      <c r="BF4238">
        <v>7</v>
      </c>
      <c r="BG4238">
        <v>0</v>
      </c>
    </row>
    <row r="4239" spans="1:59">
      <c r="A4239" s="1">
        <f>HYPERLINK("https://lsnyc.legalserver.org/matter/dynamic-profile/view/1908402","19-1908402")</f>
        <v>0</v>
      </c>
      <c r="B4239" t="s">
        <v>3472</v>
      </c>
      <c r="C4239" t="s">
        <v>6501</v>
      </c>
      <c r="D4239" t="s">
        <v>9926</v>
      </c>
      <c r="E4239" t="s">
        <v>10075</v>
      </c>
      <c r="F4239">
        <v>10474</v>
      </c>
      <c r="G4239" t="s">
        <v>10090</v>
      </c>
      <c r="H4239" t="s">
        <v>10151</v>
      </c>
      <c r="I4239" t="s">
        <v>10168</v>
      </c>
      <c r="J4239" t="s">
        <v>10210</v>
      </c>
      <c r="K4239" t="s">
        <v>10217</v>
      </c>
      <c r="M4239" t="s">
        <v>10569</v>
      </c>
      <c r="N4239" t="s">
        <v>10656</v>
      </c>
      <c r="P4239" t="s">
        <v>10751</v>
      </c>
      <c r="Q4239" t="s">
        <v>10768</v>
      </c>
      <c r="R4239" t="s">
        <v>10821</v>
      </c>
      <c r="T4239">
        <v>2522</v>
      </c>
      <c r="U4239">
        <v>210.17</v>
      </c>
      <c r="V4239">
        <v>46</v>
      </c>
      <c r="W4239">
        <v>1</v>
      </c>
      <c r="X4239">
        <v>0</v>
      </c>
      <c r="Z4239">
        <v>20.19</v>
      </c>
      <c r="AA4239">
        <v>40.816705</v>
      </c>
      <c r="AB4239">
        <v>-73.885794</v>
      </c>
      <c r="AD4239" t="s">
        <v>10839</v>
      </c>
      <c r="AG4239" t="s">
        <v>10858</v>
      </c>
      <c r="AH4239" t="s">
        <v>10871</v>
      </c>
      <c r="AI4239">
        <v>234</v>
      </c>
      <c r="AJ4239" t="s">
        <v>10214</v>
      </c>
      <c r="AL4239">
        <v>4.3</v>
      </c>
      <c r="AM4239" t="s">
        <v>10884</v>
      </c>
      <c r="AN4239" t="s">
        <v>10924</v>
      </c>
      <c r="AO4239" t="s">
        <v>11001</v>
      </c>
      <c r="AP4239" t="s">
        <v>11062</v>
      </c>
      <c r="AR4239" t="s">
        <v>11311</v>
      </c>
      <c r="AS4239" t="s">
        <v>9926</v>
      </c>
      <c r="AT4239" t="s">
        <v>11641</v>
      </c>
      <c r="AX4239" t="s">
        <v>10838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</row>
    <row r="4240" spans="1:59">
      <c r="A4240" s="1">
        <f>HYPERLINK("https://lsnyc.legalserver.org/matter/dynamic-profile/view/1908403","19-1908403")</f>
        <v>0</v>
      </c>
      <c r="B4240" t="s">
        <v>3473</v>
      </c>
      <c r="C4240" t="s">
        <v>8259</v>
      </c>
      <c r="D4240" t="s">
        <v>9926</v>
      </c>
      <c r="E4240" t="s">
        <v>10075</v>
      </c>
      <c r="F4240">
        <v>10467</v>
      </c>
      <c r="G4240" t="s">
        <v>10090</v>
      </c>
      <c r="H4240" t="s">
        <v>10151</v>
      </c>
      <c r="I4240" t="s">
        <v>10168</v>
      </c>
      <c r="J4240" t="s">
        <v>10210</v>
      </c>
      <c r="K4240" t="s">
        <v>10217</v>
      </c>
      <c r="M4240" t="s">
        <v>10569</v>
      </c>
      <c r="N4240" t="s">
        <v>10656</v>
      </c>
      <c r="P4240" t="s">
        <v>10751</v>
      </c>
      <c r="Q4240" t="s">
        <v>10768</v>
      </c>
      <c r="R4240" t="s">
        <v>10824</v>
      </c>
      <c r="T4240">
        <v>3480</v>
      </c>
      <c r="U4240">
        <v>290</v>
      </c>
      <c r="V4240">
        <v>50</v>
      </c>
      <c r="W4240">
        <v>1</v>
      </c>
      <c r="X4240">
        <v>1</v>
      </c>
      <c r="Z4240">
        <v>20.58</v>
      </c>
      <c r="AA4240">
        <v>40.863742</v>
      </c>
      <c r="AB4240">
        <v>-73.866647</v>
      </c>
      <c r="AD4240" t="s">
        <v>10839</v>
      </c>
      <c r="AG4240" t="s">
        <v>10858</v>
      </c>
      <c r="AH4240" t="s">
        <v>10861</v>
      </c>
      <c r="AI4240">
        <v>234</v>
      </c>
      <c r="AJ4240" t="s">
        <v>10214</v>
      </c>
      <c r="AL4240">
        <v>6.68</v>
      </c>
      <c r="AM4240" t="s">
        <v>10885</v>
      </c>
      <c r="AN4240" t="s">
        <v>10938</v>
      </c>
      <c r="AO4240" t="s">
        <v>11002</v>
      </c>
      <c r="AP4240" t="s">
        <v>11056</v>
      </c>
      <c r="AR4240" t="s">
        <v>11292</v>
      </c>
      <c r="AS4240" t="s">
        <v>9926</v>
      </c>
      <c r="AT4240" t="s">
        <v>11641</v>
      </c>
      <c r="AX4240" t="s">
        <v>10838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</row>
    <row r="4241" spans="1:59">
      <c r="A4241" s="1">
        <f>HYPERLINK("https://lsnyc.legalserver.org/matter/dynamic-profile/view/1908404","19-1908404")</f>
        <v>0</v>
      </c>
      <c r="B4241" t="s">
        <v>3474</v>
      </c>
      <c r="C4241" t="s">
        <v>8260</v>
      </c>
      <c r="D4241" t="s">
        <v>9948</v>
      </c>
      <c r="E4241" t="s">
        <v>10075</v>
      </c>
      <c r="F4241">
        <v>11691</v>
      </c>
      <c r="G4241" t="s">
        <v>10091</v>
      </c>
      <c r="H4241" t="s">
        <v>10151</v>
      </c>
      <c r="I4241" t="s">
        <v>10168</v>
      </c>
      <c r="J4241" t="s">
        <v>10214</v>
      </c>
      <c r="K4241" t="s">
        <v>10217</v>
      </c>
      <c r="M4241" t="s">
        <v>10286</v>
      </c>
      <c r="N4241" t="s">
        <v>10671</v>
      </c>
      <c r="P4241" t="s">
        <v>10755</v>
      </c>
      <c r="Q4241" t="s">
        <v>10801</v>
      </c>
      <c r="R4241" t="s">
        <v>10824</v>
      </c>
      <c r="T4241">
        <v>0</v>
      </c>
      <c r="U4241">
        <v>0</v>
      </c>
      <c r="V4241">
        <v>12</v>
      </c>
      <c r="W4241">
        <v>1</v>
      </c>
      <c r="X4241">
        <v>1</v>
      </c>
      <c r="Z4241">
        <v>0</v>
      </c>
      <c r="AA4241">
        <v>40.595142</v>
      </c>
      <c r="AB4241">
        <v>-73.760587</v>
      </c>
      <c r="AD4241" t="s">
        <v>10839</v>
      </c>
      <c r="AG4241" t="s">
        <v>10858</v>
      </c>
      <c r="AH4241" t="s">
        <v>10871</v>
      </c>
      <c r="AI4241">
        <v>234</v>
      </c>
      <c r="AJ4241" t="s">
        <v>10214</v>
      </c>
      <c r="AL4241">
        <v>1</v>
      </c>
      <c r="AM4241" t="s">
        <v>10892</v>
      </c>
      <c r="AN4241" t="s">
        <v>10958</v>
      </c>
      <c r="AO4241" t="s">
        <v>11017</v>
      </c>
      <c r="AP4241" t="s">
        <v>11082</v>
      </c>
      <c r="AR4241" t="s">
        <v>11267</v>
      </c>
      <c r="AS4241" t="s">
        <v>11594</v>
      </c>
      <c r="AT4241" t="s">
        <v>11641</v>
      </c>
      <c r="AX4241" t="s">
        <v>10838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</row>
    <row r="4242" spans="1:59">
      <c r="A4242" s="1">
        <f>HYPERLINK("https://lsnyc.legalserver.org/matter/dynamic-profile/view/1908405","19-1908405")</f>
        <v>0</v>
      </c>
      <c r="B4242" t="s">
        <v>2533</v>
      </c>
      <c r="C4242" t="s">
        <v>8261</v>
      </c>
      <c r="D4242" t="s">
        <v>9925</v>
      </c>
      <c r="E4242" t="s">
        <v>10075</v>
      </c>
      <c r="F4242">
        <v>10010</v>
      </c>
      <c r="G4242" t="s">
        <v>10089</v>
      </c>
      <c r="H4242" t="s">
        <v>10151</v>
      </c>
      <c r="I4242" t="s">
        <v>10168</v>
      </c>
      <c r="J4242" t="s">
        <v>10209</v>
      </c>
      <c r="K4242" t="s">
        <v>10218</v>
      </c>
      <c r="L4242" t="s">
        <v>10137</v>
      </c>
      <c r="M4242" t="s">
        <v>10332</v>
      </c>
      <c r="N4242" t="s">
        <v>10691</v>
      </c>
      <c r="P4242" t="s">
        <v>10749</v>
      </c>
      <c r="Q4242" t="s">
        <v>10765</v>
      </c>
      <c r="R4242" t="s">
        <v>10824</v>
      </c>
      <c r="T4242">
        <v>11448</v>
      </c>
      <c r="U4242">
        <v>954</v>
      </c>
      <c r="V4242">
        <v>55</v>
      </c>
      <c r="W4242">
        <v>1</v>
      </c>
      <c r="X4242">
        <v>0</v>
      </c>
      <c r="Y4242" t="s">
        <v>10829</v>
      </c>
      <c r="Z4242">
        <v>91.66</v>
      </c>
      <c r="AA4242">
        <v>40.739461</v>
      </c>
      <c r="AB4242">
        <v>-73.984059</v>
      </c>
      <c r="AC4242" t="s">
        <v>10837</v>
      </c>
      <c r="AD4242" t="s">
        <v>10839</v>
      </c>
      <c r="AG4242" t="s">
        <v>10858</v>
      </c>
      <c r="AH4242" t="s">
        <v>10871</v>
      </c>
      <c r="AI4242">
        <v>234</v>
      </c>
      <c r="AJ4242" t="s">
        <v>10214</v>
      </c>
      <c r="AK4242" t="s">
        <v>10882</v>
      </c>
      <c r="AL4242">
        <v>1.6</v>
      </c>
      <c r="AM4242" t="s">
        <v>10891</v>
      </c>
      <c r="AN4242" t="s">
        <v>10966</v>
      </c>
      <c r="AO4242" t="s">
        <v>11026</v>
      </c>
      <c r="AP4242" t="s">
        <v>11048</v>
      </c>
      <c r="AR4242" t="s">
        <v>11463</v>
      </c>
      <c r="AS4242" t="s">
        <v>9925</v>
      </c>
      <c r="AT4242" t="s">
        <v>11641</v>
      </c>
      <c r="AX4242" t="s">
        <v>10838</v>
      </c>
      <c r="AY4242" t="s">
        <v>10829</v>
      </c>
      <c r="AZ4242" t="s">
        <v>11681</v>
      </c>
      <c r="BA4242" t="s">
        <v>11741</v>
      </c>
      <c r="BB4242">
        <v>0</v>
      </c>
      <c r="BC4242">
        <v>0</v>
      </c>
      <c r="BD4242">
        <v>0</v>
      </c>
      <c r="BE4242">
        <v>0</v>
      </c>
      <c r="BF4242">
        <v>1</v>
      </c>
      <c r="BG4242">
        <v>0</v>
      </c>
    </row>
    <row r="4243" spans="1:59">
      <c r="A4243" s="1">
        <f>HYPERLINK("https://lsnyc.legalserver.org/matter/dynamic-profile/view/1908407","19-1908407")</f>
        <v>0</v>
      </c>
      <c r="B4243" t="s">
        <v>1961</v>
      </c>
      <c r="C4243" t="s">
        <v>8262</v>
      </c>
      <c r="D4243" t="s">
        <v>9928</v>
      </c>
      <c r="E4243" t="s">
        <v>10075</v>
      </c>
      <c r="F4243">
        <v>11213</v>
      </c>
      <c r="G4243" t="s">
        <v>10093</v>
      </c>
      <c r="H4243" t="s">
        <v>10151</v>
      </c>
      <c r="J4243" t="s">
        <v>10213</v>
      </c>
      <c r="K4243" t="s">
        <v>10217</v>
      </c>
      <c r="M4243" t="s">
        <v>10457</v>
      </c>
      <c r="N4243" t="s">
        <v>10698</v>
      </c>
      <c r="P4243" t="s">
        <v>10749</v>
      </c>
      <c r="Q4243" t="s">
        <v>10765</v>
      </c>
      <c r="R4243" t="s">
        <v>10824</v>
      </c>
      <c r="T4243">
        <v>4888</v>
      </c>
      <c r="U4243">
        <v>407.33</v>
      </c>
      <c r="V4243">
        <v>50</v>
      </c>
      <c r="W4243">
        <v>1</v>
      </c>
      <c r="X4243">
        <v>0</v>
      </c>
      <c r="Z4243">
        <v>39.14</v>
      </c>
      <c r="AA4243">
        <v>40.676494</v>
      </c>
      <c r="AB4243">
        <v>-73.938519</v>
      </c>
      <c r="AD4243" t="s">
        <v>10839</v>
      </c>
      <c r="AG4243" t="s">
        <v>10858</v>
      </c>
      <c r="AH4243" t="s">
        <v>10868</v>
      </c>
      <c r="AI4243">
        <v>239</v>
      </c>
      <c r="AJ4243" t="s">
        <v>10213</v>
      </c>
      <c r="AL4243">
        <v>6</v>
      </c>
      <c r="AM4243" t="s">
        <v>10889</v>
      </c>
      <c r="AN4243" t="s">
        <v>10914</v>
      </c>
      <c r="AO4243" t="s">
        <v>11007</v>
      </c>
      <c r="AP4243" t="s">
        <v>11052</v>
      </c>
      <c r="AR4243" t="s">
        <v>11321</v>
      </c>
      <c r="AS4243" t="s">
        <v>11595</v>
      </c>
      <c r="AT4243" t="s">
        <v>11641</v>
      </c>
      <c r="AX4243" t="s">
        <v>10838</v>
      </c>
      <c r="BA4243" t="s">
        <v>11742</v>
      </c>
      <c r="BB4243">
        <v>0</v>
      </c>
      <c r="BC4243">
        <v>0</v>
      </c>
      <c r="BD4243">
        <v>0</v>
      </c>
      <c r="BE4243">
        <v>0</v>
      </c>
      <c r="BF4243">
        <v>7</v>
      </c>
      <c r="BG4243">
        <v>0</v>
      </c>
    </row>
    <row r="4244" spans="1:59">
      <c r="A4244" s="1">
        <f>HYPERLINK("https://lsnyc.legalserver.org/matter/dynamic-profile/view/1908408","19-1908408")</f>
        <v>0</v>
      </c>
      <c r="B4244" t="s">
        <v>3475</v>
      </c>
      <c r="C4244" t="s">
        <v>8263</v>
      </c>
      <c r="D4244" t="s">
        <v>9938</v>
      </c>
      <c r="E4244" t="s">
        <v>10075</v>
      </c>
      <c r="F4244">
        <v>11434</v>
      </c>
      <c r="G4244" t="s">
        <v>10092</v>
      </c>
      <c r="H4244" t="s">
        <v>10151</v>
      </c>
      <c r="I4244" t="s">
        <v>10168</v>
      </c>
      <c r="J4244" t="s">
        <v>10212</v>
      </c>
      <c r="K4244" t="s">
        <v>10217</v>
      </c>
      <c r="M4244" t="s">
        <v>10422</v>
      </c>
      <c r="N4244" t="s">
        <v>10713</v>
      </c>
      <c r="P4244" t="s">
        <v>10755</v>
      </c>
      <c r="Q4244" t="s">
        <v>10813</v>
      </c>
      <c r="R4244" t="s">
        <v>10824</v>
      </c>
      <c r="T4244">
        <v>12000</v>
      </c>
      <c r="U4244">
        <v>1000</v>
      </c>
      <c r="V4244">
        <v>28</v>
      </c>
      <c r="W4244">
        <v>1</v>
      </c>
      <c r="X4244">
        <v>1</v>
      </c>
      <c r="Z4244">
        <v>70.95999999999999</v>
      </c>
      <c r="AA4244">
        <v>40.681217</v>
      </c>
      <c r="AB4244">
        <v>-73.777203</v>
      </c>
      <c r="AD4244" t="s">
        <v>10839</v>
      </c>
      <c r="AF4244" t="s">
        <v>10845</v>
      </c>
      <c r="AG4244" t="s">
        <v>10859</v>
      </c>
      <c r="AH4244" t="s">
        <v>10864</v>
      </c>
      <c r="AI4244">
        <v>237</v>
      </c>
      <c r="AJ4244" t="s">
        <v>10212</v>
      </c>
      <c r="AL4244">
        <v>19.55</v>
      </c>
      <c r="AR4244" t="s">
        <v>11257</v>
      </c>
      <c r="AS4244" t="s">
        <v>11594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</row>
    <row r="4245" spans="1:59">
      <c r="A4245" s="1">
        <f>HYPERLINK("https://lsnyc.legalserver.org/matter/dynamic-profile/view/1908409","19-1908409")</f>
        <v>0</v>
      </c>
      <c r="B4245" t="s">
        <v>3476</v>
      </c>
      <c r="C4245" t="s">
        <v>8264</v>
      </c>
      <c r="D4245" t="s">
        <v>10009</v>
      </c>
      <c r="E4245" t="s">
        <v>10075</v>
      </c>
      <c r="F4245">
        <v>11419</v>
      </c>
      <c r="G4245" t="s">
        <v>10093</v>
      </c>
      <c r="H4245" t="s">
        <v>10151</v>
      </c>
      <c r="I4245" t="s">
        <v>10168</v>
      </c>
      <c r="J4245" t="s">
        <v>10213</v>
      </c>
      <c r="K4245" t="s">
        <v>10217</v>
      </c>
      <c r="M4245" t="s">
        <v>10420</v>
      </c>
      <c r="N4245" t="s">
        <v>10649</v>
      </c>
      <c r="P4245" t="s">
        <v>10753</v>
      </c>
      <c r="Q4245" t="s">
        <v>10763</v>
      </c>
      <c r="R4245" t="s">
        <v>10828</v>
      </c>
      <c r="T4245">
        <v>14400</v>
      </c>
      <c r="U4245">
        <v>1200</v>
      </c>
      <c r="V4245">
        <v>52</v>
      </c>
      <c r="W4245">
        <v>1</v>
      </c>
      <c r="X4245">
        <v>0</v>
      </c>
      <c r="Z4245">
        <v>115.29</v>
      </c>
      <c r="AA4245">
        <v>40.686018</v>
      </c>
      <c r="AB4245">
        <v>-73.82853299999999</v>
      </c>
      <c r="AD4245" t="s">
        <v>10839</v>
      </c>
      <c r="AF4245" t="s">
        <v>10842</v>
      </c>
      <c r="AG4245" t="s">
        <v>10859</v>
      </c>
      <c r="AH4245" t="s">
        <v>10864</v>
      </c>
      <c r="AI4245">
        <v>239</v>
      </c>
      <c r="AJ4245" t="s">
        <v>10213</v>
      </c>
      <c r="AL4245">
        <v>0.5</v>
      </c>
      <c r="AM4245" t="s">
        <v>10892</v>
      </c>
      <c r="AN4245" t="s">
        <v>10944</v>
      </c>
      <c r="AO4245" t="s">
        <v>11017</v>
      </c>
      <c r="AP4245" t="s">
        <v>11070</v>
      </c>
      <c r="AQ4245" t="s">
        <v>11109</v>
      </c>
      <c r="AR4245" t="s">
        <v>11257</v>
      </c>
      <c r="AS4245" t="s">
        <v>11594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</row>
    <row r="4246" spans="1:59">
      <c r="A4246" s="1">
        <f>HYPERLINK("https://lsnyc.legalserver.org/matter/dynamic-profile/view/1908410","19-1908410")</f>
        <v>0</v>
      </c>
      <c r="B4246" t="s">
        <v>467</v>
      </c>
      <c r="C4246" t="s">
        <v>5064</v>
      </c>
      <c r="D4246" t="s">
        <v>9925</v>
      </c>
      <c r="E4246" t="s">
        <v>10075</v>
      </c>
      <c r="F4246">
        <v>10035</v>
      </c>
      <c r="G4246" t="s">
        <v>10089</v>
      </c>
      <c r="H4246" t="s">
        <v>10151</v>
      </c>
      <c r="I4246" t="s">
        <v>10168</v>
      </c>
      <c r="J4246" t="s">
        <v>10209</v>
      </c>
      <c r="K4246" t="s">
        <v>10217</v>
      </c>
      <c r="M4246" t="s">
        <v>10589</v>
      </c>
      <c r="N4246" t="s">
        <v>10650</v>
      </c>
      <c r="P4246" t="s">
        <v>10749</v>
      </c>
      <c r="Q4246" t="s">
        <v>10765</v>
      </c>
      <c r="R4246" t="s">
        <v>10824</v>
      </c>
      <c r="T4246">
        <v>45000</v>
      </c>
      <c r="U4246">
        <v>3750</v>
      </c>
      <c r="V4246">
        <v>33</v>
      </c>
      <c r="W4246">
        <v>1</v>
      </c>
      <c r="X4246">
        <v>0</v>
      </c>
      <c r="Z4246">
        <v>360.29</v>
      </c>
      <c r="AA4246">
        <v>40.799429</v>
      </c>
      <c r="AB4246">
        <v>-73.94181399999999</v>
      </c>
      <c r="AD4246" t="s">
        <v>10839</v>
      </c>
      <c r="AG4246" t="s">
        <v>10858</v>
      </c>
      <c r="AH4246" t="s">
        <v>10862</v>
      </c>
      <c r="AI4246">
        <v>236</v>
      </c>
      <c r="AJ4246" t="s">
        <v>10209</v>
      </c>
      <c r="AL4246">
        <v>0</v>
      </c>
      <c r="AM4246" t="s">
        <v>10887</v>
      </c>
      <c r="AN4246" t="s">
        <v>10926</v>
      </c>
      <c r="AO4246" t="s">
        <v>11016</v>
      </c>
      <c r="AP4246" t="s">
        <v>11066</v>
      </c>
      <c r="AR4246" t="s">
        <v>11257</v>
      </c>
      <c r="AS4246" t="s">
        <v>9925</v>
      </c>
      <c r="AT4246" t="s">
        <v>11641</v>
      </c>
      <c r="AX4246" t="s">
        <v>10838</v>
      </c>
      <c r="BA4246" t="s">
        <v>11740</v>
      </c>
      <c r="BB4246">
        <v>0</v>
      </c>
      <c r="BC4246">
        <v>0</v>
      </c>
      <c r="BD4246">
        <v>0</v>
      </c>
      <c r="BE4246">
        <v>0</v>
      </c>
      <c r="BF4246">
        <v>2</v>
      </c>
      <c r="BG4246">
        <v>0</v>
      </c>
    </row>
    <row r="4247" spans="1:59">
      <c r="A4247" s="1">
        <f>HYPERLINK("https://lsnyc.legalserver.org/matter/dynamic-profile/view/1908411","19-1908411")</f>
        <v>0</v>
      </c>
      <c r="B4247" t="s">
        <v>1522</v>
      </c>
      <c r="C4247" t="s">
        <v>8265</v>
      </c>
      <c r="D4247" t="s">
        <v>9926</v>
      </c>
      <c r="E4247" t="s">
        <v>10075</v>
      </c>
      <c r="F4247">
        <v>10467</v>
      </c>
      <c r="G4247" t="s">
        <v>10091</v>
      </c>
      <c r="H4247" t="s">
        <v>10151</v>
      </c>
      <c r="I4247" t="s">
        <v>10169</v>
      </c>
      <c r="J4247" t="s">
        <v>10214</v>
      </c>
      <c r="K4247" t="s">
        <v>10217</v>
      </c>
      <c r="M4247" t="s">
        <v>10286</v>
      </c>
      <c r="N4247" t="s">
        <v>10671</v>
      </c>
      <c r="P4247" t="s">
        <v>10749</v>
      </c>
      <c r="Q4247" t="s">
        <v>10765</v>
      </c>
      <c r="R4247" t="s">
        <v>10821</v>
      </c>
      <c r="T4247">
        <v>8320</v>
      </c>
      <c r="U4247">
        <v>693.33</v>
      </c>
      <c r="V4247">
        <v>35</v>
      </c>
      <c r="W4247">
        <v>1</v>
      </c>
      <c r="X4247">
        <v>0</v>
      </c>
      <c r="Z4247">
        <v>66.61</v>
      </c>
      <c r="AA4247">
        <v>40.87982</v>
      </c>
      <c r="AB4247">
        <v>-73.87667399999999</v>
      </c>
      <c r="AD4247" t="s">
        <v>10839</v>
      </c>
      <c r="AF4247" t="s">
        <v>10843</v>
      </c>
      <c r="AG4247" t="s">
        <v>10859</v>
      </c>
      <c r="AH4247" t="s">
        <v>10871</v>
      </c>
      <c r="AI4247">
        <v>234</v>
      </c>
      <c r="AJ4247" t="s">
        <v>10214</v>
      </c>
      <c r="AL4247">
        <v>1</v>
      </c>
      <c r="AM4247" t="s">
        <v>10887</v>
      </c>
      <c r="AN4247" t="s">
        <v>10919</v>
      </c>
      <c r="AO4247" t="s">
        <v>11010</v>
      </c>
      <c r="AP4247" t="s">
        <v>11057</v>
      </c>
      <c r="AR4247" t="s">
        <v>11257</v>
      </c>
      <c r="AS4247" t="s">
        <v>9926</v>
      </c>
      <c r="AT4247" t="s">
        <v>11641</v>
      </c>
      <c r="AX4247" t="s">
        <v>10838</v>
      </c>
      <c r="BA4247" t="s">
        <v>11741</v>
      </c>
      <c r="BB4247">
        <v>0</v>
      </c>
      <c r="BC4247">
        <v>0</v>
      </c>
      <c r="BD4247">
        <v>0</v>
      </c>
      <c r="BE4247">
        <v>0</v>
      </c>
      <c r="BF4247">
        <v>1</v>
      </c>
      <c r="BG4247">
        <v>0</v>
      </c>
    </row>
    <row r="4248" spans="1:59">
      <c r="A4248" s="1">
        <f>HYPERLINK("https://lsnyc.legalserver.org/matter/dynamic-profile/view/1908412","19-1908412")</f>
        <v>0</v>
      </c>
      <c r="B4248" t="s">
        <v>3477</v>
      </c>
      <c r="C4248" t="s">
        <v>5064</v>
      </c>
      <c r="D4248" t="s">
        <v>9925</v>
      </c>
      <c r="E4248" t="s">
        <v>10075</v>
      </c>
      <c r="F4248">
        <v>10035</v>
      </c>
      <c r="G4248" t="s">
        <v>10089</v>
      </c>
      <c r="H4248" t="s">
        <v>10151</v>
      </c>
      <c r="I4248" t="s">
        <v>10168</v>
      </c>
      <c r="J4248" t="s">
        <v>10209</v>
      </c>
      <c r="K4248" t="s">
        <v>10217</v>
      </c>
      <c r="M4248" t="s">
        <v>10589</v>
      </c>
      <c r="N4248" t="s">
        <v>10650</v>
      </c>
      <c r="P4248" t="s">
        <v>10749</v>
      </c>
      <c r="Q4248" t="s">
        <v>10765</v>
      </c>
      <c r="R4248" t="s">
        <v>10820</v>
      </c>
      <c r="T4248">
        <v>100000</v>
      </c>
      <c r="U4248">
        <v>8333.33</v>
      </c>
      <c r="V4248">
        <v>35</v>
      </c>
      <c r="W4248">
        <v>1</v>
      </c>
      <c r="X4248">
        <v>0</v>
      </c>
      <c r="Z4248">
        <v>800.64</v>
      </c>
      <c r="AA4248">
        <v>40.799429</v>
      </c>
      <c r="AB4248">
        <v>-73.94181399999999</v>
      </c>
      <c r="AD4248" t="s">
        <v>10839</v>
      </c>
      <c r="AG4248" t="s">
        <v>10858</v>
      </c>
      <c r="AH4248" t="s">
        <v>10862</v>
      </c>
      <c r="AI4248">
        <v>236</v>
      </c>
      <c r="AJ4248" t="s">
        <v>10209</v>
      </c>
      <c r="AL4248">
        <v>0</v>
      </c>
      <c r="AM4248" t="s">
        <v>10887</v>
      </c>
      <c r="AN4248" t="s">
        <v>10926</v>
      </c>
      <c r="AO4248" t="s">
        <v>11016</v>
      </c>
      <c r="AP4248" t="s">
        <v>11066</v>
      </c>
      <c r="AR4248" t="s">
        <v>11257</v>
      </c>
      <c r="AS4248" t="s">
        <v>9925</v>
      </c>
      <c r="AT4248" t="s">
        <v>11641</v>
      </c>
      <c r="AX4248" t="s">
        <v>10838</v>
      </c>
      <c r="BA4248" t="s">
        <v>11740</v>
      </c>
      <c r="BB4248">
        <v>0</v>
      </c>
      <c r="BC4248">
        <v>0</v>
      </c>
      <c r="BD4248">
        <v>0</v>
      </c>
      <c r="BE4248">
        <v>0</v>
      </c>
      <c r="BF4248">
        <v>2</v>
      </c>
      <c r="BG4248">
        <v>0</v>
      </c>
    </row>
    <row r="4249" spans="1:59">
      <c r="A4249" s="1">
        <f>HYPERLINK("https://lsnyc.legalserver.org/matter/dynamic-profile/view/1908413","19-1908413")</f>
        <v>0</v>
      </c>
      <c r="B4249" t="s">
        <v>306</v>
      </c>
      <c r="C4249" t="s">
        <v>8266</v>
      </c>
      <c r="D4249" t="s">
        <v>9926</v>
      </c>
      <c r="E4249" t="s">
        <v>10075</v>
      </c>
      <c r="F4249">
        <v>10453</v>
      </c>
      <c r="G4249" t="s">
        <v>10090</v>
      </c>
      <c r="H4249" t="s">
        <v>10151</v>
      </c>
      <c r="I4249" t="s">
        <v>10169</v>
      </c>
      <c r="J4249" t="s">
        <v>10210</v>
      </c>
      <c r="K4249" t="s">
        <v>10217</v>
      </c>
      <c r="M4249" t="s">
        <v>10353</v>
      </c>
      <c r="N4249" t="s">
        <v>10671</v>
      </c>
      <c r="P4249" t="s">
        <v>10751</v>
      </c>
      <c r="Q4249" t="s">
        <v>10786</v>
      </c>
      <c r="R4249" t="s">
        <v>10823</v>
      </c>
      <c r="T4249">
        <v>18076</v>
      </c>
      <c r="U4249">
        <v>1506.33</v>
      </c>
      <c r="V4249">
        <v>56</v>
      </c>
      <c r="W4249">
        <v>2</v>
      </c>
      <c r="X4249">
        <v>0</v>
      </c>
      <c r="Z4249">
        <v>106.9</v>
      </c>
      <c r="AA4249">
        <v>40.848156</v>
      </c>
      <c r="AB4249">
        <v>-73.92133200000001</v>
      </c>
      <c r="AD4249" t="s">
        <v>10839</v>
      </c>
      <c r="AF4249" t="s">
        <v>10843</v>
      </c>
      <c r="AG4249" t="s">
        <v>10859</v>
      </c>
      <c r="AH4249" t="s">
        <v>10874</v>
      </c>
      <c r="AI4249">
        <v>230</v>
      </c>
      <c r="AJ4249" t="s">
        <v>10210</v>
      </c>
      <c r="AL4249">
        <v>1.75</v>
      </c>
      <c r="AM4249" t="s">
        <v>10884</v>
      </c>
      <c r="AN4249" t="s">
        <v>10929</v>
      </c>
      <c r="AO4249" t="s">
        <v>11013</v>
      </c>
      <c r="AP4249" t="s">
        <v>11045</v>
      </c>
      <c r="AR4249" t="s">
        <v>11335</v>
      </c>
      <c r="AS4249" t="s">
        <v>9926</v>
      </c>
      <c r="AT4249" t="s">
        <v>11642</v>
      </c>
      <c r="AX4249" t="s">
        <v>10838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</row>
    <row r="4250" spans="1:59">
      <c r="A4250" s="1">
        <f>HYPERLINK("https://lsnyc.legalserver.org/matter/dynamic-profile/view/1908414","19-1908414")</f>
        <v>0</v>
      </c>
      <c r="B4250" t="s">
        <v>3478</v>
      </c>
      <c r="C4250" t="s">
        <v>8267</v>
      </c>
      <c r="D4250" t="s">
        <v>9928</v>
      </c>
      <c r="E4250" t="s">
        <v>10075</v>
      </c>
      <c r="F4250">
        <v>11220</v>
      </c>
      <c r="G4250" t="s">
        <v>10093</v>
      </c>
      <c r="H4250" t="s">
        <v>10151</v>
      </c>
      <c r="I4250" t="s">
        <v>10168</v>
      </c>
      <c r="J4250" t="s">
        <v>10213</v>
      </c>
      <c r="K4250" t="s">
        <v>10218</v>
      </c>
      <c r="L4250" t="s">
        <v>10101</v>
      </c>
      <c r="M4250" t="s">
        <v>10414</v>
      </c>
      <c r="N4250" t="s">
        <v>10646</v>
      </c>
      <c r="P4250" t="s">
        <v>10749</v>
      </c>
      <c r="Q4250" t="s">
        <v>10765</v>
      </c>
      <c r="R4250" t="s">
        <v>10821</v>
      </c>
      <c r="T4250">
        <v>35664</v>
      </c>
      <c r="U4250">
        <v>2972</v>
      </c>
      <c r="V4250">
        <v>70</v>
      </c>
      <c r="W4250">
        <v>1</v>
      </c>
      <c r="X4250">
        <v>0</v>
      </c>
      <c r="Y4250" t="s">
        <v>10829</v>
      </c>
      <c r="Z4250">
        <v>285.54</v>
      </c>
      <c r="AA4250">
        <v>40.644115</v>
      </c>
      <c r="AB4250">
        <v>-74.01904</v>
      </c>
      <c r="AC4250" t="s">
        <v>10837</v>
      </c>
      <c r="AD4250" t="s">
        <v>10840</v>
      </c>
      <c r="AG4250" t="s">
        <v>10858</v>
      </c>
      <c r="AH4250" t="s">
        <v>10861</v>
      </c>
      <c r="AI4250">
        <v>234</v>
      </c>
      <c r="AJ4250" t="s">
        <v>10214</v>
      </c>
      <c r="AK4250" t="s">
        <v>10882</v>
      </c>
      <c r="AL4250">
        <v>2.4</v>
      </c>
      <c r="AM4250" t="s">
        <v>10886</v>
      </c>
      <c r="AN4250" t="s">
        <v>10921</v>
      </c>
      <c r="AO4250" t="s">
        <v>11005</v>
      </c>
      <c r="AP4250" t="s">
        <v>11069</v>
      </c>
      <c r="AR4250" t="s">
        <v>11265</v>
      </c>
      <c r="AS4250" t="s">
        <v>11595</v>
      </c>
      <c r="AT4250" t="s">
        <v>11642</v>
      </c>
      <c r="AX4250" t="s">
        <v>10838</v>
      </c>
      <c r="AY4250" t="s">
        <v>10829</v>
      </c>
      <c r="AZ4250" t="s">
        <v>11681</v>
      </c>
      <c r="BA4250" t="s">
        <v>11741</v>
      </c>
      <c r="BB4250">
        <v>0</v>
      </c>
      <c r="BC4250">
        <v>0</v>
      </c>
      <c r="BD4250">
        <v>0</v>
      </c>
      <c r="BE4250">
        <v>0</v>
      </c>
      <c r="BF4250">
        <v>1</v>
      </c>
      <c r="BG4250">
        <v>0</v>
      </c>
    </row>
    <row r="4251" spans="1:59">
      <c r="A4251" s="1">
        <f>HYPERLINK("https://lsnyc.legalserver.org/matter/dynamic-profile/view/1908415","19-1908415")</f>
        <v>0</v>
      </c>
      <c r="B4251" t="s">
        <v>71</v>
      </c>
      <c r="C4251" t="s">
        <v>7932</v>
      </c>
      <c r="D4251" t="s">
        <v>9931</v>
      </c>
      <c r="E4251" t="s">
        <v>10075</v>
      </c>
      <c r="F4251">
        <v>11358</v>
      </c>
      <c r="G4251" t="s">
        <v>10092</v>
      </c>
      <c r="H4251" t="s">
        <v>10151</v>
      </c>
      <c r="I4251" t="s">
        <v>10189</v>
      </c>
      <c r="J4251" t="s">
        <v>10212</v>
      </c>
      <c r="K4251" t="s">
        <v>10217</v>
      </c>
      <c r="M4251" t="s">
        <v>10282</v>
      </c>
      <c r="N4251" t="s">
        <v>10674</v>
      </c>
      <c r="P4251" t="s">
        <v>10753</v>
      </c>
      <c r="Q4251" t="s">
        <v>10763</v>
      </c>
      <c r="R4251" t="s">
        <v>10827</v>
      </c>
      <c r="T4251">
        <v>18720</v>
      </c>
      <c r="U4251">
        <v>1560</v>
      </c>
      <c r="V4251">
        <v>50</v>
      </c>
      <c r="W4251">
        <v>1</v>
      </c>
      <c r="X4251">
        <v>1</v>
      </c>
      <c r="Z4251">
        <v>110.7</v>
      </c>
      <c r="AA4251">
        <v>40.76057</v>
      </c>
      <c r="AB4251">
        <v>-73.80701500000001</v>
      </c>
      <c r="AD4251" t="s">
        <v>10839</v>
      </c>
      <c r="AF4251" t="s">
        <v>10843</v>
      </c>
      <c r="AG4251" t="s">
        <v>10859</v>
      </c>
      <c r="AH4251" t="s">
        <v>10864</v>
      </c>
      <c r="AI4251">
        <v>237</v>
      </c>
      <c r="AJ4251" t="s">
        <v>10212</v>
      </c>
      <c r="AL4251">
        <v>1.3</v>
      </c>
      <c r="AM4251" t="s">
        <v>10890</v>
      </c>
      <c r="AN4251" t="s">
        <v>10927</v>
      </c>
      <c r="AO4251" t="s">
        <v>11009</v>
      </c>
      <c r="AP4251" t="s">
        <v>11067</v>
      </c>
      <c r="AQ4251" t="s">
        <v>11097</v>
      </c>
      <c r="AR4251" t="s">
        <v>11257</v>
      </c>
      <c r="AS4251" t="s">
        <v>11594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</row>
    <row r="4252" spans="1:59">
      <c r="A4252" s="1">
        <f>HYPERLINK("https://lsnyc.legalserver.org/matter/dynamic-profile/view/1908416","19-1908416")</f>
        <v>0</v>
      </c>
      <c r="B4252" t="s">
        <v>3258</v>
      </c>
      <c r="C4252" t="s">
        <v>8048</v>
      </c>
      <c r="D4252" t="s">
        <v>9928</v>
      </c>
      <c r="E4252" t="s">
        <v>10075</v>
      </c>
      <c r="F4252">
        <v>11234</v>
      </c>
      <c r="G4252" t="s">
        <v>10093</v>
      </c>
      <c r="H4252" t="s">
        <v>10151</v>
      </c>
      <c r="I4252" t="s">
        <v>10168</v>
      </c>
      <c r="J4252" t="s">
        <v>10213</v>
      </c>
      <c r="K4252" t="s">
        <v>10217</v>
      </c>
      <c r="M4252" t="s">
        <v>10435</v>
      </c>
      <c r="N4252" t="s">
        <v>10665</v>
      </c>
      <c r="P4252" t="s">
        <v>10750</v>
      </c>
      <c r="Q4252" t="s">
        <v>10760</v>
      </c>
      <c r="R4252" t="s">
        <v>10820</v>
      </c>
      <c r="T4252">
        <v>0</v>
      </c>
      <c r="U4252">
        <v>0</v>
      </c>
      <c r="V4252">
        <v>57</v>
      </c>
      <c r="W4252">
        <v>1</v>
      </c>
      <c r="X4252">
        <v>0</v>
      </c>
      <c r="Z4252">
        <v>0</v>
      </c>
      <c r="AA4252">
        <v>40.60987</v>
      </c>
      <c r="AB4252">
        <v>-73.91285499999999</v>
      </c>
      <c r="AD4252" t="s">
        <v>10839</v>
      </c>
      <c r="AG4252" t="s">
        <v>10858</v>
      </c>
      <c r="AH4252" t="s">
        <v>10876</v>
      </c>
      <c r="AI4252">
        <v>239</v>
      </c>
      <c r="AJ4252" t="s">
        <v>10213</v>
      </c>
      <c r="AL4252">
        <v>0</v>
      </c>
      <c r="AM4252" t="s">
        <v>10889</v>
      </c>
      <c r="AN4252" t="s">
        <v>10959</v>
      </c>
      <c r="AO4252" t="s">
        <v>11012</v>
      </c>
      <c r="AP4252" t="s">
        <v>11072</v>
      </c>
      <c r="AR4252" t="s">
        <v>11267</v>
      </c>
      <c r="AS4252" t="s">
        <v>11595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</row>
    <row r="4253" spans="1:59">
      <c r="A4253" s="1">
        <f>HYPERLINK("https://lsnyc.legalserver.org/matter/dynamic-profile/view/1908417","19-1908417")</f>
        <v>0</v>
      </c>
      <c r="B4253" t="s">
        <v>648</v>
      </c>
      <c r="C4253" t="s">
        <v>5557</v>
      </c>
      <c r="D4253" t="s">
        <v>9926</v>
      </c>
      <c r="E4253" t="s">
        <v>10075</v>
      </c>
      <c r="F4253">
        <v>10462</v>
      </c>
      <c r="G4253" t="s">
        <v>10090</v>
      </c>
      <c r="H4253" t="s">
        <v>10151</v>
      </c>
      <c r="I4253" t="s">
        <v>10168</v>
      </c>
      <c r="J4253" t="s">
        <v>10210</v>
      </c>
      <c r="K4253" t="s">
        <v>10217</v>
      </c>
      <c r="M4253" t="s">
        <v>10469</v>
      </c>
      <c r="N4253" t="s">
        <v>10650</v>
      </c>
      <c r="P4253" t="s">
        <v>10749</v>
      </c>
      <c r="Q4253" t="s">
        <v>10774</v>
      </c>
      <c r="R4253" t="s">
        <v>10824</v>
      </c>
      <c r="T4253">
        <v>0</v>
      </c>
      <c r="U4253">
        <v>0</v>
      </c>
      <c r="V4253">
        <v>43</v>
      </c>
      <c r="W4253">
        <v>2</v>
      </c>
      <c r="X4253">
        <v>0</v>
      </c>
      <c r="Z4253">
        <v>0</v>
      </c>
      <c r="AA4253">
        <v>40.835869</v>
      </c>
      <c r="AB4253">
        <v>-73.854495</v>
      </c>
      <c r="AD4253" t="s">
        <v>10839</v>
      </c>
      <c r="AG4253" t="s">
        <v>10858</v>
      </c>
      <c r="AH4253" t="s">
        <v>10862</v>
      </c>
      <c r="AI4253">
        <v>230</v>
      </c>
      <c r="AJ4253" t="s">
        <v>10210</v>
      </c>
      <c r="AL4253">
        <v>0.5</v>
      </c>
      <c r="AM4253" t="s">
        <v>10885</v>
      </c>
      <c r="AN4253" t="s">
        <v>10908</v>
      </c>
      <c r="AO4253" t="s">
        <v>11002</v>
      </c>
      <c r="AP4253" t="s">
        <v>11046</v>
      </c>
      <c r="AR4253" t="s">
        <v>11279</v>
      </c>
      <c r="AS4253" t="s">
        <v>9926</v>
      </c>
      <c r="AT4253" t="s">
        <v>11641</v>
      </c>
      <c r="AX4253" t="s">
        <v>10838</v>
      </c>
      <c r="BA4253" t="s">
        <v>11737</v>
      </c>
      <c r="BB4253">
        <v>0</v>
      </c>
      <c r="BC4253">
        <v>0</v>
      </c>
      <c r="BD4253">
        <v>0</v>
      </c>
      <c r="BE4253">
        <v>0</v>
      </c>
      <c r="BF4253">
        <v>3</v>
      </c>
      <c r="BG4253">
        <v>0</v>
      </c>
    </row>
    <row r="4254" spans="1:59">
      <c r="A4254" s="1">
        <f>HYPERLINK("https://lsnyc.legalserver.org/matter/dynamic-profile/view/1908418","19-1908418")</f>
        <v>0</v>
      </c>
      <c r="B4254" t="s">
        <v>842</v>
      </c>
      <c r="C4254" t="s">
        <v>5744</v>
      </c>
      <c r="D4254" t="s">
        <v>9928</v>
      </c>
      <c r="E4254" t="s">
        <v>10075</v>
      </c>
      <c r="F4254">
        <v>11208</v>
      </c>
      <c r="G4254" t="s">
        <v>10093</v>
      </c>
      <c r="H4254" t="s">
        <v>10151</v>
      </c>
      <c r="I4254" t="s">
        <v>10168</v>
      </c>
      <c r="J4254" t="s">
        <v>10213</v>
      </c>
      <c r="K4254" t="s">
        <v>10217</v>
      </c>
      <c r="M4254" t="s">
        <v>10348</v>
      </c>
      <c r="N4254" t="s">
        <v>10650</v>
      </c>
      <c r="P4254" t="s">
        <v>10751</v>
      </c>
      <c r="Q4254" t="s">
        <v>10761</v>
      </c>
      <c r="R4254" t="s">
        <v>10822</v>
      </c>
      <c r="T4254">
        <v>28656</v>
      </c>
      <c r="U4254">
        <v>2388</v>
      </c>
      <c r="V4254">
        <v>41</v>
      </c>
      <c r="W4254">
        <v>1</v>
      </c>
      <c r="X4254">
        <v>7</v>
      </c>
      <c r="Z4254">
        <v>65.98</v>
      </c>
      <c r="AA4254">
        <v>40.672718</v>
      </c>
      <c r="AB4254">
        <v>-73.866073</v>
      </c>
      <c r="AD4254" t="s">
        <v>10839</v>
      </c>
      <c r="AF4254" t="s">
        <v>10843</v>
      </c>
      <c r="AG4254" t="s">
        <v>10859</v>
      </c>
      <c r="AH4254" t="s">
        <v>10862</v>
      </c>
      <c r="AI4254">
        <v>239</v>
      </c>
      <c r="AJ4254" t="s">
        <v>10213</v>
      </c>
      <c r="AL4254">
        <v>6.25</v>
      </c>
      <c r="AM4254" t="s">
        <v>10889</v>
      </c>
      <c r="AN4254" t="s">
        <v>10946</v>
      </c>
      <c r="AO4254" t="s">
        <v>11012</v>
      </c>
      <c r="AP4254" t="s">
        <v>11060</v>
      </c>
      <c r="AR4254" t="s">
        <v>11384</v>
      </c>
      <c r="AS4254" t="s">
        <v>11595</v>
      </c>
      <c r="AT4254" t="s">
        <v>11641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</row>
    <row r="4255" spans="1:59">
      <c r="A4255" s="1">
        <f>HYPERLINK("https://lsnyc.legalserver.org/matter/dynamic-profile/view/1908419","19-1908419")</f>
        <v>0</v>
      </c>
      <c r="B4255" t="s">
        <v>770</v>
      </c>
      <c r="C4255" t="s">
        <v>8268</v>
      </c>
      <c r="D4255" t="s">
        <v>9928</v>
      </c>
      <c r="E4255" t="s">
        <v>10075</v>
      </c>
      <c r="F4255">
        <v>11219</v>
      </c>
      <c r="G4255" t="s">
        <v>10093</v>
      </c>
      <c r="H4255" t="s">
        <v>10151</v>
      </c>
      <c r="I4255" t="s">
        <v>10169</v>
      </c>
      <c r="J4255" t="s">
        <v>10213</v>
      </c>
      <c r="K4255" t="s">
        <v>10217</v>
      </c>
      <c r="M4255" t="s">
        <v>10405</v>
      </c>
      <c r="N4255" t="s">
        <v>10650</v>
      </c>
      <c r="P4255" t="s">
        <v>10749</v>
      </c>
      <c r="Q4255" t="s">
        <v>10765</v>
      </c>
      <c r="R4255" t="s">
        <v>10823</v>
      </c>
      <c r="T4255">
        <v>34200</v>
      </c>
      <c r="U4255">
        <v>2850</v>
      </c>
      <c r="V4255">
        <v>52</v>
      </c>
      <c r="W4255">
        <v>4</v>
      </c>
      <c r="X4255">
        <v>0</v>
      </c>
      <c r="Z4255">
        <v>132.82</v>
      </c>
      <c r="AA4255">
        <v>40.643428</v>
      </c>
      <c r="AB4255">
        <v>-73.99507800000001</v>
      </c>
      <c r="AD4255" t="s">
        <v>10839</v>
      </c>
      <c r="AF4255" t="s">
        <v>10843</v>
      </c>
      <c r="AG4255" t="s">
        <v>10859</v>
      </c>
      <c r="AH4255" t="s">
        <v>10862</v>
      </c>
      <c r="AI4255">
        <v>239</v>
      </c>
      <c r="AJ4255" t="s">
        <v>10213</v>
      </c>
      <c r="AL4255">
        <v>13.4</v>
      </c>
      <c r="AM4255" t="s">
        <v>10886</v>
      </c>
      <c r="AN4255" t="s">
        <v>10921</v>
      </c>
      <c r="AO4255" t="s">
        <v>11015</v>
      </c>
      <c r="AP4255" t="s">
        <v>11069</v>
      </c>
      <c r="AQ4255" t="s">
        <v>11101</v>
      </c>
      <c r="AR4255" t="s">
        <v>11257</v>
      </c>
      <c r="AS4255" t="s">
        <v>11595</v>
      </c>
      <c r="AT4255" t="s">
        <v>11641</v>
      </c>
      <c r="BA4255" t="s">
        <v>11738</v>
      </c>
      <c r="BB4255">
        <v>0</v>
      </c>
      <c r="BC4255">
        <v>0</v>
      </c>
      <c r="BD4255">
        <v>0</v>
      </c>
      <c r="BE4255">
        <v>0</v>
      </c>
      <c r="BF4255">
        <v>5</v>
      </c>
      <c r="BG4255">
        <v>0</v>
      </c>
    </row>
    <row r="4256" spans="1:59">
      <c r="A4256" s="1">
        <f>HYPERLINK("https://lsnyc.legalserver.org/matter/dynamic-profile/view/1908420","19-1908420")</f>
        <v>0</v>
      </c>
      <c r="B4256" t="s">
        <v>3479</v>
      </c>
      <c r="C4256" t="s">
        <v>8269</v>
      </c>
      <c r="D4256" t="s">
        <v>9928</v>
      </c>
      <c r="E4256" t="s">
        <v>10075</v>
      </c>
      <c r="F4256">
        <v>11237</v>
      </c>
      <c r="G4256" t="s">
        <v>10093</v>
      </c>
      <c r="H4256" t="s">
        <v>10151</v>
      </c>
      <c r="I4256" t="s">
        <v>10168</v>
      </c>
      <c r="J4256" t="s">
        <v>10213</v>
      </c>
      <c r="K4256" t="s">
        <v>10217</v>
      </c>
      <c r="M4256" t="s">
        <v>10348</v>
      </c>
      <c r="N4256" t="s">
        <v>10650</v>
      </c>
      <c r="P4256" t="s">
        <v>10751</v>
      </c>
      <c r="Q4256" t="s">
        <v>10761</v>
      </c>
      <c r="R4256" t="s">
        <v>10821</v>
      </c>
      <c r="T4256">
        <v>0</v>
      </c>
      <c r="U4256">
        <v>0</v>
      </c>
      <c r="V4256">
        <v>43</v>
      </c>
      <c r="W4256">
        <v>1</v>
      </c>
      <c r="X4256">
        <v>0</v>
      </c>
      <c r="Z4256">
        <v>0</v>
      </c>
      <c r="AA4256">
        <v>40.691509</v>
      </c>
      <c r="AB4256">
        <v>-73.90332100000001</v>
      </c>
      <c r="AD4256" t="s">
        <v>10840</v>
      </c>
      <c r="AG4256" t="s">
        <v>10858</v>
      </c>
      <c r="AH4256" t="s">
        <v>10862</v>
      </c>
      <c r="AI4256">
        <v>239</v>
      </c>
      <c r="AJ4256" t="s">
        <v>10213</v>
      </c>
      <c r="AL4256">
        <v>4</v>
      </c>
      <c r="AM4256" t="s">
        <v>10886</v>
      </c>
      <c r="AN4256" t="s">
        <v>10920</v>
      </c>
      <c r="AO4256" t="s">
        <v>11011</v>
      </c>
      <c r="AP4256" t="s">
        <v>11058</v>
      </c>
      <c r="AR4256" t="s">
        <v>11279</v>
      </c>
      <c r="AS4256" t="s">
        <v>11595</v>
      </c>
      <c r="AT4256" t="s">
        <v>11642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</row>
    <row r="4257" spans="1:59">
      <c r="A4257" s="1">
        <f>HYPERLINK("https://lsnyc.legalserver.org/matter/dynamic-profile/view/1908421","19-1908421")</f>
        <v>0</v>
      </c>
      <c r="B4257" t="s">
        <v>3480</v>
      </c>
      <c r="C4257" t="s">
        <v>8270</v>
      </c>
      <c r="D4257" t="s">
        <v>9946</v>
      </c>
      <c r="E4257" t="s">
        <v>10075</v>
      </c>
      <c r="F4257">
        <v>11385</v>
      </c>
      <c r="G4257" t="s">
        <v>10092</v>
      </c>
      <c r="H4257" t="s">
        <v>10151</v>
      </c>
      <c r="I4257" t="s">
        <v>10183</v>
      </c>
      <c r="J4257" t="s">
        <v>10212</v>
      </c>
      <c r="K4257" t="s">
        <v>10217</v>
      </c>
      <c r="M4257" t="s">
        <v>10410</v>
      </c>
      <c r="N4257" t="s">
        <v>10693</v>
      </c>
      <c r="P4257" t="s">
        <v>10749</v>
      </c>
      <c r="Q4257" t="s">
        <v>10765</v>
      </c>
      <c r="R4257" t="s">
        <v>10820</v>
      </c>
      <c r="T4257">
        <v>24000</v>
      </c>
      <c r="U4257">
        <v>2000</v>
      </c>
      <c r="V4257">
        <v>68</v>
      </c>
      <c r="W4257">
        <v>1</v>
      </c>
      <c r="X4257">
        <v>0</v>
      </c>
      <c r="Z4257">
        <v>192.15</v>
      </c>
      <c r="AA4257">
        <v>40.705001</v>
      </c>
      <c r="AB4257">
        <v>-73.893503</v>
      </c>
      <c r="AD4257" t="s">
        <v>10839</v>
      </c>
      <c r="AG4257" t="s">
        <v>10858</v>
      </c>
      <c r="AH4257" t="s">
        <v>10862</v>
      </c>
      <c r="AI4257">
        <v>237</v>
      </c>
      <c r="AJ4257" t="s">
        <v>10212</v>
      </c>
      <c r="AL4257">
        <v>4.93</v>
      </c>
      <c r="AM4257" t="s">
        <v>10890</v>
      </c>
      <c r="AN4257" t="s">
        <v>10952</v>
      </c>
      <c r="AO4257" t="s">
        <v>11024</v>
      </c>
      <c r="AP4257" t="s">
        <v>11077</v>
      </c>
      <c r="AR4257" t="s">
        <v>11257</v>
      </c>
      <c r="AS4257" t="s">
        <v>11594</v>
      </c>
      <c r="BA4257" t="s">
        <v>11738</v>
      </c>
      <c r="BB4257">
        <v>0</v>
      </c>
      <c r="BC4257">
        <v>0</v>
      </c>
      <c r="BD4257">
        <v>0</v>
      </c>
      <c r="BE4257">
        <v>0</v>
      </c>
      <c r="BF4257">
        <v>5</v>
      </c>
      <c r="BG4257">
        <v>0</v>
      </c>
    </row>
    <row r="4258" spans="1:59">
      <c r="A4258" s="1">
        <f>HYPERLINK("https://lsnyc.legalserver.org/matter/dynamic-profile/view/1908422","19-1908422")</f>
        <v>0</v>
      </c>
      <c r="B4258" t="s">
        <v>3251</v>
      </c>
      <c r="C4258" t="s">
        <v>8271</v>
      </c>
      <c r="D4258" t="s">
        <v>9925</v>
      </c>
      <c r="E4258" t="s">
        <v>10075</v>
      </c>
      <c r="F4258">
        <v>10029</v>
      </c>
      <c r="G4258" t="s">
        <v>10089</v>
      </c>
      <c r="H4258" t="s">
        <v>10151</v>
      </c>
      <c r="I4258" t="s">
        <v>10168</v>
      </c>
      <c r="J4258" t="s">
        <v>10209</v>
      </c>
      <c r="K4258" t="s">
        <v>10217</v>
      </c>
      <c r="M4258" t="s">
        <v>10301</v>
      </c>
      <c r="N4258" t="s">
        <v>10665</v>
      </c>
      <c r="P4258" t="s">
        <v>10751</v>
      </c>
      <c r="Q4258" t="s">
        <v>10773</v>
      </c>
      <c r="R4258" t="s">
        <v>10824</v>
      </c>
      <c r="T4258">
        <v>0</v>
      </c>
      <c r="U4258">
        <v>0</v>
      </c>
      <c r="V4258">
        <v>53</v>
      </c>
      <c r="W4258">
        <v>1</v>
      </c>
      <c r="X4258">
        <v>0</v>
      </c>
      <c r="Z4258">
        <v>0</v>
      </c>
      <c r="AA4258">
        <v>40.794693</v>
      </c>
      <c r="AB4258">
        <v>-73.95034099999999</v>
      </c>
      <c r="AD4258" t="s">
        <v>10839</v>
      </c>
      <c r="AG4258" t="s">
        <v>10858</v>
      </c>
      <c r="AH4258" t="s">
        <v>10861</v>
      </c>
      <c r="AI4258">
        <v>234</v>
      </c>
      <c r="AJ4258" t="s">
        <v>10214</v>
      </c>
      <c r="AL4258">
        <v>3</v>
      </c>
      <c r="AM4258" t="s">
        <v>10887</v>
      </c>
      <c r="AN4258" t="s">
        <v>10926</v>
      </c>
      <c r="AO4258" t="s">
        <v>11016</v>
      </c>
      <c r="AP4258" t="s">
        <v>11076</v>
      </c>
      <c r="AQ4258" t="s">
        <v>11115</v>
      </c>
      <c r="AR4258" t="s">
        <v>11267</v>
      </c>
      <c r="AS4258" t="s">
        <v>9925</v>
      </c>
      <c r="AT4258" t="s">
        <v>11641</v>
      </c>
      <c r="AX4258" t="s">
        <v>10838</v>
      </c>
      <c r="BA4258" t="s">
        <v>11741</v>
      </c>
      <c r="BB4258">
        <v>0</v>
      </c>
      <c r="BC4258">
        <v>0</v>
      </c>
      <c r="BD4258">
        <v>0</v>
      </c>
      <c r="BE4258">
        <v>0</v>
      </c>
      <c r="BF4258">
        <v>1</v>
      </c>
      <c r="BG4258">
        <v>0</v>
      </c>
    </row>
    <row r="4259" spans="1:59">
      <c r="A4259" s="1">
        <f>HYPERLINK("https://lsnyc.legalserver.org/matter/dynamic-profile/view/1908423","19-1908423")</f>
        <v>0</v>
      </c>
      <c r="B4259" t="s">
        <v>3115</v>
      </c>
      <c r="C4259" t="s">
        <v>8272</v>
      </c>
      <c r="D4259" t="s">
        <v>9928</v>
      </c>
      <c r="E4259" t="s">
        <v>10075</v>
      </c>
      <c r="F4259">
        <v>11207</v>
      </c>
      <c r="G4259" t="s">
        <v>10093</v>
      </c>
      <c r="H4259" t="s">
        <v>10151</v>
      </c>
      <c r="I4259" t="s">
        <v>10168</v>
      </c>
      <c r="J4259" t="s">
        <v>10213</v>
      </c>
      <c r="K4259" t="s">
        <v>10218</v>
      </c>
      <c r="L4259" t="s">
        <v>10159</v>
      </c>
      <c r="M4259" t="s">
        <v>10564</v>
      </c>
      <c r="N4259" t="s">
        <v>10650</v>
      </c>
      <c r="P4259" t="s">
        <v>10749</v>
      </c>
      <c r="Q4259" t="s">
        <v>10765</v>
      </c>
      <c r="R4259" t="s">
        <v>10824</v>
      </c>
      <c r="T4259">
        <v>36000</v>
      </c>
      <c r="U4259">
        <v>3000</v>
      </c>
      <c r="V4259">
        <v>33</v>
      </c>
      <c r="W4259">
        <v>1</v>
      </c>
      <c r="X4259">
        <v>0</v>
      </c>
      <c r="Y4259" t="s">
        <v>10829</v>
      </c>
      <c r="Z4259">
        <v>288.23</v>
      </c>
      <c r="AA4259">
        <v>40.684176</v>
      </c>
      <c r="AB4259">
        <v>-73.908269</v>
      </c>
      <c r="AC4259" t="s">
        <v>10837</v>
      </c>
      <c r="AD4259" t="s">
        <v>10840</v>
      </c>
      <c r="AG4259" t="s">
        <v>10858</v>
      </c>
      <c r="AH4259" t="s">
        <v>10861</v>
      </c>
      <c r="AI4259">
        <v>234</v>
      </c>
      <c r="AJ4259" t="s">
        <v>10214</v>
      </c>
      <c r="AK4259" t="s">
        <v>10838</v>
      </c>
      <c r="AL4259">
        <v>1</v>
      </c>
      <c r="AM4259" t="s">
        <v>10889</v>
      </c>
      <c r="AN4259" t="s">
        <v>10920</v>
      </c>
      <c r="AO4259" t="s">
        <v>11011</v>
      </c>
      <c r="AP4259" t="s">
        <v>11058</v>
      </c>
      <c r="AR4259" t="s">
        <v>11303</v>
      </c>
      <c r="AS4259" t="s">
        <v>11595</v>
      </c>
      <c r="AT4259" t="s">
        <v>11642</v>
      </c>
      <c r="AX4259" t="s">
        <v>10838</v>
      </c>
      <c r="AY4259" t="s">
        <v>10829</v>
      </c>
      <c r="AZ4259" t="s">
        <v>11681</v>
      </c>
      <c r="BA4259" t="s">
        <v>11742</v>
      </c>
      <c r="BB4259">
        <v>0</v>
      </c>
      <c r="BC4259">
        <v>0</v>
      </c>
      <c r="BD4259">
        <v>0</v>
      </c>
      <c r="BE4259">
        <v>0</v>
      </c>
      <c r="BF4259">
        <v>7</v>
      </c>
      <c r="BG4259">
        <v>0</v>
      </c>
    </row>
    <row r="4260" spans="1:59">
      <c r="A4260" s="1">
        <f>HYPERLINK("https://lsnyc.legalserver.org/matter/dynamic-profile/view/1908424","19-1908424")</f>
        <v>0</v>
      </c>
      <c r="B4260" t="s">
        <v>3481</v>
      </c>
      <c r="C4260" t="s">
        <v>8273</v>
      </c>
      <c r="D4260" t="s">
        <v>9926</v>
      </c>
      <c r="E4260" t="s">
        <v>10075</v>
      </c>
      <c r="F4260">
        <v>10454</v>
      </c>
      <c r="G4260" t="s">
        <v>10090</v>
      </c>
      <c r="H4260" t="s">
        <v>10151</v>
      </c>
      <c r="I4260" t="s">
        <v>10168</v>
      </c>
      <c r="J4260" t="s">
        <v>10210</v>
      </c>
      <c r="K4260" t="s">
        <v>10217</v>
      </c>
      <c r="M4260" t="s">
        <v>10262</v>
      </c>
      <c r="N4260" t="s">
        <v>10666</v>
      </c>
      <c r="P4260" t="s">
        <v>10749</v>
      </c>
      <c r="Q4260" t="s">
        <v>10765</v>
      </c>
      <c r="R4260" t="s">
        <v>10821</v>
      </c>
      <c r="T4260">
        <v>0</v>
      </c>
      <c r="U4260">
        <v>0</v>
      </c>
      <c r="V4260">
        <v>27</v>
      </c>
      <c r="W4260">
        <v>1</v>
      </c>
      <c r="X4260">
        <v>4</v>
      </c>
      <c r="Z4260">
        <v>0</v>
      </c>
      <c r="AA4260">
        <v>40.807667</v>
      </c>
      <c r="AB4260">
        <v>-73.92324000000001</v>
      </c>
      <c r="AD4260" t="s">
        <v>10839</v>
      </c>
      <c r="AG4260" t="s">
        <v>10858</v>
      </c>
      <c r="AH4260" t="s">
        <v>10862</v>
      </c>
      <c r="AI4260">
        <v>230</v>
      </c>
      <c r="AJ4260" t="s">
        <v>10210</v>
      </c>
      <c r="AL4260">
        <v>1.6</v>
      </c>
      <c r="AM4260" t="s">
        <v>10884</v>
      </c>
      <c r="AN4260" t="s">
        <v>10924</v>
      </c>
      <c r="AO4260" t="s">
        <v>11013</v>
      </c>
      <c r="AP4260" t="s">
        <v>11066</v>
      </c>
      <c r="AR4260" t="s">
        <v>11267</v>
      </c>
      <c r="AS4260" t="s">
        <v>9926</v>
      </c>
      <c r="AT4260" t="s">
        <v>11641</v>
      </c>
      <c r="AX4260" t="s">
        <v>10838</v>
      </c>
      <c r="BA4260" t="s">
        <v>11741</v>
      </c>
      <c r="BB4260">
        <v>0</v>
      </c>
      <c r="BC4260">
        <v>0</v>
      </c>
      <c r="BD4260">
        <v>0</v>
      </c>
      <c r="BE4260">
        <v>0</v>
      </c>
      <c r="BF4260">
        <v>1</v>
      </c>
      <c r="BG4260">
        <v>0</v>
      </c>
    </row>
    <row r="4261" spans="1:59">
      <c r="A4261" s="1">
        <f>HYPERLINK("https://lsnyc.legalserver.org/matter/dynamic-profile/view/1908425","19-1908425")</f>
        <v>0</v>
      </c>
      <c r="B4261" t="s">
        <v>3482</v>
      </c>
      <c r="C4261" t="s">
        <v>8274</v>
      </c>
      <c r="D4261" t="s">
        <v>9928</v>
      </c>
      <c r="E4261" t="s">
        <v>10075</v>
      </c>
      <c r="F4261">
        <v>11201</v>
      </c>
      <c r="G4261" t="s">
        <v>10093</v>
      </c>
      <c r="H4261" t="s">
        <v>10151</v>
      </c>
      <c r="I4261" t="s">
        <v>10168</v>
      </c>
      <c r="J4261" t="s">
        <v>10213</v>
      </c>
      <c r="K4261" t="s">
        <v>10217</v>
      </c>
      <c r="M4261" t="s">
        <v>10358</v>
      </c>
      <c r="N4261" t="s">
        <v>10671</v>
      </c>
      <c r="P4261" t="s">
        <v>10752</v>
      </c>
      <c r="Q4261" t="s">
        <v>10783</v>
      </c>
      <c r="R4261" t="s">
        <v>10826</v>
      </c>
      <c r="T4261">
        <v>11580</v>
      </c>
      <c r="U4261">
        <v>965</v>
      </c>
      <c r="V4261">
        <v>60</v>
      </c>
      <c r="W4261">
        <v>1</v>
      </c>
      <c r="X4261">
        <v>0</v>
      </c>
      <c r="Z4261">
        <v>92.70999999999999</v>
      </c>
      <c r="AA4261">
        <v>40.695634</v>
      </c>
      <c r="AB4261">
        <v>-73.982219</v>
      </c>
      <c r="AD4261" t="s">
        <v>10839</v>
      </c>
      <c r="AG4261" t="s">
        <v>10858</v>
      </c>
      <c r="AH4261" t="s">
        <v>10861</v>
      </c>
      <c r="AI4261">
        <v>234</v>
      </c>
      <c r="AJ4261" t="s">
        <v>10214</v>
      </c>
      <c r="AL4261">
        <v>0.85</v>
      </c>
      <c r="AM4261" t="s">
        <v>10889</v>
      </c>
      <c r="AN4261" t="s">
        <v>10923</v>
      </c>
      <c r="AO4261" t="s">
        <v>11007</v>
      </c>
      <c r="AP4261" t="s">
        <v>11061</v>
      </c>
      <c r="AQ4261" t="s">
        <v>11184</v>
      </c>
      <c r="AR4261" t="s">
        <v>11274</v>
      </c>
      <c r="AS4261" t="s">
        <v>11595</v>
      </c>
      <c r="AT4261" t="s">
        <v>11641</v>
      </c>
      <c r="AX4261" t="s">
        <v>10838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</row>
    <row r="4262" spans="1:59">
      <c r="A4262" s="1">
        <f>HYPERLINK("https://lsnyc.legalserver.org/matter/dynamic-profile/view/1908426","19-1908426")</f>
        <v>0</v>
      </c>
      <c r="B4262" t="s">
        <v>3483</v>
      </c>
      <c r="C4262" t="s">
        <v>8275</v>
      </c>
      <c r="D4262" t="s">
        <v>9929</v>
      </c>
      <c r="E4262" t="s">
        <v>10075</v>
      </c>
      <c r="F4262">
        <v>10303</v>
      </c>
      <c r="G4262" t="s">
        <v>10091</v>
      </c>
      <c r="H4262" t="s">
        <v>10151</v>
      </c>
      <c r="I4262" t="s">
        <v>10168</v>
      </c>
      <c r="J4262" t="s">
        <v>10214</v>
      </c>
      <c r="K4262" t="s">
        <v>10217</v>
      </c>
      <c r="M4262" t="s">
        <v>10286</v>
      </c>
      <c r="N4262" t="s">
        <v>10671</v>
      </c>
      <c r="P4262" t="s">
        <v>10752</v>
      </c>
      <c r="Q4262" t="s">
        <v>10762</v>
      </c>
      <c r="R4262" t="s">
        <v>10821</v>
      </c>
      <c r="T4262">
        <v>20436</v>
      </c>
      <c r="U4262">
        <v>1703</v>
      </c>
      <c r="V4262">
        <v>64</v>
      </c>
      <c r="W4262">
        <v>1</v>
      </c>
      <c r="X4262">
        <v>0</v>
      </c>
      <c r="Z4262">
        <v>163.62</v>
      </c>
      <c r="AA4262">
        <v>40.647613</v>
      </c>
      <c r="AB4262">
        <v>-74.084839</v>
      </c>
      <c r="AD4262" t="s">
        <v>10840</v>
      </c>
      <c r="AG4262" t="s">
        <v>10858</v>
      </c>
      <c r="AH4262" t="s">
        <v>10871</v>
      </c>
      <c r="AI4262">
        <v>234</v>
      </c>
      <c r="AJ4262" t="s">
        <v>10214</v>
      </c>
      <c r="AL4262">
        <v>1.2</v>
      </c>
      <c r="AM4262" t="s">
        <v>10883</v>
      </c>
      <c r="AN4262" t="s">
        <v>10913</v>
      </c>
      <c r="AO4262" t="s">
        <v>11006</v>
      </c>
      <c r="AP4262" t="s">
        <v>11051</v>
      </c>
      <c r="AR4262" t="s">
        <v>11296</v>
      </c>
      <c r="AS4262" t="s">
        <v>11593</v>
      </c>
      <c r="AT4262" t="s">
        <v>11642</v>
      </c>
      <c r="AX4262" t="s">
        <v>10838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</row>
    <row r="4263" spans="1:59">
      <c r="A4263" s="1">
        <f>HYPERLINK("https://lsnyc.legalserver.org/matter/dynamic-profile/view/1908428","19-1908428")</f>
        <v>0</v>
      </c>
      <c r="B4263" t="s">
        <v>3484</v>
      </c>
      <c r="C4263" t="s">
        <v>8276</v>
      </c>
      <c r="D4263" t="s">
        <v>9928</v>
      </c>
      <c r="E4263" t="s">
        <v>10075</v>
      </c>
      <c r="F4263">
        <v>11216</v>
      </c>
      <c r="G4263" t="s">
        <v>10093</v>
      </c>
      <c r="H4263" t="s">
        <v>10151</v>
      </c>
      <c r="I4263" t="s">
        <v>10168</v>
      </c>
      <c r="J4263" t="s">
        <v>10213</v>
      </c>
      <c r="K4263" t="s">
        <v>10217</v>
      </c>
      <c r="M4263" t="s">
        <v>10437</v>
      </c>
      <c r="N4263" t="s">
        <v>10656</v>
      </c>
      <c r="P4263" t="s">
        <v>10751</v>
      </c>
      <c r="Q4263" t="s">
        <v>10780</v>
      </c>
      <c r="R4263" t="s">
        <v>10821</v>
      </c>
      <c r="T4263">
        <v>9876</v>
      </c>
      <c r="U4263">
        <v>823</v>
      </c>
      <c r="V4263">
        <v>18</v>
      </c>
      <c r="W4263">
        <v>2</v>
      </c>
      <c r="X4263">
        <v>0</v>
      </c>
      <c r="Z4263">
        <v>58.4</v>
      </c>
      <c r="AA4263">
        <v>40.689194</v>
      </c>
      <c r="AB4263">
        <v>-73.949506</v>
      </c>
      <c r="AD4263" t="s">
        <v>10840</v>
      </c>
      <c r="AG4263" t="s">
        <v>10858</v>
      </c>
      <c r="AH4263" t="s">
        <v>10861</v>
      </c>
      <c r="AI4263">
        <v>234</v>
      </c>
      <c r="AJ4263" t="s">
        <v>10214</v>
      </c>
      <c r="AL4263">
        <v>4</v>
      </c>
      <c r="AM4263" t="s">
        <v>10889</v>
      </c>
      <c r="AN4263" t="s">
        <v>10914</v>
      </c>
      <c r="AO4263" t="s">
        <v>11007</v>
      </c>
      <c r="AP4263" t="s">
        <v>11052</v>
      </c>
      <c r="AR4263" t="s">
        <v>11319</v>
      </c>
      <c r="AS4263" t="s">
        <v>11595</v>
      </c>
      <c r="AT4263" t="s">
        <v>11642</v>
      </c>
      <c r="AX4263" t="s">
        <v>10838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</row>
    <row r="4264" spans="1:59">
      <c r="A4264" s="1">
        <f>HYPERLINK("https://lsnyc.legalserver.org/matter/dynamic-profile/view/1908429","19-1908429")</f>
        <v>0</v>
      </c>
      <c r="B4264" t="s">
        <v>924</v>
      </c>
      <c r="C4264" t="s">
        <v>8277</v>
      </c>
      <c r="D4264" t="s">
        <v>9925</v>
      </c>
      <c r="E4264" t="s">
        <v>10075</v>
      </c>
      <c r="F4264">
        <v>10028</v>
      </c>
      <c r="G4264" t="s">
        <v>10089</v>
      </c>
      <c r="H4264" t="s">
        <v>10151</v>
      </c>
      <c r="I4264" t="s">
        <v>10168</v>
      </c>
      <c r="J4264" t="s">
        <v>10209</v>
      </c>
      <c r="K4264" t="s">
        <v>10217</v>
      </c>
      <c r="M4264" t="s">
        <v>10490</v>
      </c>
      <c r="N4264" t="s">
        <v>10718</v>
      </c>
      <c r="P4264" t="s">
        <v>10750</v>
      </c>
      <c r="Q4264" t="s">
        <v>10760</v>
      </c>
      <c r="R4264" t="s">
        <v>10820</v>
      </c>
      <c r="T4264">
        <v>26600</v>
      </c>
      <c r="U4264">
        <v>2216.67</v>
      </c>
      <c r="V4264">
        <v>81</v>
      </c>
      <c r="W4264">
        <v>1</v>
      </c>
      <c r="X4264">
        <v>0</v>
      </c>
      <c r="Z4264">
        <v>212.97</v>
      </c>
      <c r="AA4264">
        <v>40.77533</v>
      </c>
      <c r="AB4264">
        <v>-73.95093</v>
      </c>
      <c r="AC4264" t="s">
        <v>10837</v>
      </c>
      <c r="AD4264" t="s">
        <v>10840</v>
      </c>
      <c r="AG4264" t="s">
        <v>10858</v>
      </c>
      <c r="AH4264" t="s">
        <v>10861</v>
      </c>
      <c r="AI4264">
        <v>234</v>
      </c>
      <c r="AJ4264" t="s">
        <v>10214</v>
      </c>
      <c r="AL4264">
        <v>7.25</v>
      </c>
      <c r="AM4264" t="s">
        <v>10891</v>
      </c>
      <c r="AN4264" t="s">
        <v>10971</v>
      </c>
      <c r="AO4264" t="s">
        <v>11026</v>
      </c>
      <c r="AP4264" t="s">
        <v>11094</v>
      </c>
      <c r="AR4264" t="s">
        <v>11499</v>
      </c>
      <c r="AS4264" t="s">
        <v>9925</v>
      </c>
      <c r="AT4264" t="s">
        <v>11642</v>
      </c>
      <c r="AX4264" t="s">
        <v>10838</v>
      </c>
      <c r="BA4264" t="s">
        <v>11742</v>
      </c>
      <c r="BB4264">
        <v>0</v>
      </c>
      <c r="BC4264">
        <v>0</v>
      </c>
      <c r="BD4264">
        <v>0</v>
      </c>
      <c r="BE4264">
        <v>0</v>
      </c>
      <c r="BF4264">
        <v>7</v>
      </c>
      <c r="BG4264">
        <v>0</v>
      </c>
    </row>
    <row r="4265" spans="1:59">
      <c r="A4265" s="1">
        <f>HYPERLINK("https://lsnyc.legalserver.org/matter/dynamic-profile/view/1908430","19-1908430")</f>
        <v>0</v>
      </c>
      <c r="B4265" t="s">
        <v>3485</v>
      </c>
      <c r="C4265" t="s">
        <v>8278</v>
      </c>
      <c r="D4265" t="s">
        <v>9926</v>
      </c>
      <c r="E4265" t="s">
        <v>10075</v>
      </c>
      <c r="F4265">
        <v>10462</v>
      </c>
      <c r="G4265" t="s">
        <v>10090</v>
      </c>
      <c r="H4265" t="s">
        <v>10151</v>
      </c>
      <c r="I4265" t="s">
        <v>10168</v>
      </c>
      <c r="J4265" t="s">
        <v>10210</v>
      </c>
      <c r="K4265" t="s">
        <v>10217</v>
      </c>
      <c r="M4265" t="s">
        <v>10235</v>
      </c>
      <c r="N4265" t="s">
        <v>10651</v>
      </c>
      <c r="P4265" t="s">
        <v>10749</v>
      </c>
      <c r="Q4265" t="s">
        <v>10765</v>
      </c>
      <c r="R4265" t="s">
        <v>10821</v>
      </c>
      <c r="T4265">
        <v>36270</v>
      </c>
      <c r="U4265">
        <v>3022.5</v>
      </c>
      <c r="V4265">
        <v>40</v>
      </c>
      <c r="W4265">
        <v>3</v>
      </c>
      <c r="X4265">
        <v>3</v>
      </c>
      <c r="Z4265">
        <v>104.86</v>
      </c>
      <c r="AA4265">
        <v>40.84428</v>
      </c>
      <c r="AB4265">
        <v>-73.86636</v>
      </c>
      <c r="AD4265" t="s">
        <v>10839</v>
      </c>
      <c r="AG4265" t="s">
        <v>10858</v>
      </c>
      <c r="AH4265" t="s">
        <v>10862</v>
      </c>
      <c r="AI4265">
        <v>230</v>
      </c>
      <c r="AJ4265" t="s">
        <v>10210</v>
      </c>
      <c r="AL4265">
        <v>2</v>
      </c>
      <c r="AM4265" t="s">
        <v>10885</v>
      </c>
      <c r="AN4265" t="s">
        <v>10938</v>
      </c>
      <c r="AO4265" t="s">
        <v>11000</v>
      </c>
      <c r="AP4265" t="s">
        <v>11056</v>
      </c>
      <c r="AR4265" t="s">
        <v>11372</v>
      </c>
      <c r="AS4265" t="s">
        <v>9926</v>
      </c>
      <c r="BA4265" t="s">
        <v>11738</v>
      </c>
      <c r="BB4265">
        <v>0</v>
      </c>
      <c r="BC4265">
        <v>0</v>
      </c>
      <c r="BD4265">
        <v>0</v>
      </c>
      <c r="BE4265">
        <v>0</v>
      </c>
      <c r="BF4265">
        <v>5</v>
      </c>
      <c r="BG4265">
        <v>0</v>
      </c>
    </row>
    <row r="4266" spans="1:59">
      <c r="A4266" s="1">
        <f>HYPERLINK("https://lsnyc.legalserver.org/matter/dynamic-profile/view/1908431","19-1908431")</f>
        <v>0</v>
      </c>
      <c r="B4266" t="s">
        <v>3486</v>
      </c>
      <c r="C4266" t="s">
        <v>8279</v>
      </c>
      <c r="D4266" t="s">
        <v>9925</v>
      </c>
      <c r="E4266" t="s">
        <v>10075</v>
      </c>
      <c r="F4266">
        <v>10011</v>
      </c>
      <c r="G4266" t="s">
        <v>10089</v>
      </c>
      <c r="H4266" t="s">
        <v>10151</v>
      </c>
      <c r="I4266" t="s">
        <v>10169</v>
      </c>
      <c r="J4266" t="s">
        <v>10209</v>
      </c>
      <c r="K4266" t="s">
        <v>10217</v>
      </c>
      <c r="M4266" t="s">
        <v>10383</v>
      </c>
      <c r="N4266" t="s">
        <v>10656</v>
      </c>
      <c r="P4266" t="s">
        <v>10751</v>
      </c>
      <c r="Q4266" t="s">
        <v>10768</v>
      </c>
      <c r="R4266" t="s">
        <v>10821</v>
      </c>
      <c r="T4266">
        <v>9696</v>
      </c>
      <c r="U4266">
        <v>808</v>
      </c>
      <c r="V4266">
        <v>59</v>
      </c>
      <c r="W4266">
        <v>1</v>
      </c>
      <c r="X4266">
        <v>0</v>
      </c>
      <c r="Z4266">
        <v>77.63</v>
      </c>
      <c r="AA4266">
        <v>40.744176</v>
      </c>
      <c r="AB4266">
        <v>-74.00432600000001</v>
      </c>
      <c r="AD4266" t="s">
        <v>10839</v>
      </c>
      <c r="AF4266" t="s">
        <v>10843</v>
      </c>
      <c r="AG4266" t="s">
        <v>10859</v>
      </c>
      <c r="AH4266" t="s">
        <v>10866</v>
      </c>
      <c r="AI4266">
        <v>236</v>
      </c>
      <c r="AJ4266" t="s">
        <v>10209</v>
      </c>
      <c r="AL4266">
        <v>1.75</v>
      </c>
      <c r="AM4266" t="s">
        <v>10894</v>
      </c>
      <c r="AN4266" t="s">
        <v>10966</v>
      </c>
      <c r="AO4266" t="s">
        <v>11021</v>
      </c>
      <c r="AP4266" t="s">
        <v>11090</v>
      </c>
      <c r="AR4266" t="s">
        <v>11288</v>
      </c>
      <c r="AS4266" t="s">
        <v>9925</v>
      </c>
      <c r="AT4266" t="s">
        <v>11641</v>
      </c>
      <c r="AX4266" t="s">
        <v>10838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</row>
    <row r="4267" spans="1:59">
      <c r="A4267" s="1">
        <f>HYPERLINK("https://lsnyc.legalserver.org/matter/dynamic-profile/view/1908432","19-1908432")</f>
        <v>0</v>
      </c>
      <c r="B4267" t="s">
        <v>3487</v>
      </c>
      <c r="C4267" t="s">
        <v>8280</v>
      </c>
      <c r="D4267" t="s">
        <v>9925</v>
      </c>
      <c r="E4267" t="s">
        <v>10075</v>
      </c>
      <c r="F4267">
        <v>10029</v>
      </c>
      <c r="G4267" t="s">
        <v>10089</v>
      </c>
      <c r="H4267" t="s">
        <v>10151</v>
      </c>
      <c r="I4267" t="s">
        <v>10169</v>
      </c>
      <c r="J4267" t="s">
        <v>10209</v>
      </c>
      <c r="K4267" t="s">
        <v>10217</v>
      </c>
      <c r="M4267" t="s">
        <v>10440</v>
      </c>
      <c r="N4267" t="s">
        <v>10650</v>
      </c>
      <c r="P4267" t="s">
        <v>10749</v>
      </c>
      <c r="Q4267" t="s">
        <v>10765</v>
      </c>
      <c r="R4267" t="s">
        <v>10821</v>
      </c>
      <c r="T4267">
        <v>0</v>
      </c>
      <c r="U4267">
        <v>0</v>
      </c>
      <c r="V4267">
        <v>89</v>
      </c>
      <c r="W4267">
        <v>1</v>
      </c>
      <c r="X4267">
        <v>0</v>
      </c>
      <c r="Z4267">
        <v>0</v>
      </c>
      <c r="AA4267">
        <v>40.787965</v>
      </c>
      <c r="AB4267">
        <v>-73.95338700000001</v>
      </c>
      <c r="AD4267" t="s">
        <v>10839</v>
      </c>
      <c r="AG4267" t="s">
        <v>10858</v>
      </c>
      <c r="AH4267" t="s">
        <v>10871</v>
      </c>
      <c r="AI4267">
        <v>234</v>
      </c>
      <c r="AJ4267" t="s">
        <v>10214</v>
      </c>
      <c r="AL4267">
        <v>1</v>
      </c>
      <c r="AM4267" t="s">
        <v>10891</v>
      </c>
      <c r="AN4267" t="s">
        <v>10926</v>
      </c>
      <c r="AO4267" t="s">
        <v>11013</v>
      </c>
      <c r="AP4267" t="s">
        <v>11091</v>
      </c>
      <c r="AR4267" t="s">
        <v>11279</v>
      </c>
      <c r="AS4267" t="s">
        <v>9925</v>
      </c>
      <c r="AT4267" t="s">
        <v>11641</v>
      </c>
      <c r="AX4267" t="s">
        <v>10838</v>
      </c>
      <c r="BA4267" t="s">
        <v>11742</v>
      </c>
      <c r="BB4267">
        <v>0</v>
      </c>
      <c r="BC4267">
        <v>0</v>
      </c>
      <c r="BD4267">
        <v>0</v>
      </c>
      <c r="BE4267">
        <v>0</v>
      </c>
      <c r="BF4267">
        <v>7</v>
      </c>
      <c r="BG4267">
        <v>0</v>
      </c>
    </row>
    <row r="4268" spans="1:59">
      <c r="A4268" s="1">
        <f>HYPERLINK("https://lsnyc.legalserver.org/matter/dynamic-profile/view/1908433","19-1908433")</f>
        <v>0</v>
      </c>
      <c r="B4268" t="s">
        <v>3488</v>
      </c>
      <c r="C4268" t="s">
        <v>8281</v>
      </c>
      <c r="D4268" t="s">
        <v>9938</v>
      </c>
      <c r="E4268" t="s">
        <v>10075</v>
      </c>
      <c r="F4268">
        <v>11434</v>
      </c>
      <c r="G4268" t="s">
        <v>10092</v>
      </c>
      <c r="H4268" t="s">
        <v>10151</v>
      </c>
      <c r="I4268" t="s">
        <v>10168</v>
      </c>
      <c r="J4268" t="s">
        <v>10212</v>
      </c>
      <c r="K4268" t="s">
        <v>10217</v>
      </c>
      <c r="M4268" t="s">
        <v>10484</v>
      </c>
      <c r="N4268" t="s">
        <v>10693</v>
      </c>
      <c r="P4268" t="s">
        <v>10749</v>
      </c>
      <c r="Q4268" t="s">
        <v>10765</v>
      </c>
      <c r="R4268" t="s">
        <v>10824</v>
      </c>
      <c r="T4268">
        <v>7000</v>
      </c>
      <c r="U4268">
        <v>583.33</v>
      </c>
      <c r="V4268">
        <v>43</v>
      </c>
      <c r="W4268">
        <v>1</v>
      </c>
      <c r="X4268">
        <v>0</v>
      </c>
      <c r="Z4268">
        <v>56.04</v>
      </c>
      <c r="AA4268">
        <v>40.686428</v>
      </c>
      <c r="AB4268">
        <v>-73.766347</v>
      </c>
      <c r="AD4268" t="s">
        <v>10840</v>
      </c>
      <c r="AG4268" t="s">
        <v>10858</v>
      </c>
      <c r="AH4268" t="s">
        <v>10862</v>
      </c>
      <c r="AI4268">
        <v>237</v>
      </c>
      <c r="AJ4268" t="s">
        <v>10212</v>
      </c>
      <c r="AL4268">
        <v>3.5</v>
      </c>
      <c r="AM4268" t="s">
        <v>10892</v>
      </c>
      <c r="AN4268" t="s">
        <v>10955</v>
      </c>
      <c r="AO4268" t="s">
        <v>11020</v>
      </c>
      <c r="AP4268" t="s">
        <v>11075</v>
      </c>
      <c r="AR4268" t="s">
        <v>10180</v>
      </c>
      <c r="AS4268" t="s">
        <v>11594</v>
      </c>
      <c r="BA4268" t="s">
        <v>11738</v>
      </c>
      <c r="BB4268">
        <v>0</v>
      </c>
      <c r="BC4268">
        <v>0</v>
      </c>
      <c r="BD4268">
        <v>0</v>
      </c>
      <c r="BE4268">
        <v>0</v>
      </c>
      <c r="BF4268">
        <v>5</v>
      </c>
      <c r="BG4268">
        <v>0</v>
      </c>
    </row>
    <row r="4269" spans="1:59">
      <c r="A4269" s="1">
        <f>HYPERLINK("https://lsnyc.legalserver.org/matter/dynamic-profile/view/1908434","19-1908434")</f>
        <v>0</v>
      </c>
      <c r="B4269" t="s">
        <v>3489</v>
      </c>
      <c r="C4269" t="s">
        <v>8282</v>
      </c>
      <c r="D4269" t="s">
        <v>9938</v>
      </c>
      <c r="E4269" t="s">
        <v>10075</v>
      </c>
      <c r="F4269">
        <v>11433</v>
      </c>
      <c r="G4269" t="s">
        <v>10092</v>
      </c>
      <c r="H4269" t="s">
        <v>10151</v>
      </c>
      <c r="I4269" t="s">
        <v>10168</v>
      </c>
      <c r="J4269" t="s">
        <v>10212</v>
      </c>
      <c r="K4269" t="s">
        <v>10217</v>
      </c>
      <c r="M4269" t="s">
        <v>10347</v>
      </c>
      <c r="N4269" t="s">
        <v>10646</v>
      </c>
      <c r="P4269" t="s">
        <v>10749</v>
      </c>
      <c r="Q4269" t="s">
        <v>10765</v>
      </c>
      <c r="R4269" t="s">
        <v>10824</v>
      </c>
      <c r="T4269">
        <v>48672</v>
      </c>
      <c r="U4269">
        <v>4056</v>
      </c>
      <c r="V4269">
        <v>50</v>
      </c>
      <c r="W4269">
        <v>2</v>
      </c>
      <c r="X4269">
        <v>0</v>
      </c>
      <c r="Z4269">
        <v>287.83</v>
      </c>
      <c r="AA4269">
        <v>40.693275</v>
      </c>
      <c r="AB4269">
        <v>-73.789697</v>
      </c>
      <c r="AD4269" t="s">
        <v>10839</v>
      </c>
      <c r="AG4269" t="s">
        <v>10858</v>
      </c>
      <c r="AH4269" t="s">
        <v>10862</v>
      </c>
      <c r="AI4269">
        <v>237</v>
      </c>
      <c r="AJ4269" t="s">
        <v>10212</v>
      </c>
      <c r="AL4269">
        <v>0</v>
      </c>
      <c r="AM4269" t="s">
        <v>10892</v>
      </c>
      <c r="AN4269" t="s">
        <v>10951</v>
      </c>
      <c r="AO4269" t="s">
        <v>11017</v>
      </c>
      <c r="AP4269" t="s">
        <v>11070</v>
      </c>
      <c r="AR4269" t="s">
        <v>11257</v>
      </c>
      <c r="AS4269" t="s">
        <v>11594</v>
      </c>
      <c r="BA4269" t="s">
        <v>11742</v>
      </c>
      <c r="BB4269">
        <v>0</v>
      </c>
      <c r="BC4269">
        <v>0</v>
      </c>
      <c r="BD4269">
        <v>0</v>
      </c>
      <c r="BE4269">
        <v>0</v>
      </c>
      <c r="BF4269">
        <v>7</v>
      </c>
      <c r="BG4269">
        <v>0</v>
      </c>
    </row>
    <row r="4270" spans="1:59">
      <c r="A4270" s="1">
        <f>HYPERLINK("https://lsnyc.legalserver.org/matter/dynamic-profile/view/1908435","19-1908435")</f>
        <v>0</v>
      </c>
      <c r="B4270" t="s">
        <v>652</v>
      </c>
      <c r="C4270" t="s">
        <v>8283</v>
      </c>
      <c r="D4270" t="s">
        <v>9925</v>
      </c>
      <c r="E4270" t="s">
        <v>10075</v>
      </c>
      <c r="F4270">
        <v>10026</v>
      </c>
      <c r="G4270" t="s">
        <v>10089</v>
      </c>
      <c r="H4270" t="s">
        <v>10151</v>
      </c>
      <c r="I4270" t="s">
        <v>10168</v>
      </c>
      <c r="J4270" t="s">
        <v>10209</v>
      </c>
      <c r="K4270" t="s">
        <v>10217</v>
      </c>
      <c r="M4270" t="s">
        <v>10379</v>
      </c>
      <c r="N4270" t="s">
        <v>10702</v>
      </c>
      <c r="P4270" t="s">
        <v>10749</v>
      </c>
      <c r="Q4270" t="s">
        <v>10765</v>
      </c>
      <c r="R4270" t="s">
        <v>10824</v>
      </c>
      <c r="T4270">
        <v>0</v>
      </c>
      <c r="U4270">
        <v>0</v>
      </c>
      <c r="V4270">
        <v>47</v>
      </c>
      <c r="W4270">
        <v>1</v>
      </c>
      <c r="X4270">
        <v>0</v>
      </c>
      <c r="Z4270">
        <v>0</v>
      </c>
      <c r="AA4270">
        <v>40.800935</v>
      </c>
      <c r="AB4270">
        <v>-73.953739</v>
      </c>
      <c r="AD4270" t="s">
        <v>10839</v>
      </c>
      <c r="AG4270" t="s">
        <v>10858</v>
      </c>
      <c r="AH4270" t="s">
        <v>10862</v>
      </c>
      <c r="AI4270">
        <v>236</v>
      </c>
      <c r="AJ4270" t="s">
        <v>10209</v>
      </c>
      <c r="AL4270">
        <v>3</v>
      </c>
      <c r="AM4270" t="s">
        <v>10887</v>
      </c>
      <c r="AN4270" t="s">
        <v>10936</v>
      </c>
      <c r="AO4270" t="s">
        <v>11016</v>
      </c>
      <c r="AP4270" t="s">
        <v>11076</v>
      </c>
      <c r="AR4270" t="s">
        <v>11267</v>
      </c>
      <c r="AS4270" t="s">
        <v>9925</v>
      </c>
      <c r="BA4270" t="s">
        <v>11738</v>
      </c>
      <c r="BB4270">
        <v>0</v>
      </c>
      <c r="BC4270">
        <v>0</v>
      </c>
      <c r="BD4270">
        <v>0</v>
      </c>
      <c r="BE4270">
        <v>0</v>
      </c>
      <c r="BF4270">
        <v>5</v>
      </c>
      <c r="BG4270">
        <v>0</v>
      </c>
    </row>
    <row r="4271" spans="1:59">
      <c r="A4271" s="1">
        <f>HYPERLINK("https://lsnyc.legalserver.org/matter/dynamic-profile/view/1908436","19-1908436")</f>
        <v>0</v>
      </c>
      <c r="B4271" t="s">
        <v>234</v>
      </c>
      <c r="C4271" t="s">
        <v>7210</v>
      </c>
      <c r="D4271" t="s">
        <v>9929</v>
      </c>
      <c r="E4271" t="s">
        <v>10075</v>
      </c>
      <c r="F4271">
        <v>10304</v>
      </c>
      <c r="G4271" t="s">
        <v>10088</v>
      </c>
      <c r="H4271" t="s">
        <v>10159</v>
      </c>
      <c r="I4271" t="s">
        <v>10168</v>
      </c>
      <c r="J4271" t="s">
        <v>10208</v>
      </c>
      <c r="K4271" t="s">
        <v>10217</v>
      </c>
      <c r="M4271" t="s">
        <v>10259</v>
      </c>
      <c r="N4271" t="s">
        <v>10650</v>
      </c>
      <c r="P4271" t="s">
        <v>10749</v>
      </c>
      <c r="Q4271" t="s">
        <v>10765</v>
      </c>
      <c r="R4271" t="s">
        <v>10825</v>
      </c>
      <c r="T4271">
        <v>9276</v>
      </c>
      <c r="U4271">
        <v>773</v>
      </c>
      <c r="V4271">
        <v>51</v>
      </c>
      <c r="W4271">
        <v>1</v>
      </c>
      <c r="X4271">
        <v>0</v>
      </c>
      <c r="Z4271">
        <v>74.27</v>
      </c>
      <c r="AA4271">
        <v>40.614835</v>
      </c>
      <c r="AB4271">
        <v>-74.081705</v>
      </c>
      <c r="AD4271" t="s">
        <v>10839</v>
      </c>
      <c r="AG4271" t="s">
        <v>10858</v>
      </c>
      <c r="AH4271" t="s">
        <v>10862</v>
      </c>
      <c r="AI4271">
        <v>285</v>
      </c>
      <c r="AJ4271" t="s">
        <v>10208</v>
      </c>
      <c r="AL4271">
        <v>4.8</v>
      </c>
      <c r="AM4271" t="s">
        <v>10883</v>
      </c>
      <c r="AN4271" t="s">
        <v>10913</v>
      </c>
      <c r="AO4271" t="s">
        <v>11006</v>
      </c>
      <c r="AP4271" t="s">
        <v>11051</v>
      </c>
      <c r="AR4271" t="s">
        <v>11263</v>
      </c>
      <c r="AS4271" t="s">
        <v>11593</v>
      </c>
      <c r="BA4271" t="s">
        <v>11738</v>
      </c>
      <c r="BB4271">
        <v>0</v>
      </c>
      <c r="BC4271">
        <v>0</v>
      </c>
      <c r="BD4271">
        <v>0</v>
      </c>
      <c r="BE4271">
        <v>0</v>
      </c>
      <c r="BF4271">
        <v>5</v>
      </c>
      <c r="BG4271">
        <v>0</v>
      </c>
    </row>
    <row r="4272" spans="1:59">
      <c r="A4272" s="1">
        <f>HYPERLINK("https://lsnyc.legalserver.org/matter/dynamic-profile/view/1908437","19-1908437")</f>
        <v>0</v>
      </c>
      <c r="B4272" t="s">
        <v>3490</v>
      </c>
      <c r="C4272" t="s">
        <v>8284</v>
      </c>
      <c r="D4272" t="s">
        <v>9946</v>
      </c>
      <c r="E4272" t="s">
        <v>10075</v>
      </c>
      <c r="F4272">
        <v>11385</v>
      </c>
      <c r="G4272" t="s">
        <v>10092</v>
      </c>
      <c r="H4272" t="s">
        <v>10151</v>
      </c>
      <c r="I4272" t="s">
        <v>10169</v>
      </c>
      <c r="J4272" t="s">
        <v>10212</v>
      </c>
      <c r="K4272" t="s">
        <v>10217</v>
      </c>
      <c r="M4272" t="s">
        <v>10610</v>
      </c>
      <c r="N4272" t="s">
        <v>10693</v>
      </c>
      <c r="P4272" t="s">
        <v>10749</v>
      </c>
      <c r="Q4272" t="s">
        <v>10765</v>
      </c>
      <c r="R4272" t="s">
        <v>10823</v>
      </c>
      <c r="T4272">
        <v>16400</v>
      </c>
      <c r="U4272">
        <v>1366.67</v>
      </c>
      <c r="V4272">
        <v>34</v>
      </c>
      <c r="W4272">
        <v>2</v>
      </c>
      <c r="X4272">
        <v>1</v>
      </c>
      <c r="Z4272">
        <v>76.89</v>
      </c>
      <c r="AA4272">
        <v>40.745829</v>
      </c>
      <c r="AB4272">
        <v>-73.890947</v>
      </c>
      <c r="AD4272" t="s">
        <v>10839</v>
      </c>
      <c r="AF4272" t="s">
        <v>10843</v>
      </c>
      <c r="AG4272" t="s">
        <v>10859</v>
      </c>
      <c r="AH4272" t="s">
        <v>10862</v>
      </c>
      <c r="AI4272">
        <v>237</v>
      </c>
      <c r="AJ4272" t="s">
        <v>10212</v>
      </c>
      <c r="AL4272">
        <v>30.2</v>
      </c>
      <c r="AM4272" t="s">
        <v>10886</v>
      </c>
      <c r="AN4272" t="s">
        <v>10945</v>
      </c>
      <c r="AO4272" t="s">
        <v>11003</v>
      </c>
      <c r="AP4272" t="s">
        <v>11071</v>
      </c>
      <c r="AR4272" t="s">
        <v>11335</v>
      </c>
      <c r="AS4272" t="s">
        <v>11594</v>
      </c>
      <c r="BA4272" t="s">
        <v>11738</v>
      </c>
      <c r="BB4272">
        <v>0</v>
      </c>
      <c r="BC4272">
        <v>0</v>
      </c>
      <c r="BD4272">
        <v>0</v>
      </c>
      <c r="BE4272">
        <v>0</v>
      </c>
      <c r="BF4272">
        <v>5</v>
      </c>
      <c r="BG4272">
        <v>0</v>
      </c>
    </row>
    <row r="4273" spans="1:59">
      <c r="A4273" s="1">
        <f>HYPERLINK("https://lsnyc.legalserver.org/matter/dynamic-profile/view/1908438","19-1908438")</f>
        <v>0</v>
      </c>
      <c r="B4273" t="s">
        <v>3069</v>
      </c>
      <c r="C4273" t="s">
        <v>8285</v>
      </c>
      <c r="D4273" t="s">
        <v>9926</v>
      </c>
      <c r="E4273" t="s">
        <v>10075</v>
      </c>
      <c r="F4273">
        <v>10468</v>
      </c>
      <c r="G4273" t="s">
        <v>10089</v>
      </c>
      <c r="H4273" t="s">
        <v>10151</v>
      </c>
      <c r="I4273" t="s">
        <v>10169</v>
      </c>
      <c r="J4273" t="s">
        <v>10209</v>
      </c>
      <c r="K4273" t="s">
        <v>10218</v>
      </c>
      <c r="L4273" t="s">
        <v>10151</v>
      </c>
      <c r="M4273" t="s">
        <v>10266</v>
      </c>
      <c r="N4273" t="s">
        <v>10649</v>
      </c>
      <c r="P4273" t="s">
        <v>10753</v>
      </c>
      <c r="Q4273" t="s">
        <v>10763</v>
      </c>
      <c r="R4273" t="s">
        <v>10823</v>
      </c>
      <c r="T4273">
        <v>3900</v>
      </c>
      <c r="U4273">
        <v>325</v>
      </c>
      <c r="V4273">
        <v>55</v>
      </c>
      <c r="W4273">
        <v>1</v>
      </c>
      <c r="X4273">
        <v>0</v>
      </c>
      <c r="Y4273" t="s">
        <v>10830</v>
      </c>
      <c r="Z4273">
        <v>31.22</v>
      </c>
      <c r="AA4273">
        <v>40.868962</v>
      </c>
      <c r="AB4273">
        <v>-73.902064</v>
      </c>
      <c r="AD4273" t="s">
        <v>10840</v>
      </c>
      <c r="AF4273" t="s">
        <v>10843</v>
      </c>
      <c r="AG4273" t="s">
        <v>10859</v>
      </c>
      <c r="AH4273" t="s">
        <v>10864</v>
      </c>
      <c r="AI4273">
        <v>236</v>
      </c>
      <c r="AJ4273" t="s">
        <v>10209</v>
      </c>
      <c r="AK4273" t="s">
        <v>10882</v>
      </c>
      <c r="AL4273">
        <v>0.5</v>
      </c>
      <c r="AM4273" t="s">
        <v>10887</v>
      </c>
      <c r="AN4273" t="s">
        <v>10919</v>
      </c>
      <c r="AO4273" t="s">
        <v>11000</v>
      </c>
      <c r="AP4273" t="s">
        <v>11045</v>
      </c>
      <c r="AQ4273" t="s">
        <v>11200</v>
      </c>
      <c r="AR4273" t="s">
        <v>10180</v>
      </c>
      <c r="AS4273" t="s">
        <v>9926</v>
      </c>
      <c r="AY4273" t="s">
        <v>10830</v>
      </c>
      <c r="AZ4273" t="s">
        <v>11689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</row>
    <row r="4274" spans="1:59">
      <c r="A4274" s="1">
        <f>HYPERLINK("https://lsnyc.legalserver.org/matter/dynamic-profile/view/1908439","19-1908439")</f>
        <v>0</v>
      </c>
      <c r="B4274" t="s">
        <v>2894</v>
      </c>
      <c r="C4274" t="s">
        <v>8286</v>
      </c>
      <c r="D4274" t="s">
        <v>9929</v>
      </c>
      <c r="E4274" t="s">
        <v>10075</v>
      </c>
      <c r="F4274">
        <v>10305</v>
      </c>
      <c r="G4274" t="s">
        <v>10088</v>
      </c>
      <c r="H4274" t="s">
        <v>10100</v>
      </c>
      <c r="I4274" t="s">
        <v>10168</v>
      </c>
      <c r="J4274" t="s">
        <v>10208</v>
      </c>
      <c r="K4274" t="s">
        <v>10217</v>
      </c>
      <c r="M4274" t="s">
        <v>10243</v>
      </c>
      <c r="N4274" t="s">
        <v>10650</v>
      </c>
      <c r="P4274" t="s">
        <v>10749</v>
      </c>
      <c r="Q4274" t="s">
        <v>10765</v>
      </c>
      <c r="R4274" t="s">
        <v>10820</v>
      </c>
      <c r="T4274">
        <v>13200</v>
      </c>
      <c r="U4274">
        <v>1100</v>
      </c>
      <c r="V4274">
        <v>52</v>
      </c>
      <c r="W4274">
        <v>1</v>
      </c>
      <c r="X4274">
        <v>0</v>
      </c>
      <c r="Z4274">
        <v>105.68</v>
      </c>
      <c r="AA4274">
        <v>40.596961</v>
      </c>
      <c r="AB4274">
        <v>-74.07532399999999</v>
      </c>
      <c r="AD4274" t="s">
        <v>10840</v>
      </c>
      <c r="AG4274" t="s">
        <v>10858</v>
      </c>
      <c r="AH4274" t="s">
        <v>10862</v>
      </c>
      <c r="AI4274">
        <v>285</v>
      </c>
      <c r="AJ4274" t="s">
        <v>10208</v>
      </c>
      <c r="AL4274">
        <v>2.55</v>
      </c>
      <c r="AM4274" t="s">
        <v>10883</v>
      </c>
      <c r="AN4274" t="s">
        <v>10915</v>
      </c>
      <c r="AO4274" t="s">
        <v>11006</v>
      </c>
      <c r="AP4274" t="s">
        <v>11063</v>
      </c>
      <c r="AR4274" t="s">
        <v>11296</v>
      </c>
      <c r="AS4274" t="s">
        <v>11593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</row>
    <row r="4275" spans="1:59">
      <c r="A4275" s="1">
        <f>HYPERLINK("https://lsnyc.legalserver.org/matter/dynamic-profile/view/1908440","19-1908440")</f>
        <v>0</v>
      </c>
      <c r="B4275" t="s">
        <v>3491</v>
      </c>
      <c r="C4275" t="s">
        <v>8287</v>
      </c>
      <c r="D4275" t="s">
        <v>9926</v>
      </c>
      <c r="E4275" t="s">
        <v>10075</v>
      </c>
      <c r="F4275">
        <v>10460</v>
      </c>
      <c r="G4275" t="s">
        <v>10090</v>
      </c>
      <c r="H4275" t="s">
        <v>10151</v>
      </c>
      <c r="I4275" t="s">
        <v>10168</v>
      </c>
      <c r="J4275" t="s">
        <v>10210</v>
      </c>
      <c r="K4275" t="s">
        <v>10218</v>
      </c>
      <c r="L4275" t="s">
        <v>4843</v>
      </c>
      <c r="M4275" t="s">
        <v>10415</v>
      </c>
      <c r="N4275" t="s">
        <v>10666</v>
      </c>
      <c r="P4275" t="s">
        <v>10749</v>
      </c>
      <c r="Q4275" t="s">
        <v>10765</v>
      </c>
      <c r="R4275" t="s">
        <v>10821</v>
      </c>
      <c r="T4275">
        <v>9600</v>
      </c>
      <c r="U4275">
        <v>800</v>
      </c>
      <c r="V4275">
        <v>39</v>
      </c>
      <c r="W4275">
        <v>1</v>
      </c>
      <c r="X4275">
        <v>0</v>
      </c>
      <c r="Y4275" t="s">
        <v>10831</v>
      </c>
      <c r="Z4275">
        <v>76.86</v>
      </c>
      <c r="AA4275">
        <v>40.837021</v>
      </c>
      <c r="AB4275">
        <v>-73.86657700000001</v>
      </c>
      <c r="AD4275" t="s">
        <v>10840</v>
      </c>
      <c r="AF4275" t="s">
        <v>10843</v>
      </c>
      <c r="AG4275" t="s">
        <v>10859</v>
      </c>
      <c r="AH4275" t="s">
        <v>10862</v>
      </c>
      <c r="AI4275">
        <v>230</v>
      </c>
      <c r="AJ4275" t="s">
        <v>10210</v>
      </c>
      <c r="AK4275" t="s">
        <v>10838</v>
      </c>
      <c r="AL4275">
        <v>10</v>
      </c>
      <c r="AM4275" t="s">
        <v>10884</v>
      </c>
      <c r="AN4275" t="s">
        <v>10908</v>
      </c>
      <c r="AO4275" t="s">
        <v>11001</v>
      </c>
      <c r="AP4275" t="s">
        <v>11046</v>
      </c>
      <c r="AR4275" t="s">
        <v>11331</v>
      </c>
      <c r="AS4275" t="s">
        <v>9926</v>
      </c>
      <c r="AT4275" t="s">
        <v>11642</v>
      </c>
      <c r="AV4275" t="s">
        <v>11655</v>
      </c>
      <c r="AW4275" t="s">
        <v>11666</v>
      </c>
      <c r="AX4275" t="s">
        <v>10838</v>
      </c>
      <c r="AY4275" t="s">
        <v>10831</v>
      </c>
      <c r="AZ4275" t="s">
        <v>11733</v>
      </c>
      <c r="BA4275" t="s">
        <v>11738</v>
      </c>
      <c r="BB4275">
        <v>5859.96</v>
      </c>
      <c r="BC4275">
        <v>0</v>
      </c>
      <c r="BD4275">
        <v>0</v>
      </c>
      <c r="BE4275">
        <v>0</v>
      </c>
      <c r="BF4275">
        <v>5</v>
      </c>
      <c r="BG4275">
        <v>0</v>
      </c>
    </row>
    <row r="4276" spans="1:59">
      <c r="A4276" s="1">
        <f>HYPERLINK("https://lsnyc.legalserver.org/matter/dynamic-profile/view/1908441","19-1908441")</f>
        <v>0</v>
      </c>
      <c r="B4276" t="s">
        <v>3491</v>
      </c>
      <c r="C4276" t="s">
        <v>8287</v>
      </c>
      <c r="D4276" t="s">
        <v>9926</v>
      </c>
      <c r="E4276" t="s">
        <v>10075</v>
      </c>
      <c r="F4276">
        <v>10460</v>
      </c>
      <c r="G4276" t="s">
        <v>10090</v>
      </c>
      <c r="H4276" t="s">
        <v>10151</v>
      </c>
      <c r="I4276" t="s">
        <v>10168</v>
      </c>
      <c r="J4276" t="s">
        <v>10210</v>
      </c>
      <c r="K4276" t="s">
        <v>10218</v>
      </c>
      <c r="L4276" t="s">
        <v>10220</v>
      </c>
      <c r="M4276" t="s">
        <v>10334</v>
      </c>
      <c r="N4276" t="s">
        <v>10671</v>
      </c>
      <c r="P4276" t="s">
        <v>10751</v>
      </c>
      <c r="Q4276" t="s">
        <v>10761</v>
      </c>
      <c r="R4276" t="s">
        <v>10821</v>
      </c>
      <c r="T4276">
        <v>0</v>
      </c>
      <c r="U4276">
        <v>0</v>
      </c>
      <c r="V4276">
        <v>39</v>
      </c>
      <c r="W4276">
        <v>1</v>
      </c>
      <c r="X4276">
        <v>0</v>
      </c>
      <c r="Y4276" t="s">
        <v>10830</v>
      </c>
      <c r="Z4276">
        <v>0</v>
      </c>
      <c r="AA4276">
        <v>40.837021</v>
      </c>
      <c r="AB4276">
        <v>-73.86657700000001</v>
      </c>
      <c r="AD4276" t="s">
        <v>10840</v>
      </c>
      <c r="AF4276" t="s">
        <v>10843</v>
      </c>
      <c r="AG4276" t="s">
        <v>10859</v>
      </c>
      <c r="AH4276" t="s">
        <v>10862</v>
      </c>
      <c r="AI4276">
        <v>230</v>
      </c>
      <c r="AJ4276" t="s">
        <v>10210</v>
      </c>
      <c r="AK4276" t="s">
        <v>10838</v>
      </c>
      <c r="AL4276">
        <v>0.5</v>
      </c>
      <c r="AR4276" t="s">
        <v>11267</v>
      </c>
      <c r="AS4276" t="s">
        <v>9926</v>
      </c>
      <c r="AY4276" t="s">
        <v>10830</v>
      </c>
      <c r="AZ4276" t="s">
        <v>11710</v>
      </c>
      <c r="BB4276">
        <v>0</v>
      </c>
      <c r="BC4276">
        <v>0</v>
      </c>
      <c r="BD4276">
        <v>5859.88</v>
      </c>
      <c r="BE4276">
        <v>0</v>
      </c>
      <c r="BF4276">
        <v>0</v>
      </c>
      <c r="BG4276">
        <v>0</v>
      </c>
    </row>
    <row r="4277" spans="1:59">
      <c r="A4277" s="1">
        <f>HYPERLINK("https://lsnyc.legalserver.org/matter/dynamic-profile/view/1908442","19-1908442")</f>
        <v>0</v>
      </c>
      <c r="B4277" t="s">
        <v>3373</v>
      </c>
      <c r="C4277" t="s">
        <v>8165</v>
      </c>
      <c r="D4277" t="s">
        <v>9926</v>
      </c>
      <c r="E4277" t="s">
        <v>10075</v>
      </c>
      <c r="F4277">
        <v>10473</v>
      </c>
      <c r="G4277" t="s">
        <v>10090</v>
      </c>
      <c r="H4277" t="s">
        <v>10151</v>
      </c>
      <c r="I4277" t="s">
        <v>10168</v>
      </c>
      <c r="J4277" t="s">
        <v>10210</v>
      </c>
      <c r="K4277" t="s">
        <v>10217</v>
      </c>
      <c r="M4277" t="s">
        <v>10346</v>
      </c>
      <c r="N4277" t="s">
        <v>10677</v>
      </c>
      <c r="P4277" t="s">
        <v>10757</v>
      </c>
      <c r="Q4277" t="s">
        <v>10797</v>
      </c>
      <c r="R4277" t="s">
        <v>10823</v>
      </c>
      <c r="T4277">
        <v>15180</v>
      </c>
      <c r="U4277">
        <v>1265</v>
      </c>
      <c r="V4277">
        <v>81</v>
      </c>
      <c r="W4277">
        <v>1</v>
      </c>
      <c r="X4277">
        <v>0</v>
      </c>
      <c r="Z4277">
        <v>121.54</v>
      </c>
      <c r="AA4277">
        <v>40.810311</v>
      </c>
      <c r="AB4277">
        <v>-73.84991599999999</v>
      </c>
      <c r="AD4277" t="s">
        <v>10840</v>
      </c>
      <c r="AG4277" t="s">
        <v>10858</v>
      </c>
      <c r="AH4277" t="s">
        <v>10874</v>
      </c>
      <c r="AI4277">
        <v>230</v>
      </c>
      <c r="AJ4277" t="s">
        <v>10210</v>
      </c>
      <c r="AL4277">
        <v>0.25</v>
      </c>
      <c r="AR4277" t="s">
        <v>11274</v>
      </c>
      <c r="AS4277" t="s">
        <v>9926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</row>
    <row r="4278" spans="1:59">
      <c r="A4278" s="1">
        <f>HYPERLINK("https://lsnyc.legalserver.org/matter/dynamic-profile/view/1908443","19-1908443")</f>
        <v>0</v>
      </c>
      <c r="B4278" t="s">
        <v>3492</v>
      </c>
      <c r="C4278" t="s">
        <v>5537</v>
      </c>
      <c r="D4278" t="s">
        <v>9925</v>
      </c>
      <c r="E4278" t="s">
        <v>10075</v>
      </c>
      <c r="F4278">
        <v>10031</v>
      </c>
      <c r="G4278" t="s">
        <v>10092</v>
      </c>
      <c r="H4278" t="s">
        <v>10151</v>
      </c>
      <c r="I4278" t="s">
        <v>10168</v>
      </c>
      <c r="J4278" t="s">
        <v>10212</v>
      </c>
      <c r="K4278" t="s">
        <v>10217</v>
      </c>
      <c r="M4278" t="s">
        <v>10325</v>
      </c>
      <c r="N4278" t="s">
        <v>10657</v>
      </c>
      <c r="P4278" t="s">
        <v>10756</v>
      </c>
      <c r="Q4278" t="s">
        <v>10802</v>
      </c>
      <c r="R4278" t="s">
        <v>10825</v>
      </c>
      <c r="T4278">
        <v>2196</v>
      </c>
      <c r="U4278">
        <v>183</v>
      </c>
      <c r="V4278">
        <v>69</v>
      </c>
      <c r="W4278">
        <v>1</v>
      </c>
      <c r="X4278">
        <v>0</v>
      </c>
      <c r="Z4278">
        <v>17.58</v>
      </c>
      <c r="AA4278">
        <v>40.824287</v>
      </c>
      <c r="AB4278">
        <v>-73.954489</v>
      </c>
      <c r="AD4278" t="s">
        <v>10840</v>
      </c>
      <c r="AG4278" t="s">
        <v>10858</v>
      </c>
      <c r="AH4278" t="s">
        <v>10874</v>
      </c>
      <c r="AI4278">
        <v>237</v>
      </c>
      <c r="AJ4278" t="s">
        <v>10212</v>
      </c>
      <c r="AL4278">
        <v>0.75</v>
      </c>
      <c r="AM4278" t="s">
        <v>10887</v>
      </c>
      <c r="AN4278" t="s">
        <v>10943</v>
      </c>
      <c r="AO4278" t="s">
        <v>11019</v>
      </c>
      <c r="AP4278" t="s">
        <v>11073</v>
      </c>
      <c r="AR4278" t="s">
        <v>11255</v>
      </c>
      <c r="AS4278" t="s">
        <v>9925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</row>
    <row r="4279" spans="1:59">
      <c r="A4279" s="1">
        <f>HYPERLINK("https://lsnyc.legalserver.org/matter/dynamic-profile/view/1908444","19-1908444")</f>
        <v>0</v>
      </c>
      <c r="B4279" t="s">
        <v>2360</v>
      </c>
      <c r="C4279" t="s">
        <v>8288</v>
      </c>
      <c r="D4279" t="s">
        <v>9925</v>
      </c>
      <c r="E4279" t="s">
        <v>10075</v>
      </c>
      <c r="F4279">
        <v>10025</v>
      </c>
      <c r="G4279" t="s">
        <v>10093</v>
      </c>
      <c r="H4279" t="s">
        <v>10151</v>
      </c>
      <c r="I4279" t="s">
        <v>10168</v>
      </c>
      <c r="J4279" t="s">
        <v>10213</v>
      </c>
      <c r="K4279" t="s">
        <v>10217</v>
      </c>
      <c r="M4279" t="s">
        <v>10371</v>
      </c>
      <c r="N4279" t="s">
        <v>10650</v>
      </c>
      <c r="P4279" t="s">
        <v>10749</v>
      </c>
      <c r="Q4279" t="s">
        <v>10765</v>
      </c>
      <c r="R4279" t="s">
        <v>10824</v>
      </c>
      <c r="T4279">
        <v>10400</v>
      </c>
      <c r="U4279">
        <v>866.67</v>
      </c>
      <c r="V4279">
        <v>47</v>
      </c>
      <c r="W4279">
        <v>2</v>
      </c>
      <c r="X4279">
        <v>0</v>
      </c>
      <c r="Z4279">
        <v>61.5</v>
      </c>
      <c r="AA4279">
        <v>40.797778</v>
      </c>
      <c r="AB4279">
        <v>-73.968678</v>
      </c>
      <c r="AD4279" t="s">
        <v>10839</v>
      </c>
      <c r="AG4279" t="s">
        <v>10858</v>
      </c>
      <c r="AH4279" t="s">
        <v>10862</v>
      </c>
      <c r="AI4279">
        <v>239</v>
      </c>
      <c r="AJ4279" t="s">
        <v>10213</v>
      </c>
      <c r="AL4279">
        <v>14.5</v>
      </c>
      <c r="AM4279" t="s">
        <v>10894</v>
      </c>
      <c r="AN4279" t="s">
        <v>10953</v>
      </c>
      <c r="AO4279" t="s">
        <v>11016</v>
      </c>
      <c r="AP4279" t="s">
        <v>11073</v>
      </c>
      <c r="AR4279" t="s">
        <v>11257</v>
      </c>
      <c r="AS4279" t="s">
        <v>9925</v>
      </c>
      <c r="BA4279" t="s">
        <v>11737</v>
      </c>
      <c r="BB4279">
        <v>0</v>
      </c>
      <c r="BC4279">
        <v>0</v>
      </c>
      <c r="BD4279">
        <v>0</v>
      </c>
      <c r="BE4279">
        <v>0</v>
      </c>
      <c r="BF4279">
        <v>3</v>
      </c>
      <c r="BG4279">
        <v>0</v>
      </c>
    </row>
    <row r="4280" spans="1:59">
      <c r="A4280" s="1">
        <f>HYPERLINK("https://lsnyc.legalserver.org/matter/dynamic-profile/view/1908446","19-1908446")</f>
        <v>0</v>
      </c>
      <c r="B4280" t="s">
        <v>3373</v>
      </c>
      <c r="C4280" t="s">
        <v>8165</v>
      </c>
      <c r="D4280" t="s">
        <v>9926</v>
      </c>
      <c r="E4280" t="s">
        <v>10075</v>
      </c>
      <c r="F4280">
        <v>10473</v>
      </c>
      <c r="G4280" t="s">
        <v>10090</v>
      </c>
      <c r="H4280" t="s">
        <v>10151</v>
      </c>
      <c r="I4280" t="s">
        <v>10168</v>
      </c>
      <c r="J4280" t="s">
        <v>10210</v>
      </c>
      <c r="K4280" t="s">
        <v>10217</v>
      </c>
      <c r="M4280" t="s">
        <v>10346</v>
      </c>
      <c r="N4280" t="s">
        <v>10677</v>
      </c>
      <c r="P4280" t="s">
        <v>10756</v>
      </c>
      <c r="Q4280" t="s">
        <v>10792</v>
      </c>
      <c r="R4280" t="s">
        <v>10823</v>
      </c>
      <c r="T4280">
        <v>15180</v>
      </c>
      <c r="U4280">
        <v>1265</v>
      </c>
      <c r="V4280">
        <v>81</v>
      </c>
      <c r="W4280">
        <v>1</v>
      </c>
      <c r="X4280">
        <v>0</v>
      </c>
      <c r="Z4280">
        <v>121.54</v>
      </c>
      <c r="AA4280">
        <v>40.810311</v>
      </c>
      <c r="AB4280">
        <v>-73.84991599999999</v>
      </c>
      <c r="AD4280" t="s">
        <v>10840</v>
      </c>
      <c r="AG4280" t="s">
        <v>10858</v>
      </c>
      <c r="AH4280" t="s">
        <v>10869</v>
      </c>
      <c r="AI4280">
        <v>230</v>
      </c>
      <c r="AJ4280" t="s">
        <v>10210</v>
      </c>
      <c r="AL4280">
        <v>2.5</v>
      </c>
      <c r="AM4280" t="s">
        <v>10884</v>
      </c>
      <c r="AN4280" t="s">
        <v>10968</v>
      </c>
      <c r="AO4280" t="s">
        <v>11002</v>
      </c>
      <c r="AP4280" t="s">
        <v>11046</v>
      </c>
      <c r="AR4280" t="s">
        <v>11274</v>
      </c>
      <c r="AS4280" t="s">
        <v>9926</v>
      </c>
      <c r="AT4280" t="s">
        <v>11642</v>
      </c>
      <c r="AX4280" t="s">
        <v>10838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</row>
    <row r="4281" spans="1:59">
      <c r="A4281" s="1">
        <f>HYPERLINK("https://lsnyc.legalserver.org/matter/dynamic-profile/view/1908447","19-1908447")</f>
        <v>0</v>
      </c>
      <c r="B4281" t="s">
        <v>3493</v>
      </c>
      <c r="C4281" t="s">
        <v>8289</v>
      </c>
      <c r="D4281" t="s">
        <v>9932</v>
      </c>
      <c r="E4281" t="s">
        <v>10075</v>
      </c>
      <c r="F4281">
        <v>11368</v>
      </c>
      <c r="G4281" t="s">
        <v>10092</v>
      </c>
      <c r="H4281" t="s">
        <v>10151</v>
      </c>
      <c r="I4281" t="s">
        <v>10169</v>
      </c>
      <c r="J4281" t="s">
        <v>10212</v>
      </c>
      <c r="K4281" t="s">
        <v>10218</v>
      </c>
      <c r="L4281" t="s">
        <v>10098</v>
      </c>
      <c r="M4281" t="s">
        <v>10374</v>
      </c>
      <c r="N4281" t="s">
        <v>10745</v>
      </c>
      <c r="O4281" t="s">
        <v>10699</v>
      </c>
      <c r="P4281" t="s">
        <v>10754</v>
      </c>
      <c r="Q4281" t="s">
        <v>10777</v>
      </c>
      <c r="R4281" t="s">
        <v>10821</v>
      </c>
      <c r="T4281">
        <v>0</v>
      </c>
      <c r="U4281">
        <v>0</v>
      </c>
      <c r="V4281">
        <v>25</v>
      </c>
      <c r="W4281">
        <v>1</v>
      </c>
      <c r="X4281">
        <v>1</v>
      </c>
      <c r="Y4281" t="s">
        <v>10829</v>
      </c>
      <c r="Z4281">
        <v>0</v>
      </c>
      <c r="AA4281">
        <v>40.736906</v>
      </c>
      <c r="AB4281">
        <v>-73.861374</v>
      </c>
      <c r="AD4281" t="s">
        <v>10839</v>
      </c>
      <c r="AF4281" t="s">
        <v>10842</v>
      </c>
      <c r="AG4281" t="s">
        <v>10859</v>
      </c>
      <c r="AH4281" t="s">
        <v>10865</v>
      </c>
      <c r="AI4281">
        <v>237</v>
      </c>
      <c r="AJ4281" t="s">
        <v>10212</v>
      </c>
      <c r="AK4281" t="s">
        <v>10837</v>
      </c>
      <c r="AL4281">
        <v>1.25</v>
      </c>
      <c r="AM4281" t="s">
        <v>10885</v>
      </c>
      <c r="AN4281" t="s">
        <v>10916</v>
      </c>
      <c r="AO4281" t="s">
        <v>11014</v>
      </c>
      <c r="AP4281" t="s">
        <v>11068</v>
      </c>
      <c r="AR4281" t="s">
        <v>11267</v>
      </c>
      <c r="AS4281" t="s">
        <v>11594</v>
      </c>
      <c r="AT4281" t="s">
        <v>11641</v>
      </c>
      <c r="AX4281" t="s">
        <v>10838</v>
      </c>
      <c r="AY4281" t="s">
        <v>10829</v>
      </c>
      <c r="AZ4281" t="s">
        <v>11683</v>
      </c>
      <c r="BA4281" t="s">
        <v>11741</v>
      </c>
      <c r="BB4281">
        <v>0</v>
      </c>
      <c r="BC4281">
        <v>0</v>
      </c>
      <c r="BD4281">
        <v>0</v>
      </c>
      <c r="BE4281">
        <v>0</v>
      </c>
      <c r="BF4281">
        <v>1</v>
      </c>
      <c r="BG4281">
        <v>0</v>
      </c>
    </row>
    <row r="4282" spans="1:59">
      <c r="A4282" s="1">
        <f>HYPERLINK("https://lsnyc.legalserver.org/matter/dynamic-profile/view/1908448","19-1908448")</f>
        <v>0</v>
      </c>
      <c r="B4282" t="s">
        <v>3494</v>
      </c>
      <c r="C4282" t="s">
        <v>8290</v>
      </c>
      <c r="D4282" t="s">
        <v>9926</v>
      </c>
      <c r="E4282" t="s">
        <v>10075</v>
      </c>
      <c r="F4282">
        <v>10454</v>
      </c>
      <c r="G4282" t="s">
        <v>10090</v>
      </c>
      <c r="H4282" t="s">
        <v>10098</v>
      </c>
      <c r="I4282" t="s">
        <v>10169</v>
      </c>
      <c r="J4282" t="s">
        <v>10210</v>
      </c>
      <c r="K4282" t="s">
        <v>10217</v>
      </c>
      <c r="M4282" t="s">
        <v>10611</v>
      </c>
      <c r="N4282" t="s">
        <v>10734</v>
      </c>
      <c r="P4282" t="s">
        <v>10753</v>
      </c>
      <c r="Q4282" t="s">
        <v>10763</v>
      </c>
      <c r="R4282" t="s">
        <v>10821</v>
      </c>
      <c r="T4282">
        <v>0</v>
      </c>
      <c r="U4282">
        <v>0</v>
      </c>
      <c r="V4282">
        <v>41</v>
      </c>
      <c r="W4282">
        <v>1</v>
      </c>
      <c r="X4282">
        <v>3</v>
      </c>
      <c r="Z4282">
        <v>0</v>
      </c>
      <c r="AA4282">
        <v>40.805911</v>
      </c>
      <c r="AB4282">
        <v>-73.918576</v>
      </c>
      <c r="AD4282" t="s">
        <v>10840</v>
      </c>
      <c r="AF4282" t="s">
        <v>10843</v>
      </c>
      <c r="AG4282" t="s">
        <v>10859</v>
      </c>
      <c r="AH4282" t="s">
        <v>10864</v>
      </c>
      <c r="AI4282">
        <v>230</v>
      </c>
      <c r="AJ4282" t="s">
        <v>10210</v>
      </c>
      <c r="AL4282">
        <v>0</v>
      </c>
      <c r="AM4282" t="s">
        <v>10884</v>
      </c>
      <c r="AN4282" t="s">
        <v>10924</v>
      </c>
      <c r="AO4282" t="s">
        <v>11013</v>
      </c>
      <c r="AP4282" t="s">
        <v>11066</v>
      </c>
      <c r="AR4282" t="s">
        <v>11267</v>
      </c>
      <c r="AS4282" t="s">
        <v>9926</v>
      </c>
      <c r="AT4282" t="s">
        <v>11642</v>
      </c>
      <c r="AV4282" t="s">
        <v>11655</v>
      </c>
      <c r="AW4282" t="s">
        <v>11666</v>
      </c>
      <c r="AX4282" t="s">
        <v>10838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</row>
    <row r="4283" spans="1:59">
      <c r="A4283" s="1">
        <f>HYPERLINK("https://lsnyc.legalserver.org/matter/dynamic-profile/view/1908449","19-1908449")</f>
        <v>0</v>
      </c>
      <c r="B4283" t="s">
        <v>3495</v>
      </c>
      <c r="C4283" t="s">
        <v>8291</v>
      </c>
      <c r="D4283" t="s">
        <v>9938</v>
      </c>
      <c r="E4283" t="s">
        <v>10075</v>
      </c>
      <c r="F4283">
        <v>11434</v>
      </c>
      <c r="G4283" t="s">
        <v>10092</v>
      </c>
      <c r="H4283" t="s">
        <v>10098</v>
      </c>
      <c r="I4283" t="s">
        <v>10168</v>
      </c>
      <c r="J4283" t="s">
        <v>10212</v>
      </c>
      <c r="K4283" t="s">
        <v>10217</v>
      </c>
      <c r="M4283" t="s">
        <v>10312</v>
      </c>
      <c r="N4283" t="s">
        <v>10693</v>
      </c>
      <c r="P4283" t="s">
        <v>10749</v>
      </c>
      <c r="Q4283" t="s">
        <v>10765</v>
      </c>
      <c r="R4283" t="s">
        <v>10821</v>
      </c>
      <c r="T4283">
        <v>6000</v>
      </c>
      <c r="U4283">
        <v>500</v>
      </c>
      <c r="V4283">
        <v>24</v>
      </c>
      <c r="W4283">
        <v>1</v>
      </c>
      <c r="X4283">
        <v>3</v>
      </c>
      <c r="Z4283">
        <v>23.3</v>
      </c>
      <c r="AA4283">
        <v>40.681681</v>
      </c>
      <c r="AB4283">
        <v>-73.792064</v>
      </c>
      <c r="AD4283" t="s">
        <v>10839</v>
      </c>
      <c r="AG4283" t="s">
        <v>10858</v>
      </c>
      <c r="AH4283" t="s">
        <v>10862</v>
      </c>
      <c r="AI4283">
        <v>237</v>
      </c>
      <c r="AJ4283" t="s">
        <v>10212</v>
      </c>
      <c r="AL4283">
        <v>1</v>
      </c>
      <c r="AM4283" t="s">
        <v>10892</v>
      </c>
      <c r="AN4283" t="s">
        <v>10951</v>
      </c>
      <c r="AO4283" t="s">
        <v>11017</v>
      </c>
      <c r="AP4283" t="s">
        <v>11070</v>
      </c>
      <c r="AR4283" t="s">
        <v>11305</v>
      </c>
      <c r="AS4283" t="s">
        <v>11594</v>
      </c>
      <c r="BA4283" t="s">
        <v>11738</v>
      </c>
      <c r="BB4283">
        <v>0</v>
      </c>
      <c r="BC4283">
        <v>0</v>
      </c>
      <c r="BD4283">
        <v>0</v>
      </c>
      <c r="BE4283">
        <v>0</v>
      </c>
      <c r="BF4283">
        <v>5</v>
      </c>
      <c r="BG4283">
        <v>0</v>
      </c>
    </row>
    <row r="4284" spans="1:59">
      <c r="A4284" s="1">
        <f>HYPERLINK("https://lsnyc.legalserver.org/matter/dynamic-profile/view/1908450","19-1908450")</f>
        <v>0</v>
      </c>
      <c r="B4284" t="s">
        <v>3496</v>
      </c>
      <c r="C4284" t="s">
        <v>8292</v>
      </c>
      <c r="D4284" t="s">
        <v>9929</v>
      </c>
      <c r="E4284" t="s">
        <v>10075</v>
      </c>
      <c r="F4284">
        <v>10312</v>
      </c>
      <c r="G4284" t="s">
        <v>10088</v>
      </c>
      <c r="H4284" t="s">
        <v>10108</v>
      </c>
      <c r="I4284" t="s">
        <v>10168</v>
      </c>
      <c r="J4284" t="s">
        <v>10208</v>
      </c>
      <c r="K4284" t="s">
        <v>10217</v>
      </c>
      <c r="M4284" t="s">
        <v>10377</v>
      </c>
      <c r="N4284" t="s">
        <v>10652</v>
      </c>
      <c r="P4284" t="s">
        <v>10754</v>
      </c>
      <c r="Q4284" t="s">
        <v>10766</v>
      </c>
      <c r="R4284" t="s">
        <v>10827</v>
      </c>
      <c r="T4284">
        <v>0</v>
      </c>
      <c r="U4284">
        <v>0</v>
      </c>
      <c r="V4284">
        <v>44</v>
      </c>
      <c r="W4284">
        <v>1</v>
      </c>
      <c r="X4284">
        <v>4</v>
      </c>
      <c r="Z4284">
        <v>0</v>
      </c>
      <c r="AA4284">
        <v>40.55943</v>
      </c>
      <c r="AB4284">
        <v>-74.16547199999999</v>
      </c>
      <c r="AD4284" t="s">
        <v>10839</v>
      </c>
      <c r="AG4284" t="s">
        <v>10858</v>
      </c>
      <c r="AH4284" t="s">
        <v>10861</v>
      </c>
      <c r="AI4284">
        <v>285</v>
      </c>
      <c r="AJ4284" t="s">
        <v>10208</v>
      </c>
      <c r="AL4284">
        <v>0.5</v>
      </c>
      <c r="AM4284" t="s">
        <v>10883</v>
      </c>
      <c r="AN4284" t="s">
        <v>10906</v>
      </c>
      <c r="AO4284" t="s">
        <v>10999</v>
      </c>
      <c r="AP4284" t="s">
        <v>11044</v>
      </c>
      <c r="AQ4284" t="s">
        <v>11112</v>
      </c>
      <c r="AR4284" t="s">
        <v>11267</v>
      </c>
      <c r="AS4284" t="s">
        <v>11593</v>
      </c>
      <c r="AT4284" t="s">
        <v>11641</v>
      </c>
      <c r="AX4284" t="s">
        <v>10838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</row>
    <row r="4285" spans="1:59">
      <c r="A4285" s="1">
        <f>HYPERLINK("https://lsnyc.legalserver.org/matter/dynamic-profile/view/1908451","19-1908451")</f>
        <v>0</v>
      </c>
      <c r="B4285" t="s">
        <v>3497</v>
      </c>
      <c r="C4285" t="s">
        <v>8293</v>
      </c>
      <c r="D4285" t="s">
        <v>9926</v>
      </c>
      <c r="E4285" t="s">
        <v>10075</v>
      </c>
      <c r="F4285">
        <v>10452</v>
      </c>
      <c r="G4285" t="s">
        <v>10090</v>
      </c>
      <c r="H4285" t="s">
        <v>10098</v>
      </c>
      <c r="I4285" t="s">
        <v>10169</v>
      </c>
      <c r="J4285" t="s">
        <v>10210</v>
      </c>
      <c r="K4285" t="s">
        <v>10217</v>
      </c>
      <c r="M4285" t="s">
        <v>10235</v>
      </c>
      <c r="N4285" t="s">
        <v>10666</v>
      </c>
      <c r="P4285" t="s">
        <v>10749</v>
      </c>
      <c r="Q4285" t="s">
        <v>10765</v>
      </c>
      <c r="R4285" t="s">
        <v>10821</v>
      </c>
      <c r="T4285">
        <v>19008</v>
      </c>
      <c r="U4285">
        <v>1584</v>
      </c>
      <c r="V4285">
        <v>46</v>
      </c>
      <c r="W4285">
        <v>1</v>
      </c>
      <c r="X4285">
        <v>1</v>
      </c>
      <c r="Z4285">
        <v>112.41</v>
      </c>
      <c r="AA4285">
        <v>40.84012</v>
      </c>
      <c r="AB4285">
        <v>-73.922146</v>
      </c>
      <c r="AD4285" t="s">
        <v>10839</v>
      </c>
      <c r="AG4285" t="s">
        <v>10858</v>
      </c>
      <c r="AH4285" t="s">
        <v>10861</v>
      </c>
      <c r="AI4285">
        <v>230</v>
      </c>
      <c r="AJ4285" t="s">
        <v>10210</v>
      </c>
      <c r="AL4285">
        <v>4</v>
      </c>
      <c r="AM4285" t="s">
        <v>10884</v>
      </c>
      <c r="AN4285" t="s">
        <v>10929</v>
      </c>
      <c r="AO4285" t="s">
        <v>11013</v>
      </c>
      <c r="AP4285" t="s">
        <v>11055</v>
      </c>
      <c r="AR4285" t="s">
        <v>11257</v>
      </c>
      <c r="AS4285" t="s">
        <v>9926</v>
      </c>
      <c r="AT4285" t="s">
        <v>11641</v>
      </c>
      <c r="AX4285" t="s">
        <v>10838</v>
      </c>
      <c r="BA4285" t="s">
        <v>11738</v>
      </c>
      <c r="BB4285">
        <v>0</v>
      </c>
      <c r="BC4285">
        <v>0</v>
      </c>
      <c r="BD4285">
        <v>0</v>
      </c>
      <c r="BE4285">
        <v>0</v>
      </c>
      <c r="BF4285">
        <v>5</v>
      </c>
      <c r="BG4285">
        <v>0</v>
      </c>
    </row>
    <row r="4286" spans="1:59">
      <c r="A4286" s="1">
        <f>HYPERLINK("https://lsnyc.legalserver.org/matter/dynamic-profile/view/1908452","19-1908452")</f>
        <v>0</v>
      </c>
      <c r="B4286" t="s">
        <v>3498</v>
      </c>
      <c r="C4286" t="s">
        <v>6607</v>
      </c>
      <c r="D4286" t="s">
        <v>9938</v>
      </c>
      <c r="E4286" t="s">
        <v>10075</v>
      </c>
      <c r="F4286">
        <v>11432</v>
      </c>
      <c r="G4286" t="s">
        <v>10090</v>
      </c>
      <c r="H4286" t="s">
        <v>10098</v>
      </c>
      <c r="I4286" t="s">
        <v>10168</v>
      </c>
      <c r="J4286" t="s">
        <v>10210</v>
      </c>
      <c r="K4286" t="s">
        <v>10217</v>
      </c>
      <c r="M4286" t="s">
        <v>10338</v>
      </c>
      <c r="N4286" t="s">
        <v>10671</v>
      </c>
      <c r="P4286" t="s">
        <v>10753</v>
      </c>
      <c r="Q4286" t="s">
        <v>10790</v>
      </c>
      <c r="R4286" t="s">
        <v>10825</v>
      </c>
      <c r="T4286">
        <v>10296</v>
      </c>
      <c r="U4286">
        <v>858</v>
      </c>
      <c r="V4286">
        <v>56</v>
      </c>
      <c r="W4286">
        <v>1</v>
      </c>
      <c r="X4286">
        <v>0</v>
      </c>
      <c r="Z4286">
        <v>82.43000000000001</v>
      </c>
      <c r="AA4286">
        <v>40.705204</v>
      </c>
      <c r="AB4286">
        <v>-73.800642</v>
      </c>
      <c r="AD4286" t="s">
        <v>10839</v>
      </c>
      <c r="AF4286" t="s">
        <v>10843</v>
      </c>
      <c r="AG4286" t="s">
        <v>10859</v>
      </c>
      <c r="AH4286" t="s">
        <v>10874</v>
      </c>
      <c r="AI4286">
        <v>230</v>
      </c>
      <c r="AJ4286" t="s">
        <v>10210</v>
      </c>
      <c r="AL4286">
        <v>4.35</v>
      </c>
      <c r="AM4286" t="s">
        <v>10892</v>
      </c>
      <c r="AN4286" t="s">
        <v>10951</v>
      </c>
      <c r="AO4286" t="s">
        <v>11020</v>
      </c>
      <c r="AP4286" t="s">
        <v>11081</v>
      </c>
      <c r="AR4286" t="s">
        <v>11263</v>
      </c>
      <c r="AS4286" t="s">
        <v>11594</v>
      </c>
      <c r="AT4286" t="s">
        <v>11641</v>
      </c>
      <c r="AX4286" t="s">
        <v>10837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</row>
    <row r="4287" spans="1:59">
      <c r="A4287" s="1">
        <f>HYPERLINK("https://lsnyc.legalserver.org/matter/dynamic-profile/view/1908453","19-1908453")</f>
        <v>0</v>
      </c>
      <c r="B4287" t="s">
        <v>3097</v>
      </c>
      <c r="C4287" t="s">
        <v>7886</v>
      </c>
      <c r="D4287" t="s">
        <v>9926</v>
      </c>
      <c r="E4287" t="s">
        <v>10075</v>
      </c>
      <c r="F4287">
        <v>10460</v>
      </c>
      <c r="G4287" t="s">
        <v>10090</v>
      </c>
      <c r="H4287" t="s">
        <v>10098</v>
      </c>
      <c r="I4287" t="s">
        <v>10168</v>
      </c>
      <c r="J4287" t="s">
        <v>10210</v>
      </c>
      <c r="K4287" t="s">
        <v>10217</v>
      </c>
      <c r="M4287" t="s">
        <v>10477</v>
      </c>
      <c r="N4287" t="s">
        <v>10671</v>
      </c>
      <c r="P4287" t="s">
        <v>10751</v>
      </c>
      <c r="Q4287" t="s">
        <v>10761</v>
      </c>
      <c r="R4287" t="s">
        <v>10822</v>
      </c>
      <c r="T4287">
        <v>12000</v>
      </c>
      <c r="U4287">
        <v>1000</v>
      </c>
      <c r="V4287">
        <v>41</v>
      </c>
      <c r="W4287">
        <v>1</v>
      </c>
      <c r="X4287">
        <v>2</v>
      </c>
      <c r="Z4287">
        <v>56.26</v>
      </c>
      <c r="AA4287">
        <v>40.842524</v>
      </c>
      <c r="AB4287">
        <v>-73.878573</v>
      </c>
      <c r="AD4287" t="s">
        <v>10839</v>
      </c>
      <c r="AG4287" t="s">
        <v>10858</v>
      </c>
      <c r="AH4287" t="s">
        <v>10862</v>
      </c>
      <c r="AI4287">
        <v>230</v>
      </c>
      <c r="AJ4287" t="s">
        <v>10210</v>
      </c>
      <c r="AL4287">
        <v>0</v>
      </c>
      <c r="AM4287" t="s">
        <v>10884</v>
      </c>
      <c r="AN4287" t="s">
        <v>10908</v>
      </c>
      <c r="AO4287" t="s">
        <v>11001</v>
      </c>
      <c r="AP4287" t="s">
        <v>11056</v>
      </c>
      <c r="AR4287" t="s">
        <v>11309</v>
      </c>
      <c r="AS4287" t="s">
        <v>9926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</row>
    <row r="4288" spans="1:59">
      <c r="A4288" s="1">
        <f>HYPERLINK("https://lsnyc.legalserver.org/matter/dynamic-profile/view/1908454","19-1908454")</f>
        <v>0</v>
      </c>
      <c r="B4288" t="s">
        <v>1691</v>
      </c>
      <c r="C4288" t="s">
        <v>8294</v>
      </c>
      <c r="D4288" t="s">
        <v>9926</v>
      </c>
      <c r="E4288" t="s">
        <v>10075</v>
      </c>
      <c r="F4288">
        <v>10463</v>
      </c>
      <c r="G4288" t="s">
        <v>10090</v>
      </c>
      <c r="H4288" t="s">
        <v>10098</v>
      </c>
      <c r="I4288" t="s">
        <v>10168</v>
      </c>
      <c r="J4288" t="s">
        <v>10210</v>
      </c>
      <c r="K4288" t="s">
        <v>10217</v>
      </c>
      <c r="M4288" t="s">
        <v>10297</v>
      </c>
      <c r="N4288" t="s">
        <v>10651</v>
      </c>
      <c r="P4288" t="s">
        <v>10749</v>
      </c>
      <c r="Q4288" t="s">
        <v>10765</v>
      </c>
      <c r="R4288" t="s">
        <v>10821</v>
      </c>
      <c r="T4288">
        <v>25400</v>
      </c>
      <c r="U4288">
        <v>2116.67</v>
      </c>
      <c r="V4288">
        <v>26</v>
      </c>
      <c r="W4288">
        <v>4</v>
      </c>
      <c r="X4288">
        <v>1</v>
      </c>
      <c r="Z4288">
        <v>84.19</v>
      </c>
      <c r="AA4288">
        <v>40.884048</v>
      </c>
      <c r="AB4288">
        <v>-73.898527</v>
      </c>
      <c r="AD4288" t="s">
        <v>10839</v>
      </c>
      <c r="AG4288" t="s">
        <v>10858</v>
      </c>
      <c r="AH4288" t="s">
        <v>10862</v>
      </c>
      <c r="AI4288">
        <v>230</v>
      </c>
      <c r="AJ4288" t="s">
        <v>10210</v>
      </c>
      <c r="AL4288">
        <v>7.8</v>
      </c>
      <c r="AM4288" t="s">
        <v>10887</v>
      </c>
      <c r="AN4288" t="s">
        <v>10919</v>
      </c>
      <c r="AO4288" t="s">
        <v>11000</v>
      </c>
      <c r="AP4288" t="s">
        <v>11057</v>
      </c>
      <c r="AR4288" t="s">
        <v>11295</v>
      </c>
      <c r="AS4288" t="s">
        <v>9926</v>
      </c>
      <c r="BA4288" t="s">
        <v>11738</v>
      </c>
      <c r="BB4288">
        <v>0</v>
      </c>
      <c r="BC4288">
        <v>0</v>
      </c>
      <c r="BD4288">
        <v>0</v>
      </c>
      <c r="BE4288">
        <v>0</v>
      </c>
      <c r="BF4288">
        <v>5</v>
      </c>
      <c r="BG4288">
        <v>0</v>
      </c>
    </row>
    <row r="4289" spans="1:59">
      <c r="A4289" s="1">
        <f>HYPERLINK("https://lsnyc.legalserver.org/matter/dynamic-profile/view/1908455","19-1908455")</f>
        <v>0</v>
      </c>
      <c r="B4289" t="s">
        <v>3499</v>
      </c>
      <c r="C4289" t="s">
        <v>8295</v>
      </c>
      <c r="D4289" t="s">
        <v>9925</v>
      </c>
      <c r="E4289" t="s">
        <v>10075</v>
      </c>
      <c r="F4289">
        <v>10014</v>
      </c>
      <c r="G4289" t="s">
        <v>10089</v>
      </c>
      <c r="H4289" t="s">
        <v>10100</v>
      </c>
      <c r="I4289" t="s">
        <v>10168</v>
      </c>
      <c r="J4289" t="s">
        <v>10209</v>
      </c>
      <c r="K4289" t="s">
        <v>10217</v>
      </c>
      <c r="M4289" t="s">
        <v>10403</v>
      </c>
      <c r="N4289" t="s">
        <v>10646</v>
      </c>
      <c r="P4289" t="s">
        <v>10749</v>
      </c>
      <c r="Q4289" t="s">
        <v>10765</v>
      </c>
      <c r="R4289" t="s">
        <v>10820</v>
      </c>
      <c r="T4289">
        <v>47000</v>
      </c>
      <c r="U4289">
        <v>3916.67</v>
      </c>
      <c r="V4289">
        <v>48</v>
      </c>
      <c r="W4289">
        <v>1</v>
      </c>
      <c r="X4289">
        <v>0</v>
      </c>
      <c r="Z4289">
        <v>376.3</v>
      </c>
      <c r="AA4289">
        <v>40.736607</v>
      </c>
      <c r="AB4289">
        <v>-74.00881099999999</v>
      </c>
      <c r="AD4289" t="s">
        <v>10840</v>
      </c>
      <c r="AG4289" t="s">
        <v>10858</v>
      </c>
      <c r="AH4289" t="s">
        <v>10874</v>
      </c>
      <c r="AI4289">
        <v>230</v>
      </c>
      <c r="AJ4289" t="s">
        <v>10210</v>
      </c>
      <c r="AL4289">
        <v>1.8</v>
      </c>
      <c r="AM4289" t="s">
        <v>10894</v>
      </c>
      <c r="AN4289" t="s">
        <v>10950</v>
      </c>
      <c r="AO4289" t="s">
        <v>11021</v>
      </c>
      <c r="AP4289" t="s">
        <v>11090</v>
      </c>
      <c r="AR4289" t="s">
        <v>11257</v>
      </c>
      <c r="AS4289" t="s">
        <v>9925</v>
      </c>
      <c r="AT4289" t="s">
        <v>11642</v>
      </c>
      <c r="AX4289" t="s">
        <v>10837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</row>
    <row r="4290" spans="1:59">
      <c r="A4290" s="1">
        <f>HYPERLINK("https://lsnyc.legalserver.org/matter/dynamic-profile/view/1908456","19-1908456")</f>
        <v>0</v>
      </c>
      <c r="B4290" t="s">
        <v>3500</v>
      </c>
      <c r="C4290" t="s">
        <v>8296</v>
      </c>
      <c r="D4290" t="s">
        <v>9938</v>
      </c>
      <c r="E4290" t="s">
        <v>10075</v>
      </c>
      <c r="F4290">
        <v>11434</v>
      </c>
      <c r="G4290" t="s">
        <v>10092</v>
      </c>
      <c r="H4290" t="s">
        <v>10098</v>
      </c>
      <c r="I4290" t="s">
        <v>10168</v>
      </c>
      <c r="J4290" t="s">
        <v>10212</v>
      </c>
      <c r="K4290" t="s">
        <v>10217</v>
      </c>
      <c r="M4290" t="s">
        <v>10428</v>
      </c>
      <c r="N4290" t="s">
        <v>10646</v>
      </c>
      <c r="P4290" t="s">
        <v>10749</v>
      </c>
      <c r="Q4290" t="s">
        <v>10765</v>
      </c>
      <c r="R4290" t="s">
        <v>10824</v>
      </c>
      <c r="T4290">
        <v>52000</v>
      </c>
      <c r="U4290">
        <v>4333.33</v>
      </c>
      <c r="V4290">
        <v>27</v>
      </c>
      <c r="W4290">
        <v>2</v>
      </c>
      <c r="X4290">
        <v>1</v>
      </c>
      <c r="Z4290">
        <v>243.79</v>
      </c>
      <c r="AA4290">
        <v>40.683903</v>
      </c>
      <c r="AB4290">
        <v>-73.77705</v>
      </c>
      <c r="AD4290" t="s">
        <v>10839</v>
      </c>
      <c r="AG4290" t="s">
        <v>10858</v>
      </c>
      <c r="AH4290" t="s">
        <v>10862</v>
      </c>
      <c r="AI4290">
        <v>237</v>
      </c>
      <c r="AJ4290" t="s">
        <v>10212</v>
      </c>
      <c r="AL4290">
        <v>9.93</v>
      </c>
      <c r="AM4290" t="s">
        <v>10892</v>
      </c>
      <c r="AN4290" t="s">
        <v>10951</v>
      </c>
      <c r="AO4290" t="s">
        <v>11017</v>
      </c>
      <c r="AP4290" t="s">
        <v>11075</v>
      </c>
      <c r="AR4290" t="s">
        <v>11257</v>
      </c>
      <c r="AS4290" t="s">
        <v>11594</v>
      </c>
      <c r="BA4290" t="s">
        <v>11738</v>
      </c>
      <c r="BB4290">
        <v>0</v>
      </c>
      <c r="BC4290">
        <v>0</v>
      </c>
      <c r="BD4290">
        <v>0</v>
      </c>
      <c r="BE4290">
        <v>0</v>
      </c>
      <c r="BF4290">
        <v>5</v>
      </c>
      <c r="BG4290">
        <v>0</v>
      </c>
    </row>
    <row r="4291" spans="1:59">
      <c r="A4291" s="1">
        <f>HYPERLINK("https://lsnyc.legalserver.org/matter/dynamic-profile/view/1908458","19-1908458")</f>
        <v>0</v>
      </c>
      <c r="B4291" t="s">
        <v>3501</v>
      </c>
      <c r="C4291" t="s">
        <v>8297</v>
      </c>
      <c r="D4291" t="s">
        <v>9939</v>
      </c>
      <c r="E4291" t="s">
        <v>10075</v>
      </c>
      <c r="F4291">
        <v>11419</v>
      </c>
      <c r="G4291" t="s">
        <v>10092</v>
      </c>
      <c r="H4291" t="s">
        <v>10098</v>
      </c>
      <c r="I4291" t="s">
        <v>10168</v>
      </c>
      <c r="J4291" t="s">
        <v>10212</v>
      </c>
      <c r="K4291" t="s">
        <v>10217</v>
      </c>
      <c r="M4291" t="s">
        <v>10311</v>
      </c>
      <c r="N4291" t="s">
        <v>10684</v>
      </c>
      <c r="P4291" t="s">
        <v>10751</v>
      </c>
      <c r="Q4291" t="s">
        <v>10786</v>
      </c>
      <c r="R4291" t="s">
        <v>10827</v>
      </c>
      <c r="T4291">
        <v>0</v>
      </c>
      <c r="U4291">
        <v>0</v>
      </c>
      <c r="V4291">
        <v>64</v>
      </c>
      <c r="W4291">
        <v>1</v>
      </c>
      <c r="X4291">
        <v>0</v>
      </c>
      <c r="Z4291">
        <v>0</v>
      </c>
      <c r="AA4291">
        <v>40.689443</v>
      </c>
      <c r="AB4291">
        <v>-73.820556</v>
      </c>
      <c r="AD4291" t="s">
        <v>10839</v>
      </c>
      <c r="AG4291" t="s">
        <v>10858</v>
      </c>
      <c r="AH4291" t="s">
        <v>10873</v>
      </c>
      <c r="AI4291">
        <v>237</v>
      </c>
      <c r="AJ4291" t="s">
        <v>10212</v>
      </c>
      <c r="AL4291">
        <v>2</v>
      </c>
      <c r="AM4291" t="s">
        <v>10892</v>
      </c>
      <c r="AN4291" t="s">
        <v>10944</v>
      </c>
      <c r="AO4291" t="s">
        <v>11017</v>
      </c>
      <c r="AP4291" t="s">
        <v>11070</v>
      </c>
      <c r="AR4291" t="s">
        <v>11267</v>
      </c>
      <c r="AS4291" t="s">
        <v>11594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</row>
    <row r="4292" spans="1:59">
      <c r="A4292" s="1">
        <f>HYPERLINK("https://lsnyc.legalserver.org/matter/dynamic-profile/view/1908459","19-1908459")</f>
        <v>0</v>
      </c>
      <c r="B4292" t="s">
        <v>3502</v>
      </c>
      <c r="C4292" t="s">
        <v>8298</v>
      </c>
      <c r="D4292" t="s">
        <v>9928</v>
      </c>
      <c r="E4292" t="s">
        <v>10075</v>
      </c>
      <c r="F4292">
        <v>11203</v>
      </c>
      <c r="G4292" t="s">
        <v>10093</v>
      </c>
      <c r="H4292" t="s">
        <v>10160</v>
      </c>
      <c r="I4292" t="s">
        <v>10168</v>
      </c>
      <c r="J4292" t="s">
        <v>10213</v>
      </c>
      <c r="K4292" t="s">
        <v>10218</v>
      </c>
      <c r="L4292" t="s">
        <v>10116</v>
      </c>
      <c r="M4292" t="s">
        <v>10248</v>
      </c>
      <c r="N4292" t="s">
        <v>10720</v>
      </c>
      <c r="P4292" t="s">
        <v>10749</v>
      </c>
      <c r="Q4292" t="s">
        <v>10769</v>
      </c>
      <c r="R4292" t="s">
        <v>10824</v>
      </c>
      <c r="T4292">
        <v>15780</v>
      </c>
      <c r="U4292">
        <v>1315</v>
      </c>
      <c r="V4292">
        <v>78</v>
      </c>
      <c r="W4292">
        <v>1</v>
      </c>
      <c r="X4292">
        <v>0</v>
      </c>
      <c r="Y4292" t="s">
        <v>10830</v>
      </c>
      <c r="Z4292">
        <v>126.34</v>
      </c>
      <c r="AA4292">
        <v>40.655307</v>
      </c>
      <c r="AB4292">
        <v>-73.934386</v>
      </c>
      <c r="AC4292" t="s">
        <v>10838</v>
      </c>
      <c r="AD4292" t="s">
        <v>10840</v>
      </c>
      <c r="AG4292" t="s">
        <v>10858</v>
      </c>
      <c r="AH4292" t="s">
        <v>10860</v>
      </c>
      <c r="AI4292">
        <v>239</v>
      </c>
      <c r="AJ4292" t="s">
        <v>10213</v>
      </c>
      <c r="AK4292" t="s">
        <v>10838</v>
      </c>
      <c r="AL4292">
        <v>7.25</v>
      </c>
      <c r="AM4292" t="s">
        <v>10888</v>
      </c>
      <c r="AN4292" t="s">
        <v>10925</v>
      </c>
      <c r="AO4292" t="s">
        <v>11005</v>
      </c>
      <c r="AP4292" t="s">
        <v>11064</v>
      </c>
      <c r="AQ4292" t="s">
        <v>11098</v>
      </c>
      <c r="AR4292" t="s">
        <v>11345</v>
      </c>
      <c r="AS4292" t="s">
        <v>11595</v>
      </c>
      <c r="AY4292" t="s">
        <v>10830</v>
      </c>
      <c r="AZ4292" t="s">
        <v>11681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</row>
    <row r="4293" spans="1:59">
      <c r="A4293" s="1">
        <f>HYPERLINK("https://lsnyc.legalserver.org/matter/dynamic-profile/view/1908460","19-1908460")</f>
        <v>0</v>
      </c>
      <c r="B4293" t="s">
        <v>3503</v>
      </c>
      <c r="C4293" t="s">
        <v>8299</v>
      </c>
      <c r="D4293" t="s">
        <v>9926</v>
      </c>
      <c r="E4293" t="s">
        <v>10075</v>
      </c>
      <c r="F4293">
        <v>10467</v>
      </c>
      <c r="G4293" t="s">
        <v>10090</v>
      </c>
      <c r="H4293" t="s">
        <v>10098</v>
      </c>
      <c r="I4293" t="s">
        <v>10168</v>
      </c>
      <c r="J4293" t="s">
        <v>10210</v>
      </c>
      <c r="K4293" t="s">
        <v>10217</v>
      </c>
      <c r="M4293" t="s">
        <v>10349</v>
      </c>
      <c r="N4293" t="s">
        <v>10651</v>
      </c>
      <c r="P4293" t="s">
        <v>10749</v>
      </c>
      <c r="Q4293" t="s">
        <v>10765</v>
      </c>
      <c r="R4293" t="s">
        <v>10825</v>
      </c>
      <c r="T4293">
        <v>8940</v>
      </c>
      <c r="U4293">
        <v>745</v>
      </c>
      <c r="V4293">
        <v>45</v>
      </c>
      <c r="W4293">
        <v>2</v>
      </c>
      <c r="X4293">
        <v>0</v>
      </c>
      <c r="Z4293">
        <v>52.87</v>
      </c>
      <c r="AA4293">
        <v>40.87028</v>
      </c>
      <c r="AB4293">
        <v>-73.865528</v>
      </c>
      <c r="AD4293" t="s">
        <v>10840</v>
      </c>
      <c r="AG4293" t="s">
        <v>10858</v>
      </c>
      <c r="AH4293" t="s">
        <v>10862</v>
      </c>
      <c r="AI4293">
        <v>230</v>
      </c>
      <c r="AJ4293" t="s">
        <v>10210</v>
      </c>
      <c r="AL4293">
        <v>10.5</v>
      </c>
      <c r="AM4293" t="s">
        <v>10893</v>
      </c>
      <c r="AN4293" t="s">
        <v>10938</v>
      </c>
      <c r="AO4293" t="s">
        <v>11010</v>
      </c>
      <c r="AP4293" t="s">
        <v>11056</v>
      </c>
      <c r="AR4293" t="s">
        <v>11268</v>
      </c>
      <c r="AS4293" t="s">
        <v>9926</v>
      </c>
      <c r="BA4293" t="s">
        <v>11738</v>
      </c>
      <c r="BB4293">
        <v>0</v>
      </c>
      <c r="BC4293">
        <v>0</v>
      </c>
      <c r="BD4293">
        <v>0</v>
      </c>
      <c r="BE4293">
        <v>0</v>
      </c>
      <c r="BF4293">
        <v>5</v>
      </c>
      <c r="BG4293">
        <v>0</v>
      </c>
    </row>
    <row r="4294" spans="1:59">
      <c r="A4294" s="1">
        <f>HYPERLINK("https://lsnyc.legalserver.org/matter/dynamic-profile/view/1908461","19-1908461")</f>
        <v>0</v>
      </c>
      <c r="B4294" t="s">
        <v>3504</v>
      </c>
      <c r="C4294" t="s">
        <v>8300</v>
      </c>
      <c r="D4294" t="s">
        <v>9938</v>
      </c>
      <c r="E4294" t="s">
        <v>10075</v>
      </c>
      <c r="F4294">
        <v>11433</v>
      </c>
      <c r="G4294" t="s">
        <v>10092</v>
      </c>
      <c r="H4294" t="s">
        <v>10098</v>
      </c>
      <c r="I4294" t="s">
        <v>10168</v>
      </c>
      <c r="J4294" t="s">
        <v>10212</v>
      </c>
      <c r="K4294" t="s">
        <v>10217</v>
      </c>
      <c r="M4294" t="s">
        <v>10347</v>
      </c>
      <c r="N4294" t="s">
        <v>10693</v>
      </c>
      <c r="P4294" t="s">
        <v>10749</v>
      </c>
      <c r="Q4294" t="s">
        <v>10765</v>
      </c>
      <c r="R4294" t="s">
        <v>10825</v>
      </c>
      <c r="T4294">
        <v>13000</v>
      </c>
      <c r="U4294">
        <v>1083.33</v>
      </c>
      <c r="V4294">
        <v>59</v>
      </c>
      <c r="W4294">
        <v>1</v>
      </c>
      <c r="X4294">
        <v>0</v>
      </c>
      <c r="Z4294">
        <v>104.08</v>
      </c>
      <c r="AA4294">
        <v>40.689738</v>
      </c>
      <c r="AB4294">
        <v>-73.786765</v>
      </c>
      <c r="AD4294" t="s">
        <v>10840</v>
      </c>
      <c r="AG4294" t="s">
        <v>10858</v>
      </c>
      <c r="AH4294" t="s">
        <v>10862</v>
      </c>
      <c r="AI4294">
        <v>237</v>
      </c>
      <c r="AJ4294" t="s">
        <v>10212</v>
      </c>
      <c r="AL4294">
        <v>0.52</v>
      </c>
      <c r="AM4294" t="s">
        <v>10892</v>
      </c>
      <c r="AN4294" t="s">
        <v>10951</v>
      </c>
      <c r="AO4294" t="s">
        <v>11017</v>
      </c>
      <c r="AP4294" t="s">
        <v>11070</v>
      </c>
      <c r="AR4294" t="s">
        <v>10180</v>
      </c>
      <c r="AS4294" t="s">
        <v>11594</v>
      </c>
      <c r="BA4294" t="s">
        <v>11742</v>
      </c>
      <c r="BB4294">
        <v>0</v>
      </c>
      <c r="BC4294">
        <v>0</v>
      </c>
      <c r="BD4294">
        <v>0</v>
      </c>
      <c r="BE4294">
        <v>0</v>
      </c>
      <c r="BF4294">
        <v>7</v>
      </c>
      <c r="BG4294">
        <v>0</v>
      </c>
    </row>
    <row r="4295" spans="1:59">
      <c r="A4295" s="1">
        <f>HYPERLINK("https://lsnyc.legalserver.org/matter/dynamic-profile/view/1908462","19-1908462")</f>
        <v>0</v>
      </c>
      <c r="B4295" t="s">
        <v>3505</v>
      </c>
      <c r="C4295" t="s">
        <v>5064</v>
      </c>
      <c r="D4295" t="s">
        <v>9925</v>
      </c>
      <c r="E4295" t="s">
        <v>10075</v>
      </c>
      <c r="F4295">
        <v>10035</v>
      </c>
      <c r="G4295" t="s">
        <v>10089</v>
      </c>
      <c r="H4295" t="s">
        <v>10098</v>
      </c>
      <c r="I4295" t="s">
        <v>10168</v>
      </c>
      <c r="J4295" t="s">
        <v>10209</v>
      </c>
      <c r="K4295" t="s">
        <v>10217</v>
      </c>
      <c r="M4295" t="s">
        <v>10589</v>
      </c>
      <c r="N4295" t="s">
        <v>10650</v>
      </c>
      <c r="P4295" t="s">
        <v>10749</v>
      </c>
      <c r="Q4295" t="s">
        <v>10765</v>
      </c>
      <c r="R4295" t="s">
        <v>10824</v>
      </c>
      <c r="T4295">
        <v>18000</v>
      </c>
      <c r="U4295">
        <v>1500</v>
      </c>
      <c r="V4295">
        <v>39</v>
      </c>
      <c r="W4295">
        <v>1</v>
      </c>
      <c r="X4295">
        <v>0</v>
      </c>
      <c r="Z4295">
        <v>144.12</v>
      </c>
      <c r="AA4295">
        <v>40.799429</v>
      </c>
      <c r="AB4295">
        <v>-73.94181399999999</v>
      </c>
      <c r="AD4295" t="s">
        <v>10840</v>
      </c>
      <c r="AG4295" t="s">
        <v>10858</v>
      </c>
      <c r="AH4295" t="s">
        <v>10862</v>
      </c>
      <c r="AI4295">
        <v>236</v>
      </c>
      <c r="AJ4295" t="s">
        <v>10209</v>
      </c>
      <c r="AL4295">
        <v>0</v>
      </c>
      <c r="AM4295" t="s">
        <v>10887</v>
      </c>
      <c r="AN4295" t="s">
        <v>10926</v>
      </c>
      <c r="AO4295" t="s">
        <v>11016</v>
      </c>
      <c r="AP4295" t="s">
        <v>11066</v>
      </c>
      <c r="AR4295" t="s">
        <v>11257</v>
      </c>
      <c r="AS4295" t="s">
        <v>9925</v>
      </c>
      <c r="AT4295" t="s">
        <v>11642</v>
      </c>
      <c r="AX4295" t="s">
        <v>10838</v>
      </c>
      <c r="BA4295" t="s">
        <v>11740</v>
      </c>
      <c r="BB4295">
        <v>0</v>
      </c>
      <c r="BC4295">
        <v>0</v>
      </c>
      <c r="BD4295">
        <v>0</v>
      </c>
      <c r="BE4295">
        <v>0</v>
      </c>
      <c r="BF4295">
        <v>2</v>
      </c>
      <c r="BG4295">
        <v>0</v>
      </c>
    </row>
    <row r="4296" spans="1:59">
      <c r="A4296" s="1">
        <f>HYPERLINK("https://lsnyc.legalserver.org/matter/dynamic-profile/view/1908463","19-1908463")</f>
        <v>0</v>
      </c>
      <c r="B4296" t="s">
        <v>3506</v>
      </c>
      <c r="C4296" t="s">
        <v>8301</v>
      </c>
      <c r="D4296" t="s">
        <v>9987</v>
      </c>
      <c r="E4296" t="s">
        <v>10076</v>
      </c>
      <c r="F4296">
        <v>7104</v>
      </c>
      <c r="G4296" t="s">
        <v>10089</v>
      </c>
      <c r="H4296" t="s">
        <v>10098</v>
      </c>
      <c r="I4296" t="s">
        <v>10168</v>
      </c>
      <c r="J4296" t="s">
        <v>10209</v>
      </c>
      <c r="K4296" t="s">
        <v>10217</v>
      </c>
      <c r="M4296" t="s">
        <v>10402</v>
      </c>
      <c r="N4296" t="s">
        <v>10646</v>
      </c>
      <c r="P4296" t="s">
        <v>10756</v>
      </c>
      <c r="Q4296" t="s">
        <v>10792</v>
      </c>
      <c r="R4296" t="s">
        <v>10824</v>
      </c>
      <c r="T4296">
        <v>45000</v>
      </c>
      <c r="U4296">
        <v>3750</v>
      </c>
      <c r="V4296">
        <v>28</v>
      </c>
      <c r="W4296">
        <v>1</v>
      </c>
      <c r="X4296">
        <v>0</v>
      </c>
      <c r="Z4296">
        <v>360.29</v>
      </c>
      <c r="AA4296">
        <v>40.764935</v>
      </c>
      <c r="AB4296">
        <v>-74.170742</v>
      </c>
      <c r="AD4296" t="s">
        <v>10839</v>
      </c>
      <c r="AG4296" t="s">
        <v>10858</v>
      </c>
      <c r="AH4296" t="s">
        <v>10874</v>
      </c>
      <c r="AI4296">
        <v>230</v>
      </c>
      <c r="AJ4296" t="s">
        <v>10210</v>
      </c>
      <c r="AL4296">
        <v>3.6</v>
      </c>
      <c r="AR4296" t="s">
        <v>11257</v>
      </c>
      <c r="AS4296" t="s">
        <v>9926</v>
      </c>
      <c r="AT4296" t="s">
        <v>11641</v>
      </c>
      <c r="AX4296" t="s">
        <v>10837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</row>
    <row r="4297" spans="1:59">
      <c r="A4297" s="1">
        <f>HYPERLINK("https://lsnyc.legalserver.org/matter/dynamic-profile/view/1908465","19-1908465")</f>
        <v>0</v>
      </c>
      <c r="B4297" t="s">
        <v>3507</v>
      </c>
      <c r="C4297" t="s">
        <v>8302</v>
      </c>
      <c r="D4297" t="s">
        <v>9926</v>
      </c>
      <c r="E4297" t="s">
        <v>10075</v>
      </c>
      <c r="F4297">
        <v>10452</v>
      </c>
      <c r="G4297" t="s">
        <v>10090</v>
      </c>
      <c r="H4297" t="s">
        <v>10098</v>
      </c>
      <c r="I4297" t="s">
        <v>10168</v>
      </c>
      <c r="J4297" t="s">
        <v>10210</v>
      </c>
      <c r="K4297" t="s">
        <v>10217</v>
      </c>
      <c r="M4297" t="s">
        <v>10346</v>
      </c>
      <c r="N4297" t="s">
        <v>10671</v>
      </c>
      <c r="P4297" t="s">
        <v>10751</v>
      </c>
      <c r="Q4297" t="s">
        <v>10776</v>
      </c>
      <c r="R4297" t="s">
        <v>10826</v>
      </c>
      <c r="T4297">
        <v>6500</v>
      </c>
      <c r="U4297">
        <v>541.67</v>
      </c>
      <c r="V4297">
        <v>26</v>
      </c>
      <c r="W4297">
        <v>1</v>
      </c>
      <c r="X4297">
        <v>1</v>
      </c>
      <c r="Z4297">
        <v>38.44</v>
      </c>
      <c r="AA4297">
        <v>40.838584</v>
      </c>
      <c r="AB4297">
        <v>-73.92532799999999</v>
      </c>
      <c r="AD4297" t="s">
        <v>10839</v>
      </c>
      <c r="AG4297" t="s">
        <v>10858</v>
      </c>
      <c r="AH4297" t="s">
        <v>10861</v>
      </c>
      <c r="AI4297">
        <v>234</v>
      </c>
      <c r="AJ4297" t="s">
        <v>10214</v>
      </c>
      <c r="AL4297">
        <v>2.35</v>
      </c>
      <c r="AM4297" t="s">
        <v>10884</v>
      </c>
      <c r="AN4297" t="s">
        <v>10929</v>
      </c>
      <c r="AO4297" t="s">
        <v>11013</v>
      </c>
      <c r="AP4297" t="s">
        <v>11055</v>
      </c>
      <c r="AR4297" t="s">
        <v>11262</v>
      </c>
      <c r="AS4297" t="s">
        <v>9926</v>
      </c>
      <c r="AX4297" t="s">
        <v>10838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</row>
    <row r="4298" spans="1:59">
      <c r="A4298" s="1">
        <f>HYPERLINK("https://lsnyc.legalserver.org/matter/dynamic-profile/view/1908466","19-1908466")</f>
        <v>0</v>
      </c>
      <c r="B4298" t="s">
        <v>3508</v>
      </c>
      <c r="C4298" t="s">
        <v>8303</v>
      </c>
      <c r="D4298" t="s">
        <v>9926</v>
      </c>
      <c r="E4298" t="s">
        <v>10075</v>
      </c>
      <c r="F4298">
        <v>10454</v>
      </c>
      <c r="G4298" t="s">
        <v>10091</v>
      </c>
      <c r="H4298" t="s">
        <v>10098</v>
      </c>
      <c r="I4298" t="s">
        <v>10168</v>
      </c>
      <c r="J4298" t="s">
        <v>10214</v>
      </c>
      <c r="K4298" t="s">
        <v>10217</v>
      </c>
      <c r="M4298" t="s">
        <v>10286</v>
      </c>
      <c r="N4298" t="s">
        <v>10671</v>
      </c>
      <c r="P4298" t="s">
        <v>10752</v>
      </c>
      <c r="Q4298" t="s">
        <v>10762</v>
      </c>
      <c r="R4298" t="s">
        <v>10825</v>
      </c>
      <c r="T4298">
        <v>10560</v>
      </c>
      <c r="U4298">
        <v>880</v>
      </c>
      <c r="V4298">
        <v>81</v>
      </c>
      <c r="W4298">
        <v>1</v>
      </c>
      <c r="X4298">
        <v>0</v>
      </c>
      <c r="Z4298">
        <v>84.55</v>
      </c>
      <c r="AA4298">
        <v>40.81054</v>
      </c>
      <c r="AB4298">
        <v>-73.915513</v>
      </c>
      <c r="AD4298" t="s">
        <v>10840</v>
      </c>
      <c r="AG4298" t="s">
        <v>10858</v>
      </c>
      <c r="AH4298" t="s">
        <v>10861</v>
      </c>
      <c r="AI4298">
        <v>234</v>
      </c>
      <c r="AJ4298" t="s">
        <v>10214</v>
      </c>
      <c r="AL4298">
        <v>0.6</v>
      </c>
      <c r="AM4298" t="s">
        <v>10884</v>
      </c>
      <c r="AN4298" t="s">
        <v>10924</v>
      </c>
      <c r="AO4298" t="s">
        <v>11013</v>
      </c>
      <c r="AP4298" t="s">
        <v>11066</v>
      </c>
      <c r="AR4298" t="s">
        <v>11316</v>
      </c>
      <c r="AS4298" t="s">
        <v>9926</v>
      </c>
      <c r="AT4298" t="s">
        <v>11642</v>
      </c>
      <c r="AX4298" t="s">
        <v>10838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</row>
    <row r="4299" spans="1:59">
      <c r="A4299" s="1">
        <f>HYPERLINK("https://lsnyc.legalserver.org/matter/dynamic-profile/view/1908467","19-1908467")</f>
        <v>0</v>
      </c>
      <c r="B4299" t="s">
        <v>3509</v>
      </c>
      <c r="C4299" t="s">
        <v>8304</v>
      </c>
      <c r="D4299" t="s">
        <v>9938</v>
      </c>
      <c r="E4299" t="s">
        <v>10075</v>
      </c>
      <c r="F4299">
        <v>11436</v>
      </c>
      <c r="G4299" t="s">
        <v>10092</v>
      </c>
      <c r="H4299" t="s">
        <v>10098</v>
      </c>
      <c r="I4299" t="s">
        <v>10168</v>
      </c>
      <c r="J4299" t="s">
        <v>10212</v>
      </c>
      <c r="K4299" t="s">
        <v>10217</v>
      </c>
      <c r="M4299" t="s">
        <v>10282</v>
      </c>
      <c r="N4299" t="s">
        <v>10714</v>
      </c>
      <c r="P4299" t="s">
        <v>10753</v>
      </c>
      <c r="Q4299" t="s">
        <v>10763</v>
      </c>
      <c r="R4299" t="s">
        <v>10824</v>
      </c>
      <c r="T4299">
        <v>25000</v>
      </c>
      <c r="U4299">
        <v>2083.33</v>
      </c>
      <c r="V4299">
        <v>43</v>
      </c>
      <c r="W4299">
        <v>2</v>
      </c>
      <c r="X4299">
        <v>1</v>
      </c>
      <c r="Z4299">
        <v>117.21</v>
      </c>
      <c r="AA4299">
        <v>40.67708</v>
      </c>
      <c r="AB4299">
        <v>-73.801484</v>
      </c>
      <c r="AD4299" t="s">
        <v>10840</v>
      </c>
      <c r="AF4299" t="s">
        <v>10843</v>
      </c>
      <c r="AG4299" t="s">
        <v>10859</v>
      </c>
      <c r="AH4299" t="s">
        <v>10864</v>
      </c>
      <c r="AI4299">
        <v>237</v>
      </c>
      <c r="AJ4299" t="s">
        <v>10212</v>
      </c>
      <c r="AL4299">
        <v>1</v>
      </c>
      <c r="AM4299" t="s">
        <v>10892</v>
      </c>
      <c r="AN4299" t="s">
        <v>10951</v>
      </c>
      <c r="AO4299" t="s">
        <v>11017</v>
      </c>
      <c r="AP4299" t="s">
        <v>11070</v>
      </c>
      <c r="AQ4299" t="s">
        <v>11131</v>
      </c>
      <c r="AR4299" t="s">
        <v>11257</v>
      </c>
      <c r="AS4299" t="s">
        <v>11594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</row>
    <row r="4300" spans="1:59">
      <c r="A4300" s="1">
        <f>HYPERLINK("https://lsnyc.legalserver.org/matter/dynamic-profile/view/1908468","19-1908468")</f>
        <v>0</v>
      </c>
      <c r="B4300" t="s">
        <v>3510</v>
      </c>
      <c r="C4300" t="s">
        <v>8305</v>
      </c>
      <c r="D4300" t="s">
        <v>9925</v>
      </c>
      <c r="E4300" t="s">
        <v>10075</v>
      </c>
      <c r="F4300">
        <v>10010</v>
      </c>
      <c r="G4300" t="s">
        <v>10093</v>
      </c>
      <c r="H4300" t="s">
        <v>10098</v>
      </c>
      <c r="I4300" t="s">
        <v>10168</v>
      </c>
      <c r="J4300" t="s">
        <v>10213</v>
      </c>
      <c r="K4300" t="s">
        <v>10218</v>
      </c>
      <c r="L4300" t="s">
        <v>10115</v>
      </c>
      <c r="M4300" t="s">
        <v>10462</v>
      </c>
      <c r="N4300" t="s">
        <v>10710</v>
      </c>
      <c r="P4300" t="s">
        <v>10750</v>
      </c>
      <c r="Q4300" t="s">
        <v>10760</v>
      </c>
      <c r="R4300" t="s">
        <v>10820</v>
      </c>
      <c r="T4300">
        <v>100000</v>
      </c>
      <c r="U4300">
        <v>8333.33</v>
      </c>
      <c r="V4300">
        <v>56</v>
      </c>
      <c r="W4300">
        <v>1</v>
      </c>
      <c r="X4300">
        <v>0</v>
      </c>
      <c r="Y4300" t="s">
        <v>10829</v>
      </c>
      <c r="Z4300">
        <v>800.64</v>
      </c>
      <c r="AA4300">
        <v>40.735023</v>
      </c>
      <c r="AB4300">
        <v>-73.97786499999999</v>
      </c>
      <c r="AD4300" t="s">
        <v>10839</v>
      </c>
      <c r="AG4300" t="s">
        <v>10858</v>
      </c>
      <c r="AH4300" t="s">
        <v>10861</v>
      </c>
      <c r="AI4300">
        <v>234</v>
      </c>
      <c r="AJ4300" t="s">
        <v>10214</v>
      </c>
      <c r="AK4300" t="s">
        <v>10838</v>
      </c>
      <c r="AL4300">
        <v>2.25</v>
      </c>
      <c r="AM4300" t="s">
        <v>10891</v>
      </c>
      <c r="AN4300" t="s">
        <v>10910</v>
      </c>
      <c r="AO4300" t="s">
        <v>11021</v>
      </c>
      <c r="AP4300" t="s">
        <v>11091</v>
      </c>
      <c r="AQ4300" t="s">
        <v>11141</v>
      </c>
      <c r="AR4300" t="s">
        <v>11257</v>
      </c>
      <c r="AS4300" t="s">
        <v>9925</v>
      </c>
      <c r="AT4300" t="s">
        <v>11641</v>
      </c>
      <c r="AX4300" t="s">
        <v>10838</v>
      </c>
      <c r="AY4300" t="s">
        <v>10829</v>
      </c>
      <c r="AZ4300" t="s">
        <v>11679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</row>
    <row r="4301" spans="1:59">
      <c r="A4301" s="1">
        <f>HYPERLINK("https://lsnyc.legalserver.org/matter/dynamic-profile/view/1908470","19-1908470")</f>
        <v>0</v>
      </c>
      <c r="B4301" t="s">
        <v>3511</v>
      </c>
      <c r="C4301" t="s">
        <v>8306</v>
      </c>
      <c r="D4301" t="s">
        <v>9928</v>
      </c>
      <c r="E4301" t="s">
        <v>10075</v>
      </c>
      <c r="F4301">
        <v>11212</v>
      </c>
      <c r="G4301" t="s">
        <v>10093</v>
      </c>
      <c r="H4301" t="s">
        <v>10098</v>
      </c>
      <c r="I4301" t="s">
        <v>10169</v>
      </c>
      <c r="J4301" t="s">
        <v>10213</v>
      </c>
      <c r="K4301" t="s">
        <v>10218</v>
      </c>
      <c r="L4301" t="s">
        <v>10098</v>
      </c>
      <c r="M4301" t="s">
        <v>10566</v>
      </c>
      <c r="N4301" t="s">
        <v>10657</v>
      </c>
      <c r="P4301" t="s">
        <v>10749</v>
      </c>
      <c r="Q4301" t="s">
        <v>10765</v>
      </c>
      <c r="R4301" t="s">
        <v>10821</v>
      </c>
      <c r="T4301">
        <v>15000</v>
      </c>
      <c r="U4301">
        <v>1250</v>
      </c>
      <c r="V4301">
        <v>61</v>
      </c>
      <c r="W4301">
        <v>1</v>
      </c>
      <c r="X4301">
        <v>1</v>
      </c>
      <c r="Y4301" t="s">
        <v>10830</v>
      </c>
      <c r="Z4301">
        <v>88.7</v>
      </c>
      <c r="AA4301">
        <v>40.672315</v>
      </c>
      <c r="AB4301">
        <v>-73.907931</v>
      </c>
      <c r="AD4301" t="s">
        <v>10839</v>
      </c>
      <c r="AG4301" t="s">
        <v>10858</v>
      </c>
      <c r="AH4301" t="s">
        <v>10862</v>
      </c>
      <c r="AI4301">
        <v>239</v>
      </c>
      <c r="AJ4301" t="s">
        <v>10213</v>
      </c>
      <c r="AK4301" t="s">
        <v>10882</v>
      </c>
      <c r="AL4301">
        <v>1</v>
      </c>
      <c r="AM4301" t="s">
        <v>10889</v>
      </c>
      <c r="AN4301" t="s">
        <v>10922</v>
      </c>
      <c r="AO4301" t="s">
        <v>11005</v>
      </c>
      <c r="AP4301" t="s">
        <v>11064</v>
      </c>
      <c r="AR4301" t="s">
        <v>11273</v>
      </c>
      <c r="AS4301" t="s">
        <v>11595</v>
      </c>
      <c r="AT4301" t="s">
        <v>11641</v>
      </c>
      <c r="AY4301" t="s">
        <v>10830</v>
      </c>
      <c r="AZ4301" t="s">
        <v>11697</v>
      </c>
      <c r="BA4301" t="s">
        <v>11741</v>
      </c>
      <c r="BB4301">
        <v>0</v>
      </c>
      <c r="BC4301">
        <v>0</v>
      </c>
      <c r="BD4301">
        <v>0</v>
      </c>
      <c r="BE4301">
        <v>0</v>
      </c>
      <c r="BF4301">
        <v>1</v>
      </c>
      <c r="BG4301">
        <v>0</v>
      </c>
    </row>
    <row r="4302" spans="1:59">
      <c r="A4302" s="1">
        <f>HYPERLINK("https://lsnyc.legalserver.org/matter/dynamic-profile/view/1908471","19-1908471")</f>
        <v>0</v>
      </c>
      <c r="B4302" t="s">
        <v>3512</v>
      </c>
      <c r="C4302" t="s">
        <v>6036</v>
      </c>
      <c r="D4302" t="s">
        <v>9928</v>
      </c>
      <c r="E4302" t="s">
        <v>10075</v>
      </c>
      <c r="F4302">
        <v>11207</v>
      </c>
      <c r="G4302" t="s">
        <v>10093</v>
      </c>
      <c r="H4302" t="s">
        <v>10098</v>
      </c>
      <c r="I4302" t="s">
        <v>10169</v>
      </c>
      <c r="J4302" t="s">
        <v>10213</v>
      </c>
      <c r="K4302" t="s">
        <v>10218</v>
      </c>
      <c r="L4302" t="s">
        <v>10098</v>
      </c>
      <c r="M4302" t="s">
        <v>10566</v>
      </c>
      <c r="N4302" t="s">
        <v>10657</v>
      </c>
      <c r="P4302" t="s">
        <v>10749</v>
      </c>
      <c r="Q4302" t="s">
        <v>10765</v>
      </c>
      <c r="R4302" t="s">
        <v>10821</v>
      </c>
      <c r="T4302">
        <v>15000</v>
      </c>
      <c r="U4302">
        <v>1250</v>
      </c>
      <c r="V4302">
        <v>67</v>
      </c>
      <c r="W4302">
        <v>1</v>
      </c>
      <c r="X4302">
        <v>0</v>
      </c>
      <c r="Y4302" t="s">
        <v>10830</v>
      </c>
      <c r="Z4302">
        <v>120.1</v>
      </c>
      <c r="AA4302">
        <v>40.671001</v>
      </c>
      <c r="AB4302">
        <v>-73.895978</v>
      </c>
      <c r="AD4302" t="s">
        <v>10839</v>
      </c>
      <c r="AG4302" t="s">
        <v>10858</v>
      </c>
      <c r="AH4302" t="s">
        <v>10862</v>
      </c>
      <c r="AI4302">
        <v>239</v>
      </c>
      <c r="AJ4302" t="s">
        <v>10213</v>
      </c>
      <c r="AK4302" t="s">
        <v>10882</v>
      </c>
      <c r="AL4302">
        <v>0.7</v>
      </c>
      <c r="AM4302" t="s">
        <v>10889</v>
      </c>
      <c r="AN4302" t="s">
        <v>10922</v>
      </c>
      <c r="AO4302" t="s">
        <v>11012</v>
      </c>
      <c r="AP4302" t="s">
        <v>11060</v>
      </c>
      <c r="AR4302" t="s">
        <v>11273</v>
      </c>
      <c r="AS4302" t="s">
        <v>11595</v>
      </c>
      <c r="AT4302" t="s">
        <v>11641</v>
      </c>
      <c r="AY4302" t="s">
        <v>10830</v>
      </c>
      <c r="AZ4302" t="s">
        <v>11697</v>
      </c>
      <c r="BA4302" t="s">
        <v>11741</v>
      </c>
      <c r="BB4302">
        <v>0</v>
      </c>
      <c r="BC4302">
        <v>0</v>
      </c>
      <c r="BD4302">
        <v>0</v>
      </c>
      <c r="BE4302">
        <v>0</v>
      </c>
      <c r="BF4302">
        <v>1</v>
      </c>
      <c r="BG4302">
        <v>0</v>
      </c>
    </row>
    <row r="4303" spans="1:59">
      <c r="A4303" s="1">
        <f>HYPERLINK("https://lsnyc.legalserver.org/matter/dynamic-profile/view/1908472","19-1908472")</f>
        <v>0</v>
      </c>
      <c r="B4303" t="s">
        <v>3513</v>
      </c>
      <c r="C4303" t="s">
        <v>8307</v>
      </c>
      <c r="D4303" t="s">
        <v>9938</v>
      </c>
      <c r="E4303" t="s">
        <v>10075</v>
      </c>
      <c r="F4303">
        <v>11433</v>
      </c>
      <c r="G4303" t="s">
        <v>10092</v>
      </c>
      <c r="H4303" t="s">
        <v>10098</v>
      </c>
      <c r="I4303" t="s">
        <v>10168</v>
      </c>
      <c r="J4303" t="s">
        <v>10212</v>
      </c>
      <c r="K4303" t="s">
        <v>10217</v>
      </c>
      <c r="M4303" t="s">
        <v>10311</v>
      </c>
      <c r="N4303" t="s">
        <v>10684</v>
      </c>
      <c r="P4303" t="s">
        <v>10751</v>
      </c>
      <c r="Q4303" t="s">
        <v>10786</v>
      </c>
      <c r="R4303" t="s">
        <v>10827</v>
      </c>
      <c r="T4303">
        <v>8325.6</v>
      </c>
      <c r="U4303">
        <v>693.8</v>
      </c>
      <c r="V4303">
        <v>67</v>
      </c>
      <c r="W4303">
        <v>1</v>
      </c>
      <c r="X4303">
        <v>0</v>
      </c>
      <c r="Z4303">
        <v>66.66</v>
      </c>
      <c r="AA4303">
        <v>40.697884</v>
      </c>
      <c r="AB4303">
        <v>-73.778931</v>
      </c>
      <c r="AD4303" t="s">
        <v>10840</v>
      </c>
      <c r="AG4303" t="s">
        <v>10858</v>
      </c>
      <c r="AH4303" t="s">
        <v>10873</v>
      </c>
      <c r="AI4303">
        <v>237</v>
      </c>
      <c r="AJ4303" t="s">
        <v>10212</v>
      </c>
      <c r="AL4303">
        <v>3.75</v>
      </c>
      <c r="AM4303" t="s">
        <v>10892</v>
      </c>
      <c r="AN4303" t="s">
        <v>10955</v>
      </c>
      <c r="AO4303" t="s">
        <v>11020</v>
      </c>
      <c r="AP4303" t="s">
        <v>11075</v>
      </c>
      <c r="AR4303" t="s">
        <v>11263</v>
      </c>
      <c r="AS4303" t="s">
        <v>11594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</row>
    <row r="4304" spans="1:59">
      <c r="A4304" s="1">
        <f>HYPERLINK("https://lsnyc.legalserver.org/matter/dynamic-profile/view/1908473","19-1908473")</f>
        <v>0</v>
      </c>
      <c r="B4304" t="s">
        <v>3514</v>
      </c>
      <c r="C4304" t="s">
        <v>8308</v>
      </c>
      <c r="D4304" t="s">
        <v>9938</v>
      </c>
      <c r="E4304" t="s">
        <v>10075</v>
      </c>
      <c r="F4304">
        <v>11434</v>
      </c>
      <c r="G4304" t="s">
        <v>10092</v>
      </c>
      <c r="H4304" t="s">
        <v>10098</v>
      </c>
      <c r="I4304" t="s">
        <v>10168</v>
      </c>
      <c r="J4304" t="s">
        <v>10212</v>
      </c>
      <c r="K4304" t="s">
        <v>10217</v>
      </c>
      <c r="M4304" t="s">
        <v>10594</v>
      </c>
      <c r="N4304" t="s">
        <v>10693</v>
      </c>
      <c r="P4304" t="s">
        <v>10749</v>
      </c>
      <c r="Q4304" t="s">
        <v>10765</v>
      </c>
      <c r="R4304" t="s">
        <v>10824</v>
      </c>
      <c r="T4304">
        <v>0</v>
      </c>
      <c r="U4304">
        <v>0</v>
      </c>
      <c r="V4304">
        <v>30</v>
      </c>
      <c r="W4304">
        <v>1</v>
      </c>
      <c r="X4304">
        <v>0</v>
      </c>
      <c r="Z4304">
        <v>0</v>
      </c>
      <c r="AA4304">
        <v>40.6858</v>
      </c>
      <c r="AB4304">
        <v>-73.768542</v>
      </c>
      <c r="AD4304" t="s">
        <v>10839</v>
      </c>
      <c r="AF4304" t="s">
        <v>10854</v>
      </c>
      <c r="AG4304" t="s">
        <v>10859</v>
      </c>
      <c r="AH4304" t="s">
        <v>10862</v>
      </c>
      <c r="AI4304">
        <v>237</v>
      </c>
      <c r="AJ4304" t="s">
        <v>10212</v>
      </c>
      <c r="AL4304">
        <v>4.01</v>
      </c>
      <c r="AM4304" t="s">
        <v>10892</v>
      </c>
      <c r="AN4304" t="s">
        <v>10955</v>
      </c>
      <c r="AO4304" t="s">
        <v>11020</v>
      </c>
      <c r="AP4304" t="s">
        <v>11075</v>
      </c>
      <c r="AR4304" t="s">
        <v>11267</v>
      </c>
      <c r="AS4304" t="s">
        <v>11594</v>
      </c>
      <c r="BA4304" t="s">
        <v>11741</v>
      </c>
      <c r="BB4304">
        <v>0</v>
      </c>
      <c r="BC4304">
        <v>0</v>
      </c>
      <c r="BD4304">
        <v>0</v>
      </c>
      <c r="BE4304">
        <v>0</v>
      </c>
      <c r="BF4304">
        <v>1</v>
      </c>
      <c r="BG4304">
        <v>0</v>
      </c>
    </row>
    <row r="4305" spans="1:59">
      <c r="A4305" s="1">
        <f>HYPERLINK("https://lsnyc.legalserver.org/matter/dynamic-profile/view/1908474","19-1908474")</f>
        <v>0</v>
      </c>
      <c r="B4305" t="s">
        <v>3515</v>
      </c>
      <c r="C4305" t="s">
        <v>8309</v>
      </c>
      <c r="D4305" t="s">
        <v>9926</v>
      </c>
      <c r="E4305" t="s">
        <v>10075</v>
      </c>
      <c r="F4305">
        <v>10462</v>
      </c>
      <c r="G4305" t="s">
        <v>10090</v>
      </c>
      <c r="H4305" t="s">
        <v>10098</v>
      </c>
      <c r="I4305" t="s">
        <v>10169</v>
      </c>
      <c r="J4305" t="s">
        <v>10210</v>
      </c>
      <c r="K4305" t="s">
        <v>10217</v>
      </c>
      <c r="M4305" t="s">
        <v>10514</v>
      </c>
      <c r="N4305" t="s">
        <v>10651</v>
      </c>
      <c r="P4305" t="s">
        <v>10749</v>
      </c>
      <c r="Q4305" t="s">
        <v>10765</v>
      </c>
      <c r="R4305" t="s">
        <v>10821</v>
      </c>
      <c r="T4305">
        <v>18200</v>
      </c>
      <c r="U4305">
        <v>1516.67</v>
      </c>
      <c r="V4305">
        <v>59</v>
      </c>
      <c r="W4305">
        <v>2</v>
      </c>
      <c r="X4305">
        <v>0</v>
      </c>
      <c r="Z4305">
        <v>107.63</v>
      </c>
      <c r="AA4305">
        <v>40.85399</v>
      </c>
      <c r="AB4305">
        <v>-73.866992</v>
      </c>
      <c r="AD4305" t="s">
        <v>10840</v>
      </c>
      <c r="AF4305" t="s">
        <v>10842</v>
      </c>
      <c r="AG4305" t="s">
        <v>10859</v>
      </c>
      <c r="AH4305" t="s">
        <v>10862</v>
      </c>
      <c r="AI4305">
        <v>230</v>
      </c>
      <c r="AJ4305" t="s">
        <v>10210</v>
      </c>
      <c r="AL4305">
        <v>2.5</v>
      </c>
      <c r="AM4305" t="s">
        <v>10885</v>
      </c>
      <c r="AN4305" t="s">
        <v>10938</v>
      </c>
      <c r="AO4305" t="s">
        <v>11002</v>
      </c>
      <c r="AP4305" t="s">
        <v>11049</v>
      </c>
      <c r="AR4305" t="s">
        <v>11257</v>
      </c>
      <c r="AS4305" t="s">
        <v>9926</v>
      </c>
      <c r="AT4305" t="s">
        <v>11642</v>
      </c>
      <c r="AV4305" t="s">
        <v>11655</v>
      </c>
      <c r="AW4305" t="s">
        <v>11666</v>
      </c>
      <c r="AX4305" t="s">
        <v>10838</v>
      </c>
      <c r="BA4305" t="s">
        <v>11738</v>
      </c>
      <c r="BB4305">
        <v>0</v>
      </c>
      <c r="BC4305">
        <v>0</v>
      </c>
      <c r="BD4305">
        <v>0</v>
      </c>
      <c r="BE4305">
        <v>0</v>
      </c>
      <c r="BF4305">
        <v>5</v>
      </c>
      <c r="BG4305">
        <v>0</v>
      </c>
    </row>
    <row r="4306" spans="1:59">
      <c r="A4306" s="1">
        <f>HYPERLINK("https://lsnyc.legalserver.org/matter/dynamic-profile/view/1908475","19-1908475")</f>
        <v>0</v>
      </c>
      <c r="B4306" t="s">
        <v>3516</v>
      </c>
      <c r="C4306" t="s">
        <v>8310</v>
      </c>
      <c r="D4306" t="s">
        <v>9929</v>
      </c>
      <c r="E4306" t="s">
        <v>10075</v>
      </c>
      <c r="F4306">
        <v>10308</v>
      </c>
      <c r="G4306" t="s">
        <v>10088</v>
      </c>
      <c r="H4306" t="s">
        <v>10098</v>
      </c>
      <c r="I4306" t="s">
        <v>10168</v>
      </c>
      <c r="J4306" t="s">
        <v>10208</v>
      </c>
      <c r="K4306" t="s">
        <v>10217</v>
      </c>
      <c r="M4306" t="s">
        <v>10542</v>
      </c>
      <c r="N4306" t="s">
        <v>10729</v>
      </c>
      <c r="P4306" t="s">
        <v>10754</v>
      </c>
      <c r="Q4306" t="s">
        <v>10775</v>
      </c>
      <c r="R4306" t="s">
        <v>10821</v>
      </c>
      <c r="T4306">
        <v>15600</v>
      </c>
      <c r="U4306">
        <v>1300</v>
      </c>
      <c r="V4306">
        <v>33</v>
      </c>
      <c r="W4306">
        <v>1</v>
      </c>
      <c r="X4306">
        <v>2</v>
      </c>
      <c r="Z4306">
        <v>73.14</v>
      </c>
      <c r="AA4306">
        <v>40.553569</v>
      </c>
      <c r="AB4306">
        <v>-74.14449</v>
      </c>
      <c r="AD4306" t="s">
        <v>10839</v>
      </c>
      <c r="AG4306" t="s">
        <v>10858</v>
      </c>
      <c r="AH4306" t="s">
        <v>10871</v>
      </c>
      <c r="AI4306">
        <v>234</v>
      </c>
      <c r="AJ4306" t="s">
        <v>10214</v>
      </c>
      <c r="AL4306">
        <v>1.08</v>
      </c>
      <c r="AM4306" t="s">
        <v>10883</v>
      </c>
      <c r="AN4306" t="s">
        <v>10906</v>
      </c>
      <c r="AO4306" t="s">
        <v>10999</v>
      </c>
      <c r="AP4306" t="s">
        <v>11044</v>
      </c>
      <c r="AR4306" t="s">
        <v>11262</v>
      </c>
      <c r="AS4306" t="s">
        <v>11593</v>
      </c>
      <c r="AT4306" t="s">
        <v>11641</v>
      </c>
      <c r="AX4306" t="s">
        <v>10838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</row>
    <row r="4307" spans="1:59">
      <c r="A4307" s="1">
        <f>HYPERLINK("https://lsnyc.legalserver.org/matter/dynamic-profile/view/1908476","19-1908476")</f>
        <v>0</v>
      </c>
      <c r="B4307" t="s">
        <v>2349</v>
      </c>
      <c r="C4307" t="s">
        <v>8311</v>
      </c>
      <c r="D4307" t="s">
        <v>9928</v>
      </c>
      <c r="E4307" t="s">
        <v>10075</v>
      </c>
      <c r="F4307">
        <v>11225</v>
      </c>
      <c r="G4307" t="s">
        <v>10093</v>
      </c>
      <c r="H4307" t="s">
        <v>10098</v>
      </c>
      <c r="I4307" t="s">
        <v>10168</v>
      </c>
      <c r="J4307" t="s">
        <v>10213</v>
      </c>
      <c r="K4307" t="s">
        <v>10218</v>
      </c>
      <c r="L4307" t="s">
        <v>10098</v>
      </c>
      <c r="M4307" t="s">
        <v>10566</v>
      </c>
      <c r="N4307" t="s">
        <v>10657</v>
      </c>
      <c r="P4307" t="s">
        <v>10749</v>
      </c>
      <c r="Q4307" t="s">
        <v>10765</v>
      </c>
      <c r="R4307" t="s">
        <v>10820</v>
      </c>
      <c r="T4307">
        <v>15000</v>
      </c>
      <c r="U4307">
        <v>1250</v>
      </c>
      <c r="V4307">
        <v>33</v>
      </c>
      <c r="W4307">
        <v>1</v>
      </c>
      <c r="X4307">
        <v>0</v>
      </c>
      <c r="Y4307" t="s">
        <v>10830</v>
      </c>
      <c r="Z4307">
        <v>120.1</v>
      </c>
      <c r="AA4307">
        <v>40.668596</v>
      </c>
      <c r="AB4307">
        <v>-73.958343</v>
      </c>
      <c r="AD4307" t="s">
        <v>10839</v>
      </c>
      <c r="AG4307" t="s">
        <v>10858</v>
      </c>
      <c r="AH4307" t="s">
        <v>10862</v>
      </c>
      <c r="AI4307">
        <v>239</v>
      </c>
      <c r="AJ4307" t="s">
        <v>10213</v>
      </c>
      <c r="AK4307" t="s">
        <v>10882</v>
      </c>
      <c r="AL4307">
        <v>0.7</v>
      </c>
      <c r="AM4307" t="s">
        <v>10888</v>
      </c>
      <c r="AN4307" t="s">
        <v>10923</v>
      </c>
      <c r="AO4307" t="s">
        <v>11005</v>
      </c>
      <c r="AP4307" t="s">
        <v>11061</v>
      </c>
      <c r="AR4307" t="s">
        <v>11257</v>
      </c>
      <c r="AS4307" t="s">
        <v>11595</v>
      </c>
      <c r="AT4307" t="s">
        <v>11641</v>
      </c>
      <c r="AX4307" t="s">
        <v>10838</v>
      </c>
      <c r="AY4307" t="s">
        <v>10830</v>
      </c>
      <c r="AZ4307" t="s">
        <v>11702</v>
      </c>
      <c r="BA4307" t="s">
        <v>11741</v>
      </c>
      <c r="BB4307">
        <v>0</v>
      </c>
      <c r="BC4307">
        <v>0</v>
      </c>
      <c r="BD4307">
        <v>0</v>
      </c>
      <c r="BE4307">
        <v>0</v>
      </c>
      <c r="BF4307">
        <v>1</v>
      </c>
      <c r="BG4307">
        <v>0</v>
      </c>
    </row>
    <row r="4308" spans="1:59">
      <c r="A4308" s="1">
        <f>HYPERLINK("https://lsnyc.legalserver.org/matter/dynamic-profile/view/1908477","19-1908477")</f>
        <v>0</v>
      </c>
      <c r="B4308" t="s">
        <v>3517</v>
      </c>
      <c r="C4308" t="s">
        <v>8312</v>
      </c>
      <c r="D4308" t="s">
        <v>9926</v>
      </c>
      <c r="E4308" t="s">
        <v>10075</v>
      </c>
      <c r="F4308">
        <v>10463</v>
      </c>
      <c r="G4308" t="s">
        <v>10090</v>
      </c>
      <c r="H4308" t="s">
        <v>10098</v>
      </c>
      <c r="I4308" t="s">
        <v>10168</v>
      </c>
      <c r="J4308" t="s">
        <v>10210</v>
      </c>
      <c r="K4308" t="s">
        <v>10218</v>
      </c>
      <c r="L4308" t="s">
        <v>10161</v>
      </c>
      <c r="M4308" t="s">
        <v>10524</v>
      </c>
      <c r="N4308" t="s">
        <v>10690</v>
      </c>
      <c r="P4308" t="s">
        <v>10749</v>
      </c>
      <c r="Q4308" t="s">
        <v>10765</v>
      </c>
      <c r="R4308" t="s">
        <v>10821</v>
      </c>
      <c r="T4308">
        <v>48000</v>
      </c>
      <c r="U4308">
        <v>4000</v>
      </c>
      <c r="V4308">
        <v>28</v>
      </c>
      <c r="W4308">
        <v>1</v>
      </c>
      <c r="X4308">
        <v>0</v>
      </c>
      <c r="Y4308" t="s">
        <v>10829</v>
      </c>
      <c r="Z4308">
        <v>384.31</v>
      </c>
      <c r="AA4308">
        <v>40.879467</v>
      </c>
      <c r="AB4308">
        <v>-73.90080399999999</v>
      </c>
      <c r="AC4308" t="s">
        <v>10837</v>
      </c>
      <c r="AD4308" t="s">
        <v>10840</v>
      </c>
      <c r="AG4308" t="s">
        <v>10858</v>
      </c>
      <c r="AH4308" t="s">
        <v>10861</v>
      </c>
      <c r="AI4308">
        <v>234</v>
      </c>
      <c r="AJ4308" t="s">
        <v>10214</v>
      </c>
      <c r="AK4308" t="s">
        <v>10838</v>
      </c>
      <c r="AL4308">
        <v>1.5</v>
      </c>
      <c r="AM4308" t="s">
        <v>10887</v>
      </c>
      <c r="AN4308" t="s">
        <v>10919</v>
      </c>
      <c r="AO4308" t="s">
        <v>11000</v>
      </c>
      <c r="AP4308" t="s">
        <v>11045</v>
      </c>
      <c r="AR4308" t="s">
        <v>11303</v>
      </c>
      <c r="AS4308" t="s">
        <v>9926</v>
      </c>
      <c r="AT4308" t="s">
        <v>11642</v>
      </c>
      <c r="AX4308" t="s">
        <v>10838</v>
      </c>
      <c r="AY4308" t="s">
        <v>10829</v>
      </c>
      <c r="AZ4308" t="s">
        <v>11681</v>
      </c>
      <c r="BA4308" t="s">
        <v>11742</v>
      </c>
      <c r="BB4308">
        <v>0</v>
      </c>
      <c r="BC4308">
        <v>0</v>
      </c>
      <c r="BD4308">
        <v>0</v>
      </c>
      <c r="BE4308">
        <v>0</v>
      </c>
      <c r="BF4308">
        <v>7</v>
      </c>
      <c r="BG4308">
        <v>0</v>
      </c>
    </row>
    <row r="4309" spans="1:59">
      <c r="A4309" s="1">
        <f>HYPERLINK("https://lsnyc.legalserver.org/matter/dynamic-profile/view/1908478","19-1908478")</f>
        <v>0</v>
      </c>
      <c r="B4309" t="s">
        <v>3518</v>
      </c>
      <c r="C4309" t="s">
        <v>8313</v>
      </c>
      <c r="D4309" t="s">
        <v>9926</v>
      </c>
      <c r="E4309" t="s">
        <v>10075</v>
      </c>
      <c r="F4309">
        <v>10467</v>
      </c>
      <c r="G4309" t="s">
        <v>10091</v>
      </c>
      <c r="H4309" t="s">
        <v>10098</v>
      </c>
      <c r="I4309" t="s">
        <v>10168</v>
      </c>
      <c r="J4309" t="s">
        <v>10214</v>
      </c>
      <c r="K4309" t="s">
        <v>10217</v>
      </c>
      <c r="M4309" t="s">
        <v>10286</v>
      </c>
      <c r="N4309" t="s">
        <v>10671</v>
      </c>
      <c r="P4309" t="s">
        <v>10749</v>
      </c>
      <c r="Q4309" t="s">
        <v>10765</v>
      </c>
      <c r="R4309" t="s">
        <v>10821</v>
      </c>
      <c r="T4309">
        <v>10560</v>
      </c>
      <c r="U4309">
        <v>880</v>
      </c>
      <c r="V4309">
        <v>76</v>
      </c>
      <c r="W4309">
        <v>1</v>
      </c>
      <c r="X4309">
        <v>0</v>
      </c>
      <c r="Z4309">
        <v>84.55</v>
      </c>
      <c r="AA4309">
        <v>40.880064</v>
      </c>
      <c r="AB4309">
        <v>-73.86737100000001</v>
      </c>
      <c r="AD4309" t="s">
        <v>10840</v>
      </c>
      <c r="AG4309" t="s">
        <v>10858</v>
      </c>
      <c r="AH4309" t="s">
        <v>10871</v>
      </c>
      <c r="AI4309">
        <v>234</v>
      </c>
      <c r="AJ4309" t="s">
        <v>10214</v>
      </c>
      <c r="AL4309">
        <v>1</v>
      </c>
      <c r="AM4309" t="s">
        <v>10893</v>
      </c>
      <c r="AN4309" t="s">
        <v>10956</v>
      </c>
      <c r="AO4309" t="s">
        <v>11010</v>
      </c>
      <c r="AP4309" t="s">
        <v>11085</v>
      </c>
      <c r="AR4309" t="s">
        <v>11268</v>
      </c>
      <c r="AS4309" t="s">
        <v>9926</v>
      </c>
      <c r="AT4309" t="s">
        <v>11642</v>
      </c>
      <c r="AX4309" t="s">
        <v>10838</v>
      </c>
      <c r="BA4309" t="s">
        <v>11741</v>
      </c>
      <c r="BB4309">
        <v>0</v>
      </c>
      <c r="BC4309">
        <v>0</v>
      </c>
      <c r="BD4309">
        <v>0</v>
      </c>
      <c r="BE4309">
        <v>0</v>
      </c>
      <c r="BF4309">
        <v>1</v>
      </c>
      <c r="BG4309">
        <v>0</v>
      </c>
    </row>
    <row r="4310" spans="1:59">
      <c r="A4310" s="1">
        <f>HYPERLINK("https://lsnyc.legalserver.org/matter/dynamic-profile/view/1908479","19-1908479")</f>
        <v>0</v>
      </c>
      <c r="B4310" t="s">
        <v>3519</v>
      </c>
      <c r="C4310" t="s">
        <v>8304</v>
      </c>
      <c r="D4310" t="s">
        <v>9938</v>
      </c>
      <c r="E4310" t="s">
        <v>10075</v>
      </c>
      <c r="F4310">
        <v>11436</v>
      </c>
      <c r="G4310" t="s">
        <v>10092</v>
      </c>
      <c r="H4310" t="s">
        <v>10098</v>
      </c>
      <c r="I4310" t="s">
        <v>10168</v>
      </c>
      <c r="J4310" t="s">
        <v>10212</v>
      </c>
      <c r="K4310" t="s">
        <v>10217</v>
      </c>
      <c r="M4310" t="s">
        <v>10282</v>
      </c>
      <c r="N4310" t="s">
        <v>10714</v>
      </c>
      <c r="P4310" t="s">
        <v>10753</v>
      </c>
      <c r="Q4310" t="s">
        <v>10763</v>
      </c>
      <c r="R4310" t="s">
        <v>10824</v>
      </c>
      <c r="T4310">
        <v>25000</v>
      </c>
      <c r="U4310">
        <v>2083.33</v>
      </c>
      <c r="V4310">
        <v>12</v>
      </c>
      <c r="W4310">
        <v>2</v>
      </c>
      <c r="X4310">
        <v>1</v>
      </c>
      <c r="Z4310">
        <v>117.21</v>
      </c>
      <c r="AA4310">
        <v>40.67708</v>
      </c>
      <c r="AB4310">
        <v>-73.801484</v>
      </c>
      <c r="AD4310" t="s">
        <v>10840</v>
      </c>
      <c r="AF4310" t="s">
        <v>10843</v>
      </c>
      <c r="AG4310" t="s">
        <v>10859</v>
      </c>
      <c r="AH4310" t="s">
        <v>10864</v>
      </c>
      <c r="AI4310">
        <v>237</v>
      </c>
      <c r="AJ4310" t="s">
        <v>10212</v>
      </c>
      <c r="AL4310">
        <v>0.8</v>
      </c>
      <c r="AM4310" t="s">
        <v>10892</v>
      </c>
      <c r="AN4310" t="s">
        <v>10951</v>
      </c>
      <c r="AO4310" t="s">
        <v>11017</v>
      </c>
      <c r="AP4310" t="s">
        <v>11070</v>
      </c>
      <c r="AQ4310" t="s">
        <v>11131</v>
      </c>
      <c r="AR4310" t="s">
        <v>11257</v>
      </c>
      <c r="AS4310" t="s">
        <v>11594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</row>
    <row r="4311" spans="1:59">
      <c r="A4311" s="1">
        <f>HYPERLINK("https://lsnyc.legalserver.org/matter/dynamic-profile/view/1908480","19-1908480")</f>
        <v>0</v>
      </c>
      <c r="B4311" t="s">
        <v>962</v>
      </c>
      <c r="C4311" t="s">
        <v>8314</v>
      </c>
      <c r="D4311" t="s">
        <v>9981</v>
      </c>
      <c r="E4311" t="s">
        <v>10075</v>
      </c>
      <c r="F4311">
        <v>11378</v>
      </c>
      <c r="G4311" t="s">
        <v>10092</v>
      </c>
      <c r="H4311" t="s">
        <v>10098</v>
      </c>
      <c r="I4311" t="s">
        <v>10169</v>
      </c>
      <c r="J4311" t="s">
        <v>10212</v>
      </c>
      <c r="K4311" t="s">
        <v>10217</v>
      </c>
      <c r="M4311" t="s">
        <v>10484</v>
      </c>
      <c r="N4311" t="s">
        <v>10695</v>
      </c>
      <c r="P4311" t="s">
        <v>10749</v>
      </c>
      <c r="Q4311" t="s">
        <v>10765</v>
      </c>
      <c r="R4311" t="s">
        <v>10821</v>
      </c>
      <c r="T4311">
        <v>28000</v>
      </c>
      <c r="U4311">
        <v>2333.33</v>
      </c>
      <c r="V4311">
        <v>58</v>
      </c>
      <c r="W4311">
        <v>2</v>
      </c>
      <c r="X4311">
        <v>0</v>
      </c>
      <c r="Z4311">
        <v>165.58</v>
      </c>
      <c r="AA4311">
        <v>40.714554</v>
      </c>
      <c r="AB4311">
        <v>-73.908035</v>
      </c>
      <c r="AD4311" t="s">
        <v>10839</v>
      </c>
      <c r="AF4311" t="s">
        <v>10842</v>
      </c>
      <c r="AG4311" t="s">
        <v>10859</v>
      </c>
      <c r="AH4311" t="s">
        <v>10862</v>
      </c>
      <c r="AI4311">
        <v>237</v>
      </c>
      <c r="AJ4311" t="s">
        <v>10212</v>
      </c>
      <c r="AL4311">
        <v>1.3</v>
      </c>
      <c r="AM4311" t="s">
        <v>10886</v>
      </c>
      <c r="AN4311" t="s">
        <v>10961</v>
      </c>
      <c r="AO4311" t="s">
        <v>11024</v>
      </c>
      <c r="AP4311" t="s">
        <v>11077</v>
      </c>
      <c r="AR4311" t="s">
        <v>11257</v>
      </c>
      <c r="AS4311" t="s">
        <v>11594</v>
      </c>
      <c r="BA4311" t="s">
        <v>11742</v>
      </c>
      <c r="BB4311">
        <v>0</v>
      </c>
      <c r="BC4311">
        <v>0</v>
      </c>
      <c r="BD4311">
        <v>0</v>
      </c>
      <c r="BE4311">
        <v>0</v>
      </c>
      <c r="BF4311">
        <v>7</v>
      </c>
      <c r="BG4311">
        <v>0</v>
      </c>
    </row>
    <row r="4312" spans="1:59">
      <c r="A4312" s="1">
        <f>HYPERLINK("https://lsnyc.legalserver.org/matter/dynamic-profile/view/1908481","19-1908481")</f>
        <v>0</v>
      </c>
      <c r="B4312" t="s">
        <v>3520</v>
      </c>
      <c r="C4312" t="s">
        <v>8315</v>
      </c>
      <c r="D4312" t="s">
        <v>9930</v>
      </c>
      <c r="E4312" t="s">
        <v>10075</v>
      </c>
      <c r="F4312">
        <v>11373</v>
      </c>
      <c r="G4312" t="s">
        <v>10092</v>
      </c>
      <c r="H4312" t="s">
        <v>10098</v>
      </c>
      <c r="I4312" t="s">
        <v>10168</v>
      </c>
      <c r="J4312" t="s">
        <v>10212</v>
      </c>
      <c r="K4312" t="s">
        <v>10218</v>
      </c>
      <c r="L4312" t="s">
        <v>10157</v>
      </c>
      <c r="M4312" t="s">
        <v>10331</v>
      </c>
      <c r="N4312" t="s">
        <v>10646</v>
      </c>
      <c r="P4312" t="s">
        <v>10749</v>
      </c>
      <c r="Q4312" t="s">
        <v>10765</v>
      </c>
      <c r="R4312" t="s">
        <v>10820</v>
      </c>
      <c r="T4312">
        <v>36000</v>
      </c>
      <c r="U4312">
        <v>3000</v>
      </c>
      <c r="V4312">
        <v>55</v>
      </c>
      <c r="W4312">
        <v>1</v>
      </c>
      <c r="X4312">
        <v>0</v>
      </c>
      <c r="Y4312" t="s">
        <v>10829</v>
      </c>
      <c r="Z4312">
        <v>288.23</v>
      </c>
      <c r="AA4312">
        <v>40.746998</v>
      </c>
      <c r="AB4312">
        <v>-73.882243</v>
      </c>
      <c r="AC4312" t="s">
        <v>10837</v>
      </c>
      <c r="AD4312" t="s">
        <v>10840</v>
      </c>
      <c r="AG4312" t="s">
        <v>10858</v>
      </c>
      <c r="AH4312" t="s">
        <v>10861</v>
      </c>
      <c r="AI4312">
        <v>234</v>
      </c>
      <c r="AJ4312" t="s">
        <v>10214</v>
      </c>
      <c r="AK4312" t="s">
        <v>10838</v>
      </c>
      <c r="AL4312">
        <v>1</v>
      </c>
      <c r="AM4312" t="s">
        <v>10885</v>
      </c>
      <c r="AN4312" t="s">
        <v>10949</v>
      </c>
      <c r="AO4312" t="s">
        <v>11014</v>
      </c>
      <c r="AP4312" t="s">
        <v>11053</v>
      </c>
      <c r="AR4312" t="s">
        <v>11303</v>
      </c>
      <c r="AS4312" t="s">
        <v>11594</v>
      </c>
      <c r="AT4312" t="s">
        <v>11642</v>
      </c>
      <c r="AX4312" t="s">
        <v>10838</v>
      </c>
      <c r="AY4312" t="s">
        <v>10829</v>
      </c>
      <c r="AZ4312" t="s">
        <v>11681</v>
      </c>
      <c r="BA4312" t="s">
        <v>11741</v>
      </c>
      <c r="BB4312">
        <v>0</v>
      </c>
      <c r="BC4312">
        <v>0</v>
      </c>
      <c r="BD4312">
        <v>0</v>
      </c>
      <c r="BE4312">
        <v>0</v>
      </c>
      <c r="BF4312">
        <v>1</v>
      </c>
      <c r="BG4312">
        <v>0</v>
      </c>
    </row>
    <row r="4313" spans="1:59">
      <c r="A4313" s="1">
        <f>HYPERLINK("https://lsnyc.legalserver.org/matter/dynamic-profile/view/1908482","19-1908482")</f>
        <v>0</v>
      </c>
      <c r="B4313" t="s">
        <v>3515</v>
      </c>
      <c r="C4313" t="s">
        <v>8309</v>
      </c>
      <c r="D4313" t="s">
        <v>9926</v>
      </c>
      <c r="E4313" t="s">
        <v>10075</v>
      </c>
      <c r="F4313">
        <v>10462</v>
      </c>
      <c r="G4313" t="s">
        <v>10090</v>
      </c>
      <c r="H4313" t="s">
        <v>10098</v>
      </c>
      <c r="I4313" t="s">
        <v>10169</v>
      </c>
      <c r="J4313" t="s">
        <v>10210</v>
      </c>
      <c r="K4313" t="s">
        <v>10217</v>
      </c>
      <c r="M4313" t="s">
        <v>10375</v>
      </c>
      <c r="N4313" t="s">
        <v>10671</v>
      </c>
      <c r="P4313" t="s">
        <v>10751</v>
      </c>
      <c r="Q4313" t="s">
        <v>10761</v>
      </c>
      <c r="R4313" t="s">
        <v>10821</v>
      </c>
      <c r="T4313">
        <v>18200</v>
      </c>
      <c r="U4313">
        <v>1516.67</v>
      </c>
      <c r="V4313">
        <v>59</v>
      </c>
      <c r="W4313">
        <v>2</v>
      </c>
      <c r="X4313">
        <v>0</v>
      </c>
      <c r="Z4313">
        <v>107.63</v>
      </c>
      <c r="AA4313">
        <v>40.85399</v>
      </c>
      <c r="AB4313">
        <v>-73.866992</v>
      </c>
      <c r="AD4313" t="s">
        <v>10840</v>
      </c>
      <c r="AF4313" t="s">
        <v>10842</v>
      </c>
      <c r="AG4313" t="s">
        <v>10859</v>
      </c>
      <c r="AH4313" t="s">
        <v>10862</v>
      </c>
      <c r="AI4313">
        <v>230</v>
      </c>
      <c r="AJ4313" t="s">
        <v>10210</v>
      </c>
      <c r="AL4313">
        <v>0</v>
      </c>
      <c r="AR4313" t="s">
        <v>11257</v>
      </c>
      <c r="AS4313" t="s">
        <v>9926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</row>
    <row r="4314" spans="1:59">
      <c r="A4314" s="1">
        <f>HYPERLINK("https://lsnyc.legalserver.org/matter/dynamic-profile/view/1908483","19-1908483")</f>
        <v>0</v>
      </c>
      <c r="B4314" t="s">
        <v>3521</v>
      </c>
      <c r="C4314" t="s">
        <v>8316</v>
      </c>
      <c r="D4314" t="s">
        <v>9926</v>
      </c>
      <c r="E4314" t="s">
        <v>10075</v>
      </c>
      <c r="F4314">
        <v>10462</v>
      </c>
      <c r="G4314" t="s">
        <v>10090</v>
      </c>
      <c r="H4314" t="s">
        <v>10098</v>
      </c>
      <c r="I4314" t="s">
        <v>10168</v>
      </c>
      <c r="J4314" t="s">
        <v>10210</v>
      </c>
      <c r="K4314" t="s">
        <v>10217</v>
      </c>
      <c r="M4314" t="s">
        <v>10495</v>
      </c>
      <c r="N4314" t="s">
        <v>10658</v>
      </c>
      <c r="P4314" t="s">
        <v>10749</v>
      </c>
      <c r="Q4314" t="s">
        <v>10769</v>
      </c>
      <c r="R4314" t="s">
        <v>10827</v>
      </c>
      <c r="T4314">
        <v>29004</v>
      </c>
      <c r="U4314">
        <v>2417</v>
      </c>
      <c r="V4314">
        <v>38</v>
      </c>
      <c r="W4314">
        <v>2</v>
      </c>
      <c r="X4314">
        <v>0</v>
      </c>
      <c r="Z4314">
        <v>171.52</v>
      </c>
      <c r="AA4314">
        <v>40.83568</v>
      </c>
      <c r="AB4314">
        <v>-73.856557</v>
      </c>
      <c r="AD4314" t="s">
        <v>10840</v>
      </c>
      <c r="AG4314" t="s">
        <v>10858</v>
      </c>
      <c r="AH4314" t="s">
        <v>10860</v>
      </c>
      <c r="AI4314">
        <v>230</v>
      </c>
      <c r="AJ4314" t="s">
        <v>10210</v>
      </c>
      <c r="AL4314">
        <v>3.5</v>
      </c>
      <c r="AM4314" t="s">
        <v>10885</v>
      </c>
      <c r="AN4314" t="s">
        <v>10908</v>
      </c>
      <c r="AO4314" t="s">
        <v>11001</v>
      </c>
      <c r="AP4314" t="s">
        <v>11046</v>
      </c>
      <c r="AQ4314" t="s">
        <v>11242</v>
      </c>
      <c r="AR4314" t="s">
        <v>11265</v>
      </c>
      <c r="AS4314" t="s">
        <v>9926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</row>
    <row r="4315" spans="1:59">
      <c r="A4315" s="1">
        <f>HYPERLINK("https://lsnyc.legalserver.org/matter/dynamic-profile/view/1908484","19-1908484")</f>
        <v>0</v>
      </c>
      <c r="B4315" t="s">
        <v>2581</v>
      </c>
      <c r="C4315" t="s">
        <v>7360</v>
      </c>
      <c r="D4315" t="s">
        <v>9926</v>
      </c>
      <c r="E4315" t="s">
        <v>10075</v>
      </c>
      <c r="F4315">
        <v>10452</v>
      </c>
      <c r="G4315" t="s">
        <v>10090</v>
      </c>
      <c r="H4315" t="s">
        <v>10098</v>
      </c>
      <c r="I4315" t="s">
        <v>10168</v>
      </c>
      <c r="J4315" t="s">
        <v>10210</v>
      </c>
      <c r="K4315" t="s">
        <v>10217</v>
      </c>
      <c r="M4315" t="s">
        <v>10612</v>
      </c>
      <c r="N4315" t="s">
        <v>10666</v>
      </c>
      <c r="P4315" t="s">
        <v>10749</v>
      </c>
      <c r="Q4315" t="s">
        <v>10765</v>
      </c>
      <c r="R4315" t="s">
        <v>10821</v>
      </c>
      <c r="T4315">
        <v>46968</v>
      </c>
      <c r="U4315">
        <v>3914</v>
      </c>
      <c r="V4315">
        <v>35</v>
      </c>
      <c r="W4315">
        <v>1</v>
      </c>
      <c r="X4315">
        <v>2</v>
      </c>
      <c r="Z4315">
        <v>220.2</v>
      </c>
      <c r="AA4315">
        <v>40.842493</v>
      </c>
      <c r="AB4315">
        <v>-73.914694</v>
      </c>
      <c r="AD4315" t="s">
        <v>10839</v>
      </c>
      <c r="AG4315" t="s">
        <v>10858</v>
      </c>
      <c r="AH4315" t="s">
        <v>10861</v>
      </c>
      <c r="AI4315">
        <v>234</v>
      </c>
      <c r="AJ4315" t="s">
        <v>10214</v>
      </c>
      <c r="AL4315">
        <v>7</v>
      </c>
      <c r="AR4315" t="s">
        <v>11295</v>
      </c>
      <c r="AS4315" t="s">
        <v>9926</v>
      </c>
      <c r="BA4315" t="s">
        <v>11738</v>
      </c>
      <c r="BB4315">
        <v>0</v>
      </c>
      <c r="BC4315">
        <v>0</v>
      </c>
      <c r="BD4315">
        <v>0</v>
      </c>
      <c r="BE4315">
        <v>0</v>
      </c>
      <c r="BF4315">
        <v>5</v>
      </c>
      <c r="BG4315">
        <v>0</v>
      </c>
    </row>
    <row r="4316" spans="1:59">
      <c r="A4316" s="1">
        <f>HYPERLINK("https://lsnyc.legalserver.org/matter/dynamic-profile/view/1908485","19-1908485")</f>
        <v>0</v>
      </c>
      <c r="B4316" t="s">
        <v>3522</v>
      </c>
      <c r="C4316" t="s">
        <v>8317</v>
      </c>
      <c r="D4316" t="s">
        <v>9928</v>
      </c>
      <c r="E4316" t="s">
        <v>10075</v>
      </c>
      <c r="F4316">
        <v>11210</v>
      </c>
      <c r="G4316" t="s">
        <v>10091</v>
      </c>
      <c r="H4316" t="s">
        <v>10098</v>
      </c>
      <c r="I4316" t="s">
        <v>10168</v>
      </c>
      <c r="J4316" t="s">
        <v>10214</v>
      </c>
      <c r="K4316" t="s">
        <v>10217</v>
      </c>
      <c r="M4316" t="s">
        <v>10286</v>
      </c>
      <c r="N4316" t="s">
        <v>10671</v>
      </c>
      <c r="P4316" t="s">
        <v>10751</v>
      </c>
      <c r="Q4316" t="s">
        <v>10768</v>
      </c>
      <c r="R4316" t="s">
        <v>10824</v>
      </c>
      <c r="T4316">
        <v>0</v>
      </c>
      <c r="U4316">
        <v>0</v>
      </c>
      <c r="V4316">
        <v>62</v>
      </c>
      <c r="W4316">
        <v>1</v>
      </c>
      <c r="X4316">
        <v>0</v>
      </c>
      <c r="Z4316">
        <v>0</v>
      </c>
      <c r="AA4316">
        <v>40.622132</v>
      </c>
      <c r="AB4316">
        <v>-73.94045</v>
      </c>
      <c r="AD4316" t="s">
        <v>10840</v>
      </c>
      <c r="AG4316" t="s">
        <v>10858</v>
      </c>
      <c r="AH4316" t="s">
        <v>10861</v>
      </c>
      <c r="AI4316">
        <v>234</v>
      </c>
      <c r="AJ4316" t="s">
        <v>10214</v>
      </c>
      <c r="AL4316">
        <v>0.5</v>
      </c>
      <c r="AM4316" t="s">
        <v>10888</v>
      </c>
      <c r="AN4316" t="s">
        <v>10957</v>
      </c>
      <c r="AO4316" t="s">
        <v>11015</v>
      </c>
      <c r="AP4316" t="s">
        <v>11065</v>
      </c>
      <c r="AR4316" t="s">
        <v>11267</v>
      </c>
      <c r="AS4316" t="s">
        <v>11595</v>
      </c>
      <c r="AT4316" t="s">
        <v>11642</v>
      </c>
      <c r="AX4316" t="s">
        <v>10838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</row>
    <row r="4317" spans="1:59">
      <c r="A4317" s="1">
        <f>HYPERLINK("https://lsnyc.legalserver.org/matter/dynamic-profile/view/1908486","19-1908486")</f>
        <v>0</v>
      </c>
      <c r="B4317" t="s">
        <v>3523</v>
      </c>
      <c r="C4317" t="s">
        <v>6514</v>
      </c>
      <c r="D4317" t="s">
        <v>9925</v>
      </c>
      <c r="E4317" t="s">
        <v>10075</v>
      </c>
      <c r="F4317">
        <v>10031</v>
      </c>
      <c r="G4317" t="s">
        <v>10089</v>
      </c>
      <c r="H4317" t="s">
        <v>10098</v>
      </c>
      <c r="I4317" t="s">
        <v>10168</v>
      </c>
      <c r="J4317" t="s">
        <v>10209</v>
      </c>
      <c r="K4317" t="s">
        <v>10217</v>
      </c>
      <c r="M4317" t="s">
        <v>10503</v>
      </c>
      <c r="N4317" t="s">
        <v>10721</v>
      </c>
      <c r="P4317" t="s">
        <v>10754</v>
      </c>
      <c r="Q4317" t="s">
        <v>10775</v>
      </c>
      <c r="R4317" t="s">
        <v>10821</v>
      </c>
      <c r="T4317">
        <v>0</v>
      </c>
      <c r="U4317">
        <v>0</v>
      </c>
      <c r="V4317">
        <v>35</v>
      </c>
      <c r="W4317">
        <v>2</v>
      </c>
      <c r="X4317">
        <v>3</v>
      </c>
      <c r="Z4317">
        <v>0</v>
      </c>
      <c r="AA4317">
        <v>40.819355</v>
      </c>
      <c r="AB4317">
        <v>-73.9555</v>
      </c>
      <c r="AD4317" t="s">
        <v>10839</v>
      </c>
      <c r="AG4317" t="s">
        <v>10858</v>
      </c>
      <c r="AH4317" t="s">
        <v>10865</v>
      </c>
      <c r="AI4317">
        <v>236</v>
      </c>
      <c r="AJ4317" t="s">
        <v>10209</v>
      </c>
      <c r="AK4317" t="s">
        <v>10837</v>
      </c>
      <c r="AL4317">
        <v>0</v>
      </c>
      <c r="AM4317" t="s">
        <v>10887</v>
      </c>
      <c r="AN4317" t="s">
        <v>10936</v>
      </c>
      <c r="AO4317" t="s">
        <v>11019</v>
      </c>
      <c r="AP4317" t="s">
        <v>11073</v>
      </c>
      <c r="AQ4317" t="s">
        <v>11114</v>
      </c>
      <c r="AR4317" t="s">
        <v>11267</v>
      </c>
      <c r="AS4317" t="s">
        <v>9925</v>
      </c>
      <c r="AT4317" t="s">
        <v>11641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</row>
    <row r="4318" spans="1:59">
      <c r="A4318" s="1">
        <f>HYPERLINK("https://lsnyc.legalserver.org/matter/dynamic-profile/view/1908487","19-1908487")</f>
        <v>0</v>
      </c>
      <c r="B4318" t="s">
        <v>3524</v>
      </c>
      <c r="C4318" t="s">
        <v>8318</v>
      </c>
      <c r="D4318" t="s">
        <v>9928</v>
      </c>
      <c r="E4318" t="s">
        <v>10075</v>
      </c>
      <c r="F4318">
        <v>11230</v>
      </c>
      <c r="G4318" t="s">
        <v>10093</v>
      </c>
      <c r="H4318" t="s">
        <v>10098</v>
      </c>
      <c r="I4318" t="s">
        <v>10168</v>
      </c>
      <c r="J4318" t="s">
        <v>10213</v>
      </c>
      <c r="K4318" t="s">
        <v>10217</v>
      </c>
      <c r="M4318" t="s">
        <v>10304</v>
      </c>
      <c r="N4318" t="s">
        <v>10671</v>
      </c>
      <c r="P4318" t="s">
        <v>10749</v>
      </c>
      <c r="Q4318" t="s">
        <v>10765</v>
      </c>
      <c r="R4318" t="s">
        <v>10820</v>
      </c>
      <c r="T4318">
        <v>11628</v>
      </c>
      <c r="U4318">
        <v>969</v>
      </c>
      <c r="V4318">
        <v>61</v>
      </c>
      <c r="W4318">
        <v>1</v>
      </c>
      <c r="X4318">
        <v>0</v>
      </c>
      <c r="Z4318">
        <v>93.09999999999999</v>
      </c>
      <c r="AA4318">
        <v>40.633208</v>
      </c>
      <c r="AB4318">
        <v>-73.970468</v>
      </c>
      <c r="AD4318" t="s">
        <v>10840</v>
      </c>
      <c r="AG4318" t="s">
        <v>10858</v>
      </c>
      <c r="AH4318" t="s">
        <v>10861</v>
      </c>
      <c r="AI4318">
        <v>234</v>
      </c>
      <c r="AJ4318" t="s">
        <v>10214</v>
      </c>
      <c r="AL4318">
        <v>1</v>
      </c>
      <c r="AM4318" t="s">
        <v>10888</v>
      </c>
      <c r="AN4318" t="s">
        <v>10941</v>
      </c>
      <c r="AO4318" t="s">
        <v>11015</v>
      </c>
      <c r="AP4318" t="s">
        <v>11050</v>
      </c>
      <c r="AR4318" t="s">
        <v>11298</v>
      </c>
      <c r="AS4318" t="s">
        <v>11595</v>
      </c>
      <c r="AT4318" t="s">
        <v>11642</v>
      </c>
      <c r="AX4318" t="s">
        <v>10838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</row>
    <row r="4319" spans="1:59">
      <c r="A4319" s="1">
        <f>HYPERLINK("https://lsnyc.legalserver.org/matter/dynamic-profile/view/1908488","19-1908488")</f>
        <v>0</v>
      </c>
      <c r="B4319" t="s">
        <v>3525</v>
      </c>
      <c r="C4319" t="s">
        <v>8319</v>
      </c>
      <c r="D4319" t="s">
        <v>9950</v>
      </c>
      <c r="E4319" t="s">
        <v>10075</v>
      </c>
      <c r="F4319">
        <v>11418</v>
      </c>
      <c r="G4319" t="s">
        <v>10092</v>
      </c>
      <c r="H4319" t="s">
        <v>10098</v>
      </c>
      <c r="I4319" t="s">
        <v>10198</v>
      </c>
      <c r="J4319" t="s">
        <v>10212</v>
      </c>
      <c r="K4319" t="s">
        <v>10217</v>
      </c>
      <c r="M4319" t="s">
        <v>10374</v>
      </c>
      <c r="N4319" t="s">
        <v>10674</v>
      </c>
      <c r="O4319" t="s">
        <v>10699</v>
      </c>
      <c r="P4319" t="s">
        <v>10754</v>
      </c>
      <c r="Q4319" t="s">
        <v>10775</v>
      </c>
      <c r="R4319" t="s">
        <v>10827</v>
      </c>
      <c r="T4319">
        <v>0</v>
      </c>
      <c r="U4319">
        <v>0</v>
      </c>
      <c r="V4319">
        <v>28</v>
      </c>
      <c r="W4319">
        <v>1</v>
      </c>
      <c r="X4319">
        <v>1</v>
      </c>
      <c r="Z4319">
        <v>0</v>
      </c>
      <c r="AA4319">
        <v>40.686373</v>
      </c>
      <c r="AB4319">
        <v>-73.837594</v>
      </c>
      <c r="AD4319" t="s">
        <v>10839</v>
      </c>
      <c r="AF4319" t="s">
        <v>10842</v>
      </c>
      <c r="AG4319" t="s">
        <v>10859</v>
      </c>
      <c r="AH4319" t="s">
        <v>10865</v>
      </c>
      <c r="AI4319">
        <v>237</v>
      </c>
      <c r="AJ4319" t="s">
        <v>10212</v>
      </c>
      <c r="AL4319">
        <v>1.55</v>
      </c>
      <c r="AR4319" t="s">
        <v>11267</v>
      </c>
      <c r="AS4319" t="s">
        <v>11594</v>
      </c>
      <c r="AT4319" t="s">
        <v>11641</v>
      </c>
      <c r="AX4319" t="s">
        <v>10838</v>
      </c>
      <c r="BA4319" t="s">
        <v>11738</v>
      </c>
      <c r="BB4319">
        <v>0</v>
      </c>
      <c r="BC4319">
        <v>0</v>
      </c>
      <c r="BD4319">
        <v>0</v>
      </c>
      <c r="BE4319">
        <v>0</v>
      </c>
      <c r="BF4319">
        <v>5</v>
      </c>
      <c r="BG4319">
        <v>0</v>
      </c>
    </row>
    <row r="4320" spans="1:59">
      <c r="A4320" s="1">
        <f>HYPERLINK("https://lsnyc.legalserver.org/matter/dynamic-profile/view/1908489","19-1908489")</f>
        <v>0</v>
      </c>
      <c r="B4320" t="s">
        <v>3526</v>
      </c>
      <c r="C4320" t="s">
        <v>8320</v>
      </c>
      <c r="D4320" t="s">
        <v>9930</v>
      </c>
      <c r="E4320" t="s">
        <v>10075</v>
      </c>
      <c r="F4320">
        <v>11373</v>
      </c>
      <c r="G4320" t="s">
        <v>10092</v>
      </c>
      <c r="H4320" t="s">
        <v>10098</v>
      </c>
      <c r="I4320" t="s">
        <v>10168</v>
      </c>
      <c r="J4320" t="s">
        <v>10212</v>
      </c>
      <c r="K4320" t="s">
        <v>10217</v>
      </c>
      <c r="M4320" t="s">
        <v>10428</v>
      </c>
      <c r="N4320" t="s">
        <v>10693</v>
      </c>
      <c r="P4320" t="s">
        <v>10749</v>
      </c>
      <c r="Q4320" t="s">
        <v>10765</v>
      </c>
      <c r="R4320" t="s">
        <v>10825</v>
      </c>
      <c r="T4320">
        <v>31200</v>
      </c>
      <c r="U4320">
        <v>2600</v>
      </c>
      <c r="V4320">
        <v>25</v>
      </c>
      <c r="W4320">
        <v>2</v>
      </c>
      <c r="X4320">
        <v>2</v>
      </c>
      <c r="Z4320">
        <v>121.17</v>
      </c>
      <c r="AA4320">
        <v>40.736765</v>
      </c>
      <c r="AB4320">
        <v>-73.86680800000001</v>
      </c>
      <c r="AD4320" t="s">
        <v>10839</v>
      </c>
      <c r="AG4320" t="s">
        <v>10858</v>
      </c>
      <c r="AH4320" t="s">
        <v>10862</v>
      </c>
      <c r="AI4320">
        <v>237</v>
      </c>
      <c r="AJ4320" t="s">
        <v>10212</v>
      </c>
      <c r="AL4320">
        <v>3.33</v>
      </c>
      <c r="AM4320" t="s">
        <v>10890</v>
      </c>
      <c r="AN4320" t="s">
        <v>10916</v>
      </c>
      <c r="AO4320" t="s">
        <v>11014</v>
      </c>
      <c r="AP4320" t="s">
        <v>11053</v>
      </c>
      <c r="AR4320" t="s">
        <v>11257</v>
      </c>
      <c r="AS4320" t="s">
        <v>11594</v>
      </c>
      <c r="BA4320" t="s">
        <v>11738</v>
      </c>
      <c r="BB4320">
        <v>0</v>
      </c>
      <c r="BC4320">
        <v>0</v>
      </c>
      <c r="BD4320">
        <v>0</v>
      </c>
      <c r="BE4320">
        <v>0</v>
      </c>
      <c r="BF4320">
        <v>5</v>
      </c>
      <c r="BG4320">
        <v>0</v>
      </c>
    </row>
    <row r="4321" spans="1:59">
      <c r="A4321" s="1">
        <f>HYPERLINK("https://lsnyc.legalserver.org/matter/dynamic-profile/view/1908490","19-1908490")</f>
        <v>0</v>
      </c>
      <c r="B4321" t="s">
        <v>2789</v>
      </c>
      <c r="C4321" t="s">
        <v>8321</v>
      </c>
      <c r="D4321" t="s">
        <v>9962</v>
      </c>
      <c r="E4321" t="s">
        <v>10075</v>
      </c>
      <c r="F4321">
        <v>11423</v>
      </c>
      <c r="G4321" t="s">
        <v>10092</v>
      </c>
      <c r="H4321" t="s">
        <v>10098</v>
      </c>
      <c r="I4321" t="s">
        <v>10168</v>
      </c>
      <c r="J4321" t="s">
        <v>10212</v>
      </c>
      <c r="K4321" t="s">
        <v>10218</v>
      </c>
      <c r="L4321" t="s">
        <v>10098</v>
      </c>
      <c r="M4321" t="s">
        <v>10374</v>
      </c>
      <c r="N4321" t="s">
        <v>10745</v>
      </c>
      <c r="O4321" t="s">
        <v>10699</v>
      </c>
      <c r="P4321" t="s">
        <v>10754</v>
      </c>
      <c r="Q4321" t="s">
        <v>10775</v>
      </c>
      <c r="R4321" t="s">
        <v>10824</v>
      </c>
      <c r="T4321">
        <v>4236</v>
      </c>
      <c r="U4321">
        <v>353</v>
      </c>
      <c r="V4321">
        <v>31</v>
      </c>
      <c r="W4321">
        <v>1</v>
      </c>
      <c r="X4321">
        <v>2</v>
      </c>
      <c r="Y4321" t="s">
        <v>10829</v>
      </c>
      <c r="Z4321">
        <v>19.86</v>
      </c>
      <c r="AA4321">
        <v>40.703721</v>
      </c>
      <c r="AB4321">
        <v>-73.79771599999999</v>
      </c>
      <c r="AD4321" t="s">
        <v>10839</v>
      </c>
      <c r="AF4321" t="s">
        <v>10842</v>
      </c>
      <c r="AG4321" t="s">
        <v>10859</v>
      </c>
      <c r="AH4321" t="s">
        <v>10865</v>
      </c>
      <c r="AI4321">
        <v>237</v>
      </c>
      <c r="AJ4321" t="s">
        <v>10212</v>
      </c>
      <c r="AK4321" t="s">
        <v>10837</v>
      </c>
      <c r="AL4321">
        <v>1</v>
      </c>
      <c r="AR4321" t="s">
        <v>11306</v>
      </c>
      <c r="AS4321" t="s">
        <v>11594</v>
      </c>
      <c r="AT4321" t="s">
        <v>11641</v>
      </c>
      <c r="AX4321" t="s">
        <v>10838</v>
      </c>
      <c r="AY4321" t="s">
        <v>10829</v>
      </c>
      <c r="AZ4321" t="s">
        <v>11683</v>
      </c>
      <c r="BA4321" t="s">
        <v>11741</v>
      </c>
      <c r="BB4321">
        <v>0</v>
      </c>
      <c r="BC4321">
        <v>0</v>
      </c>
      <c r="BD4321">
        <v>0</v>
      </c>
      <c r="BE4321">
        <v>0</v>
      </c>
      <c r="BF4321">
        <v>1</v>
      </c>
      <c r="BG4321">
        <v>0</v>
      </c>
    </row>
    <row r="4322" spans="1:59">
      <c r="A4322" s="1">
        <f>HYPERLINK("https://lsnyc.legalserver.org/matter/dynamic-profile/view/1908491","19-1908491")</f>
        <v>0</v>
      </c>
      <c r="B4322" t="s">
        <v>2236</v>
      </c>
      <c r="C4322" t="s">
        <v>8322</v>
      </c>
      <c r="D4322" t="s">
        <v>9928</v>
      </c>
      <c r="E4322" t="s">
        <v>10075</v>
      </c>
      <c r="F4322">
        <v>11207</v>
      </c>
      <c r="G4322" t="s">
        <v>10093</v>
      </c>
      <c r="H4322" t="s">
        <v>10098</v>
      </c>
      <c r="I4322" t="s">
        <v>10169</v>
      </c>
      <c r="J4322" t="s">
        <v>10213</v>
      </c>
      <c r="K4322" t="s">
        <v>10218</v>
      </c>
      <c r="L4322" t="s">
        <v>10157</v>
      </c>
      <c r="M4322" t="s">
        <v>10330</v>
      </c>
      <c r="N4322" t="s">
        <v>10657</v>
      </c>
      <c r="P4322" t="s">
        <v>10756</v>
      </c>
      <c r="Q4322" t="s">
        <v>10802</v>
      </c>
      <c r="R4322" t="s">
        <v>10822</v>
      </c>
      <c r="T4322">
        <v>15384</v>
      </c>
      <c r="U4322">
        <v>1282</v>
      </c>
      <c r="V4322">
        <v>66</v>
      </c>
      <c r="W4322">
        <v>1</v>
      </c>
      <c r="X4322">
        <v>0</v>
      </c>
      <c r="Y4322" t="s">
        <v>10829</v>
      </c>
      <c r="Z4322">
        <v>123.17</v>
      </c>
      <c r="AA4322">
        <v>40.662348</v>
      </c>
      <c r="AB4322">
        <v>-73.89755100000001</v>
      </c>
      <c r="AD4322" t="s">
        <v>10839</v>
      </c>
      <c r="AG4322" t="s">
        <v>10858</v>
      </c>
      <c r="AH4322" t="s">
        <v>10878</v>
      </c>
      <c r="AI4322">
        <v>239</v>
      </c>
      <c r="AJ4322" t="s">
        <v>10213</v>
      </c>
      <c r="AK4322" t="s">
        <v>10838</v>
      </c>
      <c r="AL4322">
        <v>3.45</v>
      </c>
      <c r="AM4322" t="s">
        <v>10889</v>
      </c>
      <c r="AN4322" t="s">
        <v>10946</v>
      </c>
      <c r="AO4322" t="s">
        <v>11012</v>
      </c>
      <c r="AP4322" t="s">
        <v>11060</v>
      </c>
      <c r="AR4322" t="s">
        <v>11541</v>
      </c>
      <c r="AS4322" t="s">
        <v>11595</v>
      </c>
      <c r="AY4322" t="s">
        <v>10829</v>
      </c>
      <c r="AZ4322" t="s">
        <v>11708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</row>
    <row r="4323" spans="1:59">
      <c r="A4323" s="1">
        <f>HYPERLINK("https://lsnyc.legalserver.org/matter/dynamic-profile/view/1908492","19-1908492")</f>
        <v>0</v>
      </c>
      <c r="B4323" t="s">
        <v>3527</v>
      </c>
      <c r="C4323" t="s">
        <v>8323</v>
      </c>
      <c r="D4323" t="s">
        <v>9925</v>
      </c>
      <c r="E4323" t="s">
        <v>10075</v>
      </c>
      <c r="F4323">
        <v>10018</v>
      </c>
      <c r="G4323" t="s">
        <v>10091</v>
      </c>
      <c r="H4323" t="s">
        <v>10098</v>
      </c>
      <c r="I4323" t="s">
        <v>10171</v>
      </c>
      <c r="J4323" t="s">
        <v>10214</v>
      </c>
      <c r="K4323" t="s">
        <v>10217</v>
      </c>
      <c r="M4323" t="s">
        <v>10537</v>
      </c>
      <c r="N4323" t="s">
        <v>10673</v>
      </c>
      <c r="P4323" t="s">
        <v>10753</v>
      </c>
      <c r="Q4323" t="s">
        <v>10763</v>
      </c>
      <c r="R4323" t="s">
        <v>10825</v>
      </c>
      <c r="T4323">
        <v>10000</v>
      </c>
      <c r="U4323">
        <v>833.33</v>
      </c>
      <c r="V4323">
        <v>34</v>
      </c>
      <c r="W4323">
        <v>1</v>
      </c>
      <c r="X4323">
        <v>0</v>
      </c>
      <c r="Z4323">
        <v>80.06</v>
      </c>
      <c r="AA4323">
        <v>40.753788</v>
      </c>
      <c r="AB4323">
        <v>-73.994</v>
      </c>
      <c r="AD4323" t="s">
        <v>10840</v>
      </c>
      <c r="AF4323" t="s">
        <v>10842</v>
      </c>
      <c r="AG4323" t="s">
        <v>10859</v>
      </c>
      <c r="AH4323" t="s">
        <v>10861</v>
      </c>
      <c r="AI4323">
        <v>234</v>
      </c>
      <c r="AJ4323" t="s">
        <v>10214</v>
      </c>
      <c r="AL4323">
        <v>2.05</v>
      </c>
      <c r="AM4323" t="s">
        <v>10894</v>
      </c>
      <c r="AN4323" t="s">
        <v>10966</v>
      </c>
      <c r="AO4323" t="s">
        <v>11021</v>
      </c>
      <c r="AP4323" t="s">
        <v>11090</v>
      </c>
      <c r="AR4323" t="s">
        <v>11257</v>
      </c>
      <c r="AS4323" t="s">
        <v>9925</v>
      </c>
      <c r="AT4323" t="s">
        <v>11642</v>
      </c>
      <c r="AX4323" t="s">
        <v>10837</v>
      </c>
      <c r="BA4323" t="s">
        <v>11742</v>
      </c>
      <c r="BB4323">
        <v>0</v>
      </c>
      <c r="BC4323">
        <v>0</v>
      </c>
      <c r="BD4323">
        <v>0</v>
      </c>
      <c r="BE4323">
        <v>0</v>
      </c>
      <c r="BF4323">
        <v>7</v>
      </c>
      <c r="BG4323">
        <v>0</v>
      </c>
    </row>
    <row r="4324" spans="1:59">
      <c r="A4324" s="1">
        <f>HYPERLINK("https://lsnyc.legalserver.org/matter/dynamic-profile/view/1908493","19-1908493")</f>
        <v>0</v>
      </c>
      <c r="B4324" t="s">
        <v>3528</v>
      </c>
      <c r="C4324" t="s">
        <v>8324</v>
      </c>
      <c r="D4324" t="s">
        <v>9927</v>
      </c>
      <c r="E4324" t="s">
        <v>10075</v>
      </c>
      <c r="F4324">
        <v>11377</v>
      </c>
      <c r="G4324" t="s">
        <v>10092</v>
      </c>
      <c r="H4324" t="s">
        <v>10098</v>
      </c>
      <c r="I4324" t="s">
        <v>10168</v>
      </c>
      <c r="J4324" t="s">
        <v>10212</v>
      </c>
      <c r="K4324" t="s">
        <v>10218</v>
      </c>
      <c r="L4324" t="s">
        <v>10098</v>
      </c>
      <c r="M4324" t="s">
        <v>10374</v>
      </c>
      <c r="N4324" t="s">
        <v>10745</v>
      </c>
      <c r="O4324" t="s">
        <v>10699</v>
      </c>
      <c r="P4324" t="s">
        <v>10758</v>
      </c>
      <c r="Q4324" t="s">
        <v>10793</v>
      </c>
      <c r="R4324" t="s">
        <v>10827</v>
      </c>
      <c r="T4324">
        <v>3840</v>
      </c>
      <c r="U4324">
        <v>320</v>
      </c>
      <c r="V4324">
        <v>36</v>
      </c>
      <c r="W4324">
        <v>1</v>
      </c>
      <c r="X4324">
        <v>0</v>
      </c>
      <c r="Y4324" t="s">
        <v>10829</v>
      </c>
      <c r="Z4324">
        <v>30.74</v>
      </c>
      <c r="AA4324">
        <v>40.757025</v>
      </c>
      <c r="AB4324">
        <v>-73.91010799999999</v>
      </c>
      <c r="AD4324" t="s">
        <v>10839</v>
      </c>
      <c r="AF4324" t="s">
        <v>10842</v>
      </c>
      <c r="AG4324" t="s">
        <v>10859</v>
      </c>
      <c r="AH4324" t="s">
        <v>10869</v>
      </c>
      <c r="AI4324">
        <v>237</v>
      </c>
      <c r="AJ4324" t="s">
        <v>10212</v>
      </c>
      <c r="AK4324" t="s">
        <v>10837</v>
      </c>
      <c r="AL4324">
        <v>1</v>
      </c>
      <c r="AM4324" t="s">
        <v>10885</v>
      </c>
      <c r="AN4324" t="s">
        <v>10935</v>
      </c>
      <c r="AO4324" t="s">
        <v>11014</v>
      </c>
      <c r="AP4324" t="s">
        <v>11047</v>
      </c>
      <c r="AR4324" t="s">
        <v>11382</v>
      </c>
      <c r="AS4324" t="s">
        <v>11594</v>
      </c>
      <c r="AT4324" t="s">
        <v>11641</v>
      </c>
      <c r="AX4324" t="s">
        <v>10838</v>
      </c>
      <c r="AY4324" t="s">
        <v>10829</v>
      </c>
      <c r="AZ4324" t="s">
        <v>11714</v>
      </c>
      <c r="BA4324" t="s">
        <v>11741</v>
      </c>
      <c r="BB4324">
        <v>0</v>
      </c>
      <c r="BC4324">
        <v>0</v>
      </c>
      <c r="BD4324">
        <v>0</v>
      </c>
      <c r="BE4324">
        <v>0</v>
      </c>
      <c r="BF4324">
        <v>1</v>
      </c>
      <c r="BG4324">
        <v>0</v>
      </c>
    </row>
    <row r="4325" spans="1:59">
      <c r="A4325" s="1">
        <f>HYPERLINK("https://lsnyc.legalserver.org/matter/dynamic-profile/view/1908494","19-1908494")</f>
        <v>0</v>
      </c>
      <c r="B4325" t="s">
        <v>3529</v>
      </c>
      <c r="C4325" t="s">
        <v>8325</v>
      </c>
      <c r="D4325" t="s">
        <v>9926</v>
      </c>
      <c r="E4325" t="s">
        <v>10075</v>
      </c>
      <c r="F4325">
        <v>10466</v>
      </c>
      <c r="G4325" t="s">
        <v>10090</v>
      </c>
      <c r="H4325" t="s">
        <v>10098</v>
      </c>
      <c r="I4325" t="s">
        <v>10169</v>
      </c>
      <c r="J4325" t="s">
        <v>10210</v>
      </c>
      <c r="K4325" t="s">
        <v>10217</v>
      </c>
      <c r="M4325" t="s">
        <v>10412</v>
      </c>
      <c r="N4325" t="s">
        <v>10708</v>
      </c>
      <c r="P4325" t="s">
        <v>10753</v>
      </c>
      <c r="Q4325" t="s">
        <v>10763</v>
      </c>
      <c r="R4325" t="s">
        <v>10824</v>
      </c>
      <c r="T4325">
        <v>0</v>
      </c>
      <c r="U4325">
        <v>0</v>
      </c>
      <c r="V4325">
        <v>24</v>
      </c>
      <c r="W4325">
        <v>3</v>
      </c>
      <c r="X4325">
        <v>0</v>
      </c>
      <c r="Z4325">
        <v>0</v>
      </c>
      <c r="AA4325">
        <v>40.886337</v>
      </c>
      <c r="AB4325">
        <v>-73.860325</v>
      </c>
      <c r="AD4325" t="s">
        <v>10839</v>
      </c>
      <c r="AF4325" t="s">
        <v>10842</v>
      </c>
      <c r="AG4325" t="s">
        <v>10859</v>
      </c>
      <c r="AH4325" t="s">
        <v>10864</v>
      </c>
      <c r="AI4325">
        <v>230</v>
      </c>
      <c r="AJ4325" t="s">
        <v>10210</v>
      </c>
      <c r="AL4325">
        <v>2.8</v>
      </c>
      <c r="AM4325" t="s">
        <v>10893</v>
      </c>
      <c r="AN4325" t="s">
        <v>10956</v>
      </c>
      <c r="AO4325" t="s">
        <v>11010</v>
      </c>
      <c r="AP4325" t="s">
        <v>11085</v>
      </c>
      <c r="AQ4325" t="s">
        <v>11109</v>
      </c>
      <c r="AR4325" t="s">
        <v>11267</v>
      </c>
      <c r="AS4325" t="s">
        <v>9926</v>
      </c>
      <c r="AT4325" t="s">
        <v>11641</v>
      </c>
      <c r="AX4325" t="s">
        <v>10837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</row>
    <row r="4326" spans="1:59">
      <c r="A4326" s="1">
        <f>HYPERLINK("https://lsnyc.legalserver.org/matter/dynamic-profile/view/1908495","19-1908495")</f>
        <v>0</v>
      </c>
      <c r="B4326" t="s">
        <v>1127</v>
      </c>
      <c r="C4326" t="s">
        <v>8326</v>
      </c>
      <c r="D4326" t="s">
        <v>9925</v>
      </c>
      <c r="E4326" t="s">
        <v>10075</v>
      </c>
      <c r="F4326">
        <v>10031</v>
      </c>
      <c r="G4326" t="s">
        <v>10093</v>
      </c>
      <c r="H4326" t="s">
        <v>10098</v>
      </c>
      <c r="I4326" t="s">
        <v>10168</v>
      </c>
      <c r="J4326" t="s">
        <v>10213</v>
      </c>
      <c r="K4326" t="s">
        <v>10217</v>
      </c>
      <c r="M4326" t="s">
        <v>10330</v>
      </c>
      <c r="N4326" t="s">
        <v>10710</v>
      </c>
      <c r="P4326" t="s">
        <v>10750</v>
      </c>
      <c r="Q4326" t="s">
        <v>10760</v>
      </c>
      <c r="R4326" t="s">
        <v>10824</v>
      </c>
      <c r="T4326">
        <v>16296</v>
      </c>
      <c r="U4326">
        <v>1358</v>
      </c>
      <c r="V4326">
        <v>66</v>
      </c>
      <c r="W4326">
        <v>1</v>
      </c>
      <c r="X4326">
        <v>0</v>
      </c>
      <c r="Z4326">
        <v>130.47</v>
      </c>
      <c r="AA4326">
        <v>40.832061</v>
      </c>
      <c r="AB4326">
        <v>-73.948588</v>
      </c>
      <c r="AD4326" t="s">
        <v>10839</v>
      </c>
      <c r="AG4326" t="s">
        <v>10858</v>
      </c>
      <c r="AH4326" t="s">
        <v>10861</v>
      </c>
      <c r="AI4326">
        <v>234</v>
      </c>
      <c r="AJ4326" t="s">
        <v>10214</v>
      </c>
      <c r="AL4326">
        <v>0.65</v>
      </c>
      <c r="AM4326" t="s">
        <v>10887</v>
      </c>
      <c r="AN4326" t="s">
        <v>10943</v>
      </c>
      <c r="AO4326" t="s">
        <v>11019</v>
      </c>
      <c r="AP4326" t="s">
        <v>11073</v>
      </c>
      <c r="AR4326" t="s">
        <v>11298</v>
      </c>
      <c r="AS4326" t="s">
        <v>9925</v>
      </c>
      <c r="AT4326" t="s">
        <v>11641</v>
      </c>
      <c r="AX4326" t="s">
        <v>10838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</row>
    <row r="4327" spans="1:59">
      <c r="A4327" s="1">
        <f>HYPERLINK("https://lsnyc.legalserver.org/matter/dynamic-profile/view/1908496","19-1908496")</f>
        <v>0</v>
      </c>
      <c r="B4327" t="s">
        <v>2201</v>
      </c>
      <c r="C4327" t="s">
        <v>8327</v>
      </c>
      <c r="D4327" t="s">
        <v>9926</v>
      </c>
      <c r="E4327" t="s">
        <v>10075</v>
      </c>
      <c r="F4327">
        <v>10466</v>
      </c>
      <c r="G4327" t="s">
        <v>10091</v>
      </c>
      <c r="H4327" t="s">
        <v>10098</v>
      </c>
      <c r="I4327" t="s">
        <v>10168</v>
      </c>
      <c r="J4327" t="s">
        <v>10211</v>
      </c>
      <c r="K4327" t="s">
        <v>10217</v>
      </c>
      <c r="M4327" t="s">
        <v>10231</v>
      </c>
      <c r="N4327" t="s">
        <v>10647</v>
      </c>
      <c r="P4327" t="s">
        <v>10752</v>
      </c>
      <c r="Q4327" t="s">
        <v>10762</v>
      </c>
      <c r="R4327" t="s">
        <v>10824</v>
      </c>
      <c r="T4327">
        <v>9600</v>
      </c>
      <c r="U4327">
        <v>800</v>
      </c>
      <c r="V4327">
        <v>72</v>
      </c>
      <c r="W4327">
        <v>1</v>
      </c>
      <c r="X4327">
        <v>0</v>
      </c>
      <c r="Z4327">
        <v>76.86</v>
      </c>
      <c r="AA4327">
        <v>40.892474</v>
      </c>
      <c r="AB4327">
        <v>-73.841854</v>
      </c>
      <c r="AD4327" t="s">
        <v>10840</v>
      </c>
      <c r="AG4327" t="s">
        <v>10858</v>
      </c>
      <c r="AH4327" t="s">
        <v>10871</v>
      </c>
      <c r="AI4327">
        <v>234</v>
      </c>
      <c r="AJ4327" t="s">
        <v>10214</v>
      </c>
      <c r="AL4327">
        <v>1.2</v>
      </c>
      <c r="AM4327" t="s">
        <v>10893</v>
      </c>
      <c r="AN4327" t="s">
        <v>10956</v>
      </c>
      <c r="AO4327" t="s">
        <v>11010</v>
      </c>
      <c r="AP4327" t="s">
        <v>11085</v>
      </c>
      <c r="AR4327" t="s">
        <v>11268</v>
      </c>
      <c r="AS4327" t="s">
        <v>9926</v>
      </c>
      <c r="AT4327" t="s">
        <v>11642</v>
      </c>
      <c r="AX4327" t="s">
        <v>10838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</row>
    <row r="4328" spans="1:59">
      <c r="A4328" s="1">
        <f>HYPERLINK("https://lsnyc.legalserver.org/matter/dynamic-profile/view/1908497","19-1908497")</f>
        <v>0</v>
      </c>
      <c r="B4328" t="s">
        <v>3530</v>
      </c>
      <c r="C4328" t="s">
        <v>8328</v>
      </c>
      <c r="D4328" t="s">
        <v>9938</v>
      </c>
      <c r="E4328" t="s">
        <v>10075</v>
      </c>
      <c r="F4328">
        <v>11434</v>
      </c>
      <c r="G4328" t="s">
        <v>10092</v>
      </c>
      <c r="H4328" t="s">
        <v>10098</v>
      </c>
      <c r="I4328" t="s">
        <v>10168</v>
      </c>
      <c r="J4328" t="s">
        <v>10212</v>
      </c>
      <c r="K4328" t="s">
        <v>10217</v>
      </c>
      <c r="M4328" t="s">
        <v>10428</v>
      </c>
      <c r="N4328" t="s">
        <v>10693</v>
      </c>
      <c r="P4328" t="s">
        <v>10749</v>
      </c>
      <c r="Q4328" t="s">
        <v>10765</v>
      </c>
      <c r="R4328" t="s">
        <v>10824</v>
      </c>
      <c r="T4328">
        <v>45600</v>
      </c>
      <c r="U4328">
        <v>3800</v>
      </c>
      <c r="V4328">
        <v>20</v>
      </c>
      <c r="W4328">
        <v>3</v>
      </c>
      <c r="X4328">
        <v>2</v>
      </c>
      <c r="Z4328">
        <v>151.14</v>
      </c>
      <c r="AA4328">
        <v>40.673596</v>
      </c>
      <c r="AB4328">
        <v>-73.78906600000001</v>
      </c>
      <c r="AD4328" t="s">
        <v>10839</v>
      </c>
      <c r="AG4328" t="s">
        <v>10858</v>
      </c>
      <c r="AH4328" t="s">
        <v>10862</v>
      </c>
      <c r="AI4328">
        <v>237</v>
      </c>
      <c r="AJ4328" t="s">
        <v>10212</v>
      </c>
      <c r="AL4328">
        <v>2.33</v>
      </c>
      <c r="AM4328" t="s">
        <v>10892</v>
      </c>
      <c r="AN4328" t="s">
        <v>10951</v>
      </c>
      <c r="AO4328" t="s">
        <v>11017</v>
      </c>
      <c r="AP4328" t="s">
        <v>11070</v>
      </c>
      <c r="AR4328" t="s">
        <v>11257</v>
      </c>
      <c r="AS4328" t="s">
        <v>11594</v>
      </c>
      <c r="BA4328" t="s">
        <v>11741</v>
      </c>
      <c r="BB4328">
        <v>0</v>
      </c>
      <c r="BC4328">
        <v>0</v>
      </c>
      <c r="BD4328">
        <v>0</v>
      </c>
      <c r="BE4328">
        <v>0</v>
      </c>
      <c r="BF4328">
        <v>1</v>
      </c>
      <c r="BG4328">
        <v>0</v>
      </c>
    </row>
    <row r="4329" spans="1:59">
      <c r="A4329" s="1">
        <f>HYPERLINK("https://lsnyc.legalserver.org/matter/dynamic-profile/view/1908498","19-1908498")</f>
        <v>0</v>
      </c>
      <c r="B4329" t="s">
        <v>1011</v>
      </c>
      <c r="C4329" t="s">
        <v>5886</v>
      </c>
      <c r="D4329" t="s">
        <v>9951</v>
      </c>
      <c r="E4329" t="s">
        <v>10075</v>
      </c>
      <c r="F4329">
        <v>11417</v>
      </c>
      <c r="G4329" t="s">
        <v>10092</v>
      </c>
      <c r="H4329" t="s">
        <v>10098</v>
      </c>
      <c r="I4329" t="s">
        <v>10168</v>
      </c>
      <c r="J4329" t="s">
        <v>10212</v>
      </c>
      <c r="K4329" t="s">
        <v>10217</v>
      </c>
      <c r="M4329" t="s">
        <v>10260</v>
      </c>
      <c r="N4329" t="s">
        <v>10688</v>
      </c>
      <c r="P4329" t="s">
        <v>10751</v>
      </c>
      <c r="Q4329" t="s">
        <v>10761</v>
      </c>
      <c r="R4329" t="s">
        <v>10820</v>
      </c>
      <c r="T4329">
        <v>8400</v>
      </c>
      <c r="U4329">
        <v>700</v>
      </c>
      <c r="V4329">
        <v>46</v>
      </c>
      <c r="W4329">
        <v>1</v>
      </c>
      <c r="X4329">
        <v>2</v>
      </c>
      <c r="Z4329">
        <v>39.38</v>
      </c>
      <c r="AA4329">
        <v>40.676348</v>
      </c>
      <c r="AB4329">
        <v>-73.845928</v>
      </c>
      <c r="AD4329" t="s">
        <v>10840</v>
      </c>
      <c r="AG4329" t="s">
        <v>10858</v>
      </c>
      <c r="AH4329" t="s">
        <v>10874</v>
      </c>
      <c r="AI4329">
        <v>237</v>
      </c>
      <c r="AJ4329" t="s">
        <v>10212</v>
      </c>
      <c r="AL4329">
        <v>7.51</v>
      </c>
      <c r="AM4329" t="s">
        <v>10889</v>
      </c>
      <c r="AN4329" t="s">
        <v>10958</v>
      </c>
      <c r="AO4329" t="s">
        <v>11024</v>
      </c>
      <c r="AP4329" t="s">
        <v>11088</v>
      </c>
      <c r="AR4329" t="s">
        <v>11327</v>
      </c>
      <c r="AS4329" t="s">
        <v>11594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</row>
    <row r="4330" spans="1:59">
      <c r="A4330" s="1">
        <f>HYPERLINK("https://lsnyc.legalserver.org/matter/dynamic-profile/view/1908500","19-1908500")</f>
        <v>0</v>
      </c>
      <c r="B4330" t="s">
        <v>3531</v>
      </c>
      <c r="C4330" t="s">
        <v>8329</v>
      </c>
      <c r="D4330" t="s">
        <v>9926</v>
      </c>
      <c r="E4330" t="s">
        <v>10075</v>
      </c>
      <c r="F4330">
        <v>10456</v>
      </c>
      <c r="G4330" t="s">
        <v>10091</v>
      </c>
      <c r="H4330" t="s">
        <v>10098</v>
      </c>
      <c r="I4330" t="s">
        <v>10169</v>
      </c>
      <c r="J4330" t="s">
        <v>10214</v>
      </c>
      <c r="K4330" t="s">
        <v>10217</v>
      </c>
      <c r="M4330" t="s">
        <v>10537</v>
      </c>
      <c r="N4330" t="s">
        <v>10671</v>
      </c>
      <c r="P4330" t="s">
        <v>10753</v>
      </c>
      <c r="Q4330" t="s">
        <v>10763</v>
      </c>
      <c r="R4330" t="s">
        <v>10825</v>
      </c>
      <c r="T4330">
        <v>2184</v>
      </c>
      <c r="U4330">
        <v>182</v>
      </c>
      <c r="V4330">
        <v>69</v>
      </c>
      <c r="W4330">
        <v>1</v>
      </c>
      <c r="X4330">
        <v>0</v>
      </c>
      <c r="Z4330">
        <v>17.49</v>
      </c>
      <c r="AA4330">
        <v>40.832579</v>
      </c>
      <c r="AB4330">
        <v>-73.903915</v>
      </c>
      <c r="AD4330" t="s">
        <v>10840</v>
      </c>
      <c r="AF4330" t="s">
        <v>10843</v>
      </c>
      <c r="AG4330" t="s">
        <v>10859</v>
      </c>
      <c r="AH4330" t="s">
        <v>10861</v>
      </c>
      <c r="AI4330">
        <v>234</v>
      </c>
      <c r="AJ4330" t="s">
        <v>10214</v>
      </c>
      <c r="AL4330">
        <v>0.55</v>
      </c>
      <c r="AM4330" t="s">
        <v>10884</v>
      </c>
      <c r="AN4330" t="s">
        <v>10918</v>
      </c>
      <c r="AO4330" t="s">
        <v>11000</v>
      </c>
      <c r="AP4330" t="s">
        <v>11055</v>
      </c>
      <c r="AR4330" t="s">
        <v>11344</v>
      </c>
      <c r="AS4330" t="s">
        <v>9926</v>
      </c>
      <c r="AT4330" t="s">
        <v>11642</v>
      </c>
      <c r="AX4330" t="s">
        <v>10838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</row>
    <row r="4331" spans="1:59">
      <c r="A4331" s="1">
        <f>HYPERLINK("https://lsnyc.legalserver.org/matter/dynamic-profile/view/1908501","19-1908501")</f>
        <v>0</v>
      </c>
      <c r="B4331" t="s">
        <v>3532</v>
      </c>
      <c r="C4331" t="s">
        <v>8330</v>
      </c>
      <c r="D4331" t="s">
        <v>9926</v>
      </c>
      <c r="E4331" t="s">
        <v>10075</v>
      </c>
      <c r="F4331">
        <v>10459</v>
      </c>
      <c r="G4331" t="s">
        <v>10090</v>
      </c>
      <c r="H4331" t="s">
        <v>10098</v>
      </c>
      <c r="I4331" t="s">
        <v>10168</v>
      </c>
      <c r="J4331" t="s">
        <v>10210</v>
      </c>
      <c r="K4331" t="s">
        <v>10217</v>
      </c>
      <c r="M4331" t="s">
        <v>10558</v>
      </c>
      <c r="N4331" t="s">
        <v>10683</v>
      </c>
      <c r="P4331" t="s">
        <v>10754</v>
      </c>
      <c r="Q4331" t="s">
        <v>10775</v>
      </c>
      <c r="R4331" t="s">
        <v>10821</v>
      </c>
      <c r="T4331">
        <v>0</v>
      </c>
      <c r="U4331">
        <v>0</v>
      </c>
      <c r="V4331">
        <v>45</v>
      </c>
      <c r="W4331">
        <v>3</v>
      </c>
      <c r="X4331">
        <v>3</v>
      </c>
      <c r="Z4331">
        <v>0</v>
      </c>
      <c r="AA4331">
        <v>40.828236</v>
      </c>
      <c r="AB4331">
        <v>-73.893658</v>
      </c>
      <c r="AD4331" t="s">
        <v>10839</v>
      </c>
      <c r="AF4331" t="s">
        <v>10843</v>
      </c>
      <c r="AG4331" t="s">
        <v>10859</v>
      </c>
      <c r="AH4331" t="s">
        <v>10865</v>
      </c>
      <c r="AI4331">
        <v>230</v>
      </c>
      <c r="AJ4331" t="s">
        <v>10210</v>
      </c>
      <c r="AL4331">
        <v>1</v>
      </c>
      <c r="AM4331" t="s">
        <v>10884</v>
      </c>
      <c r="AN4331" t="s">
        <v>10968</v>
      </c>
      <c r="AO4331" t="s">
        <v>11001</v>
      </c>
      <c r="AP4331" t="s">
        <v>11062</v>
      </c>
      <c r="AR4331" t="s">
        <v>11279</v>
      </c>
      <c r="AS4331" t="s">
        <v>9926</v>
      </c>
      <c r="AT4331" t="s">
        <v>11641</v>
      </c>
      <c r="AV4331" t="s">
        <v>11656</v>
      </c>
      <c r="AW4331" t="s">
        <v>11645</v>
      </c>
      <c r="AX4331" t="s">
        <v>10838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</row>
    <row r="4332" spans="1:59">
      <c r="A4332" s="1">
        <f>HYPERLINK("https://lsnyc.legalserver.org/matter/dynamic-profile/view/1908502","19-1908502")</f>
        <v>0</v>
      </c>
      <c r="B4332" t="s">
        <v>3533</v>
      </c>
      <c r="C4332" t="s">
        <v>8331</v>
      </c>
      <c r="D4332" t="s">
        <v>9926</v>
      </c>
      <c r="E4332" t="s">
        <v>10075</v>
      </c>
      <c r="F4332">
        <v>10468</v>
      </c>
      <c r="G4332" t="s">
        <v>10090</v>
      </c>
      <c r="H4332" t="s">
        <v>10153</v>
      </c>
      <c r="I4332" t="s">
        <v>10168</v>
      </c>
      <c r="J4332" t="s">
        <v>10210</v>
      </c>
      <c r="K4332" t="s">
        <v>10217</v>
      </c>
      <c r="M4332" t="s">
        <v>10385</v>
      </c>
      <c r="N4332" t="s">
        <v>10651</v>
      </c>
      <c r="P4332" t="s">
        <v>10749</v>
      </c>
      <c r="Q4332" t="s">
        <v>10765</v>
      </c>
      <c r="R4332" t="s">
        <v>10824</v>
      </c>
      <c r="T4332">
        <v>63000</v>
      </c>
      <c r="U4332">
        <v>5250</v>
      </c>
      <c r="V4332">
        <v>36</v>
      </c>
      <c r="W4332">
        <v>2</v>
      </c>
      <c r="X4332">
        <v>3</v>
      </c>
      <c r="Z4332">
        <v>208.82</v>
      </c>
      <c r="AA4332">
        <v>40.860109</v>
      </c>
      <c r="AB4332">
        <v>-73.89928500000001</v>
      </c>
      <c r="AC4332" t="s">
        <v>10837</v>
      </c>
      <c r="AD4332" t="s">
        <v>10839</v>
      </c>
      <c r="AG4332" t="s">
        <v>10858</v>
      </c>
      <c r="AH4332" t="s">
        <v>10862</v>
      </c>
      <c r="AI4332">
        <v>230</v>
      </c>
      <c r="AJ4332" t="s">
        <v>10210</v>
      </c>
      <c r="AL4332">
        <v>2</v>
      </c>
      <c r="AM4332" t="s">
        <v>10884</v>
      </c>
      <c r="AN4332" t="s">
        <v>10931</v>
      </c>
      <c r="AO4332" t="s">
        <v>11000</v>
      </c>
      <c r="AP4332" t="s">
        <v>11045</v>
      </c>
      <c r="AR4332" t="s">
        <v>11257</v>
      </c>
      <c r="AS4332" t="s">
        <v>9926</v>
      </c>
      <c r="AT4332" t="s">
        <v>11641</v>
      </c>
      <c r="AX4332" t="s">
        <v>10838</v>
      </c>
      <c r="BA4332" t="s">
        <v>11738</v>
      </c>
      <c r="BB4332">
        <v>0</v>
      </c>
      <c r="BC4332">
        <v>0</v>
      </c>
      <c r="BD4332">
        <v>0</v>
      </c>
      <c r="BE4332">
        <v>0</v>
      </c>
      <c r="BF4332">
        <v>5</v>
      </c>
      <c r="BG4332">
        <v>0</v>
      </c>
    </row>
    <row r="4333" spans="1:59">
      <c r="A4333" s="1">
        <f>HYPERLINK("https://lsnyc.legalserver.org/matter/dynamic-profile/view/1908503","19-1908503")</f>
        <v>0</v>
      </c>
      <c r="B4333" t="s">
        <v>3534</v>
      </c>
      <c r="C4333" t="s">
        <v>8332</v>
      </c>
      <c r="D4333" t="s">
        <v>9925</v>
      </c>
      <c r="E4333" t="s">
        <v>10075</v>
      </c>
      <c r="F4333">
        <v>10031</v>
      </c>
      <c r="G4333" t="s">
        <v>10089</v>
      </c>
      <c r="H4333" t="s">
        <v>10098</v>
      </c>
      <c r="I4333" t="s">
        <v>10168</v>
      </c>
      <c r="J4333" t="s">
        <v>10209</v>
      </c>
      <c r="K4333" t="s">
        <v>10217</v>
      </c>
      <c r="M4333" t="s">
        <v>10509</v>
      </c>
      <c r="N4333" t="s">
        <v>10722</v>
      </c>
      <c r="P4333" t="s">
        <v>10749</v>
      </c>
      <c r="Q4333" t="s">
        <v>10765</v>
      </c>
      <c r="R4333" t="s">
        <v>10821</v>
      </c>
      <c r="T4333">
        <v>20800</v>
      </c>
      <c r="U4333">
        <v>1733.33</v>
      </c>
      <c r="V4333">
        <v>49</v>
      </c>
      <c r="W4333">
        <v>2</v>
      </c>
      <c r="X4333">
        <v>0</v>
      </c>
      <c r="Z4333">
        <v>123</v>
      </c>
      <c r="AA4333">
        <v>40.824671</v>
      </c>
      <c r="AB4333">
        <v>-73.949736</v>
      </c>
      <c r="AD4333" t="s">
        <v>10839</v>
      </c>
      <c r="AG4333" t="s">
        <v>10858</v>
      </c>
      <c r="AH4333" t="s">
        <v>10862</v>
      </c>
      <c r="AI4333">
        <v>236</v>
      </c>
      <c r="AJ4333" t="s">
        <v>10209</v>
      </c>
      <c r="AL4333">
        <v>0.35</v>
      </c>
      <c r="AM4333" t="s">
        <v>10887</v>
      </c>
      <c r="AN4333" t="s">
        <v>10943</v>
      </c>
      <c r="AO4333" t="s">
        <v>11019</v>
      </c>
      <c r="AP4333" t="s">
        <v>11073</v>
      </c>
      <c r="AQ4333" t="s">
        <v>11101</v>
      </c>
      <c r="AR4333" t="s">
        <v>11257</v>
      </c>
      <c r="AS4333" t="s">
        <v>9925</v>
      </c>
      <c r="AT4333" t="s">
        <v>11641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</row>
    <row r="4334" spans="1:59">
      <c r="A4334" s="1">
        <f>HYPERLINK("https://lsnyc.legalserver.org/matter/dynamic-profile/view/1908504","19-1908504")</f>
        <v>0</v>
      </c>
      <c r="B4334" t="s">
        <v>3535</v>
      </c>
      <c r="C4334" t="s">
        <v>7036</v>
      </c>
      <c r="D4334" t="s">
        <v>9926</v>
      </c>
      <c r="E4334" t="s">
        <v>10075</v>
      </c>
      <c r="F4334">
        <v>10454</v>
      </c>
      <c r="G4334" t="s">
        <v>10090</v>
      </c>
      <c r="H4334" t="s">
        <v>10098</v>
      </c>
      <c r="I4334" t="s">
        <v>10168</v>
      </c>
      <c r="J4334" t="s">
        <v>10210</v>
      </c>
      <c r="K4334" t="s">
        <v>10217</v>
      </c>
      <c r="M4334" t="s">
        <v>10235</v>
      </c>
      <c r="N4334" t="s">
        <v>10666</v>
      </c>
      <c r="P4334" t="s">
        <v>10749</v>
      </c>
      <c r="Q4334" t="s">
        <v>10765</v>
      </c>
      <c r="R4334" t="s">
        <v>10823</v>
      </c>
      <c r="T4334">
        <v>10092</v>
      </c>
      <c r="U4334">
        <v>841</v>
      </c>
      <c r="V4334">
        <v>39</v>
      </c>
      <c r="W4334">
        <v>1</v>
      </c>
      <c r="X4334">
        <v>3</v>
      </c>
      <c r="Z4334">
        <v>39.19</v>
      </c>
      <c r="AA4334">
        <v>40.809321</v>
      </c>
      <c r="AB4334">
        <v>-73.915453</v>
      </c>
      <c r="AD4334" t="s">
        <v>10839</v>
      </c>
      <c r="AG4334" t="s">
        <v>10858</v>
      </c>
      <c r="AH4334" t="s">
        <v>10862</v>
      </c>
      <c r="AI4334">
        <v>230</v>
      </c>
      <c r="AJ4334" t="s">
        <v>10210</v>
      </c>
      <c r="AL4334">
        <v>6.75</v>
      </c>
      <c r="AM4334" t="s">
        <v>10884</v>
      </c>
      <c r="AN4334" t="s">
        <v>10924</v>
      </c>
      <c r="AO4334" t="s">
        <v>11013</v>
      </c>
      <c r="AP4334" t="s">
        <v>11066</v>
      </c>
      <c r="AR4334" t="s">
        <v>11527</v>
      </c>
      <c r="AS4334" t="s">
        <v>9926</v>
      </c>
      <c r="BA4334" t="s">
        <v>11738</v>
      </c>
      <c r="BB4334">
        <v>0</v>
      </c>
      <c r="BC4334">
        <v>0</v>
      </c>
      <c r="BD4334">
        <v>0</v>
      </c>
      <c r="BE4334">
        <v>0</v>
      </c>
      <c r="BF4334">
        <v>5</v>
      </c>
      <c r="BG4334">
        <v>0</v>
      </c>
    </row>
    <row r="4335" spans="1:59">
      <c r="A4335" s="1">
        <f>HYPERLINK("https://lsnyc.legalserver.org/matter/dynamic-profile/view/1908505","19-1908505")</f>
        <v>0</v>
      </c>
      <c r="B4335" t="s">
        <v>3536</v>
      </c>
      <c r="C4335" t="s">
        <v>8333</v>
      </c>
      <c r="D4335" t="s">
        <v>9975</v>
      </c>
      <c r="E4335" t="s">
        <v>10075</v>
      </c>
      <c r="F4335">
        <v>11415</v>
      </c>
      <c r="G4335" t="s">
        <v>10092</v>
      </c>
      <c r="H4335" t="s">
        <v>10098</v>
      </c>
      <c r="I4335" t="s">
        <v>10171</v>
      </c>
      <c r="J4335" t="s">
        <v>10212</v>
      </c>
      <c r="K4335" t="s">
        <v>10218</v>
      </c>
      <c r="L4335" t="s">
        <v>10098</v>
      </c>
      <c r="M4335" t="s">
        <v>10374</v>
      </c>
      <c r="N4335" t="s">
        <v>10745</v>
      </c>
      <c r="O4335" t="s">
        <v>10699</v>
      </c>
      <c r="P4335" t="s">
        <v>10754</v>
      </c>
      <c r="Q4335" t="s">
        <v>10775</v>
      </c>
      <c r="R4335" t="s">
        <v>10820</v>
      </c>
      <c r="T4335">
        <v>30472</v>
      </c>
      <c r="U4335">
        <v>2539.33</v>
      </c>
      <c r="V4335">
        <v>34</v>
      </c>
      <c r="W4335">
        <v>1</v>
      </c>
      <c r="X4335">
        <v>1</v>
      </c>
      <c r="Y4335" t="s">
        <v>10829</v>
      </c>
      <c r="Z4335">
        <v>180.2</v>
      </c>
      <c r="AA4335">
        <v>0</v>
      </c>
      <c r="AB4335">
        <v>0</v>
      </c>
      <c r="AD4335" t="s">
        <v>10839</v>
      </c>
      <c r="AF4335" t="s">
        <v>10843</v>
      </c>
      <c r="AG4335" t="s">
        <v>10859</v>
      </c>
      <c r="AH4335" t="s">
        <v>10865</v>
      </c>
      <c r="AI4335">
        <v>237</v>
      </c>
      <c r="AJ4335" t="s">
        <v>10212</v>
      </c>
      <c r="AK4335" t="s">
        <v>10837</v>
      </c>
      <c r="AL4335">
        <v>1</v>
      </c>
      <c r="AR4335" t="s">
        <v>11257</v>
      </c>
      <c r="AS4335" t="s">
        <v>11594</v>
      </c>
      <c r="AT4335" t="s">
        <v>11641</v>
      </c>
      <c r="AX4335" t="s">
        <v>10838</v>
      </c>
      <c r="AY4335" t="s">
        <v>10829</v>
      </c>
      <c r="AZ4335" t="s">
        <v>11683</v>
      </c>
      <c r="BA4335" t="s">
        <v>11741</v>
      </c>
      <c r="BB4335">
        <v>0</v>
      </c>
      <c r="BC4335">
        <v>0</v>
      </c>
      <c r="BD4335">
        <v>0</v>
      </c>
      <c r="BE4335">
        <v>0</v>
      </c>
      <c r="BF4335">
        <v>1</v>
      </c>
      <c r="BG4335">
        <v>0</v>
      </c>
    </row>
    <row r="4336" spans="1:59">
      <c r="A4336" s="1">
        <f>HYPERLINK("https://lsnyc.legalserver.org/matter/dynamic-profile/view/1908506","19-1908506")</f>
        <v>0</v>
      </c>
      <c r="B4336" t="s">
        <v>3537</v>
      </c>
      <c r="C4336" t="s">
        <v>8334</v>
      </c>
      <c r="D4336" t="s">
        <v>10046</v>
      </c>
      <c r="E4336" t="s">
        <v>10086</v>
      </c>
      <c r="F4336">
        <v>78041</v>
      </c>
      <c r="G4336" t="s">
        <v>10093</v>
      </c>
      <c r="H4336" t="s">
        <v>10098</v>
      </c>
      <c r="I4336" t="s">
        <v>10168</v>
      </c>
      <c r="J4336" t="s">
        <v>10213</v>
      </c>
      <c r="K4336" t="s">
        <v>10217</v>
      </c>
      <c r="M4336" t="s">
        <v>10436</v>
      </c>
      <c r="N4336" t="s">
        <v>10710</v>
      </c>
      <c r="P4336" t="s">
        <v>10750</v>
      </c>
      <c r="Q4336" t="s">
        <v>10760</v>
      </c>
      <c r="R4336" t="s">
        <v>10825</v>
      </c>
      <c r="T4336">
        <v>14052</v>
      </c>
      <c r="U4336">
        <v>1171</v>
      </c>
      <c r="V4336">
        <v>66</v>
      </c>
      <c r="W4336">
        <v>1</v>
      </c>
      <c r="X4336">
        <v>0</v>
      </c>
      <c r="Z4336">
        <v>112.51</v>
      </c>
      <c r="AA4336">
        <v>27.554757</v>
      </c>
      <c r="AB4336">
        <v>-99.508055</v>
      </c>
      <c r="AD4336" t="s">
        <v>10839</v>
      </c>
      <c r="AG4336" t="s">
        <v>10858</v>
      </c>
      <c r="AH4336" t="s">
        <v>10861</v>
      </c>
      <c r="AI4336">
        <v>234</v>
      </c>
      <c r="AJ4336" t="s">
        <v>10214</v>
      </c>
      <c r="AL4336">
        <v>0.6</v>
      </c>
      <c r="AR4336" t="s">
        <v>11300</v>
      </c>
      <c r="AS4336" t="s">
        <v>11630</v>
      </c>
      <c r="AT4336" t="s">
        <v>11641</v>
      </c>
      <c r="AX4336" t="s">
        <v>10838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</row>
    <row r="4337" spans="1:59">
      <c r="A4337" s="1">
        <f>HYPERLINK("https://lsnyc.legalserver.org/matter/dynamic-profile/view/1908507","19-1908507")</f>
        <v>0</v>
      </c>
      <c r="B4337" t="s">
        <v>931</v>
      </c>
      <c r="C4337" t="s">
        <v>8335</v>
      </c>
      <c r="D4337" t="s">
        <v>9931</v>
      </c>
      <c r="E4337" t="s">
        <v>10075</v>
      </c>
      <c r="F4337">
        <v>11354</v>
      </c>
      <c r="G4337" t="s">
        <v>10092</v>
      </c>
      <c r="H4337" t="s">
        <v>10098</v>
      </c>
      <c r="I4337" t="s">
        <v>10168</v>
      </c>
      <c r="J4337" t="s">
        <v>10212</v>
      </c>
      <c r="K4337" t="s">
        <v>10217</v>
      </c>
      <c r="M4337" t="s">
        <v>10258</v>
      </c>
      <c r="N4337" t="s">
        <v>10650</v>
      </c>
      <c r="P4337" t="s">
        <v>10749</v>
      </c>
      <c r="Q4337" t="s">
        <v>10765</v>
      </c>
      <c r="R4337" t="s">
        <v>10820</v>
      </c>
      <c r="T4337">
        <v>40000</v>
      </c>
      <c r="U4337">
        <v>3333.33</v>
      </c>
      <c r="V4337">
        <v>49</v>
      </c>
      <c r="W4337">
        <v>1</v>
      </c>
      <c r="X4337">
        <v>2</v>
      </c>
      <c r="Z4337">
        <v>187.53</v>
      </c>
      <c r="AA4337">
        <v>40.765648</v>
      </c>
      <c r="AB4337">
        <v>-73.817913</v>
      </c>
      <c r="AD4337" t="s">
        <v>10839</v>
      </c>
      <c r="AG4337" t="s">
        <v>10858</v>
      </c>
      <c r="AH4337" t="s">
        <v>10862</v>
      </c>
      <c r="AI4337">
        <v>237</v>
      </c>
      <c r="AJ4337" t="s">
        <v>10212</v>
      </c>
      <c r="AL4337">
        <v>1.35</v>
      </c>
      <c r="AM4337" t="s">
        <v>10890</v>
      </c>
      <c r="AN4337" t="s">
        <v>10927</v>
      </c>
      <c r="AO4337" t="s">
        <v>11009</v>
      </c>
      <c r="AP4337" t="s">
        <v>11067</v>
      </c>
      <c r="AR4337" t="s">
        <v>11257</v>
      </c>
      <c r="AS4337" t="s">
        <v>11594</v>
      </c>
      <c r="BA4337" t="s">
        <v>11741</v>
      </c>
      <c r="BB4337">
        <v>0</v>
      </c>
      <c r="BC4337">
        <v>0</v>
      </c>
      <c r="BD4337">
        <v>0</v>
      </c>
      <c r="BE4337">
        <v>0</v>
      </c>
      <c r="BF4337">
        <v>1</v>
      </c>
      <c r="BG4337">
        <v>0</v>
      </c>
    </row>
    <row r="4338" spans="1:59">
      <c r="A4338" s="1">
        <f>HYPERLINK("https://lsnyc.legalserver.org/matter/dynamic-profile/view/1908508","19-1908508")</f>
        <v>0</v>
      </c>
      <c r="B4338" t="s">
        <v>3538</v>
      </c>
      <c r="C4338" t="s">
        <v>8336</v>
      </c>
      <c r="D4338" t="s">
        <v>9936</v>
      </c>
      <c r="E4338" t="s">
        <v>10075</v>
      </c>
      <c r="F4338">
        <v>11106</v>
      </c>
      <c r="G4338" t="s">
        <v>10092</v>
      </c>
      <c r="H4338" t="s">
        <v>10098</v>
      </c>
      <c r="I4338" t="s">
        <v>10184</v>
      </c>
      <c r="J4338" t="s">
        <v>10212</v>
      </c>
      <c r="K4338" t="s">
        <v>10217</v>
      </c>
      <c r="M4338" t="s">
        <v>10295</v>
      </c>
      <c r="N4338" t="s">
        <v>10730</v>
      </c>
      <c r="P4338" t="s">
        <v>10754</v>
      </c>
      <c r="Q4338" t="s">
        <v>10770</v>
      </c>
      <c r="R4338" t="s">
        <v>10820</v>
      </c>
      <c r="T4338">
        <v>8220</v>
      </c>
      <c r="U4338">
        <v>685</v>
      </c>
      <c r="V4338">
        <v>52</v>
      </c>
      <c r="W4338">
        <v>6</v>
      </c>
      <c r="X4338">
        <v>4</v>
      </c>
      <c r="Z4338">
        <v>15.73</v>
      </c>
      <c r="AA4338">
        <v>40.760377</v>
      </c>
      <c r="AB4338">
        <v>-73.92312</v>
      </c>
      <c r="AD4338" t="s">
        <v>10839</v>
      </c>
      <c r="AG4338" t="s">
        <v>10858</v>
      </c>
      <c r="AH4338" t="s">
        <v>10865</v>
      </c>
      <c r="AI4338">
        <v>237</v>
      </c>
      <c r="AJ4338" t="s">
        <v>10212</v>
      </c>
      <c r="AL4338">
        <v>4.85</v>
      </c>
      <c r="AM4338" t="s">
        <v>10891</v>
      </c>
      <c r="AN4338" t="s">
        <v>10954</v>
      </c>
      <c r="AO4338" t="s">
        <v>11003</v>
      </c>
      <c r="AP4338" t="s">
        <v>11084</v>
      </c>
      <c r="AQ4338" t="s">
        <v>11152</v>
      </c>
      <c r="AR4338" t="s">
        <v>11268</v>
      </c>
      <c r="AS4338" t="s">
        <v>11594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</row>
    <row r="4339" spans="1:59">
      <c r="A4339" s="1">
        <f>HYPERLINK("https://lsnyc.legalserver.org/matter/dynamic-profile/view/1908509","19-1908509")</f>
        <v>0</v>
      </c>
      <c r="B4339" t="s">
        <v>3539</v>
      </c>
      <c r="C4339" t="s">
        <v>8337</v>
      </c>
      <c r="D4339" t="s">
        <v>9926</v>
      </c>
      <c r="E4339" t="s">
        <v>10075</v>
      </c>
      <c r="F4339">
        <v>10472</v>
      </c>
      <c r="G4339" t="s">
        <v>10091</v>
      </c>
      <c r="H4339" t="s">
        <v>10098</v>
      </c>
      <c r="I4339" t="s">
        <v>10168</v>
      </c>
      <c r="J4339" t="s">
        <v>10214</v>
      </c>
      <c r="K4339" t="s">
        <v>10217</v>
      </c>
      <c r="M4339" t="s">
        <v>10286</v>
      </c>
      <c r="N4339" t="s">
        <v>10671</v>
      </c>
      <c r="P4339" t="s">
        <v>10751</v>
      </c>
      <c r="Q4339" t="s">
        <v>10768</v>
      </c>
      <c r="R4339" t="s">
        <v>10824</v>
      </c>
      <c r="T4339">
        <v>12240</v>
      </c>
      <c r="U4339">
        <v>1020</v>
      </c>
      <c r="V4339">
        <v>50</v>
      </c>
      <c r="W4339">
        <v>5</v>
      </c>
      <c r="X4339">
        <v>1</v>
      </c>
      <c r="Z4339">
        <v>35.39</v>
      </c>
      <c r="AA4339">
        <v>40.826329</v>
      </c>
      <c r="AB4339">
        <v>-73.87854400000001</v>
      </c>
      <c r="AD4339" t="s">
        <v>10839</v>
      </c>
      <c r="AG4339" t="s">
        <v>10858</v>
      </c>
      <c r="AH4339" t="s">
        <v>10871</v>
      </c>
      <c r="AI4339">
        <v>234</v>
      </c>
      <c r="AJ4339" t="s">
        <v>10214</v>
      </c>
      <c r="AL4339">
        <v>0.5</v>
      </c>
      <c r="AM4339" t="s">
        <v>10884</v>
      </c>
      <c r="AN4339" t="s">
        <v>10968</v>
      </c>
      <c r="AO4339" t="s">
        <v>11001</v>
      </c>
      <c r="AP4339" t="s">
        <v>11046</v>
      </c>
      <c r="AR4339" t="s">
        <v>11448</v>
      </c>
      <c r="AS4339" t="s">
        <v>9926</v>
      </c>
      <c r="AT4339" t="s">
        <v>11641</v>
      </c>
      <c r="AX4339" t="s">
        <v>10838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</row>
    <row r="4340" spans="1:59">
      <c r="A4340" s="1">
        <f>HYPERLINK("https://lsnyc.legalserver.org/matter/dynamic-profile/view/1908510","19-1908510")</f>
        <v>0</v>
      </c>
      <c r="B4340" t="s">
        <v>3540</v>
      </c>
      <c r="C4340" t="s">
        <v>8338</v>
      </c>
      <c r="D4340" t="s">
        <v>9932</v>
      </c>
      <c r="E4340" t="s">
        <v>10075</v>
      </c>
      <c r="F4340">
        <v>11368</v>
      </c>
      <c r="G4340" t="s">
        <v>10092</v>
      </c>
      <c r="H4340" t="s">
        <v>10098</v>
      </c>
      <c r="I4340" t="s">
        <v>10169</v>
      </c>
      <c r="J4340" t="s">
        <v>10212</v>
      </c>
      <c r="K4340" t="s">
        <v>10218</v>
      </c>
      <c r="L4340" t="s">
        <v>10159</v>
      </c>
      <c r="M4340" t="s">
        <v>10374</v>
      </c>
      <c r="N4340" t="s">
        <v>10730</v>
      </c>
      <c r="O4340" t="s">
        <v>10699</v>
      </c>
      <c r="P4340" t="s">
        <v>10754</v>
      </c>
      <c r="Q4340" t="s">
        <v>10775</v>
      </c>
      <c r="R4340" t="s">
        <v>10821</v>
      </c>
      <c r="T4340">
        <v>10608</v>
      </c>
      <c r="U4340">
        <v>884</v>
      </c>
      <c r="V4340">
        <v>32</v>
      </c>
      <c r="W4340">
        <v>1</v>
      </c>
      <c r="X4340">
        <v>5</v>
      </c>
      <c r="Y4340" t="s">
        <v>10829</v>
      </c>
      <c r="Z4340">
        <v>30.67</v>
      </c>
      <c r="AA4340">
        <v>40.752897</v>
      </c>
      <c r="AB4340">
        <v>-73.87071</v>
      </c>
      <c r="AD4340" t="s">
        <v>10839</v>
      </c>
      <c r="AF4340" t="s">
        <v>10852</v>
      </c>
      <c r="AG4340" t="s">
        <v>10859</v>
      </c>
      <c r="AH4340" t="s">
        <v>10865</v>
      </c>
      <c r="AI4340">
        <v>237</v>
      </c>
      <c r="AJ4340" t="s">
        <v>10212</v>
      </c>
      <c r="AK4340" t="s">
        <v>10837</v>
      </c>
      <c r="AL4340">
        <v>1</v>
      </c>
      <c r="AM4340" t="s">
        <v>10885</v>
      </c>
      <c r="AN4340" t="s">
        <v>10909</v>
      </c>
      <c r="AO4340" t="s">
        <v>11014</v>
      </c>
      <c r="AP4340" t="s">
        <v>11068</v>
      </c>
      <c r="AR4340" t="s">
        <v>11257</v>
      </c>
      <c r="AS4340" t="s">
        <v>11594</v>
      </c>
      <c r="AT4340" t="s">
        <v>11641</v>
      </c>
      <c r="AX4340" t="s">
        <v>10838</v>
      </c>
      <c r="AY4340" t="s">
        <v>10829</v>
      </c>
      <c r="AZ4340" t="s">
        <v>11683</v>
      </c>
      <c r="BA4340" t="s">
        <v>11741</v>
      </c>
      <c r="BB4340">
        <v>0</v>
      </c>
      <c r="BC4340">
        <v>0</v>
      </c>
      <c r="BD4340">
        <v>0</v>
      </c>
      <c r="BE4340">
        <v>0</v>
      </c>
      <c r="BF4340">
        <v>1</v>
      </c>
      <c r="BG4340">
        <v>0</v>
      </c>
    </row>
    <row r="4341" spans="1:59">
      <c r="A4341" s="1">
        <f>HYPERLINK("https://lsnyc.legalserver.org/matter/dynamic-profile/view/1908511","19-1908511")</f>
        <v>0</v>
      </c>
      <c r="B4341" t="s">
        <v>3541</v>
      </c>
      <c r="C4341" t="s">
        <v>8339</v>
      </c>
      <c r="D4341" t="s">
        <v>9926</v>
      </c>
      <c r="E4341" t="s">
        <v>10075</v>
      </c>
      <c r="F4341">
        <v>10456</v>
      </c>
      <c r="G4341" t="s">
        <v>10090</v>
      </c>
      <c r="H4341" t="s">
        <v>10098</v>
      </c>
      <c r="I4341" t="s">
        <v>10168</v>
      </c>
      <c r="J4341" t="s">
        <v>10210</v>
      </c>
      <c r="K4341" t="s">
        <v>10217</v>
      </c>
      <c r="M4341" t="s">
        <v>10558</v>
      </c>
      <c r="N4341" t="s">
        <v>10683</v>
      </c>
      <c r="P4341" t="s">
        <v>10754</v>
      </c>
      <c r="Q4341" t="s">
        <v>10775</v>
      </c>
      <c r="R4341" t="s">
        <v>10822</v>
      </c>
      <c r="T4341">
        <v>52000</v>
      </c>
      <c r="U4341">
        <v>4333.33</v>
      </c>
      <c r="V4341">
        <v>44</v>
      </c>
      <c r="W4341">
        <v>2</v>
      </c>
      <c r="X4341">
        <v>0</v>
      </c>
      <c r="Z4341">
        <v>307.51</v>
      </c>
      <c r="AA4341">
        <v>40.834999</v>
      </c>
      <c r="AB4341">
        <v>-73.91444199999999</v>
      </c>
      <c r="AD4341" t="s">
        <v>10839</v>
      </c>
      <c r="AG4341" t="s">
        <v>10858</v>
      </c>
      <c r="AH4341" t="s">
        <v>10865</v>
      </c>
      <c r="AI4341">
        <v>230</v>
      </c>
      <c r="AJ4341" t="s">
        <v>10210</v>
      </c>
      <c r="AL4341">
        <v>2.5</v>
      </c>
      <c r="AM4341" t="s">
        <v>10884</v>
      </c>
      <c r="AN4341" t="s">
        <v>10929</v>
      </c>
      <c r="AO4341" t="s">
        <v>11000</v>
      </c>
      <c r="AP4341" t="s">
        <v>11055</v>
      </c>
      <c r="AR4341" t="s">
        <v>11257</v>
      </c>
      <c r="AS4341" t="s">
        <v>9926</v>
      </c>
      <c r="AT4341" t="s">
        <v>11641</v>
      </c>
      <c r="AV4341" t="s">
        <v>11656</v>
      </c>
      <c r="AW4341" t="s">
        <v>11645</v>
      </c>
      <c r="AX4341" t="s">
        <v>10838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</row>
    <row r="4342" spans="1:59">
      <c r="A4342" s="1">
        <f>HYPERLINK("https://lsnyc.legalserver.org/matter/dynamic-profile/view/1908512","19-1908512")</f>
        <v>0</v>
      </c>
      <c r="B4342" t="s">
        <v>3533</v>
      </c>
      <c r="C4342" t="s">
        <v>8331</v>
      </c>
      <c r="D4342" t="s">
        <v>9926</v>
      </c>
      <c r="E4342" t="s">
        <v>10075</v>
      </c>
      <c r="F4342">
        <v>10468</v>
      </c>
      <c r="G4342" t="s">
        <v>10090</v>
      </c>
      <c r="H4342" t="s">
        <v>10153</v>
      </c>
      <c r="I4342" t="s">
        <v>10168</v>
      </c>
      <c r="J4342" t="s">
        <v>10210</v>
      </c>
      <c r="K4342" t="s">
        <v>10217</v>
      </c>
      <c r="M4342" t="s">
        <v>10385</v>
      </c>
      <c r="N4342" t="s">
        <v>10646</v>
      </c>
      <c r="P4342" t="s">
        <v>10751</v>
      </c>
      <c r="Q4342" t="s">
        <v>10761</v>
      </c>
      <c r="R4342" t="s">
        <v>10824</v>
      </c>
      <c r="T4342">
        <v>63000</v>
      </c>
      <c r="U4342">
        <v>5250</v>
      </c>
      <c r="V4342">
        <v>36</v>
      </c>
      <c r="W4342">
        <v>2</v>
      </c>
      <c r="X4342">
        <v>3</v>
      </c>
      <c r="Z4342">
        <v>208.82</v>
      </c>
      <c r="AA4342">
        <v>40.860109</v>
      </c>
      <c r="AB4342">
        <v>-73.89928500000001</v>
      </c>
      <c r="AC4342" t="s">
        <v>10837</v>
      </c>
      <c r="AD4342" t="s">
        <v>10839</v>
      </c>
      <c r="AG4342" t="s">
        <v>10858</v>
      </c>
      <c r="AH4342" t="s">
        <v>10862</v>
      </c>
      <c r="AI4342">
        <v>230</v>
      </c>
      <c r="AJ4342" t="s">
        <v>10210</v>
      </c>
      <c r="AL4342">
        <v>0</v>
      </c>
      <c r="AM4342" t="s">
        <v>10884</v>
      </c>
      <c r="AN4342" t="s">
        <v>10931</v>
      </c>
      <c r="AO4342" t="s">
        <v>11000</v>
      </c>
      <c r="AP4342" t="s">
        <v>11045</v>
      </c>
      <c r="AR4342" t="s">
        <v>11257</v>
      </c>
      <c r="AS4342" t="s">
        <v>9926</v>
      </c>
      <c r="AT4342" t="s">
        <v>11641</v>
      </c>
      <c r="AX4342" t="s">
        <v>10838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</row>
    <row r="4343" spans="1:59">
      <c r="A4343" s="1">
        <f>HYPERLINK("https://lsnyc.legalserver.org/matter/dynamic-profile/view/1908513","19-1908513")</f>
        <v>0</v>
      </c>
      <c r="B4343" t="s">
        <v>3542</v>
      </c>
      <c r="C4343" t="s">
        <v>8340</v>
      </c>
      <c r="D4343" t="s">
        <v>9939</v>
      </c>
      <c r="E4343" t="s">
        <v>10075</v>
      </c>
      <c r="F4343">
        <v>11419</v>
      </c>
      <c r="G4343" t="s">
        <v>10091</v>
      </c>
      <c r="H4343" t="s">
        <v>10098</v>
      </c>
      <c r="I4343" t="s">
        <v>10168</v>
      </c>
      <c r="J4343" t="s">
        <v>10214</v>
      </c>
      <c r="K4343" t="s">
        <v>10217</v>
      </c>
      <c r="M4343" t="s">
        <v>10286</v>
      </c>
      <c r="N4343" t="s">
        <v>10671</v>
      </c>
      <c r="P4343" t="s">
        <v>10754</v>
      </c>
      <c r="Q4343" t="s">
        <v>10782</v>
      </c>
      <c r="R4343" t="s">
        <v>10828</v>
      </c>
      <c r="T4343">
        <v>24000</v>
      </c>
      <c r="U4343">
        <v>2000</v>
      </c>
      <c r="V4343">
        <v>55</v>
      </c>
      <c r="W4343">
        <v>1</v>
      </c>
      <c r="X4343">
        <v>0</v>
      </c>
      <c r="Z4343">
        <v>192.15</v>
      </c>
      <c r="AA4343">
        <v>40.693315</v>
      </c>
      <c r="AB4343">
        <v>-73.831658</v>
      </c>
      <c r="AD4343" t="s">
        <v>10839</v>
      </c>
      <c r="AG4343" t="s">
        <v>10858</v>
      </c>
      <c r="AH4343" t="s">
        <v>10871</v>
      </c>
      <c r="AI4343">
        <v>234</v>
      </c>
      <c r="AJ4343" t="s">
        <v>10214</v>
      </c>
      <c r="AL4343">
        <v>1</v>
      </c>
      <c r="AM4343" t="s">
        <v>10892</v>
      </c>
      <c r="AN4343" t="s">
        <v>10944</v>
      </c>
      <c r="AO4343" t="s">
        <v>11017</v>
      </c>
      <c r="AP4343" t="s">
        <v>11083</v>
      </c>
      <c r="AR4343" t="s">
        <v>11257</v>
      </c>
      <c r="AS4343" t="s">
        <v>11594</v>
      </c>
      <c r="AT4343" t="s">
        <v>11641</v>
      </c>
      <c r="AX4343" t="s">
        <v>10838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</row>
    <row r="4344" spans="1:59">
      <c r="A4344" s="1">
        <f>HYPERLINK("https://lsnyc.legalserver.org/matter/dynamic-profile/view/1908514","19-1908514")</f>
        <v>0</v>
      </c>
      <c r="B4344" t="s">
        <v>3540</v>
      </c>
      <c r="C4344" t="s">
        <v>8338</v>
      </c>
      <c r="D4344" t="s">
        <v>9932</v>
      </c>
      <c r="E4344" t="s">
        <v>10075</v>
      </c>
      <c r="F4344">
        <v>11368</v>
      </c>
      <c r="G4344" t="s">
        <v>10092</v>
      </c>
      <c r="H4344" t="s">
        <v>10098</v>
      </c>
      <c r="I4344" t="s">
        <v>10169</v>
      </c>
      <c r="J4344" t="s">
        <v>10212</v>
      </c>
      <c r="K4344" t="s">
        <v>10217</v>
      </c>
      <c r="M4344" t="s">
        <v>10374</v>
      </c>
      <c r="N4344" t="s">
        <v>10699</v>
      </c>
      <c r="O4344" t="s">
        <v>10648</v>
      </c>
      <c r="P4344" t="s">
        <v>10753</v>
      </c>
      <c r="Q4344" t="s">
        <v>10763</v>
      </c>
      <c r="R4344" t="s">
        <v>10821</v>
      </c>
      <c r="T4344">
        <v>10608</v>
      </c>
      <c r="U4344">
        <v>884</v>
      </c>
      <c r="V4344">
        <v>32</v>
      </c>
      <c r="W4344">
        <v>1</v>
      </c>
      <c r="X4344">
        <v>5</v>
      </c>
      <c r="Z4344">
        <v>30.67</v>
      </c>
      <c r="AA4344">
        <v>40.752897</v>
      </c>
      <c r="AB4344">
        <v>-73.87071</v>
      </c>
      <c r="AD4344" t="s">
        <v>10839</v>
      </c>
      <c r="AF4344" t="s">
        <v>10852</v>
      </c>
      <c r="AG4344" t="s">
        <v>10859</v>
      </c>
      <c r="AH4344" t="s">
        <v>10865</v>
      </c>
      <c r="AI4344">
        <v>237</v>
      </c>
      <c r="AJ4344" t="s">
        <v>10212</v>
      </c>
      <c r="AL4344">
        <v>1.1</v>
      </c>
      <c r="AR4344" t="s">
        <v>11257</v>
      </c>
      <c r="AS4344" t="s">
        <v>11594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</row>
    <row r="4345" spans="1:59">
      <c r="A4345" s="1">
        <f>HYPERLINK("https://lsnyc.legalserver.org/matter/dynamic-profile/view/1908515","19-1908515")</f>
        <v>0</v>
      </c>
      <c r="B4345" t="s">
        <v>1579</v>
      </c>
      <c r="C4345" t="s">
        <v>8341</v>
      </c>
      <c r="D4345" t="s">
        <v>9926</v>
      </c>
      <c r="E4345" t="s">
        <v>10075</v>
      </c>
      <c r="F4345">
        <v>10467</v>
      </c>
      <c r="G4345" t="s">
        <v>10090</v>
      </c>
      <c r="H4345" t="s">
        <v>10098</v>
      </c>
      <c r="I4345" t="s">
        <v>10168</v>
      </c>
      <c r="J4345" t="s">
        <v>10215</v>
      </c>
      <c r="K4345" t="s">
        <v>10217</v>
      </c>
      <c r="M4345" t="s">
        <v>10306</v>
      </c>
      <c r="N4345" t="s">
        <v>10651</v>
      </c>
      <c r="P4345" t="s">
        <v>10749</v>
      </c>
      <c r="Q4345" t="s">
        <v>10765</v>
      </c>
      <c r="R4345" t="s">
        <v>10824</v>
      </c>
      <c r="T4345">
        <v>48000</v>
      </c>
      <c r="U4345">
        <v>4000</v>
      </c>
      <c r="V4345">
        <v>59</v>
      </c>
      <c r="W4345">
        <v>3</v>
      </c>
      <c r="X4345">
        <v>0</v>
      </c>
      <c r="Z4345">
        <v>225.04</v>
      </c>
      <c r="AA4345">
        <v>40.873463</v>
      </c>
      <c r="AB4345">
        <v>-73.870001</v>
      </c>
      <c r="AD4345" t="s">
        <v>10840</v>
      </c>
      <c r="AG4345" t="s">
        <v>10858</v>
      </c>
      <c r="AH4345" t="s">
        <v>10862</v>
      </c>
      <c r="AI4345">
        <v>231</v>
      </c>
      <c r="AJ4345" t="s">
        <v>10215</v>
      </c>
      <c r="AL4345">
        <v>2.8</v>
      </c>
      <c r="AM4345" t="s">
        <v>10893</v>
      </c>
      <c r="AN4345" t="s">
        <v>10938</v>
      </c>
      <c r="AO4345" t="s">
        <v>11010</v>
      </c>
      <c r="AP4345" t="s">
        <v>11085</v>
      </c>
      <c r="AR4345" t="s">
        <v>11317</v>
      </c>
      <c r="AS4345" t="s">
        <v>9926</v>
      </c>
      <c r="AT4345" t="s">
        <v>11642</v>
      </c>
      <c r="AV4345" t="s">
        <v>11655</v>
      </c>
      <c r="AW4345" t="s">
        <v>11673</v>
      </c>
      <c r="BA4345" t="s">
        <v>11738</v>
      </c>
      <c r="BB4345">
        <v>0</v>
      </c>
      <c r="BC4345">
        <v>0</v>
      </c>
      <c r="BD4345">
        <v>0</v>
      </c>
      <c r="BE4345">
        <v>0</v>
      </c>
      <c r="BF4345">
        <v>5</v>
      </c>
      <c r="BG4345">
        <v>0</v>
      </c>
    </row>
    <row r="4346" spans="1:59">
      <c r="A4346" s="1">
        <f>HYPERLINK("https://lsnyc.legalserver.org/matter/dynamic-profile/view/1908516","19-1908516")</f>
        <v>0</v>
      </c>
      <c r="B4346" t="s">
        <v>3543</v>
      </c>
      <c r="C4346" t="s">
        <v>8342</v>
      </c>
      <c r="D4346" t="s">
        <v>9950</v>
      </c>
      <c r="E4346" t="s">
        <v>10075</v>
      </c>
      <c r="F4346">
        <v>11418</v>
      </c>
      <c r="G4346" t="s">
        <v>10092</v>
      </c>
      <c r="H4346" t="s">
        <v>10098</v>
      </c>
      <c r="I4346" t="s">
        <v>10168</v>
      </c>
      <c r="J4346" t="s">
        <v>10212</v>
      </c>
      <c r="K4346" t="s">
        <v>10217</v>
      </c>
      <c r="M4346" t="s">
        <v>10311</v>
      </c>
      <c r="N4346" t="s">
        <v>10684</v>
      </c>
      <c r="P4346" t="s">
        <v>10751</v>
      </c>
      <c r="Q4346" t="s">
        <v>10786</v>
      </c>
      <c r="R4346" t="s">
        <v>10827</v>
      </c>
      <c r="T4346">
        <v>27096</v>
      </c>
      <c r="U4346">
        <v>2258</v>
      </c>
      <c r="V4346">
        <v>71</v>
      </c>
      <c r="W4346">
        <v>1</v>
      </c>
      <c r="X4346">
        <v>0</v>
      </c>
      <c r="Z4346">
        <v>216.94</v>
      </c>
      <c r="AA4346">
        <v>40.700437</v>
      </c>
      <c r="AB4346">
        <v>-73.824675</v>
      </c>
      <c r="AD4346" t="s">
        <v>10839</v>
      </c>
      <c r="AG4346" t="s">
        <v>10858</v>
      </c>
      <c r="AH4346" t="s">
        <v>10873</v>
      </c>
      <c r="AI4346">
        <v>237</v>
      </c>
      <c r="AJ4346" t="s">
        <v>10212</v>
      </c>
      <c r="AL4346">
        <v>4</v>
      </c>
      <c r="AM4346" t="s">
        <v>10892</v>
      </c>
      <c r="AN4346" t="s">
        <v>10944</v>
      </c>
      <c r="AO4346" t="s">
        <v>11020</v>
      </c>
      <c r="AP4346" t="s">
        <v>11083</v>
      </c>
      <c r="AR4346" t="s">
        <v>11336</v>
      </c>
      <c r="AS4346" t="s">
        <v>11594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</row>
    <row r="4347" spans="1:59">
      <c r="A4347" s="1">
        <f>HYPERLINK("https://lsnyc.legalserver.org/matter/dynamic-profile/view/1908517","19-1908517")</f>
        <v>0</v>
      </c>
      <c r="B4347" t="s">
        <v>3544</v>
      </c>
      <c r="C4347" t="s">
        <v>8343</v>
      </c>
      <c r="D4347" t="s">
        <v>9927</v>
      </c>
      <c r="E4347" t="s">
        <v>10075</v>
      </c>
      <c r="F4347">
        <v>11377</v>
      </c>
      <c r="G4347" t="s">
        <v>10092</v>
      </c>
      <c r="H4347" t="s">
        <v>10098</v>
      </c>
      <c r="I4347" t="s">
        <v>10169</v>
      </c>
      <c r="J4347" t="s">
        <v>10212</v>
      </c>
      <c r="K4347" t="s">
        <v>10217</v>
      </c>
      <c r="M4347" t="s">
        <v>10364</v>
      </c>
      <c r="N4347" t="s">
        <v>10695</v>
      </c>
      <c r="P4347" t="s">
        <v>10749</v>
      </c>
      <c r="Q4347" t="s">
        <v>10765</v>
      </c>
      <c r="R4347" t="s">
        <v>10821</v>
      </c>
      <c r="T4347">
        <v>16532</v>
      </c>
      <c r="U4347">
        <v>1377.67</v>
      </c>
      <c r="V4347">
        <v>58</v>
      </c>
      <c r="W4347">
        <v>2</v>
      </c>
      <c r="X4347">
        <v>0</v>
      </c>
      <c r="Z4347">
        <v>97.76000000000001</v>
      </c>
      <c r="AA4347">
        <v>40.746121</v>
      </c>
      <c r="AB4347">
        <v>-73.904484</v>
      </c>
      <c r="AD4347" t="s">
        <v>10839</v>
      </c>
      <c r="AF4347" t="s">
        <v>10843</v>
      </c>
      <c r="AG4347" t="s">
        <v>10859</v>
      </c>
      <c r="AH4347" t="s">
        <v>10862</v>
      </c>
      <c r="AI4347">
        <v>237</v>
      </c>
      <c r="AJ4347" t="s">
        <v>10212</v>
      </c>
      <c r="AL4347">
        <v>1.7</v>
      </c>
      <c r="AM4347" t="s">
        <v>10885</v>
      </c>
      <c r="AN4347" t="s">
        <v>10935</v>
      </c>
      <c r="AO4347" t="s">
        <v>11003</v>
      </c>
      <c r="AP4347" t="s">
        <v>11047</v>
      </c>
      <c r="AR4347" t="s">
        <v>11295</v>
      </c>
      <c r="AS4347" t="s">
        <v>11594</v>
      </c>
      <c r="BA4347" t="s">
        <v>11742</v>
      </c>
      <c r="BB4347">
        <v>0</v>
      </c>
      <c r="BC4347">
        <v>0</v>
      </c>
      <c r="BD4347">
        <v>0</v>
      </c>
      <c r="BE4347">
        <v>0</v>
      </c>
      <c r="BF4347">
        <v>7</v>
      </c>
      <c r="BG4347">
        <v>0</v>
      </c>
    </row>
    <row r="4348" spans="1:59">
      <c r="A4348" s="1">
        <f>HYPERLINK("https://lsnyc.legalserver.org/matter/dynamic-profile/view/1908518","19-1908518")</f>
        <v>0</v>
      </c>
      <c r="B4348" t="s">
        <v>3545</v>
      </c>
      <c r="C4348" t="s">
        <v>8344</v>
      </c>
      <c r="D4348" t="s">
        <v>9949</v>
      </c>
      <c r="E4348" t="s">
        <v>10075</v>
      </c>
      <c r="F4348">
        <v>11413</v>
      </c>
      <c r="G4348" t="s">
        <v>10090</v>
      </c>
      <c r="H4348" t="s">
        <v>10098</v>
      </c>
      <c r="I4348" t="s">
        <v>10168</v>
      </c>
      <c r="J4348" t="s">
        <v>10210</v>
      </c>
      <c r="K4348" t="s">
        <v>10217</v>
      </c>
      <c r="M4348" t="s">
        <v>10336</v>
      </c>
      <c r="N4348" t="s">
        <v>10671</v>
      </c>
      <c r="P4348" t="s">
        <v>10758</v>
      </c>
      <c r="Q4348" t="s">
        <v>10793</v>
      </c>
      <c r="R4348" t="s">
        <v>10824</v>
      </c>
      <c r="T4348">
        <v>23960</v>
      </c>
      <c r="U4348">
        <v>1996.67</v>
      </c>
      <c r="V4348">
        <v>43</v>
      </c>
      <c r="W4348">
        <v>2</v>
      </c>
      <c r="X4348">
        <v>2</v>
      </c>
      <c r="Z4348">
        <v>93.05</v>
      </c>
      <c r="AA4348">
        <v>40.675339</v>
      </c>
      <c r="AB4348">
        <v>-73.75314400000001</v>
      </c>
      <c r="AD4348" t="s">
        <v>10839</v>
      </c>
      <c r="AG4348" t="s">
        <v>10858</v>
      </c>
      <c r="AH4348" t="s">
        <v>10861</v>
      </c>
      <c r="AI4348">
        <v>234</v>
      </c>
      <c r="AJ4348" t="s">
        <v>10214</v>
      </c>
      <c r="AL4348">
        <v>13.7</v>
      </c>
      <c r="AM4348" t="s">
        <v>10892</v>
      </c>
      <c r="AN4348" t="s">
        <v>10955</v>
      </c>
      <c r="AO4348" t="s">
        <v>11020</v>
      </c>
      <c r="AP4348" t="s">
        <v>11082</v>
      </c>
      <c r="AR4348" t="s">
        <v>11341</v>
      </c>
      <c r="AS4348" t="s">
        <v>11594</v>
      </c>
      <c r="AT4348" t="s">
        <v>11641</v>
      </c>
      <c r="AX4348" t="s">
        <v>10838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</row>
    <row r="4349" spans="1:59">
      <c r="A4349" s="1">
        <f>HYPERLINK("https://lsnyc.legalserver.org/matter/dynamic-profile/view/1908519","19-1908519")</f>
        <v>0</v>
      </c>
      <c r="B4349" t="s">
        <v>3546</v>
      </c>
      <c r="C4349" t="s">
        <v>8345</v>
      </c>
      <c r="D4349" t="s">
        <v>9926</v>
      </c>
      <c r="E4349" t="s">
        <v>10075</v>
      </c>
      <c r="F4349">
        <v>10473</v>
      </c>
      <c r="G4349" t="s">
        <v>10090</v>
      </c>
      <c r="H4349" t="s">
        <v>10098</v>
      </c>
      <c r="I4349" t="s">
        <v>10168</v>
      </c>
      <c r="J4349" t="s">
        <v>10210</v>
      </c>
      <c r="K4349" t="s">
        <v>10217</v>
      </c>
      <c r="M4349" t="s">
        <v>10495</v>
      </c>
      <c r="N4349" t="s">
        <v>10658</v>
      </c>
      <c r="P4349" t="s">
        <v>10749</v>
      </c>
      <c r="Q4349" t="s">
        <v>10769</v>
      </c>
      <c r="R4349" t="s">
        <v>10824</v>
      </c>
      <c r="T4349">
        <v>20000</v>
      </c>
      <c r="U4349">
        <v>1666.67</v>
      </c>
      <c r="V4349">
        <v>35</v>
      </c>
      <c r="W4349">
        <v>2</v>
      </c>
      <c r="X4349">
        <v>0</v>
      </c>
      <c r="Z4349">
        <v>118.27</v>
      </c>
      <c r="AA4349">
        <v>40.815899</v>
      </c>
      <c r="AB4349">
        <v>-73.864249</v>
      </c>
      <c r="AD4349" t="s">
        <v>10840</v>
      </c>
      <c r="AG4349" t="s">
        <v>10858</v>
      </c>
      <c r="AH4349" t="s">
        <v>10860</v>
      </c>
      <c r="AI4349">
        <v>230</v>
      </c>
      <c r="AJ4349" t="s">
        <v>10210</v>
      </c>
      <c r="AL4349">
        <v>2.5</v>
      </c>
      <c r="AM4349" t="s">
        <v>10884</v>
      </c>
      <c r="AN4349" t="s">
        <v>10968</v>
      </c>
      <c r="AO4349" t="s">
        <v>11002</v>
      </c>
      <c r="AP4349" t="s">
        <v>11046</v>
      </c>
      <c r="AQ4349" t="s">
        <v>11242</v>
      </c>
      <c r="AR4349" t="s">
        <v>11276</v>
      </c>
      <c r="AS4349" t="s">
        <v>9926</v>
      </c>
      <c r="AT4349" t="s">
        <v>11642</v>
      </c>
      <c r="AX4349" t="s">
        <v>10838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</row>
    <row r="4350" spans="1:59">
      <c r="A4350" s="1">
        <f>HYPERLINK("https://lsnyc.legalserver.org/matter/dynamic-profile/view/1908520","19-1908520")</f>
        <v>0</v>
      </c>
      <c r="B4350" t="s">
        <v>3547</v>
      </c>
      <c r="C4350" t="s">
        <v>8346</v>
      </c>
      <c r="D4350" t="s">
        <v>9926</v>
      </c>
      <c r="E4350" t="s">
        <v>10075</v>
      </c>
      <c r="F4350">
        <v>10462</v>
      </c>
      <c r="G4350" t="s">
        <v>10090</v>
      </c>
      <c r="H4350" t="s">
        <v>10153</v>
      </c>
      <c r="I4350" t="s">
        <v>10168</v>
      </c>
      <c r="J4350" t="s">
        <v>10210</v>
      </c>
      <c r="K4350" t="s">
        <v>10217</v>
      </c>
      <c r="M4350" t="s">
        <v>10385</v>
      </c>
      <c r="N4350" t="s">
        <v>10651</v>
      </c>
      <c r="P4350" t="s">
        <v>10749</v>
      </c>
      <c r="Q4350" t="s">
        <v>10765</v>
      </c>
      <c r="R4350" t="s">
        <v>10821</v>
      </c>
      <c r="T4350">
        <v>30000</v>
      </c>
      <c r="U4350">
        <v>2500</v>
      </c>
      <c r="V4350">
        <v>33</v>
      </c>
      <c r="W4350">
        <v>2</v>
      </c>
      <c r="X4350">
        <v>1</v>
      </c>
      <c r="Z4350">
        <v>140.65</v>
      </c>
      <c r="AA4350">
        <v>40.844513</v>
      </c>
      <c r="AB4350">
        <v>-73.862818</v>
      </c>
      <c r="AD4350" t="s">
        <v>10840</v>
      </c>
      <c r="AG4350" t="s">
        <v>10858</v>
      </c>
      <c r="AH4350" t="s">
        <v>10862</v>
      </c>
      <c r="AI4350">
        <v>230</v>
      </c>
      <c r="AJ4350" t="s">
        <v>10210</v>
      </c>
      <c r="AL4350">
        <v>2</v>
      </c>
      <c r="AM4350" t="s">
        <v>10885</v>
      </c>
      <c r="AN4350" t="s">
        <v>10938</v>
      </c>
      <c r="AO4350" t="s">
        <v>11000</v>
      </c>
      <c r="AP4350" t="s">
        <v>11049</v>
      </c>
      <c r="AR4350" t="s">
        <v>11257</v>
      </c>
      <c r="AS4350" t="s">
        <v>9926</v>
      </c>
      <c r="AT4350" t="s">
        <v>11642</v>
      </c>
      <c r="AX4350" t="s">
        <v>10838</v>
      </c>
      <c r="BA4350" t="s">
        <v>11738</v>
      </c>
      <c r="BB4350">
        <v>0</v>
      </c>
      <c r="BC4350">
        <v>0</v>
      </c>
      <c r="BD4350">
        <v>0</v>
      </c>
      <c r="BE4350">
        <v>0</v>
      </c>
      <c r="BF4350">
        <v>5</v>
      </c>
      <c r="BG4350">
        <v>0</v>
      </c>
    </row>
    <row r="4351" spans="1:59">
      <c r="A4351" s="1">
        <f>HYPERLINK("https://lsnyc.legalserver.org/matter/dynamic-profile/view/1908521","19-1908521")</f>
        <v>0</v>
      </c>
      <c r="B4351" t="s">
        <v>3548</v>
      </c>
      <c r="C4351" t="s">
        <v>8347</v>
      </c>
      <c r="D4351" t="s">
        <v>9928</v>
      </c>
      <c r="E4351" t="s">
        <v>10075</v>
      </c>
      <c r="F4351">
        <v>11207</v>
      </c>
      <c r="G4351" t="s">
        <v>10093</v>
      </c>
      <c r="H4351" t="s">
        <v>10098</v>
      </c>
      <c r="I4351" t="s">
        <v>10168</v>
      </c>
      <c r="J4351" t="s">
        <v>10213</v>
      </c>
      <c r="K4351" t="s">
        <v>10217</v>
      </c>
      <c r="M4351" t="s">
        <v>10481</v>
      </c>
      <c r="N4351" t="s">
        <v>10671</v>
      </c>
      <c r="P4351" t="s">
        <v>10749</v>
      </c>
      <c r="Q4351" t="s">
        <v>10765</v>
      </c>
      <c r="R4351" t="s">
        <v>10820</v>
      </c>
      <c r="T4351">
        <v>17760</v>
      </c>
      <c r="U4351">
        <v>1480</v>
      </c>
      <c r="V4351">
        <v>62</v>
      </c>
      <c r="W4351">
        <v>1</v>
      </c>
      <c r="X4351">
        <v>0</v>
      </c>
      <c r="Z4351">
        <v>142.19</v>
      </c>
      <c r="AA4351">
        <v>40.65714</v>
      </c>
      <c r="AB4351">
        <v>-73.89413399999999</v>
      </c>
      <c r="AD4351" t="s">
        <v>10840</v>
      </c>
      <c r="AG4351" t="s">
        <v>10858</v>
      </c>
      <c r="AH4351" t="s">
        <v>10861</v>
      </c>
      <c r="AI4351">
        <v>234</v>
      </c>
      <c r="AJ4351" t="s">
        <v>10214</v>
      </c>
      <c r="AL4351">
        <v>1</v>
      </c>
      <c r="AM4351" t="s">
        <v>10889</v>
      </c>
      <c r="AN4351" t="s">
        <v>10946</v>
      </c>
      <c r="AO4351" t="s">
        <v>11012</v>
      </c>
      <c r="AP4351" t="s">
        <v>11060</v>
      </c>
      <c r="AR4351" t="s">
        <v>11296</v>
      </c>
      <c r="AS4351" t="s">
        <v>11595</v>
      </c>
      <c r="AT4351" t="s">
        <v>11642</v>
      </c>
      <c r="AX4351" t="s">
        <v>10838</v>
      </c>
      <c r="BA4351" t="s">
        <v>11742</v>
      </c>
      <c r="BB4351">
        <v>0</v>
      </c>
      <c r="BC4351">
        <v>0</v>
      </c>
      <c r="BD4351">
        <v>0</v>
      </c>
      <c r="BE4351">
        <v>0</v>
      </c>
      <c r="BF4351">
        <v>7</v>
      </c>
      <c r="BG4351">
        <v>0</v>
      </c>
    </row>
    <row r="4352" spans="1:59">
      <c r="A4352" s="1">
        <f>HYPERLINK("https://lsnyc.legalserver.org/matter/dynamic-profile/view/1908522","19-1908522")</f>
        <v>0</v>
      </c>
      <c r="B4352" t="s">
        <v>3549</v>
      </c>
      <c r="C4352" t="s">
        <v>8348</v>
      </c>
      <c r="D4352" t="s">
        <v>9926</v>
      </c>
      <c r="E4352" t="s">
        <v>10075</v>
      </c>
      <c r="F4352">
        <v>10458</v>
      </c>
      <c r="G4352" t="s">
        <v>10091</v>
      </c>
      <c r="H4352" t="s">
        <v>10098</v>
      </c>
      <c r="I4352" t="s">
        <v>10169</v>
      </c>
      <c r="J4352" t="s">
        <v>10214</v>
      </c>
      <c r="K4352" t="s">
        <v>10217</v>
      </c>
      <c r="M4352" t="s">
        <v>10608</v>
      </c>
      <c r="N4352" t="s">
        <v>10671</v>
      </c>
      <c r="P4352" t="s">
        <v>10751</v>
      </c>
      <c r="Q4352" t="s">
        <v>10768</v>
      </c>
      <c r="R4352" t="s">
        <v>10821</v>
      </c>
      <c r="T4352">
        <v>0</v>
      </c>
      <c r="U4352">
        <v>0</v>
      </c>
      <c r="V4352">
        <v>50</v>
      </c>
      <c r="W4352">
        <v>1</v>
      </c>
      <c r="X4352">
        <v>0</v>
      </c>
      <c r="Z4352">
        <v>0</v>
      </c>
      <c r="AA4352">
        <v>40.861514</v>
      </c>
      <c r="AB4352">
        <v>-73.895366</v>
      </c>
      <c r="AD4352" t="s">
        <v>10840</v>
      </c>
      <c r="AF4352" t="s">
        <v>10843</v>
      </c>
      <c r="AG4352" t="s">
        <v>10859</v>
      </c>
      <c r="AH4352" t="s">
        <v>10871</v>
      </c>
      <c r="AI4352">
        <v>234</v>
      </c>
      <c r="AJ4352" t="s">
        <v>10214</v>
      </c>
      <c r="AL4352">
        <v>1.3</v>
      </c>
      <c r="AM4352" t="s">
        <v>10884</v>
      </c>
      <c r="AN4352" t="s">
        <v>10907</v>
      </c>
      <c r="AO4352" t="s">
        <v>11000</v>
      </c>
      <c r="AP4352" t="s">
        <v>11056</v>
      </c>
      <c r="AR4352" t="s">
        <v>11279</v>
      </c>
      <c r="AS4352" t="s">
        <v>9926</v>
      </c>
      <c r="AT4352" t="s">
        <v>11642</v>
      </c>
      <c r="AX4352" t="s">
        <v>10838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</row>
    <row r="4353" spans="1:59">
      <c r="A4353" s="1">
        <f>HYPERLINK("https://lsnyc.legalserver.org/matter/dynamic-profile/view/1908523","19-1908523")</f>
        <v>0</v>
      </c>
      <c r="B4353" t="s">
        <v>3547</v>
      </c>
      <c r="C4353" t="s">
        <v>8346</v>
      </c>
      <c r="D4353" t="s">
        <v>9926</v>
      </c>
      <c r="E4353" t="s">
        <v>10075</v>
      </c>
      <c r="F4353">
        <v>10462</v>
      </c>
      <c r="G4353" t="s">
        <v>10090</v>
      </c>
      <c r="H4353" t="s">
        <v>10153</v>
      </c>
      <c r="I4353" t="s">
        <v>10168</v>
      </c>
      <c r="J4353" t="s">
        <v>10210</v>
      </c>
      <c r="K4353" t="s">
        <v>10217</v>
      </c>
      <c r="M4353" t="s">
        <v>10385</v>
      </c>
      <c r="N4353" t="s">
        <v>10671</v>
      </c>
      <c r="P4353" t="s">
        <v>10751</v>
      </c>
      <c r="Q4353" t="s">
        <v>10761</v>
      </c>
      <c r="R4353" t="s">
        <v>10821</v>
      </c>
      <c r="T4353">
        <v>30000</v>
      </c>
      <c r="U4353">
        <v>2500</v>
      </c>
      <c r="V4353">
        <v>33</v>
      </c>
      <c r="W4353">
        <v>2</v>
      </c>
      <c r="X4353">
        <v>1</v>
      </c>
      <c r="Z4353">
        <v>140.65</v>
      </c>
      <c r="AA4353">
        <v>40.844513</v>
      </c>
      <c r="AB4353">
        <v>-73.862818</v>
      </c>
      <c r="AD4353" t="s">
        <v>10840</v>
      </c>
      <c r="AG4353" t="s">
        <v>10858</v>
      </c>
      <c r="AH4353" t="s">
        <v>10862</v>
      </c>
      <c r="AI4353">
        <v>230</v>
      </c>
      <c r="AJ4353" t="s">
        <v>10210</v>
      </c>
      <c r="AL4353">
        <v>0</v>
      </c>
      <c r="AM4353" t="s">
        <v>10885</v>
      </c>
      <c r="AN4353" t="s">
        <v>10938</v>
      </c>
      <c r="AO4353" t="s">
        <v>11000</v>
      </c>
      <c r="AP4353" t="s">
        <v>11049</v>
      </c>
      <c r="AR4353" t="s">
        <v>11257</v>
      </c>
      <c r="AS4353" t="s">
        <v>9926</v>
      </c>
      <c r="AT4353" t="s">
        <v>11642</v>
      </c>
      <c r="AX4353" t="s">
        <v>10838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</row>
    <row r="4354" spans="1:59">
      <c r="A4354" s="1">
        <f>HYPERLINK("https://lsnyc.legalserver.org/matter/dynamic-profile/view/1908524","19-1908524")</f>
        <v>0</v>
      </c>
      <c r="B4354" t="s">
        <v>1484</v>
      </c>
      <c r="C4354" t="s">
        <v>8349</v>
      </c>
      <c r="D4354" t="s">
        <v>9932</v>
      </c>
      <c r="E4354" t="s">
        <v>10075</v>
      </c>
      <c r="F4354">
        <v>11368</v>
      </c>
      <c r="G4354" t="s">
        <v>10092</v>
      </c>
      <c r="H4354" t="s">
        <v>10098</v>
      </c>
      <c r="I4354" t="s">
        <v>10169</v>
      </c>
      <c r="J4354" t="s">
        <v>10212</v>
      </c>
      <c r="K4354" t="s">
        <v>10217</v>
      </c>
      <c r="M4354" t="s">
        <v>10374</v>
      </c>
      <c r="N4354" t="s">
        <v>10699</v>
      </c>
      <c r="O4354" t="s">
        <v>10648</v>
      </c>
      <c r="P4354" t="s">
        <v>10753</v>
      </c>
      <c r="Q4354" t="s">
        <v>10763</v>
      </c>
      <c r="R4354" t="s">
        <v>10821</v>
      </c>
      <c r="T4354">
        <v>0</v>
      </c>
      <c r="U4354">
        <v>0</v>
      </c>
      <c r="V4354">
        <v>51</v>
      </c>
      <c r="W4354">
        <v>1</v>
      </c>
      <c r="X4354">
        <v>0</v>
      </c>
      <c r="Z4354">
        <v>0</v>
      </c>
      <c r="AA4354">
        <v>40.749531</v>
      </c>
      <c r="AB4354">
        <v>-73.86891199999999</v>
      </c>
      <c r="AD4354" t="s">
        <v>10839</v>
      </c>
      <c r="AF4354" t="s">
        <v>10842</v>
      </c>
      <c r="AG4354" t="s">
        <v>10859</v>
      </c>
      <c r="AH4354" t="s">
        <v>10865</v>
      </c>
      <c r="AI4354">
        <v>237</v>
      </c>
      <c r="AJ4354" t="s">
        <v>10212</v>
      </c>
      <c r="AL4354">
        <v>1.2</v>
      </c>
      <c r="AM4354" t="s">
        <v>10885</v>
      </c>
      <c r="AN4354" t="s">
        <v>10909</v>
      </c>
      <c r="AO4354" t="s">
        <v>11014</v>
      </c>
      <c r="AP4354" t="s">
        <v>11068</v>
      </c>
      <c r="AR4354" t="s">
        <v>11267</v>
      </c>
      <c r="AS4354" t="s">
        <v>11594</v>
      </c>
      <c r="AT4354" t="s">
        <v>11641</v>
      </c>
      <c r="AX4354" t="s">
        <v>10838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</row>
    <row r="4355" spans="1:59">
      <c r="A4355" s="1">
        <f>HYPERLINK("https://lsnyc.legalserver.org/matter/dynamic-profile/view/1908525","19-1908525")</f>
        <v>0</v>
      </c>
      <c r="B4355" t="s">
        <v>3550</v>
      </c>
      <c r="C4355" t="s">
        <v>8350</v>
      </c>
      <c r="D4355" t="s">
        <v>9926</v>
      </c>
      <c r="E4355" t="s">
        <v>10075</v>
      </c>
      <c r="F4355">
        <v>10468</v>
      </c>
      <c r="G4355" t="s">
        <v>10090</v>
      </c>
      <c r="H4355" t="s">
        <v>10098</v>
      </c>
      <c r="I4355" t="s">
        <v>10168</v>
      </c>
      <c r="J4355" t="s">
        <v>10210</v>
      </c>
      <c r="K4355" t="s">
        <v>10217</v>
      </c>
      <c r="M4355" t="s">
        <v>10271</v>
      </c>
      <c r="N4355" t="s">
        <v>10646</v>
      </c>
      <c r="P4355" t="s">
        <v>10749</v>
      </c>
      <c r="Q4355" t="s">
        <v>10765</v>
      </c>
      <c r="R4355" t="s">
        <v>10824</v>
      </c>
      <c r="T4355">
        <v>50000</v>
      </c>
      <c r="U4355">
        <v>4166.67</v>
      </c>
      <c r="V4355">
        <v>62</v>
      </c>
      <c r="W4355">
        <v>2</v>
      </c>
      <c r="X4355">
        <v>0</v>
      </c>
      <c r="Z4355">
        <v>295.68</v>
      </c>
      <c r="AA4355">
        <v>40.859726</v>
      </c>
      <c r="AB4355">
        <v>-73.907246</v>
      </c>
      <c r="AD4355" t="s">
        <v>10839</v>
      </c>
      <c r="AG4355" t="s">
        <v>10858</v>
      </c>
      <c r="AH4355" t="s">
        <v>10862</v>
      </c>
      <c r="AI4355">
        <v>230</v>
      </c>
      <c r="AJ4355" t="s">
        <v>10210</v>
      </c>
      <c r="AL4355">
        <v>5.85</v>
      </c>
      <c r="AM4355" t="s">
        <v>10884</v>
      </c>
      <c r="AN4355" t="s">
        <v>10931</v>
      </c>
      <c r="AO4355" t="s">
        <v>11000</v>
      </c>
      <c r="AP4355" t="s">
        <v>11045</v>
      </c>
      <c r="AR4355" t="s">
        <v>11257</v>
      </c>
      <c r="AS4355" t="s">
        <v>9926</v>
      </c>
      <c r="BA4355" t="s">
        <v>11738</v>
      </c>
      <c r="BB4355">
        <v>0</v>
      </c>
      <c r="BC4355">
        <v>0</v>
      </c>
      <c r="BD4355">
        <v>0</v>
      </c>
      <c r="BE4355">
        <v>0</v>
      </c>
      <c r="BF4355">
        <v>5</v>
      </c>
      <c r="BG4355">
        <v>0</v>
      </c>
    </row>
    <row r="4356" spans="1:59">
      <c r="A4356" s="1">
        <f>HYPERLINK("https://lsnyc.legalserver.org/matter/dynamic-profile/view/1908526","19-1908526")</f>
        <v>0</v>
      </c>
      <c r="B4356" t="s">
        <v>2917</v>
      </c>
      <c r="C4356" t="s">
        <v>8351</v>
      </c>
      <c r="D4356" t="s">
        <v>9926</v>
      </c>
      <c r="E4356" t="s">
        <v>10075</v>
      </c>
      <c r="F4356">
        <v>10463</v>
      </c>
      <c r="G4356" t="s">
        <v>10090</v>
      </c>
      <c r="H4356" t="s">
        <v>10098</v>
      </c>
      <c r="I4356" t="s">
        <v>10168</v>
      </c>
      <c r="J4356" t="s">
        <v>10210</v>
      </c>
      <c r="K4356" t="s">
        <v>10218</v>
      </c>
      <c r="L4356" t="s">
        <v>10161</v>
      </c>
      <c r="M4356" t="s">
        <v>10524</v>
      </c>
      <c r="N4356" t="s">
        <v>10666</v>
      </c>
      <c r="P4356" t="s">
        <v>10749</v>
      </c>
      <c r="Q4356" t="s">
        <v>10765</v>
      </c>
      <c r="R4356" t="s">
        <v>10825</v>
      </c>
      <c r="T4356">
        <v>8786.4</v>
      </c>
      <c r="U4356">
        <v>732.2</v>
      </c>
      <c r="V4356">
        <v>64</v>
      </c>
      <c r="W4356">
        <v>1</v>
      </c>
      <c r="X4356">
        <v>0</v>
      </c>
      <c r="Y4356" t="s">
        <v>10829</v>
      </c>
      <c r="Z4356">
        <v>70.34999999999999</v>
      </c>
      <c r="AA4356">
        <v>40.875009</v>
      </c>
      <c r="AB4356">
        <v>-73.903683</v>
      </c>
      <c r="AC4356" t="s">
        <v>10837</v>
      </c>
      <c r="AD4356" t="s">
        <v>10840</v>
      </c>
      <c r="AG4356" t="s">
        <v>10858</v>
      </c>
      <c r="AH4356" t="s">
        <v>10862</v>
      </c>
      <c r="AI4356">
        <v>230</v>
      </c>
      <c r="AJ4356" t="s">
        <v>10210</v>
      </c>
      <c r="AK4356" t="s">
        <v>10838</v>
      </c>
      <c r="AL4356">
        <v>0.8</v>
      </c>
      <c r="AM4356" t="s">
        <v>10887</v>
      </c>
      <c r="AN4356" t="s">
        <v>10919</v>
      </c>
      <c r="AO4356" t="s">
        <v>11000</v>
      </c>
      <c r="AP4356" t="s">
        <v>11045</v>
      </c>
      <c r="AR4356" t="s">
        <v>11300</v>
      </c>
      <c r="AS4356" t="s">
        <v>9926</v>
      </c>
      <c r="AY4356" t="s">
        <v>10829</v>
      </c>
      <c r="AZ4356" t="s">
        <v>11681</v>
      </c>
      <c r="BA4356" t="s">
        <v>11742</v>
      </c>
      <c r="BB4356">
        <v>0</v>
      </c>
      <c r="BC4356">
        <v>0</v>
      </c>
      <c r="BD4356">
        <v>0</v>
      </c>
      <c r="BE4356">
        <v>0</v>
      </c>
      <c r="BF4356">
        <v>7</v>
      </c>
      <c r="BG4356">
        <v>0</v>
      </c>
    </row>
    <row r="4357" spans="1:59">
      <c r="A4357" s="1">
        <f>HYPERLINK("https://lsnyc.legalserver.org/matter/dynamic-profile/view/1908527","19-1908527")</f>
        <v>0</v>
      </c>
      <c r="B4357" t="s">
        <v>3551</v>
      </c>
      <c r="C4357" t="s">
        <v>5452</v>
      </c>
      <c r="D4357" t="s">
        <v>9926</v>
      </c>
      <c r="E4357" t="s">
        <v>10075</v>
      </c>
      <c r="F4357">
        <v>10453</v>
      </c>
      <c r="G4357" t="s">
        <v>10091</v>
      </c>
      <c r="H4357" t="s">
        <v>10098</v>
      </c>
      <c r="I4357" t="s">
        <v>10169</v>
      </c>
      <c r="J4357" t="s">
        <v>10214</v>
      </c>
      <c r="K4357" t="s">
        <v>10217</v>
      </c>
      <c r="M4357" t="s">
        <v>10537</v>
      </c>
      <c r="N4357" t="s">
        <v>10671</v>
      </c>
      <c r="P4357" t="s">
        <v>10753</v>
      </c>
      <c r="Q4357" t="s">
        <v>10763</v>
      </c>
      <c r="R4357" t="s">
        <v>10823</v>
      </c>
      <c r="T4357">
        <v>33780</v>
      </c>
      <c r="U4357">
        <v>2815</v>
      </c>
      <c r="V4357">
        <v>74</v>
      </c>
      <c r="W4357">
        <v>2</v>
      </c>
      <c r="X4357">
        <v>1</v>
      </c>
      <c r="Z4357">
        <v>158.37</v>
      </c>
      <c r="AA4357">
        <v>40.846364</v>
      </c>
      <c r="AB4357">
        <v>-73.91416700000001</v>
      </c>
      <c r="AD4357" t="s">
        <v>10840</v>
      </c>
      <c r="AF4357" t="s">
        <v>10843</v>
      </c>
      <c r="AG4357" t="s">
        <v>10859</v>
      </c>
      <c r="AH4357" t="s">
        <v>10861</v>
      </c>
      <c r="AI4357">
        <v>234</v>
      </c>
      <c r="AJ4357" t="s">
        <v>10214</v>
      </c>
      <c r="AL4357">
        <v>0.55</v>
      </c>
      <c r="AM4357" t="s">
        <v>10884</v>
      </c>
      <c r="AN4357" t="s">
        <v>10929</v>
      </c>
      <c r="AO4357" t="s">
        <v>11013</v>
      </c>
      <c r="AP4357" t="s">
        <v>11045</v>
      </c>
      <c r="AR4357" t="s">
        <v>11282</v>
      </c>
      <c r="AS4357" t="s">
        <v>9926</v>
      </c>
      <c r="AT4357" t="s">
        <v>11642</v>
      </c>
      <c r="AX4357" t="s">
        <v>10838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</row>
    <row r="4358" spans="1:59">
      <c r="A4358" s="1">
        <f>HYPERLINK("https://lsnyc.legalserver.org/matter/dynamic-profile/view/1908528","19-1908528")</f>
        <v>0</v>
      </c>
      <c r="B4358" t="s">
        <v>2028</v>
      </c>
      <c r="C4358" t="s">
        <v>8352</v>
      </c>
      <c r="D4358" t="s">
        <v>9937</v>
      </c>
      <c r="E4358" t="s">
        <v>10075</v>
      </c>
      <c r="F4358">
        <v>11412</v>
      </c>
      <c r="G4358" t="s">
        <v>10092</v>
      </c>
      <c r="H4358" t="s">
        <v>10098</v>
      </c>
      <c r="I4358" t="s">
        <v>10168</v>
      </c>
      <c r="J4358" t="s">
        <v>10212</v>
      </c>
      <c r="K4358" t="s">
        <v>10218</v>
      </c>
      <c r="L4358" t="s">
        <v>10098</v>
      </c>
      <c r="M4358" t="s">
        <v>10374</v>
      </c>
      <c r="N4358" t="s">
        <v>10745</v>
      </c>
      <c r="O4358" t="s">
        <v>10699</v>
      </c>
      <c r="P4358" t="s">
        <v>10754</v>
      </c>
      <c r="Q4358" t="s">
        <v>10775</v>
      </c>
      <c r="R4358" t="s">
        <v>10824</v>
      </c>
      <c r="T4358">
        <v>63000</v>
      </c>
      <c r="U4358">
        <v>5250</v>
      </c>
      <c r="V4358">
        <v>31</v>
      </c>
      <c r="W4358">
        <v>1</v>
      </c>
      <c r="X4358">
        <v>0</v>
      </c>
      <c r="Y4358" t="s">
        <v>10829</v>
      </c>
      <c r="Z4358">
        <v>504.4</v>
      </c>
      <c r="AA4358">
        <v>40.708024</v>
      </c>
      <c r="AB4358">
        <v>-73.75770900000001</v>
      </c>
      <c r="AD4358" t="s">
        <v>10839</v>
      </c>
      <c r="AG4358" t="s">
        <v>10858</v>
      </c>
      <c r="AH4358" t="s">
        <v>10865</v>
      </c>
      <c r="AI4358">
        <v>237</v>
      </c>
      <c r="AJ4358" t="s">
        <v>10212</v>
      </c>
      <c r="AK4358" t="s">
        <v>10837</v>
      </c>
      <c r="AL4358">
        <v>1</v>
      </c>
      <c r="AM4358" t="s">
        <v>10892</v>
      </c>
      <c r="AN4358" t="s">
        <v>10940</v>
      </c>
      <c r="AO4358" t="s">
        <v>11020</v>
      </c>
      <c r="AP4358" t="s">
        <v>11075</v>
      </c>
      <c r="AR4358" t="s">
        <v>11257</v>
      </c>
      <c r="AS4358" t="s">
        <v>11594</v>
      </c>
      <c r="AT4358" t="s">
        <v>11641</v>
      </c>
      <c r="AX4358" t="s">
        <v>10838</v>
      </c>
      <c r="AY4358" t="s">
        <v>10829</v>
      </c>
      <c r="AZ4358" t="s">
        <v>11683</v>
      </c>
      <c r="BA4358" t="s">
        <v>11741</v>
      </c>
      <c r="BB4358">
        <v>0</v>
      </c>
      <c r="BC4358">
        <v>0</v>
      </c>
      <c r="BD4358">
        <v>0</v>
      </c>
      <c r="BE4358">
        <v>0</v>
      </c>
      <c r="BF4358">
        <v>1</v>
      </c>
      <c r="BG4358">
        <v>0</v>
      </c>
    </row>
    <row r="4359" spans="1:59">
      <c r="A4359" s="1">
        <f>HYPERLINK("https://lsnyc.legalserver.org/matter/dynamic-profile/view/1908529","19-1908529")</f>
        <v>0</v>
      </c>
      <c r="B4359" t="s">
        <v>3552</v>
      </c>
      <c r="C4359" t="s">
        <v>8353</v>
      </c>
      <c r="D4359" t="s">
        <v>9925</v>
      </c>
      <c r="E4359" t="s">
        <v>10075</v>
      </c>
      <c r="F4359">
        <v>10019</v>
      </c>
      <c r="G4359" t="s">
        <v>10089</v>
      </c>
      <c r="H4359" t="s">
        <v>10098</v>
      </c>
      <c r="I4359" t="s">
        <v>10168</v>
      </c>
      <c r="J4359" t="s">
        <v>10209</v>
      </c>
      <c r="K4359" t="s">
        <v>10217</v>
      </c>
      <c r="M4359" t="s">
        <v>10442</v>
      </c>
      <c r="N4359" t="s">
        <v>10671</v>
      </c>
      <c r="P4359" t="s">
        <v>10749</v>
      </c>
      <c r="Q4359" t="s">
        <v>10765</v>
      </c>
      <c r="R4359" t="s">
        <v>10820</v>
      </c>
      <c r="T4359">
        <v>18500</v>
      </c>
      <c r="U4359">
        <v>1541.67</v>
      </c>
      <c r="V4359">
        <v>80</v>
      </c>
      <c r="W4359">
        <v>1</v>
      </c>
      <c r="X4359">
        <v>0</v>
      </c>
      <c r="Z4359">
        <v>148.12</v>
      </c>
      <c r="AA4359">
        <v>40.765706</v>
      </c>
      <c r="AB4359">
        <v>-73.99138499999999</v>
      </c>
      <c r="AD4359" t="s">
        <v>10839</v>
      </c>
      <c r="AG4359" t="s">
        <v>10858</v>
      </c>
      <c r="AH4359" t="s">
        <v>10871</v>
      </c>
      <c r="AI4359">
        <v>234</v>
      </c>
      <c r="AJ4359" t="s">
        <v>10214</v>
      </c>
      <c r="AL4359">
        <v>0.84</v>
      </c>
      <c r="AM4359" t="s">
        <v>10894</v>
      </c>
      <c r="AN4359" t="s">
        <v>10964</v>
      </c>
      <c r="AO4359" t="s">
        <v>11019</v>
      </c>
      <c r="AP4359" t="s">
        <v>11090</v>
      </c>
      <c r="AR4359" t="s">
        <v>11268</v>
      </c>
      <c r="AS4359" t="s">
        <v>9925</v>
      </c>
      <c r="AT4359" t="s">
        <v>11641</v>
      </c>
      <c r="AX4359" t="s">
        <v>10838</v>
      </c>
      <c r="BA4359" t="s">
        <v>11741</v>
      </c>
      <c r="BB4359">
        <v>0</v>
      </c>
      <c r="BC4359">
        <v>0</v>
      </c>
      <c r="BD4359">
        <v>0</v>
      </c>
      <c r="BE4359">
        <v>0</v>
      </c>
      <c r="BF4359">
        <v>1</v>
      </c>
      <c r="BG4359">
        <v>0</v>
      </c>
    </row>
    <row r="4360" spans="1:59">
      <c r="A4360" s="1">
        <f>HYPERLINK("https://lsnyc.legalserver.org/matter/dynamic-profile/view/1908530","19-1908530")</f>
        <v>0</v>
      </c>
      <c r="B4360" t="s">
        <v>3553</v>
      </c>
      <c r="C4360" t="s">
        <v>8354</v>
      </c>
      <c r="D4360" t="s">
        <v>9932</v>
      </c>
      <c r="E4360" t="s">
        <v>10075</v>
      </c>
      <c r="F4360">
        <v>11368</v>
      </c>
      <c r="G4360" t="s">
        <v>10092</v>
      </c>
      <c r="H4360" t="s">
        <v>10098</v>
      </c>
      <c r="I4360" t="s">
        <v>10168</v>
      </c>
      <c r="J4360" t="s">
        <v>10212</v>
      </c>
      <c r="K4360" t="s">
        <v>10218</v>
      </c>
      <c r="L4360" t="s">
        <v>10158</v>
      </c>
      <c r="M4360" t="s">
        <v>10325</v>
      </c>
      <c r="N4360" t="s">
        <v>10671</v>
      </c>
      <c r="P4360" t="s">
        <v>10751</v>
      </c>
      <c r="Q4360" t="s">
        <v>10776</v>
      </c>
      <c r="R4360" t="s">
        <v>10827</v>
      </c>
      <c r="T4360">
        <v>0</v>
      </c>
      <c r="U4360">
        <v>0</v>
      </c>
      <c r="V4360">
        <v>40</v>
      </c>
      <c r="W4360">
        <v>1</v>
      </c>
      <c r="X4360">
        <v>0</v>
      </c>
      <c r="Y4360" t="s">
        <v>10829</v>
      </c>
      <c r="Z4360">
        <v>0</v>
      </c>
      <c r="AA4360">
        <v>40.741806</v>
      </c>
      <c r="AB4360">
        <v>-73.851054</v>
      </c>
      <c r="AD4360" t="s">
        <v>10840</v>
      </c>
      <c r="AG4360" t="s">
        <v>10858</v>
      </c>
      <c r="AH4360" t="s">
        <v>10871</v>
      </c>
      <c r="AI4360">
        <v>234</v>
      </c>
      <c r="AJ4360" t="s">
        <v>10214</v>
      </c>
      <c r="AK4360" t="s">
        <v>10838</v>
      </c>
      <c r="AL4360">
        <v>2</v>
      </c>
      <c r="AM4360" t="s">
        <v>10885</v>
      </c>
      <c r="AN4360" t="s">
        <v>10949</v>
      </c>
      <c r="AO4360" t="s">
        <v>11014</v>
      </c>
      <c r="AP4360" t="s">
        <v>11068</v>
      </c>
      <c r="AR4360" t="s">
        <v>11267</v>
      </c>
      <c r="AS4360" t="s">
        <v>11594</v>
      </c>
      <c r="AT4360" t="s">
        <v>11642</v>
      </c>
      <c r="AX4360" t="s">
        <v>10838</v>
      </c>
      <c r="AY4360" t="s">
        <v>10829</v>
      </c>
      <c r="AZ4360" t="s">
        <v>11682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</row>
    <row r="4361" spans="1:59">
      <c r="A4361" s="1">
        <f>HYPERLINK("https://lsnyc.legalserver.org/matter/dynamic-profile/view/1908531","19-1908531")</f>
        <v>0</v>
      </c>
      <c r="B4361" t="s">
        <v>3554</v>
      </c>
      <c r="C4361" t="s">
        <v>8355</v>
      </c>
      <c r="D4361" t="s">
        <v>9978</v>
      </c>
      <c r="E4361" t="s">
        <v>10075</v>
      </c>
      <c r="F4361">
        <v>11420</v>
      </c>
      <c r="G4361" t="s">
        <v>10092</v>
      </c>
      <c r="H4361" t="s">
        <v>10098</v>
      </c>
      <c r="I4361" t="s">
        <v>10168</v>
      </c>
      <c r="J4361" t="s">
        <v>10212</v>
      </c>
      <c r="K4361" t="s">
        <v>10217</v>
      </c>
      <c r="M4361" t="s">
        <v>10311</v>
      </c>
      <c r="N4361" t="s">
        <v>10684</v>
      </c>
      <c r="P4361" t="s">
        <v>10751</v>
      </c>
      <c r="Q4361" t="s">
        <v>10786</v>
      </c>
      <c r="R4361" t="s">
        <v>10827</v>
      </c>
      <c r="T4361">
        <v>7800</v>
      </c>
      <c r="U4361">
        <v>650</v>
      </c>
      <c r="V4361">
        <v>63</v>
      </c>
      <c r="W4361">
        <v>1</v>
      </c>
      <c r="X4361">
        <v>0</v>
      </c>
      <c r="Z4361">
        <v>62.45</v>
      </c>
      <c r="AA4361">
        <v>40.672099</v>
      </c>
      <c r="AB4361">
        <v>-73.811387</v>
      </c>
      <c r="AD4361" t="s">
        <v>10839</v>
      </c>
      <c r="AG4361" t="s">
        <v>10858</v>
      </c>
      <c r="AH4361" t="s">
        <v>10873</v>
      </c>
      <c r="AI4361">
        <v>237</v>
      </c>
      <c r="AJ4361" t="s">
        <v>10212</v>
      </c>
      <c r="AL4361">
        <v>1.5</v>
      </c>
      <c r="AM4361" t="s">
        <v>10892</v>
      </c>
      <c r="AN4361" t="s">
        <v>10930</v>
      </c>
      <c r="AO4361" t="s">
        <v>11017</v>
      </c>
      <c r="AP4361" t="s">
        <v>11070</v>
      </c>
      <c r="AR4361" t="s">
        <v>11257</v>
      </c>
      <c r="AS4361" t="s">
        <v>11594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</row>
    <row r="4362" spans="1:59">
      <c r="A4362" s="1">
        <f>HYPERLINK("https://lsnyc.legalserver.org/matter/dynamic-profile/view/1908532","19-1908532")</f>
        <v>0</v>
      </c>
      <c r="B4362" t="s">
        <v>3555</v>
      </c>
      <c r="C4362" t="s">
        <v>8356</v>
      </c>
      <c r="D4362" t="s">
        <v>9928</v>
      </c>
      <c r="E4362" t="s">
        <v>10075</v>
      </c>
      <c r="F4362">
        <v>11211</v>
      </c>
      <c r="G4362" t="s">
        <v>10093</v>
      </c>
      <c r="H4362" t="s">
        <v>10098</v>
      </c>
      <c r="I4362" t="s">
        <v>10168</v>
      </c>
      <c r="J4362" t="s">
        <v>10213</v>
      </c>
      <c r="K4362" t="s">
        <v>10217</v>
      </c>
      <c r="M4362" t="s">
        <v>10327</v>
      </c>
      <c r="N4362" t="s">
        <v>10671</v>
      </c>
      <c r="P4362" t="s">
        <v>10749</v>
      </c>
      <c r="Q4362" t="s">
        <v>10765</v>
      </c>
      <c r="R4362" t="s">
        <v>10824</v>
      </c>
      <c r="T4362">
        <v>10212</v>
      </c>
      <c r="U4362">
        <v>851</v>
      </c>
      <c r="V4362">
        <v>64</v>
      </c>
      <c r="W4362">
        <v>1</v>
      </c>
      <c r="X4362">
        <v>0</v>
      </c>
      <c r="Z4362">
        <v>81.76000000000001</v>
      </c>
      <c r="AA4362">
        <v>40.711697</v>
      </c>
      <c r="AB4362">
        <v>-73.95605</v>
      </c>
      <c r="AC4362" t="s">
        <v>10837</v>
      </c>
      <c r="AD4362" t="s">
        <v>10840</v>
      </c>
      <c r="AG4362" t="s">
        <v>10858</v>
      </c>
      <c r="AH4362" t="s">
        <v>10861</v>
      </c>
      <c r="AI4362">
        <v>234</v>
      </c>
      <c r="AJ4362" t="s">
        <v>10214</v>
      </c>
      <c r="AL4362">
        <v>2</v>
      </c>
      <c r="AM4362" t="s">
        <v>10886</v>
      </c>
      <c r="AN4362" t="s">
        <v>10942</v>
      </c>
      <c r="AO4362" t="s">
        <v>11011</v>
      </c>
      <c r="AP4362" t="s">
        <v>11071</v>
      </c>
      <c r="AR4362" t="s">
        <v>11423</v>
      </c>
      <c r="AS4362" t="s">
        <v>11595</v>
      </c>
      <c r="AT4362" t="s">
        <v>11642</v>
      </c>
      <c r="AX4362" t="s">
        <v>10838</v>
      </c>
      <c r="BA4362" t="s">
        <v>11742</v>
      </c>
      <c r="BB4362">
        <v>0</v>
      </c>
      <c r="BC4362">
        <v>0</v>
      </c>
      <c r="BD4362">
        <v>0</v>
      </c>
      <c r="BE4362">
        <v>0</v>
      </c>
      <c r="BF4362">
        <v>7</v>
      </c>
      <c r="BG4362">
        <v>0</v>
      </c>
    </row>
    <row r="4363" spans="1:59">
      <c r="A4363" s="1">
        <f>HYPERLINK("https://lsnyc.legalserver.org/matter/dynamic-profile/view/1908533","19-1908533")</f>
        <v>0</v>
      </c>
      <c r="B4363" t="s">
        <v>3556</v>
      </c>
      <c r="C4363" t="s">
        <v>8357</v>
      </c>
      <c r="D4363" t="s">
        <v>9926</v>
      </c>
      <c r="E4363" t="s">
        <v>10075</v>
      </c>
      <c r="F4363">
        <v>10467</v>
      </c>
      <c r="G4363" t="s">
        <v>10090</v>
      </c>
      <c r="H4363" t="s">
        <v>10153</v>
      </c>
      <c r="I4363" t="s">
        <v>10168</v>
      </c>
      <c r="J4363" t="s">
        <v>10210</v>
      </c>
      <c r="K4363" t="s">
        <v>10217</v>
      </c>
      <c r="M4363" t="s">
        <v>10546</v>
      </c>
      <c r="N4363" t="s">
        <v>10651</v>
      </c>
      <c r="P4363" t="s">
        <v>10749</v>
      </c>
      <c r="Q4363" t="s">
        <v>10765</v>
      </c>
      <c r="R4363" t="s">
        <v>10821</v>
      </c>
      <c r="T4363">
        <v>27560</v>
      </c>
      <c r="U4363">
        <v>2296.67</v>
      </c>
      <c r="V4363">
        <v>27</v>
      </c>
      <c r="W4363">
        <v>1</v>
      </c>
      <c r="X4363">
        <v>1</v>
      </c>
      <c r="Z4363">
        <v>162.98</v>
      </c>
      <c r="AA4363">
        <v>40.880439</v>
      </c>
      <c r="AB4363">
        <v>-73.87648900000001</v>
      </c>
      <c r="AD4363" t="s">
        <v>10839</v>
      </c>
      <c r="AG4363" t="s">
        <v>10858</v>
      </c>
      <c r="AH4363" t="s">
        <v>10862</v>
      </c>
      <c r="AI4363">
        <v>230</v>
      </c>
      <c r="AJ4363" t="s">
        <v>10210</v>
      </c>
      <c r="AL4363">
        <v>3.15</v>
      </c>
      <c r="AM4363" t="s">
        <v>10887</v>
      </c>
      <c r="AN4363" t="s">
        <v>10919</v>
      </c>
      <c r="AO4363" t="s">
        <v>11010</v>
      </c>
      <c r="AP4363" t="s">
        <v>11057</v>
      </c>
      <c r="AR4363" t="s">
        <v>11257</v>
      </c>
      <c r="AS4363" t="s">
        <v>9926</v>
      </c>
      <c r="AT4363" t="s">
        <v>11641</v>
      </c>
      <c r="AX4363" t="s">
        <v>10838</v>
      </c>
      <c r="BA4363" t="s">
        <v>11738</v>
      </c>
      <c r="BB4363">
        <v>0</v>
      </c>
      <c r="BC4363">
        <v>0</v>
      </c>
      <c r="BD4363">
        <v>0</v>
      </c>
      <c r="BE4363">
        <v>0</v>
      </c>
      <c r="BF4363">
        <v>5</v>
      </c>
      <c r="BG4363">
        <v>0</v>
      </c>
    </row>
    <row r="4364" spans="1:59">
      <c r="A4364" s="1">
        <f>HYPERLINK("https://lsnyc.legalserver.org/matter/dynamic-profile/view/1908534","19-1908534")</f>
        <v>0</v>
      </c>
      <c r="B4364" t="s">
        <v>3557</v>
      </c>
      <c r="C4364" t="s">
        <v>8358</v>
      </c>
      <c r="D4364" t="s">
        <v>9926</v>
      </c>
      <c r="E4364" t="s">
        <v>10075</v>
      </c>
      <c r="F4364">
        <v>10472</v>
      </c>
      <c r="G4364" t="s">
        <v>10090</v>
      </c>
      <c r="H4364" t="s">
        <v>10098</v>
      </c>
      <c r="I4364" t="s">
        <v>10169</v>
      </c>
      <c r="J4364" t="s">
        <v>10210</v>
      </c>
      <c r="K4364" t="s">
        <v>10217</v>
      </c>
      <c r="M4364" t="s">
        <v>10495</v>
      </c>
      <c r="N4364" t="s">
        <v>10658</v>
      </c>
      <c r="P4364" t="s">
        <v>10749</v>
      </c>
      <c r="Q4364" t="s">
        <v>10769</v>
      </c>
      <c r="R4364" t="s">
        <v>10821</v>
      </c>
      <c r="T4364">
        <v>130000</v>
      </c>
      <c r="U4364">
        <v>10833.33</v>
      </c>
      <c r="V4364">
        <v>52</v>
      </c>
      <c r="W4364">
        <v>2</v>
      </c>
      <c r="X4364">
        <v>0</v>
      </c>
      <c r="Z4364">
        <v>768.78</v>
      </c>
      <c r="AA4364">
        <v>40.829802</v>
      </c>
      <c r="AB4364">
        <v>-73.861676</v>
      </c>
      <c r="AD4364" t="s">
        <v>10840</v>
      </c>
      <c r="AG4364" t="s">
        <v>10858</v>
      </c>
      <c r="AH4364" t="s">
        <v>10860</v>
      </c>
      <c r="AI4364">
        <v>230</v>
      </c>
      <c r="AJ4364" t="s">
        <v>10210</v>
      </c>
      <c r="AL4364">
        <v>2.5</v>
      </c>
      <c r="AM4364" t="s">
        <v>10884</v>
      </c>
      <c r="AN4364" t="s">
        <v>10908</v>
      </c>
      <c r="AO4364" t="s">
        <v>11002</v>
      </c>
      <c r="AP4364" t="s">
        <v>11046</v>
      </c>
      <c r="AQ4364" t="s">
        <v>11242</v>
      </c>
      <c r="AR4364" t="s">
        <v>11356</v>
      </c>
      <c r="AS4364" t="s">
        <v>9926</v>
      </c>
      <c r="AT4364" t="s">
        <v>11642</v>
      </c>
      <c r="AX4364" t="s">
        <v>10838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</row>
    <row r="4365" spans="1:59">
      <c r="A4365" s="1">
        <f>HYPERLINK("https://lsnyc.legalserver.org/matter/dynamic-profile/view/1908535","19-1908535")</f>
        <v>0</v>
      </c>
      <c r="B4365" t="s">
        <v>3550</v>
      </c>
      <c r="C4365" t="s">
        <v>8350</v>
      </c>
      <c r="D4365" t="s">
        <v>9926</v>
      </c>
      <c r="E4365" t="s">
        <v>10075</v>
      </c>
      <c r="F4365">
        <v>10468</v>
      </c>
      <c r="G4365" t="s">
        <v>10090</v>
      </c>
      <c r="H4365" t="s">
        <v>10098</v>
      </c>
      <c r="I4365" t="s">
        <v>10168</v>
      </c>
      <c r="J4365" t="s">
        <v>10210</v>
      </c>
      <c r="K4365" t="s">
        <v>10217</v>
      </c>
      <c r="M4365" t="s">
        <v>10287</v>
      </c>
      <c r="N4365" t="s">
        <v>10646</v>
      </c>
      <c r="P4365" t="s">
        <v>10751</v>
      </c>
      <c r="Q4365" t="s">
        <v>10761</v>
      </c>
      <c r="R4365" t="s">
        <v>10824</v>
      </c>
      <c r="T4365">
        <v>50000</v>
      </c>
      <c r="U4365">
        <v>4166.67</v>
      </c>
      <c r="V4365">
        <v>62</v>
      </c>
      <c r="W4365">
        <v>2</v>
      </c>
      <c r="X4365">
        <v>0</v>
      </c>
      <c r="Z4365">
        <v>295.68</v>
      </c>
      <c r="AA4365">
        <v>40.859726</v>
      </c>
      <c r="AB4365">
        <v>-73.907246</v>
      </c>
      <c r="AD4365" t="s">
        <v>10839</v>
      </c>
      <c r="AG4365" t="s">
        <v>10858</v>
      </c>
      <c r="AH4365" t="s">
        <v>10862</v>
      </c>
      <c r="AI4365">
        <v>230</v>
      </c>
      <c r="AJ4365" t="s">
        <v>10210</v>
      </c>
      <c r="AL4365">
        <v>0.5</v>
      </c>
      <c r="AM4365" t="s">
        <v>10884</v>
      </c>
      <c r="AN4365" t="s">
        <v>10931</v>
      </c>
      <c r="AO4365" t="s">
        <v>11000</v>
      </c>
      <c r="AP4365" t="s">
        <v>11045</v>
      </c>
      <c r="AR4365" t="s">
        <v>11257</v>
      </c>
      <c r="AS4365" t="s">
        <v>9926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</row>
    <row r="4366" spans="1:59">
      <c r="A4366" s="1">
        <f>HYPERLINK("https://lsnyc.legalserver.org/matter/dynamic-profile/view/1908536","19-1908536")</f>
        <v>0</v>
      </c>
      <c r="B4366" t="s">
        <v>3558</v>
      </c>
      <c r="C4366" t="s">
        <v>8359</v>
      </c>
      <c r="D4366" t="s">
        <v>9928</v>
      </c>
      <c r="E4366" t="s">
        <v>10075</v>
      </c>
      <c r="F4366">
        <v>11204</v>
      </c>
      <c r="G4366" t="s">
        <v>10093</v>
      </c>
      <c r="H4366" t="s">
        <v>10098</v>
      </c>
      <c r="I4366" t="s">
        <v>10168</v>
      </c>
      <c r="J4366" t="s">
        <v>10213</v>
      </c>
      <c r="K4366" t="s">
        <v>10217</v>
      </c>
      <c r="M4366" t="s">
        <v>10583</v>
      </c>
      <c r="N4366" t="s">
        <v>10646</v>
      </c>
      <c r="P4366" t="s">
        <v>10756</v>
      </c>
      <c r="Q4366" t="s">
        <v>10787</v>
      </c>
      <c r="R4366" t="s">
        <v>10821</v>
      </c>
      <c r="T4366">
        <v>52820</v>
      </c>
      <c r="U4366">
        <v>4401.67</v>
      </c>
      <c r="V4366">
        <v>67</v>
      </c>
      <c r="W4366">
        <v>2</v>
      </c>
      <c r="X4366">
        <v>0</v>
      </c>
      <c r="Z4366">
        <v>312.36</v>
      </c>
      <c r="AA4366">
        <v>40.620775</v>
      </c>
      <c r="AB4366">
        <v>-73.99267500000001</v>
      </c>
      <c r="AC4366" t="s">
        <v>10837</v>
      </c>
      <c r="AD4366" t="s">
        <v>10839</v>
      </c>
      <c r="AG4366" t="s">
        <v>10858</v>
      </c>
      <c r="AH4366" t="s">
        <v>10861</v>
      </c>
      <c r="AI4366">
        <v>234</v>
      </c>
      <c r="AJ4366" t="s">
        <v>10214</v>
      </c>
      <c r="AL4366">
        <v>1</v>
      </c>
      <c r="AM4366" t="s">
        <v>10894</v>
      </c>
      <c r="AN4366" t="s">
        <v>10974</v>
      </c>
      <c r="AO4366" t="s">
        <v>11015</v>
      </c>
      <c r="AP4366" t="s">
        <v>11069</v>
      </c>
      <c r="AR4366" t="s">
        <v>11360</v>
      </c>
      <c r="AS4366" t="s">
        <v>11595</v>
      </c>
      <c r="AT4366" t="s">
        <v>11641</v>
      </c>
      <c r="AX4366" t="s">
        <v>10838</v>
      </c>
      <c r="BA4366" t="s">
        <v>11742</v>
      </c>
      <c r="BB4366">
        <v>0</v>
      </c>
      <c r="BC4366">
        <v>0</v>
      </c>
      <c r="BD4366">
        <v>0</v>
      </c>
      <c r="BE4366">
        <v>0</v>
      </c>
      <c r="BF4366">
        <v>7</v>
      </c>
      <c r="BG4366">
        <v>0</v>
      </c>
    </row>
    <row r="4367" spans="1:59">
      <c r="A4367" s="1">
        <f>HYPERLINK("https://lsnyc.legalserver.org/matter/dynamic-profile/view/1908537","19-1908537")</f>
        <v>0</v>
      </c>
      <c r="B4367" t="s">
        <v>3559</v>
      </c>
      <c r="C4367" t="s">
        <v>8202</v>
      </c>
      <c r="D4367" t="s">
        <v>9926</v>
      </c>
      <c r="E4367" t="s">
        <v>10075</v>
      </c>
      <c r="F4367">
        <v>10454</v>
      </c>
      <c r="G4367" t="s">
        <v>10091</v>
      </c>
      <c r="H4367" t="s">
        <v>10098</v>
      </c>
      <c r="I4367" t="s">
        <v>10169</v>
      </c>
      <c r="J4367" t="s">
        <v>10214</v>
      </c>
      <c r="K4367" t="s">
        <v>10217</v>
      </c>
      <c r="M4367" t="s">
        <v>10537</v>
      </c>
      <c r="N4367" t="s">
        <v>10671</v>
      </c>
      <c r="P4367" t="s">
        <v>10753</v>
      </c>
      <c r="Q4367" t="s">
        <v>10763</v>
      </c>
      <c r="R4367" t="s">
        <v>10823</v>
      </c>
      <c r="T4367">
        <v>27300</v>
      </c>
      <c r="U4367">
        <v>2275</v>
      </c>
      <c r="V4367">
        <v>45</v>
      </c>
      <c r="W4367">
        <v>1</v>
      </c>
      <c r="X4367">
        <v>1</v>
      </c>
      <c r="Z4367">
        <v>161.44</v>
      </c>
      <c r="AA4367">
        <v>40.807073</v>
      </c>
      <c r="AB4367">
        <v>-73.915666</v>
      </c>
      <c r="AD4367" t="s">
        <v>10839</v>
      </c>
      <c r="AF4367" t="s">
        <v>10843</v>
      </c>
      <c r="AG4367" t="s">
        <v>10859</v>
      </c>
      <c r="AH4367" t="s">
        <v>10861</v>
      </c>
      <c r="AI4367">
        <v>234</v>
      </c>
      <c r="AJ4367" t="s">
        <v>10214</v>
      </c>
      <c r="AL4367">
        <v>0.55</v>
      </c>
      <c r="AM4367" t="s">
        <v>10884</v>
      </c>
      <c r="AN4367" t="s">
        <v>10924</v>
      </c>
      <c r="AO4367" t="s">
        <v>11013</v>
      </c>
      <c r="AP4367" t="s">
        <v>11066</v>
      </c>
      <c r="AR4367" t="s">
        <v>11257</v>
      </c>
      <c r="AS4367" t="s">
        <v>9926</v>
      </c>
      <c r="AT4367" t="s">
        <v>11641</v>
      </c>
      <c r="AX4367" t="s">
        <v>10838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</row>
    <row r="4368" spans="1:59">
      <c r="A4368" s="1">
        <f>HYPERLINK("https://lsnyc.legalserver.org/matter/dynamic-profile/view/1908538","19-1908538")</f>
        <v>0</v>
      </c>
      <c r="B4368" t="s">
        <v>3556</v>
      </c>
      <c r="C4368" t="s">
        <v>8357</v>
      </c>
      <c r="D4368" t="s">
        <v>9926</v>
      </c>
      <c r="E4368" t="s">
        <v>10075</v>
      </c>
      <c r="F4368">
        <v>10467</v>
      </c>
      <c r="G4368" t="s">
        <v>10090</v>
      </c>
      <c r="H4368" t="s">
        <v>10153</v>
      </c>
      <c r="I4368" t="s">
        <v>10168</v>
      </c>
      <c r="J4368" t="s">
        <v>10210</v>
      </c>
      <c r="K4368" t="s">
        <v>10217</v>
      </c>
      <c r="M4368" t="s">
        <v>10546</v>
      </c>
      <c r="N4368" t="s">
        <v>10671</v>
      </c>
      <c r="P4368" t="s">
        <v>10751</v>
      </c>
      <c r="Q4368" t="s">
        <v>10761</v>
      </c>
      <c r="R4368" t="s">
        <v>10821</v>
      </c>
      <c r="T4368">
        <v>27560</v>
      </c>
      <c r="U4368">
        <v>2296.67</v>
      </c>
      <c r="V4368">
        <v>27</v>
      </c>
      <c r="W4368">
        <v>1</v>
      </c>
      <c r="X4368">
        <v>1</v>
      </c>
      <c r="Z4368">
        <v>162.98</v>
      </c>
      <c r="AA4368">
        <v>40.880439</v>
      </c>
      <c r="AB4368">
        <v>-73.87648900000001</v>
      </c>
      <c r="AD4368" t="s">
        <v>10839</v>
      </c>
      <c r="AG4368" t="s">
        <v>10858</v>
      </c>
      <c r="AH4368" t="s">
        <v>10862</v>
      </c>
      <c r="AI4368">
        <v>230</v>
      </c>
      <c r="AJ4368" t="s">
        <v>10210</v>
      </c>
      <c r="AL4368">
        <v>0</v>
      </c>
      <c r="AM4368" t="s">
        <v>10887</v>
      </c>
      <c r="AN4368" t="s">
        <v>10919</v>
      </c>
      <c r="AO4368" t="s">
        <v>11010</v>
      </c>
      <c r="AP4368" t="s">
        <v>11057</v>
      </c>
      <c r="AR4368" t="s">
        <v>11257</v>
      </c>
      <c r="AS4368" t="s">
        <v>9926</v>
      </c>
      <c r="AT4368" t="s">
        <v>11641</v>
      </c>
      <c r="AX4368" t="s">
        <v>10838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</row>
    <row r="4369" spans="1:59">
      <c r="A4369" s="1">
        <f>HYPERLINK("https://lsnyc.legalserver.org/matter/dynamic-profile/view/1908539","19-1908539")</f>
        <v>0</v>
      </c>
      <c r="B4369" t="s">
        <v>3560</v>
      </c>
      <c r="C4369" t="s">
        <v>8360</v>
      </c>
      <c r="D4369" t="s">
        <v>9928</v>
      </c>
      <c r="E4369" t="s">
        <v>10075</v>
      </c>
      <c r="F4369">
        <v>11211</v>
      </c>
      <c r="G4369" t="s">
        <v>10093</v>
      </c>
      <c r="H4369" t="s">
        <v>10098</v>
      </c>
      <c r="I4369" t="s">
        <v>10168</v>
      </c>
      <c r="J4369" t="s">
        <v>10213</v>
      </c>
      <c r="K4369" t="s">
        <v>10217</v>
      </c>
      <c r="M4369" t="s">
        <v>10280</v>
      </c>
      <c r="N4369" t="s">
        <v>10671</v>
      </c>
      <c r="P4369" t="s">
        <v>10751</v>
      </c>
      <c r="Q4369" t="s">
        <v>10780</v>
      </c>
      <c r="R4369" t="s">
        <v>10821</v>
      </c>
      <c r="T4369">
        <v>15060</v>
      </c>
      <c r="U4369">
        <v>1255</v>
      </c>
      <c r="V4369">
        <v>12</v>
      </c>
      <c r="W4369">
        <v>1</v>
      </c>
      <c r="X4369">
        <v>1</v>
      </c>
      <c r="Z4369">
        <v>89.06</v>
      </c>
      <c r="AA4369">
        <v>40.711472</v>
      </c>
      <c r="AB4369">
        <v>-73.957864</v>
      </c>
      <c r="AD4369" t="s">
        <v>10839</v>
      </c>
      <c r="AG4369" t="s">
        <v>10858</v>
      </c>
      <c r="AH4369" t="s">
        <v>10871</v>
      </c>
      <c r="AI4369">
        <v>234</v>
      </c>
      <c r="AJ4369" t="s">
        <v>10214</v>
      </c>
      <c r="AL4369">
        <v>3</v>
      </c>
      <c r="AM4369" t="s">
        <v>10886</v>
      </c>
      <c r="AN4369" t="s">
        <v>10942</v>
      </c>
      <c r="AO4369" t="s">
        <v>11011</v>
      </c>
      <c r="AP4369" t="s">
        <v>11071</v>
      </c>
      <c r="AR4369" t="s">
        <v>11274</v>
      </c>
      <c r="AS4369" t="s">
        <v>11595</v>
      </c>
      <c r="AT4369" t="s">
        <v>11642</v>
      </c>
      <c r="AX4369" t="s">
        <v>10838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</row>
    <row r="4370" spans="1:59">
      <c r="A4370" s="1">
        <f>HYPERLINK("https://lsnyc.legalserver.org/matter/dynamic-profile/view/1908540","19-1908540")</f>
        <v>0</v>
      </c>
      <c r="B4370" t="s">
        <v>3561</v>
      </c>
      <c r="C4370" t="s">
        <v>8361</v>
      </c>
      <c r="D4370" t="s">
        <v>9925</v>
      </c>
      <c r="E4370" t="s">
        <v>10075</v>
      </c>
      <c r="F4370">
        <v>10032</v>
      </c>
      <c r="G4370" t="s">
        <v>10089</v>
      </c>
      <c r="H4370" t="s">
        <v>10098</v>
      </c>
      <c r="I4370" t="s">
        <v>10169</v>
      </c>
      <c r="J4370" t="s">
        <v>10209</v>
      </c>
      <c r="K4370" t="s">
        <v>10218</v>
      </c>
      <c r="L4370" t="s">
        <v>10160</v>
      </c>
      <c r="M4370" t="s">
        <v>10573</v>
      </c>
      <c r="N4370" t="s">
        <v>10650</v>
      </c>
      <c r="P4370" t="s">
        <v>10749</v>
      </c>
      <c r="Q4370" t="s">
        <v>10765</v>
      </c>
      <c r="R4370" t="s">
        <v>10821</v>
      </c>
      <c r="T4370">
        <v>18432</v>
      </c>
      <c r="U4370">
        <v>1536</v>
      </c>
      <c r="V4370">
        <v>66</v>
      </c>
      <c r="W4370">
        <v>1</v>
      </c>
      <c r="X4370">
        <v>0</v>
      </c>
      <c r="Y4370" t="s">
        <v>10829</v>
      </c>
      <c r="Z4370">
        <v>147.57</v>
      </c>
      <c r="AA4370">
        <v>40.836825</v>
      </c>
      <c r="AB4370">
        <v>-73.94523599999999</v>
      </c>
      <c r="AD4370" t="s">
        <v>10839</v>
      </c>
      <c r="AG4370" t="s">
        <v>10858</v>
      </c>
      <c r="AH4370" t="s">
        <v>10862</v>
      </c>
      <c r="AI4370">
        <v>236</v>
      </c>
      <c r="AJ4370" t="s">
        <v>10209</v>
      </c>
      <c r="AK4370" t="s">
        <v>10838</v>
      </c>
      <c r="AL4370">
        <v>2.2</v>
      </c>
      <c r="AM4370" t="s">
        <v>10887</v>
      </c>
      <c r="AN4370" t="s">
        <v>10943</v>
      </c>
      <c r="AO4370" t="s">
        <v>11019</v>
      </c>
      <c r="AP4370" t="s">
        <v>11073</v>
      </c>
      <c r="AR4370" t="s">
        <v>11300</v>
      </c>
      <c r="AS4370" t="s">
        <v>9925</v>
      </c>
      <c r="AY4370" t="s">
        <v>10829</v>
      </c>
      <c r="AZ4370" t="s">
        <v>11681</v>
      </c>
      <c r="BA4370" t="s">
        <v>11741</v>
      </c>
      <c r="BB4370">
        <v>0</v>
      </c>
      <c r="BC4370">
        <v>0</v>
      </c>
      <c r="BD4370">
        <v>0</v>
      </c>
      <c r="BE4370">
        <v>0</v>
      </c>
      <c r="BF4370">
        <v>1</v>
      </c>
      <c r="BG4370">
        <v>0</v>
      </c>
    </row>
    <row r="4371" spans="1:59">
      <c r="A4371" s="1">
        <f>HYPERLINK("https://lsnyc.legalserver.org/matter/dynamic-profile/view/1908541","19-1908541")</f>
        <v>0</v>
      </c>
      <c r="B4371" t="s">
        <v>3562</v>
      </c>
      <c r="C4371" t="s">
        <v>8362</v>
      </c>
      <c r="D4371" t="s">
        <v>9926</v>
      </c>
      <c r="E4371" t="s">
        <v>10075</v>
      </c>
      <c r="F4371">
        <v>10460</v>
      </c>
      <c r="G4371" t="s">
        <v>10091</v>
      </c>
      <c r="H4371" t="s">
        <v>10098</v>
      </c>
      <c r="I4371" t="s">
        <v>10169</v>
      </c>
      <c r="J4371" t="s">
        <v>10214</v>
      </c>
      <c r="K4371" t="s">
        <v>10217</v>
      </c>
      <c r="M4371" t="s">
        <v>10286</v>
      </c>
      <c r="N4371" t="s">
        <v>10671</v>
      </c>
      <c r="P4371" t="s">
        <v>10749</v>
      </c>
      <c r="Q4371" t="s">
        <v>10765</v>
      </c>
      <c r="R4371" t="s">
        <v>10821</v>
      </c>
      <c r="T4371">
        <v>3900</v>
      </c>
      <c r="U4371">
        <v>325</v>
      </c>
      <c r="V4371">
        <v>54</v>
      </c>
      <c r="W4371">
        <v>1</v>
      </c>
      <c r="X4371">
        <v>0</v>
      </c>
      <c r="Z4371">
        <v>31.22</v>
      </c>
      <c r="AA4371">
        <v>40.836598</v>
      </c>
      <c r="AB4371">
        <v>-73.866854</v>
      </c>
      <c r="AD4371" t="s">
        <v>10839</v>
      </c>
      <c r="AG4371" t="s">
        <v>10858</v>
      </c>
      <c r="AH4371" t="s">
        <v>10871</v>
      </c>
      <c r="AI4371">
        <v>234</v>
      </c>
      <c r="AJ4371" t="s">
        <v>10214</v>
      </c>
      <c r="AL4371">
        <v>1</v>
      </c>
      <c r="AM4371" t="s">
        <v>10884</v>
      </c>
      <c r="AN4371" t="s">
        <v>10908</v>
      </c>
      <c r="AO4371" t="s">
        <v>11001</v>
      </c>
      <c r="AP4371" t="s">
        <v>11046</v>
      </c>
      <c r="AR4371" t="s">
        <v>11257</v>
      </c>
      <c r="AS4371" t="s">
        <v>9926</v>
      </c>
      <c r="AT4371" t="s">
        <v>11641</v>
      </c>
      <c r="AX4371" t="s">
        <v>10838</v>
      </c>
      <c r="BA4371" t="s">
        <v>11741</v>
      </c>
      <c r="BB4371">
        <v>0</v>
      </c>
      <c r="BC4371">
        <v>0</v>
      </c>
      <c r="BD4371">
        <v>0</v>
      </c>
      <c r="BE4371">
        <v>0</v>
      </c>
      <c r="BF4371">
        <v>1</v>
      </c>
      <c r="BG4371">
        <v>0</v>
      </c>
    </row>
    <row r="4372" spans="1:59">
      <c r="A4372" s="1">
        <f>HYPERLINK("https://lsnyc.legalserver.org/matter/dynamic-profile/view/1908542","19-1908542")</f>
        <v>0</v>
      </c>
      <c r="B4372" t="s">
        <v>3563</v>
      </c>
      <c r="C4372" t="s">
        <v>8363</v>
      </c>
      <c r="D4372" t="s">
        <v>9926</v>
      </c>
      <c r="E4372" t="s">
        <v>10075</v>
      </c>
      <c r="F4372">
        <v>10463</v>
      </c>
      <c r="G4372" t="s">
        <v>10090</v>
      </c>
      <c r="H4372" t="s">
        <v>10098</v>
      </c>
      <c r="I4372" t="s">
        <v>10169</v>
      </c>
      <c r="J4372" t="s">
        <v>10210</v>
      </c>
      <c r="K4372" t="s">
        <v>10217</v>
      </c>
      <c r="M4372" t="s">
        <v>10412</v>
      </c>
      <c r="N4372" t="s">
        <v>10673</v>
      </c>
      <c r="P4372" t="s">
        <v>10753</v>
      </c>
      <c r="Q4372" t="s">
        <v>10763</v>
      </c>
      <c r="R4372" t="s">
        <v>10821</v>
      </c>
      <c r="T4372">
        <v>12000</v>
      </c>
      <c r="U4372">
        <v>1000</v>
      </c>
      <c r="V4372">
        <v>57</v>
      </c>
      <c r="W4372">
        <v>3</v>
      </c>
      <c r="X4372">
        <v>2</v>
      </c>
      <c r="Z4372">
        <v>39.77</v>
      </c>
      <c r="AA4372">
        <v>40.871769</v>
      </c>
      <c r="AB4372">
        <v>-73.90474399999999</v>
      </c>
      <c r="AD4372" t="s">
        <v>10839</v>
      </c>
      <c r="AF4372" t="s">
        <v>10842</v>
      </c>
      <c r="AG4372" t="s">
        <v>10859</v>
      </c>
      <c r="AH4372" t="s">
        <v>10865</v>
      </c>
      <c r="AI4372">
        <v>230</v>
      </c>
      <c r="AJ4372" t="s">
        <v>10210</v>
      </c>
      <c r="AL4372">
        <v>0.1</v>
      </c>
      <c r="AM4372" t="s">
        <v>10887</v>
      </c>
      <c r="AN4372" t="s">
        <v>10931</v>
      </c>
      <c r="AO4372" t="s">
        <v>11000</v>
      </c>
      <c r="AP4372" t="s">
        <v>11045</v>
      </c>
      <c r="AQ4372" t="s">
        <v>11198</v>
      </c>
      <c r="AR4372" t="s">
        <v>10180</v>
      </c>
      <c r="AS4372" t="s">
        <v>9926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</row>
    <row r="4373" spans="1:59">
      <c r="A4373" s="1">
        <f>HYPERLINK("https://lsnyc.legalserver.org/matter/dynamic-profile/view/1908543","19-1908543")</f>
        <v>0</v>
      </c>
      <c r="B4373" t="s">
        <v>3564</v>
      </c>
      <c r="C4373" t="s">
        <v>8364</v>
      </c>
      <c r="D4373" t="s">
        <v>9963</v>
      </c>
      <c r="E4373" t="s">
        <v>10075</v>
      </c>
      <c r="F4373">
        <v>11385</v>
      </c>
      <c r="G4373" t="s">
        <v>10092</v>
      </c>
      <c r="H4373" t="s">
        <v>10098</v>
      </c>
      <c r="I4373" t="s">
        <v>10197</v>
      </c>
      <c r="J4373" t="s">
        <v>10212</v>
      </c>
      <c r="K4373" t="s">
        <v>10217</v>
      </c>
      <c r="M4373" t="s">
        <v>10335</v>
      </c>
      <c r="N4373" t="s">
        <v>10693</v>
      </c>
      <c r="P4373" t="s">
        <v>10749</v>
      </c>
      <c r="Q4373" t="s">
        <v>10765</v>
      </c>
      <c r="R4373" t="s">
        <v>10820</v>
      </c>
      <c r="T4373">
        <v>18000</v>
      </c>
      <c r="U4373">
        <v>1500</v>
      </c>
      <c r="V4373">
        <v>44</v>
      </c>
      <c r="W4373">
        <v>2</v>
      </c>
      <c r="X4373">
        <v>0</v>
      </c>
      <c r="Z4373">
        <v>106.45</v>
      </c>
      <c r="AA4373">
        <v>40.70173</v>
      </c>
      <c r="AB4373">
        <v>-73.877796</v>
      </c>
      <c r="AD4373" t="s">
        <v>10839</v>
      </c>
      <c r="AG4373" t="s">
        <v>10858</v>
      </c>
      <c r="AH4373" t="s">
        <v>10862</v>
      </c>
      <c r="AI4373">
        <v>237</v>
      </c>
      <c r="AJ4373" t="s">
        <v>10212</v>
      </c>
      <c r="AL4373">
        <v>1.3</v>
      </c>
      <c r="AM4373" t="s">
        <v>10890</v>
      </c>
      <c r="AN4373" t="s">
        <v>10945</v>
      </c>
      <c r="AO4373" t="s">
        <v>11024</v>
      </c>
      <c r="AP4373" t="s">
        <v>11077</v>
      </c>
      <c r="AR4373" t="s">
        <v>11257</v>
      </c>
      <c r="AS4373" t="s">
        <v>11594</v>
      </c>
      <c r="BA4373" t="s">
        <v>11738</v>
      </c>
      <c r="BB4373">
        <v>0</v>
      </c>
      <c r="BC4373">
        <v>0</v>
      </c>
      <c r="BD4373">
        <v>0</v>
      </c>
      <c r="BE4373">
        <v>0</v>
      </c>
      <c r="BF4373">
        <v>5</v>
      </c>
      <c r="BG4373">
        <v>0</v>
      </c>
    </row>
    <row r="4374" spans="1:59">
      <c r="A4374" s="1">
        <f>HYPERLINK("https://lsnyc.legalserver.org/matter/dynamic-profile/view/1908544","19-1908544")</f>
        <v>0</v>
      </c>
      <c r="B4374" t="s">
        <v>3565</v>
      </c>
      <c r="C4374" t="s">
        <v>8365</v>
      </c>
      <c r="D4374" t="s">
        <v>9925</v>
      </c>
      <c r="E4374" t="s">
        <v>10075</v>
      </c>
      <c r="F4374">
        <v>10027</v>
      </c>
      <c r="G4374" t="s">
        <v>10089</v>
      </c>
      <c r="H4374" t="s">
        <v>10098</v>
      </c>
      <c r="J4374" t="s">
        <v>10209</v>
      </c>
      <c r="K4374" t="s">
        <v>10217</v>
      </c>
      <c r="M4374" t="s">
        <v>10483</v>
      </c>
      <c r="N4374" t="s">
        <v>10650</v>
      </c>
      <c r="P4374" t="s">
        <v>10749</v>
      </c>
      <c r="Q4374" t="s">
        <v>10765</v>
      </c>
      <c r="R4374" t="s">
        <v>10821</v>
      </c>
      <c r="T4374">
        <v>14122.8</v>
      </c>
      <c r="U4374">
        <v>1176.9</v>
      </c>
      <c r="V4374">
        <v>78</v>
      </c>
      <c r="W4374">
        <v>1</v>
      </c>
      <c r="X4374">
        <v>0</v>
      </c>
      <c r="Z4374">
        <v>113.07</v>
      </c>
      <c r="AA4374">
        <v>40.811361</v>
      </c>
      <c r="AB4374">
        <v>-73.960318</v>
      </c>
      <c r="AD4374" t="s">
        <v>10840</v>
      </c>
      <c r="AG4374" t="s">
        <v>10858</v>
      </c>
      <c r="AH4374" t="s">
        <v>10862</v>
      </c>
      <c r="AI4374">
        <v>236</v>
      </c>
      <c r="AJ4374" t="s">
        <v>10209</v>
      </c>
      <c r="AL4374">
        <v>2.8</v>
      </c>
      <c r="AM4374" t="s">
        <v>10894</v>
      </c>
      <c r="AN4374" t="s">
        <v>10953</v>
      </c>
      <c r="AO4374" t="s">
        <v>11016</v>
      </c>
      <c r="AP4374" t="s">
        <v>11073</v>
      </c>
      <c r="AR4374" t="s">
        <v>11379</v>
      </c>
      <c r="AS4374" t="s">
        <v>9925</v>
      </c>
      <c r="BA4374" t="s">
        <v>11741</v>
      </c>
      <c r="BB4374">
        <v>0</v>
      </c>
      <c r="BC4374">
        <v>0</v>
      </c>
      <c r="BD4374">
        <v>0</v>
      </c>
      <c r="BE4374">
        <v>0</v>
      </c>
      <c r="BF4374">
        <v>1</v>
      </c>
      <c r="BG4374">
        <v>0</v>
      </c>
    </row>
    <row r="4375" spans="1:59">
      <c r="A4375" s="1">
        <f>HYPERLINK("https://lsnyc.legalserver.org/matter/dynamic-profile/view/1908545","19-1908545")</f>
        <v>0</v>
      </c>
      <c r="B4375" t="s">
        <v>3566</v>
      </c>
      <c r="C4375" t="s">
        <v>8366</v>
      </c>
      <c r="D4375" t="s">
        <v>9925</v>
      </c>
      <c r="E4375" t="s">
        <v>10075</v>
      </c>
      <c r="F4375">
        <v>10031</v>
      </c>
      <c r="G4375" t="s">
        <v>10089</v>
      </c>
      <c r="H4375" t="s">
        <v>10098</v>
      </c>
      <c r="I4375" t="s">
        <v>10168</v>
      </c>
      <c r="J4375" t="s">
        <v>10209</v>
      </c>
      <c r="K4375" t="s">
        <v>10218</v>
      </c>
      <c r="L4375" t="s">
        <v>10157</v>
      </c>
      <c r="M4375" t="s">
        <v>10332</v>
      </c>
      <c r="N4375" t="s">
        <v>10691</v>
      </c>
      <c r="O4375" t="s">
        <v>10690</v>
      </c>
      <c r="P4375" t="s">
        <v>10749</v>
      </c>
      <c r="Q4375" t="s">
        <v>10765</v>
      </c>
      <c r="R4375" t="s">
        <v>10824</v>
      </c>
      <c r="T4375">
        <v>0</v>
      </c>
      <c r="U4375">
        <v>0</v>
      </c>
      <c r="V4375">
        <v>50</v>
      </c>
      <c r="W4375">
        <v>1</v>
      </c>
      <c r="X4375">
        <v>0</v>
      </c>
      <c r="Y4375" t="s">
        <v>10829</v>
      </c>
      <c r="Z4375">
        <v>0</v>
      </c>
      <c r="AA4375">
        <v>40.827611</v>
      </c>
      <c r="AB4375">
        <v>-73.946567</v>
      </c>
      <c r="AC4375" t="s">
        <v>10837</v>
      </c>
      <c r="AD4375" t="s">
        <v>10840</v>
      </c>
      <c r="AG4375" t="s">
        <v>10858</v>
      </c>
      <c r="AH4375" t="s">
        <v>10861</v>
      </c>
      <c r="AI4375">
        <v>234</v>
      </c>
      <c r="AJ4375" t="s">
        <v>10214</v>
      </c>
      <c r="AK4375" t="s">
        <v>10882</v>
      </c>
      <c r="AL4375">
        <v>4.5</v>
      </c>
      <c r="AM4375" t="s">
        <v>10887</v>
      </c>
      <c r="AN4375" t="s">
        <v>10943</v>
      </c>
      <c r="AO4375" t="s">
        <v>11016</v>
      </c>
      <c r="AP4375" t="s">
        <v>11073</v>
      </c>
      <c r="AR4375" t="s">
        <v>11267</v>
      </c>
      <c r="AS4375" t="s">
        <v>9925</v>
      </c>
      <c r="AT4375" t="s">
        <v>11642</v>
      </c>
      <c r="AX4375" t="s">
        <v>10838</v>
      </c>
      <c r="AY4375" t="s">
        <v>10829</v>
      </c>
      <c r="AZ4375" t="s">
        <v>11681</v>
      </c>
      <c r="BA4375" t="s">
        <v>11741</v>
      </c>
      <c r="BB4375">
        <v>0</v>
      </c>
      <c r="BC4375">
        <v>0</v>
      </c>
      <c r="BD4375">
        <v>0</v>
      </c>
      <c r="BE4375">
        <v>0</v>
      </c>
      <c r="BF4375">
        <v>1</v>
      </c>
      <c r="BG4375">
        <v>0</v>
      </c>
    </row>
    <row r="4376" spans="1:59">
      <c r="A4376" s="1">
        <f>HYPERLINK("https://lsnyc.legalserver.org/matter/dynamic-profile/view/1908546","19-1908546")</f>
        <v>0</v>
      </c>
      <c r="B4376" t="s">
        <v>3567</v>
      </c>
      <c r="C4376" t="s">
        <v>8367</v>
      </c>
      <c r="D4376" t="s">
        <v>9938</v>
      </c>
      <c r="E4376" t="s">
        <v>10075</v>
      </c>
      <c r="F4376">
        <v>11434</v>
      </c>
      <c r="G4376" t="s">
        <v>10092</v>
      </c>
      <c r="H4376" t="s">
        <v>10098</v>
      </c>
      <c r="I4376" t="s">
        <v>10168</v>
      </c>
      <c r="J4376" t="s">
        <v>10212</v>
      </c>
      <c r="K4376" t="s">
        <v>10217</v>
      </c>
      <c r="M4376" t="s">
        <v>10610</v>
      </c>
      <c r="N4376" t="s">
        <v>10693</v>
      </c>
      <c r="P4376" t="s">
        <v>10749</v>
      </c>
      <c r="Q4376" t="s">
        <v>10765</v>
      </c>
      <c r="R4376" t="s">
        <v>10822</v>
      </c>
      <c r="T4376">
        <v>0</v>
      </c>
      <c r="U4376">
        <v>0</v>
      </c>
      <c r="V4376">
        <v>29</v>
      </c>
      <c r="W4376">
        <v>1</v>
      </c>
      <c r="X4376">
        <v>0</v>
      </c>
      <c r="Z4376">
        <v>0</v>
      </c>
      <c r="AA4376">
        <v>40.669823</v>
      </c>
      <c r="AB4376">
        <v>-73.76345600000001</v>
      </c>
      <c r="AD4376" t="s">
        <v>10839</v>
      </c>
      <c r="AG4376" t="s">
        <v>10858</v>
      </c>
      <c r="AH4376" t="s">
        <v>10862</v>
      </c>
      <c r="AI4376">
        <v>237</v>
      </c>
      <c r="AJ4376" t="s">
        <v>10212</v>
      </c>
      <c r="AL4376">
        <v>42.8</v>
      </c>
      <c r="AM4376" t="s">
        <v>10892</v>
      </c>
      <c r="AN4376" t="s">
        <v>10955</v>
      </c>
      <c r="AO4376" t="s">
        <v>11017</v>
      </c>
      <c r="AP4376" t="s">
        <v>11082</v>
      </c>
      <c r="AR4376" t="s">
        <v>11267</v>
      </c>
      <c r="AS4376" t="s">
        <v>11594</v>
      </c>
      <c r="BA4376" t="s">
        <v>11738</v>
      </c>
      <c r="BB4376">
        <v>0</v>
      </c>
      <c r="BC4376">
        <v>0</v>
      </c>
      <c r="BD4376">
        <v>0</v>
      </c>
      <c r="BE4376">
        <v>0</v>
      </c>
      <c r="BF4376">
        <v>5</v>
      </c>
      <c r="BG4376">
        <v>0</v>
      </c>
    </row>
    <row r="4377" spans="1:59">
      <c r="A4377" s="1">
        <f>HYPERLINK("https://lsnyc.legalserver.org/matter/dynamic-profile/view/1908547","19-1908547")</f>
        <v>0</v>
      </c>
      <c r="B4377" t="s">
        <v>3568</v>
      </c>
      <c r="C4377" t="s">
        <v>8368</v>
      </c>
      <c r="D4377" t="s">
        <v>9926</v>
      </c>
      <c r="E4377" t="s">
        <v>10075</v>
      </c>
      <c r="F4377">
        <v>10468</v>
      </c>
      <c r="G4377" t="s">
        <v>10090</v>
      </c>
      <c r="H4377" t="s">
        <v>10098</v>
      </c>
      <c r="I4377" t="s">
        <v>10168</v>
      </c>
      <c r="J4377" t="s">
        <v>10210</v>
      </c>
      <c r="K4377" t="s">
        <v>10217</v>
      </c>
      <c r="M4377" t="s">
        <v>10514</v>
      </c>
      <c r="N4377" t="s">
        <v>10651</v>
      </c>
      <c r="P4377" t="s">
        <v>10749</v>
      </c>
      <c r="Q4377" t="s">
        <v>10765</v>
      </c>
      <c r="R4377" t="s">
        <v>10824</v>
      </c>
      <c r="T4377">
        <v>30000</v>
      </c>
      <c r="U4377">
        <v>2500</v>
      </c>
      <c r="V4377">
        <v>49</v>
      </c>
      <c r="W4377">
        <v>2</v>
      </c>
      <c r="X4377">
        <v>1</v>
      </c>
      <c r="Z4377">
        <v>140.65</v>
      </c>
      <c r="AA4377">
        <v>40.873298</v>
      </c>
      <c r="AB4377">
        <v>-73.901466</v>
      </c>
      <c r="AD4377" t="s">
        <v>10840</v>
      </c>
      <c r="AG4377" t="s">
        <v>10858</v>
      </c>
      <c r="AH4377" t="s">
        <v>10862</v>
      </c>
      <c r="AI4377">
        <v>230</v>
      </c>
      <c r="AJ4377" t="s">
        <v>10210</v>
      </c>
      <c r="AL4377">
        <v>2.5</v>
      </c>
      <c r="AM4377" t="s">
        <v>10887</v>
      </c>
      <c r="AN4377" t="s">
        <v>10907</v>
      </c>
      <c r="AO4377" t="s">
        <v>11000</v>
      </c>
      <c r="AP4377" t="s">
        <v>11045</v>
      </c>
      <c r="AR4377" t="s">
        <v>11297</v>
      </c>
      <c r="AS4377" t="s">
        <v>9926</v>
      </c>
      <c r="AT4377" t="s">
        <v>11642</v>
      </c>
      <c r="AV4377" t="s">
        <v>11642</v>
      </c>
      <c r="AW4377" t="s">
        <v>11666</v>
      </c>
      <c r="AX4377" t="s">
        <v>10838</v>
      </c>
      <c r="BA4377" t="s">
        <v>11738</v>
      </c>
      <c r="BB4377">
        <v>0</v>
      </c>
      <c r="BC4377">
        <v>0</v>
      </c>
      <c r="BD4377">
        <v>0</v>
      </c>
      <c r="BE4377">
        <v>0</v>
      </c>
      <c r="BF4377">
        <v>5</v>
      </c>
      <c r="BG4377">
        <v>0</v>
      </c>
    </row>
    <row r="4378" spans="1:59">
      <c r="A4378" s="1">
        <f>HYPERLINK("https://lsnyc.legalserver.org/matter/dynamic-profile/view/1908548","19-1908548")</f>
        <v>0</v>
      </c>
      <c r="B4378" t="s">
        <v>3373</v>
      </c>
      <c r="C4378" t="s">
        <v>8165</v>
      </c>
      <c r="D4378" t="s">
        <v>9926</v>
      </c>
      <c r="E4378" t="s">
        <v>10075</v>
      </c>
      <c r="F4378">
        <v>10473</v>
      </c>
      <c r="G4378" t="s">
        <v>10090</v>
      </c>
      <c r="H4378" t="s">
        <v>10098</v>
      </c>
      <c r="I4378" t="s">
        <v>10168</v>
      </c>
      <c r="J4378" t="s">
        <v>10210</v>
      </c>
      <c r="K4378" t="s">
        <v>10217</v>
      </c>
      <c r="M4378" t="s">
        <v>10346</v>
      </c>
      <c r="N4378" t="s">
        <v>10677</v>
      </c>
      <c r="P4378" t="s">
        <v>10751</v>
      </c>
      <c r="Q4378" t="s">
        <v>10786</v>
      </c>
      <c r="R4378" t="s">
        <v>10823</v>
      </c>
      <c r="T4378">
        <v>15180</v>
      </c>
      <c r="U4378">
        <v>1265</v>
      </c>
      <c r="V4378">
        <v>81</v>
      </c>
      <c r="W4378">
        <v>1</v>
      </c>
      <c r="X4378">
        <v>0</v>
      </c>
      <c r="Z4378">
        <v>121.54</v>
      </c>
      <c r="AA4378">
        <v>40.810311</v>
      </c>
      <c r="AB4378">
        <v>-73.84991599999999</v>
      </c>
      <c r="AD4378" t="s">
        <v>10840</v>
      </c>
      <c r="AG4378" t="s">
        <v>10858</v>
      </c>
      <c r="AH4378" t="s">
        <v>10874</v>
      </c>
      <c r="AI4378">
        <v>230</v>
      </c>
      <c r="AJ4378" t="s">
        <v>10210</v>
      </c>
      <c r="AL4378">
        <v>0.75</v>
      </c>
      <c r="AR4378" t="s">
        <v>11274</v>
      </c>
      <c r="AS4378" t="s">
        <v>9926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</row>
    <row r="4379" spans="1:59">
      <c r="A4379" s="1">
        <f>HYPERLINK("https://lsnyc.legalserver.org/matter/dynamic-profile/view/1908549","19-1908549")</f>
        <v>0</v>
      </c>
      <c r="B4379" t="s">
        <v>3569</v>
      </c>
      <c r="C4379" t="s">
        <v>8369</v>
      </c>
      <c r="D4379" t="s">
        <v>9936</v>
      </c>
      <c r="E4379" t="s">
        <v>10075</v>
      </c>
      <c r="F4379">
        <v>11103</v>
      </c>
      <c r="G4379" t="s">
        <v>10092</v>
      </c>
      <c r="H4379" t="s">
        <v>10098</v>
      </c>
      <c r="I4379" t="s">
        <v>10168</v>
      </c>
      <c r="J4379" t="s">
        <v>10212</v>
      </c>
      <c r="K4379" t="s">
        <v>10217</v>
      </c>
      <c r="M4379" t="s">
        <v>10258</v>
      </c>
      <c r="N4379" t="s">
        <v>10650</v>
      </c>
      <c r="P4379" t="s">
        <v>10749</v>
      </c>
      <c r="Q4379" t="s">
        <v>10765</v>
      </c>
      <c r="R4379" t="s">
        <v>10821</v>
      </c>
      <c r="T4379">
        <v>24000</v>
      </c>
      <c r="U4379">
        <v>2000</v>
      </c>
      <c r="V4379">
        <v>82</v>
      </c>
      <c r="W4379">
        <v>1</v>
      </c>
      <c r="X4379">
        <v>0</v>
      </c>
      <c r="Z4379">
        <v>192.15</v>
      </c>
      <c r="AA4379">
        <v>40.76019</v>
      </c>
      <c r="AB4379">
        <v>-73.916096</v>
      </c>
      <c r="AD4379" t="s">
        <v>10839</v>
      </c>
      <c r="AG4379" t="s">
        <v>10858</v>
      </c>
      <c r="AH4379" t="s">
        <v>10861</v>
      </c>
      <c r="AI4379">
        <v>234</v>
      </c>
      <c r="AJ4379" t="s">
        <v>10214</v>
      </c>
      <c r="AL4379">
        <v>1.35</v>
      </c>
      <c r="AM4379" t="s">
        <v>10891</v>
      </c>
      <c r="AN4379" t="s">
        <v>10935</v>
      </c>
      <c r="AO4379" t="s">
        <v>11003</v>
      </c>
      <c r="AP4379" t="s">
        <v>11084</v>
      </c>
      <c r="AR4379" t="s">
        <v>11379</v>
      </c>
      <c r="AS4379" t="s">
        <v>9925</v>
      </c>
      <c r="AT4379" t="s">
        <v>11642</v>
      </c>
      <c r="AX4379" t="s">
        <v>10838</v>
      </c>
      <c r="BA4379" t="s">
        <v>11740</v>
      </c>
      <c r="BB4379">
        <v>0</v>
      </c>
      <c r="BC4379">
        <v>0</v>
      </c>
      <c r="BD4379">
        <v>0</v>
      </c>
      <c r="BE4379">
        <v>0</v>
      </c>
      <c r="BF4379">
        <v>2</v>
      </c>
      <c r="BG4379">
        <v>0</v>
      </c>
    </row>
    <row r="4380" spans="1:59">
      <c r="A4380" s="1">
        <f>HYPERLINK("https://lsnyc.legalserver.org/matter/dynamic-profile/view/1908550","19-1908550")</f>
        <v>0</v>
      </c>
      <c r="B4380" t="s">
        <v>2754</v>
      </c>
      <c r="C4380" t="s">
        <v>8370</v>
      </c>
      <c r="D4380" t="s">
        <v>9926</v>
      </c>
      <c r="E4380" t="s">
        <v>10075</v>
      </c>
      <c r="F4380">
        <v>10452</v>
      </c>
      <c r="G4380" t="s">
        <v>10090</v>
      </c>
      <c r="H4380" t="s">
        <v>10098</v>
      </c>
      <c r="J4380" t="s">
        <v>10210</v>
      </c>
      <c r="K4380" t="s">
        <v>10218</v>
      </c>
      <c r="L4380" t="s">
        <v>4843</v>
      </c>
      <c r="M4380" t="s">
        <v>10333</v>
      </c>
      <c r="N4380" t="s">
        <v>10683</v>
      </c>
      <c r="P4380" t="s">
        <v>10752</v>
      </c>
      <c r="Q4380" t="s">
        <v>10795</v>
      </c>
      <c r="R4380" t="s">
        <v>10821</v>
      </c>
      <c r="T4380">
        <v>6894</v>
      </c>
      <c r="U4380">
        <v>574.5</v>
      </c>
      <c r="V4380">
        <v>57</v>
      </c>
      <c r="W4380">
        <v>2</v>
      </c>
      <c r="X4380">
        <v>1</v>
      </c>
      <c r="Y4380" t="s">
        <v>10832</v>
      </c>
      <c r="Z4380">
        <v>32.32</v>
      </c>
      <c r="AA4380">
        <v>40.837376</v>
      </c>
      <c r="AB4380">
        <v>-73.924087</v>
      </c>
      <c r="AD4380" t="s">
        <v>10840</v>
      </c>
      <c r="AG4380" t="s">
        <v>10858</v>
      </c>
      <c r="AH4380" t="s">
        <v>10874</v>
      </c>
      <c r="AI4380">
        <v>230</v>
      </c>
      <c r="AJ4380" t="s">
        <v>10210</v>
      </c>
      <c r="AK4380" t="s">
        <v>10838</v>
      </c>
      <c r="AL4380">
        <v>1.7</v>
      </c>
      <c r="AM4380" t="s">
        <v>10884</v>
      </c>
      <c r="AN4380" t="s">
        <v>10929</v>
      </c>
      <c r="AO4380" t="s">
        <v>11013</v>
      </c>
      <c r="AP4380" t="s">
        <v>11055</v>
      </c>
      <c r="AR4380" t="s">
        <v>11273</v>
      </c>
      <c r="AS4380" t="s">
        <v>9926</v>
      </c>
      <c r="AY4380" t="s">
        <v>10832</v>
      </c>
      <c r="AZ4380" t="s">
        <v>11734</v>
      </c>
      <c r="BB4380">
        <v>0</v>
      </c>
      <c r="BC4380">
        <v>0</v>
      </c>
      <c r="BD4380">
        <v>387.04</v>
      </c>
      <c r="BE4380">
        <v>0</v>
      </c>
      <c r="BF4380">
        <v>0</v>
      </c>
      <c r="BG4380">
        <v>0</v>
      </c>
    </row>
    <row r="4381" spans="1:59">
      <c r="A4381" s="1">
        <f>HYPERLINK("https://lsnyc.legalserver.org/matter/dynamic-profile/view/1908551","19-1908551")</f>
        <v>0</v>
      </c>
      <c r="B4381" t="s">
        <v>3570</v>
      </c>
      <c r="C4381" t="s">
        <v>8371</v>
      </c>
      <c r="D4381" t="s">
        <v>9930</v>
      </c>
      <c r="E4381" t="s">
        <v>10075</v>
      </c>
      <c r="F4381">
        <v>11373</v>
      </c>
      <c r="G4381" t="s">
        <v>10092</v>
      </c>
      <c r="H4381" t="s">
        <v>10098</v>
      </c>
      <c r="I4381" t="s">
        <v>10168</v>
      </c>
      <c r="J4381" t="s">
        <v>10212</v>
      </c>
      <c r="K4381" t="s">
        <v>10217</v>
      </c>
      <c r="M4381" t="s">
        <v>10285</v>
      </c>
      <c r="N4381" t="s">
        <v>10693</v>
      </c>
      <c r="P4381" t="s">
        <v>10749</v>
      </c>
      <c r="Q4381" t="s">
        <v>10765</v>
      </c>
      <c r="R4381" t="s">
        <v>10821</v>
      </c>
      <c r="T4381">
        <v>19760</v>
      </c>
      <c r="U4381">
        <v>1646.67</v>
      </c>
      <c r="V4381">
        <v>21</v>
      </c>
      <c r="W4381">
        <v>2</v>
      </c>
      <c r="X4381">
        <v>1</v>
      </c>
      <c r="Z4381">
        <v>92.64</v>
      </c>
      <c r="AA4381">
        <v>40.734148</v>
      </c>
      <c r="AB4381">
        <v>-73.88547699999999</v>
      </c>
      <c r="AD4381" t="s">
        <v>10839</v>
      </c>
      <c r="AF4381" t="s">
        <v>10843</v>
      </c>
      <c r="AG4381" t="s">
        <v>10859</v>
      </c>
      <c r="AH4381" t="s">
        <v>10862</v>
      </c>
      <c r="AI4381">
        <v>237</v>
      </c>
      <c r="AJ4381" t="s">
        <v>10212</v>
      </c>
      <c r="AL4381">
        <v>1.9</v>
      </c>
      <c r="AM4381" t="s">
        <v>10890</v>
      </c>
      <c r="AN4381" t="s">
        <v>10949</v>
      </c>
      <c r="AO4381" t="s">
        <v>11009</v>
      </c>
      <c r="AP4381" t="s">
        <v>11053</v>
      </c>
      <c r="AR4381" t="s">
        <v>11257</v>
      </c>
      <c r="AS4381" t="s">
        <v>11594</v>
      </c>
      <c r="BA4381" t="s">
        <v>11738</v>
      </c>
      <c r="BB4381">
        <v>0</v>
      </c>
      <c r="BC4381">
        <v>0</v>
      </c>
      <c r="BD4381">
        <v>0</v>
      </c>
      <c r="BE4381">
        <v>0</v>
      </c>
      <c r="BF4381">
        <v>5</v>
      </c>
      <c r="BG4381">
        <v>0</v>
      </c>
    </row>
    <row r="4382" spans="1:59">
      <c r="A4382" s="1">
        <f>HYPERLINK("https://lsnyc.legalserver.org/matter/dynamic-profile/view/1908552","19-1908552")</f>
        <v>0</v>
      </c>
      <c r="B4382" t="s">
        <v>3571</v>
      </c>
      <c r="C4382" t="s">
        <v>8372</v>
      </c>
      <c r="D4382" t="s">
        <v>9925</v>
      </c>
      <c r="E4382" t="s">
        <v>10075</v>
      </c>
      <c r="F4382">
        <v>10027</v>
      </c>
      <c r="G4382" t="s">
        <v>10091</v>
      </c>
      <c r="H4382" t="s">
        <v>10098</v>
      </c>
      <c r="I4382" t="s">
        <v>10168</v>
      </c>
      <c r="J4382" t="s">
        <v>10214</v>
      </c>
      <c r="K4382" t="s">
        <v>10217</v>
      </c>
      <c r="M4382" t="s">
        <v>10286</v>
      </c>
      <c r="N4382" t="s">
        <v>10671</v>
      </c>
      <c r="P4382" t="s">
        <v>10751</v>
      </c>
      <c r="Q4382" t="s">
        <v>10780</v>
      </c>
      <c r="R4382" t="s">
        <v>10821</v>
      </c>
      <c r="T4382">
        <v>6600</v>
      </c>
      <c r="U4382">
        <v>550</v>
      </c>
      <c r="V4382">
        <v>39</v>
      </c>
      <c r="W4382">
        <v>1</v>
      </c>
      <c r="X4382">
        <v>0</v>
      </c>
      <c r="Z4382">
        <v>52.84</v>
      </c>
      <c r="AA4382">
        <v>40.818422</v>
      </c>
      <c r="AB4382">
        <v>-73.956833</v>
      </c>
      <c r="AD4382" t="s">
        <v>10839</v>
      </c>
      <c r="AG4382" t="s">
        <v>10858</v>
      </c>
      <c r="AH4382" t="s">
        <v>10861</v>
      </c>
      <c r="AI4382">
        <v>234</v>
      </c>
      <c r="AJ4382" t="s">
        <v>10214</v>
      </c>
      <c r="AL4382">
        <v>0.7</v>
      </c>
      <c r="AM4382" t="s">
        <v>10887</v>
      </c>
      <c r="AN4382" t="s">
        <v>10936</v>
      </c>
      <c r="AO4382" t="s">
        <v>11019</v>
      </c>
      <c r="AP4382" t="s">
        <v>11073</v>
      </c>
      <c r="AQ4382" t="s">
        <v>11118</v>
      </c>
      <c r="AR4382" t="s">
        <v>11255</v>
      </c>
      <c r="AS4382" t="s">
        <v>9925</v>
      </c>
      <c r="AT4382" t="s">
        <v>11641</v>
      </c>
      <c r="AX4382" t="s">
        <v>10837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</row>
    <row r="4383" spans="1:59">
      <c r="A4383" s="1">
        <f>HYPERLINK("https://lsnyc.legalserver.org/matter/dynamic-profile/view/1908553","19-1908553")</f>
        <v>0</v>
      </c>
      <c r="B4383" t="s">
        <v>3568</v>
      </c>
      <c r="C4383" t="s">
        <v>8368</v>
      </c>
      <c r="D4383" t="s">
        <v>9926</v>
      </c>
      <c r="E4383" t="s">
        <v>10075</v>
      </c>
      <c r="F4383">
        <v>10468</v>
      </c>
      <c r="G4383" t="s">
        <v>10090</v>
      </c>
      <c r="H4383" t="s">
        <v>10098</v>
      </c>
      <c r="I4383" t="s">
        <v>10168</v>
      </c>
      <c r="J4383" t="s">
        <v>10210</v>
      </c>
      <c r="K4383" t="s">
        <v>10217</v>
      </c>
      <c r="M4383" t="s">
        <v>10375</v>
      </c>
      <c r="N4383" t="s">
        <v>10671</v>
      </c>
      <c r="P4383" t="s">
        <v>10751</v>
      </c>
      <c r="Q4383" t="s">
        <v>10761</v>
      </c>
      <c r="R4383" t="s">
        <v>10824</v>
      </c>
      <c r="T4383">
        <v>30000</v>
      </c>
      <c r="U4383">
        <v>2500</v>
      </c>
      <c r="V4383">
        <v>49</v>
      </c>
      <c r="W4383">
        <v>2</v>
      </c>
      <c r="X4383">
        <v>0</v>
      </c>
      <c r="Z4383">
        <v>177.41</v>
      </c>
      <c r="AA4383">
        <v>40.873298</v>
      </c>
      <c r="AB4383">
        <v>-73.901466</v>
      </c>
      <c r="AD4383" t="s">
        <v>10840</v>
      </c>
      <c r="AG4383" t="s">
        <v>10858</v>
      </c>
      <c r="AH4383" t="s">
        <v>10862</v>
      </c>
      <c r="AI4383">
        <v>230</v>
      </c>
      <c r="AJ4383" t="s">
        <v>10210</v>
      </c>
      <c r="AL4383">
        <v>0</v>
      </c>
      <c r="AR4383" t="s">
        <v>11276</v>
      </c>
      <c r="AS4383" t="s">
        <v>9926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</row>
    <row r="4384" spans="1:59">
      <c r="A4384" s="1">
        <f>HYPERLINK("https://lsnyc.legalserver.org/matter/dynamic-profile/view/1908554","19-1908554")</f>
        <v>0</v>
      </c>
      <c r="B4384" t="s">
        <v>3572</v>
      </c>
      <c r="C4384" t="s">
        <v>8373</v>
      </c>
      <c r="D4384" t="s">
        <v>9926</v>
      </c>
      <c r="E4384" t="s">
        <v>10075</v>
      </c>
      <c r="F4384">
        <v>10468</v>
      </c>
      <c r="G4384" t="s">
        <v>10090</v>
      </c>
      <c r="H4384" t="s">
        <v>10098</v>
      </c>
      <c r="I4384" t="s">
        <v>10169</v>
      </c>
      <c r="J4384" t="s">
        <v>10210</v>
      </c>
      <c r="K4384" t="s">
        <v>10217</v>
      </c>
      <c r="M4384" t="s">
        <v>10271</v>
      </c>
      <c r="N4384" t="s">
        <v>10651</v>
      </c>
      <c r="P4384" t="s">
        <v>10749</v>
      </c>
      <c r="Q4384" t="s">
        <v>10765</v>
      </c>
      <c r="R4384" t="s">
        <v>10821</v>
      </c>
      <c r="T4384">
        <v>20800</v>
      </c>
      <c r="U4384">
        <v>1733.33</v>
      </c>
      <c r="V4384">
        <v>57</v>
      </c>
      <c r="W4384">
        <v>2</v>
      </c>
      <c r="X4384">
        <v>2</v>
      </c>
      <c r="Z4384">
        <v>80.78</v>
      </c>
      <c r="AA4384">
        <v>40.859375</v>
      </c>
      <c r="AB4384">
        <v>-73.89935699999999</v>
      </c>
      <c r="AD4384" t="s">
        <v>10840</v>
      </c>
      <c r="AF4384" t="s">
        <v>10843</v>
      </c>
      <c r="AG4384" t="s">
        <v>10859</v>
      </c>
      <c r="AH4384" t="s">
        <v>10862</v>
      </c>
      <c r="AI4384">
        <v>230</v>
      </c>
      <c r="AJ4384" t="s">
        <v>10210</v>
      </c>
      <c r="AL4384">
        <v>1</v>
      </c>
      <c r="AM4384" t="s">
        <v>10884</v>
      </c>
      <c r="AN4384" t="s">
        <v>10931</v>
      </c>
      <c r="AO4384" t="s">
        <v>11000</v>
      </c>
      <c r="AP4384" t="s">
        <v>11045</v>
      </c>
      <c r="AR4384" t="s">
        <v>11257</v>
      </c>
      <c r="AS4384" t="s">
        <v>9926</v>
      </c>
      <c r="AT4384" t="s">
        <v>11642</v>
      </c>
      <c r="AX4384" t="s">
        <v>10838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</row>
    <row r="4385" spans="1:59">
      <c r="A4385" s="1">
        <f>HYPERLINK("https://lsnyc.legalserver.org/matter/dynamic-profile/view/1908555","19-1908555")</f>
        <v>0</v>
      </c>
      <c r="B4385" t="s">
        <v>3573</v>
      </c>
      <c r="C4385" t="s">
        <v>8374</v>
      </c>
      <c r="D4385" t="s">
        <v>9930</v>
      </c>
      <c r="E4385" t="s">
        <v>10075</v>
      </c>
      <c r="F4385">
        <v>11373</v>
      </c>
      <c r="G4385" t="s">
        <v>10092</v>
      </c>
      <c r="H4385" t="s">
        <v>10098</v>
      </c>
      <c r="I4385" t="s">
        <v>10168</v>
      </c>
      <c r="J4385" t="s">
        <v>10212</v>
      </c>
      <c r="K4385" t="s">
        <v>10217</v>
      </c>
      <c r="M4385" t="s">
        <v>10410</v>
      </c>
      <c r="N4385" t="s">
        <v>10693</v>
      </c>
      <c r="P4385" t="s">
        <v>10749</v>
      </c>
      <c r="Q4385" t="s">
        <v>10765</v>
      </c>
      <c r="R4385" t="s">
        <v>10823</v>
      </c>
      <c r="T4385">
        <v>20400</v>
      </c>
      <c r="U4385">
        <v>1700</v>
      </c>
      <c r="V4385">
        <v>41</v>
      </c>
      <c r="W4385">
        <v>2</v>
      </c>
      <c r="X4385">
        <v>2</v>
      </c>
      <c r="Z4385">
        <v>79.22</v>
      </c>
      <c r="AA4385">
        <v>40.744453</v>
      </c>
      <c r="AB4385">
        <v>-73.876234</v>
      </c>
      <c r="AD4385" t="s">
        <v>10839</v>
      </c>
      <c r="AG4385" t="s">
        <v>10858</v>
      </c>
      <c r="AH4385" t="s">
        <v>10862</v>
      </c>
      <c r="AI4385">
        <v>237</v>
      </c>
      <c r="AJ4385" t="s">
        <v>10212</v>
      </c>
      <c r="AL4385">
        <v>9.1</v>
      </c>
      <c r="AM4385" t="s">
        <v>10885</v>
      </c>
      <c r="AN4385" t="s">
        <v>10949</v>
      </c>
      <c r="AO4385" t="s">
        <v>11014</v>
      </c>
      <c r="AP4385" t="s">
        <v>11053</v>
      </c>
      <c r="AR4385" t="s">
        <v>11280</v>
      </c>
      <c r="AS4385" t="s">
        <v>11594</v>
      </c>
      <c r="BA4385" t="s">
        <v>11738</v>
      </c>
      <c r="BB4385">
        <v>0</v>
      </c>
      <c r="BC4385">
        <v>0</v>
      </c>
      <c r="BD4385">
        <v>0</v>
      </c>
      <c r="BE4385">
        <v>0</v>
      </c>
      <c r="BF4385">
        <v>5</v>
      </c>
      <c r="BG4385">
        <v>0</v>
      </c>
    </row>
    <row r="4386" spans="1:59">
      <c r="A4386" s="1">
        <f>HYPERLINK("https://lsnyc.legalserver.org/matter/dynamic-profile/view/1908556","19-1908556")</f>
        <v>0</v>
      </c>
      <c r="B4386" t="s">
        <v>3148</v>
      </c>
      <c r="C4386" t="s">
        <v>6608</v>
      </c>
      <c r="D4386" t="s">
        <v>9925</v>
      </c>
      <c r="E4386" t="s">
        <v>10075</v>
      </c>
      <c r="F4386">
        <v>10033</v>
      </c>
      <c r="G4386" t="s">
        <v>10089</v>
      </c>
      <c r="H4386" t="s">
        <v>10098</v>
      </c>
      <c r="I4386" t="s">
        <v>10169</v>
      </c>
      <c r="J4386" t="s">
        <v>10209</v>
      </c>
      <c r="K4386" t="s">
        <v>10217</v>
      </c>
      <c r="M4386" t="s">
        <v>10483</v>
      </c>
      <c r="N4386" t="s">
        <v>10650</v>
      </c>
      <c r="P4386" t="s">
        <v>10749</v>
      </c>
      <c r="Q4386" t="s">
        <v>10765</v>
      </c>
      <c r="R4386" t="s">
        <v>10821</v>
      </c>
      <c r="T4386">
        <v>38000</v>
      </c>
      <c r="U4386">
        <v>3166.67</v>
      </c>
      <c r="V4386">
        <v>62</v>
      </c>
      <c r="W4386">
        <v>2</v>
      </c>
      <c r="X4386">
        <v>0</v>
      </c>
      <c r="Z4386">
        <v>224.72</v>
      </c>
      <c r="AA4386">
        <v>40.847563</v>
      </c>
      <c r="AB4386">
        <v>-73.934467</v>
      </c>
      <c r="AD4386" t="s">
        <v>10839</v>
      </c>
      <c r="AG4386" t="s">
        <v>10858</v>
      </c>
      <c r="AH4386" t="s">
        <v>10862</v>
      </c>
      <c r="AI4386">
        <v>236</v>
      </c>
      <c r="AJ4386" t="s">
        <v>10209</v>
      </c>
      <c r="AL4386">
        <v>2.7</v>
      </c>
      <c r="AM4386" t="s">
        <v>10887</v>
      </c>
      <c r="AN4386" t="s">
        <v>10937</v>
      </c>
      <c r="AO4386" t="s">
        <v>11019</v>
      </c>
      <c r="AP4386" t="s">
        <v>11074</v>
      </c>
      <c r="AR4386" t="s">
        <v>11265</v>
      </c>
      <c r="AS4386" t="s">
        <v>9925</v>
      </c>
      <c r="BA4386" t="s">
        <v>11741</v>
      </c>
      <c r="BB4386">
        <v>0</v>
      </c>
      <c r="BC4386">
        <v>0</v>
      </c>
      <c r="BD4386">
        <v>0</v>
      </c>
      <c r="BE4386">
        <v>0</v>
      </c>
      <c r="BF4386">
        <v>1</v>
      </c>
      <c r="BG4386">
        <v>0</v>
      </c>
    </row>
    <row r="4387" spans="1:59">
      <c r="A4387" s="1">
        <f>HYPERLINK("https://lsnyc.legalserver.org/matter/dynamic-profile/view/1908557","19-1908557")</f>
        <v>0</v>
      </c>
      <c r="B4387" t="s">
        <v>3574</v>
      </c>
      <c r="C4387" t="s">
        <v>8375</v>
      </c>
      <c r="D4387" t="s">
        <v>9926</v>
      </c>
      <c r="E4387" t="s">
        <v>10075</v>
      </c>
      <c r="F4387">
        <v>10466</v>
      </c>
      <c r="G4387" t="s">
        <v>10090</v>
      </c>
      <c r="H4387" t="s">
        <v>10098</v>
      </c>
      <c r="I4387" t="s">
        <v>10168</v>
      </c>
      <c r="J4387" t="s">
        <v>10210</v>
      </c>
      <c r="K4387" t="s">
        <v>10217</v>
      </c>
      <c r="M4387" t="s">
        <v>10495</v>
      </c>
      <c r="N4387" t="s">
        <v>10658</v>
      </c>
      <c r="P4387" t="s">
        <v>10749</v>
      </c>
      <c r="Q4387" t="s">
        <v>10769</v>
      </c>
      <c r="R4387" t="s">
        <v>10824</v>
      </c>
      <c r="T4387">
        <v>72120</v>
      </c>
      <c r="U4387">
        <v>6010</v>
      </c>
      <c r="V4387">
        <v>56</v>
      </c>
      <c r="W4387">
        <v>2</v>
      </c>
      <c r="X4387">
        <v>0</v>
      </c>
      <c r="Z4387">
        <v>426.49</v>
      </c>
      <c r="AA4387">
        <v>40.890774</v>
      </c>
      <c r="AB4387">
        <v>-73.84596999999999</v>
      </c>
      <c r="AD4387" t="s">
        <v>10839</v>
      </c>
      <c r="AG4387" t="s">
        <v>10858</v>
      </c>
      <c r="AH4387" t="s">
        <v>10860</v>
      </c>
      <c r="AI4387">
        <v>230</v>
      </c>
      <c r="AJ4387" t="s">
        <v>10210</v>
      </c>
      <c r="AL4387">
        <v>3.5</v>
      </c>
      <c r="AM4387" t="s">
        <v>10893</v>
      </c>
      <c r="AN4387" t="s">
        <v>10956</v>
      </c>
      <c r="AO4387" t="s">
        <v>11010</v>
      </c>
      <c r="AP4387" t="s">
        <v>11085</v>
      </c>
      <c r="AQ4387" t="s">
        <v>11242</v>
      </c>
      <c r="AR4387" t="s">
        <v>11466</v>
      </c>
      <c r="AS4387" t="s">
        <v>9926</v>
      </c>
      <c r="AT4387" t="s">
        <v>11641</v>
      </c>
      <c r="AX4387" t="s">
        <v>10838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</row>
    <row r="4388" spans="1:59">
      <c r="A4388" s="1">
        <f>HYPERLINK("https://lsnyc.legalserver.org/matter/dynamic-profile/view/1908558","19-1908558")</f>
        <v>0</v>
      </c>
      <c r="B4388" t="s">
        <v>3575</v>
      </c>
      <c r="C4388" t="s">
        <v>8376</v>
      </c>
      <c r="D4388" t="s">
        <v>9926</v>
      </c>
      <c r="E4388" t="s">
        <v>10075</v>
      </c>
      <c r="F4388">
        <v>10451</v>
      </c>
      <c r="G4388" t="s">
        <v>10090</v>
      </c>
      <c r="H4388" t="s">
        <v>10098</v>
      </c>
      <c r="I4388" t="s">
        <v>10168</v>
      </c>
      <c r="J4388" t="s">
        <v>10210</v>
      </c>
      <c r="K4388" t="s">
        <v>10217</v>
      </c>
      <c r="M4388" t="s">
        <v>10558</v>
      </c>
      <c r="N4388" t="s">
        <v>10683</v>
      </c>
      <c r="P4388" t="s">
        <v>10754</v>
      </c>
      <c r="Q4388" t="s">
        <v>10766</v>
      </c>
      <c r="R4388" t="s">
        <v>10821</v>
      </c>
      <c r="T4388">
        <v>8100</v>
      </c>
      <c r="U4388">
        <v>675</v>
      </c>
      <c r="V4388">
        <v>27</v>
      </c>
      <c r="W4388">
        <v>1</v>
      </c>
      <c r="X4388">
        <v>1</v>
      </c>
      <c r="Z4388">
        <v>47.9</v>
      </c>
      <c r="AA4388">
        <v>40.822965</v>
      </c>
      <c r="AB4388">
        <v>-73.91499399999999</v>
      </c>
      <c r="AD4388" t="s">
        <v>10839</v>
      </c>
      <c r="AG4388" t="s">
        <v>10858</v>
      </c>
      <c r="AH4388" t="s">
        <v>10865</v>
      </c>
      <c r="AI4388">
        <v>230</v>
      </c>
      <c r="AJ4388" t="s">
        <v>10210</v>
      </c>
      <c r="AL4388">
        <v>1.75</v>
      </c>
      <c r="AM4388" t="s">
        <v>10884</v>
      </c>
      <c r="AN4388" t="s">
        <v>10918</v>
      </c>
      <c r="AO4388" t="s">
        <v>11001</v>
      </c>
      <c r="AP4388" t="s">
        <v>11062</v>
      </c>
      <c r="AR4388" t="s">
        <v>11263</v>
      </c>
      <c r="AS4388" t="s">
        <v>9926</v>
      </c>
      <c r="AT4388" t="s">
        <v>11641</v>
      </c>
      <c r="AV4388" t="s">
        <v>11656</v>
      </c>
      <c r="AW4388" t="s">
        <v>11645</v>
      </c>
      <c r="AX4388" t="s">
        <v>10838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</row>
    <row r="4389" spans="1:59">
      <c r="A4389" s="1">
        <f>HYPERLINK("https://lsnyc.legalserver.org/matter/dynamic-profile/view/1908559","19-1908559")</f>
        <v>0</v>
      </c>
      <c r="B4389" t="s">
        <v>3562</v>
      </c>
      <c r="C4389" t="s">
        <v>8362</v>
      </c>
      <c r="D4389" t="s">
        <v>9926</v>
      </c>
      <c r="E4389" t="s">
        <v>10075</v>
      </c>
      <c r="F4389">
        <v>10460</v>
      </c>
      <c r="G4389" t="s">
        <v>10090</v>
      </c>
      <c r="H4389" t="s">
        <v>10098</v>
      </c>
      <c r="I4389" t="s">
        <v>10169</v>
      </c>
      <c r="J4389" t="s">
        <v>10210</v>
      </c>
      <c r="K4389" t="s">
        <v>10217</v>
      </c>
      <c r="M4389" t="s">
        <v>10513</v>
      </c>
      <c r="N4389" t="s">
        <v>10650</v>
      </c>
      <c r="P4389" t="s">
        <v>10749</v>
      </c>
      <c r="Q4389" t="s">
        <v>10765</v>
      </c>
      <c r="R4389" t="s">
        <v>10821</v>
      </c>
      <c r="T4389">
        <v>18200</v>
      </c>
      <c r="U4389">
        <v>1516.67</v>
      </c>
      <c r="V4389">
        <v>54</v>
      </c>
      <c r="W4389">
        <v>2</v>
      </c>
      <c r="X4389">
        <v>2</v>
      </c>
      <c r="Z4389">
        <v>70.68000000000001</v>
      </c>
      <c r="AA4389">
        <v>40.836598</v>
      </c>
      <c r="AB4389">
        <v>-73.866854</v>
      </c>
      <c r="AD4389" t="s">
        <v>10839</v>
      </c>
      <c r="AG4389" t="s">
        <v>10858</v>
      </c>
      <c r="AH4389" t="s">
        <v>10862</v>
      </c>
      <c r="AI4389">
        <v>230</v>
      </c>
      <c r="AJ4389" t="s">
        <v>10210</v>
      </c>
      <c r="AL4389">
        <v>22.2</v>
      </c>
      <c r="AM4389" t="s">
        <v>10884</v>
      </c>
      <c r="AN4389" t="s">
        <v>10908</v>
      </c>
      <c r="AO4389" t="s">
        <v>11001</v>
      </c>
      <c r="AP4389" t="s">
        <v>11046</v>
      </c>
      <c r="AR4389" t="s">
        <v>11257</v>
      </c>
      <c r="AS4389" t="s">
        <v>9926</v>
      </c>
      <c r="AT4389" t="s">
        <v>11641</v>
      </c>
      <c r="AX4389" t="s">
        <v>10838</v>
      </c>
      <c r="BA4389" t="s">
        <v>11738</v>
      </c>
      <c r="BB4389">
        <v>0</v>
      </c>
      <c r="BC4389">
        <v>0</v>
      </c>
      <c r="BD4389">
        <v>0</v>
      </c>
      <c r="BE4389">
        <v>0</v>
      </c>
      <c r="BF4389">
        <v>5</v>
      </c>
      <c r="BG4389">
        <v>0</v>
      </c>
    </row>
    <row r="4390" spans="1:59">
      <c r="A4390" s="1">
        <f>HYPERLINK("https://lsnyc.legalserver.org/matter/dynamic-profile/view/1908560","19-1908560")</f>
        <v>0</v>
      </c>
      <c r="B4390" t="s">
        <v>3576</v>
      </c>
      <c r="C4390" t="s">
        <v>8377</v>
      </c>
      <c r="D4390" t="s">
        <v>9928</v>
      </c>
      <c r="E4390" t="s">
        <v>10075</v>
      </c>
      <c r="F4390">
        <v>11221</v>
      </c>
      <c r="G4390" t="s">
        <v>10093</v>
      </c>
      <c r="H4390" t="s">
        <v>10098</v>
      </c>
      <c r="I4390" t="s">
        <v>10168</v>
      </c>
      <c r="J4390" t="s">
        <v>10213</v>
      </c>
      <c r="K4390" t="s">
        <v>10217</v>
      </c>
      <c r="M4390" t="s">
        <v>10290</v>
      </c>
      <c r="N4390" t="s">
        <v>10665</v>
      </c>
      <c r="P4390" t="s">
        <v>10751</v>
      </c>
      <c r="Q4390" t="s">
        <v>10773</v>
      </c>
      <c r="R4390" t="s">
        <v>10823</v>
      </c>
      <c r="T4390">
        <v>0</v>
      </c>
      <c r="U4390">
        <v>0</v>
      </c>
      <c r="V4390">
        <v>32</v>
      </c>
      <c r="W4390">
        <v>1</v>
      </c>
      <c r="X4390">
        <v>0</v>
      </c>
      <c r="Z4390">
        <v>0</v>
      </c>
      <c r="AA4390">
        <v>40.686883</v>
      </c>
      <c r="AB4390">
        <v>-73.94358200000001</v>
      </c>
      <c r="AD4390" t="s">
        <v>10839</v>
      </c>
      <c r="AG4390" t="s">
        <v>10858</v>
      </c>
      <c r="AH4390" t="s">
        <v>10861</v>
      </c>
      <c r="AI4390">
        <v>234</v>
      </c>
      <c r="AJ4390" t="s">
        <v>10214</v>
      </c>
      <c r="AL4390">
        <v>0.8</v>
      </c>
      <c r="AM4390" t="s">
        <v>10889</v>
      </c>
      <c r="AN4390" t="s">
        <v>10914</v>
      </c>
      <c r="AO4390" t="s">
        <v>11007</v>
      </c>
      <c r="AP4390" t="s">
        <v>11052</v>
      </c>
      <c r="AR4390" t="s">
        <v>11267</v>
      </c>
      <c r="AS4390" t="s">
        <v>11595</v>
      </c>
      <c r="AT4390" t="s">
        <v>11641</v>
      </c>
      <c r="AX4390" t="s">
        <v>10838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</row>
    <row r="4391" spans="1:59">
      <c r="A4391" s="1">
        <f>HYPERLINK("https://lsnyc.legalserver.org/matter/dynamic-profile/view/1908561","19-1908561")</f>
        <v>0</v>
      </c>
      <c r="B4391" t="s">
        <v>3572</v>
      </c>
      <c r="C4391" t="s">
        <v>8373</v>
      </c>
      <c r="D4391" t="s">
        <v>9926</v>
      </c>
      <c r="E4391" t="s">
        <v>10075</v>
      </c>
      <c r="F4391">
        <v>10468</v>
      </c>
      <c r="G4391" t="s">
        <v>10090</v>
      </c>
      <c r="H4391" t="s">
        <v>10098</v>
      </c>
      <c r="I4391" t="s">
        <v>10169</v>
      </c>
      <c r="J4391" t="s">
        <v>10210</v>
      </c>
      <c r="K4391" t="s">
        <v>10217</v>
      </c>
      <c r="M4391" t="s">
        <v>10287</v>
      </c>
      <c r="N4391" t="s">
        <v>10671</v>
      </c>
      <c r="P4391" t="s">
        <v>10751</v>
      </c>
      <c r="Q4391" t="s">
        <v>10761</v>
      </c>
      <c r="R4391" t="s">
        <v>10821</v>
      </c>
      <c r="T4391">
        <v>20800</v>
      </c>
      <c r="U4391">
        <v>1733.33</v>
      </c>
      <c r="V4391">
        <v>57</v>
      </c>
      <c r="W4391">
        <v>2</v>
      </c>
      <c r="X4391">
        <v>2</v>
      </c>
      <c r="Z4391">
        <v>80.78</v>
      </c>
      <c r="AA4391">
        <v>40.859375</v>
      </c>
      <c r="AB4391">
        <v>-73.89935699999999</v>
      </c>
      <c r="AD4391" t="s">
        <v>10840</v>
      </c>
      <c r="AF4391" t="s">
        <v>10843</v>
      </c>
      <c r="AG4391" t="s">
        <v>10859</v>
      </c>
      <c r="AH4391" t="s">
        <v>10862</v>
      </c>
      <c r="AI4391">
        <v>230</v>
      </c>
      <c r="AJ4391" t="s">
        <v>10210</v>
      </c>
      <c r="AL4391">
        <v>0.5</v>
      </c>
      <c r="AM4391" t="s">
        <v>10884</v>
      </c>
      <c r="AN4391" t="s">
        <v>10931</v>
      </c>
      <c r="AO4391" t="s">
        <v>11000</v>
      </c>
      <c r="AP4391" t="s">
        <v>11045</v>
      </c>
      <c r="AR4391" t="s">
        <v>11257</v>
      </c>
      <c r="AS4391" t="s">
        <v>9926</v>
      </c>
      <c r="AT4391" t="s">
        <v>11642</v>
      </c>
      <c r="AX4391" t="s">
        <v>10838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</row>
    <row r="4392" spans="1:59">
      <c r="A4392" s="1">
        <f>HYPERLINK("https://lsnyc.legalserver.org/matter/dynamic-profile/view/1908562","19-1908562")</f>
        <v>0</v>
      </c>
      <c r="B4392" t="s">
        <v>3577</v>
      </c>
      <c r="C4392" t="s">
        <v>8378</v>
      </c>
      <c r="D4392" t="s">
        <v>9936</v>
      </c>
      <c r="E4392" t="s">
        <v>10075</v>
      </c>
      <c r="F4392">
        <v>11106</v>
      </c>
      <c r="G4392" t="s">
        <v>10092</v>
      </c>
      <c r="H4392" t="s">
        <v>10098</v>
      </c>
      <c r="I4392" t="s">
        <v>10168</v>
      </c>
      <c r="J4392" t="s">
        <v>10212</v>
      </c>
      <c r="K4392" t="s">
        <v>10217</v>
      </c>
      <c r="M4392" t="s">
        <v>10311</v>
      </c>
      <c r="N4392" t="s">
        <v>10684</v>
      </c>
      <c r="P4392" t="s">
        <v>10751</v>
      </c>
      <c r="Q4392" t="s">
        <v>10786</v>
      </c>
      <c r="R4392" t="s">
        <v>10827</v>
      </c>
      <c r="T4392">
        <v>934</v>
      </c>
      <c r="U4392">
        <v>77.83</v>
      </c>
      <c r="V4392">
        <v>62</v>
      </c>
      <c r="W4392">
        <v>1</v>
      </c>
      <c r="X4392">
        <v>0</v>
      </c>
      <c r="Z4392">
        <v>7.48</v>
      </c>
      <c r="AA4392">
        <v>40.767857</v>
      </c>
      <c r="AB4392">
        <v>-73.93396</v>
      </c>
      <c r="AD4392" t="s">
        <v>10840</v>
      </c>
      <c r="AG4392" t="s">
        <v>10858</v>
      </c>
      <c r="AH4392" t="s">
        <v>10873</v>
      </c>
      <c r="AI4392">
        <v>237</v>
      </c>
      <c r="AJ4392" t="s">
        <v>10212</v>
      </c>
      <c r="AL4392">
        <v>1.75</v>
      </c>
      <c r="AM4392" t="s">
        <v>10891</v>
      </c>
      <c r="AN4392" t="s">
        <v>10954</v>
      </c>
      <c r="AO4392" t="s">
        <v>11003</v>
      </c>
      <c r="AP4392" t="s">
        <v>11084</v>
      </c>
      <c r="AR4392" t="s">
        <v>11296</v>
      </c>
      <c r="AS4392" t="s">
        <v>11594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</row>
    <row r="4393" spans="1:59">
      <c r="A4393" s="1">
        <f>HYPERLINK("https://lsnyc.legalserver.org/matter/dynamic-profile/view/1908563","19-1908563")</f>
        <v>0</v>
      </c>
      <c r="B4393" t="s">
        <v>3578</v>
      </c>
      <c r="C4393" t="s">
        <v>8379</v>
      </c>
      <c r="D4393" t="s">
        <v>9928</v>
      </c>
      <c r="E4393" t="s">
        <v>10075</v>
      </c>
      <c r="F4393">
        <v>11237</v>
      </c>
      <c r="G4393" t="s">
        <v>10093</v>
      </c>
      <c r="H4393" t="s">
        <v>10098</v>
      </c>
      <c r="I4393" t="s">
        <v>10168</v>
      </c>
      <c r="J4393" t="s">
        <v>10213</v>
      </c>
      <c r="K4393" t="s">
        <v>10217</v>
      </c>
      <c r="M4393" t="s">
        <v>10280</v>
      </c>
      <c r="N4393" t="s">
        <v>10656</v>
      </c>
      <c r="P4393" t="s">
        <v>10751</v>
      </c>
      <c r="Q4393" t="s">
        <v>10768</v>
      </c>
      <c r="R4393" t="s">
        <v>10821</v>
      </c>
      <c r="T4393">
        <v>0</v>
      </c>
      <c r="U4393">
        <v>0</v>
      </c>
      <c r="V4393">
        <v>36</v>
      </c>
      <c r="W4393">
        <v>1</v>
      </c>
      <c r="X4393">
        <v>0</v>
      </c>
      <c r="Z4393">
        <v>0</v>
      </c>
      <c r="AA4393">
        <v>40.702278</v>
      </c>
      <c r="AB4393">
        <v>-73.91448099999999</v>
      </c>
      <c r="AD4393" t="s">
        <v>10840</v>
      </c>
      <c r="AG4393" t="s">
        <v>10858</v>
      </c>
      <c r="AH4393" t="s">
        <v>10871</v>
      </c>
      <c r="AI4393">
        <v>234</v>
      </c>
      <c r="AJ4393" t="s">
        <v>10214</v>
      </c>
      <c r="AL4393">
        <v>3.3</v>
      </c>
      <c r="AM4393" t="s">
        <v>10886</v>
      </c>
      <c r="AN4393" t="s">
        <v>10942</v>
      </c>
      <c r="AO4393" t="s">
        <v>11011</v>
      </c>
      <c r="AP4393" t="s">
        <v>11058</v>
      </c>
      <c r="AR4393" t="s">
        <v>11267</v>
      </c>
      <c r="AS4393" t="s">
        <v>11595</v>
      </c>
      <c r="AT4393" t="s">
        <v>11642</v>
      </c>
      <c r="AX4393" t="s">
        <v>10838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</row>
    <row r="4394" spans="1:59">
      <c r="A4394" s="1">
        <f>HYPERLINK("https://lsnyc.legalserver.org/matter/dynamic-profile/view/1908564","19-1908564")</f>
        <v>0</v>
      </c>
      <c r="B4394" t="s">
        <v>3579</v>
      </c>
      <c r="C4394" t="s">
        <v>8380</v>
      </c>
      <c r="D4394" t="s">
        <v>9929</v>
      </c>
      <c r="E4394" t="s">
        <v>10075</v>
      </c>
      <c r="F4394">
        <v>10305</v>
      </c>
      <c r="G4394" t="s">
        <v>10093</v>
      </c>
      <c r="H4394" t="s">
        <v>10098</v>
      </c>
      <c r="I4394" t="s">
        <v>10168</v>
      </c>
      <c r="J4394" t="s">
        <v>10213</v>
      </c>
      <c r="K4394" t="s">
        <v>10217</v>
      </c>
      <c r="M4394" t="s">
        <v>10289</v>
      </c>
      <c r="N4394" t="s">
        <v>10644</v>
      </c>
      <c r="P4394" t="s">
        <v>10751</v>
      </c>
      <c r="Q4394" t="s">
        <v>10761</v>
      </c>
      <c r="R4394" t="s">
        <v>10820</v>
      </c>
      <c r="T4394">
        <v>8400</v>
      </c>
      <c r="U4394">
        <v>700</v>
      </c>
      <c r="V4394">
        <v>74</v>
      </c>
      <c r="W4394">
        <v>1</v>
      </c>
      <c r="X4394">
        <v>0</v>
      </c>
      <c r="Z4394">
        <v>67.25</v>
      </c>
      <c r="AA4394">
        <v>40.601452</v>
      </c>
      <c r="AB4394">
        <v>-74.08143800000001</v>
      </c>
      <c r="AD4394" t="s">
        <v>10839</v>
      </c>
      <c r="AG4394" t="s">
        <v>10858</v>
      </c>
      <c r="AH4394" t="s">
        <v>10861</v>
      </c>
      <c r="AI4394">
        <v>234</v>
      </c>
      <c r="AJ4394" t="s">
        <v>10214</v>
      </c>
      <c r="AL4394">
        <v>8.699999999999999</v>
      </c>
      <c r="AM4394" t="s">
        <v>10883</v>
      </c>
      <c r="AN4394" t="s">
        <v>10915</v>
      </c>
      <c r="AO4394" t="s">
        <v>10999</v>
      </c>
      <c r="AP4394" t="s">
        <v>11063</v>
      </c>
      <c r="AR4394" t="s">
        <v>11268</v>
      </c>
      <c r="AS4394" t="s">
        <v>11593</v>
      </c>
      <c r="AT4394" t="s">
        <v>11641</v>
      </c>
      <c r="AX4394" t="s">
        <v>10838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</row>
    <row r="4395" spans="1:59">
      <c r="A4395" s="1">
        <f>HYPERLINK("https://lsnyc.legalserver.org/matter/dynamic-profile/view/1908565","19-1908565")</f>
        <v>0</v>
      </c>
      <c r="B4395" t="s">
        <v>3580</v>
      </c>
      <c r="C4395" t="s">
        <v>8381</v>
      </c>
      <c r="D4395" t="s">
        <v>9925</v>
      </c>
      <c r="E4395" t="s">
        <v>10075</v>
      </c>
      <c r="F4395">
        <v>10031</v>
      </c>
      <c r="G4395" t="s">
        <v>10089</v>
      </c>
      <c r="H4395" t="s">
        <v>10098</v>
      </c>
      <c r="I4395" t="s">
        <v>10168</v>
      </c>
      <c r="J4395" t="s">
        <v>10209</v>
      </c>
      <c r="K4395" t="s">
        <v>10217</v>
      </c>
      <c r="M4395" t="s">
        <v>10301</v>
      </c>
      <c r="N4395" t="s">
        <v>10665</v>
      </c>
      <c r="P4395" t="s">
        <v>10751</v>
      </c>
      <c r="Q4395" t="s">
        <v>10773</v>
      </c>
      <c r="R4395" t="s">
        <v>10825</v>
      </c>
      <c r="T4395">
        <v>0</v>
      </c>
      <c r="U4395">
        <v>0</v>
      </c>
      <c r="V4395">
        <v>39</v>
      </c>
      <c r="W4395">
        <v>2</v>
      </c>
      <c r="X4395">
        <v>0</v>
      </c>
      <c r="Z4395">
        <v>0</v>
      </c>
      <c r="AA4395">
        <v>40.819802</v>
      </c>
      <c r="AB4395">
        <v>-73.952905</v>
      </c>
      <c r="AD4395" t="s">
        <v>10839</v>
      </c>
      <c r="AG4395" t="s">
        <v>10858</v>
      </c>
      <c r="AH4395" t="s">
        <v>10861</v>
      </c>
      <c r="AI4395">
        <v>234</v>
      </c>
      <c r="AJ4395" t="s">
        <v>10214</v>
      </c>
      <c r="AL4395">
        <v>5.95</v>
      </c>
      <c r="AM4395" t="s">
        <v>10887</v>
      </c>
      <c r="AN4395" t="s">
        <v>10936</v>
      </c>
      <c r="AO4395" t="s">
        <v>11019</v>
      </c>
      <c r="AP4395" t="s">
        <v>11073</v>
      </c>
      <c r="AQ4395" t="s">
        <v>11115</v>
      </c>
      <c r="AR4395" t="s">
        <v>11279</v>
      </c>
      <c r="AS4395" t="s">
        <v>9925</v>
      </c>
      <c r="AT4395" t="s">
        <v>11641</v>
      </c>
      <c r="AX4395" t="s">
        <v>10838</v>
      </c>
      <c r="BA4395" t="s">
        <v>11741</v>
      </c>
      <c r="BB4395">
        <v>0</v>
      </c>
      <c r="BC4395">
        <v>0</v>
      </c>
      <c r="BD4395">
        <v>0</v>
      </c>
      <c r="BE4395">
        <v>0</v>
      </c>
      <c r="BF4395">
        <v>1</v>
      </c>
      <c r="BG4395">
        <v>0</v>
      </c>
    </row>
    <row r="4396" spans="1:59">
      <c r="A4396" s="1">
        <f>HYPERLINK("https://lsnyc.legalserver.org/matter/dynamic-profile/view/1908567","19-1908567")</f>
        <v>0</v>
      </c>
      <c r="B4396" t="s">
        <v>2973</v>
      </c>
      <c r="C4396" t="s">
        <v>8382</v>
      </c>
      <c r="D4396" t="s">
        <v>9926</v>
      </c>
      <c r="E4396" t="s">
        <v>10075</v>
      </c>
      <c r="F4396">
        <v>10453</v>
      </c>
      <c r="G4396" t="s">
        <v>10091</v>
      </c>
      <c r="H4396" t="s">
        <v>10098</v>
      </c>
      <c r="I4396" t="s">
        <v>10169</v>
      </c>
      <c r="J4396" t="s">
        <v>10211</v>
      </c>
      <c r="K4396" t="s">
        <v>10217</v>
      </c>
      <c r="M4396" t="s">
        <v>10231</v>
      </c>
      <c r="N4396" t="s">
        <v>10647</v>
      </c>
      <c r="P4396" t="s">
        <v>10752</v>
      </c>
      <c r="Q4396" t="s">
        <v>10762</v>
      </c>
      <c r="R4396" t="s">
        <v>10821</v>
      </c>
      <c r="T4396">
        <v>24102</v>
      </c>
      <c r="U4396">
        <v>2008.5</v>
      </c>
      <c r="V4396">
        <v>32</v>
      </c>
      <c r="W4396">
        <v>1</v>
      </c>
      <c r="X4396">
        <v>0</v>
      </c>
      <c r="Z4396">
        <v>192.97</v>
      </c>
      <c r="AA4396">
        <v>40.846651</v>
      </c>
      <c r="AB4396">
        <v>-73.91102600000001</v>
      </c>
      <c r="AD4396" t="s">
        <v>10840</v>
      </c>
      <c r="AF4396" t="s">
        <v>10843</v>
      </c>
      <c r="AG4396" t="s">
        <v>10859</v>
      </c>
      <c r="AH4396" t="s">
        <v>10861</v>
      </c>
      <c r="AI4396">
        <v>234</v>
      </c>
      <c r="AJ4396" t="s">
        <v>10214</v>
      </c>
      <c r="AL4396">
        <v>0.8</v>
      </c>
      <c r="AM4396" t="s">
        <v>10884</v>
      </c>
      <c r="AN4396" t="s">
        <v>10929</v>
      </c>
      <c r="AO4396" t="s">
        <v>11000</v>
      </c>
      <c r="AP4396" t="s">
        <v>11045</v>
      </c>
      <c r="AR4396" t="s">
        <v>11257</v>
      </c>
      <c r="AS4396" t="s">
        <v>9926</v>
      </c>
      <c r="AT4396" t="s">
        <v>11642</v>
      </c>
      <c r="AX4396" t="s">
        <v>10838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</row>
    <row r="4397" spans="1:59">
      <c r="A4397" s="1">
        <f>HYPERLINK("https://lsnyc.legalserver.org/matter/dynamic-profile/view/1908568","19-1908568")</f>
        <v>0</v>
      </c>
      <c r="B4397" t="s">
        <v>3581</v>
      </c>
      <c r="C4397" t="s">
        <v>5580</v>
      </c>
      <c r="D4397" t="s">
        <v>9926</v>
      </c>
      <c r="E4397" t="s">
        <v>10075</v>
      </c>
      <c r="F4397">
        <v>10468</v>
      </c>
      <c r="G4397" t="s">
        <v>10090</v>
      </c>
      <c r="H4397" t="s">
        <v>10098</v>
      </c>
      <c r="I4397" t="s">
        <v>10168</v>
      </c>
      <c r="J4397" t="s">
        <v>10210</v>
      </c>
      <c r="K4397" t="s">
        <v>10217</v>
      </c>
      <c r="M4397" t="s">
        <v>10558</v>
      </c>
      <c r="N4397" t="s">
        <v>10683</v>
      </c>
      <c r="P4397" t="s">
        <v>10754</v>
      </c>
      <c r="Q4397" t="s">
        <v>10775</v>
      </c>
      <c r="R4397" t="s">
        <v>10822</v>
      </c>
      <c r="T4397">
        <v>25320</v>
      </c>
      <c r="U4397">
        <v>2110</v>
      </c>
      <c r="V4397">
        <v>81</v>
      </c>
      <c r="W4397">
        <v>1</v>
      </c>
      <c r="X4397">
        <v>0</v>
      </c>
      <c r="Z4397">
        <v>202.72</v>
      </c>
      <c r="AA4397">
        <v>40.863303</v>
      </c>
      <c r="AB4397">
        <v>-73.89845800000001</v>
      </c>
      <c r="AD4397" t="s">
        <v>10840</v>
      </c>
      <c r="AG4397" t="s">
        <v>10858</v>
      </c>
      <c r="AH4397" t="s">
        <v>10865</v>
      </c>
      <c r="AI4397">
        <v>230</v>
      </c>
      <c r="AJ4397" t="s">
        <v>10210</v>
      </c>
      <c r="AL4397">
        <v>4.25</v>
      </c>
      <c r="AM4397" t="s">
        <v>10887</v>
      </c>
      <c r="AN4397" t="s">
        <v>10907</v>
      </c>
      <c r="AO4397" t="s">
        <v>11000</v>
      </c>
      <c r="AP4397" t="s">
        <v>11045</v>
      </c>
      <c r="AR4397" t="s">
        <v>11264</v>
      </c>
      <c r="AS4397" t="s">
        <v>9926</v>
      </c>
      <c r="AT4397" t="s">
        <v>11642</v>
      </c>
      <c r="AV4397" t="s">
        <v>11655</v>
      </c>
      <c r="AW4397" t="s">
        <v>11666</v>
      </c>
      <c r="AX4397" t="s">
        <v>10838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</row>
    <row r="4398" spans="1:59">
      <c r="A4398" s="1">
        <f>HYPERLINK("https://lsnyc.legalserver.org/matter/dynamic-profile/view/1908569","19-1908569")</f>
        <v>0</v>
      </c>
      <c r="B4398" t="s">
        <v>3582</v>
      </c>
      <c r="C4398" t="s">
        <v>8383</v>
      </c>
      <c r="D4398" t="s">
        <v>9925</v>
      </c>
      <c r="E4398" t="s">
        <v>10075</v>
      </c>
      <c r="F4398">
        <v>10032</v>
      </c>
      <c r="G4398" t="s">
        <v>10089</v>
      </c>
      <c r="H4398" t="s">
        <v>10098</v>
      </c>
      <c r="I4398" t="s">
        <v>10168</v>
      </c>
      <c r="J4398" t="s">
        <v>10209</v>
      </c>
      <c r="K4398" t="s">
        <v>10217</v>
      </c>
      <c r="M4398" t="s">
        <v>10483</v>
      </c>
      <c r="N4398" t="s">
        <v>10650</v>
      </c>
      <c r="P4398" t="s">
        <v>10749</v>
      </c>
      <c r="Q4398" t="s">
        <v>10765</v>
      </c>
      <c r="R4398" t="s">
        <v>10821</v>
      </c>
      <c r="T4398">
        <v>12624</v>
      </c>
      <c r="U4398">
        <v>1052</v>
      </c>
      <c r="V4398">
        <v>68</v>
      </c>
      <c r="W4398">
        <v>1</v>
      </c>
      <c r="X4398">
        <v>0</v>
      </c>
      <c r="Z4398">
        <v>101.07</v>
      </c>
      <c r="AA4398">
        <v>40.834716</v>
      </c>
      <c r="AB4398">
        <v>-73.94815199999999</v>
      </c>
      <c r="AD4398" t="s">
        <v>10839</v>
      </c>
      <c r="AG4398" t="s">
        <v>10858</v>
      </c>
      <c r="AH4398" t="s">
        <v>10862</v>
      </c>
      <c r="AI4398">
        <v>236</v>
      </c>
      <c r="AJ4398" t="s">
        <v>10209</v>
      </c>
      <c r="AL4398">
        <v>2.2</v>
      </c>
      <c r="AM4398" t="s">
        <v>10887</v>
      </c>
      <c r="AN4398" t="s">
        <v>10943</v>
      </c>
      <c r="AO4398" t="s">
        <v>11019</v>
      </c>
      <c r="AP4398" t="s">
        <v>11073</v>
      </c>
      <c r="AR4398" t="s">
        <v>11268</v>
      </c>
      <c r="AS4398" t="s">
        <v>9925</v>
      </c>
      <c r="BA4398" t="s">
        <v>11741</v>
      </c>
      <c r="BB4398">
        <v>0</v>
      </c>
      <c r="BC4398">
        <v>0</v>
      </c>
      <c r="BD4398">
        <v>0</v>
      </c>
      <c r="BE4398">
        <v>0</v>
      </c>
      <c r="BF4398">
        <v>1</v>
      </c>
      <c r="BG4398">
        <v>0</v>
      </c>
    </row>
    <row r="4399" spans="1:59">
      <c r="A4399" s="1">
        <f>HYPERLINK("https://lsnyc.legalserver.org/matter/dynamic-profile/view/1908570","19-1908570")</f>
        <v>0</v>
      </c>
      <c r="B4399" t="s">
        <v>3583</v>
      </c>
      <c r="C4399" t="s">
        <v>8384</v>
      </c>
      <c r="D4399" t="s">
        <v>9926</v>
      </c>
      <c r="E4399" t="s">
        <v>10075</v>
      </c>
      <c r="F4399">
        <v>10458</v>
      </c>
      <c r="G4399" t="s">
        <v>10090</v>
      </c>
      <c r="H4399" t="s">
        <v>10098</v>
      </c>
      <c r="I4399" t="s">
        <v>10168</v>
      </c>
      <c r="J4399" t="s">
        <v>10210</v>
      </c>
      <c r="K4399" t="s">
        <v>10217</v>
      </c>
      <c r="M4399" t="s">
        <v>10287</v>
      </c>
      <c r="N4399" t="s">
        <v>10671</v>
      </c>
      <c r="P4399" t="s">
        <v>10751</v>
      </c>
      <c r="Q4399" t="s">
        <v>10796</v>
      </c>
      <c r="R4399" t="s">
        <v>10821</v>
      </c>
      <c r="T4399">
        <v>13430.04</v>
      </c>
      <c r="U4399">
        <v>1119.17</v>
      </c>
      <c r="V4399">
        <v>27</v>
      </c>
      <c r="W4399">
        <v>1</v>
      </c>
      <c r="X4399">
        <v>4</v>
      </c>
      <c r="Z4399">
        <v>44.51</v>
      </c>
      <c r="AA4399">
        <v>40.864008</v>
      </c>
      <c r="AB4399">
        <v>-73.88929400000001</v>
      </c>
      <c r="AD4399" t="s">
        <v>10839</v>
      </c>
      <c r="AG4399" t="s">
        <v>10858</v>
      </c>
      <c r="AH4399" t="s">
        <v>10862</v>
      </c>
      <c r="AI4399">
        <v>230</v>
      </c>
      <c r="AJ4399" t="s">
        <v>10210</v>
      </c>
      <c r="AL4399">
        <v>3</v>
      </c>
      <c r="AM4399" t="s">
        <v>10887</v>
      </c>
      <c r="AN4399" t="s">
        <v>10907</v>
      </c>
      <c r="AO4399" t="s">
        <v>11000</v>
      </c>
      <c r="AP4399" t="s">
        <v>11056</v>
      </c>
      <c r="AR4399" t="s">
        <v>11255</v>
      </c>
      <c r="AS4399" t="s">
        <v>9926</v>
      </c>
      <c r="BA4399" t="s">
        <v>11737</v>
      </c>
      <c r="BB4399">
        <v>0</v>
      </c>
      <c r="BC4399">
        <v>0</v>
      </c>
      <c r="BD4399">
        <v>0</v>
      </c>
      <c r="BE4399">
        <v>0</v>
      </c>
      <c r="BF4399">
        <v>3</v>
      </c>
      <c r="BG4399">
        <v>0</v>
      </c>
    </row>
    <row r="4400" spans="1:59">
      <c r="A4400" s="1">
        <f>HYPERLINK("https://lsnyc.legalserver.org/matter/dynamic-profile/view/1908571","19-1908571")</f>
        <v>0</v>
      </c>
      <c r="B4400" t="s">
        <v>1265</v>
      </c>
      <c r="C4400" t="s">
        <v>8385</v>
      </c>
      <c r="D4400" t="s">
        <v>9928</v>
      </c>
      <c r="E4400" t="s">
        <v>10075</v>
      </c>
      <c r="F4400">
        <v>11208</v>
      </c>
      <c r="G4400" t="s">
        <v>10093</v>
      </c>
      <c r="H4400" t="s">
        <v>10098</v>
      </c>
      <c r="I4400" t="s">
        <v>10168</v>
      </c>
      <c r="J4400" t="s">
        <v>10213</v>
      </c>
      <c r="K4400" t="s">
        <v>10217</v>
      </c>
      <c r="M4400" t="s">
        <v>10345</v>
      </c>
      <c r="N4400" t="s">
        <v>10650</v>
      </c>
      <c r="P4400" t="s">
        <v>10749</v>
      </c>
      <c r="Q4400" t="s">
        <v>10765</v>
      </c>
      <c r="R4400" t="s">
        <v>10821</v>
      </c>
      <c r="T4400">
        <v>17680</v>
      </c>
      <c r="U4400">
        <v>1473.33</v>
      </c>
      <c r="V4400">
        <v>35</v>
      </c>
      <c r="W4400">
        <v>1</v>
      </c>
      <c r="X4400">
        <v>3</v>
      </c>
      <c r="Z4400">
        <v>68.66</v>
      </c>
      <c r="AA4400">
        <v>40.6713</v>
      </c>
      <c r="AB4400">
        <v>-73.876019</v>
      </c>
      <c r="AD4400" t="s">
        <v>10839</v>
      </c>
      <c r="AG4400" t="s">
        <v>10858</v>
      </c>
      <c r="AH4400" t="s">
        <v>10862</v>
      </c>
      <c r="AI4400">
        <v>239</v>
      </c>
      <c r="AJ4400" t="s">
        <v>10213</v>
      </c>
      <c r="AL4400">
        <v>1.25</v>
      </c>
      <c r="AM4400" t="s">
        <v>10889</v>
      </c>
      <c r="AN4400" t="s">
        <v>10946</v>
      </c>
      <c r="AO4400" t="s">
        <v>11012</v>
      </c>
      <c r="AP4400" t="s">
        <v>11060</v>
      </c>
      <c r="AQ4400" t="s">
        <v>11101</v>
      </c>
      <c r="AR4400" t="s">
        <v>11262</v>
      </c>
      <c r="AS4400" t="s">
        <v>11595</v>
      </c>
      <c r="AT4400" t="s">
        <v>11641</v>
      </c>
      <c r="BA4400" t="s">
        <v>11741</v>
      </c>
      <c r="BB4400">
        <v>0</v>
      </c>
      <c r="BC4400">
        <v>0</v>
      </c>
      <c r="BD4400">
        <v>0</v>
      </c>
      <c r="BE4400">
        <v>0</v>
      </c>
      <c r="BF4400">
        <v>1</v>
      </c>
      <c r="BG4400">
        <v>0</v>
      </c>
    </row>
    <row r="4401" spans="1:59">
      <c r="A4401" s="1">
        <f>HYPERLINK("https://lsnyc.legalserver.org/matter/dynamic-profile/view/1908572","19-1908572")</f>
        <v>0</v>
      </c>
      <c r="B4401" t="s">
        <v>3584</v>
      </c>
      <c r="C4401" t="s">
        <v>8386</v>
      </c>
      <c r="D4401" t="s">
        <v>9928</v>
      </c>
      <c r="E4401" t="s">
        <v>10075</v>
      </c>
      <c r="F4401">
        <v>11218</v>
      </c>
      <c r="G4401" t="s">
        <v>10093</v>
      </c>
      <c r="H4401" t="s">
        <v>10098</v>
      </c>
      <c r="I4401" t="s">
        <v>10168</v>
      </c>
      <c r="J4401" t="s">
        <v>10213</v>
      </c>
      <c r="K4401" t="s">
        <v>10217</v>
      </c>
      <c r="M4401" t="s">
        <v>10583</v>
      </c>
      <c r="N4401" t="s">
        <v>10671</v>
      </c>
      <c r="P4401" t="s">
        <v>10749</v>
      </c>
      <c r="Q4401" t="s">
        <v>10765</v>
      </c>
      <c r="R4401" t="s">
        <v>10824</v>
      </c>
      <c r="T4401">
        <v>7668</v>
      </c>
      <c r="U4401">
        <v>639</v>
      </c>
      <c r="V4401">
        <v>66</v>
      </c>
      <c r="W4401">
        <v>2</v>
      </c>
      <c r="X4401">
        <v>0</v>
      </c>
      <c r="Z4401">
        <v>45.35</v>
      </c>
      <c r="AA4401">
        <v>40.641861</v>
      </c>
      <c r="AB4401">
        <v>-73.97898600000001</v>
      </c>
      <c r="AD4401" t="s">
        <v>10839</v>
      </c>
      <c r="AG4401" t="s">
        <v>10858</v>
      </c>
      <c r="AH4401" t="s">
        <v>10862</v>
      </c>
      <c r="AI4401">
        <v>234</v>
      </c>
      <c r="AJ4401" t="s">
        <v>10214</v>
      </c>
      <c r="AL4401">
        <v>0.6</v>
      </c>
      <c r="AM4401" t="s">
        <v>10894</v>
      </c>
      <c r="AN4401" t="s">
        <v>10941</v>
      </c>
      <c r="AO4401" t="s">
        <v>11008</v>
      </c>
      <c r="AP4401" t="s">
        <v>11059</v>
      </c>
      <c r="AR4401" t="s">
        <v>11274</v>
      </c>
      <c r="AS4401" t="s">
        <v>11595</v>
      </c>
      <c r="AT4401" t="s">
        <v>11641</v>
      </c>
      <c r="AX4401" t="s">
        <v>10838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</row>
    <row r="4402" spans="1:59">
      <c r="A4402" s="1">
        <f>HYPERLINK("https://lsnyc.legalserver.org/matter/dynamic-profile/view/1908573","19-1908573")</f>
        <v>0</v>
      </c>
      <c r="B4402" t="s">
        <v>430</v>
      </c>
      <c r="C4402" t="s">
        <v>8387</v>
      </c>
      <c r="D4402" t="s">
        <v>9926</v>
      </c>
      <c r="E4402" t="s">
        <v>10075</v>
      </c>
      <c r="F4402">
        <v>10461</v>
      </c>
      <c r="G4402" t="s">
        <v>10090</v>
      </c>
      <c r="H4402" t="s">
        <v>10098</v>
      </c>
      <c r="I4402" t="s">
        <v>10169</v>
      </c>
      <c r="J4402" t="s">
        <v>10210</v>
      </c>
      <c r="K4402" t="s">
        <v>10217</v>
      </c>
      <c r="M4402" t="s">
        <v>10596</v>
      </c>
      <c r="N4402" t="s">
        <v>10688</v>
      </c>
      <c r="P4402" t="s">
        <v>10751</v>
      </c>
      <c r="Q4402" t="s">
        <v>10786</v>
      </c>
      <c r="R4402" t="s">
        <v>10821</v>
      </c>
      <c r="T4402">
        <v>0</v>
      </c>
      <c r="U4402">
        <v>0</v>
      </c>
      <c r="V4402">
        <v>42</v>
      </c>
      <c r="W4402">
        <v>1</v>
      </c>
      <c r="X4402">
        <v>2</v>
      </c>
      <c r="Z4402">
        <v>0</v>
      </c>
      <c r="AA4402">
        <v>40.847972</v>
      </c>
      <c r="AB4402">
        <v>-73.83486499999999</v>
      </c>
      <c r="AD4402" t="s">
        <v>10839</v>
      </c>
      <c r="AF4402" t="s">
        <v>10843</v>
      </c>
      <c r="AG4402" t="s">
        <v>10859</v>
      </c>
      <c r="AH4402" t="s">
        <v>10861</v>
      </c>
      <c r="AI4402">
        <v>234</v>
      </c>
      <c r="AJ4402" t="s">
        <v>10214</v>
      </c>
      <c r="AL4402">
        <v>2.8</v>
      </c>
      <c r="AM4402" t="s">
        <v>10885</v>
      </c>
      <c r="AN4402" t="s">
        <v>10911</v>
      </c>
      <c r="AO4402" t="s">
        <v>11002</v>
      </c>
      <c r="AP4402" t="s">
        <v>11049</v>
      </c>
      <c r="AR4402" t="s">
        <v>11267</v>
      </c>
      <c r="AS4402" t="s">
        <v>9926</v>
      </c>
      <c r="AT4402" t="s">
        <v>11641</v>
      </c>
      <c r="AX4402" t="s">
        <v>10838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</row>
    <row r="4403" spans="1:59">
      <c r="A4403" s="1">
        <f>HYPERLINK("https://lsnyc.legalserver.org/matter/dynamic-profile/view/1908574","19-1908574")</f>
        <v>0</v>
      </c>
      <c r="B4403" t="s">
        <v>1025</v>
      </c>
      <c r="C4403" t="s">
        <v>5898</v>
      </c>
      <c r="D4403" t="s">
        <v>9925</v>
      </c>
      <c r="E4403" t="s">
        <v>10075</v>
      </c>
      <c r="F4403">
        <v>10026</v>
      </c>
      <c r="G4403" t="s">
        <v>10089</v>
      </c>
      <c r="H4403" t="s">
        <v>10098</v>
      </c>
      <c r="I4403" t="s">
        <v>10169</v>
      </c>
      <c r="J4403" t="s">
        <v>10209</v>
      </c>
      <c r="K4403" t="s">
        <v>10217</v>
      </c>
      <c r="M4403" t="s">
        <v>10267</v>
      </c>
      <c r="N4403" t="s">
        <v>10691</v>
      </c>
      <c r="P4403" t="s">
        <v>10751</v>
      </c>
      <c r="Q4403" t="s">
        <v>10776</v>
      </c>
      <c r="R4403" t="s">
        <v>10821</v>
      </c>
      <c r="T4403">
        <v>0</v>
      </c>
      <c r="U4403">
        <v>0</v>
      </c>
      <c r="V4403">
        <v>51</v>
      </c>
      <c r="W4403">
        <v>2</v>
      </c>
      <c r="X4403">
        <v>1</v>
      </c>
      <c r="Z4403">
        <v>0</v>
      </c>
      <c r="AA4403">
        <v>40.805406</v>
      </c>
      <c r="AB4403">
        <v>-73.95132599999999</v>
      </c>
      <c r="AD4403" t="s">
        <v>10839</v>
      </c>
      <c r="AG4403" t="s">
        <v>10858</v>
      </c>
      <c r="AH4403" t="s">
        <v>10874</v>
      </c>
      <c r="AI4403">
        <v>236</v>
      </c>
      <c r="AJ4403" t="s">
        <v>10209</v>
      </c>
      <c r="AL4403">
        <v>3</v>
      </c>
      <c r="AM4403" t="s">
        <v>10887</v>
      </c>
      <c r="AN4403" t="s">
        <v>10936</v>
      </c>
      <c r="AO4403" t="s">
        <v>11016</v>
      </c>
      <c r="AP4403" t="s">
        <v>11076</v>
      </c>
      <c r="AR4403" t="s">
        <v>11267</v>
      </c>
      <c r="AS4403" t="s">
        <v>9925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</row>
    <row r="4404" spans="1:59">
      <c r="A4404" s="1">
        <f>HYPERLINK("https://lsnyc.legalserver.org/matter/dynamic-profile/view/1908575","19-1908575")</f>
        <v>0</v>
      </c>
      <c r="B4404" t="s">
        <v>3585</v>
      </c>
      <c r="C4404" t="s">
        <v>8388</v>
      </c>
      <c r="D4404" t="s">
        <v>9926</v>
      </c>
      <c r="E4404" t="s">
        <v>10075</v>
      </c>
      <c r="F4404">
        <v>10467</v>
      </c>
      <c r="G4404" t="s">
        <v>10090</v>
      </c>
      <c r="H4404" t="s">
        <v>10098</v>
      </c>
      <c r="I4404" t="s">
        <v>10168</v>
      </c>
      <c r="J4404" t="s">
        <v>10210</v>
      </c>
      <c r="K4404" t="s">
        <v>10217</v>
      </c>
      <c r="M4404" t="s">
        <v>10514</v>
      </c>
      <c r="N4404" t="s">
        <v>10651</v>
      </c>
      <c r="P4404" t="s">
        <v>10749</v>
      </c>
      <c r="Q4404" t="s">
        <v>10765</v>
      </c>
      <c r="R4404" t="s">
        <v>10822</v>
      </c>
      <c r="T4404">
        <v>11352</v>
      </c>
      <c r="U4404">
        <v>946</v>
      </c>
      <c r="V4404">
        <v>51</v>
      </c>
      <c r="W4404">
        <v>1</v>
      </c>
      <c r="X4404">
        <v>0</v>
      </c>
      <c r="Z4404">
        <v>90.89</v>
      </c>
      <c r="AA4404">
        <v>40.87015</v>
      </c>
      <c r="AB4404">
        <v>-73.864074</v>
      </c>
      <c r="AD4404" t="s">
        <v>10840</v>
      </c>
      <c r="AF4404" t="s">
        <v>10843</v>
      </c>
      <c r="AG4404" t="s">
        <v>10859</v>
      </c>
      <c r="AH4404" t="s">
        <v>10862</v>
      </c>
      <c r="AI4404">
        <v>230</v>
      </c>
      <c r="AJ4404" t="s">
        <v>10210</v>
      </c>
      <c r="AL4404">
        <v>1.4</v>
      </c>
      <c r="AM4404" t="s">
        <v>10893</v>
      </c>
      <c r="AN4404" t="s">
        <v>10938</v>
      </c>
      <c r="AO4404" t="s">
        <v>11010</v>
      </c>
      <c r="AP4404" t="s">
        <v>11085</v>
      </c>
      <c r="AR4404" t="s">
        <v>11452</v>
      </c>
      <c r="AS4404" t="s">
        <v>9926</v>
      </c>
      <c r="AT4404" t="s">
        <v>11642</v>
      </c>
      <c r="AV4404" t="s">
        <v>11655</v>
      </c>
      <c r="AW4404" t="s">
        <v>11666</v>
      </c>
      <c r="AX4404" t="s">
        <v>10838</v>
      </c>
      <c r="BA4404" t="s">
        <v>11738</v>
      </c>
      <c r="BB4404">
        <v>0</v>
      </c>
      <c r="BC4404">
        <v>0</v>
      </c>
      <c r="BD4404">
        <v>0</v>
      </c>
      <c r="BE4404">
        <v>0</v>
      </c>
      <c r="BF4404">
        <v>5</v>
      </c>
      <c r="BG4404">
        <v>0</v>
      </c>
    </row>
    <row r="4405" spans="1:59">
      <c r="A4405" s="1">
        <f>HYPERLINK("https://lsnyc.legalserver.org/matter/dynamic-profile/view/1908576","19-1908576")</f>
        <v>0</v>
      </c>
      <c r="B4405" t="s">
        <v>2268</v>
      </c>
      <c r="C4405" t="s">
        <v>7052</v>
      </c>
      <c r="D4405" t="s">
        <v>9925</v>
      </c>
      <c r="E4405" t="s">
        <v>10075</v>
      </c>
      <c r="F4405">
        <v>10031</v>
      </c>
      <c r="G4405" t="s">
        <v>10089</v>
      </c>
      <c r="H4405" t="s">
        <v>10098</v>
      </c>
      <c r="I4405" t="s">
        <v>10168</v>
      </c>
      <c r="J4405" t="s">
        <v>10209</v>
      </c>
      <c r="K4405" t="s">
        <v>10217</v>
      </c>
      <c r="M4405" t="s">
        <v>10267</v>
      </c>
      <c r="N4405" t="s">
        <v>10688</v>
      </c>
      <c r="P4405" t="s">
        <v>10751</v>
      </c>
      <c r="Q4405" t="s">
        <v>10786</v>
      </c>
      <c r="R4405" t="s">
        <v>10824</v>
      </c>
      <c r="T4405">
        <v>12252</v>
      </c>
      <c r="U4405">
        <v>1021</v>
      </c>
      <c r="V4405">
        <v>76</v>
      </c>
      <c r="W4405">
        <v>1</v>
      </c>
      <c r="X4405">
        <v>0</v>
      </c>
      <c r="Z4405">
        <v>98.09</v>
      </c>
      <c r="AA4405">
        <v>40.824428</v>
      </c>
      <c r="AB4405">
        <v>-73.95019499999999</v>
      </c>
      <c r="AD4405" t="s">
        <v>10839</v>
      </c>
      <c r="AG4405" t="s">
        <v>10858</v>
      </c>
      <c r="AH4405" t="s">
        <v>10874</v>
      </c>
      <c r="AI4405">
        <v>236</v>
      </c>
      <c r="AJ4405" t="s">
        <v>10209</v>
      </c>
      <c r="AL4405">
        <v>4</v>
      </c>
      <c r="AR4405" t="s">
        <v>11268</v>
      </c>
      <c r="AS4405" t="s">
        <v>9925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</row>
    <row r="4406" spans="1:59">
      <c r="A4406" s="1">
        <f>HYPERLINK("https://lsnyc.legalserver.org/matter/dynamic-profile/view/1908577","19-1908577")</f>
        <v>0</v>
      </c>
      <c r="B4406" t="s">
        <v>3586</v>
      </c>
      <c r="C4406" t="s">
        <v>8389</v>
      </c>
      <c r="D4406" t="s">
        <v>9926</v>
      </c>
      <c r="E4406" t="s">
        <v>10075</v>
      </c>
      <c r="F4406">
        <v>10472</v>
      </c>
      <c r="G4406" t="s">
        <v>10090</v>
      </c>
      <c r="H4406" t="s">
        <v>10143</v>
      </c>
      <c r="I4406" t="s">
        <v>10179</v>
      </c>
      <c r="J4406" t="s">
        <v>10210</v>
      </c>
      <c r="K4406" t="s">
        <v>10217</v>
      </c>
      <c r="M4406" t="s">
        <v>10558</v>
      </c>
      <c r="N4406" t="s">
        <v>10683</v>
      </c>
      <c r="P4406" t="s">
        <v>10754</v>
      </c>
      <c r="Q4406" t="s">
        <v>10777</v>
      </c>
      <c r="R4406" t="s">
        <v>10827</v>
      </c>
      <c r="T4406">
        <v>0</v>
      </c>
      <c r="U4406">
        <v>0</v>
      </c>
      <c r="V4406">
        <v>37</v>
      </c>
      <c r="W4406">
        <v>1</v>
      </c>
      <c r="X4406">
        <v>1</v>
      </c>
      <c r="Z4406">
        <v>0</v>
      </c>
      <c r="AA4406">
        <v>40.830105</v>
      </c>
      <c r="AB4406">
        <v>-73.865498</v>
      </c>
      <c r="AD4406" t="s">
        <v>10839</v>
      </c>
      <c r="AF4406" t="s">
        <v>10843</v>
      </c>
      <c r="AG4406" t="s">
        <v>10859</v>
      </c>
      <c r="AH4406" t="s">
        <v>10865</v>
      </c>
      <c r="AI4406">
        <v>230</v>
      </c>
      <c r="AJ4406" t="s">
        <v>10210</v>
      </c>
      <c r="AL4406">
        <v>15.55</v>
      </c>
      <c r="AM4406" t="s">
        <v>10884</v>
      </c>
      <c r="AN4406" t="s">
        <v>10908</v>
      </c>
      <c r="AO4406" t="s">
        <v>11001</v>
      </c>
      <c r="AP4406" t="s">
        <v>11046</v>
      </c>
      <c r="AQ4406" t="s">
        <v>11128</v>
      </c>
      <c r="AR4406" t="s">
        <v>11279</v>
      </c>
      <c r="AS4406" t="s">
        <v>9926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</row>
    <row r="4407" spans="1:59">
      <c r="A4407" s="1">
        <f>HYPERLINK("https://lsnyc.legalserver.org/matter/dynamic-profile/view/1908578","19-1908578")</f>
        <v>0</v>
      </c>
      <c r="B4407" t="s">
        <v>3587</v>
      </c>
      <c r="C4407" t="s">
        <v>8390</v>
      </c>
      <c r="D4407" t="s">
        <v>9926</v>
      </c>
      <c r="E4407" t="s">
        <v>10075</v>
      </c>
      <c r="F4407">
        <v>10467</v>
      </c>
      <c r="G4407" t="s">
        <v>10090</v>
      </c>
      <c r="H4407" t="s">
        <v>10098</v>
      </c>
      <c r="I4407" t="s">
        <v>10168</v>
      </c>
      <c r="J4407" t="s">
        <v>10215</v>
      </c>
      <c r="K4407" t="s">
        <v>10217</v>
      </c>
      <c r="M4407" t="s">
        <v>10297</v>
      </c>
      <c r="N4407" t="s">
        <v>10651</v>
      </c>
      <c r="P4407" t="s">
        <v>10749</v>
      </c>
      <c r="Q4407" t="s">
        <v>10765</v>
      </c>
      <c r="R4407" t="s">
        <v>10824</v>
      </c>
      <c r="T4407">
        <v>23400</v>
      </c>
      <c r="U4407">
        <v>1950</v>
      </c>
      <c r="V4407">
        <v>51</v>
      </c>
      <c r="W4407">
        <v>2</v>
      </c>
      <c r="X4407">
        <v>1</v>
      </c>
      <c r="Z4407">
        <v>109.7</v>
      </c>
      <c r="AA4407">
        <v>40.877024</v>
      </c>
      <c r="AB4407">
        <v>-73.862604</v>
      </c>
      <c r="AD4407" t="s">
        <v>10839</v>
      </c>
      <c r="AF4407" t="s">
        <v>10843</v>
      </c>
      <c r="AG4407" t="s">
        <v>10859</v>
      </c>
      <c r="AH4407" t="s">
        <v>10862</v>
      </c>
      <c r="AI4407">
        <v>231</v>
      </c>
      <c r="AJ4407" t="s">
        <v>10215</v>
      </c>
      <c r="AL4407">
        <v>2</v>
      </c>
      <c r="AM4407" t="s">
        <v>10893</v>
      </c>
      <c r="AN4407" t="s">
        <v>10956</v>
      </c>
      <c r="AO4407" t="s">
        <v>11010</v>
      </c>
      <c r="AP4407" t="s">
        <v>11085</v>
      </c>
      <c r="AR4407" t="s">
        <v>11257</v>
      </c>
      <c r="AS4407" t="s">
        <v>9926</v>
      </c>
      <c r="AT4407" t="s">
        <v>11641</v>
      </c>
      <c r="AX4407" t="s">
        <v>10838</v>
      </c>
      <c r="BA4407" t="s">
        <v>11738</v>
      </c>
      <c r="BB4407">
        <v>0</v>
      </c>
      <c r="BC4407">
        <v>0</v>
      </c>
      <c r="BD4407">
        <v>0</v>
      </c>
      <c r="BE4407">
        <v>0</v>
      </c>
      <c r="BF4407">
        <v>5</v>
      </c>
      <c r="BG4407">
        <v>0</v>
      </c>
    </row>
    <row r="4408" spans="1:59">
      <c r="A4408" s="1">
        <f>HYPERLINK("https://lsnyc.legalserver.org/matter/dynamic-profile/view/1908579","19-1908579")</f>
        <v>0</v>
      </c>
      <c r="B4408" t="s">
        <v>3588</v>
      </c>
      <c r="C4408" t="s">
        <v>8391</v>
      </c>
      <c r="D4408" t="s">
        <v>9928</v>
      </c>
      <c r="E4408" t="s">
        <v>10075</v>
      </c>
      <c r="F4408">
        <v>11207</v>
      </c>
      <c r="G4408" t="s">
        <v>10093</v>
      </c>
      <c r="H4408" t="s">
        <v>10098</v>
      </c>
      <c r="I4408" t="s">
        <v>10168</v>
      </c>
      <c r="J4408" t="s">
        <v>10213</v>
      </c>
      <c r="K4408" t="s">
        <v>10217</v>
      </c>
      <c r="M4408" t="s">
        <v>10345</v>
      </c>
      <c r="N4408" t="s">
        <v>10650</v>
      </c>
      <c r="P4408" t="s">
        <v>10749</v>
      </c>
      <c r="Q4408" t="s">
        <v>10765</v>
      </c>
      <c r="R4408" t="s">
        <v>10824</v>
      </c>
      <c r="T4408">
        <v>0</v>
      </c>
      <c r="U4408">
        <v>0</v>
      </c>
      <c r="V4408">
        <v>26</v>
      </c>
      <c r="W4408">
        <v>1</v>
      </c>
      <c r="X4408">
        <v>0</v>
      </c>
      <c r="Z4408">
        <v>0</v>
      </c>
      <c r="AA4408">
        <v>40.663993</v>
      </c>
      <c r="AB4408">
        <v>-73.897668</v>
      </c>
      <c r="AD4408" t="s">
        <v>10840</v>
      </c>
      <c r="AG4408" t="s">
        <v>10858</v>
      </c>
      <c r="AH4408" t="s">
        <v>10862</v>
      </c>
      <c r="AI4408">
        <v>239</v>
      </c>
      <c r="AJ4408" t="s">
        <v>10213</v>
      </c>
      <c r="AL4408">
        <v>1.5</v>
      </c>
      <c r="AM4408" t="s">
        <v>10889</v>
      </c>
      <c r="AN4408" t="s">
        <v>10946</v>
      </c>
      <c r="AO4408" t="s">
        <v>11012</v>
      </c>
      <c r="AP4408" t="s">
        <v>11060</v>
      </c>
      <c r="AQ4408" t="s">
        <v>11214</v>
      </c>
      <c r="AR4408" t="s">
        <v>11267</v>
      </c>
      <c r="AS4408" t="s">
        <v>11595</v>
      </c>
      <c r="AT4408" t="s">
        <v>11642</v>
      </c>
      <c r="BA4408" t="s">
        <v>11742</v>
      </c>
      <c r="BB4408">
        <v>0</v>
      </c>
      <c r="BC4408">
        <v>0</v>
      </c>
      <c r="BD4408">
        <v>0</v>
      </c>
      <c r="BE4408">
        <v>0</v>
      </c>
      <c r="BF4408">
        <v>7</v>
      </c>
      <c r="BG4408">
        <v>0</v>
      </c>
    </row>
    <row r="4409" spans="1:59">
      <c r="A4409" s="1">
        <f>HYPERLINK("https://lsnyc.legalserver.org/matter/dynamic-profile/view/1908580","19-1908580")</f>
        <v>0</v>
      </c>
      <c r="B4409" t="s">
        <v>1625</v>
      </c>
      <c r="C4409" t="s">
        <v>8392</v>
      </c>
      <c r="D4409" t="s">
        <v>9926</v>
      </c>
      <c r="E4409" t="s">
        <v>10075</v>
      </c>
      <c r="F4409">
        <v>10457</v>
      </c>
      <c r="G4409" t="s">
        <v>10090</v>
      </c>
      <c r="H4409" t="s">
        <v>10098</v>
      </c>
      <c r="I4409" t="s">
        <v>10168</v>
      </c>
      <c r="J4409" t="s">
        <v>10210</v>
      </c>
      <c r="K4409" t="s">
        <v>10217</v>
      </c>
      <c r="M4409" t="s">
        <v>10303</v>
      </c>
      <c r="N4409" t="s">
        <v>10688</v>
      </c>
      <c r="P4409" t="s">
        <v>10751</v>
      </c>
      <c r="Q4409" t="s">
        <v>10761</v>
      </c>
      <c r="R4409" t="s">
        <v>10823</v>
      </c>
      <c r="T4409">
        <v>2376</v>
      </c>
      <c r="U4409">
        <v>198</v>
      </c>
      <c r="V4409">
        <v>31</v>
      </c>
      <c r="W4409">
        <v>2</v>
      </c>
      <c r="X4409">
        <v>5</v>
      </c>
      <c r="Z4409">
        <v>6.09</v>
      </c>
      <c r="AA4409">
        <v>40.846611</v>
      </c>
      <c r="AB4409">
        <v>-73.890946</v>
      </c>
      <c r="AD4409" t="s">
        <v>10840</v>
      </c>
      <c r="AG4409" t="s">
        <v>10858</v>
      </c>
      <c r="AH4409" t="s">
        <v>10861</v>
      </c>
      <c r="AI4409">
        <v>230</v>
      </c>
      <c r="AJ4409" t="s">
        <v>10210</v>
      </c>
      <c r="AL4409">
        <v>2.9</v>
      </c>
      <c r="AM4409" t="s">
        <v>10884</v>
      </c>
      <c r="AN4409" t="s">
        <v>10918</v>
      </c>
      <c r="AO4409" t="s">
        <v>11000</v>
      </c>
      <c r="AP4409" t="s">
        <v>11062</v>
      </c>
      <c r="AR4409" t="s">
        <v>11305</v>
      </c>
      <c r="AS4409" t="s">
        <v>9926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</row>
    <row r="4410" spans="1:59">
      <c r="A4410" s="1">
        <f>HYPERLINK("https://lsnyc.legalserver.org/matter/dynamic-profile/view/1908581","19-1908581")</f>
        <v>0</v>
      </c>
      <c r="B4410" t="s">
        <v>3589</v>
      </c>
      <c r="C4410" t="s">
        <v>8393</v>
      </c>
      <c r="D4410" t="s">
        <v>9938</v>
      </c>
      <c r="E4410" t="s">
        <v>10075</v>
      </c>
      <c r="F4410">
        <v>11432</v>
      </c>
      <c r="G4410" t="s">
        <v>10092</v>
      </c>
      <c r="H4410" t="s">
        <v>10098</v>
      </c>
      <c r="I4410" t="s">
        <v>10169</v>
      </c>
      <c r="J4410" t="s">
        <v>10212</v>
      </c>
      <c r="K4410" t="s">
        <v>10217</v>
      </c>
      <c r="M4410" t="s">
        <v>10422</v>
      </c>
      <c r="N4410" t="s">
        <v>10679</v>
      </c>
      <c r="P4410" t="s">
        <v>10753</v>
      </c>
      <c r="Q4410" t="s">
        <v>10763</v>
      </c>
      <c r="R4410" t="s">
        <v>10823</v>
      </c>
      <c r="T4410">
        <v>15600</v>
      </c>
      <c r="U4410">
        <v>1300</v>
      </c>
      <c r="V4410">
        <v>8</v>
      </c>
      <c r="W4410">
        <v>1</v>
      </c>
      <c r="X4410">
        <v>1</v>
      </c>
      <c r="Z4410">
        <v>92.25</v>
      </c>
      <c r="AA4410">
        <v>40.708915</v>
      </c>
      <c r="AB4410">
        <v>-73.78576</v>
      </c>
      <c r="AD4410" t="s">
        <v>10839</v>
      </c>
      <c r="AF4410" t="s">
        <v>10842</v>
      </c>
      <c r="AG4410" t="s">
        <v>10859</v>
      </c>
      <c r="AH4410" t="s">
        <v>10864</v>
      </c>
      <c r="AI4410">
        <v>237</v>
      </c>
      <c r="AJ4410" t="s">
        <v>10212</v>
      </c>
      <c r="AL4410">
        <v>1</v>
      </c>
      <c r="AM4410" t="s">
        <v>10892</v>
      </c>
      <c r="AN4410" t="s">
        <v>10955</v>
      </c>
      <c r="AO4410" t="s">
        <v>11020</v>
      </c>
      <c r="AP4410" t="s">
        <v>11075</v>
      </c>
      <c r="AQ4410" t="s">
        <v>11168</v>
      </c>
      <c r="AR4410" t="s">
        <v>11257</v>
      </c>
      <c r="AS4410" t="s">
        <v>11594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</row>
    <row r="4411" spans="1:59">
      <c r="A4411" s="1">
        <f>HYPERLINK("https://lsnyc.legalserver.org/matter/dynamic-profile/view/1908582","19-1908582")</f>
        <v>0</v>
      </c>
      <c r="B4411" t="s">
        <v>3589</v>
      </c>
      <c r="C4411" t="s">
        <v>8393</v>
      </c>
      <c r="D4411" t="s">
        <v>9938</v>
      </c>
      <c r="E4411" t="s">
        <v>10075</v>
      </c>
      <c r="F4411">
        <v>11432</v>
      </c>
      <c r="G4411" t="s">
        <v>10092</v>
      </c>
      <c r="H4411" t="s">
        <v>10098</v>
      </c>
      <c r="I4411" t="s">
        <v>10169</v>
      </c>
      <c r="J4411" t="s">
        <v>10212</v>
      </c>
      <c r="K4411" t="s">
        <v>10217</v>
      </c>
      <c r="M4411" t="s">
        <v>10422</v>
      </c>
      <c r="N4411" t="s">
        <v>10679</v>
      </c>
      <c r="P4411" t="s">
        <v>10754</v>
      </c>
      <c r="Q4411" t="s">
        <v>10777</v>
      </c>
      <c r="R4411" t="s">
        <v>10823</v>
      </c>
      <c r="T4411">
        <v>15600</v>
      </c>
      <c r="U4411">
        <v>1300</v>
      </c>
      <c r="V4411">
        <v>8</v>
      </c>
      <c r="W4411">
        <v>1</v>
      </c>
      <c r="X4411">
        <v>1</v>
      </c>
      <c r="Z4411">
        <v>92.25</v>
      </c>
      <c r="AA4411">
        <v>40.708915</v>
      </c>
      <c r="AB4411">
        <v>-73.78576</v>
      </c>
      <c r="AD4411" t="s">
        <v>10839</v>
      </c>
      <c r="AF4411" t="s">
        <v>10842</v>
      </c>
      <c r="AG4411" t="s">
        <v>10859</v>
      </c>
      <c r="AH4411" t="s">
        <v>10864</v>
      </c>
      <c r="AI4411">
        <v>237</v>
      </c>
      <c r="AJ4411" t="s">
        <v>10212</v>
      </c>
      <c r="AL4411">
        <v>8.5</v>
      </c>
      <c r="AQ4411" t="s">
        <v>11128</v>
      </c>
      <c r="AR4411" t="s">
        <v>11257</v>
      </c>
      <c r="AS4411" t="s">
        <v>11594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</row>
    <row r="4412" spans="1:59">
      <c r="A4412" s="1">
        <f>HYPERLINK("https://lsnyc.legalserver.org/matter/dynamic-profile/view/1908584","19-1908584")</f>
        <v>0</v>
      </c>
      <c r="B4412" t="s">
        <v>3590</v>
      </c>
      <c r="C4412" t="s">
        <v>8394</v>
      </c>
      <c r="D4412" t="s">
        <v>9932</v>
      </c>
      <c r="E4412" t="s">
        <v>10075</v>
      </c>
      <c r="F4412">
        <v>11368</v>
      </c>
      <c r="G4412" t="s">
        <v>10092</v>
      </c>
      <c r="H4412" t="s">
        <v>10111</v>
      </c>
      <c r="I4412" t="s">
        <v>10169</v>
      </c>
      <c r="J4412" t="s">
        <v>10212</v>
      </c>
      <c r="K4412" t="s">
        <v>10217</v>
      </c>
      <c r="M4412" t="s">
        <v>10486</v>
      </c>
      <c r="N4412" t="s">
        <v>10673</v>
      </c>
      <c r="P4412" t="s">
        <v>10753</v>
      </c>
      <c r="Q4412" t="s">
        <v>10763</v>
      </c>
      <c r="R4412" t="s">
        <v>10821</v>
      </c>
      <c r="T4412">
        <v>53000</v>
      </c>
      <c r="U4412">
        <v>4416.67</v>
      </c>
      <c r="V4412">
        <v>44</v>
      </c>
      <c r="W4412">
        <v>2</v>
      </c>
      <c r="X4412">
        <v>3</v>
      </c>
      <c r="Z4412">
        <v>175.67</v>
      </c>
      <c r="AA4412">
        <v>40.737681</v>
      </c>
      <c r="AB4412">
        <v>-73.85421599999999</v>
      </c>
      <c r="AD4412" t="s">
        <v>10839</v>
      </c>
      <c r="AF4412" t="s">
        <v>10842</v>
      </c>
      <c r="AG4412" t="s">
        <v>10859</v>
      </c>
      <c r="AH4412" t="s">
        <v>10864</v>
      </c>
      <c r="AI4412">
        <v>237</v>
      </c>
      <c r="AJ4412" t="s">
        <v>10212</v>
      </c>
      <c r="AL4412">
        <v>4.5</v>
      </c>
      <c r="AM4412" t="s">
        <v>10885</v>
      </c>
      <c r="AN4412" t="s">
        <v>10916</v>
      </c>
      <c r="AO4412" t="s">
        <v>11014</v>
      </c>
      <c r="AP4412" t="s">
        <v>11068</v>
      </c>
      <c r="AQ4412" t="s">
        <v>11161</v>
      </c>
      <c r="AR4412" t="s">
        <v>11257</v>
      </c>
      <c r="AS4412" t="s">
        <v>11594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</row>
    <row r="4413" spans="1:59">
      <c r="A4413" s="1">
        <f>HYPERLINK("https://lsnyc.legalserver.org/matter/dynamic-profile/view/1908585","19-1908585")</f>
        <v>0</v>
      </c>
      <c r="B4413" t="s">
        <v>3591</v>
      </c>
      <c r="C4413" t="s">
        <v>8395</v>
      </c>
      <c r="D4413" t="s">
        <v>9925</v>
      </c>
      <c r="E4413" t="s">
        <v>10075</v>
      </c>
      <c r="F4413">
        <v>10035</v>
      </c>
      <c r="G4413" t="s">
        <v>10089</v>
      </c>
      <c r="H4413" t="s">
        <v>10161</v>
      </c>
      <c r="I4413" t="s">
        <v>10169</v>
      </c>
      <c r="J4413" t="s">
        <v>10209</v>
      </c>
      <c r="K4413" t="s">
        <v>10217</v>
      </c>
      <c r="M4413" t="s">
        <v>10589</v>
      </c>
      <c r="N4413" t="s">
        <v>10650</v>
      </c>
      <c r="P4413" t="s">
        <v>10749</v>
      </c>
      <c r="Q4413" t="s">
        <v>10765</v>
      </c>
      <c r="R4413" t="s">
        <v>10821</v>
      </c>
      <c r="T4413">
        <v>9216</v>
      </c>
      <c r="U4413">
        <v>768</v>
      </c>
      <c r="V4413">
        <v>64</v>
      </c>
      <c r="W4413">
        <v>1</v>
      </c>
      <c r="X4413">
        <v>0</v>
      </c>
      <c r="Z4413">
        <v>73.79000000000001</v>
      </c>
      <c r="AA4413">
        <v>40.798637</v>
      </c>
      <c r="AB4413">
        <v>-73.936924</v>
      </c>
      <c r="AD4413" t="s">
        <v>10839</v>
      </c>
      <c r="AG4413" t="s">
        <v>10858</v>
      </c>
      <c r="AH4413" t="s">
        <v>10862</v>
      </c>
      <c r="AI4413">
        <v>236</v>
      </c>
      <c r="AJ4413" t="s">
        <v>10209</v>
      </c>
      <c r="AL4413">
        <v>1</v>
      </c>
      <c r="AM4413" t="s">
        <v>10887</v>
      </c>
      <c r="AN4413" t="s">
        <v>10926</v>
      </c>
      <c r="AO4413" t="s">
        <v>11016</v>
      </c>
      <c r="AP4413" t="s">
        <v>11066</v>
      </c>
      <c r="AR4413" t="s">
        <v>11273</v>
      </c>
      <c r="AS4413" t="s">
        <v>11594</v>
      </c>
      <c r="AT4413" t="s">
        <v>11641</v>
      </c>
      <c r="AX4413" t="s">
        <v>10838</v>
      </c>
      <c r="BA4413" t="s">
        <v>11741</v>
      </c>
      <c r="BB4413">
        <v>0</v>
      </c>
      <c r="BC4413">
        <v>0</v>
      </c>
      <c r="BD4413">
        <v>0</v>
      </c>
      <c r="BE4413">
        <v>0</v>
      </c>
      <c r="BF4413">
        <v>1</v>
      </c>
      <c r="BG4413">
        <v>0</v>
      </c>
    </row>
    <row r="4414" spans="1:59">
      <c r="A4414" s="1">
        <f>HYPERLINK("https://lsnyc.legalserver.org/matter/dynamic-profile/view/1908586","19-1908586")</f>
        <v>0</v>
      </c>
      <c r="B4414" t="s">
        <v>3592</v>
      </c>
      <c r="C4414" t="s">
        <v>5064</v>
      </c>
      <c r="D4414" t="s">
        <v>9925</v>
      </c>
      <c r="E4414" t="s">
        <v>10075</v>
      </c>
      <c r="F4414">
        <v>10035</v>
      </c>
      <c r="G4414" t="s">
        <v>10089</v>
      </c>
      <c r="H4414" t="s">
        <v>10161</v>
      </c>
      <c r="I4414" t="s">
        <v>10168</v>
      </c>
      <c r="J4414" t="s">
        <v>10209</v>
      </c>
      <c r="K4414" t="s">
        <v>10217</v>
      </c>
      <c r="M4414" t="s">
        <v>10589</v>
      </c>
      <c r="N4414" t="s">
        <v>10650</v>
      </c>
      <c r="P4414" t="s">
        <v>10749</v>
      </c>
      <c r="Q4414" t="s">
        <v>10765</v>
      </c>
      <c r="R4414" t="s">
        <v>10821</v>
      </c>
      <c r="T4414">
        <v>18980</v>
      </c>
      <c r="U4414">
        <v>1581.67</v>
      </c>
      <c r="V4414">
        <v>47</v>
      </c>
      <c r="W4414">
        <v>2</v>
      </c>
      <c r="X4414">
        <v>2</v>
      </c>
      <c r="Z4414">
        <v>73.70999999999999</v>
      </c>
      <c r="AA4414">
        <v>40.799429</v>
      </c>
      <c r="AB4414">
        <v>-73.94181399999999</v>
      </c>
      <c r="AD4414" t="s">
        <v>10839</v>
      </c>
      <c r="AG4414" t="s">
        <v>10858</v>
      </c>
      <c r="AH4414" t="s">
        <v>10862</v>
      </c>
      <c r="AI4414">
        <v>236</v>
      </c>
      <c r="AJ4414" t="s">
        <v>10209</v>
      </c>
      <c r="AL4414">
        <v>0</v>
      </c>
      <c r="AM4414" t="s">
        <v>10887</v>
      </c>
      <c r="AN4414" t="s">
        <v>10926</v>
      </c>
      <c r="AO4414" t="s">
        <v>11016</v>
      </c>
      <c r="AP4414" t="s">
        <v>11066</v>
      </c>
      <c r="AR4414" t="s">
        <v>11257</v>
      </c>
      <c r="AS4414" t="s">
        <v>9925</v>
      </c>
      <c r="AT4414" t="s">
        <v>11641</v>
      </c>
      <c r="AX4414" t="s">
        <v>10838</v>
      </c>
      <c r="BA4414" t="s">
        <v>11738</v>
      </c>
      <c r="BB4414">
        <v>0</v>
      </c>
      <c r="BC4414">
        <v>0</v>
      </c>
      <c r="BD4414">
        <v>0</v>
      </c>
      <c r="BE4414">
        <v>0</v>
      </c>
      <c r="BF4414">
        <v>5</v>
      </c>
      <c r="BG4414">
        <v>0</v>
      </c>
    </row>
    <row r="4415" spans="1:59">
      <c r="A4415" s="1">
        <f>HYPERLINK("https://lsnyc.legalserver.org/matter/dynamic-profile/view/1908587","19-1908587")</f>
        <v>0</v>
      </c>
      <c r="B4415" t="s">
        <v>1401</v>
      </c>
      <c r="C4415" t="s">
        <v>8396</v>
      </c>
      <c r="D4415" t="s">
        <v>9926</v>
      </c>
      <c r="E4415" t="s">
        <v>10075</v>
      </c>
      <c r="F4415">
        <v>10459</v>
      </c>
      <c r="G4415" t="s">
        <v>10090</v>
      </c>
      <c r="H4415" t="s">
        <v>10161</v>
      </c>
      <c r="I4415" t="s">
        <v>10168</v>
      </c>
      <c r="J4415" t="s">
        <v>10210</v>
      </c>
      <c r="K4415" t="s">
        <v>10217</v>
      </c>
      <c r="M4415" t="s">
        <v>10558</v>
      </c>
      <c r="N4415" t="s">
        <v>10683</v>
      </c>
      <c r="P4415" t="s">
        <v>10754</v>
      </c>
      <c r="Q4415" t="s">
        <v>10766</v>
      </c>
      <c r="R4415" t="s">
        <v>10822</v>
      </c>
      <c r="T4415">
        <v>0</v>
      </c>
      <c r="U4415">
        <v>0</v>
      </c>
      <c r="V4415">
        <v>31</v>
      </c>
      <c r="W4415">
        <v>1</v>
      </c>
      <c r="X4415">
        <v>0</v>
      </c>
      <c r="Z4415">
        <v>0</v>
      </c>
      <c r="AA4415">
        <v>40.817797</v>
      </c>
      <c r="AB4415">
        <v>-73.894284</v>
      </c>
      <c r="AD4415" t="s">
        <v>10839</v>
      </c>
      <c r="AG4415" t="s">
        <v>10858</v>
      </c>
      <c r="AH4415" t="s">
        <v>10865</v>
      </c>
      <c r="AI4415">
        <v>230</v>
      </c>
      <c r="AJ4415" t="s">
        <v>10210</v>
      </c>
      <c r="AL4415">
        <v>7.5</v>
      </c>
      <c r="AM4415" t="s">
        <v>10884</v>
      </c>
      <c r="AN4415" t="s">
        <v>10968</v>
      </c>
      <c r="AO4415" t="s">
        <v>11001</v>
      </c>
      <c r="AP4415" t="s">
        <v>11062</v>
      </c>
      <c r="AR4415" t="s">
        <v>11263</v>
      </c>
      <c r="AS4415" t="s">
        <v>9926</v>
      </c>
      <c r="AT4415" t="s">
        <v>11641</v>
      </c>
      <c r="AV4415" t="s">
        <v>11656</v>
      </c>
      <c r="AW4415" t="s">
        <v>11645</v>
      </c>
      <c r="AX4415" t="s">
        <v>10838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</row>
    <row r="4416" spans="1:59">
      <c r="A4416" s="1">
        <f>HYPERLINK("https://lsnyc.legalserver.org/matter/dynamic-profile/view/1908588","19-1908588")</f>
        <v>0</v>
      </c>
      <c r="B4416" t="s">
        <v>3593</v>
      </c>
      <c r="C4416" t="s">
        <v>5064</v>
      </c>
      <c r="D4416" t="s">
        <v>9925</v>
      </c>
      <c r="E4416" t="s">
        <v>10075</v>
      </c>
      <c r="F4416">
        <v>10035</v>
      </c>
      <c r="G4416" t="s">
        <v>10089</v>
      </c>
      <c r="H4416" t="s">
        <v>10161</v>
      </c>
      <c r="I4416" t="s">
        <v>10168</v>
      </c>
      <c r="J4416" t="s">
        <v>10209</v>
      </c>
      <c r="K4416" t="s">
        <v>10217</v>
      </c>
      <c r="M4416" t="s">
        <v>10589</v>
      </c>
      <c r="N4416" t="s">
        <v>10650</v>
      </c>
      <c r="P4416" t="s">
        <v>10749</v>
      </c>
      <c r="Q4416" t="s">
        <v>10765</v>
      </c>
      <c r="R4416" t="s">
        <v>10824</v>
      </c>
      <c r="T4416">
        <v>9252</v>
      </c>
      <c r="U4416">
        <v>771</v>
      </c>
      <c r="V4416">
        <v>73</v>
      </c>
      <c r="W4416">
        <v>3</v>
      </c>
      <c r="X4416">
        <v>0</v>
      </c>
      <c r="Z4416">
        <v>43.38</v>
      </c>
      <c r="AA4416">
        <v>40.799429</v>
      </c>
      <c r="AB4416">
        <v>-73.94181399999999</v>
      </c>
      <c r="AD4416" t="s">
        <v>10839</v>
      </c>
      <c r="AG4416" t="s">
        <v>10858</v>
      </c>
      <c r="AH4416" t="s">
        <v>10862</v>
      </c>
      <c r="AI4416">
        <v>236</v>
      </c>
      <c r="AJ4416" t="s">
        <v>10209</v>
      </c>
      <c r="AL4416">
        <v>0</v>
      </c>
      <c r="AM4416" t="s">
        <v>10887</v>
      </c>
      <c r="AN4416" t="s">
        <v>10926</v>
      </c>
      <c r="AO4416" t="s">
        <v>11016</v>
      </c>
      <c r="AP4416" t="s">
        <v>11066</v>
      </c>
      <c r="AR4416" t="s">
        <v>11263</v>
      </c>
      <c r="AS4416" t="s">
        <v>9925</v>
      </c>
      <c r="AT4416" t="s">
        <v>11641</v>
      </c>
      <c r="AX4416" t="s">
        <v>10838</v>
      </c>
      <c r="BA4416" t="s">
        <v>11742</v>
      </c>
      <c r="BB4416">
        <v>0</v>
      </c>
      <c r="BC4416">
        <v>0</v>
      </c>
      <c r="BD4416">
        <v>0</v>
      </c>
      <c r="BE4416">
        <v>0</v>
      </c>
      <c r="BF4416">
        <v>7</v>
      </c>
      <c r="BG4416">
        <v>0</v>
      </c>
    </row>
    <row r="4417" spans="1:59">
      <c r="A4417" s="1">
        <f>HYPERLINK("https://lsnyc.legalserver.org/matter/dynamic-profile/view/1908589","19-1908589")</f>
        <v>0</v>
      </c>
      <c r="B4417" t="s">
        <v>3594</v>
      </c>
      <c r="C4417" t="s">
        <v>5064</v>
      </c>
      <c r="D4417" t="s">
        <v>9925</v>
      </c>
      <c r="E4417" t="s">
        <v>10075</v>
      </c>
      <c r="F4417">
        <v>10035</v>
      </c>
      <c r="G4417" t="s">
        <v>10089</v>
      </c>
      <c r="H4417" t="s">
        <v>10161</v>
      </c>
      <c r="I4417" t="s">
        <v>10168</v>
      </c>
      <c r="J4417" t="s">
        <v>10209</v>
      </c>
      <c r="K4417" t="s">
        <v>10217</v>
      </c>
      <c r="M4417" t="s">
        <v>10613</v>
      </c>
      <c r="N4417" t="s">
        <v>10650</v>
      </c>
      <c r="P4417" t="s">
        <v>10749</v>
      </c>
      <c r="Q4417" t="s">
        <v>10765</v>
      </c>
      <c r="R4417" t="s">
        <v>10824</v>
      </c>
      <c r="T4417">
        <v>52204</v>
      </c>
      <c r="U4417">
        <v>4350.33</v>
      </c>
      <c r="V4417">
        <v>55</v>
      </c>
      <c r="W4417">
        <v>4</v>
      </c>
      <c r="X4417">
        <v>0</v>
      </c>
      <c r="Z4417">
        <v>202.73</v>
      </c>
      <c r="AA4417">
        <v>40.799429</v>
      </c>
      <c r="AB4417">
        <v>-73.94181399999999</v>
      </c>
      <c r="AD4417" t="s">
        <v>10839</v>
      </c>
      <c r="AG4417" t="s">
        <v>10858</v>
      </c>
      <c r="AH4417" t="s">
        <v>10862</v>
      </c>
      <c r="AI4417">
        <v>236</v>
      </c>
      <c r="AJ4417" t="s">
        <v>10209</v>
      </c>
      <c r="AL4417">
        <v>2.5</v>
      </c>
      <c r="AM4417" t="s">
        <v>10887</v>
      </c>
      <c r="AN4417" t="s">
        <v>10926</v>
      </c>
      <c r="AO4417" t="s">
        <v>11016</v>
      </c>
      <c r="AP4417" t="s">
        <v>11066</v>
      </c>
      <c r="AR4417" t="s">
        <v>11436</v>
      </c>
      <c r="AS4417" t="s">
        <v>9925</v>
      </c>
      <c r="AT4417" t="s">
        <v>11641</v>
      </c>
      <c r="AX4417" t="s">
        <v>10838</v>
      </c>
      <c r="BA4417" t="s">
        <v>11738</v>
      </c>
      <c r="BB4417">
        <v>0</v>
      </c>
      <c r="BC4417">
        <v>0</v>
      </c>
      <c r="BD4417">
        <v>0</v>
      </c>
      <c r="BE4417">
        <v>0</v>
      </c>
      <c r="BF4417">
        <v>5</v>
      </c>
      <c r="BG4417">
        <v>0</v>
      </c>
    </row>
    <row r="4418" spans="1:59">
      <c r="A4418" s="1">
        <f>HYPERLINK("https://lsnyc.legalserver.org/matter/dynamic-profile/view/1908590","19-1908590")</f>
        <v>0</v>
      </c>
      <c r="B4418" t="s">
        <v>1117</v>
      </c>
      <c r="C4418" t="s">
        <v>8397</v>
      </c>
      <c r="D4418" t="s">
        <v>9926</v>
      </c>
      <c r="E4418" t="s">
        <v>10075</v>
      </c>
      <c r="F4418">
        <v>10453</v>
      </c>
      <c r="G4418" t="s">
        <v>10090</v>
      </c>
      <c r="H4418" t="s">
        <v>10161</v>
      </c>
      <c r="J4418" t="s">
        <v>10210</v>
      </c>
      <c r="K4418" t="s">
        <v>10217</v>
      </c>
      <c r="M4418" t="s">
        <v>10513</v>
      </c>
      <c r="N4418" t="s">
        <v>10650</v>
      </c>
      <c r="P4418" t="s">
        <v>10749</v>
      </c>
      <c r="Q4418" t="s">
        <v>10765</v>
      </c>
      <c r="R4418" t="s">
        <v>10824</v>
      </c>
      <c r="T4418">
        <v>34882</v>
      </c>
      <c r="U4418">
        <v>2906.83</v>
      </c>
      <c r="V4418">
        <v>41</v>
      </c>
      <c r="W4418">
        <v>2</v>
      </c>
      <c r="X4418">
        <v>3</v>
      </c>
      <c r="Z4418">
        <v>115.62</v>
      </c>
      <c r="AA4418">
        <v>40.85346</v>
      </c>
      <c r="AB4418">
        <v>-73.90497999999999</v>
      </c>
      <c r="AD4418" t="s">
        <v>10839</v>
      </c>
      <c r="AF4418" t="s">
        <v>10843</v>
      </c>
      <c r="AG4418" t="s">
        <v>10859</v>
      </c>
      <c r="AH4418" t="s">
        <v>10862</v>
      </c>
      <c r="AI4418">
        <v>230</v>
      </c>
      <c r="AJ4418" t="s">
        <v>10210</v>
      </c>
      <c r="AL4418">
        <v>3.6</v>
      </c>
      <c r="AM4418" t="s">
        <v>10884</v>
      </c>
      <c r="AN4418" t="s">
        <v>10931</v>
      </c>
      <c r="AO4418" t="s">
        <v>11000</v>
      </c>
      <c r="AP4418" t="s">
        <v>11045</v>
      </c>
      <c r="AR4418" t="s">
        <v>11542</v>
      </c>
      <c r="AS4418" t="s">
        <v>9926</v>
      </c>
      <c r="AT4418" t="s">
        <v>11641</v>
      </c>
      <c r="AX4418" t="s">
        <v>10838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</row>
    <row r="4419" spans="1:59">
      <c r="A4419" s="1">
        <f>HYPERLINK("https://lsnyc.legalserver.org/matter/dynamic-profile/view/1908591","19-1908591")</f>
        <v>0</v>
      </c>
      <c r="B4419" t="s">
        <v>3595</v>
      </c>
      <c r="C4419" t="s">
        <v>8398</v>
      </c>
      <c r="D4419" t="s">
        <v>10000</v>
      </c>
      <c r="E4419" t="s">
        <v>10075</v>
      </c>
      <c r="F4419">
        <v>11413</v>
      </c>
      <c r="G4419" t="s">
        <v>10092</v>
      </c>
      <c r="H4419" t="s">
        <v>10161</v>
      </c>
      <c r="I4419" t="s">
        <v>10168</v>
      </c>
      <c r="J4419" t="s">
        <v>10212</v>
      </c>
      <c r="K4419" t="s">
        <v>10217</v>
      </c>
      <c r="M4419" t="s">
        <v>10520</v>
      </c>
      <c r="N4419" t="s">
        <v>10678</v>
      </c>
      <c r="P4419" t="s">
        <v>10749</v>
      </c>
      <c r="Q4419" t="s">
        <v>10769</v>
      </c>
      <c r="R4419" t="s">
        <v>10824</v>
      </c>
      <c r="T4419">
        <v>87600</v>
      </c>
      <c r="U4419">
        <v>7300</v>
      </c>
      <c r="V4419">
        <v>26</v>
      </c>
      <c r="W4419">
        <v>4</v>
      </c>
      <c r="X4419">
        <v>0</v>
      </c>
      <c r="Z4419">
        <v>340.19</v>
      </c>
      <c r="AA4419">
        <v>40.678381</v>
      </c>
      <c r="AB4419">
        <v>-73.74463900000001</v>
      </c>
      <c r="AD4419" t="s">
        <v>10839</v>
      </c>
      <c r="AG4419" t="s">
        <v>10858</v>
      </c>
      <c r="AH4419" t="s">
        <v>10860</v>
      </c>
      <c r="AI4419">
        <v>237</v>
      </c>
      <c r="AJ4419" t="s">
        <v>10212</v>
      </c>
      <c r="AL4419">
        <v>4.3</v>
      </c>
      <c r="AM4419" t="s">
        <v>10892</v>
      </c>
      <c r="AN4419" t="s">
        <v>10955</v>
      </c>
      <c r="AO4419" t="s">
        <v>11020</v>
      </c>
      <c r="AP4419" t="s">
        <v>11082</v>
      </c>
      <c r="AR4419" t="s">
        <v>11257</v>
      </c>
      <c r="AS4419" t="s">
        <v>11594</v>
      </c>
      <c r="AT4419" t="s">
        <v>11641</v>
      </c>
      <c r="AX4419" t="s">
        <v>10838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</row>
    <row r="4420" spans="1:59">
      <c r="A4420" s="1">
        <f>HYPERLINK("https://lsnyc.legalserver.org/matter/dynamic-profile/view/1908592","19-1908592")</f>
        <v>0</v>
      </c>
      <c r="B4420" t="s">
        <v>3596</v>
      </c>
      <c r="C4420" t="s">
        <v>8399</v>
      </c>
      <c r="D4420" t="s">
        <v>9982</v>
      </c>
      <c r="E4420" t="s">
        <v>10075</v>
      </c>
      <c r="F4420">
        <v>11375</v>
      </c>
      <c r="G4420" t="s">
        <v>10092</v>
      </c>
      <c r="H4420" t="s">
        <v>10161</v>
      </c>
      <c r="I4420" t="s">
        <v>10168</v>
      </c>
      <c r="J4420" t="s">
        <v>10212</v>
      </c>
      <c r="K4420" t="s">
        <v>10217</v>
      </c>
      <c r="M4420" t="s">
        <v>10602</v>
      </c>
      <c r="N4420" t="s">
        <v>10650</v>
      </c>
      <c r="P4420" t="s">
        <v>10749</v>
      </c>
      <c r="Q4420" t="s">
        <v>10765</v>
      </c>
      <c r="R4420" t="s">
        <v>10821</v>
      </c>
      <c r="T4420">
        <v>36800</v>
      </c>
      <c r="U4420">
        <v>3066.67</v>
      </c>
      <c r="V4420">
        <v>45</v>
      </c>
      <c r="W4420">
        <v>3</v>
      </c>
      <c r="X4420">
        <v>0</v>
      </c>
      <c r="Z4420">
        <v>172.53</v>
      </c>
      <c r="AA4420">
        <v>40.718866</v>
      </c>
      <c r="AB4420">
        <v>-73.84194100000001</v>
      </c>
      <c r="AD4420" t="s">
        <v>10839</v>
      </c>
      <c r="AG4420" t="s">
        <v>10858</v>
      </c>
      <c r="AH4420" t="s">
        <v>10862</v>
      </c>
      <c r="AI4420">
        <v>237</v>
      </c>
      <c r="AJ4420" t="s">
        <v>10212</v>
      </c>
      <c r="AL4420">
        <v>1.46</v>
      </c>
      <c r="AM4420" t="s">
        <v>10890</v>
      </c>
      <c r="AN4420" t="s">
        <v>10952</v>
      </c>
      <c r="AO4420" t="s">
        <v>11009</v>
      </c>
      <c r="AP4420" t="s">
        <v>11083</v>
      </c>
      <c r="AR4420" t="s">
        <v>11467</v>
      </c>
      <c r="AS4420" t="s">
        <v>11594</v>
      </c>
      <c r="AX4420" t="s">
        <v>10838</v>
      </c>
      <c r="BA4420" t="s">
        <v>11738</v>
      </c>
      <c r="BB4420">
        <v>0</v>
      </c>
      <c r="BC4420">
        <v>0</v>
      </c>
      <c r="BD4420">
        <v>0</v>
      </c>
      <c r="BE4420">
        <v>0</v>
      </c>
      <c r="BF4420">
        <v>5</v>
      </c>
      <c r="BG4420">
        <v>0</v>
      </c>
    </row>
    <row r="4421" spans="1:59">
      <c r="A4421" s="1">
        <f>HYPERLINK("https://lsnyc.legalserver.org/matter/dynamic-profile/view/1908594","19-1908594")</f>
        <v>0</v>
      </c>
      <c r="B4421" t="s">
        <v>3597</v>
      </c>
      <c r="C4421" t="s">
        <v>8400</v>
      </c>
      <c r="D4421" t="s">
        <v>9941</v>
      </c>
      <c r="E4421" t="s">
        <v>10075</v>
      </c>
      <c r="F4421">
        <v>11429</v>
      </c>
      <c r="G4421" t="s">
        <v>10092</v>
      </c>
      <c r="H4421" t="s">
        <v>10161</v>
      </c>
      <c r="I4421" t="s">
        <v>10168</v>
      </c>
      <c r="J4421" t="s">
        <v>10212</v>
      </c>
      <c r="K4421" t="s">
        <v>10217</v>
      </c>
      <c r="M4421" t="s">
        <v>10260</v>
      </c>
      <c r="N4421" t="s">
        <v>10665</v>
      </c>
      <c r="P4421" t="s">
        <v>10751</v>
      </c>
      <c r="Q4421" t="s">
        <v>10773</v>
      </c>
      <c r="R4421" t="s">
        <v>10824</v>
      </c>
      <c r="T4421">
        <v>0</v>
      </c>
      <c r="U4421">
        <v>0</v>
      </c>
      <c r="V4421">
        <v>39</v>
      </c>
      <c r="W4421">
        <v>1</v>
      </c>
      <c r="X4421">
        <v>0</v>
      </c>
      <c r="Z4421">
        <v>0</v>
      </c>
      <c r="AA4421">
        <v>40.709654</v>
      </c>
      <c r="AB4421">
        <v>-73.751848</v>
      </c>
      <c r="AD4421" t="s">
        <v>10840</v>
      </c>
      <c r="AG4421" t="s">
        <v>10858</v>
      </c>
      <c r="AH4421" t="s">
        <v>10861</v>
      </c>
      <c r="AI4421">
        <v>234</v>
      </c>
      <c r="AJ4421" t="s">
        <v>10214</v>
      </c>
      <c r="AL4421">
        <v>3.5</v>
      </c>
      <c r="AM4421" t="s">
        <v>10892</v>
      </c>
      <c r="AN4421" t="s">
        <v>10940</v>
      </c>
      <c r="AO4421" t="s">
        <v>11020</v>
      </c>
      <c r="AP4421" t="s">
        <v>11075</v>
      </c>
      <c r="AR4421" t="s">
        <v>11267</v>
      </c>
      <c r="AS4421" t="s">
        <v>11594</v>
      </c>
      <c r="AT4421" t="s">
        <v>11642</v>
      </c>
      <c r="AX4421" t="s">
        <v>10838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</row>
    <row r="4422" spans="1:59">
      <c r="A4422" s="1">
        <f>HYPERLINK("https://lsnyc.legalserver.org/matter/dynamic-profile/view/1908595","19-1908595")</f>
        <v>0</v>
      </c>
      <c r="B4422" t="s">
        <v>1393</v>
      </c>
      <c r="C4422" t="s">
        <v>8401</v>
      </c>
      <c r="D4422" t="s">
        <v>9928</v>
      </c>
      <c r="E4422" t="s">
        <v>10075</v>
      </c>
      <c r="F4422">
        <v>11209</v>
      </c>
      <c r="G4422" t="s">
        <v>10093</v>
      </c>
      <c r="H4422" t="s">
        <v>10161</v>
      </c>
      <c r="I4422" t="s">
        <v>10168</v>
      </c>
      <c r="J4422" t="s">
        <v>10213</v>
      </c>
      <c r="K4422" t="s">
        <v>10218</v>
      </c>
      <c r="L4422" t="s">
        <v>10220</v>
      </c>
      <c r="M4422" t="s">
        <v>10405</v>
      </c>
      <c r="N4422" t="s">
        <v>10650</v>
      </c>
      <c r="P4422" t="s">
        <v>10749</v>
      </c>
      <c r="Q4422" t="s">
        <v>10765</v>
      </c>
      <c r="R4422" t="s">
        <v>10821</v>
      </c>
      <c r="T4422">
        <v>40312</v>
      </c>
      <c r="U4422">
        <v>3359.33</v>
      </c>
      <c r="V4422">
        <v>46</v>
      </c>
      <c r="W4422">
        <v>2</v>
      </c>
      <c r="X4422">
        <v>1</v>
      </c>
      <c r="Y4422" t="s">
        <v>10829</v>
      </c>
      <c r="Z4422">
        <v>188.99</v>
      </c>
      <c r="AA4422">
        <v>40.611423</v>
      </c>
      <c r="AB4422">
        <v>-74.03263699999999</v>
      </c>
      <c r="AD4422" t="s">
        <v>10839</v>
      </c>
      <c r="AG4422" t="s">
        <v>10858</v>
      </c>
      <c r="AH4422" t="s">
        <v>10861</v>
      </c>
      <c r="AI4422">
        <v>234</v>
      </c>
      <c r="AJ4422" t="s">
        <v>10214</v>
      </c>
      <c r="AK4422" t="s">
        <v>10838</v>
      </c>
      <c r="AL4422">
        <v>2.1</v>
      </c>
      <c r="AM4422" t="s">
        <v>10883</v>
      </c>
      <c r="AN4422" t="s">
        <v>10960</v>
      </c>
      <c r="AO4422" t="s">
        <v>11023</v>
      </c>
      <c r="AP4422" t="s">
        <v>11086</v>
      </c>
      <c r="AR4422" t="s">
        <v>11543</v>
      </c>
      <c r="AS4422" t="s">
        <v>11595</v>
      </c>
      <c r="AT4422" t="s">
        <v>11641</v>
      </c>
      <c r="AX4422" t="s">
        <v>10838</v>
      </c>
      <c r="AY4422" t="s">
        <v>10829</v>
      </c>
      <c r="AZ4422" t="s">
        <v>11681</v>
      </c>
      <c r="BA4422" t="s">
        <v>11741</v>
      </c>
      <c r="BB4422">
        <v>0</v>
      </c>
      <c r="BC4422">
        <v>0</v>
      </c>
      <c r="BD4422">
        <v>0</v>
      </c>
      <c r="BE4422">
        <v>0</v>
      </c>
      <c r="BF4422">
        <v>1</v>
      </c>
      <c r="BG4422">
        <v>0</v>
      </c>
    </row>
    <row r="4423" spans="1:59">
      <c r="A4423" s="1">
        <f>HYPERLINK("https://lsnyc.legalserver.org/matter/dynamic-profile/view/1908596","19-1908596")</f>
        <v>0</v>
      </c>
      <c r="B4423" t="s">
        <v>3598</v>
      </c>
      <c r="C4423" t="s">
        <v>8402</v>
      </c>
      <c r="D4423" t="s">
        <v>9938</v>
      </c>
      <c r="E4423" t="s">
        <v>10075</v>
      </c>
      <c r="F4423">
        <v>11436</v>
      </c>
      <c r="G4423" t="s">
        <v>10092</v>
      </c>
      <c r="H4423" t="s">
        <v>10161</v>
      </c>
      <c r="I4423" t="s">
        <v>10168</v>
      </c>
      <c r="J4423" t="s">
        <v>10212</v>
      </c>
      <c r="K4423" t="s">
        <v>10217</v>
      </c>
      <c r="M4423" t="s">
        <v>10318</v>
      </c>
      <c r="N4423" t="s">
        <v>10684</v>
      </c>
      <c r="P4423" t="s">
        <v>10751</v>
      </c>
      <c r="Q4423" t="s">
        <v>10786</v>
      </c>
      <c r="R4423" t="s">
        <v>10827</v>
      </c>
      <c r="T4423">
        <v>27300</v>
      </c>
      <c r="U4423">
        <v>2275</v>
      </c>
      <c r="V4423">
        <v>54</v>
      </c>
      <c r="W4423">
        <v>2</v>
      </c>
      <c r="X4423">
        <v>0</v>
      </c>
      <c r="Z4423">
        <v>161.44</v>
      </c>
      <c r="AA4423">
        <v>40.683682</v>
      </c>
      <c r="AB4423">
        <v>-73.79369800000001</v>
      </c>
      <c r="AD4423" t="s">
        <v>10840</v>
      </c>
      <c r="AG4423" t="s">
        <v>10858</v>
      </c>
      <c r="AH4423" t="s">
        <v>10871</v>
      </c>
      <c r="AI4423">
        <v>234</v>
      </c>
      <c r="AJ4423" t="s">
        <v>10214</v>
      </c>
      <c r="AL4423">
        <v>1</v>
      </c>
      <c r="AM4423" t="s">
        <v>10892</v>
      </c>
      <c r="AN4423" t="s">
        <v>10951</v>
      </c>
      <c r="AO4423" t="s">
        <v>11017</v>
      </c>
      <c r="AP4423" t="s">
        <v>11070</v>
      </c>
      <c r="AR4423" t="s">
        <v>11257</v>
      </c>
      <c r="AS4423" t="s">
        <v>11594</v>
      </c>
      <c r="AT4423" t="s">
        <v>11642</v>
      </c>
      <c r="AX4423" t="s">
        <v>10838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</row>
    <row r="4424" spans="1:59">
      <c r="A4424" s="1">
        <f>HYPERLINK("https://lsnyc.legalserver.org/matter/dynamic-profile/view/1908597","19-1908597")</f>
        <v>0</v>
      </c>
      <c r="B4424" t="s">
        <v>3599</v>
      </c>
      <c r="C4424" t="s">
        <v>8403</v>
      </c>
      <c r="D4424" t="s">
        <v>9938</v>
      </c>
      <c r="E4424" t="s">
        <v>10075</v>
      </c>
      <c r="F4424">
        <v>11432</v>
      </c>
      <c r="G4424" t="s">
        <v>10091</v>
      </c>
      <c r="H4424" t="s">
        <v>10161</v>
      </c>
      <c r="I4424" t="s">
        <v>10169</v>
      </c>
      <c r="J4424" t="s">
        <v>10214</v>
      </c>
      <c r="K4424" t="s">
        <v>10217</v>
      </c>
      <c r="M4424" t="s">
        <v>10547</v>
      </c>
      <c r="N4424" t="s">
        <v>10646</v>
      </c>
      <c r="P4424" t="s">
        <v>10753</v>
      </c>
      <c r="Q4424" t="s">
        <v>10763</v>
      </c>
      <c r="R4424" t="s">
        <v>10823</v>
      </c>
      <c r="T4424">
        <v>36400</v>
      </c>
      <c r="U4424">
        <v>3033.33</v>
      </c>
      <c r="V4424">
        <v>57</v>
      </c>
      <c r="W4424">
        <v>2</v>
      </c>
      <c r="X4424">
        <v>0</v>
      </c>
      <c r="Z4424">
        <v>215.26</v>
      </c>
      <c r="AA4424">
        <v>40.709165</v>
      </c>
      <c r="AB4424">
        <v>-73.790516</v>
      </c>
      <c r="AD4424" t="s">
        <v>10840</v>
      </c>
      <c r="AF4424" t="s">
        <v>10843</v>
      </c>
      <c r="AG4424" t="s">
        <v>10859</v>
      </c>
      <c r="AH4424" t="s">
        <v>10861</v>
      </c>
      <c r="AI4424">
        <v>234</v>
      </c>
      <c r="AJ4424" t="s">
        <v>10214</v>
      </c>
      <c r="AL4424">
        <v>0.4</v>
      </c>
      <c r="AM4424" t="s">
        <v>10892</v>
      </c>
      <c r="AN4424" t="s">
        <v>10955</v>
      </c>
      <c r="AO4424" t="s">
        <v>11022</v>
      </c>
      <c r="AP4424" t="s">
        <v>11075</v>
      </c>
      <c r="AR4424" t="s">
        <v>11257</v>
      </c>
      <c r="AS4424" t="s">
        <v>11594</v>
      </c>
      <c r="AT4424" t="s">
        <v>11641</v>
      </c>
      <c r="AX4424" t="s">
        <v>10838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</row>
    <row r="4425" spans="1:59">
      <c r="A4425" s="1">
        <f>HYPERLINK("https://lsnyc.legalserver.org/matter/dynamic-profile/view/1908599","19-1908599")</f>
        <v>0</v>
      </c>
      <c r="B4425" t="s">
        <v>3600</v>
      </c>
      <c r="C4425" t="s">
        <v>5401</v>
      </c>
      <c r="D4425" t="s">
        <v>9928</v>
      </c>
      <c r="E4425" t="s">
        <v>10075</v>
      </c>
      <c r="F4425">
        <v>11233</v>
      </c>
      <c r="G4425" t="s">
        <v>10093</v>
      </c>
      <c r="H4425" t="s">
        <v>10161</v>
      </c>
      <c r="I4425" t="s">
        <v>10168</v>
      </c>
      <c r="J4425" t="s">
        <v>10213</v>
      </c>
      <c r="K4425" t="s">
        <v>10218</v>
      </c>
      <c r="L4425" t="s">
        <v>10157</v>
      </c>
      <c r="M4425" t="s">
        <v>10505</v>
      </c>
      <c r="N4425" t="s">
        <v>10650</v>
      </c>
      <c r="P4425" t="s">
        <v>10749</v>
      </c>
      <c r="Q4425" t="s">
        <v>10765</v>
      </c>
      <c r="R4425" t="s">
        <v>10824</v>
      </c>
      <c r="T4425">
        <v>16568.3</v>
      </c>
      <c r="U4425">
        <v>1380.69</v>
      </c>
      <c r="V4425">
        <v>55</v>
      </c>
      <c r="W4425">
        <v>2</v>
      </c>
      <c r="X4425">
        <v>0</v>
      </c>
      <c r="Y4425" t="s">
        <v>10829</v>
      </c>
      <c r="Z4425">
        <v>97.98</v>
      </c>
      <c r="AA4425">
        <v>40.675515</v>
      </c>
      <c r="AB4425">
        <v>-73.911641</v>
      </c>
      <c r="AD4425" t="s">
        <v>10839</v>
      </c>
      <c r="AG4425" t="s">
        <v>10858</v>
      </c>
      <c r="AH4425" t="s">
        <v>10862</v>
      </c>
      <c r="AI4425">
        <v>239</v>
      </c>
      <c r="AJ4425" t="s">
        <v>10213</v>
      </c>
      <c r="AK4425" t="s">
        <v>10838</v>
      </c>
      <c r="AL4425">
        <v>1.4</v>
      </c>
      <c r="AM4425" t="s">
        <v>10889</v>
      </c>
      <c r="AN4425" t="s">
        <v>10922</v>
      </c>
      <c r="AO4425" t="s">
        <v>11007</v>
      </c>
      <c r="AP4425" t="s">
        <v>11064</v>
      </c>
      <c r="AQ4425" t="s">
        <v>11101</v>
      </c>
      <c r="AR4425" t="s">
        <v>11544</v>
      </c>
      <c r="AS4425" t="s">
        <v>11595</v>
      </c>
      <c r="AT4425" t="s">
        <v>11641</v>
      </c>
      <c r="AX4425" t="s">
        <v>10838</v>
      </c>
      <c r="AY4425" t="s">
        <v>10829</v>
      </c>
      <c r="AZ4425" t="s">
        <v>11681</v>
      </c>
      <c r="BA4425" t="s">
        <v>11741</v>
      </c>
      <c r="BB4425">
        <v>0</v>
      </c>
      <c r="BC4425">
        <v>0</v>
      </c>
      <c r="BD4425">
        <v>0</v>
      </c>
      <c r="BE4425">
        <v>0</v>
      </c>
      <c r="BF4425">
        <v>1</v>
      </c>
      <c r="BG4425">
        <v>0</v>
      </c>
    </row>
    <row r="4426" spans="1:59">
      <c r="A4426" s="1">
        <f>HYPERLINK("https://lsnyc.legalserver.org/matter/dynamic-profile/view/1908600","19-1908600")</f>
        <v>0</v>
      </c>
      <c r="B4426" t="s">
        <v>3601</v>
      </c>
      <c r="C4426" t="s">
        <v>8404</v>
      </c>
      <c r="D4426" t="s">
        <v>9946</v>
      </c>
      <c r="E4426" t="s">
        <v>10075</v>
      </c>
      <c r="F4426">
        <v>11385</v>
      </c>
      <c r="G4426" t="s">
        <v>10092</v>
      </c>
      <c r="H4426" t="s">
        <v>10161</v>
      </c>
      <c r="I4426" t="s">
        <v>10168</v>
      </c>
      <c r="J4426" t="s">
        <v>10212</v>
      </c>
      <c r="K4426" t="s">
        <v>10217</v>
      </c>
      <c r="M4426" t="s">
        <v>10428</v>
      </c>
      <c r="N4426" t="s">
        <v>10693</v>
      </c>
      <c r="P4426" t="s">
        <v>10749</v>
      </c>
      <c r="Q4426" t="s">
        <v>10765</v>
      </c>
      <c r="R4426" t="s">
        <v>10820</v>
      </c>
      <c r="T4426">
        <v>0</v>
      </c>
      <c r="U4426">
        <v>0</v>
      </c>
      <c r="V4426">
        <v>31</v>
      </c>
      <c r="W4426">
        <v>2</v>
      </c>
      <c r="X4426">
        <v>0</v>
      </c>
      <c r="Z4426">
        <v>0</v>
      </c>
      <c r="AA4426">
        <v>40.708078</v>
      </c>
      <c r="AB4426">
        <v>-73.91128399999999</v>
      </c>
      <c r="AD4426" t="s">
        <v>10840</v>
      </c>
      <c r="AG4426" t="s">
        <v>10858</v>
      </c>
      <c r="AH4426" t="s">
        <v>10862</v>
      </c>
      <c r="AI4426">
        <v>237</v>
      </c>
      <c r="AJ4426" t="s">
        <v>10212</v>
      </c>
      <c r="AL4426">
        <v>7.4</v>
      </c>
      <c r="AM4426" t="s">
        <v>10886</v>
      </c>
      <c r="AN4426" t="s">
        <v>10961</v>
      </c>
      <c r="AO4426" t="s">
        <v>11003</v>
      </c>
      <c r="AP4426" t="s">
        <v>11071</v>
      </c>
      <c r="AR4426" t="s">
        <v>11267</v>
      </c>
      <c r="AS4426" t="s">
        <v>11594</v>
      </c>
      <c r="BA4426" t="s">
        <v>11742</v>
      </c>
      <c r="BB4426">
        <v>0</v>
      </c>
      <c r="BC4426">
        <v>0</v>
      </c>
      <c r="BD4426">
        <v>0</v>
      </c>
      <c r="BE4426">
        <v>0</v>
      </c>
      <c r="BF4426">
        <v>7</v>
      </c>
      <c r="BG4426">
        <v>0</v>
      </c>
    </row>
    <row r="4427" spans="1:59">
      <c r="A4427" s="1">
        <f>HYPERLINK("https://lsnyc.legalserver.org/matter/dynamic-profile/view/1908601","19-1908601")</f>
        <v>0</v>
      </c>
      <c r="B4427" t="s">
        <v>3602</v>
      </c>
      <c r="C4427" t="s">
        <v>8405</v>
      </c>
      <c r="D4427" t="s">
        <v>9925</v>
      </c>
      <c r="E4427" t="s">
        <v>10075</v>
      </c>
      <c r="F4427">
        <v>10039</v>
      </c>
      <c r="G4427" t="s">
        <v>10089</v>
      </c>
      <c r="H4427" t="s">
        <v>10161</v>
      </c>
      <c r="I4427" t="s">
        <v>10168</v>
      </c>
      <c r="J4427" t="s">
        <v>10209</v>
      </c>
      <c r="K4427" t="s">
        <v>10217</v>
      </c>
      <c r="M4427" t="s">
        <v>10332</v>
      </c>
      <c r="N4427" t="s">
        <v>10690</v>
      </c>
      <c r="P4427" t="s">
        <v>10749</v>
      </c>
      <c r="Q4427" t="s">
        <v>10765</v>
      </c>
      <c r="R4427" t="s">
        <v>10824</v>
      </c>
      <c r="T4427">
        <v>38052</v>
      </c>
      <c r="U4427">
        <v>3171</v>
      </c>
      <c r="V4427">
        <v>34</v>
      </c>
      <c r="W4427">
        <v>1</v>
      </c>
      <c r="X4427">
        <v>0</v>
      </c>
      <c r="Z4427">
        <v>304.66</v>
      </c>
      <c r="AA4427">
        <v>40.827715</v>
      </c>
      <c r="AB4427">
        <v>-73.93863899999999</v>
      </c>
      <c r="AC4427" t="s">
        <v>10837</v>
      </c>
      <c r="AD4427" t="s">
        <v>10839</v>
      </c>
      <c r="AG4427" t="s">
        <v>10858</v>
      </c>
      <c r="AH4427" t="s">
        <v>10861</v>
      </c>
      <c r="AI4427">
        <v>234</v>
      </c>
      <c r="AJ4427" t="s">
        <v>10214</v>
      </c>
      <c r="AL4427">
        <v>5.7</v>
      </c>
      <c r="AM4427" t="s">
        <v>10887</v>
      </c>
      <c r="AN4427" t="s">
        <v>10943</v>
      </c>
      <c r="AO4427" t="s">
        <v>11016</v>
      </c>
      <c r="AP4427" t="s">
        <v>11076</v>
      </c>
      <c r="AR4427" t="s">
        <v>11303</v>
      </c>
      <c r="AS4427" t="s">
        <v>9925</v>
      </c>
      <c r="AT4427" t="s">
        <v>11641</v>
      </c>
      <c r="AX4427" t="s">
        <v>10838</v>
      </c>
      <c r="BA4427" t="s">
        <v>11738</v>
      </c>
      <c r="BB4427">
        <v>0</v>
      </c>
      <c r="BC4427">
        <v>0</v>
      </c>
      <c r="BD4427">
        <v>0</v>
      </c>
      <c r="BE4427">
        <v>0</v>
      </c>
      <c r="BF4427">
        <v>5</v>
      </c>
      <c r="BG4427">
        <v>0</v>
      </c>
    </row>
    <row r="4428" spans="1:59">
      <c r="A4428" s="1">
        <f>HYPERLINK("https://lsnyc.legalserver.org/matter/dynamic-profile/view/1908602","19-1908602")</f>
        <v>0</v>
      </c>
      <c r="B4428" t="s">
        <v>3603</v>
      </c>
      <c r="C4428" t="s">
        <v>8406</v>
      </c>
      <c r="D4428" t="s">
        <v>9945</v>
      </c>
      <c r="E4428" t="s">
        <v>10075</v>
      </c>
      <c r="F4428">
        <v>11422</v>
      </c>
      <c r="G4428" t="s">
        <v>10092</v>
      </c>
      <c r="H4428" t="s">
        <v>10161</v>
      </c>
      <c r="I4428" t="s">
        <v>10168</v>
      </c>
      <c r="J4428" t="s">
        <v>10212</v>
      </c>
      <c r="K4428" t="s">
        <v>10217</v>
      </c>
      <c r="M4428" t="s">
        <v>10387</v>
      </c>
      <c r="N4428" t="s">
        <v>10650</v>
      </c>
      <c r="P4428" t="s">
        <v>10749</v>
      </c>
      <c r="Q4428" t="s">
        <v>10765</v>
      </c>
      <c r="R4428" t="s">
        <v>10824</v>
      </c>
      <c r="T4428">
        <v>21168</v>
      </c>
      <c r="U4428">
        <v>1764</v>
      </c>
      <c r="V4428">
        <v>52</v>
      </c>
      <c r="W4428">
        <v>1</v>
      </c>
      <c r="X4428">
        <v>0</v>
      </c>
      <c r="Z4428">
        <v>169.48</v>
      </c>
      <c r="AA4428">
        <v>40.676465</v>
      </c>
      <c r="AB4428">
        <v>-73.73328100000001</v>
      </c>
      <c r="AD4428" t="s">
        <v>10839</v>
      </c>
      <c r="AG4428" t="s">
        <v>10858</v>
      </c>
      <c r="AH4428" t="s">
        <v>10862</v>
      </c>
      <c r="AI4428">
        <v>237</v>
      </c>
      <c r="AJ4428" t="s">
        <v>10212</v>
      </c>
      <c r="AL4428">
        <v>1.36</v>
      </c>
      <c r="AM4428" t="s">
        <v>10892</v>
      </c>
      <c r="AN4428" t="s">
        <v>10955</v>
      </c>
      <c r="AO4428" t="s">
        <v>11020</v>
      </c>
      <c r="AP4428" t="s">
        <v>11082</v>
      </c>
      <c r="AR4428" t="s">
        <v>11296</v>
      </c>
      <c r="AS4428" t="s">
        <v>11594</v>
      </c>
      <c r="BA4428" t="s">
        <v>11742</v>
      </c>
      <c r="BB4428">
        <v>0</v>
      </c>
      <c r="BC4428">
        <v>0</v>
      </c>
      <c r="BD4428">
        <v>0</v>
      </c>
      <c r="BE4428">
        <v>0</v>
      </c>
      <c r="BF4428">
        <v>7</v>
      </c>
      <c r="BG4428">
        <v>0</v>
      </c>
    </row>
    <row r="4429" spans="1:59">
      <c r="A4429" s="1">
        <f>HYPERLINK("https://lsnyc.legalserver.org/matter/dynamic-profile/view/1908603","19-1908603")</f>
        <v>0</v>
      </c>
      <c r="B4429" t="s">
        <v>3604</v>
      </c>
      <c r="C4429" t="s">
        <v>8407</v>
      </c>
      <c r="D4429" t="s">
        <v>9968</v>
      </c>
      <c r="E4429" t="s">
        <v>10075</v>
      </c>
      <c r="F4429">
        <v>11411</v>
      </c>
      <c r="G4429" t="s">
        <v>10092</v>
      </c>
      <c r="H4429" t="s">
        <v>10161</v>
      </c>
      <c r="I4429" t="s">
        <v>10168</v>
      </c>
      <c r="J4429" t="s">
        <v>10212</v>
      </c>
      <c r="K4429" t="s">
        <v>10218</v>
      </c>
      <c r="L4429" t="s">
        <v>10166</v>
      </c>
      <c r="M4429" t="s">
        <v>10331</v>
      </c>
      <c r="N4429" t="s">
        <v>10675</v>
      </c>
      <c r="P4429" t="s">
        <v>10754</v>
      </c>
      <c r="Q4429" t="s">
        <v>10771</v>
      </c>
      <c r="R4429" t="s">
        <v>10824</v>
      </c>
      <c r="T4429">
        <v>23220</v>
      </c>
      <c r="U4429">
        <v>1935</v>
      </c>
      <c r="V4429">
        <v>35</v>
      </c>
      <c r="W4429">
        <v>1</v>
      </c>
      <c r="X4429">
        <v>1</v>
      </c>
      <c r="Y4429" t="s">
        <v>10829</v>
      </c>
      <c r="Z4429">
        <v>137.32</v>
      </c>
      <c r="AA4429">
        <v>40.692363</v>
      </c>
      <c r="AB4429">
        <v>-73.739874</v>
      </c>
      <c r="AC4429" t="s">
        <v>10837</v>
      </c>
      <c r="AD4429" t="s">
        <v>10840</v>
      </c>
      <c r="AG4429" t="s">
        <v>10858</v>
      </c>
      <c r="AH4429" t="s">
        <v>10861</v>
      </c>
      <c r="AI4429">
        <v>234</v>
      </c>
      <c r="AJ4429" t="s">
        <v>10214</v>
      </c>
      <c r="AK4429" t="s">
        <v>10838</v>
      </c>
      <c r="AL4429">
        <v>1.25</v>
      </c>
      <c r="AM4429" t="s">
        <v>10892</v>
      </c>
      <c r="AN4429" t="s">
        <v>10940</v>
      </c>
      <c r="AO4429" t="s">
        <v>11020</v>
      </c>
      <c r="AP4429" t="s">
        <v>11075</v>
      </c>
      <c r="AQ4429" t="s">
        <v>11102</v>
      </c>
      <c r="AR4429" t="s">
        <v>11303</v>
      </c>
      <c r="AS4429" t="s">
        <v>11594</v>
      </c>
      <c r="AT4429" t="s">
        <v>11642</v>
      </c>
      <c r="AX4429" t="s">
        <v>11678</v>
      </c>
      <c r="AY4429" t="s">
        <v>10829</v>
      </c>
      <c r="AZ4429" t="s">
        <v>11683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</row>
    <row r="4430" spans="1:59">
      <c r="A4430" s="1">
        <f>HYPERLINK("https://lsnyc.legalserver.org/matter/dynamic-profile/view/1908604","19-1908604")</f>
        <v>0</v>
      </c>
      <c r="B4430" t="s">
        <v>3605</v>
      </c>
      <c r="C4430" t="s">
        <v>8408</v>
      </c>
      <c r="D4430" t="s">
        <v>9949</v>
      </c>
      <c r="E4430" t="s">
        <v>10075</v>
      </c>
      <c r="F4430">
        <v>11413</v>
      </c>
      <c r="G4430" t="s">
        <v>10092</v>
      </c>
      <c r="H4430" t="s">
        <v>10161</v>
      </c>
      <c r="J4430" t="s">
        <v>10212</v>
      </c>
      <c r="K4430" t="s">
        <v>10217</v>
      </c>
      <c r="M4430" t="s">
        <v>10485</v>
      </c>
      <c r="N4430" t="s">
        <v>10678</v>
      </c>
      <c r="P4430" t="s">
        <v>10749</v>
      </c>
      <c r="Q4430" t="s">
        <v>10769</v>
      </c>
      <c r="R4430" t="s">
        <v>10824</v>
      </c>
      <c r="T4430">
        <v>64298</v>
      </c>
      <c r="U4430">
        <v>5358.17</v>
      </c>
      <c r="V4430">
        <v>49</v>
      </c>
      <c r="W4430">
        <v>4</v>
      </c>
      <c r="X4430">
        <v>2</v>
      </c>
      <c r="Z4430">
        <v>185.89</v>
      </c>
      <c r="AA4430">
        <v>40.667588</v>
      </c>
      <c r="AB4430">
        <v>-73.782877</v>
      </c>
      <c r="AD4430" t="s">
        <v>10839</v>
      </c>
      <c r="AG4430" t="s">
        <v>10858</v>
      </c>
      <c r="AH4430" t="s">
        <v>10860</v>
      </c>
      <c r="AI4430">
        <v>237</v>
      </c>
      <c r="AJ4430" t="s">
        <v>10212</v>
      </c>
      <c r="AL4430">
        <v>6.15</v>
      </c>
      <c r="AM4430" t="s">
        <v>10892</v>
      </c>
      <c r="AN4430" t="s">
        <v>10951</v>
      </c>
      <c r="AO4430" t="s">
        <v>11017</v>
      </c>
      <c r="AP4430" t="s">
        <v>11070</v>
      </c>
      <c r="AR4430" t="s">
        <v>11257</v>
      </c>
      <c r="AS4430" t="s">
        <v>11594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</row>
    <row r="4431" spans="1:59">
      <c r="A4431" s="1">
        <f>HYPERLINK("https://lsnyc.legalserver.org/matter/dynamic-profile/view/1908605","19-1908605")</f>
        <v>0</v>
      </c>
      <c r="B4431" t="s">
        <v>3606</v>
      </c>
      <c r="C4431" t="s">
        <v>8409</v>
      </c>
      <c r="D4431" t="s">
        <v>9928</v>
      </c>
      <c r="E4431" t="s">
        <v>10075</v>
      </c>
      <c r="F4431">
        <v>11210</v>
      </c>
      <c r="G4431" t="s">
        <v>10093</v>
      </c>
      <c r="H4431" t="s">
        <v>10161</v>
      </c>
      <c r="I4431" t="s">
        <v>10168</v>
      </c>
      <c r="J4431" t="s">
        <v>10213</v>
      </c>
      <c r="K4431" t="s">
        <v>10217</v>
      </c>
      <c r="M4431" t="s">
        <v>10304</v>
      </c>
      <c r="N4431" t="s">
        <v>10671</v>
      </c>
      <c r="P4431" t="s">
        <v>10749</v>
      </c>
      <c r="Q4431" t="s">
        <v>10765</v>
      </c>
      <c r="R4431" t="s">
        <v>10822</v>
      </c>
      <c r="T4431">
        <v>0</v>
      </c>
      <c r="U4431">
        <v>0</v>
      </c>
      <c r="V4431">
        <v>34</v>
      </c>
      <c r="W4431">
        <v>1</v>
      </c>
      <c r="X4431">
        <v>0</v>
      </c>
      <c r="Z4431">
        <v>0</v>
      </c>
      <c r="AA4431">
        <v>40.634301</v>
      </c>
      <c r="AB4431">
        <v>-73.94659</v>
      </c>
      <c r="AD4431" t="s">
        <v>10822</v>
      </c>
      <c r="AG4431" t="s">
        <v>10858</v>
      </c>
      <c r="AH4431" t="s">
        <v>10861</v>
      </c>
      <c r="AI4431">
        <v>234</v>
      </c>
      <c r="AJ4431" t="s">
        <v>10214</v>
      </c>
      <c r="AL4431">
        <v>0.5</v>
      </c>
      <c r="AM4431" t="s">
        <v>10888</v>
      </c>
      <c r="AN4431" t="s">
        <v>10932</v>
      </c>
      <c r="AO4431" t="s">
        <v>11008</v>
      </c>
      <c r="AP4431" t="s">
        <v>11065</v>
      </c>
      <c r="AR4431" t="s">
        <v>11267</v>
      </c>
      <c r="AS4431" t="s">
        <v>11595</v>
      </c>
      <c r="AT4431" t="s">
        <v>10822</v>
      </c>
      <c r="AX4431" t="s">
        <v>11678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</row>
    <row r="4432" spans="1:59">
      <c r="A4432" s="1">
        <f>HYPERLINK("https://lsnyc.legalserver.org/matter/dynamic-profile/view/1908606","19-1908606")</f>
        <v>0</v>
      </c>
      <c r="B4432" t="s">
        <v>3607</v>
      </c>
      <c r="C4432" t="s">
        <v>8410</v>
      </c>
      <c r="D4432" t="s">
        <v>9926</v>
      </c>
      <c r="E4432" t="s">
        <v>10075</v>
      </c>
      <c r="F4432">
        <v>10458</v>
      </c>
      <c r="G4432" t="s">
        <v>10090</v>
      </c>
      <c r="H4432" t="s">
        <v>10161</v>
      </c>
      <c r="I4432" t="s">
        <v>10168</v>
      </c>
      <c r="J4432" t="s">
        <v>10210</v>
      </c>
      <c r="K4432" t="s">
        <v>10218</v>
      </c>
      <c r="L4432" t="s">
        <v>10155</v>
      </c>
      <c r="M4432" t="s">
        <v>10336</v>
      </c>
      <c r="N4432" t="s">
        <v>10690</v>
      </c>
      <c r="O4432" t="s">
        <v>10690</v>
      </c>
      <c r="P4432" t="s">
        <v>10754</v>
      </c>
      <c r="Q4432" t="s">
        <v>10775</v>
      </c>
      <c r="R4432" t="s">
        <v>10821</v>
      </c>
      <c r="T4432">
        <v>39520</v>
      </c>
      <c r="U4432">
        <v>3293.33</v>
      </c>
      <c r="V4432">
        <v>23</v>
      </c>
      <c r="W4432">
        <v>1</v>
      </c>
      <c r="X4432">
        <v>0</v>
      </c>
      <c r="Y4432" t="s">
        <v>10829</v>
      </c>
      <c r="Z4432">
        <v>316.41</v>
      </c>
      <c r="AA4432">
        <v>40.867404</v>
      </c>
      <c r="AB4432">
        <v>-73.892826</v>
      </c>
      <c r="AC4432" t="s">
        <v>10837</v>
      </c>
      <c r="AD4432" t="s">
        <v>10839</v>
      </c>
      <c r="AG4432" t="s">
        <v>10858</v>
      </c>
      <c r="AH4432" t="s">
        <v>10861</v>
      </c>
      <c r="AI4432">
        <v>234</v>
      </c>
      <c r="AJ4432" t="s">
        <v>10214</v>
      </c>
      <c r="AK4432" t="s">
        <v>10838</v>
      </c>
      <c r="AL4432">
        <v>2.2</v>
      </c>
      <c r="AM4432" t="s">
        <v>10887</v>
      </c>
      <c r="AN4432" t="s">
        <v>10907</v>
      </c>
      <c r="AO4432" t="s">
        <v>11000</v>
      </c>
      <c r="AP4432" t="s">
        <v>11056</v>
      </c>
      <c r="AQ4432" t="s">
        <v>11143</v>
      </c>
      <c r="AR4432" t="s">
        <v>11257</v>
      </c>
      <c r="AS4432" t="s">
        <v>9926</v>
      </c>
      <c r="AT4432" t="s">
        <v>11641</v>
      </c>
      <c r="AX4432" t="s">
        <v>10838</v>
      </c>
      <c r="AY4432" t="s">
        <v>10829</v>
      </c>
      <c r="AZ4432" t="s">
        <v>11683</v>
      </c>
      <c r="BA4432" t="s">
        <v>11742</v>
      </c>
      <c r="BB4432">
        <v>0</v>
      </c>
      <c r="BC4432">
        <v>0</v>
      </c>
      <c r="BD4432">
        <v>0</v>
      </c>
      <c r="BE4432">
        <v>0</v>
      </c>
      <c r="BF4432">
        <v>7</v>
      </c>
      <c r="BG4432">
        <v>0</v>
      </c>
    </row>
    <row r="4433" spans="1:59">
      <c r="A4433" s="1">
        <f>HYPERLINK("https://lsnyc.legalserver.org/matter/dynamic-profile/view/1908607","19-1908607")</f>
        <v>0</v>
      </c>
      <c r="B4433" t="s">
        <v>3608</v>
      </c>
      <c r="C4433" t="s">
        <v>8411</v>
      </c>
      <c r="D4433" t="s">
        <v>9947</v>
      </c>
      <c r="E4433" t="s">
        <v>10075</v>
      </c>
      <c r="F4433">
        <v>11374</v>
      </c>
      <c r="G4433" t="s">
        <v>10092</v>
      </c>
      <c r="H4433" t="s">
        <v>10161</v>
      </c>
      <c r="I4433" t="s">
        <v>10168</v>
      </c>
      <c r="J4433" t="s">
        <v>10212</v>
      </c>
      <c r="K4433" t="s">
        <v>10217</v>
      </c>
      <c r="M4433" t="s">
        <v>10601</v>
      </c>
      <c r="N4433" t="s">
        <v>10695</v>
      </c>
      <c r="P4433" t="s">
        <v>10749</v>
      </c>
      <c r="Q4433" t="s">
        <v>10765</v>
      </c>
      <c r="R4433" t="s">
        <v>10821</v>
      </c>
      <c r="T4433">
        <v>0</v>
      </c>
      <c r="U4433">
        <v>0</v>
      </c>
      <c r="V4433">
        <v>29</v>
      </c>
      <c r="W4433">
        <v>1</v>
      </c>
      <c r="X4433">
        <v>1</v>
      </c>
      <c r="Z4433">
        <v>0</v>
      </c>
      <c r="AA4433">
        <v>40.728385</v>
      </c>
      <c r="AB4433">
        <v>-73.85328699999999</v>
      </c>
      <c r="AD4433" t="s">
        <v>10839</v>
      </c>
      <c r="AG4433" t="s">
        <v>10858</v>
      </c>
      <c r="AH4433" t="s">
        <v>10862</v>
      </c>
      <c r="AI4433">
        <v>237</v>
      </c>
      <c r="AJ4433" t="s">
        <v>10212</v>
      </c>
      <c r="AL4433">
        <v>8.050000000000001</v>
      </c>
      <c r="AM4433" t="s">
        <v>10890</v>
      </c>
      <c r="AN4433" t="s">
        <v>10952</v>
      </c>
      <c r="AO4433" t="s">
        <v>11009</v>
      </c>
      <c r="AP4433" t="s">
        <v>11083</v>
      </c>
      <c r="AR4433" t="s">
        <v>11267</v>
      </c>
      <c r="AS4433" t="s">
        <v>11594</v>
      </c>
      <c r="AX4433" t="s">
        <v>10838</v>
      </c>
      <c r="BA4433" t="s">
        <v>11738</v>
      </c>
      <c r="BB4433">
        <v>0</v>
      </c>
      <c r="BC4433">
        <v>0</v>
      </c>
      <c r="BD4433">
        <v>0</v>
      </c>
      <c r="BE4433">
        <v>0</v>
      </c>
      <c r="BF4433">
        <v>5</v>
      </c>
      <c r="BG4433">
        <v>0</v>
      </c>
    </row>
    <row r="4434" spans="1:59">
      <c r="A4434" s="1">
        <f>HYPERLINK("https://lsnyc.legalserver.org/matter/dynamic-profile/view/1908608","19-1908608")</f>
        <v>0</v>
      </c>
      <c r="B4434" t="s">
        <v>3609</v>
      </c>
      <c r="C4434" t="s">
        <v>8412</v>
      </c>
      <c r="D4434" t="s">
        <v>9926</v>
      </c>
      <c r="E4434" t="s">
        <v>10075</v>
      </c>
      <c r="F4434">
        <v>10455</v>
      </c>
      <c r="G4434" t="s">
        <v>10090</v>
      </c>
      <c r="H4434" t="s">
        <v>10161</v>
      </c>
      <c r="I4434" t="s">
        <v>10169</v>
      </c>
      <c r="J4434" t="s">
        <v>10210</v>
      </c>
      <c r="K4434" t="s">
        <v>10217</v>
      </c>
      <c r="M4434" t="s">
        <v>10569</v>
      </c>
      <c r="N4434" t="s">
        <v>10656</v>
      </c>
      <c r="P4434" t="s">
        <v>10751</v>
      </c>
      <c r="Q4434" t="s">
        <v>10768</v>
      </c>
      <c r="R4434" t="s">
        <v>10823</v>
      </c>
      <c r="T4434">
        <v>0</v>
      </c>
      <c r="U4434">
        <v>0</v>
      </c>
      <c r="V4434">
        <v>60</v>
      </c>
      <c r="W4434">
        <v>1</v>
      </c>
      <c r="X4434">
        <v>0</v>
      </c>
      <c r="Z4434">
        <v>0</v>
      </c>
      <c r="AA4434">
        <v>40.814886</v>
      </c>
      <c r="AB4434">
        <v>-73.919472</v>
      </c>
      <c r="AD4434" t="s">
        <v>10840</v>
      </c>
      <c r="AG4434" t="s">
        <v>10858</v>
      </c>
      <c r="AH4434" t="s">
        <v>10861</v>
      </c>
      <c r="AI4434">
        <v>234</v>
      </c>
      <c r="AJ4434" t="s">
        <v>10214</v>
      </c>
      <c r="AL4434">
        <v>10.3</v>
      </c>
      <c r="AM4434" t="s">
        <v>10884</v>
      </c>
      <c r="AN4434" t="s">
        <v>10924</v>
      </c>
      <c r="AO4434" t="s">
        <v>11013</v>
      </c>
      <c r="AP4434" t="s">
        <v>11066</v>
      </c>
      <c r="AR4434" t="s">
        <v>11255</v>
      </c>
      <c r="AS4434" t="s">
        <v>9926</v>
      </c>
      <c r="AT4434" t="s">
        <v>11642</v>
      </c>
      <c r="AX4434" t="s">
        <v>10838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</row>
    <row r="4435" spans="1:59">
      <c r="A4435" s="1">
        <f>HYPERLINK("https://lsnyc.legalserver.org/matter/dynamic-profile/view/1908609","19-1908609")</f>
        <v>0</v>
      </c>
      <c r="B4435" t="s">
        <v>3610</v>
      </c>
      <c r="C4435" t="s">
        <v>8413</v>
      </c>
      <c r="D4435" t="s">
        <v>9931</v>
      </c>
      <c r="E4435" t="s">
        <v>10075</v>
      </c>
      <c r="F4435">
        <v>11354</v>
      </c>
      <c r="G4435" t="s">
        <v>10092</v>
      </c>
      <c r="H4435" t="s">
        <v>10161</v>
      </c>
      <c r="I4435" t="s">
        <v>10189</v>
      </c>
      <c r="J4435" t="s">
        <v>10212</v>
      </c>
      <c r="K4435" t="s">
        <v>10217</v>
      </c>
      <c r="M4435" t="s">
        <v>10282</v>
      </c>
      <c r="N4435" t="s">
        <v>10714</v>
      </c>
      <c r="P4435" t="s">
        <v>10753</v>
      </c>
      <c r="Q4435" t="s">
        <v>10763</v>
      </c>
      <c r="R4435" t="s">
        <v>10827</v>
      </c>
      <c r="T4435">
        <v>24000</v>
      </c>
      <c r="U4435">
        <v>2000</v>
      </c>
      <c r="V4435">
        <v>35</v>
      </c>
      <c r="W4435">
        <v>2</v>
      </c>
      <c r="X4435">
        <v>1</v>
      </c>
      <c r="Z4435">
        <v>112.52</v>
      </c>
      <c r="AA4435">
        <v>40.756583</v>
      </c>
      <c r="AB4435">
        <v>-73.83743200000001</v>
      </c>
      <c r="AD4435" t="s">
        <v>10840</v>
      </c>
      <c r="AF4435" t="s">
        <v>10851</v>
      </c>
      <c r="AG4435" t="s">
        <v>10859</v>
      </c>
      <c r="AH4435" t="s">
        <v>10864</v>
      </c>
      <c r="AI4435">
        <v>237</v>
      </c>
      <c r="AJ4435" t="s">
        <v>10212</v>
      </c>
      <c r="AL4435">
        <v>1.6</v>
      </c>
      <c r="AM4435" t="s">
        <v>10890</v>
      </c>
      <c r="AN4435" t="s">
        <v>10927</v>
      </c>
      <c r="AO4435" t="s">
        <v>11022</v>
      </c>
      <c r="AP4435" t="s">
        <v>11067</v>
      </c>
      <c r="AQ4435" t="s">
        <v>11178</v>
      </c>
      <c r="AR4435" t="s">
        <v>11257</v>
      </c>
      <c r="AS4435" t="s">
        <v>11594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</row>
    <row r="4436" spans="1:59">
      <c r="A4436" s="1">
        <f>HYPERLINK("https://lsnyc.legalserver.org/matter/dynamic-profile/view/1908610","19-1908610")</f>
        <v>0</v>
      </c>
      <c r="B4436" t="s">
        <v>3611</v>
      </c>
      <c r="C4436" t="s">
        <v>8414</v>
      </c>
      <c r="D4436" t="s">
        <v>9926</v>
      </c>
      <c r="E4436" t="s">
        <v>10075</v>
      </c>
      <c r="F4436">
        <v>10451</v>
      </c>
      <c r="G4436" t="s">
        <v>10090</v>
      </c>
      <c r="H4436" t="s">
        <v>10161</v>
      </c>
      <c r="I4436" t="s">
        <v>10168</v>
      </c>
      <c r="J4436" t="s">
        <v>10210</v>
      </c>
      <c r="K4436" t="s">
        <v>10217</v>
      </c>
      <c r="M4436" t="s">
        <v>10593</v>
      </c>
      <c r="N4436" t="s">
        <v>10677</v>
      </c>
      <c r="P4436" t="s">
        <v>10751</v>
      </c>
      <c r="Q4436" t="s">
        <v>10786</v>
      </c>
      <c r="R4436" t="s">
        <v>10824</v>
      </c>
      <c r="T4436">
        <v>9840</v>
      </c>
      <c r="U4436">
        <v>820</v>
      </c>
      <c r="V4436">
        <v>72</v>
      </c>
      <c r="W4436">
        <v>1</v>
      </c>
      <c r="X4436">
        <v>0</v>
      </c>
      <c r="Z4436">
        <v>78.78</v>
      </c>
      <c r="AA4436">
        <v>40.821463</v>
      </c>
      <c r="AB4436">
        <v>-73.91949200000001</v>
      </c>
      <c r="AD4436" t="s">
        <v>10839</v>
      </c>
      <c r="AG4436" t="s">
        <v>10858</v>
      </c>
      <c r="AH4436" t="s">
        <v>10861</v>
      </c>
      <c r="AI4436">
        <v>234</v>
      </c>
      <c r="AJ4436" t="s">
        <v>10214</v>
      </c>
      <c r="AL4436">
        <v>16.75</v>
      </c>
      <c r="AM4436" t="s">
        <v>10884</v>
      </c>
      <c r="AN4436" t="s">
        <v>10918</v>
      </c>
      <c r="AO4436" t="s">
        <v>11001</v>
      </c>
      <c r="AP4436" t="s">
        <v>11062</v>
      </c>
      <c r="AR4436" t="s">
        <v>11274</v>
      </c>
      <c r="AS4436" t="s">
        <v>9926</v>
      </c>
      <c r="AT4436" t="s">
        <v>11641</v>
      </c>
      <c r="AX4436" t="s">
        <v>10838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</row>
    <row r="4437" spans="1:59">
      <c r="A4437" s="1">
        <f>HYPERLINK("https://lsnyc.legalserver.org/matter/dynamic-profile/view/1908611","19-1908611")</f>
        <v>0</v>
      </c>
      <c r="B4437" t="s">
        <v>574</v>
      </c>
      <c r="C4437" t="s">
        <v>8415</v>
      </c>
      <c r="D4437" t="s">
        <v>9928</v>
      </c>
      <c r="E4437" t="s">
        <v>10075</v>
      </c>
      <c r="F4437">
        <v>11239</v>
      </c>
      <c r="G4437" t="s">
        <v>10093</v>
      </c>
      <c r="H4437" t="s">
        <v>10161</v>
      </c>
      <c r="I4437" t="s">
        <v>10168</v>
      </c>
      <c r="J4437" t="s">
        <v>10213</v>
      </c>
      <c r="K4437" t="s">
        <v>10217</v>
      </c>
      <c r="M4437" t="s">
        <v>10439</v>
      </c>
      <c r="N4437" t="s">
        <v>10650</v>
      </c>
      <c r="P4437" t="s">
        <v>10749</v>
      </c>
      <c r="Q4437" t="s">
        <v>10765</v>
      </c>
      <c r="R4437" t="s">
        <v>10824</v>
      </c>
      <c r="T4437">
        <v>18000</v>
      </c>
      <c r="U4437">
        <v>1500</v>
      </c>
      <c r="V4437">
        <v>50</v>
      </c>
      <c r="W4437">
        <v>1</v>
      </c>
      <c r="X4437">
        <v>0</v>
      </c>
      <c r="Z4437">
        <v>144.12</v>
      </c>
      <c r="AA4437">
        <v>40.645716</v>
      </c>
      <c r="AB4437">
        <v>-73.87996800000001</v>
      </c>
      <c r="AD4437" t="s">
        <v>10839</v>
      </c>
      <c r="AG4437" t="s">
        <v>10858</v>
      </c>
      <c r="AH4437" t="s">
        <v>10861</v>
      </c>
      <c r="AI4437">
        <v>234</v>
      </c>
      <c r="AJ4437" t="s">
        <v>10214</v>
      </c>
      <c r="AL4437">
        <v>2.1</v>
      </c>
      <c r="AM4437" t="s">
        <v>10889</v>
      </c>
      <c r="AN4437" t="s">
        <v>10946</v>
      </c>
      <c r="AO4437" t="s">
        <v>11012</v>
      </c>
      <c r="AP4437" t="s">
        <v>11060</v>
      </c>
      <c r="AQ4437" t="s">
        <v>11101</v>
      </c>
      <c r="AR4437" t="s">
        <v>11296</v>
      </c>
      <c r="AS4437" t="s">
        <v>11595</v>
      </c>
      <c r="AT4437" t="s">
        <v>11641</v>
      </c>
      <c r="AX4437" t="s">
        <v>10838</v>
      </c>
      <c r="BA4437" t="s">
        <v>11742</v>
      </c>
      <c r="BB4437">
        <v>0</v>
      </c>
      <c r="BC4437">
        <v>0</v>
      </c>
      <c r="BD4437">
        <v>0</v>
      </c>
      <c r="BE4437">
        <v>0</v>
      </c>
      <c r="BF4437">
        <v>7</v>
      </c>
      <c r="BG4437">
        <v>0</v>
      </c>
    </row>
    <row r="4438" spans="1:59">
      <c r="A4438" s="1">
        <f>HYPERLINK("https://lsnyc.legalserver.org/matter/dynamic-profile/view/1908612","19-1908612")</f>
        <v>0</v>
      </c>
      <c r="B4438" t="s">
        <v>3612</v>
      </c>
      <c r="C4438" t="s">
        <v>8416</v>
      </c>
      <c r="D4438" t="s">
        <v>10047</v>
      </c>
      <c r="E4438" t="s">
        <v>10075</v>
      </c>
      <c r="F4438">
        <v>11362</v>
      </c>
      <c r="G4438" t="s">
        <v>10092</v>
      </c>
      <c r="H4438" t="s">
        <v>10161</v>
      </c>
      <c r="I4438" t="s">
        <v>10168</v>
      </c>
      <c r="J4438" t="s">
        <v>10212</v>
      </c>
      <c r="K4438" t="s">
        <v>10217</v>
      </c>
      <c r="M4438" t="s">
        <v>10387</v>
      </c>
      <c r="N4438" t="s">
        <v>10695</v>
      </c>
      <c r="P4438" t="s">
        <v>10749</v>
      </c>
      <c r="Q4438" t="s">
        <v>10765</v>
      </c>
      <c r="R4438" t="s">
        <v>10821</v>
      </c>
      <c r="T4438">
        <v>31200</v>
      </c>
      <c r="U4438">
        <v>2600</v>
      </c>
      <c r="V4438">
        <v>44</v>
      </c>
      <c r="W4438">
        <v>4</v>
      </c>
      <c r="X4438">
        <v>0</v>
      </c>
      <c r="Z4438">
        <v>121.17</v>
      </c>
      <c r="AA4438">
        <v>40.764972</v>
      </c>
      <c r="AB4438">
        <v>-73.73099000000001</v>
      </c>
      <c r="AD4438" t="s">
        <v>10839</v>
      </c>
      <c r="AG4438" t="s">
        <v>10858</v>
      </c>
      <c r="AH4438" t="s">
        <v>10862</v>
      </c>
      <c r="AI4438">
        <v>237</v>
      </c>
      <c r="AJ4438" t="s">
        <v>10212</v>
      </c>
      <c r="AL4438">
        <v>0.51</v>
      </c>
      <c r="AM4438" t="s">
        <v>10895</v>
      </c>
      <c r="AN4438" t="s">
        <v>10948</v>
      </c>
      <c r="AO4438" t="s">
        <v>11022</v>
      </c>
      <c r="AP4438" t="s">
        <v>11080</v>
      </c>
      <c r="AR4438" t="s">
        <v>11257</v>
      </c>
      <c r="AS4438" t="s">
        <v>11594</v>
      </c>
      <c r="BA4438" t="s">
        <v>11742</v>
      </c>
      <c r="BB4438">
        <v>0</v>
      </c>
      <c r="BC4438">
        <v>0</v>
      </c>
      <c r="BD4438">
        <v>0</v>
      </c>
      <c r="BE4438">
        <v>0</v>
      </c>
      <c r="BF4438">
        <v>7</v>
      </c>
      <c r="BG4438">
        <v>0</v>
      </c>
    </row>
    <row r="4439" spans="1:59">
      <c r="A4439" s="1">
        <f>HYPERLINK("https://lsnyc.legalserver.org/matter/dynamic-profile/view/1908613","19-1908613")</f>
        <v>0</v>
      </c>
      <c r="B4439" t="s">
        <v>2336</v>
      </c>
      <c r="C4439" t="s">
        <v>8417</v>
      </c>
      <c r="D4439" t="s">
        <v>9929</v>
      </c>
      <c r="E4439" t="s">
        <v>10075</v>
      </c>
      <c r="F4439">
        <v>10304</v>
      </c>
      <c r="G4439" t="s">
        <v>10088</v>
      </c>
      <c r="H4439" t="s">
        <v>10161</v>
      </c>
      <c r="I4439" t="s">
        <v>10168</v>
      </c>
      <c r="J4439" t="s">
        <v>10208</v>
      </c>
      <c r="K4439" t="s">
        <v>10217</v>
      </c>
      <c r="M4439" t="s">
        <v>10466</v>
      </c>
      <c r="N4439" t="s">
        <v>10671</v>
      </c>
      <c r="P4439" t="s">
        <v>10753</v>
      </c>
      <c r="Q4439" t="s">
        <v>10809</v>
      </c>
      <c r="R4439" t="s">
        <v>10820</v>
      </c>
      <c r="T4439">
        <v>0</v>
      </c>
      <c r="U4439">
        <v>0</v>
      </c>
      <c r="V4439">
        <v>46</v>
      </c>
      <c r="W4439">
        <v>1</v>
      </c>
      <c r="X4439">
        <v>0</v>
      </c>
      <c r="Z4439">
        <v>0</v>
      </c>
      <c r="AA4439">
        <v>40.621029</v>
      </c>
      <c r="AB4439">
        <v>-74.076322</v>
      </c>
      <c r="AD4439" t="s">
        <v>10840</v>
      </c>
      <c r="AG4439" t="s">
        <v>10858</v>
      </c>
      <c r="AH4439" t="s">
        <v>10871</v>
      </c>
      <c r="AI4439">
        <v>234</v>
      </c>
      <c r="AJ4439" t="s">
        <v>10214</v>
      </c>
      <c r="AL4439">
        <v>1</v>
      </c>
      <c r="AM4439" t="s">
        <v>10883</v>
      </c>
      <c r="AN4439" t="s">
        <v>10913</v>
      </c>
      <c r="AO4439" t="s">
        <v>11006</v>
      </c>
      <c r="AP4439" t="s">
        <v>11051</v>
      </c>
      <c r="AR4439" t="s">
        <v>11267</v>
      </c>
      <c r="AS4439" t="s">
        <v>11593</v>
      </c>
      <c r="AT4439" t="s">
        <v>11642</v>
      </c>
      <c r="AX4439" t="s">
        <v>10837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</row>
    <row r="4440" spans="1:59">
      <c r="A4440" s="1">
        <f>HYPERLINK("https://lsnyc.legalserver.org/matter/dynamic-profile/view/1908614","19-1908614")</f>
        <v>0</v>
      </c>
      <c r="B4440" t="s">
        <v>3613</v>
      </c>
      <c r="C4440" t="s">
        <v>8418</v>
      </c>
      <c r="D4440" t="s">
        <v>9925</v>
      </c>
      <c r="E4440" t="s">
        <v>10075</v>
      </c>
      <c r="F4440">
        <v>10028</v>
      </c>
      <c r="G4440" t="s">
        <v>10089</v>
      </c>
      <c r="H4440" t="s">
        <v>10161</v>
      </c>
      <c r="I4440" t="s">
        <v>10168</v>
      </c>
      <c r="J4440" t="s">
        <v>10209</v>
      </c>
      <c r="K4440" t="s">
        <v>10217</v>
      </c>
      <c r="M4440" t="s">
        <v>10383</v>
      </c>
      <c r="N4440" t="s">
        <v>10694</v>
      </c>
      <c r="P4440" t="s">
        <v>10751</v>
      </c>
      <c r="Q4440" t="s">
        <v>10780</v>
      </c>
      <c r="R4440" t="s">
        <v>10820</v>
      </c>
      <c r="T4440">
        <v>4512</v>
      </c>
      <c r="U4440">
        <v>376</v>
      </c>
      <c r="V4440">
        <v>62</v>
      </c>
      <c r="W4440">
        <v>1</v>
      </c>
      <c r="X4440">
        <v>0</v>
      </c>
      <c r="Z4440">
        <v>36.12</v>
      </c>
      <c r="AA4440">
        <v>40.777571</v>
      </c>
      <c r="AB4440">
        <v>-73.95045500000001</v>
      </c>
      <c r="AD4440" t="s">
        <v>10840</v>
      </c>
      <c r="AG4440" t="s">
        <v>10858</v>
      </c>
      <c r="AH4440" t="s">
        <v>10866</v>
      </c>
      <c r="AI4440">
        <v>236</v>
      </c>
      <c r="AJ4440" t="s">
        <v>10209</v>
      </c>
      <c r="AL4440">
        <v>0</v>
      </c>
      <c r="AM4440" t="s">
        <v>10891</v>
      </c>
      <c r="AN4440" t="s">
        <v>10971</v>
      </c>
      <c r="AO4440" t="s">
        <v>11026</v>
      </c>
      <c r="AP4440" t="s">
        <v>11094</v>
      </c>
      <c r="AR4440" t="s">
        <v>11321</v>
      </c>
      <c r="AS4440" t="s">
        <v>9925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</row>
    <row r="4441" spans="1:59">
      <c r="A4441" s="1">
        <f>HYPERLINK("https://lsnyc.legalserver.org/matter/dynamic-profile/view/1908615","19-1908615")</f>
        <v>0</v>
      </c>
      <c r="B4441" t="s">
        <v>3614</v>
      </c>
      <c r="C4441" t="s">
        <v>8419</v>
      </c>
      <c r="D4441" t="s">
        <v>9928</v>
      </c>
      <c r="E4441" t="s">
        <v>10075</v>
      </c>
      <c r="F4441">
        <v>11221</v>
      </c>
      <c r="G4441" t="s">
        <v>10093</v>
      </c>
      <c r="H4441" t="s">
        <v>10161</v>
      </c>
      <c r="I4441" t="s">
        <v>10168</v>
      </c>
      <c r="J4441" t="s">
        <v>10213</v>
      </c>
      <c r="K4441" t="s">
        <v>10217</v>
      </c>
      <c r="M4441" t="s">
        <v>10275</v>
      </c>
      <c r="N4441" t="s">
        <v>10667</v>
      </c>
      <c r="P4441" t="s">
        <v>10749</v>
      </c>
      <c r="Q4441" t="s">
        <v>10765</v>
      </c>
      <c r="R4441" t="s">
        <v>10824</v>
      </c>
      <c r="T4441">
        <v>10320</v>
      </c>
      <c r="U4441">
        <v>860</v>
      </c>
      <c r="V4441">
        <v>66</v>
      </c>
      <c r="W4441">
        <v>2</v>
      </c>
      <c r="X4441">
        <v>2</v>
      </c>
      <c r="Z4441">
        <v>40.08</v>
      </c>
      <c r="AA4441">
        <v>40.683815</v>
      </c>
      <c r="AB4441">
        <v>-73.943819</v>
      </c>
      <c r="AD4441" t="s">
        <v>10839</v>
      </c>
      <c r="AG4441" t="s">
        <v>10858</v>
      </c>
      <c r="AH4441" t="s">
        <v>10862</v>
      </c>
      <c r="AI4441">
        <v>239</v>
      </c>
      <c r="AJ4441" t="s">
        <v>10213</v>
      </c>
      <c r="AL4441">
        <v>4</v>
      </c>
      <c r="AM4441" t="s">
        <v>10889</v>
      </c>
      <c r="AN4441" t="s">
        <v>10914</v>
      </c>
      <c r="AO4441" t="s">
        <v>11007</v>
      </c>
      <c r="AP4441" t="s">
        <v>11052</v>
      </c>
      <c r="AQ4441" t="s">
        <v>11101</v>
      </c>
      <c r="AR4441" t="s">
        <v>11290</v>
      </c>
      <c r="AS4441" t="s">
        <v>11595</v>
      </c>
      <c r="BA4441" t="s">
        <v>11738</v>
      </c>
      <c r="BB4441">
        <v>0</v>
      </c>
      <c r="BC4441">
        <v>0</v>
      </c>
      <c r="BD4441">
        <v>0</v>
      </c>
      <c r="BE4441">
        <v>0</v>
      </c>
      <c r="BF4441">
        <v>5</v>
      </c>
      <c r="BG4441">
        <v>0</v>
      </c>
    </row>
    <row r="4442" spans="1:59">
      <c r="A4442" s="1">
        <f>HYPERLINK("https://lsnyc.legalserver.org/matter/dynamic-profile/view/1908616","19-1908616")</f>
        <v>0</v>
      </c>
      <c r="B4442" t="s">
        <v>2796</v>
      </c>
      <c r="C4442" t="s">
        <v>7582</v>
      </c>
      <c r="D4442" t="s">
        <v>9926</v>
      </c>
      <c r="E4442" t="s">
        <v>10075</v>
      </c>
      <c r="F4442">
        <v>10454</v>
      </c>
      <c r="G4442" t="s">
        <v>10090</v>
      </c>
      <c r="H4442" t="s">
        <v>10161</v>
      </c>
      <c r="I4442" t="s">
        <v>10168</v>
      </c>
      <c r="J4442" t="s">
        <v>10210</v>
      </c>
      <c r="K4442" t="s">
        <v>10218</v>
      </c>
      <c r="L4442" t="s">
        <v>10101</v>
      </c>
      <c r="M4442" t="s">
        <v>10333</v>
      </c>
      <c r="N4442" t="s">
        <v>10683</v>
      </c>
      <c r="P4442" t="s">
        <v>10751</v>
      </c>
      <c r="Q4442" t="s">
        <v>10761</v>
      </c>
      <c r="R4442" t="s">
        <v>10825</v>
      </c>
      <c r="T4442">
        <v>6000</v>
      </c>
      <c r="U4442">
        <v>500</v>
      </c>
      <c r="V4442">
        <v>36</v>
      </c>
      <c r="W4442">
        <v>1</v>
      </c>
      <c r="X4442">
        <v>0</v>
      </c>
      <c r="Y4442" t="s">
        <v>10830</v>
      </c>
      <c r="Z4442">
        <v>48.04</v>
      </c>
      <c r="AA4442">
        <v>40.805865</v>
      </c>
      <c r="AB4442">
        <v>-73.925905</v>
      </c>
      <c r="AD4442" t="s">
        <v>10841</v>
      </c>
      <c r="AG4442" t="s">
        <v>10858</v>
      </c>
      <c r="AH4442" t="s">
        <v>10862</v>
      </c>
      <c r="AI4442">
        <v>230</v>
      </c>
      <c r="AJ4442" t="s">
        <v>10210</v>
      </c>
      <c r="AK4442" t="s">
        <v>10882</v>
      </c>
      <c r="AL4442">
        <v>1.5</v>
      </c>
      <c r="AR4442" t="s">
        <v>11273</v>
      </c>
      <c r="AS4442" t="s">
        <v>9926</v>
      </c>
      <c r="AY4442" t="s">
        <v>10830</v>
      </c>
      <c r="AZ4442" t="s">
        <v>11688</v>
      </c>
      <c r="BB4442">
        <v>0</v>
      </c>
      <c r="BC4442">
        <v>0</v>
      </c>
      <c r="BD4442">
        <v>8546.58</v>
      </c>
      <c r="BE4442">
        <v>0</v>
      </c>
      <c r="BF4442">
        <v>0</v>
      </c>
      <c r="BG4442">
        <v>0</v>
      </c>
    </row>
    <row r="4443" spans="1:59">
      <c r="A4443" s="1">
        <f>HYPERLINK("https://lsnyc.legalserver.org/matter/dynamic-profile/view/1908617","19-1908617")</f>
        <v>0</v>
      </c>
      <c r="B4443" t="s">
        <v>3615</v>
      </c>
      <c r="C4443" t="s">
        <v>8420</v>
      </c>
      <c r="D4443" t="s">
        <v>9925</v>
      </c>
      <c r="E4443" t="s">
        <v>10075</v>
      </c>
      <c r="F4443">
        <v>10033</v>
      </c>
      <c r="G4443" t="s">
        <v>10089</v>
      </c>
      <c r="H4443" t="s">
        <v>10161</v>
      </c>
      <c r="I4443" t="s">
        <v>10168</v>
      </c>
      <c r="J4443" t="s">
        <v>10209</v>
      </c>
      <c r="K4443" t="s">
        <v>10217</v>
      </c>
      <c r="M4443" t="s">
        <v>10301</v>
      </c>
      <c r="N4443" t="s">
        <v>10665</v>
      </c>
      <c r="P4443" t="s">
        <v>10751</v>
      </c>
      <c r="Q4443" t="s">
        <v>10773</v>
      </c>
      <c r="R4443" t="s">
        <v>10821</v>
      </c>
      <c r="T4443">
        <v>0</v>
      </c>
      <c r="U4443">
        <v>0</v>
      </c>
      <c r="V4443">
        <v>61</v>
      </c>
      <c r="W4443">
        <v>1</v>
      </c>
      <c r="X4443">
        <v>0</v>
      </c>
      <c r="Z4443">
        <v>0</v>
      </c>
      <c r="AA4443">
        <v>40.847508</v>
      </c>
      <c r="AB4443">
        <v>-73.932056</v>
      </c>
      <c r="AD4443" t="s">
        <v>10840</v>
      </c>
      <c r="AG4443" t="s">
        <v>10858</v>
      </c>
      <c r="AH4443" t="s">
        <v>10861</v>
      </c>
      <c r="AI4443">
        <v>234</v>
      </c>
      <c r="AJ4443" t="s">
        <v>10214</v>
      </c>
      <c r="AL4443">
        <v>8.800000000000001</v>
      </c>
      <c r="AM4443" t="s">
        <v>10887</v>
      </c>
      <c r="AN4443" t="s">
        <v>10937</v>
      </c>
      <c r="AO4443" t="s">
        <v>11019</v>
      </c>
      <c r="AP4443" t="s">
        <v>11074</v>
      </c>
      <c r="AQ4443" t="s">
        <v>11115</v>
      </c>
      <c r="AR4443" t="s">
        <v>11267</v>
      </c>
      <c r="AS4443" t="s">
        <v>9925</v>
      </c>
      <c r="AT4443" t="s">
        <v>11642</v>
      </c>
      <c r="AX4443" t="s">
        <v>10838</v>
      </c>
      <c r="BA4443" t="s">
        <v>11741</v>
      </c>
      <c r="BB4443">
        <v>0</v>
      </c>
      <c r="BC4443">
        <v>0</v>
      </c>
      <c r="BD4443">
        <v>0</v>
      </c>
      <c r="BE4443">
        <v>0</v>
      </c>
      <c r="BF4443">
        <v>1</v>
      </c>
      <c r="BG4443">
        <v>0</v>
      </c>
    </row>
    <row r="4444" spans="1:59">
      <c r="A4444" s="1">
        <f>HYPERLINK("https://lsnyc.legalserver.org/matter/dynamic-profile/view/1908618","19-1908618")</f>
        <v>0</v>
      </c>
      <c r="B4444" t="s">
        <v>3616</v>
      </c>
      <c r="C4444" t="s">
        <v>8421</v>
      </c>
      <c r="D4444" t="s">
        <v>9938</v>
      </c>
      <c r="E4444" t="s">
        <v>10075</v>
      </c>
      <c r="F4444">
        <v>11435</v>
      </c>
      <c r="G4444" t="s">
        <v>10092</v>
      </c>
      <c r="H4444" t="s">
        <v>10161</v>
      </c>
      <c r="I4444" t="s">
        <v>10168</v>
      </c>
      <c r="J4444" t="s">
        <v>10212</v>
      </c>
      <c r="K4444" t="s">
        <v>10217</v>
      </c>
      <c r="M4444" t="s">
        <v>10594</v>
      </c>
      <c r="N4444" t="s">
        <v>10695</v>
      </c>
      <c r="P4444" t="s">
        <v>10749</v>
      </c>
      <c r="Q4444" t="s">
        <v>10765</v>
      </c>
      <c r="R4444" t="s">
        <v>10824</v>
      </c>
      <c r="T4444">
        <v>2886</v>
      </c>
      <c r="U4444">
        <v>240.5</v>
      </c>
      <c r="V4444">
        <v>40</v>
      </c>
      <c r="W4444">
        <v>1</v>
      </c>
      <c r="X4444">
        <v>2</v>
      </c>
      <c r="Z4444">
        <v>13.53</v>
      </c>
      <c r="AA4444">
        <v>40.690957</v>
      </c>
      <c r="AB4444">
        <v>-73.797149</v>
      </c>
      <c r="AD4444" t="s">
        <v>10839</v>
      </c>
      <c r="AG4444" t="s">
        <v>10858</v>
      </c>
      <c r="AH4444" t="s">
        <v>10862</v>
      </c>
      <c r="AI4444">
        <v>237</v>
      </c>
      <c r="AJ4444" t="s">
        <v>10212</v>
      </c>
      <c r="AL4444">
        <v>32</v>
      </c>
      <c r="AM4444" t="s">
        <v>10892</v>
      </c>
      <c r="AN4444" t="s">
        <v>10951</v>
      </c>
      <c r="AO4444" t="s">
        <v>11017</v>
      </c>
      <c r="AP4444" t="s">
        <v>11070</v>
      </c>
      <c r="AR4444" t="s">
        <v>11306</v>
      </c>
      <c r="AS4444" t="s">
        <v>11594</v>
      </c>
      <c r="BA4444" t="s">
        <v>11738</v>
      </c>
      <c r="BB4444">
        <v>0</v>
      </c>
      <c r="BC4444">
        <v>0</v>
      </c>
      <c r="BD4444">
        <v>0</v>
      </c>
      <c r="BE4444">
        <v>0</v>
      </c>
      <c r="BF4444">
        <v>5</v>
      </c>
      <c r="BG4444">
        <v>0</v>
      </c>
    </row>
    <row r="4445" spans="1:59">
      <c r="A4445" s="1">
        <f>HYPERLINK("https://lsnyc.legalserver.org/matter/dynamic-profile/view/1908619","19-1908619")</f>
        <v>0</v>
      </c>
      <c r="B4445" t="s">
        <v>3617</v>
      </c>
      <c r="C4445" t="s">
        <v>8422</v>
      </c>
      <c r="D4445" t="s">
        <v>9933</v>
      </c>
      <c r="E4445" t="s">
        <v>10075</v>
      </c>
      <c r="F4445">
        <v>11420</v>
      </c>
      <c r="G4445" t="s">
        <v>10092</v>
      </c>
      <c r="H4445" t="s">
        <v>10161</v>
      </c>
      <c r="J4445" t="s">
        <v>10212</v>
      </c>
      <c r="K4445" t="s">
        <v>10218</v>
      </c>
      <c r="L4445" t="s">
        <v>10101</v>
      </c>
      <c r="M4445" t="s">
        <v>10485</v>
      </c>
      <c r="N4445" t="s">
        <v>10678</v>
      </c>
      <c r="P4445" t="s">
        <v>10749</v>
      </c>
      <c r="Q4445" t="s">
        <v>10769</v>
      </c>
      <c r="R4445" t="s">
        <v>10824</v>
      </c>
      <c r="T4445">
        <v>14400</v>
      </c>
      <c r="U4445">
        <v>1200</v>
      </c>
      <c r="V4445">
        <v>58</v>
      </c>
      <c r="W4445">
        <v>2</v>
      </c>
      <c r="X4445">
        <v>0</v>
      </c>
      <c r="Y4445" t="s">
        <v>10829</v>
      </c>
      <c r="Z4445">
        <v>85.16</v>
      </c>
      <c r="AA4445">
        <v>40.668896</v>
      </c>
      <c r="AB4445">
        <v>-73.80288</v>
      </c>
      <c r="AD4445" t="s">
        <v>10840</v>
      </c>
      <c r="AG4445" t="s">
        <v>10858</v>
      </c>
      <c r="AH4445" t="s">
        <v>10860</v>
      </c>
      <c r="AI4445">
        <v>237</v>
      </c>
      <c r="AJ4445" t="s">
        <v>10212</v>
      </c>
      <c r="AK4445" t="s">
        <v>10838</v>
      </c>
      <c r="AL4445">
        <v>0.9</v>
      </c>
      <c r="AM4445" t="s">
        <v>10892</v>
      </c>
      <c r="AN4445" t="s">
        <v>10930</v>
      </c>
      <c r="AO4445" t="s">
        <v>11017</v>
      </c>
      <c r="AP4445" t="s">
        <v>11070</v>
      </c>
      <c r="AR4445" t="s">
        <v>11257</v>
      </c>
      <c r="AS4445" t="s">
        <v>11594</v>
      </c>
      <c r="AY4445" t="s">
        <v>10829</v>
      </c>
      <c r="AZ4445" t="s">
        <v>11681</v>
      </c>
      <c r="BA4445" t="s">
        <v>11741</v>
      </c>
      <c r="BB4445">
        <v>0</v>
      </c>
      <c r="BC4445">
        <v>0</v>
      </c>
      <c r="BD4445">
        <v>0</v>
      </c>
      <c r="BE4445">
        <v>0</v>
      </c>
      <c r="BF4445">
        <v>1</v>
      </c>
      <c r="BG4445">
        <v>0</v>
      </c>
    </row>
    <row r="4446" spans="1:59">
      <c r="A4446" s="1">
        <f>HYPERLINK("https://lsnyc.legalserver.org/matter/dynamic-profile/view/1908620","19-1908620")</f>
        <v>0</v>
      </c>
      <c r="B4446" t="s">
        <v>3618</v>
      </c>
      <c r="C4446" t="s">
        <v>8423</v>
      </c>
      <c r="D4446" t="s">
        <v>9927</v>
      </c>
      <c r="E4446" t="s">
        <v>10075</v>
      </c>
      <c r="F4446">
        <v>11377</v>
      </c>
      <c r="G4446" t="s">
        <v>10092</v>
      </c>
      <c r="H4446" t="s">
        <v>10161</v>
      </c>
      <c r="I4446" t="s">
        <v>10178</v>
      </c>
      <c r="J4446" t="s">
        <v>10212</v>
      </c>
      <c r="K4446" t="s">
        <v>10217</v>
      </c>
      <c r="M4446" t="s">
        <v>10601</v>
      </c>
      <c r="N4446" t="s">
        <v>10695</v>
      </c>
      <c r="P4446" t="s">
        <v>10749</v>
      </c>
      <c r="Q4446" t="s">
        <v>10765</v>
      </c>
      <c r="R4446" t="s">
        <v>10823</v>
      </c>
      <c r="T4446">
        <v>36400</v>
      </c>
      <c r="U4446">
        <v>3033.33</v>
      </c>
      <c r="V4446">
        <v>46</v>
      </c>
      <c r="W4446">
        <v>3</v>
      </c>
      <c r="X4446">
        <v>0</v>
      </c>
      <c r="Z4446">
        <v>170.65</v>
      </c>
      <c r="AA4446">
        <v>40.740591</v>
      </c>
      <c r="AB4446">
        <v>-73.921378</v>
      </c>
      <c r="AD4446" t="s">
        <v>10839</v>
      </c>
      <c r="AF4446" t="s">
        <v>10843</v>
      </c>
      <c r="AG4446" t="s">
        <v>10859</v>
      </c>
      <c r="AH4446" t="s">
        <v>10862</v>
      </c>
      <c r="AI4446">
        <v>237</v>
      </c>
      <c r="AJ4446" t="s">
        <v>10212</v>
      </c>
      <c r="AL4446">
        <v>10.93</v>
      </c>
      <c r="AM4446" t="s">
        <v>10885</v>
      </c>
      <c r="AN4446" t="s">
        <v>10961</v>
      </c>
      <c r="AO4446" t="s">
        <v>11003</v>
      </c>
      <c r="AP4446" t="s">
        <v>11047</v>
      </c>
      <c r="AR4446" t="s">
        <v>11406</v>
      </c>
      <c r="AS4446" t="s">
        <v>11594</v>
      </c>
      <c r="BA4446" t="s">
        <v>11738</v>
      </c>
      <c r="BB4446">
        <v>0</v>
      </c>
      <c r="BC4446">
        <v>0</v>
      </c>
      <c r="BD4446">
        <v>0</v>
      </c>
      <c r="BE4446">
        <v>0</v>
      </c>
      <c r="BF4446">
        <v>5</v>
      </c>
      <c r="BG4446">
        <v>0</v>
      </c>
    </row>
    <row r="4447" spans="1:59">
      <c r="A4447" s="1">
        <f>HYPERLINK("https://lsnyc.legalserver.org/matter/dynamic-profile/view/1908621","19-1908621")</f>
        <v>0</v>
      </c>
      <c r="B4447" t="s">
        <v>3619</v>
      </c>
      <c r="C4447" t="s">
        <v>8424</v>
      </c>
      <c r="D4447" t="s">
        <v>9928</v>
      </c>
      <c r="E4447" t="s">
        <v>10075</v>
      </c>
      <c r="F4447">
        <v>11221</v>
      </c>
      <c r="G4447" t="s">
        <v>10093</v>
      </c>
      <c r="H4447" t="s">
        <v>10160</v>
      </c>
      <c r="I4447" t="s">
        <v>10168</v>
      </c>
      <c r="J4447" t="s">
        <v>10213</v>
      </c>
      <c r="K4447" t="s">
        <v>10217</v>
      </c>
      <c r="M4447" t="s">
        <v>10275</v>
      </c>
      <c r="N4447" t="s">
        <v>10667</v>
      </c>
      <c r="P4447" t="s">
        <v>10749</v>
      </c>
      <c r="Q4447" t="s">
        <v>10765</v>
      </c>
      <c r="R4447" t="s">
        <v>10824</v>
      </c>
      <c r="T4447">
        <v>37000</v>
      </c>
      <c r="U4447">
        <v>3083.33</v>
      </c>
      <c r="V4447">
        <v>41</v>
      </c>
      <c r="W4447">
        <v>1</v>
      </c>
      <c r="X4447">
        <v>3</v>
      </c>
      <c r="Z4447">
        <v>143.69</v>
      </c>
      <c r="AA4447">
        <v>40.690804</v>
      </c>
      <c r="AB4447">
        <v>-73.941169</v>
      </c>
      <c r="AD4447" t="s">
        <v>10839</v>
      </c>
      <c r="AG4447" t="s">
        <v>10858</v>
      </c>
      <c r="AH4447" t="s">
        <v>10862</v>
      </c>
      <c r="AI4447">
        <v>239</v>
      </c>
      <c r="AJ4447" t="s">
        <v>10213</v>
      </c>
      <c r="AL4447">
        <v>2.5</v>
      </c>
      <c r="AM4447" t="s">
        <v>10889</v>
      </c>
      <c r="AN4447" t="s">
        <v>10914</v>
      </c>
      <c r="AO4447" t="s">
        <v>11007</v>
      </c>
      <c r="AP4447" t="s">
        <v>11052</v>
      </c>
      <c r="AQ4447" t="s">
        <v>11101</v>
      </c>
      <c r="AR4447" t="s">
        <v>11257</v>
      </c>
      <c r="AS4447" t="s">
        <v>11595</v>
      </c>
      <c r="BA4447" t="s">
        <v>11738</v>
      </c>
      <c r="BB4447">
        <v>0</v>
      </c>
      <c r="BC4447">
        <v>0</v>
      </c>
      <c r="BD4447">
        <v>0</v>
      </c>
      <c r="BE4447">
        <v>0</v>
      </c>
      <c r="BF4447">
        <v>5</v>
      </c>
      <c r="BG4447">
        <v>0</v>
      </c>
    </row>
    <row r="4448" spans="1:59">
      <c r="A4448" s="1">
        <f>HYPERLINK("https://lsnyc.legalserver.org/matter/dynamic-profile/view/1908622","19-1908622")</f>
        <v>0</v>
      </c>
      <c r="B4448" t="s">
        <v>1308</v>
      </c>
      <c r="C4448" t="s">
        <v>8425</v>
      </c>
      <c r="D4448" t="s">
        <v>9928</v>
      </c>
      <c r="E4448" t="s">
        <v>10075</v>
      </c>
      <c r="F4448">
        <v>11208</v>
      </c>
      <c r="G4448" t="s">
        <v>10093</v>
      </c>
      <c r="H4448" t="s">
        <v>10161</v>
      </c>
      <c r="I4448" t="s">
        <v>10168</v>
      </c>
      <c r="J4448" t="s">
        <v>10213</v>
      </c>
      <c r="K4448" t="s">
        <v>10217</v>
      </c>
      <c r="M4448" t="s">
        <v>10345</v>
      </c>
      <c r="N4448" t="s">
        <v>10650</v>
      </c>
      <c r="P4448" t="s">
        <v>10749</v>
      </c>
      <c r="Q4448" t="s">
        <v>10765</v>
      </c>
      <c r="R4448" t="s">
        <v>10822</v>
      </c>
      <c r="T4448">
        <v>34000</v>
      </c>
      <c r="U4448">
        <v>2833.33</v>
      </c>
      <c r="V4448">
        <v>47</v>
      </c>
      <c r="W4448">
        <v>2</v>
      </c>
      <c r="X4448">
        <v>0</v>
      </c>
      <c r="Z4448">
        <v>201.06</v>
      </c>
      <c r="AA4448">
        <v>40.666505</v>
      </c>
      <c r="AB4448">
        <v>-73.87585799999999</v>
      </c>
      <c r="AD4448" t="s">
        <v>10839</v>
      </c>
      <c r="AG4448" t="s">
        <v>10858</v>
      </c>
      <c r="AH4448" t="s">
        <v>10862</v>
      </c>
      <c r="AI4448">
        <v>239</v>
      </c>
      <c r="AJ4448" t="s">
        <v>10213</v>
      </c>
      <c r="AL4448">
        <v>3.95</v>
      </c>
      <c r="AM4448" t="s">
        <v>10889</v>
      </c>
      <c r="AN4448" t="s">
        <v>10946</v>
      </c>
      <c r="AO4448" t="s">
        <v>11012</v>
      </c>
      <c r="AP4448" t="s">
        <v>11060</v>
      </c>
      <c r="AQ4448" t="s">
        <v>11101</v>
      </c>
      <c r="AR4448" t="s">
        <v>11257</v>
      </c>
      <c r="AS4448" t="s">
        <v>11595</v>
      </c>
      <c r="AT4448" t="s">
        <v>11641</v>
      </c>
      <c r="AX4448" t="s">
        <v>11678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</row>
    <row r="4449" spans="1:59">
      <c r="A4449" s="1">
        <f>HYPERLINK("https://lsnyc.legalserver.org/matter/dynamic-profile/view/1908623","19-1908623")</f>
        <v>0</v>
      </c>
      <c r="B4449" t="s">
        <v>3620</v>
      </c>
      <c r="C4449" t="s">
        <v>8426</v>
      </c>
      <c r="D4449" t="s">
        <v>9928</v>
      </c>
      <c r="E4449" t="s">
        <v>10075</v>
      </c>
      <c r="F4449">
        <v>11233</v>
      </c>
      <c r="G4449" t="s">
        <v>10091</v>
      </c>
      <c r="H4449" t="s">
        <v>10161</v>
      </c>
      <c r="I4449" t="s">
        <v>10168</v>
      </c>
      <c r="J4449" t="s">
        <v>10211</v>
      </c>
      <c r="K4449" t="s">
        <v>10217</v>
      </c>
      <c r="M4449" t="s">
        <v>10307</v>
      </c>
      <c r="N4449" t="s">
        <v>10671</v>
      </c>
      <c r="P4449" t="s">
        <v>10752</v>
      </c>
      <c r="Q4449" t="s">
        <v>10762</v>
      </c>
      <c r="R4449" t="s">
        <v>10822</v>
      </c>
      <c r="T4449">
        <v>2160</v>
      </c>
      <c r="U4449">
        <v>180</v>
      </c>
      <c r="V4449">
        <v>32</v>
      </c>
      <c r="W4449">
        <v>1</v>
      </c>
      <c r="X4449">
        <v>0</v>
      </c>
      <c r="Z4449">
        <v>17.29</v>
      </c>
      <c r="AA4449">
        <v>40.670545</v>
      </c>
      <c r="AB4449">
        <v>-73.91802800000001</v>
      </c>
      <c r="AD4449" t="s">
        <v>10822</v>
      </c>
      <c r="AG4449" t="s">
        <v>10858</v>
      </c>
      <c r="AH4449" t="s">
        <v>10861</v>
      </c>
      <c r="AI4449">
        <v>234</v>
      </c>
      <c r="AJ4449" t="s">
        <v>10214</v>
      </c>
      <c r="AL4449">
        <v>0.6</v>
      </c>
      <c r="AM4449" t="s">
        <v>10888</v>
      </c>
      <c r="AN4449" t="s">
        <v>10922</v>
      </c>
      <c r="AO4449" t="s">
        <v>11005</v>
      </c>
      <c r="AP4449" t="s">
        <v>11064</v>
      </c>
      <c r="AR4449" t="s">
        <v>11311</v>
      </c>
      <c r="AS4449" t="s">
        <v>11595</v>
      </c>
      <c r="AT4449" t="s">
        <v>11641</v>
      </c>
      <c r="AX4449" t="s">
        <v>11678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</row>
    <row r="4450" spans="1:59">
      <c r="A4450" s="1">
        <f>HYPERLINK("https://lsnyc.legalserver.org/matter/dynamic-profile/view/1908624","19-1908624")</f>
        <v>0</v>
      </c>
      <c r="B4450" t="s">
        <v>1943</v>
      </c>
      <c r="C4450" t="s">
        <v>8227</v>
      </c>
      <c r="D4450" t="s">
        <v>9928</v>
      </c>
      <c r="E4450" t="s">
        <v>10075</v>
      </c>
      <c r="F4450">
        <v>11224</v>
      </c>
      <c r="G4450" t="s">
        <v>10093</v>
      </c>
      <c r="H4450" t="s">
        <v>10161</v>
      </c>
      <c r="I4450" t="s">
        <v>10168</v>
      </c>
      <c r="J4450" t="s">
        <v>10213</v>
      </c>
      <c r="K4450" t="s">
        <v>10218</v>
      </c>
      <c r="L4450" t="s">
        <v>10162</v>
      </c>
      <c r="M4450" t="s">
        <v>10317</v>
      </c>
      <c r="N4450" t="s">
        <v>10671</v>
      </c>
      <c r="P4450" t="s">
        <v>10751</v>
      </c>
      <c r="Q4450" t="s">
        <v>10786</v>
      </c>
      <c r="R4450" t="s">
        <v>10824</v>
      </c>
      <c r="T4450">
        <v>10681.8</v>
      </c>
      <c r="U4450">
        <v>890.15</v>
      </c>
      <c r="V4450">
        <v>60</v>
      </c>
      <c r="W4450">
        <v>1</v>
      </c>
      <c r="X4450">
        <v>0</v>
      </c>
      <c r="Y4450" t="s">
        <v>10829</v>
      </c>
      <c r="Z4450">
        <v>85.52</v>
      </c>
      <c r="AA4450">
        <v>40.57427</v>
      </c>
      <c r="AB4450">
        <v>-73.987319</v>
      </c>
      <c r="AC4450" t="s">
        <v>10837</v>
      </c>
      <c r="AD4450" t="s">
        <v>10840</v>
      </c>
      <c r="AG4450" t="s">
        <v>10858</v>
      </c>
      <c r="AH4450" t="s">
        <v>10861</v>
      </c>
      <c r="AI4450">
        <v>234</v>
      </c>
      <c r="AJ4450" t="s">
        <v>10214</v>
      </c>
      <c r="AK4450" t="s">
        <v>10882</v>
      </c>
      <c r="AL4450">
        <v>1.75</v>
      </c>
      <c r="AM4450" t="s">
        <v>10889</v>
      </c>
      <c r="AN4450" t="s">
        <v>10960</v>
      </c>
      <c r="AO4450" t="s">
        <v>11006</v>
      </c>
      <c r="AP4450" t="s">
        <v>11087</v>
      </c>
      <c r="AR4450" t="s">
        <v>11298</v>
      </c>
      <c r="AS4450" t="s">
        <v>11595</v>
      </c>
      <c r="AT4450" t="s">
        <v>11641</v>
      </c>
      <c r="AX4450" t="s">
        <v>10838</v>
      </c>
      <c r="AY4450" t="s">
        <v>10829</v>
      </c>
      <c r="AZ4450" t="s">
        <v>11682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</row>
    <row r="4451" spans="1:59">
      <c r="A4451" s="1">
        <f>HYPERLINK("https://lsnyc.legalserver.org/matter/dynamic-profile/view/1908625","19-1908625")</f>
        <v>0</v>
      </c>
      <c r="B4451" t="s">
        <v>3621</v>
      </c>
      <c r="C4451" t="s">
        <v>8427</v>
      </c>
      <c r="D4451" t="s">
        <v>9926</v>
      </c>
      <c r="E4451" t="s">
        <v>10075</v>
      </c>
      <c r="F4451">
        <v>10454</v>
      </c>
      <c r="G4451" t="s">
        <v>10090</v>
      </c>
      <c r="H4451" t="s">
        <v>10161</v>
      </c>
      <c r="I4451" t="s">
        <v>10168</v>
      </c>
      <c r="J4451" t="s">
        <v>10210</v>
      </c>
      <c r="K4451" t="s">
        <v>10217</v>
      </c>
      <c r="M4451" t="s">
        <v>10372</v>
      </c>
      <c r="N4451" t="s">
        <v>10694</v>
      </c>
      <c r="P4451" t="s">
        <v>10751</v>
      </c>
      <c r="Q4451" t="s">
        <v>10773</v>
      </c>
      <c r="R4451" t="s">
        <v>10824</v>
      </c>
      <c r="T4451">
        <v>0</v>
      </c>
      <c r="U4451">
        <v>0</v>
      </c>
      <c r="V4451">
        <v>37</v>
      </c>
      <c r="W4451">
        <v>1</v>
      </c>
      <c r="X4451">
        <v>0</v>
      </c>
      <c r="Z4451">
        <v>0</v>
      </c>
      <c r="AA4451">
        <v>40.805492</v>
      </c>
      <c r="AB4451">
        <v>-73.91913700000001</v>
      </c>
      <c r="AD4451" t="s">
        <v>10839</v>
      </c>
      <c r="AG4451" t="s">
        <v>10858</v>
      </c>
      <c r="AH4451" t="s">
        <v>10861</v>
      </c>
      <c r="AI4451">
        <v>234</v>
      </c>
      <c r="AJ4451" t="s">
        <v>10214</v>
      </c>
      <c r="AL4451">
        <v>1.5</v>
      </c>
      <c r="AM4451" t="s">
        <v>10884</v>
      </c>
      <c r="AN4451" t="s">
        <v>10924</v>
      </c>
      <c r="AO4451" t="s">
        <v>11013</v>
      </c>
      <c r="AP4451" t="s">
        <v>11066</v>
      </c>
      <c r="AR4451" t="s">
        <v>11267</v>
      </c>
      <c r="AS4451" t="s">
        <v>9926</v>
      </c>
      <c r="AT4451" t="s">
        <v>11641</v>
      </c>
      <c r="AX4451" t="s">
        <v>10838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</row>
    <row r="4452" spans="1:59">
      <c r="A4452" s="1">
        <f>HYPERLINK("https://lsnyc.legalserver.org/matter/dynamic-profile/view/1908626","19-1908626")</f>
        <v>0</v>
      </c>
      <c r="B4452" t="s">
        <v>3622</v>
      </c>
      <c r="C4452" t="s">
        <v>5994</v>
      </c>
      <c r="D4452" t="s">
        <v>9928</v>
      </c>
      <c r="E4452" t="s">
        <v>10075</v>
      </c>
      <c r="F4452">
        <v>11249</v>
      </c>
      <c r="G4452" t="s">
        <v>10093</v>
      </c>
      <c r="H4452" t="s">
        <v>10161</v>
      </c>
      <c r="I4452" t="s">
        <v>10196</v>
      </c>
      <c r="J4452" t="s">
        <v>10213</v>
      </c>
      <c r="K4452" t="s">
        <v>10217</v>
      </c>
      <c r="M4452" t="s">
        <v>10309</v>
      </c>
      <c r="N4452" t="s">
        <v>10698</v>
      </c>
      <c r="P4452" t="s">
        <v>10751</v>
      </c>
      <c r="Q4452" t="s">
        <v>10768</v>
      </c>
      <c r="R4452" t="s">
        <v>10821</v>
      </c>
      <c r="T4452">
        <v>28584</v>
      </c>
      <c r="U4452">
        <v>2382</v>
      </c>
      <c r="V4452">
        <v>50</v>
      </c>
      <c r="W4452">
        <v>5</v>
      </c>
      <c r="X4452">
        <v>0</v>
      </c>
      <c r="Z4452">
        <v>94.73999999999999</v>
      </c>
      <c r="AA4452">
        <v>40.706177</v>
      </c>
      <c r="AB4452">
        <v>-73.966159</v>
      </c>
      <c r="AD4452" t="s">
        <v>10840</v>
      </c>
      <c r="AG4452" t="s">
        <v>10858</v>
      </c>
      <c r="AH4452" t="s">
        <v>10861</v>
      </c>
      <c r="AI4452">
        <v>234</v>
      </c>
      <c r="AJ4452" t="s">
        <v>10214</v>
      </c>
      <c r="AL4452">
        <v>7.5</v>
      </c>
      <c r="AM4452" t="s">
        <v>10886</v>
      </c>
      <c r="AN4452" t="s">
        <v>10939</v>
      </c>
      <c r="AO4452" t="s">
        <v>11011</v>
      </c>
      <c r="AP4452" t="s">
        <v>11054</v>
      </c>
      <c r="AR4452" t="s">
        <v>11263</v>
      </c>
      <c r="AS4452" t="s">
        <v>11595</v>
      </c>
      <c r="AT4452" t="s">
        <v>11642</v>
      </c>
      <c r="AX4452" t="s">
        <v>10838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</row>
    <row r="4453" spans="1:59">
      <c r="A4453" s="1">
        <f>HYPERLINK("https://lsnyc.legalserver.org/matter/dynamic-profile/view/1908627","19-1908627")</f>
        <v>0</v>
      </c>
      <c r="B4453" t="s">
        <v>3623</v>
      </c>
      <c r="C4453" t="s">
        <v>6680</v>
      </c>
      <c r="D4453" t="s">
        <v>9926</v>
      </c>
      <c r="E4453" t="s">
        <v>10075</v>
      </c>
      <c r="F4453">
        <v>10460</v>
      </c>
      <c r="G4453" t="s">
        <v>10090</v>
      </c>
      <c r="H4453" t="s">
        <v>10161</v>
      </c>
      <c r="I4453" t="s">
        <v>10169</v>
      </c>
      <c r="J4453" t="s">
        <v>10210</v>
      </c>
      <c r="K4453" t="s">
        <v>10217</v>
      </c>
      <c r="M4453" t="s">
        <v>10380</v>
      </c>
      <c r="N4453" t="s">
        <v>10671</v>
      </c>
      <c r="P4453" t="s">
        <v>10753</v>
      </c>
      <c r="Q4453" t="s">
        <v>10763</v>
      </c>
      <c r="R4453" t="s">
        <v>10823</v>
      </c>
      <c r="T4453">
        <v>30000</v>
      </c>
      <c r="U4453">
        <v>2500</v>
      </c>
      <c r="V4453">
        <v>30</v>
      </c>
      <c r="W4453">
        <v>2</v>
      </c>
      <c r="X4453">
        <v>1</v>
      </c>
      <c r="Z4453">
        <v>140.65</v>
      </c>
      <c r="AA4453">
        <v>40.839474</v>
      </c>
      <c r="AB4453">
        <v>-73.86648599999999</v>
      </c>
      <c r="AD4453" t="s">
        <v>10840</v>
      </c>
      <c r="AF4453" t="s">
        <v>10843</v>
      </c>
      <c r="AG4453" t="s">
        <v>10859</v>
      </c>
      <c r="AH4453" t="s">
        <v>10861</v>
      </c>
      <c r="AI4453">
        <v>234</v>
      </c>
      <c r="AJ4453" t="s">
        <v>10214</v>
      </c>
      <c r="AL4453">
        <v>0.4</v>
      </c>
      <c r="AM4453" t="s">
        <v>10884</v>
      </c>
      <c r="AN4453" t="s">
        <v>10908</v>
      </c>
      <c r="AO4453" t="s">
        <v>11001</v>
      </c>
      <c r="AP4453" t="s">
        <v>11046</v>
      </c>
      <c r="AQ4453" t="s">
        <v>11158</v>
      </c>
      <c r="AR4453" t="s">
        <v>11352</v>
      </c>
      <c r="AS4453" t="s">
        <v>9926</v>
      </c>
      <c r="AT4453" t="s">
        <v>11641</v>
      </c>
      <c r="AX4453" t="s">
        <v>10838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</row>
    <row r="4454" spans="1:59">
      <c r="A4454" s="1">
        <f>HYPERLINK("https://lsnyc.legalserver.org/matter/dynamic-profile/view/1908628","19-1908628")</f>
        <v>0</v>
      </c>
      <c r="B4454" t="s">
        <v>3610</v>
      </c>
      <c r="C4454" t="s">
        <v>8413</v>
      </c>
      <c r="D4454" t="s">
        <v>9931</v>
      </c>
      <c r="E4454" t="s">
        <v>10075</v>
      </c>
      <c r="F4454">
        <v>11354</v>
      </c>
      <c r="G4454" t="s">
        <v>10092</v>
      </c>
      <c r="H4454" t="s">
        <v>10161</v>
      </c>
      <c r="I4454" t="s">
        <v>10189</v>
      </c>
      <c r="J4454" t="s">
        <v>10212</v>
      </c>
      <c r="K4454" t="s">
        <v>10217</v>
      </c>
      <c r="M4454" t="s">
        <v>10282</v>
      </c>
      <c r="N4454" t="s">
        <v>10673</v>
      </c>
      <c r="P4454" t="s">
        <v>10753</v>
      </c>
      <c r="Q4454" t="s">
        <v>10763</v>
      </c>
      <c r="R4454" t="s">
        <v>10827</v>
      </c>
      <c r="T4454">
        <v>24000</v>
      </c>
      <c r="U4454">
        <v>2000</v>
      </c>
      <c r="V4454">
        <v>35</v>
      </c>
      <c r="W4454">
        <v>2</v>
      </c>
      <c r="X4454">
        <v>1</v>
      </c>
      <c r="Z4454">
        <v>112.52</v>
      </c>
      <c r="AA4454">
        <v>40.756583</v>
      </c>
      <c r="AB4454">
        <v>-73.83743200000001</v>
      </c>
      <c r="AD4454" t="s">
        <v>10840</v>
      </c>
      <c r="AF4454" t="s">
        <v>10851</v>
      </c>
      <c r="AG4454" t="s">
        <v>10859</v>
      </c>
      <c r="AH4454" t="s">
        <v>10864</v>
      </c>
      <c r="AI4454">
        <v>237</v>
      </c>
      <c r="AJ4454" t="s">
        <v>10212</v>
      </c>
      <c r="AL4454">
        <v>1.7</v>
      </c>
      <c r="AQ4454" t="s">
        <v>11109</v>
      </c>
      <c r="AR4454" t="s">
        <v>11257</v>
      </c>
      <c r="AS4454" t="s">
        <v>11594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</row>
    <row r="4455" spans="1:59">
      <c r="A4455" s="1">
        <f>HYPERLINK("https://lsnyc.legalserver.org/matter/dynamic-profile/view/1908629","19-1908629")</f>
        <v>0</v>
      </c>
      <c r="B4455" t="s">
        <v>2612</v>
      </c>
      <c r="C4455" t="s">
        <v>7396</v>
      </c>
      <c r="D4455" t="s">
        <v>9926</v>
      </c>
      <c r="E4455" t="s">
        <v>10075</v>
      </c>
      <c r="F4455">
        <v>10457</v>
      </c>
      <c r="G4455" t="s">
        <v>10090</v>
      </c>
      <c r="H4455" t="s">
        <v>10151</v>
      </c>
      <c r="I4455" t="s">
        <v>10169</v>
      </c>
      <c r="J4455" t="s">
        <v>10210</v>
      </c>
      <c r="K4455" t="s">
        <v>10217</v>
      </c>
      <c r="M4455" t="s">
        <v>10549</v>
      </c>
      <c r="N4455" t="s">
        <v>10646</v>
      </c>
      <c r="P4455" t="s">
        <v>10751</v>
      </c>
      <c r="Q4455" t="s">
        <v>10761</v>
      </c>
      <c r="R4455" t="s">
        <v>10821</v>
      </c>
      <c r="T4455">
        <v>3840</v>
      </c>
      <c r="U4455">
        <v>320</v>
      </c>
      <c r="V4455">
        <v>37</v>
      </c>
      <c r="W4455">
        <v>1</v>
      </c>
      <c r="X4455">
        <v>5</v>
      </c>
      <c r="Z4455">
        <v>11.1</v>
      </c>
      <c r="AA4455">
        <v>40.85248</v>
      </c>
      <c r="AB4455">
        <v>-73.9025</v>
      </c>
      <c r="AD4455" t="s">
        <v>10839</v>
      </c>
      <c r="AG4455" t="s">
        <v>10858</v>
      </c>
      <c r="AH4455" t="s">
        <v>10861</v>
      </c>
      <c r="AI4455">
        <v>230</v>
      </c>
      <c r="AJ4455" t="s">
        <v>10210</v>
      </c>
      <c r="AL4455">
        <v>1.25</v>
      </c>
      <c r="AR4455" t="s">
        <v>11471</v>
      </c>
      <c r="AS4455" t="s">
        <v>9926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</row>
    <row r="4456" spans="1:59">
      <c r="A4456" s="1">
        <f>HYPERLINK("https://lsnyc.legalserver.org/matter/dynamic-profile/view/1908630","19-1908630")</f>
        <v>0</v>
      </c>
      <c r="B4456" t="s">
        <v>3620</v>
      </c>
      <c r="C4456" t="s">
        <v>8428</v>
      </c>
      <c r="D4456" t="s">
        <v>9928</v>
      </c>
      <c r="E4456" t="s">
        <v>10075</v>
      </c>
      <c r="F4456">
        <v>11212</v>
      </c>
      <c r="G4456" t="s">
        <v>10093</v>
      </c>
      <c r="H4456" t="s">
        <v>10161</v>
      </c>
      <c r="I4456" t="s">
        <v>10168</v>
      </c>
      <c r="J4456" t="s">
        <v>10213</v>
      </c>
      <c r="K4456" t="s">
        <v>10217</v>
      </c>
      <c r="M4456" t="s">
        <v>10564</v>
      </c>
      <c r="N4456" t="s">
        <v>10650</v>
      </c>
      <c r="P4456" t="s">
        <v>10749</v>
      </c>
      <c r="Q4456" t="s">
        <v>10765</v>
      </c>
      <c r="R4456" t="s">
        <v>10822</v>
      </c>
      <c r="T4456">
        <v>4776</v>
      </c>
      <c r="U4456">
        <v>398</v>
      </c>
      <c r="V4456">
        <v>32</v>
      </c>
      <c r="W4456">
        <v>1</v>
      </c>
      <c r="X4456">
        <v>0</v>
      </c>
      <c r="Z4456">
        <v>38.24</v>
      </c>
      <c r="AA4456">
        <v>40.672487</v>
      </c>
      <c r="AB4456">
        <v>-73.903508</v>
      </c>
      <c r="AD4456" t="s">
        <v>10822</v>
      </c>
      <c r="AG4456" t="s">
        <v>10858</v>
      </c>
      <c r="AH4456" t="s">
        <v>10861</v>
      </c>
      <c r="AI4456">
        <v>234</v>
      </c>
      <c r="AJ4456" t="s">
        <v>10214</v>
      </c>
      <c r="AL4456">
        <v>2.6</v>
      </c>
      <c r="AM4456" t="s">
        <v>10889</v>
      </c>
      <c r="AN4456" t="s">
        <v>10922</v>
      </c>
      <c r="AO4456" t="s">
        <v>11012</v>
      </c>
      <c r="AP4456" t="s">
        <v>11058</v>
      </c>
      <c r="AR4456" t="s">
        <v>11311</v>
      </c>
      <c r="AS4456" t="s">
        <v>11595</v>
      </c>
      <c r="AT4456" t="s">
        <v>11641</v>
      </c>
      <c r="AX4456" t="s">
        <v>11678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</row>
    <row r="4457" spans="1:59">
      <c r="A4457" s="1">
        <f>HYPERLINK("https://lsnyc.legalserver.org/matter/dynamic-profile/view/1908631","19-1908631")</f>
        <v>0</v>
      </c>
      <c r="B4457" t="s">
        <v>3624</v>
      </c>
      <c r="C4457" t="s">
        <v>8429</v>
      </c>
      <c r="D4457" t="s">
        <v>10048</v>
      </c>
      <c r="E4457" t="s">
        <v>10075</v>
      </c>
      <c r="F4457">
        <v>14125</v>
      </c>
      <c r="G4457" t="s">
        <v>10093</v>
      </c>
      <c r="H4457" t="s">
        <v>10161</v>
      </c>
      <c r="I4457" t="s">
        <v>10168</v>
      </c>
      <c r="J4457" t="s">
        <v>10213</v>
      </c>
      <c r="K4457" t="s">
        <v>10217</v>
      </c>
      <c r="M4457" t="s">
        <v>10462</v>
      </c>
      <c r="N4457" t="s">
        <v>10710</v>
      </c>
      <c r="P4457" t="s">
        <v>10750</v>
      </c>
      <c r="Q4457" t="s">
        <v>10760</v>
      </c>
      <c r="R4457" t="s">
        <v>10820</v>
      </c>
      <c r="T4457">
        <v>40868</v>
      </c>
      <c r="U4457">
        <v>3405.67</v>
      </c>
      <c r="V4457">
        <v>70</v>
      </c>
      <c r="W4457">
        <v>2</v>
      </c>
      <c r="X4457">
        <v>0</v>
      </c>
      <c r="Z4457">
        <v>241.68</v>
      </c>
      <c r="AA4457">
        <v>43.095081</v>
      </c>
      <c r="AB4457">
        <v>-78.341938</v>
      </c>
      <c r="AD4457" t="s">
        <v>10840</v>
      </c>
      <c r="AG4457" t="s">
        <v>10858</v>
      </c>
      <c r="AH4457" t="s">
        <v>10861</v>
      </c>
      <c r="AI4457">
        <v>234</v>
      </c>
      <c r="AJ4457" t="s">
        <v>10214</v>
      </c>
      <c r="AL4457">
        <v>4.75</v>
      </c>
      <c r="AM4457" t="s">
        <v>10904</v>
      </c>
      <c r="AN4457" t="s">
        <v>10993</v>
      </c>
      <c r="AO4457" t="s">
        <v>11041</v>
      </c>
      <c r="AQ4457" t="s">
        <v>11141</v>
      </c>
      <c r="AR4457" t="s">
        <v>11545</v>
      </c>
      <c r="AS4457" t="s">
        <v>11631</v>
      </c>
      <c r="AT4457" t="s">
        <v>11642</v>
      </c>
      <c r="AX4457" t="s">
        <v>10838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</row>
    <row r="4458" spans="1:59">
      <c r="A4458" s="1">
        <f>HYPERLINK("https://lsnyc.legalserver.org/matter/dynamic-profile/view/1908632","19-1908632")</f>
        <v>0</v>
      </c>
      <c r="B4458" t="s">
        <v>3625</v>
      </c>
      <c r="C4458" t="s">
        <v>8430</v>
      </c>
      <c r="D4458" t="s">
        <v>9928</v>
      </c>
      <c r="E4458" t="s">
        <v>10075</v>
      </c>
      <c r="F4458">
        <v>11226</v>
      </c>
      <c r="G4458" t="s">
        <v>10093</v>
      </c>
      <c r="H4458" t="s">
        <v>10095</v>
      </c>
      <c r="I4458" t="s">
        <v>10168</v>
      </c>
      <c r="J4458" t="s">
        <v>10213</v>
      </c>
      <c r="K4458" t="s">
        <v>10217</v>
      </c>
      <c r="M4458" t="s">
        <v>10400</v>
      </c>
      <c r="N4458" t="s">
        <v>10671</v>
      </c>
      <c r="P4458" t="s">
        <v>10751</v>
      </c>
      <c r="Q4458" t="s">
        <v>10761</v>
      </c>
      <c r="R4458" t="s">
        <v>10824</v>
      </c>
      <c r="T4458">
        <v>8040</v>
      </c>
      <c r="U4458">
        <v>670</v>
      </c>
      <c r="V4458">
        <v>23</v>
      </c>
      <c r="W4458">
        <v>1</v>
      </c>
      <c r="X4458">
        <v>2</v>
      </c>
      <c r="Z4458">
        <v>37.69</v>
      </c>
      <c r="AA4458">
        <v>40.651709</v>
      </c>
      <c r="AB4458">
        <v>-73.95218800000001</v>
      </c>
      <c r="AD4458" t="s">
        <v>10839</v>
      </c>
      <c r="AG4458" t="s">
        <v>10858</v>
      </c>
      <c r="AH4458" t="s">
        <v>10862</v>
      </c>
      <c r="AI4458">
        <v>239</v>
      </c>
      <c r="AJ4458" t="s">
        <v>10213</v>
      </c>
      <c r="AL4458">
        <v>2.7</v>
      </c>
      <c r="AM4458" t="s">
        <v>10888</v>
      </c>
      <c r="AN4458" t="s">
        <v>10912</v>
      </c>
      <c r="AO4458" t="s">
        <v>11005</v>
      </c>
      <c r="AP4458" t="s">
        <v>11050</v>
      </c>
      <c r="AR4458" t="s">
        <v>11319</v>
      </c>
      <c r="AS4458" t="s">
        <v>11595</v>
      </c>
      <c r="BA4458" t="s">
        <v>11737</v>
      </c>
      <c r="BB4458">
        <v>0</v>
      </c>
      <c r="BC4458">
        <v>0</v>
      </c>
      <c r="BD4458">
        <v>0</v>
      </c>
      <c r="BE4458">
        <v>0</v>
      </c>
      <c r="BF4458">
        <v>3</v>
      </c>
      <c r="BG4458">
        <v>0</v>
      </c>
    </row>
    <row r="4459" spans="1:59">
      <c r="A4459" s="1">
        <f>HYPERLINK("https://lsnyc.legalserver.org/matter/dynamic-profile/view/1908633","19-1908633")</f>
        <v>0</v>
      </c>
      <c r="B4459" t="s">
        <v>3626</v>
      </c>
      <c r="C4459" t="s">
        <v>8431</v>
      </c>
      <c r="D4459" t="s">
        <v>9930</v>
      </c>
      <c r="E4459" t="s">
        <v>10075</v>
      </c>
      <c r="F4459">
        <v>11373</v>
      </c>
      <c r="G4459" t="s">
        <v>10091</v>
      </c>
      <c r="H4459" t="s">
        <v>10161</v>
      </c>
      <c r="I4459" t="s">
        <v>10169</v>
      </c>
      <c r="J4459" t="s">
        <v>10214</v>
      </c>
      <c r="K4459" t="s">
        <v>10217</v>
      </c>
      <c r="M4459" t="s">
        <v>10286</v>
      </c>
      <c r="N4459" t="s">
        <v>10671</v>
      </c>
      <c r="P4459" t="s">
        <v>10751</v>
      </c>
      <c r="Q4459" t="s">
        <v>10780</v>
      </c>
      <c r="R4459" t="s">
        <v>10821</v>
      </c>
      <c r="T4459">
        <v>0</v>
      </c>
      <c r="U4459">
        <v>0</v>
      </c>
      <c r="V4459">
        <v>48</v>
      </c>
      <c r="W4459">
        <v>2</v>
      </c>
      <c r="X4459">
        <v>2</v>
      </c>
      <c r="Z4459">
        <v>0</v>
      </c>
      <c r="AA4459">
        <v>40.731266</v>
      </c>
      <c r="AB4459">
        <v>-73.88036700000001</v>
      </c>
      <c r="AD4459" t="s">
        <v>10840</v>
      </c>
      <c r="AG4459" t="s">
        <v>10858</v>
      </c>
      <c r="AH4459" t="s">
        <v>10871</v>
      </c>
      <c r="AI4459">
        <v>234</v>
      </c>
      <c r="AJ4459" t="s">
        <v>10214</v>
      </c>
      <c r="AL4459">
        <v>1</v>
      </c>
      <c r="AM4459" t="s">
        <v>10890</v>
      </c>
      <c r="AN4459" t="s">
        <v>10916</v>
      </c>
      <c r="AO4459" t="s">
        <v>11009</v>
      </c>
      <c r="AP4459" t="s">
        <v>11053</v>
      </c>
      <c r="AR4459" t="s">
        <v>11267</v>
      </c>
      <c r="AS4459" t="s">
        <v>11594</v>
      </c>
      <c r="AT4459" t="s">
        <v>11642</v>
      </c>
      <c r="AX4459" t="s">
        <v>10838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</row>
    <row r="4460" spans="1:59">
      <c r="A4460" s="1">
        <f>HYPERLINK("https://lsnyc.legalserver.org/matter/dynamic-profile/view/1908634","19-1908634")</f>
        <v>0</v>
      </c>
      <c r="B4460" t="s">
        <v>3078</v>
      </c>
      <c r="C4460" t="s">
        <v>8432</v>
      </c>
      <c r="D4460" t="s">
        <v>9928</v>
      </c>
      <c r="E4460" t="s">
        <v>10075</v>
      </c>
      <c r="F4460">
        <v>11216</v>
      </c>
      <c r="G4460" t="s">
        <v>10093</v>
      </c>
      <c r="H4460" t="s">
        <v>10161</v>
      </c>
      <c r="I4460" t="s">
        <v>10168</v>
      </c>
      <c r="J4460" t="s">
        <v>10213</v>
      </c>
      <c r="K4460" t="s">
        <v>10217</v>
      </c>
      <c r="M4460" t="s">
        <v>10583</v>
      </c>
      <c r="N4460" t="s">
        <v>10671</v>
      </c>
      <c r="P4460" t="s">
        <v>10749</v>
      </c>
      <c r="Q4460" t="s">
        <v>10765</v>
      </c>
      <c r="R4460" t="s">
        <v>10824</v>
      </c>
      <c r="T4460">
        <v>9000</v>
      </c>
      <c r="U4460">
        <v>750</v>
      </c>
      <c r="V4460">
        <v>66</v>
      </c>
      <c r="W4460">
        <v>1</v>
      </c>
      <c r="X4460">
        <v>0</v>
      </c>
      <c r="Z4460">
        <v>72.06</v>
      </c>
      <c r="AA4460">
        <v>40.680454</v>
      </c>
      <c r="AB4460">
        <v>-73.93832999999999</v>
      </c>
      <c r="AD4460" t="s">
        <v>10839</v>
      </c>
      <c r="AG4460" t="s">
        <v>10858</v>
      </c>
      <c r="AH4460" t="s">
        <v>10861</v>
      </c>
      <c r="AI4460">
        <v>234</v>
      </c>
      <c r="AJ4460" t="s">
        <v>10214</v>
      </c>
      <c r="AL4460">
        <v>1</v>
      </c>
      <c r="AM4460" t="s">
        <v>10889</v>
      </c>
      <c r="AN4460" t="s">
        <v>10914</v>
      </c>
      <c r="AO4460" t="s">
        <v>11007</v>
      </c>
      <c r="AP4460" t="s">
        <v>11052</v>
      </c>
      <c r="AR4460" t="s">
        <v>11316</v>
      </c>
      <c r="AS4460" t="s">
        <v>11595</v>
      </c>
      <c r="AT4460" t="s">
        <v>11641</v>
      </c>
      <c r="AX4460" t="s">
        <v>10838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</row>
    <row r="4461" spans="1:59">
      <c r="A4461" s="1">
        <f>HYPERLINK("https://lsnyc.legalserver.org/matter/dynamic-profile/view/1908635","19-1908635")</f>
        <v>0</v>
      </c>
      <c r="B4461" t="s">
        <v>1468</v>
      </c>
      <c r="C4461" t="s">
        <v>6291</v>
      </c>
      <c r="D4461" t="s">
        <v>9928</v>
      </c>
      <c r="E4461" t="s">
        <v>10075</v>
      </c>
      <c r="F4461">
        <v>11212</v>
      </c>
      <c r="G4461" t="s">
        <v>10090</v>
      </c>
      <c r="H4461" t="s">
        <v>10161</v>
      </c>
      <c r="I4461" t="s">
        <v>10168</v>
      </c>
      <c r="J4461" t="s">
        <v>10210</v>
      </c>
      <c r="K4461" t="s">
        <v>10217</v>
      </c>
      <c r="M4461" t="s">
        <v>10596</v>
      </c>
      <c r="N4461" t="s">
        <v>10705</v>
      </c>
      <c r="P4461" t="s">
        <v>10751</v>
      </c>
      <c r="Q4461" t="s">
        <v>10786</v>
      </c>
      <c r="R4461" t="s">
        <v>10824</v>
      </c>
      <c r="T4461">
        <v>5200</v>
      </c>
      <c r="U4461">
        <v>433.33</v>
      </c>
      <c r="V4461">
        <v>29</v>
      </c>
      <c r="W4461">
        <v>1</v>
      </c>
      <c r="X4461">
        <v>1</v>
      </c>
      <c r="Z4461">
        <v>30.75</v>
      </c>
      <c r="AA4461">
        <v>40.663587</v>
      </c>
      <c r="AB4461">
        <v>-73.903902</v>
      </c>
      <c r="AD4461" t="s">
        <v>10839</v>
      </c>
      <c r="AF4461" t="s">
        <v>10846</v>
      </c>
      <c r="AG4461" t="s">
        <v>10859</v>
      </c>
      <c r="AH4461" t="s">
        <v>10864</v>
      </c>
      <c r="AI4461">
        <v>230</v>
      </c>
      <c r="AJ4461" t="s">
        <v>10210</v>
      </c>
      <c r="AK4461" t="s">
        <v>10837</v>
      </c>
      <c r="AL4461">
        <v>0.65</v>
      </c>
      <c r="AR4461" t="s">
        <v>10180</v>
      </c>
      <c r="AS4461" t="s">
        <v>11595</v>
      </c>
      <c r="AZ4461" t="s">
        <v>11682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</row>
    <row r="4462" spans="1:59">
      <c r="A4462" s="1">
        <f>HYPERLINK("https://lsnyc.legalserver.org/matter/dynamic-profile/view/1908637","19-1908637")</f>
        <v>0</v>
      </c>
      <c r="B4462" t="s">
        <v>1468</v>
      </c>
      <c r="C4462" t="s">
        <v>6291</v>
      </c>
      <c r="D4462" t="s">
        <v>9928</v>
      </c>
      <c r="E4462" t="s">
        <v>10075</v>
      </c>
      <c r="F4462">
        <v>11212</v>
      </c>
      <c r="G4462" t="s">
        <v>10090</v>
      </c>
      <c r="H4462" t="s">
        <v>10161</v>
      </c>
      <c r="I4462" t="s">
        <v>10168</v>
      </c>
      <c r="J4462" t="s">
        <v>10210</v>
      </c>
      <c r="K4462" t="s">
        <v>10218</v>
      </c>
      <c r="L4462" t="s">
        <v>10099</v>
      </c>
      <c r="M4462" t="s">
        <v>10596</v>
      </c>
      <c r="N4462" t="s">
        <v>10705</v>
      </c>
      <c r="P4462" t="s">
        <v>10751</v>
      </c>
      <c r="Q4462" t="s">
        <v>10776</v>
      </c>
      <c r="R4462" t="s">
        <v>10824</v>
      </c>
      <c r="T4462">
        <v>5200</v>
      </c>
      <c r="U4462">
        <v>433.33</v>
      </c>
      <c r="V4462">
        <v>29</v>
      </c>
      <c r="W4462">
        <v>1</v>
      </c>
      <c r="X4462">
        <v>1</v>
      </c>
      <c r="Y4462" t="s">
        <v>10830</v>
      </c>
      <c r="Z4462">
        <v>30.75</v>
      </c>
      <c r="AA4462">
        <v>40.663587</v>
      </c>
      <c r="AB4462">
        <v>-73.903902</v>
      </c>
      <c r="AD4462" t="s">
        <v>10839</v>
      </c>
      <c r="AF4462" t="s">
        <v>10846</v>
      </c>
      <c r="AG4462" t="s">
        <v>10859</v>
      </c>
      <c r="AH4462" t="s">
        <v>10864</v>
      </c>
      <c r="AI4462">
        <v>230</v>
      </c>
      <c r="AJ4462" t="s">
        <v>10210</v>
      </c>
      <c r="AK4462" t="s">
        <v>10837</v>
      </c>
      <c r="AL4462">
        <v>0.5</v>
      </c>
      <c r="AR4462" t="s">
        <v>10180</v>
      </c>
      <c r="AS4462" t="s">
        <v>11595</v>
      </c>
      <c r="AY4462" t="s">
        <v>10830</v>
      </c>
      <c r="AZ4462" t="s">
        <v>11682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</row>
    <row r="4463" spans="1:59">
      <c r="A4463" s="1">
        <f>HYPERLINK("https://lsnyc.legalserver.org/matter/dynamic-profile/view/1908639","19-1908639")</f>
        <v>0</v>
      </c>
      <c r="B4463" t="s">
        <v>2947</v>
      </c>
      <c r="C4463" t="s">
        <v>8433</v>
      </c>
      <c r="D4463" t="s">
        <v>9938</v>
      </c>
      <c r="E4463" t="s">
        <v>10075</v>
      </c>
      <c r="F4463">
        <v>11435</v>
      </c>
      <c r="G4463" t="s">
        <v>10092</v>
      </c>
      <c r="H4463" t="s">
        <v>10161</v>
      </c>
      <c r="I4463" t="s">
        <v>10168</v>
      </c>
      <c r="J4463" t="s">
        <v>10212</v>
      </c>
      <c r="K4463" t="s">
        <v>10217</v>
      </c>
      <c r="M4463" t="s">
        <v>10295</v>
      </c>
      <c r="N4463" t="s">
        <v>10730</v>
      </c>
      <c r="P4463" t="s">
        <v>10754</v>
      </c>
      <c r="Q4463" t="s">
        <v>10777</v>
      </c>
      <c r="R4463" t="s">
        <v>10825</v>
      </c>
      <c r="T4463">
        <v>24000</v>
      </c>
      <c r="U4463">
        <v>2000</v>
      </c>
      <c r="V4463">
        <v>43</v>
      </c>
      <c r="W4463">
        <v>1</v>
      </c>
      <c r="X4463">
        <v>0</v>
      </c>
      <c r="Z4463">
        <v>192.15</v>
      </c>
      <c r="AA4463">
        <v>40.707057</v>
      </c>
      <c r="AB4463">
        <v>-73.80884500000001</v>
      </c>
      <c r="AD4463" t="s">
        <v>10839</v>
      </c>
      <c r="AG4463" t="s">
        <v>10858</v>
      </c>
      <c r="AH4463" t="s">
        <v>10865</v>
      </c>
      <c r="AI4463">
        <v>237</v>
      </c>
      <c r="AJ4463" t="s">
        <v>10212</v>
      </c>
      <c r="AL4463">
        <v>12</v>
      </c>
      <c r="AM4463" t="s">
        <v>10890</v>
      </c>
      <c r="AN4463" t="s">
        <v>10944</v>
      </c>
      <c r="AO4463" t="s">
        <v>11022</v>
      </c>
      <c r="AP4463" t="s">
        <v>11081</v>
      </c>
      <c r="AQ4463" t="s">
        <v>11128</v>
      </c>
      <c r="AR4463" t="s">
        <v>11257</v>
      </c>
      <c r="AS4463" t="s">
        <v>11594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</row>
    <row r="4464" spans="1:59">
      <c r="A4464" s="1">
        <f>HYPERLINK("https://lsnyc.legalserver.org/matter/dynamic-profile/view/1908640","19-1908640")</f>
        <v>0</v>
      </c>
      <c r="B4464" t="s">
        <v>3627</v>
      </c>
      <c r="C4464" t="s">
        <v>8434</v>
      </c>
      <c r="D4464" t="s">
        <v>9981</v>
      </c>
      <c r="E4464" t="s">
        <v>10075</v>
      </c>
      <c r="F4464">
        <v>11378</v>
      </c>
      <c r="G4464" t="s">
        <v>10092</v>
      </c>
      <c r="H4464" t="s">
        <v>10161</v>
      </c>
      <c r="I4464" t="s">
        <v>10168</v>
      </c>
      <c r="J4464" t="s">
        <v>10212</v>
      </c>
      <c r="K4464" t="s">
        <v>10217</v>
      </c>
      <c r="M4464" t="s">
        <v>10335</v>
      </c>
      <c r="N4464" t="s">
        <v>10695</v>
      </c>
      <c r="P4464" t="s">
        <v>10749</v>
      </c>
      <c r="Q4464" t="s">
        <v>10765</v>
      </c>
      <c r="R4464" t="s">
        <v>10828</v>
      </c>
      <c r="T4464">
        <v>44400</v>
      </c>
      <c r="U4464">
        <v>3700</v>
      </c>
      <c r="V4464">
        <v>47</v>
      </c>
      <c r="W4464">
        <v>4</v>
      </c>
      <c r="X4464">
        <v>1</v>
      </c>
      <c r="Z4464">
        <v>147.17</v>
      </c>
      <c r="AA4464">
        <v>40.732484</v>
      </c>
      <c r="AB4464">
        <v>-73.89619399999999</v>
      </c>
      <c r="AD4464" t="s">
        <v>10839</v>
      </c>
      <c r="AG4464" t="s">
        <v>10858</v>
      </c>
      <c r="AH4464" t="s">
        <v>10862</v>
      </c>
      <c r="AI4464">
        <v>237</v>
      </c>
      <c r="AJ4464" t="s">
        <v>10212</v>
      </c>
      <c r="AL4464">
        <v>1.3</v>
      </c>
      <c r="AM4464" t="s">
        <v>10890</v>
      </c>
      <c r="AN4464" t="s">
        <v>10935</v>
      </c>
      <c r="AO4464" t="s">
        <v>11024</v>
      </c>
      <c r="AP4464" t="s">
        <v>11077</v>
      </c>
      <c r="AR4464" t="s">
        <v>11257</v>
      </c>
      <c r="AS4464" t="s">
        <v>11594</v>
      </c>
      <c r="BA4464" t="s">
        <v>11742</v>
      </c>
      <c r="BB4464">
        <v>0</v>
      </c>
      <c r="BC4464">
        <v>0</v>
      </c>
      <c r="BD4464">
        <v>0</v>
      </c>
      <c r="BE4464">
        <v>0</v>
      </c>
      <c r="BF4464">
        <v>7</v>
      </c>
      <c r="BG4464">
        <v>0</v>
      </c>
    </row>
    <row r="4465" spans="1:59">
      <c r="A4465" s="1">
        <f>HYPERLINK("https://lsnyc.legalserver.org/matter/dynamic-profile/view/1908642","19-1908642")</f>
        <v>0</v>
      </c>
      <c r="B4465" t="s">
        <v>2009</v>
      </c>
      <c r="C4465" t="s">
        <v>8435</v>
      </c>
      <c r="D4465" t="s">
        <v>9932</v>
      </c>
      <c r="E4465" t="s">
        <v>10075</v>
      </c>
      <c r="F4465">
        <v>11368</v>
      </c>
      <c r="G4465" t="s">
        <v>10092</v>
      </c>
      <c r="H4465" t="s">
        <v>10161</v>
      </c>
      <c r="I4465" t="s">
        <v>10168</v>
      </c>
      <c r="J4465" t="s">
        <v>10212</v>
      </c>
      <c r="K4465" t="s">
        <v>10217</v>
      </c>
      <c r="M4465" t="s">
        <v>10335</v>
      </c>
      <c r="N4465" t="s">
        <v>10695</v>
      </c>
      <c r="P4465" t="s">
        <v>10749</v>
      </c>
      <c r="Q4465" t="s">
        <v>10765</v>
      </c>
      <c r="R4465" t="s">
        <v>10821</v>
      </c>
      <c r="T4465">
        <v>0</v>
      </c>
      <c r="U4465">
        <v>0</v>
      </c>
      <c r="V4465">
        <v>39</v>
      </c>
      <c r="W4465">
        <v>2</v>
      </c>
      <c r="X4465">
        <v>2</v>
      </c>
      <c r="Z4465">
        <v>0</v>
      </c>
      <c r="AA4465">
        <v>40.737421</v>
      </c>
      <c r="AB4465">
        <v>-73.85470599999999</v>
      </c>
      <c r="AD4465" t="s">
        <v>10840</v>
      </c>
      <c r="AG4465" t="s">
        <v>10858</v>
      </c>
      <c r="AH4465" t="s">
        <v>10862</v>
      </c>
      <c r="AI4465">
        <v>237</v>
      </c>
      <c r="AJ4465" t="s">
        <v>10212</v>
      </c>
      <c r="AL4465">
        <v>1.3</v>
      </c>
      <c r="AM4465" t="s">
        <v>10885</v>
      </c>
      <c r="AN4465" t="s">
        <v>10916</v>
      </c>
      <c r="AO4465" t="s">
        <v>11014</v>
      </c>
      <c r="AP4465" t="s">
        <v>11068</v>
      </c>
      <c r="AR4465" t="s">
        <v>11267</v>
      </c>
      <c r="AS4465" t="s">
        <v>11594</v>
      </c>
      <c r="BA4465" t="s">
        <v>11742</v>
      </c>
      <c r="BB4465">
        <v>0</v>
      </c>
      <c r="BC4465">
        <v>0</v>
      </c>
      <c r="BD4465">
        <v>0</v>
      </c>
      <c r="BE4465">
        <v>0</v>
      </c>
      <c r="BF4465">
        <v>7</v>
      </c>
      <c r="BG4465">
        <v>0</v>
      </c>
    </row>
    <row r="4466" spans="1:59">
      <c r="A4466" s="1">
        <f>HYPERLINK("https://lsnyc.legalserver.org/matter/dynamic-profile/view/1908644","19-1908644")</f>
        <v>0</v>
      </c>
      <c r="B4466" t="s">
        <v>3628</v>
      </c>
      <c r="C4466" t="s">
        <v>8436</v>
      </c>
      <c r="D4466" t="s">
        <v>9926</v>
      </c>
      <c r="E4466" t="s">
        <v>10075</v>
      </c>
      <c r="F4466">
        <v>10452</v>
      </c>
      <c r="G4466" t="s">
        <v>10091</v>
      </c>
      <c r="H4466" t="s">
        <v>10161</v>
      </c>
      <c r="I4466" t="s">
        <v>10168</v>
      </c>
      <c r="J4466" t="s">
        <v>10214</v>
      </c>
      <c r="K4466" t="s">
        <v>10217</v>
      </c>
      <c r="M4466" t="s">
        <v>10537</v>
      </c>
      <c r="N4466" t="s">
        <v>10671</v>
      </c>
      <c r="P4466" t="s">
        <v>10753</v>
      </c>
      <c r="Q4466" t="s">
        <v>10763</v>
      </c>
      <c r="R4466" t="s">
        <v>10824</v>
      </c>
      <c r="T4466">
        <v>15600</v>
      </c>
      <c r="U4466">
        <v>1300</v>
      </c>
      <c r="V4466">
        <v>23</v>
      </c>
      <c r="W4466">
        <v>1</v>
      </c>
      <c r="X4466">
        <v>3</v>
      </c>
      <c r="Z4466">
        <v>60.58</v>
      </c>
      <c r="AA4466">
        <v>40.840862</v>
      </c>
      <c r="AB4466">
        <v>-73.925833</v>
      </c>
      <c r="AD4466" t="s">
        <v>10839</v>
      </c>
      <c r="AF4466" t="s">
        <v>10843</v>
      </c>
      <c r="AG4466" t="s">
        <v>10859</v>
      </c>
      <c r="AH4466" t="s">
        <v>10861</v>
      </c>
      <c r="AI4466">
        <v>234</v>
      </c>
      <c r="AJ4466" t="s">
        <v>10214</v>
      </c>
      <c r="AL4466">
        <v>1.05</v>
      </c>
      <c r="AM4466" t="s">
        <v>10884</v>
      </c>
      <c r="AN4466" t="s">
        <v>10929</v>
      </c>
      <c r="AO4466" t="s">
        <v>11013</v>
      </c>
      <c r="AP4466" t="s">
        <v>11055</v>
      </c>
      <c r="AR4466" t="s">
        <v>11257</v>
      </c>
      <c r="AS4466" t="s">
        <v>9926</v>
      </c>
      <c r="AT4466" t="s">
        <v>11641</v>
      </c>
      <c r="AX4466" t="s">
        <v>10838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</row>
    <row r="4467" spans="1:59">
      <c r="A4467" s="1">
        <f>HYPERLINK("https://lsnyc.legalserver.org/matter/dynamic-profile/view/1908645","19-1908645")</f>
        <v>0</v>
      </c>
      <c r="B4467" t="s">
        <v>1884</v>
      </c>
      <c r="C4467" t="s">
        <v>6680</v>
      </c>
      <c r="D4467" t="s">
        <v>9926</v>
      </c>
      <c r="E4467" t="s">
        <v>10075</v>
      </c>
      <c r="F4467">
        <v>10460</v>
      </c>
      <c r="G4467" t="s">
        <v>10090</v>
      </c>
      <c r="H4467" t="s">
        <v>10161</v>
      </c>
      <c r="I4467" t="s">
        <v>10169</v>
      </c>
      <c r="J4467" t="s">
        <v>10210</v>
      </c>
      <c r="K4467" t="s">
        <v>10218</v>
      </c>
      <c r="L4467" t="s">
        <v>10157</v>
      </c>
      <c r="M4467" t="s">
        <v>10353</v>
      </c>
      <c r="N4467" t="s">
        <v>10671</v>
      </c>
      <c r="P4467" t="s">
        <v>10753</v>
      </c>
      <c r="Q4467" t="s">
        <v>10763</v>
      </c>
      <c r="R4467" t="s">
        <v>10823</v>
      </c>
      <c r="T4467">
        <v>30000</v>
      </c>
      <c r="U4467">
        <v>2500</v>
      </c>
      <c r="V4467">
        <v>24</v>
      </c>
      <c r="W4467">
        <v>2</v>
      </c>
      <c r="X4467">
        <v>1</v>
      </c>
      <c r="Y4467" t="s">
        <v>10829</v>
      </c>
      <c r="Z4467">
        <v>140.65</v>
      </c>
      <c r="AA4467">
        <v>40.839474</v>
      </c>
      <c r="AB4467">
        <v>-73.86648599999999</v>
      </c>
      <c r="AD4467" t="s">
        <v>10839</v>
      </c>
      <c r="AG4467" t="s">
        <v>10858</v>
      </c>
      <c r="AH4467" t="s">
        <v>10864</v>
      </c>
      <c r="AI4467">
        <v>234</v>
      </c>
      <c r="AJ4467" t="s">
        <v>10214</v>
      </c>
      <c r="AK4467" t="s">
        <v>10838</v>
      </c>
      <c r="AL4467">
        <v>0.7</v>
      </c>
      <c r="AM4467" t="s">
        <v>10884</v>
      </c>
      <c r="AN4467" t="s">
        <v>10908</v>
      </c>
      <c r="AO4467" t="s">
        <v>11001</v>
      </c>
      <c r="AP4467" t="s">
        <v>11046</v>
      </c>
      <c r="AR4467" t="s">
        <v>11352</v>
      </c>
      <c r="AS4467" t="s">
        <v>9926</v>
      </c>
      <c r="AX4467" t="s">
        <v>10838</v>
      </c>
      <c r="AY4467" t="s">
        <v>10829</v>
      </c>
      <c r="AZ4467" t="s">
        <v>11709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</row>
    <row r="4468" spans="1:59">
      <c r="A4468" s="1">
        <f>HYPERLINK("https://lsnyc.legalserver.org/matter/dynamic-profile/view/1908646","19-1908646")</f>
        <v>0</v>
      </c>
      <c r="B4468" t="s">
        <v>3629</v>
      </c>
      <c r="C4468" t="s">
        <v>8437</v>
      </c>
      <c r="D4468" t="s">
        <v>9931</v>
      </c>
      <c r="E4468" t="s">
        <v>10075</v>
      </c>
      <c r="F4468">
        <v>11354</v>
      </c>
      <c r="G4468" t="s">
        <v>10092</v>
      </c>
      <c r="H4468" t="s">
        <v>10161</v>
      </c>
      <c r="I4468" t="s">
        <v>10169</v>
      </c>
      <c r="J4468" t="s">
        <v>10212</v>
      </c>
      <c r="K4468" t="s">
        <v>10217</v>
      </c>
      <c r="M4468" t="s">
        <v>10602</v>
      </c>
      <c r="N4468" t="s">
        <v>10650</v>
      </c>
      <c r="P4468" t="s">
        <v>10749</v>
      </c>
      <c r="Q4468" t="s">
        <v>10765</v>
      </c>
      <c r="R4468" t="s">
        <v>10823</v>
      </c>
      <c r="T4468">
        <v>25200</v>
      </c>
      <c r="U4468">
        <v>2100</v>
      </c>
      <c r="V4468">
        <v>34</v>
      </c>
      <c r="W4468">
        <v>2</v>
      </c>
      <c r="X4468">
        <v>4</v>
      </c>
      <c r="Z4468">
        <v>72.84999999999999</v>
      </c>
      <c r="AA4468">
        <v>40.772846</v>
      </c>
      <c r="AB4468">
        <v>-73.824167</v>
      </c>
      <c r="AD4468" t="s">
        <v>10839</v>
      </c>
      <c r="AF4468" t="s">
        <v>10842</v>
      </c>
      <c r="AG4468" t="s">
        <v>10859</v>
      </c>
      <c r="AH4468" t="s">
        <v>10862</v>
      </c>
      <c r="AI4468">
        <v>237</v>
      </c>
      <c r="AJ4468" t="s">
        <v>10212</v>
      </c>
      <c r="AL4468">
        <v>2.45</v>
      </c>
      <c r="AM4468" t="s">
        <v>10890</v>
      </c>
      <c r="AN4468" t="s">
        <v>10927</v>
      </c>
      <c r="AO4468" t="s">
        <v>11022</v>
      </c>
      <c r="AP4468" t="s">
        <v>11067</v>
      </c>
      <c r="AR4468" t="s">
        <v>11372</v>
      </c>
      <c r="AS4468" t="s">
        <v>11594</v>
      </c>
      <c r="BA4468" t="s">
        <v>11738</v>
      </c>
      <c r="BB4468">
        <v>0</v>
      </c>
      <c r="BC4468">
        <v>0</v>
      </c>
      <c r="BD4468">
        <v>0</v>
      </c>
      <c r="BE4468">
        <v>0</v>
      </c>
      <c r="BF4468">
        <v>5</v>
      </c>
      <c r="BG4468">
        <v>0</v>
      </c>
    </row>
    <row r="4469" spans="1:59">
      <c r="A4469" s="1">
        <f>HYPERLINK("https://lsnyc.legalserver.org/matter/dynamic-profile/view/1908647","19-1908647")</f>
        <v>0</v>
      </c>
      <c r="B4469" t="s">
        <v>3245</v>
      </c>
      <c r="C4469" t="s">
        <v>8035</v>
      </c>
      <c r="D4469" t="s">
        <v>9975</v>
      </c>
      <c r="E4469" t="s">
        <v>10075</v>
      </c>
      <c r="F4469">
        <v>11415</v>
      </c>
      <c r="G4469" t="s">
        <v>10092</v>
      </c>
      <c r="H4469" t="s">
        <v>10161</v>
      </c>
      <c r="I4469" t="s">
        <v>10168</v>
      </c>
      <c r="J4469" t="s">
        <v>10212</v>
      </c>
      <c r="K4469" t="s">
        <v>10217</v>
      </c>
      <c r="M4469" t="s">
        <v>10343</v>
      </c>
      <c r="N4469" t="s">
        <v>10688</v>
      </c>
      <c r="P4469" t="s">
        <v>10751</v>
      </c>
      <c r="Q4469" t="s">
        <v>10761</v>
      </c>
      <c r="R4469" t="s">
        <v>10821</v>
      </c>
      <c r="T4469">
        <v>37000</v>
      </c>
      <c r="U4469">
        <v>3083.33</v>
      </c>
      <c r="V4469">
        <v>26</v>
      </c>
      <c r="W4469">
        <v>2</v>
      </c>
      <c r="X4469">
        <v>3</v>
      </c>
      <c r="Z4469">
        <v>122.64</v>
      </c>
      <c r="AA4469">
        <v>40.705581</v>
      </c>
      <c r="AB4469">
        <v>-73.833682</v>
      </c>
      <c r="AD4469" t="s">
        <v>10840</v>
      </c>
      <c r="AG4469" t="s">
        <v>10858</v>
      </c>
      <c r="AH4469" t="s">
        <v>10862</v>
      </c>
      <c r="AI4469">
        <v>237</v>
      </c>
      <c r="AJ4469" t="s">
        <v>10212</v>
      </c>
      <c r="AL4469">
        <v>0.3</v>
      </c>
      <c r="AM4469" t="s">
        <v>10890</v>
      </c>
      <c r="AN4469" t="s">
        <v>10962</v>
      </c>
      <c r="AO4469" t="s">
        <v>11020</v>
      </c>
      <c r="AP4469" t="s">
        <v>11083</v>
      </c>
      <c r="AR4469" t="s">
        <v>11257</v>
      </c>
      <c r="AS4469" t="s">
        <v>11594</v>
      </c>
      <c r="BA4469" t="s">
        <v>11737</v>
      </c>
      <c r="BB4469">
        <v>0</v>
      </c>
      <c r="BC4469">
        <v>0</v>
      </c>
      <c r="BD4469">
        <v>0</v>
      </c>
      <c r="BE4469">
        <v>0</v>
      </c>
      <c r="BF4469">
        <v>3</v>
      </c>
      <c r="BG4469">
        <v>0</v>
      </c>
    </row>
    <row r="4470" spans="1:59">
      <c r="A4470" s="1">
        <f>HYPERLINK("https://lsnyc.legalserver.org/matter/dynamic-profile/view/1908648","19-1908648")</f>
        <v>0</v>
      </c>
      <c r="B4470" t="s">
        <v>3630</v>
      </c>
      <c r="C4470" t="s">
        <v>8438</v>
      </c>
      <c r="D4470" t="s">
        <v>9931</v>
      </c>
      <c r="E4470" t="s">
        <v>10075</v>
      </c>
      <c r="F4470">
        <v>11355</v>
      </c>
      <c r="G4470" t="s">
        <v>10092</v>
      </c>
      <c r="H4470" t="s">
        <v>10145</v>
      </c>
      <c r="I4470" t="s">
        <v>10168</v>
      </c>
      <c r="J4470" t="s">
        <v>10212</v>
      </c>
      <c r="K4470" t="s">
        <v>10217</v>
      </c>
      <c r="M4470" t="s">
        <v>10343</v>
      </c>
      <c r="N4470" t="s">
        <v>10671</v>
      </c>
      <c r="P4470" t="s">
        <v>10749</v>
      </c>
      <c r="Q4470" t="s">
        <v>10765</v>
      </c>
      <c r="R4470" t="s">
        <v>10827</v>
      </c>
      <c r="T4470">
        <v>25000</v>
      </c>
      <c r="U4470">
        <v>2083.33</v>
      </c>
      <c r="V4470">
        <v>64</v>
      </c>
      <c r="W4470">
        <v>2</v>
      </c>
      <c r="X4470">
        <v>0</v>
      </c>
      <c r="Z4470">
        <v>147.84</v>
      </c>
      <c r="AA4470">
        <v>40.760208</v>
      </c>
      <c r="AB4470">
        <v>-73.823773</v>
      </c>
      <c r="AD4470" t="s">
        <v>10839</v>
      </c>
      <c r="AG4470" t="s">
        <v>10858</v>
      </c>
      <c r="AH4470" t="s">
        <v>10862</v>
      </c>
      <c r="AI4470">
        <v>237</v>
      </c>
      <c r="AJ4470" t="s">
        <v>10212</v>
      </c>
      <c r="AL4470">
        <v>2.5</v>
      </c>
      <c r="AM4470" t="s">
        <v>10890</v>
      </c>
      <c r="AN4470" t="s">
        <v>10927</v>
      </c>
      <c r="AO4470" t="s">
        <v>11009</v>
      </c>
      <c r="AP4470" t="s">
        <v>11067</v>
      </c>
      <c r="AR4470" t="s">
        <v>11328</v>
      </c>
      <c r="AS4470" t="s">
        <v>11594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</row>
    <row r="4471" spans="1:59">
      <c r="A4471" s="1">
        <f>HYPERLINK("https://lsnyc.legalserver.org/matter/dynamic-profile/view/1908649","19-1908649")</f>
        <v>0</v>
      </c>
      <c r="B4471" t="s">
        <v>3105</v>
      </c>
      <c r="C4471" t="s">
        <v>6590</v>
      </c>
      <c r="D4471" t="s">
        <v>9926</v>
      </c>
      <c r="E4471" t="s">
        <v>10075</v>
      </c>
      <c r="F4471">
        <v>10474</v>
      </c>
      <c r="G4471" t="s">
        <v>10090</v>
      </c>
      <c r="H4471" t="s">
        <v>10161</v>
      </c>
      <c r="I4471" t="s">
        <v>10168</v>
      </c>
      <c r="J4471" t="s">
        <v>10210</v>
      </c>
      <c r="K4471" t="s">
        <v>10217</v>
      </c>
      <c r="M4471" t="s">
        <v>10234</v>
      </c>
      <c r="N4471" t="s">
        <v>10650</v>
      </c>
      <c r="P4471" t="s">
        <v>10749</v>
      </c>
      <c r="Q4471" t="s">
        <v>10765</v>
      </c>
      <c r="R4471" t="s">
        <v>10823</v>
      </c>
      <c r="T4471">
        <v>39520</v>
      </c>
      <c r="U4471">
        <v>3293.33</v>
      </c>
      <c r="V4471">
        <v>26</v>
      </c>
      <c r="W4471">
        <v>1</v>
      </c>
      <c r="X4471">
        <v>0</v>
      </c>
      <c r="Z4471">
        <v>316.41</v>
      </c>
      <c r="AA4471">
        <v>40.816635</v>
      </c>
      <c r="AB4471">
        <v>-73.886374</v>
      </c>
      <c r="AD4471" t="s">
        <v>10839</v>
      </c>
      <c r="AG4471" t="s">
        <v>10858</v>
      </c>
      <c r="AH4471" t="s">
        <v>10862</v>
      </c>
      <c r="AI4471">
        <v>230</v>
      </c>
      <c r="AJ4471" t="s">
        <v>10210</v>
      </c>
      <c r="AL4471">
        <v>0</v>
      </c>
      <c r="AR4471" t="s">
        <v>11257</v>
      </c>
      <c r="AS4471" t="s">
        <v>9926</v>
      </c>
      <c r="BA4471" t="s">
        <v>11739</v>
      </c>
      <c r="BB4471">
        <v>0</v>
      </c>
      <c r="BC4471">
        <v>0</v>
      </c>
      <c r="BD4471">
        <v>0</v>
      </c>
      <c r="BE4471">
        <v>0</v>
      </c>
      <c r="BF4471">
        <v>4</v>
      </c>
      <c r="BG4471">
        <v>0</v>
      </c>
    </row>
    <row r="4472" spans="1:59">
      <c r="A4472" s="1">
        <f>HYPERLINK("https://lsnyc.legalserver.org/matter/dynamic-profile/view/1908650","19-1908650")</f>
        <v>0</v>
      </c>
      <c r="B4472" t="s">
        <v>1922</v>
      </c>
      <c r="C4472" t="s">
        <v>6716</v>
      </c>
      <c r="D4472" t="s">
        <v>9926</v>
      </c>
      <c r="E4472" t="s">
        <v>10075</v>
      </c>
      <c r="F4472">
        <v>10470</v>
      </c>
      <c r="G4472" t="s">
        <v>10090</v>
      </c>
      <c r="H4472" t="s">
        <v>10154</v>
      </c>
      <c r="I4472" t="s">
        <v>10168</v>
      </c>
      <c r="J4472" t="s">
        <v>10210</v>
      </c>
      <c r="K4472" t="s">
        <v>10217</v>
      </c>
      <c r="M4472" t="s">
        <v>10558</v>
      </c>
      <c r="N4472" t="s">
        <v>10683</v>
      </c>
      <c r="P4472" t="s">
        <v>10754</v>
      </c>
      <c r="Q4472" t="s">
        <v>10775</v>
      </c>
      <c r="R4472" t="s">
        <v>10821</v>
      </c>
      <c r="T4472">
        <v>18000</v>
      </c>
      <c r="U4472">
        <v>1500</v>
      </c>
      <c r="V4472">
        <v>32</v>
      </c>
      <c r="W4472">
        <v>1</v>
      </c>
      <c r="X4472">
        <v>2</v>
      </c>
      <c r="Z4472">
        <v>84.39</v>
      </c>
      <c r="AA4472">
        <v>40.896947</v>
      </c>
      <c r="AB4472">
        <v>-73.864786</v>
      </c>
      <c r="AD4472" t="s">
        <v>10839</v>
      </c>
      <c r="AG4472" t="s">
        <v>10858</v>
      </c>
      <c r="AH4472" t="s">
        <v>10865</v>
      </c>
      <c r="AI4472">
        <v>230</v>
      </c>
      <c r="AJ4472" t="s">
        <v>10210</v>
      </c>
      <c r="AL4472">
        <v>3</v>
      </c>
      <c r="AM4472" t="s">
        <v>10893</v>
      </c>
      <c r="AN4472" t="s">
        <v>10919</v>
      </c>
      <c r="AO4472" t="s">
        <v>11002</v>
      </c>
      <c r="AP4472" t="s">
        <v>11057</v>
      </c>
      <c r="AR4472" t="s">
        <v>11257</v>
      </c>
      <c r="AS4472" t="s">
        <v>9926</v>
      </c>
      <c r="AT4472" t="s">
        <v>11641</v>
      </c>
      <c r="AX4472" t="s">
        <v>10838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</row>
    <row r="4473" spans="1:59">
      <c r="A4473" s="1">
        <f>HYPERLINK("https://lsnyc.legalserver.org/matter/dynamic-profile/view/1908651","19-1908651")</f>
        <v>0</v>
      </c>
      <c r="B4473" t="s">
        <v>3586</v>
      </c>
      <c r="C4473" t="s">
        <v>8389</v>
      </c>
      <c r="D4473" t="s">
        <v>9926</v>
      </c>
      <c r="E4473" t="s">
        <v>10075</v>
      </c>
      <c r="F4473">
        <v>10472</v>
      </c>
      <c r="G4473" t="s">
        <v>10090</v>
      </c>
      <c r="H4473" t="s">
        <v>10111</v>
      </c>
      <c r="I4473" t="s">
        <v>10179</v>
      </c>
      <c r="J4473" t="s">
        <v>10210</v>
      </c>
      <c r="K4473" t="s">
        <v>10217</v>
      </c>
      <c r="M4473" t="s">
        <v>10558</v>
      </c>
      <c r="N4473" t="s">
        <v>10683</v>
      </c>
      <c r="P4473" t="s">
        <v>10754</v>
      </c>
      <c r="Q4473" t="s">
        <v>10766</v>
      </c>
      <c r="R4473" t="s">
        <v>10827</v>
      </c>
      <c r="T4473">
        <v>0</v>
      </c>
      <c r="U4473">
        <v>0</v>
      </c>
      <c r="V4473">
        <v>37</v>
      </c>
      <c r="W4473">
        <v>1</v>
      </c>
      <c r="X4473">
        <v>1</v>
      </c>
      <c r="Z4473">
        <v>0</v>
      </c>
      <c r="AA4473">
        <v>40.830105</v>
      </c>
      <c r="AB4473">
        <v>-73.865498</v>
      </c>
      <c r="AD4473" t="s">
        <v>10839</v>
      </c>
      <c r="AF4473" t="s">
        <v>10843</v>
      </c>
      <c r="AG4473" t="s">
        <v>10858</v>
      </c>
      <c r="AH4473" t="s">
        <v>10865</v>
      </c>
      <c r="AI4473">
        <v>230</v>
      </c>
      <c r="AJ4473" t="s">
        <v>10210</v>
      </c>
      <c r="AL4473">
        <v>1</v>
      </c>
      <c r="AM4473" t="s">
        <v>10884</v>
      </c>
      <c r="AN4473" t="s">
        <v>10908</v>
      </c>
      <c r="AO4473" t="s">
        <v>11001</v>
      </c>
      <c r="AP4473" t="s">
        <v>11046</v>
      </c>
      <c r="AQ4473" t="s">
        <v>11112</v>
      </c>
      <c r="AR4473" t="s">
        <v>11279</v>
      </c>
      <c r="AS4473" t="s">
        <v>9926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</row>
    <row r="4474" spans="1:59">
      <c r="A4474" s="1">
        <f>HYPERLINK("https://lsnyc.legalserver.org/matter/dynamic-profile/view/1908652","19-1908652")</f>
        <v>0</v>
      </c>
      <c r="B4474" t="s">
        <v>3631</v>
      </c>
      <c r="C4474" t="s">
        <v>8439</v>
      </c>
      <c r="D4474" t="s">
        <v>9926</v>
      </c>
      <c r="E4474" t="s">
        <v>10075</v>
      </c>
      <c r="F4474">
        <v>10468</v>
      </c>
      <c r="G4474" t="s">
        <v>10090</v>
      </c>
      <c r="H4474" t="s">
        <v>10108</v>
      </c>
      <c r="I4474" t="s">
        <v>10169</v>
      </c>
      <c r="J4474" t="s">
        <v>10210</v>
      </c>
      <c r="K4474" t="s">
        <v>10217</v>
      </c>
      <c r="M4474" t="s">
        <v>10525</v>
      </c>
      <c r="N4474" t="s">
        <v>10651</v>
      </c>
      <c r="P4474" t="s">
        <v>10749</v>
      </c>
      <c r="Q4474" t="s">
        <v>10765</v>
      </c>
      <c r="R4474" t="s">
        <v>10821</v>
      </c>
      <c r="T4474">
        <v>23000</v>
      </c>
      <c r="U4474">
        <v>1916.67</v>
      </c>
      <c r="V4474">
        <v>45</v>
      </c>
      <c r="W4474">
        <v>2</v>
      </c>
      <c r="X4474">
        <v>0</v>
      </c>
      <c r="Z4474">
        <v>136.01</v>
      </c>
      <c r="AA4474">
        <v>40.871439</v>
      </c>
      <c r="AB4474">
        <v>-73.902496</v>
      </c>
      <c r="AD4474" t="s">
        <v>10839</v>
      </c>
      <c r="AG4474" t="s">
        <v>10858</v>
      </c>
      <c r="AH4474" t="s">
        <v>10861</v>
      </c>
      <c r="AI4474">
        <v>230</v>
      </c>
      <c r="AJ4474" t="s">
        <v>10210</v>
      </c>
      <c r="AL4474">
        <v>3.35</v>
      </c>
      <c r="AM4474" t="s">
        <v>10887</v>
      </c>
      <c r="AN4474" t="s">
        <v>10907</v>
      </c>
      <c r="AO4474" t="s">
        <v>11000</v>
      </c>
      <c r="AP4474" t="s">
        <v>11045</v>
      </c>
      <c r="AR4474" t="s">
        <v>11262</v>
      </c>
      <c r="AS4474" t="s">
        <v>9926</v>
      </c>
      <c r="AT4474" t="s">
        <v>11641</v>
      </c>
      <c r="AX4474" t="s">
        <v>10838</v>
      </c>
      <c r="BA4474" t="s">
        <v>11738</v>
      </c>
      <c r="BB4474">
        <v>0</v>
      </c>
      <c r="BC4474">
        <v>0</v>
      </c>
      <c r="BD4474">
        <v>0</v>
      </c>
      <c r="BE4474">
        <v>0</v>
      </c>
      <c r="BF4474">
        <v>5</v>
      </c>
      <c r="BG4474">
        <v>0</v>
      </c>
    </row>
    <row r="4475" spans="1:59">
      <c r="A4475" s="1">
        <f>HYPERLINK("https://lsnyc.legalserver.org/matter/dynamic-profile/view/1908653","19-1908653")</f>
        <v>0</v>
      </c>
      <c r="B4475" t="s">
        <v>3632</v>
      </c>
      <c r="C4475" t="s">
        <v>8440</v>
      </c>
      <c r="D4475" t="s">
        <v>9928</v>
      </c>
      <c r="E4475" t="s">
        <v>10075</v>
      </c>
      <c r="F4475">
        <v>11225</v>
      </c>
      <c r="G4475" t="s">
        <v>10093</v>
      </c>
      <c r="H4475" t="s">
        <v>10108</v>
      </c>
      <c r="I4475" t="s">
        <v>10168</v>
      </c>
      <c r="J4475" t="s">
        <v>10213</v>
      </c>
      <c r="K4475" t="s">
        <v>10217</v>
      </c>
      <c r="M4475" t="s">
        <v>10467</v>
      </c>
      <c r="N4475" t="s">
        <v>10667</v>
      </c>
      <c r="P4475" t="s">
        <v>10749</v>
      </c>
      <c r="Q4475" t="s">
        <v>10765</v>
      </c>
      <c r="R4475" t="s">
        <v>10824</v>
      </c>
      <c r="T4475">
        <v>8100</v>
      </c>
      <c r="U4475">
        <v>675</v>
      </c>
      <c r="V4475">
        <v>79</v>
      </c>
      <c r="W4475">
        <v>1</v>
      </c>
      <c r="X4475">
        <v>0</v>
      </c>
      <c r="Z4475">
        <v>64.84999999999999</v>
      </c>
      <c r="AA4475">
        <v>40.667135</v>
      </c>
      <c r="AB4475">
        <v>-73.954092</v>
      </c>
      <c r="AD4475" t="s">
        <v>10839</v>
      </c>
      <c r="AG4475" t="s">
        <v>10858</v>
      </c>
      <c r="AH4475" t="s">
        <v>10862</v>
      </c>
      <c r="AI4475">
        <v>239</v>
      </c>
      <c r="AJ4475" t="s">
        <v>10213</v>
      </c>
      <c r="AL4475">
        <v>6.3</v>
      </c>
      <c r="AM4475" t="s">
        <v>10888</v>
      </c>
      <c r="AN4475" t="s">
        <v>10923</v>
      </c>
      <c r="AO4475" t="s">
        <v>11005</v>
      </c>
      <c r="AP4475" t="s">
        <v>11061</v>
      </c>
      <c r="AQ4475" t="s">
        <v>11101</v>
      </c>
      <c r="AR4475" t="s">
        <v>11268</v>
      </c>
      <c r="AS4475" t="s">
        <v>11595</v>
      </c>
      <c r="BA4475" t="s">
        <v>11738</v>
      </c>
      <c r="BB4475">
        <v>0</v>
      </c>
      <c r="BC4475">
        <v>0</v>
      </c>
      <c r="BD4475">
        <v>0</v>
      </c>
      <c r="BE4475">
        <v>0</v>
      </c>
      <c r="BF4475">
        <v>5</v>
      </c>
      <c r="BG4475">
        <v>0</v>
      </c>
    </row>
    <row r="4476" spans="1:59">
      <c r="A4476" s="1">
        <f>HYPERLINK("https://lsnyc.legalserver.org/matter/dynamic-profile/view/1908654","19-1908654")</f>
        <v>0</v>
      </c>
      <c r="B4476" t="s">
        <v>3633</v>
      </c>
      <c r="C4476" t="s">
        <v>8441</v>
      </c>
      <c r="D4476" t="s">
        <v>9928</v>
      </c>
      <c r="E4476" t="s">
        <v>10075</v>
      </c>
      <c r="F4476">
        <v>11223</v>
      </c>
      <c r="G4476" t="s">
        <v>10093</v>
      </c>
      <c r="H4476" t="s">
        <v>10161</v>
      </c>
      <c r="I4476" t="s">
        <v>10171</v>
      </c>
      <c r="J4476" t="s">
        <v>10213</v>
      </c>
      <c r="K4476" t="s">
        <v>10218</v>
      </c>
      <c r="L4476" t="s">
        <v>10100</v>
      </c>
      <c r="M4476" t="s">
        <v>10390</v>
      </c>
      <c r="N4476" t="s">
        <v>10644</v>
      </c>
      <c r="P4476" t="s">
        <v>10757</v>
      </c>
      <c r="Q4476" t="s">
        <v>10789</v>
      </c>
      <c r="R4476" t="s">
        <v>10820</v>
      </c>
      <c r="T4476">
        <v>10296</v>
      </c>
      <c r="U4476">
        <v>858</v>
      </c>
      <c r="V4476">
        <v>82</v>
      </c>
      <c r="W4476">
        <v>1</v>
      </c>
      <c r="X4476">
        <v>0</v>
      </c>
      <c r="Y4476" t="s">
        <v>10829</v>
      </c>
      <c r="Z4476">
        <v>82.43000000000001</v>
      </c>
      <c r="AA4476">
        <v>40.604475</v>
      </c>
      <c r="AB4476">
        <v>-73.96753</v>
      </c>
      <c r="AD4476" t="s">
        <v>10839</v>
      </c>
      <c r="AF4476" t="s">
        <v>10843</v>
      </c>
      <c r="AG4476" t="s">
        <v>10859</v>
      </c>
      <c r="AH4476" t="s">
        <v>10869</v>
      </c>
      <c r="AI4476">
        <v>239</v>
      </c>
      <c r="AJ4476" t="s">
        <v>10213</v>
      </c>
      <c r="AK4476" t="s">
        <v>10838</v>
      </c>
      <c r="AL4476">
        <v>2.25</v>
      </c>
      <c r="AM4476" t="s">
        <v>10883</v>
      </c>
      <c r="AN4476" t="s">
        <v>10965</v>
      </c>
      <c r="AO4476" t="s">
        <v>11023</v>
      </c>
      <c r="AP4476" t="s">
        <v>11087</v>
      </c>
      <c r="AQ4476" t="s">
        <v>11121</v>
      </c>
      <c r="AR4476" t="s">
        <v>11263</v>
      </c>
      <c r="AS4476" t="s">
        <v>11595</v>
      </c>
      <c r="AY4476" t="s">
        <v>10829</v>
      </c>
      <c r="AZ4476" t="s">
        <v>11716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</row>
    <row r="4477" spans="1:59">
      <c r="A4477" s="1">
        <f>HYPERLINK("https://lsnyc.legalserver.org/matter/dynamic-profile/view/1908655","19-1908655")</f>
        <v>0</v>
      </c>
      <c r="B4477" t="s">
        <v>3634</v>
      </c>
      <c r="C4477" t="s">
        <v>8442</v>
      </c>
      <c r="D4477" t="s">
        <v>9928</v>
      </c>
      <c r="E4477" t="s">
        <v>10075</v>
      </c>
      <c r="F4477">
        <v>11229</v>
      </c>
      <c r="G4477" t="s">
        <v>10093</v>
      </c>
      <c r="H4477" t="s">
        <v>10161</v>
      </c>
      <c r="J4477" t="s">
        <v>10213</v>
      </c>
      <c r="K4477" t="s">
        <v>10218</v>
      </c>
      <c r="L4477" t="s">
        <v>10137</v>
      </c>
      <c r="M4477" t="s">
        <v>10390</v>
      </c>
      <c r="N4477" t="s">
        <v>10644</v>
      </c>
      <c r="P4477" t="s">
        <v>10749</v>
      </c>
      <c r="Q4477" t="s">
        <v>10791</v>
      </c>
      <c r="R4477" t="s">
        <v>10820</v>
      </c>
      <c r="T4477">
        <v>15600</v>
      </c>
      <c r="U4477">
        <v>1300</v>
      </c>
      <c r="V4477">
        <v>76</v>
      </c>
      <c r="W4477">
        <v>1</v>
      </c>
      <c r="X4477">
        <v>0</v>
      </c>
      <c r="Y4477" t="s">
        <v>10829</v>
      </c>
      <c r="Z4477">
        <v>124.9</v>
      </c>
      <c r="AA4477">
        <v>40.602641</v>
      </c>
      <c r="AB4477">
        <v>-73.947474</v>
      </c>
      <c r="AD4477" t="s">
        <v>10839</v>
      </c>
      <c r="AG4477" t="s">
        <v>10858</v>
      </c>
      <c r="AH4477" t="s">
        <v>10869</v>
      </c>
      <c r="AI4477">
        <v>239</v>
      </c>
      <c r="AJ4477" t="s">
        <v>10213</v>
      </c>
      <c r="AK4477" t="s">
        <v>10838</v>
      </c>
      <c r="AL4477">
        <v>2.25</v>
      </c>
      <c r="AM4477" t="s">
        <v>10888</v>
      </c>
      <c r="AN4477" t="s">
        <v>10957</v>
      </c>
      <c r="AO4477" t="s">
        <v>11015</v>
      </c>
      <c r="AP4477" t="s">
        <v>11092</v>
      </c>
      <c r="AQ4477" t="s">
        <v>11133</v>
      </c>
      <c r="AR4477" t="s">
        <v>11268</v>
      </c>
      <c r="AS4477" t="s">
        <v>11595</v>
      </c>
      <c r="AY4477" t="s">
        <v>10829</v>
      </c>
      <c r="AZ4477" t="s">
        <v>11681</v>
      </c>
      <c r="BA4477" t="s">
        <v>11741</v>
      </c>
      <c r="BB4477">
        <v>0</v>
      </c>
      <c r="BC4477">
        <v>0</v>
      </c>
      <c r="BD4477">
        <v>0</v>
      </c>
      <c r="BE4477">
        <v>0</v>
      </c>
      <c r="BF4477">
        <v>1</v>
      </c>
      <c r="BG4477">
        <v>0</v>
      </c>
    </row>
    <row r="4478" spans="1:59">
      <c r="A4478" s="1">
        <f>HYPERLINK("https://lsnyc.legalserver.org/matter/dynamic-profile/view/1908656","19-1908656")</f>
        <v>0</v>
      </c>
      <c r="B4478" t="s">
        <v>3635</v>
      </c>
      <c r="C4478" t="s">
        <v>5064</v>
      </c>
      <c r="D4478" t="s">
        <v>9925</v>
      </c>
      <c r="E4478" t="s">
        <v>10075</v>
      </c>
      <c r="F4478">
        <v>10035</v>
      </c>
      <c r="G4478" t="s">
        <v>10089</v>
      </c>
      <c r="H4478" t="s">
        <v>10108</v>
      </c>
      <c r="I4478" t="s">
        <v>10168</v>
      </c>
      <c r="J4478" t="s">
        <v>10209</v>
      </c>
      <c r="K4478" t="s">
        <v>10217</v>
      </c>
      <c r="M4478" t="s">
        <v>10589</v>
      </c>
      <c r="N4478" t="s">
        <v>10650</v>
      </c>
      <c r="P4478" t="s">
        <v>10749</v>
      </c>
      <c r="Q4478" t="s">
        <v>10765</v>
      </c>
      <c r="R4478" t="s">
        <v>10820</v>
      </c>
      <c r="T4478">
        <v>11556</v>
      </c>
      <c r="U4478">
        <v>963</v>
      </c>
      <c r="V4478">
        <v>74</v>
      </c>
      <c r="W4478">
        <v>1</v>
      </c>
      <c r="X4478">
        <v>0</v>
      </c>
      <c r="Z4478">
        <v>92.52</v>
      </c>
      <c r="AA4478">
        <v>40.799429</v>
      </c>
      <c r="AB4478">
        <v>-73.94181399999999</v>
      </c>
      <c r="AD4478" t="s">
        <v>10839</v>
      </c>
      <c r="AG4478" t="s">
        <v>10858</v>
      </c>
      <c r="AH4478" t="s">
        <v>10862</v>
      </c>
      <c r="AI4478">
        <v>236</v>
      </c>
      <c r="AJ4478" t="s">
        <v>10209</v>
      </c>
      <c r="AL4478">
        <v>6.5</v>
      </c>
      <c r="AM4478" t="s">
        <v>10887</v>
      </c>
      <c r="AN4478" t="s">
        <v>10926</v>
      </c>
      <c r="AO4478" t="s">
        <v>11016</v>
      </c>
      <c r="AP4478" t="s">
        <v>11066</v>
      </c>
      <c r="AR4478" t="s">
        <v>11274</v>
      </c>
      <c r="AS4478" t="s">
        <v>9925</v>
      </c>
      <c r="AT4478" t="s">
        <v>11641</v>
      </c>
      <c r="AX4478" t="s">
        <v>10838</v>
      </c>
      <c r="BA4478" t="s">
        <v>11742</v>
      </c>
      <c r="BB4478">
        <v>0</v>
      </c>
      <c r="BC4478">
        <v>0</v>
      </c>
      <c r="BD4478">
        <v>0</v>
      </c>
      <c r="BE4478">
        <v>0</v>
      </c>
      <c r="BF4478">
        <v>7</v>
      </c>
      <c r="BG4478">
        <v>0</v>
      </c>
    </row>
    <row r="4479" spans="1:59">
      <c r="A4479" s="1">
        <f>HYPERLINK("https://lsnyc.legalserver.org/matter/dynamic-profile/view/1908657","19-1908657")</f>
        <v>0</v>
      </c>
      <c r="B4479" t="s">
        <v>3636</v>
      </c>
      <c r="C4479" t="s">
        <v>8443</v>
      </c>
      <c r="D4479" t="s">
        <v>9925</v>
      </c>
      <c r="E4479" t="s">
        <v>10075</v>
      </c>
      <c r="F4479">
        <v>10017</v>
      </c>
      <c r="G4479" t="s">
        <v>10089</v>
      </c>
      <c r="H4479" t="s">
        <v>10108</v>
      </c>
      <c r="I4479" t="s">
        <v>10168</v>
      </c>
      <c r="J4479" t="s">
        <v>10209</v>
      </c>
      <c r="K4479" t="s">
        <v>10217</v>
      </c>
      <c r="M4479" t="s">
        <v>10267</v>
      </c>
      <c r="N4479" t="s">
        <v>10691</v>
      </c>
      <c r="P4479" t="s">
        <v>10757</v>
      </c>
      <c r="Q4479" t="s">
        <v>10789</v>
      </c>
      <c r="R4479" t="s">
        <v>10821</v>
      </c>
      <c r="T4479">
        <v>12888</v>
      </c>
      <c r="U4479">
        <v>1074</v>
      </c>
      <c r="V4479">
        <v>75</v>
      </c>
      <c r="W4479">
        <v>1</v>
      </c>
      <c r="X4479">
        <v>0</v>
      </c>
      <c r="Z4479">
        <v>103.19</v>
      </c>
      <c r="AA4479">
        <v>40.751361</v>
      </c>
      <c r="AB4479">
        <v>-73.972677</v>
      </c>
      <c r="AD4479" t="s">
        <v>10839</v>
      </c>
      <c r="AG4479" t="s">
        <v>10858</v>
      </c>
      <c r="AH4479" t="s">
        <v>10861</v>
      </c>
      <c r="AI4479">
        <v>234</v>
      </c>
      <c r="AJ4479" t="s">
        <v>10214</v>
      </c>
      <c r="AL4479">
        <v>12</v>
      </c>
      <c r="AM4479" t="s">
        <v>10891</v>
      </c>
      <c r="AN4479" t="s">
        <v>10910</v>
      </c>
      <c r="AO4479" t="s">
        <v>11026</v>
      </c>
      <c r="AP4479" t="s">
        <v>11091</v>
      </c>
      <c r="AR4479" t="s">
        <v>11300</v>
      </c>
      <c r="AS4479" t="s">
        <v>9925</v>
      </c>
      <c r="AT4479" t="s">
        <v>11641</v>
      </c>
      <c r="AX4479" t="s">
        <v>10838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</row>
    <row r="4480" spans="1:59">
      <c r="A4480" s="1">
        <f>HYPERLINK("https://lsnyc.legalserver.org/matter/dynamic-profile/view/1908658","19-1908658")</f>
        <v>0</v>
      </c>
      <c r="B4480" t="s">
        <v>3637</v>
      </c>
      <c r="C4480" t="s">
        <v>8444</v>
      </c>
      <c r="D4480" t="s">
        <v>9931</v>
      </c>
      <c r="E4480" t="s">
        <v>10075</v>
      </c>
      <c r="F4480">
        <v>11354</v>
      </c>
      <c r="G4480" t="s">
        <v>10092</v>
      </c>
      <c r="H4480" t="s">
        <v>10108</v>
      </c>
      <c r="I4480" t="s">
        <v>10189</v>
      </c>
      <c r="J4480" t="s">
        <v>10212</v>
      </c>
      <c r="K4480" t="s">
        <v>10217</v>
      </c>
      <c r="M4480" t="s">
        <v>10602</v>
      </c>
      <c r="N4480" t="s">
        <v>10650</v>
      </c>
      <c r="P4480" t="s">
        <v>10749</v>
      </c>
      <c r="Q4480" t="s">
        <v>10765</v>
      </c>
      <c r="R4480" t="s">
        <v>10827</v>
      </c>
      <c r="T4480">
        <v>11844</v>
      </c>
      <c r="U4480">
        <v>987</v>
      </c>
      <c r="V4480">
        <v>80</v>
      </c>
      <c r="W4480">
        <v>1</v>
      </c>
      <c r="X4480">
        <v>0</v>
      </c>
      <c r="Z4480">
        <v>94.83</v>
      </c>
      <c r="AA4480">
        <v>40.760855</v>
      </c>
      <c r="AB4480">
        <v>-73.82403600000001</v>
      </c>
      <c r="AD4480" t="s">
        <v>10839</v>
      </c>
      <c r="AG4480" t="s">
        <v>10858</v>
      </c>
      <c r="AH4480" t="s">
        <v>10862</v>
      </c>
      <c r="AI4480">
        <v>237</v>
      </c>
      <c r="AJ4480" t="s">
        <v>10212</v>
      </c>
      <c r="AL4480">
        <v>2.15</v>
      </c>
      <c r="AM4480" t="s">
        <v>10890</v>
      </c>
      <c r="AN4480" t="s">
        <v>10927</v>
      </c>
      <c r="AO4480" t="s">
        <v>11009</v>
      </c>
      <c r="AP4480" t="s">
        <v>11067</v>
      </c>
      <c r="AQ4480" t="s">
        <v>11101</v>
      </c>
      <c r="AR4480" t="s">
        <v>11268</v>
      </c>
      <c r="AS4480" t="s">
        <v>11594</v>
      </c>
      <c r="BA4480" t="s">
        <v>11738</v>
      </c>
      <c r="BB4480">
        <v>0</v>
      </c>
      <c r="BC4480">
        <v>0</v>
      </c>
      <c r="BD4480">
        <v>0</v>
      </c>
      <c r="BE4480">
        <v>0</v>
      </c>
      <c r="BF4480">
        <v>5</v>
      </c>
      <c r="BG4480">
        <v>0</v>
      </c>
    </row>
    <row r="4481" spans="1:59">
      <c r="A4481" s="1">
        <f>HYPERLINK("https://lsnyc.legalserver.org/matter/dynamic-profile/view/1908659","19-1908659")</f>
        <v>0</v>
      </c>
      <c r="B4481" t="s">
        <v>3638</v>
      </c>
      <c r="C4481" t="s">
        <v>8445</v>
      </c>
      <c r="D4481" t="s">
        <v>9925</v>
      </c>
      <c r="E4481" t="s">
        <v>10075</v>
      </c>
      <c r="F4481">
        <v>10032</v>
      </c>
      <c r="G4481" t="s">
        <v>10089</v>
      </c>
      <c r="H4481" t="s">
        <v>10108</v>
      </c>
      <c r="I4481" t="s">
        <v>10169</v>
      </c>
      <c r="J4481" t="s">
        <v>10209</v>
      </c>
      <c r="K4481" t="s">
        <v>10218</v>
      </c>
      <c r="L4481" t="s">
        <v>10160</v>
      </c>
      <c r="M4481" t="s">
        <v>10451</v>
      </c>
      <c r="N4481" t="s">
        <v>10650</v>
      </c>
      <c r="P4481" t="s">
        <v>10749</v>
      </c>
      <c r="Q4481" t="s">
        <v>10765</v>
      </c>
      <c r="R4481" t="s">
        <v>10821</v>
      </c>
      <c r="T4481">
        <v>16056</v>
      </c>
      <c r="U4481">
        <v>1338</v>
      </c>
      <c r="V4481">
        <v>67</v>
      </c>
      <c r="W4481">
        <v>2</v>
      </c>
      <c r="X4481">
        <v>0</v>
      </c>
      <c r="Y4481" t="s">
        <v>10829</v>
      </c>
      <c r="Z4481">
        <v>94.95</v>
      </c>
      <c r="AA4481">
        <v>40.835225</v>
      </c>
      <c r="AB4481">
        <v>-73.945098</v>
      </c>
      <c r="AD4481" t="s">
        <v>10839</v>
      </c>
      <c r="AG4481" t="s">
        <v>10858</v>
      </c>
      <c r="AH4481" t="s">
        <v>10862</v>
      </c>
      <c r="AI4481">
        <v>236</v>
      </c>
      <c r="AJ4481" t="s">
        <v>10209</v>
      </c>
      <c r="AK4481" t="s">
        <v>10838</v>
      </c>
      <c r="AL4481">
        <v>0.5</v>
      </c>
      <c r="AM4481" t="s">
        <v>10887</v>
      </c>
      <c r="AN4481" t="s">
        <v>10943</v>
      </c>
      <c r="AO4481" t="s">
        <v>11019</v>
      </c>
      <c r="AP4481" t="s">
        <v>11073</v>
      </c>
      <c r="AR4481" t="s">
        <v>11274</v>
      </c>
      <c r="AS4481" t="s">
        <v>9925</v>
      </c>
      <c r="AT4481" t="s">
        <v>11641</v>
      </c>
      <c r="AX4481" t="s">
        <v>10838</v>
      </c>
      <c r="AY4481" t="s">
        <v>10829</v>
      </c>
      <c r="AZ4481" t="s">
        <v>11681</v>
      </c>
      <c r="BA4481" t="s">
        <v>11741</v>
      </c>
      <c r="BB4481">
        <v>0</v>
      </c>
      <c r="BC4481">
        <v>0</v>
      </c>
      <c r="BD4481">
        <v>0</v>
      </c>
      <c r="BE4481">
        <v>0</v>
      </c>
      <c r="BF4481">
        <v>1</v>
      </c>
      <c r="BG4481">
        <v>0</v>
      </c>
    </row>
    <row r="4482" spans="1:59">
      <c r="A4482" s="1">
        <f>HYPERLINK("https://lsnyc.legalserver.org/matter/dynamic-profile/view/1908660","19-1908660")</f>
        <v>0</v>
      </c>
      <c r="B4482" t="s">
        <v>3639</v>
      </c>
      <c r="C4482" t="s">
        <v>8446</v>
      </c>
      <c r="D4482" t="s">
        <v>9928</v>
      </c>
      <c r="E4482" t="s">
        <v>10075</v>
      </c>
      <c r="F4482">
        <v>11230</v>
      </c>
      <c r="G4482" t="s">
        <v>10093</v>
      </c>
      <c r="H4482" t="s">
        <v>10111</v>
      </c>
      <c r="I4482" t="s">
        <v>10171</v>
      </c>
      <c r="J4482" t="s">
        <v>10213</v>
      </c>
      <c r="K4482" t="s">
        <v>10217</v>
      </c>
      <c r="M4482" t="s">
        <v>10256</v>
      </c>
      <c r="N4482" t="s">
        <v>10644</v>
      </c>
      <c r="P4482" t="s">
        <v>10749</v>
      </c>
      <c r="Q4482" t="s">
        <v>10765</v>
      </c>
      <c r="R4482" t="s">
        <v>10820</v>
      </c>
      <c r="T4482">
        <v>10296</v>
      </c>
      <c r="U4482">
        <v>858</v>
      </c>
      <c r="V4482">
        <v>70</v>
      </c>
      <c r="W4482">
        <v>1</v>
      </c>
      <c r="X4482">
        <v>0</v>
      </c>
      <c r="Z4482">
        <v>82.43000000000001</v>
      </c>
      <c r="AA4482">
        <v>40.614937</v>
      </c>
      <c r="AB4482">
        <v>-73.963661</v>
      </c>
      <c r="AD4482" t="s">
        <v>10839</v>
      </c>
      <c r="AG4482" t="s">
        <v>10858</v>
      </c>
      <c r="AH4482" t="s">
        <v>10869</v>
      </c>
      <c r="AI4482">
        <v>239</v>
      </c>
      <c r="AJ4482" t="s">
        <v>10213</v>
      </c>
      <c r="AL4482">
        <v>12.45</v>
      </c>
      <c r="AM4482" t="s">
        <v>10894</v>
      </c>
      <c r="AN4482" t="s">
        <v>10965</v>
      </c>
      <c r="AO4482" t="s">
        <v>11023</v>
      </c>
      <c r="AP4482" t="s">
        <v>11079</v>
      </c>
      <c r="AQ4482" t="s">
        <v>11101</v>
      </c>
      <c r="AR4482" t="s">
        <v>11263</v>
      </c>
      <c r="AS4482" t="s">
        <v>11595</v>
      </c>
      <c r="BA4482" t="s">
        <v>11738</v>
      </c>
      <c r="BB4482">
        <v>0</v>
      </c>
      <c r="BC4482">
        <v>0</v>
      </c>
      <c r="BD4482">
        <v>0</v>
      </c>
      <c r="BE4482">
        <v>0</v>
      </c>
      <c r="BF4482">
        <v>5</v>
      </c>
      <c r="BG4482">
        <v>0</v>
      </c>
    </row>
    <row r="4483" spans="1:59">
      <c r="A4483" s="1">
        <f>HYPERLINK("https://lsnyc.legalserver.org/matter/dynamic-profile/view/1908661","19-1908661")</f>
        <v>0</v>
      </c>
      <c r="B4483" t="s">
        <v>3640</v>
      </c>
      <c r="C4483" t="s">
        <v>8447</v>
      </c>
      <c r="D4483" t="s">
        <v>9977</v>
      </c>
      <c r="E4483" t="s">
        <v>10075</v>
      </c>
      <c r="F4483">
        <v>11361</v>
      </c>
      <c r="G4483" t="s">
        <v>10092</v>
      </c>
      <c r="H4483" t="s">
        <v>10108</v>
      </c>
      <c r="I4483" t="s">
        <v>10168</v>
      </c>
      <c r="J4483" t="s">
        <v>10212</v>
      </c>
      <c r="K4483" t="s">
        <v>10218</v>
      </c>
      <c r="L4483" t="s">
        <v>10100</v>
      </c>
      <c r="M4483" t="s">
        <v>10340</v>
      </c>
      <c r="N4483" t="s">
        <v>10694</v>
      </c>
      <c r="P4483" t="s">
        <v>10751</v>
      </c>
      <c r="Q4483" t="s">
        <v>10780</v>
      </c>
      <c r="R4483" t="s">
        <v>10820</v>
      </c>
      <c r="T4483">
        <v>0</v>
      </c>
      <c r="U4483">
        <v>0</v>
      </c>
      <c r="V4483">
        <v>55</v>
      </c>
      <c r="W4483">
        <v>1</v>
      </c>
      <c r="X4483">
        <v>0</v>
      </c>
      <c r="Y4483" t="s">
        <v>10829</v>
      </c>
      <c r="Z4483">
        <v>0</v>
      </c>
      <c r="AA4483">
        <v>40.758212</v>
      </c>
      <c r="AB4483">
        <v>-73.76573999999999</v>
      </c>
      <c r="AD4483" t="s">
        <v>10839</v>
      </c>
      <c r="AG4483" t="s">
        <v>10858</v>
      </c>
      <c r="AH4483" t="s">
        <v>10861</v>
      </c>
      <c r="AI4483">
        <v>234</v>
      </c>
      <c r="AJ4483" t="s">
        <v>10214</v>
      </c>
      <c r="AK4483" t="s">
        <v>10838</v>
      </c>
      <c r="AL4483">
        <v>2.4</v>
      </c>
      <c r="AM4483" t="s">
        <v>10890</v>
      </c>
      <c r="AN4483" t="s">
        <v>10934</v>
      </c>
      <c r="AO4483" t="s">
        <v>11022</v>
      </c>
      <c r="AP4483" t="s">
        <v>11080</v>
      </c>
      <c r="AR4483" t="s">
        <v>11267</v>
      </c>
      <c r="AS4483" t="s">
        <v>11594</v>
      </c>
      <c r="AT4483" t="s">
        <v>11641</v>
      </c>
      <c r="AX4483" t="s">
        <v>10838</v>
      </c>
      <c r="AY4483" t="s">
        <v>10829</v>
      </c>
      <c r="AZ4483" t="s">
        <v>11682</v>
      </c>
      <c r="BA4483" t="s">
        <v>11741</v>
      </c>
      <c r="BB4483">
        <v>0</v>
      </c>
      <c r="BC4483">
        <v>0</v>
      </c>
      <c r="BD4483">
        <v>0</v>
      </c>
      <c r="BE4483">
        <v>0</v>
      </c>
      <c r="BF4483">
        <v>1</v>
      </c>
      <c r="BG4483">
        <v>0</v>
      </c>
    </row>
    <row r="4484" spans="1:59">
      <c r="A4484" s="1">
        <f>HYPERLINK("https://lsnyc.legalserver.org/matter/dynamic-profile/view/1908662","19-1908662")</f>
        <v>0</v>
      </c>
      <c r="B4484" t="s">
        <v>3641</v>
      </c>
      <c r="C4484" t="s">
        <v>5064</v>
      </c>
      <c r="D4484" t="s">
        <v>9925</v>
      </c>
      <c r="E4484" t="s">
        <v>10075</v>
      </c>
      <c r="F4484">
        <v>10035</v>
      </c>
      <c r="G4484" t="s">
        <v>10089</v>
      </c>
      <c r="H4484" t="s">
        <v>10108</v>
      </c>
      <c r="I4484" t="s">
        <v>10168</v>
      </c>
      <c r="J4484" t="s">
        <v>10209</v>
      </c>
      <c r="K4484" t="s">
        <v>10217</v>
      </c>
      <c r="M4484" t="s">
        <v>10589</v>
      </c>
      <c r="N4484" t="s">
        <v>10650</v>
      </c>
      <c r="P4484" t="s">
        <v>10749</v>
      </c>
      <c r="Q4484" t="s">
        <v>10765</v>
      </c>
      <c r="R4484" t="s">
        <v>10824</v>
      </c>
      <c r="T4484">
        <v>24000</v>
      </c>
      <c r="U4484">
        <v>2000</v>
      </c>
      <c r="V4484">
        <v>39</v>
      </c>
      <c r="W4484">
        <v>2</v>
      </c>
      <c r="X4484">
        <v>0</v>
      </c>
      <c r="Z4484">
        <v>141.93</v>
      </c>
      <c r="AA4484">
        <v>40.799429</v>
      </c>
      <c r="AB4484">
        <v>-73.94181399999999</v>
      </c>
      <c r="AD4484" t="s">
        <v>10839</v>
      </c>
      <c r="AG4484" t="s">
        <v>10858</v>
      </c>
      <c r="AH4484" t="s">
        <v>10862</v>
      </c>
      <c r="AI4484">
        <v>236</v>
      </c>
      <c r="AJ4484" t="s">
        <v>10209</v>
      </c>
      <c r="AL4484">
        <v>0</v>
      </c>
      <c r="AM4484" t="s">
        <v>10887</v>
      </c>
      <c r="AN4484" t="s">
        <v>10926</v>
      </c>
      <c r="AO4484" t="s">
        <v>11016</v>
      </c>
      <c r="AP4484" t="s">
        <v>11066</v>
      </c>
      <c r="AR4484" t="s">
        <v>11257</v>
      </c>
      <c r="AS4484" t="s">
        <v>9925</v>
      </c>
      <c r="AT4484" t="s">
        <v>11641</v>
      </c>
      <c r="AX4484" t="s">
        <v>10838</v>
      </c>
      <c r="BA4484" t="s">
        <v>11738</v>
      </c>
      <c r="BB4484">
        <v>0</v>
      </c>
      <c r="BC4484">
        <v>0</v>
      </c>
      <c r="BD4484">
        <v>0</v>
      </c>
      <c r="BE4484">
        <v>0</v>
      </c>
      <c r="BF4484">
        <v>5</v>
      </c>
      <c r="BG4484">
        <v>0</v>
      </c>
    </row>
    <row r="4485" spans="1:59">
      <c r="A4485" s="1">
        <f>HYPERLINK("https://lsnyc.legalserver.org/matter/dynamic-profile/view/1908663","19-1908663")</f>
        <v>0</v>
      </c>
      <c r="B4485" t="s">
        <v>3642</v>
      </c>
      <c r="C4485" t="s">
        <v>8448</v>
      </c>
      <c r="D4485" t="s">
        <v>9928</v>
      </c>
      <c r="E4485" t="s">
        <v>10075</v>
      </c>
      <c r="F4485">
        <v>11238</v>
      </c>
      <c r="G4485" t="s">
        <v>10093</v>
      </c>
      <c r="H4485" t="s">
        <v>10108</v>
      </c>
      <c r="I4485" t="s">
        <v>10169</v>
      </c>
      <c r="J4485" t="s">
        <v>10213</v>
      </c>
      <c r="K4485" t="s">
        <v>10217</v>
      </c>
      <c r="M4485" t="s">
        <v>10280</v>
      </c>
      <c r="N4485" t="s">
        <v>10671</v>
      </c>
      <c r="P4485" t="s">
        <v>10751</v>
      </c>
      <c r="Q4485" t="s">
        <v>10780</v>
      </c>
      <c r="R4485" t="s">
        <v>10821</v>
      </c>
      <c r="T4485">
        <v>2379</v>
      </c>
      <c r="U4485">
        <v>198.25</v>
      </c>
      <c r="V4485">
        <v>61</v>
      </c>
      <c r="W4485">
        <v>1</v>
      </c>
      <c r="X4485">
        <v>0</v>
      </c>
      <c r="Z4485">
        <v>19.05</v>
      </c>
      <c r="AA4485">
        <v>40.679687</v>
      </c>
      <c r="AB4485">
        <v>-73.96169500000001</v>
      </c>
      <c r="AD4485" t="s">
        <v>10839</v>
      </c>
      <c r="AG4485" t="s">
        <v>10858</v>
      </c>
      <c r="AH4485" t="s">
        <v>10871</v>
      </c>
      <c r="AI4485">
        <v>234</v>
      </c>
      <c r="AJ4485" t="s">
        <v>10214</v>
      </c>
      <c r="AL4485">
        <v>0.66</v>
      </c>
      <c r="AM4485" t="s">
        <v>10889</v>
      </c>
      <c r="AN4485" t="s">
        <v>10923</v>
      </c>
      <c r="AO4485" t="s">
        <v>11007</v>
      </c>
      <c r="AP4485" t="s">
        <v>11061</v>
      </c>
      <c r="AR4485" t="s">
        <v>11292</v>
      </c>
      <c r="AS4485" t="s">
        <v>11595</v>
      </c>
      <c r="AT4485" t="s">
        <v>11641</v>
      </c>
      <c r="AX4485" t="s">
        <v>10838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</row>
    <row r="4486" spans="1:59">
      <c r="A4486" s="1">
        <f>HYPERLINK("https://lsnyc.legalserver.org/matter/dynamic-profile/view/1908664","19-1908664")</f>
        <v>0</v>
      </c>
      <c r="B4486" t="s">
        <v>2850</v>
      </c>
      <c r="C4486" t="s">
        <v>8449</v>
      </c>
      <c r="D4486" t="s">
        <v>9926</v>
      </c>
      <c r="E4486" t="s">
        <v>10075</v>
      </c>
      <c r="F4486">
        <v>10470</v>
      </c>
      <c r="G4486" t="s">
        <v>10088</v>
      </c>
      <c r="H4486" t="s">
        <v>10108</v>
      </c>
      <c r="I4486" t="s">
        <v>10168</v>
      </c>
      <c r="J4486" t="s">
        <v>10208</v>
      </c>
      <c r="K4486" t="s">
        <v>10217</v>
      </c>
      <c r="M4486" t="s">
        <v>10466</v>
      </c>
      <c r="N4486" t="s">
        <v>10652</v>
      </c>
      <c r="P4486" t="s">
        <v>10754</v>
      </c>
      <c r="Q4486" t="s">
        <v>10766</v>
      </c>
      <c r="R4486" t="s">
        <v>10822</v>
      </c>
      <c r="T4486">
        <v>0</v>
      </c>
      <c r="U4486">
        <v>0</v>
      </c>
      <c r="V4486">
        <v>30</v>
      </c>
      <c r="W4486">
        <v>1</v>
      </c>
      <c r="X4486">
        <v>1</v>
      </c>
      <c r="Z4486">
        <v>0</v>
      </c>
      <c r="AA4486">
        <v>40.900382</v>
      </c>
      <c r="AB4486">
        <v>-73.862168</v>
      </c>
      <c r="AD4486" t="s">
        <v>10839</v>
      </c>
      <c r="AF4486" t="s">
        <v>10843</v>
      </c>
      <c r="AG4486" t="s">
        <v>10859</v>
      </c>
      <c r="AH4486" t="s">
        <v>10861</v>
      </c>
      <c r="AI4486">
        <v>285</v>
      </c>
      <c r="AJ4486" t="s">
        <v>10208</v>
      </c>
      <c r="AL4486">
        <v>21.2</v>
      </c>
      <c r="AM4486" t="s">
        <v>10893</v>
      </c>
      <c r="AN4486" t="s">
        <v>10919</v>
      </c>
      <c r="AO4486" t="s">
        <v>11002</v>
      </c>
      <c r="AP4486" t="s">
        <v>11057</v>
      </c>
      <c r="AR4486" t="s">
        <v>11267</v>
      </c>
      <c r="AS4486" t="s">
        <v>9926</v>
      </c>
      <c r="AT4486" t="s">
        <v>11641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</row>
    <row r="4487" spans="1:59">
      <c r="A4487" s="1">
        <f>HYPERLINK("https://lsnyc.legalserver.org/matter/dynamic-profile/view/1908665","19-1908665")</f>
        <v>0</v>
      </c>
      <c r="B4487" t="s">
        <v>1021</v>
      </c>
      <c r="C4487" t="s">
        <v>5895</v>
      </c>
      <c r="D4487" t="s">
        <v>9988</v>
      </c>
      <c r="E4487" t="s">
        <v>10075</v>
      </c>
      <c r="F4487">
        <v>11693</v>
      </c>
      <c r="G4487" t="s">
        <v>10092</v>
      </c>
      <c r="H4487" t="s">
        <v>10108</v>
      </c>
      <c r="I4487" t="s">
        <v>10168</v>
      </c>
      <c r="J4487" t="s">
        <v>10212</v>
      </c>
      <c r="K4487" t="s">
        <v>10218</v>
      </c>
      <c r="L4487" t="s">
        <v>10163</v>
      </c>
      <c r="M4487" t="s">
        <v>10329</v>
      </c>
      <c r="N4487" t="s">
        <v>10711</v>
      </c>
      <c r="P4487" t="s">
        <v>10749</v>
      </c>
      <c r="Q4487" t="s">
        <v>10765</v>
      </c>
      <c r="R4487" t="s">
        <v>10824</v>
      </c>
      <c r="T4487">
        <v>18896.54</v>
      </c>
      <c r="U4487">
        <v>1574.71</v>
      </c>
      <c r="V4487">
        <v>33</v>
      </c>
      <c r="W4487">
        <v>1</v>
      </c>
      <c r="X4487">
        <v>4</v>
      </c>
      <c r="Y4487" t="s">
        <v>10829</v>
      </c>
      <c r="Z4487">
        <v>62.63</v>
      </c>
      <c r="AA4487">
        <v>40.589786</v>
      </c>
      <c r="AB4487">
        <v>-73.81164800000001</v>
      </c>
      <c r="AD4487" t="s">
        <v>10839</v>
      </c>
      <c r="AG4487" t="s">
        <v>10858</v>
      </c>
      <c r="AH4487" t="s">
        <v>10862</v>
      </c>
      <c r="AI4487">
        <v>237</v>
      </c>
      <c r="AJ4487" t="s">
        <v>10212</v>
      </c>
      <c r="AK4487" t="s">
        <v>10837</v>
      </c>
      <c r="AL4487">
        <v>1.4</v>
      </c>
      <c r="AM4487" t="s">
        <v>10892</v>
      </c>
      <c r="AN4487" t="s">
        <v>10958</v>
      </c>
      <c r="AO4487" t="s">
        <v>11017</v>
      </c>
      <c r="AP4487" t="s">
        <v>11088</v>
      </c>
      <c r="AR4487" t="s">
        <v>11257</v>
      </c>
      <c r="AS4487" t="s">
        <v>11594</v>
      </c>
      <c r="AY4487" t="s">
        <v>10829</v>
      </c>
      <c r="AZ4487" t="s">
        <v>11681</v>
      </c>
      <c r="BA4487" t="s">
        <v>11741</v>
      </c>
      <c r="BB4487">
        <v>0</v>
      </c>
      <c r="BC4487">
        <v>0</v>
      </c>
      <c r="BD4487">
        <v>0</v>
      </c>
      <c r="BE4487">
        <v>0</v>
      </c>
      <c r="BF4487">
        <v>1</v>
      </c>
      <c r="BG4487">
        <v>0</v>
      </c>
    </row>
    <row r="4488" spans="1:59">
      <c r="A4488" s="1">
        <f>HYPERLINK("https://lsnyc.legalserver.org/matter/dynamic-profile/view/1908666","19-1908666")</f>
        <v>0</v>
      </c>
      <c r="B4488" t="s">
        <v>3643</v>
      </c>
      <c r="C4488" t="s">
        <v>7867</v>
      </c>
      <c r="D4488" t="s">
        <v>9927</v>
      </c>
      <c r="E4488" t="s">
        <v>10075</v>
      </c>
      <c r="F4488">
        <v>11377</v>
      </c>
      <c r="G4488" t="s">
        <v>10092</v>
      </c>
      <c r="H4488" t="s">
        <v>10108</v>
      </c>
      <c r="I4488" t="s">
        <v>10169</v>
      </c>
      <c r="J4488" t="s">
        <v>10212</v>
      </c>
      <c r="K4488" t="s">
        <v>10217</v>
      </c>
      <c r="M4488" t="s">
        <v>10387</v>
      </c>
      <c r="N4488" t="s">
        <v>10650</v>
      </c>
      <c r="P4488" t="s">
        <v>10749</v>
      </c>
      <c r="Q4488" t="s">
        <v>10765</v>
      </c>
      <c r="R4488" t="s">
        <v>10821</v>
      </c>
      <c r="T4488">
        <v>26000</v>
      </c>
      <c r="U4488">
        <v>2166.67</v>
      </c>
      <c r="V4488">
        <v>45</v>
      </c>
      <c r="W4488">
        <v>3</v>
      </c>
      <c r="X4488">
        <v>1</v>
      </c>
      <c r="Z4488">
        <v>100.97</v>
      </c>
      <c r="AA4488">
        <v>40.741994</v>
      </c>
      <c r="AB4488">
        <v>-73.90494</v>
      </c>
      <c r="AD4488" t="s">
        <v>10840</v>
      </c>
      <c r="AF4488" t="s">
        <v>10848</v>
      </c>
      <c r="AG4488" t="s">
        <v>10859</v>
      </c>
      <c r="AH4488" t="s">
        <v>10862</v>
      </c>
      <c r="AI4488">
        <v>237</v>
      </c>
      <c r="AJ4488" t="s">
        <v>10212</v>
      </c>
      <c r="AL4488">
        <v>0.3</v>
      </c>
      <c r="AM4488" t="s">
        <v>10885</v>
      </c>
      <c r="AN4488" t="s">
        <v>10935</v>
      </c>
      <c r="AO4488" t="s">
        <v>11003</v>
      </c>
      <c r="AP4488" t="s">
        <v>11047</v>
      </c>
      <c r="AR4488" t="s">
        <v>11257</v>
      </c>
      <c r="AS4488" t="s">
        <v>11594</v>
      </c>
      <c r="BA4488" t="s">
        <v>11739</v>
      </c>
      <c r="BB4488">
        <v>0</v>
      </c>
      <c r="BC4488">
        <v>0</v>
      </c>
      <c r="BD4488">
        <v>0</v>
      </c>
      <c r="BE4488">
        <v>0</v>
      </c>
      <c r="BF4488">
        <v>4</v>
      </c>
      <c r="BG4488">
        <v>0</v>
      </c>
    </row>
    <row r="4489" spans="1:59">
      <c r="A4489" s="1">
        <f>HYPERLINK("https://lsnyc.legalserver.org/matter/dynamic-profile/view/1908667","19-1908667")</f>
        <v>0</v>
      </c>
      <c r="B4489" t="s">
        <v>3644</v>
      </c>
      <c r="C4489" t="s">
        <v>8450</v>
      </c>
      <c r="D4489" t="s">
        <v>9928</v>
      </c>
      <c r="E4489" t="s">
        <v>10075</v>
      </c>
      <c r="F4489">
        <v>11208</v>
      </c>
      <c r="G4489" t="s">
        <v>10093</v>
      </c>
      <c r="H4489" t="s">
        <v>10108</v>
      </c>
      <c r="J4489" t="s">
        <v>10213</v>
      </c>
      <c r="K4489" t="s">
        <v>10217</v>
      </c>
      <c r="M4489" t="s">
        <v>10378</v>
      </c>
      <c r="N4489" t="s">
        <v>10662</v>
      </c>
      <c r="P4489" t="s">
        <v>10749</v>
      </c>
      <c r="Q4489" t="s">
        <v>10765</v>
      </c>
      <c r="R4489" t="s">
        <v>10824</v>
      </c>
      <c r="T4489">
        <v>19500</v>
      </c>
      <c r="U4489">
        <v>1625</v>
      </c>
      <c r="V4489">
        <v>33</v>
      </c>
      <c r="W4489">
        <v>1</v>
      </c>
      <c r="X4489">
        <v>0</v>
      </c>
      <c r="Z4489">
        <v>156.12</v>
      </c>
      <c r="AA4489">
        <v>40.667329</v>
      </c>
      <c r="AB4489">
        <v>-73.858161</v>
      </c>
      <c r="AD4489" t="s">
        <v>10839</v>
      </c>
      <c r="AG4489" t="s">
        <v>10858</v>
      </c>
      <c r="AH4489" t="s">
        <v>10868</v>
      </c>
      <c r="AI4489">
        <v>239</v>
      </c>
      <c r="AJ4489" t="s">
        <v>10213</v>
      </c>
      <c r="AL4489">
        <v>7.5</v>
      </c>
      <c r="AM4489" t="s">
        <v>10889</v>
      </c>
      <c r="AN4489" t="s">
        <v>10946</v>
      </c>
      <c r="AO4489" t="s">
        <v>11012</v>
      </c>
      <c r="AP4489" t="s">
        <v>11060</v>
      </c>
      <c r="AR4489" t="s">
        <v>11257</v>
      </c>
      <c r="AS4489" t="s">
        <v>11595</v>
      </c>
      <c r="AT4489" t="s">
        <v>11641</v>
      </c>
      <c r="AX4489" t="s">
        <v>10837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</row>
    <row r="4490" spans="1:59">
      <c r="A4490" s="1">
        <f>HYPERLINK("https://lsnyc.legalserver.org/matter/dynamic-profile/view/1908668","19-1908668")</f>
        <v>0</v>
      </c>
      <c r="B4490" t="s">
        <v>353</v>
      </c>
      <c r="C4490" t="s">
        <v>8451</v>
      </c>
      <c r="D4490" t="s">
        <v>9939</v>
      </c>
      <c r="E4490" t="s">
        <v>10075</v>
      </c>
      <c r="F4490">
        <v>11419</v>
      </c>
      <c r="G4490" t="s">
        <v>10092</v>
      </c>
      <c r="H4490" t="s">
        <v>10108</v>
      </c>
      <c r="I4490" t="s">
        <v>10168</v>
      </c>
      <c r="J4490" t="s">
        <v>10212</v>
      </c>
      <c r="K4490" t="s">
        <v>10217</v>
      </c>
      <c r="M4490" t="s">
        <v>10260</v>
      </c>
      <c r="N4490" t="s">
        <v>10665</v>
      </c>
      <c r="P4490" t="s">
        <v>10751</v>
      </c>
      <c r="Q4490" t="s">
        <v>10773</v>
      </c>
      <c r="R4490" t="s">
        <v>10827</v>
      </c>
      <c r="T4490">
        <v>0</v>
      </c>
      <c r="U4490">
        <v>0</v>
      </c>
      <c r="V4490">
        <v>57</v>
      </c>
      <c r="W4490">
        <v>3</v>
      </c>
      <c r="X4490">
        <v>0</v>
      </c>
      <c r="Z4490">
        <v>0</v>
      </c>
      <c r="AA4490">
        <v>40.688578</v>
      </c>
      <c r="AB4490">
        <v>-73.820948</v>
      </c>
      <c r="AD4490" t="s">
        <v>10840</v>
      </c>
      <c r="AG4490" t="s">
        <v>10858</v>
      </c>
      <c r="AH4490" t="s">
        <v>10861</v>
      </c>
      <c r="AI4490">
        <v>234</v>
      </c>
      <c r="AJ4490" t="s">
        <v>10214</v>
      </c>
      <c r="AL4490">
        <v>7.75</v>
      </c>
      <c r="AM4490" t="s">
        <v>10892</v>
      </c>
      <c r="AN4490" t="s">
        <v>10944</v>
      </c>
      <c r="AO4490" t="s">
        <v>11017</v>
      </c>
      <c r="AP4490" t="s">
        <v>11070</v>
      </c>
      <c r="AR4490" t="s">
        <v>11267</v>
      </c>
      <c r="AS4490" t="s">
        <v>11594</v>
      </c>
      <c r="AT4490" t="s">
        <v>11642</v>
      </c>
      <c r="AX4490" t="s">
        <v>10838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</row>
    <row r="4491" spans="1:59">
      <c r="A4491" s="1">
        <f>HYPERLINK("https://lsnyc.legalserver.org/matter/dynamic-profile/view/1908669","19-1908669")</f>
        <v>0</v>
      </c>
      <c r="B4491" t="s">
        <v>3645</v>
      </c>
      <c r="C4491" t="s">
        <v>8452</v>
      </c>
      <c r="D4491" t="s">
        <v>9928</v>
      </c>
      <c r="E4491" t="s">
        <v>10075</v>
      </c>
      <c r="F4491">
        <v>11207</v>
      </c>
      <c r="G4491" t="s">
        <v>10093</v>
      </c>
      <c r="H4491" t="s">
        <v>10108</v>
      </c>
      <c r="I4491" t="s">
        <v>10168</v>
      </c>
      <c r="J4491" t="s">
        <v>10213</v>
      </c>
      <c r="K4491" t="s">
        <v>10218</v>
      </c>
      <c r="L4491" t="s">
        <v>10108</v>
      </c>
      <c r="M4491" t="s">
        <v>10481</v>
      </c>
      <c r="N4491" t="s">
        <v>10646</v>
      </c>
      <c r="P4491" t="s">
        <v>10749</v>
      </c>
      <c r="Q4491" t="s">
        <v>10765</v>
      </c>
      <c r="R4491" t="s">
        <v>10821</v>
      </c>
      <c r="T4491">
        <v>26000</v>
      </c>
      <c r="U4491">
        <v>2166.67</v>
      </c>
      <c r="V4491">
        <v>39</v>
      </c>
      <c r="W4491">
        <v>1</v>
      </c>
      <c r="X4491">
        <v>4</v>
      </c>
      <c r="Y4491" t="s">
        <v>10829</v>
      </c>
      <c r="Z4491">
        <v>86.18000000000001</v>
      </c>
      <c r="AA4491">
        <v>40.668177</v>
      </c>
      <c r="AB4491">
        <v>-73.89769099999999</v>
      </c>
      <c r="AD4491" t="s">
        <v>10839</v>
      </c>
      <c r="AG4491" t="s">
        <v>10858</v>
      </c>
      <c r="AH4491" t="s">
        <v>10861</v>
      </c>
      <c r="AI4491">
        <v>234</v>
      </c>
      <c r="AJ4491" t="s">
        <v>10214</v>
      </c>
      <c r="AK4491" t="s">
        <v>10838</v>
      </c>
      <c r="AL4491">
        <v>0.6</v>
      </c>
      <c r="AM4491" t="s">
        <v>10889</v>
      </c>
      <c r="AN4491" t="s">
        <v>10946</v>
      </c>
      <c r="AO4491" t="s">
        <v>11012</v>
      </c>
      <c r="AP4491" t="s">
        <v>11060</v>
      </c>
      <c r="AR4491" t="s">
        <v>11257</v>
      </c>
      <c r="AS4491" t="s">
        <v>11595</v>
      </c>
      <c r="AT4491" t="s">
        <v>11641</v>
      </c>
      <c r="AX4491" t="s">
        <v>10838</v>
      </c>
      <c r="AY4491" t="s">
        <v>10829</v>
      </c>
      <c r="AZ4491" t="s">
        <v>11681</v>
      </c>
      <c r="BA4491" t="s">
        <v>11741</v>
      </c>
      <c r="BB4491">
        <v>0</v>
      </c>
      <c r="BC4491">
        <v>0</v>
      </c>
      <c r="BD4491">
        <v>0</v>
      </c>
      <c r="BE4491">
        <v>0</v>
      </c>
      <c r="BF4491">
        <v>1</v>
      </c>
      <c r="BG4491">
        <v>0</v>
      </c>
    </row>
    <row r="4492" spans="1:59">
      <c r="A4492" s="1">
        <f>HYPERLINK("https://lsnyc.legalserver.org/matter/dynamic-profile/view/1908670","19-1908670")</f>
        <v>0</v>
      </c>
      <c r="B4492" t="s">
        <v>3646</v>
      </c>
      <c r="C4492" t="s">
        <v>8453</v>
      </c>
      <c r="D4492" t="s">
        <v>9925</v>
      </c>
      <c r="E4492" t="s">
        <v>10075</v>
      </c>
      <c r="F4492">
        <v>10010</v>
      </c>
      <c r="G4492" t="s">
        <v>10089</v>
      </c>
      <c r="H4492" t="s">
        <v>10098</v>
      </c>
      <c r="I4492" t="s">
        <v>10168</v>
      </c>
      <c r="J4492" t="s">
        <v>10209</v>
      </c>
      <c r="K4492" t="s">
        <v>10217</v>
      </c>
      <c r="M4492" t="s">
        <v>10503</v>
      </c>
      <c r="N4492" t="s">
        <v>10688</v>
      </c>
      <c r="P4492" t="s">
        <v>10754</v>
      </c>
      <c r="Q4492" t="s">
        <v>10766</v>
      </c>
      <c r="R4492" t="s">
        <v>10824</v>
      </c>
      <c r="T4492">
        <v>0</v>
      </c>
      <c r="U4492">
        <v>0</v>
      </c>
      <c r="V4492">
        <v>43</v>
      </c>
      <c r="W4492">
        <v>1</v>
      </c>
      <c r="X4492">
        <v>0</v>
      </c>
      <c r="Z4492">
        <v>0</v>
      </c>
      <c r="AA4492">
        <v>40.739216</v>
      </c>
      <c r="AB4492">
        <v>-73.97956499999999</v>
      </c>
      <c r="AD4492" t="s">
        <v>10839</v>
      </c>
      <c r="AG4492" t="s">
        <v>10858</v>
      </c>
      <c r="AH4492" t="s">
        <v>10865</v>
      </c>
      <c r="AI4492">
        <v>236</v>
      </c>
      <c r="AJ4492" t="s">
        <v>10209</v>
      </c>
      <c r="AL4492">
        <v>1.5</v>
      </c>
      <c r="AQ4492" t="s">
        <v>11175</v>
      </c>
      <c r="AR4492" t="s">
        <v>11267</v>
      </c>
      <c r="AS4492" t="s">
        <v>9925</v>
      </c>
      <c r="AT4492" t="s">
        <v>11641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</row>
    <row r="4493" spans="1:59">
      <c r="A4493" s="1">
        <f>HYPERLINK("https://lsnyc.legalserver.org/matter/dynamic-profile/view/1908671","19-1908671")</f>
        <v>0</v>
      </c>
      <c r="B4493" t="s">
        <v>3647</v>
      </c>
      <c r="C4493" t="s">
        <v>8454</v>
      </c>
      <c r="D4493" t="s">
        <v>9926</v>
      </c>
      <c r="E4493" t="s">
        <v>10075</v>
      </c>
      <c r="F4493">
        <v>10474</v>
      </c>
      <c r="G4493" t="s">
        <v>10091</v>
      </c>
      <c r="H4493" t="s">
        <v>10108</v>
      </c>
      <c r="I4493" t="s">
        <v>10169</v>
      </c>
      <c r="J4493" t="s">
        <v>10214</v>
      </c>
      <c r="K4493" t="s">
        <v>10217</v>
      </c>
      <c r="M4493" t="s">
        <v>10537</v>
      </c>
      <c r="N4493" t="s">
        <v>10671</v>
      </c>
      <c r="P4493" t="s">
        <v>10753</v>
      </c>
      <c r="Q4493" t="s">
        <v>10763</v>
      </c>
      <c r="R4493" t="s">
        <v>10821</v>
      </c>
      <c r="T4493">
        <v>19000</v>
      </c>
      <c r="U4493">
        <v>1583.33</v>
      </c>
      <c r="V4493">
        <v>37</v>
      </c>
      <c r="W4493">
        <v>1</v>
      </c>
      <c r="X4493">
        <v>2</v>
      </c>
      <c r="Z4493">
        <v>89.08</v>
      </c>
      <c r="AA4493">
        <v>40.813578</v>
      </c>
      <c r="AB4493">
        <v>-73.890726</v>
      </c>
      <c r="AD4493" t="s">
        <v>10839</v>
      </c>
      <c r="AF4493" t="s">
        <v>10843</v>
      </c>
      <c r="AG4493" t="s">
        <v>10859</v>
      </c>
      <c r="AH4493" t="s">
        <v>10861</v>
      </c>
      <c r="AI4493">
        <v>234</v>
      </c>
      <c r="AJ4493" t="s">
        <v>10214</v>
      </c>
      <c r="AL4493">
        <v>0.8</v>
      </c>
      <c r="AM4493" t="s">
        <v>10884</v>
      </c>
      <c r="AN4493" t="s">
        <v>10924</v>
      </c>
      <c r="AO4493" t="s">
        <v>11002</v>
      </c>
      <c r="AP4493" t="s">
        <v>11062</v>
      </c>
      <c r="AR4493" t="s">
        <v>11359</v>
      </c>
      <c r="AS4493" t="s">
        <v>9926</v>
      </c>
      <c r="AT4493" t="s">
        <v>11641</v>
      </c>
      <c r="AX4493" t="s">
        <v>10838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</row>
    <row r="4494" spans="1:59">
      <c r="A4494" s="1">
        <f>HYPERLINK("https://lsnyc.legalserver.org/matter/dynamic-profile/view/1908672","19-1908672")</f>
        <v>0</v>
      </c>
      <c r="B4494" t="s">
        <v>3648</v>
      </c>
      <c r="C4494" t="s">
        <v>8455</v>
      </c>
      <c r="D4494" t="s">
        <v>9929</v>
      </c>
      <c r="E4494" t="s">
        <v>10075</v>
      </c>
      <c r="F4494">
        <v>10308</v>
      </c>
      <c r="G4494" t="s">
        <v>10088</v>
      </c>
      <c r="H4494" t="s">
        <v>10156</v>
      </c>
      <c r="I4494" t="s">
        <v>10168</v>
      </c>
      <c r="J4494" t="s">
        <v>10208</v>
      </c>
      <c r="K4494" t="s">
        <v>10217</v>
      </c>
      <c r="M4494" t="s">
        <v>10605</v>
      </c>
      <c r="N4494" t="s">
        <v>10654</v>
      </c>
      <c r="P4494" t="s">
        <v>10749</v>
      </c>
      <c r="Q4494" t="s">
        <v>10765</v>
      </c>
      <c r="R4494" t="s">
        <v>10820</v>
      </c>
      <c r="T4494">
        <v>9600</v>
      </c>
      <c r="U4494">
        <v>800</v>
      </c>
      <c r="V4494">
        <v>58</v>
      </c>
      <c r="W4494">
        <v>2</v>
      </c>
      <c r="X4494">
        <v>0</v>
      </c>
      <c r="Z4494">
        <v>56.77</v>
      </c>
      <c r="AA4494">
        <v>40.544484</v>
      </c>
      <c r="AB4494">
        <v>-74.15687800000001</v>
      </c>
      <c r="AD4494" t="s">
        <v>10840</v>
      </c>
      <c r="AG4494" t="s">
        <v>10858</v>
      </c>
      <c r="AH4494" t="s">
        <v>10862</v>
      </c>
      <c r="AI4494">
        <v>285</v>
      </c>
      <c r="AJ4494" t="s">
        <v>10208</v>
      </c>
      <c r="AL4494">
        <v>10.5</v>
      </c>
      <c r="AM4494" t="s">
        <v>10883</v>
      </c>
      <c r="AN4494" t="s">
        <v>10915</v>
      </c>
      <c r="AO4494" t="s">
        <v>10999</v>
      </c>
      <c r="AP4494" t="s">
        <v>11044</v>
      </c>
      <c r="AR4494" t="s">
        <v>11298</v>
      </c>
      <c r="AS4494" t="s">
        <v>11593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</row>
    <row r="4495" spans="1:59">
      <c r="A4495" s="1">
        <f>HYPERLINK("https://lsnyc.legalserver.org/matter/dynamic-profile/view/1908673","19-1908673")</f>
        <v>0</v>
      </c>
      <c r="B4495" t="s">
        <v>3649</v>
      </c>
      <c r="C4495" t="s">
        <v>8456</v>
      </c>
      <c r="D4495" t="s">
        <v>9925</v>
      </c>
      <c r="E4495" t="s">
        <v>10075</v>
      </c>
      <c r="F4495">
        <v>10040</v>
      </c>
      <c r="G4495" t="s">
        <v>10089</v>
      </c>
      <c r="H4495" t="s">
        <v>10108</v>
      </c>
      <c r="I4495" t="s">
        <v>10169</v>
      </c>
      <c r="J4495" t="s">
        <v>10209</v>
      </c>
      <c r="K4495" t="s">
        <v>10217</v>
      </c>
      <c r="M4495" t="s">
        <v>10573</v>
      </c>
      <c r="N4495" t="s">
        <v>10650</v>
      </c>
      <c r="P4495" t="s">
        <v>10749</v>
      </c>
      <c r="Q4495" t="s">
        <v>10765</v>
      </c>
      <c r="R4495" t="s">
        <v>10823</v>
      </c>
      <c r="T4495">
        <v>8820</v>
      </c>
      <c r="U4495">
        <v>735</v>
      </c>
      <c r="V4495">
        <v>40</v>
      </c>
      <c r="W4495">
        <v>1</v>
      </c>
      <c r="X4495">
        <v>0</v>
      </c>
      <c r="Z4495">
        <v>70.62</v>
      </c>
      <c r="AA4495">
        <v>40.855317</v>
      </c>
      <c r="AB4495">
        <v>-73.928864</v>
      </c>
      <c r="AD4495" t="s">
        <v>10840</v>
      </c>
      <c r="AG4495" t="s">
        <v>10858</v>
      </c>
      <c r="AH4495" t="s">
        <v>10862</v>
      </c>
      <c r="AI4495">
        <v>236</v>
      </c>
      <c r="AJ4495" t="s">
        <v>10209</v>
      </c>
      <c r="AL4495">
        <v>3.9</v>
      </c>
      <c r="AM4495" t="s">
        <v>10887</v>
      </c>
      <c r="AN4495" t="s">
        <v>10937</v>
      </c>
      <c r="AO4495" t="s">
        <v>11019</v>
      </c>
      <c r="AP4495" t="s">
        <v>11074</v>
      </c>
      <c r="AR4495" t="s">
        <v>11253</v>
      </c>
      <c r="AS4495" t="s">
        <v>9925</v>
      </c>
      <c r="AT4495" t="s">
        <v>11642</v>
      </c>
      <c r="AX4495" t="s">
        <v>10838</v>
      </c>
      <c r="BA4495" t="s">
        <v>11742</v>
      </c>
      <c r="BB4495">
        <v>0</v>
      </c>
      <c r="BC4495">
        <v>0</v>
      </c>
      <c r="BD4495">
        <v>0</v>
      </c>
      <c r="BE4495">
        <v>0</v>
      </c>
      <c r="BF4495">
        <v>7</v>
      </c>
      <c r="BG4495">
        <v>0</v>
      </c>
    </row>
    <row r="4496" spans="1:59">
      <c r="A4496" s="1">
        <f>HYPERLINK("https://lsnyc.legalserver.org/matter/dynamic-profile/view/1908674","19-1908674")</f>
        <v>0</v>
      </c>
      <c r="B4496" t="s">
        <v>3650</v>
      </c>
      <c r="C4496" t="s">
        <v>8457</v>
      </c>
      <c r="D4496" t="s">
        <v>10033</v>
      </c>
      <c r="E4496" t="s">
        <v>10075</v>
      </c>
      <c r="F4496">
        <v>11004</v>
      </c>
      <c r="G4496" t="s">
        <v>10092</v>
      </c>
      <c r="H4496" t="s">
        <v>10108</v>
      </c>
      <c r="I4496" t="s">
        <v>10168</v>
      </c>
      <c r="J4496" t="s">
        <v>10212</v>
      </c>
      <c r="K4496" t="s">
        <v>10217</v>
      </c>
      <c r="M4496" t="s">
        <v>10340</v>
      </c>
      <c r="N4496" t="s">
        <v>10671</v>
      </c>
      <c r="P4496" t="s">
        <v>10751</v>
      </c>
      <c r="Q4496" t="s">
        <v>10768</v>
      </c>
      <c r="R4496" t="s">
        <v>10820</v>
      </c>
      <c r="T4496">
        <v>13828</v>
      </c>
      <c r="U4496">
        <v>1152.33</v>
      </c>
      <c r="V4496">
        <v>18</v>
      </c>
      <c r="W4496">
        <v>2</v>
      </c>
      <c r="X4496">
        <v>0</v>
      </c>
      <c r="Z4496">
        <v>81.77</v>
      </c>
      <c r="AA4496">
        <v>40.747957</v>
      </c>
      <c r="AB4496">
        <v>-73.715386</v>
      </c>
      <c r="AD4496" t="s">
        <v>10840</v>
      </c>
      <c r="AG4496" t="s">
        <v>10858</v>
      </c>
      <c r="AH4496" t="s">
        <v>10871</v>
      </c>
      <c r="AI4496">
        <v>234</v>
      </c>
      <c r="AJ4496" t="s">
        <v>10214</v>
      </c>
      <c r="AL4496">
        <v>2.4</v>
      </c>
      <c r="AM4496" t="s">
        <v>10895</v>
      </c>
      <c r="AN4496" t="s">
        <v>10944</v>
      </c>
      <c r="AO4496" t="s">
        <v>11022</v>
      </c>
      <c r="AP4496" t="s">
        <v>11078</v>
      </c>
      <c r="AR4496" t="s">
        <v>11371</v>
      </c>
      <c r="AS4496" t="s">
        <v>11594</v>
      </c>
      <c r="AT4496" t="s">
        <v>11642</v>
      </c>
      <c r="AX4496" t="s">
        <v>10838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</row>
    <row r="4497" spans="1:59">
      <c r="A4497" s="1">
        <f>HYPERLINK("https://lsnyc.legalserver.org/matter/dynamic-profile/view/1908676","19-1908676")</f>
        <v>0</v>
      </c>
      <c r="B4497" t="s">
        <v>3651</v>
      </c>
      <c r="C4497" t="s">
        <v>8458</v>
      </c>
      <c r="D4497" t="s">
        <v>9926</v>
      </c>
      <c r="E4497" t="s">
        <v>10075</v>
      </c>
      <c r="F4497">
        <v>10458</v>
      </c>
      <c r="G4497" t="s">
        <v>10090</v>
      </c>
      <c r="H4497" t="s">
        <v>10108</v>
      </c>
      <c r="I4497" t="s">
        <v>10169</v>
      </c>
      <c r="J4497" t="s">
        <v>10210</v>
      </c>
      <c r="K4497" t="s">
        <v>10217</v>
      </c>
      <c r="M4497" t="s">
        <v>10596</v>
      </c>
      <c r="N4497" t="s">
        <v>10677</v>
      </c>
      <c r="P4497" t="s">
        <v>10751</v>
      </c>
      <c r="Q4497" t="s">
        <v>10786</v>
      </c>
      <c r="R4497" t="s">
        <v>10823</v>
      </c>
      <c r="T4497">
        <v>17856</v>
      </c>
      <c r="U4497">
        <v>1488</v>
      </c>
      <c r="V4497">
        <v>66</v>
      </c>
      <c r="W4497">
        <v>2</v>
      </c>
      <c r="X4497">
        <v>0</v>
      </c>
      <c r="Z4497">
        <v>105.59</v>
      </c>
      <c r="AA4497">
        <v>40.858867</v>
      </c>
      <c r="AB4497">
        <v>-73.891952</v>
      </c>
      <c r="AD4497" t="s">
        <v>10839</v>
      </c>
      <c r="AG4497" t="s">
        <v>10858</v>
      </c>
      <c r="AH4497" t="s">
        <v>10861</v>
      </c>
      <c r="AI4497">
        <v>234</v>
      </c>
      <c r="AJ4497" t="s">
        <v>10214</v>
      </c>
      <c r="AL4497">
        <v>2.65</v>
      </c>
      <c r="AM4497" t="s">
        <v>10884</v>
      </c>
      <c r="AN4497" t="s">
        <v>10907</v>
      </c>
      <c r="AO4497" t="s">
        <v>11000</v>
      </c>
      <c r="AP4497" t="s">
        <v>11056</v>
      </c>
      <c r="AR4497" t="s">
        <v>11364</v>
      </c>
      <c r="AS4497" t="s">
        <v>9926</v>
      </c>
      <c r="AT4497" t="s">
        <v>11641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</row>
    <row r="4498" spans="1:59">
      <c r="A4498" s="1">
        <f>HYPERLINK("https://lsnyc.legalserver.org/matter/dynamic-profile/view/1908677","19-1908677")</f>
        <v>0</v>
      </c>
      <c r="B4498" t="s">
        <v>3652</v>
      </c>
      <c r="C4498" t="s">
        <v>8459</v>
      </c>
      <c r="D4498" t="s">
        <v>9925</v>
      </c>
      <c r="E4498" t="s">
        <v>10075</v>
      </c>
      <c r="F4498">
        <v>10027</v>
      </c>
      <c r="G4498" t="s">
        <v>10089</v>
      </c>
      <c r="H4498" t="s">
        <v>10098</v>
      </c>
      <c r="I4498" t="s">
        <v>10168</v>
      </c>
      <c r="J4498" t="s">
        <v>10209</v>
      </c>
      <c r="K4498" t="s">
        <v>10217</v>
      </c>
      <c r="M4498" t="s">
        <v>10503</v>
      </c>
      <c r="N4498" t="s">
        <v>10721</v>
      </c>
      <c r="P4498" t="s">
        <v>10754</v>
      </c>
      <c r="Q4498" t="s">
        <v>10775</v>
      </c>
      <c r="R4498" t="s">
        <v>10820</v>
      </c>
      <c r="T4498">
        <v>0</v>
      </c>
      <c r="U4498">
        <v>0</v>
      </c>
      <c r="V4498">
        <v>36</v>
      </c>
      <c r="W4498">
        <v>1</v>
      </c>
      <c r="X4498">
        <v>0</v>
      </c>
      <c r="Z4498">
        <v>0</v>
      </c>
      <c r="AA4498">
        <v>40.813313</v>
      </c>
      <c r="AB4498">
        <v>-73.961123</v>
      </c>
      <c r="AD4498" t="s">
        <v>10839</v>
      </c>
      <c r="AG4498" t="s">
        <v>10858</v>
      </c>
      <c r="AH4498" t="s">
        <v>10865</v>
      </c>
      <c r="AI4498">
        <v>236</v>
      </c>
      <c r="AJ4498" t="s">
        <v>10209</v>
      </c>
      <c r="AK4498" t="s">
        <v>10837</v>
      </c>
      <c r="AL4498">
        <v>1.5</v>
      </c>
      <c r="AM4498" t="s">
        <v>10887</v>
      </c>
      <c r="AN4498" t="s">
        <v>10953</v>
      </c>
      <c r="AO4498" t="s">
        <v>11016</v>
      </c>
      <c r="AP4498" t="s">
        <v>11073</v>
      </c>
      <c r="AQ4498" t="s">
        <v>11114</v>
      </c>
      <c r="AR4498" t="s">
        <v>11267</v>
      </c>
      <c r="AS4498" t="s">
        <v>9925</v>
      </c>
      <c r="AT4498" t="s">
        <v>11641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</row>
    <row r="4499" spans="1:59">
      <c r="A4499" s="1">
        <f>HYPERLINK("https://lsnyc.legalserver.org/matter/dynamic-profile/view/1908678","19-1908678")</f>
        <v>0</v>
      </c>
      <c r="B4499" t="s">
        <v>3653</v>
      </c>
      <c r="C4499" t="s">
        <v>8460</v>
      </c>
      <c r="D4499" t="s">
        <v>9925</v>
      </c>
      <c r="E4499" t="s">
        <v>10075</v>
      </c>
      <c r="F4499">
        <v>10040</v>
      </c>
      <c r="G4499" t="s">
        <v>10089</v>
      </c>
      <c r="H4499" t="s">
        <v>10108</v>
      </c>
      <c r="I4499" t="s">
        <v>10168</v>
      </c>
      <c r="J4499" t="s">
        <v>10209</v>
      </c>
      <c r="K4499" t="s">
        <v>10217</v>
      </c>
      <c r="M4499" t="s">
        <v>10573</v>
      </c>
      <c r="N4499" t="s">
        <v>10650</v>
      </c>
      <c r="P4499" t="s">
        <v>10749</v>
      </c>
      <c r="Q4499" t="s">
        <v>10765</v>
      </c>
      <c r="R4499" t="s">
        <v>10822</v>
      </c>
      <c r="T4499">
        <v>15345.6</v>
      </c>
      <c r="U4499">
        <v>1278.8</v>
      </c>
      <c r="V4499">
        <v>78</v>
      </c>
      <c r="W4499">
        <v>1</v>
      </c>
      <c r="X4499">
        <v>0</v>
      </c>
      <c r="Z4499">
        <v>122.86</v>
      </c>
      <c r="AA4499">
        <v>40.857955</v>
      </c>
      <c r="AB4499">
        <v>-73.93116000000001</v>
      </c>
      <c r="AD4499" t="s">
        <v>10839</v>
      </c>
      <c r="AG4499" t="s">
        <v>10858</v>
      </c>
      <c r="AH4499" t="s">
        <v>10862</v>
      </c>
      <c r="AI4499">
        <v>236</v>
      </c>
      <c r="AJ4499" t="s">
        <v>10209</v>
      </c>
      <c r="AL4499">
        <v>4.1</v>
      </c>
      <c r="AM4499" t="s">
        <v>10887</v>
      </c>
      <c r="AN4499" t="s">
        <v>10937</v>
      </c>
      <c r="AO4499" t="s">
        <v>11019</v>
      </c>
      <c r="AP4499" t="s">
        <v>11074</v>
      </c>
      <c r="AR4499" t="s">
        <v>11268</v>
      </c>
      <c r="AS4499" t="s">
        <v>9925</v>
      </c>
      <c r="AT4499" t="s">
        <v>11641</v>
      </c>
      <c r="AX4499" t="s">
        <v>10838</v>
      </c>
      <c r="BA4499" t="s">
        <v>11742</v>
      </c>
      <c r="BB4499">
        <v>0</v>
      </c>
      <c r="BC4499">
        <v>0</v>
      </c>
      <c r="BD4499">
        <v>0</v>
      </c>
      <c r="BE4499">
        <v>0</v>
      </c>
      <c r="BF4499">
        <v>7</v>
      </c>
      <c r="BG4499">
        <v>0</v>
      </c>
    </row>
    <row r="4500" spans="1:59">
      <c r="A4500" s="1">
        <f>HYPERLINK("https://lsnyc.legalserver.org/matter/dynamic-profile/view/1908679","19-1908679")</f>
        <v>0</v>
      </c>
      <c r="B4500" t="s">
        <v>2748</v>
      </c>
      <c r="C4500" t="s">
        <v>8461</v>
      </c>
      <c r="D4500" t="s">
        <v>9951</v>
      </c>
      <c r="E4500" t="s">
        <v>10075</v>
      </c>
      <c r="F4500">
        <v>11416</v>
      </c>
      <c r="G4500" t="s">
        <v>10092</v>
      </c>
      <c r="H4500" t="s">
        <v>10108</v>
      </c>
      <c r="I4500" t="s">
        <v>10168</v>
      </c>
      <c r="J4500" t="s">
        <v>10212</v>
      </c>
      <c r="K4500" t="s">
        <v>10217</v>
      </c>
      <c r="M4500" t="s">
        <v>10329</v>
      </c>
      <c r="N4500" t="s">
        <v>10711</v>
      </c>
      <c r="P4500" t="s">
        <v>10749</v>
      </c>
      <c r="Q4500" t="s">
        <v>10765</v>
      </c>
      <c r="R4500" t="s">
        <v>10822</v>
      </c>
      <c r="T4500">
        <v>17568</v>
      </c>
      <c r="U4500">
        <v>1464</v>
      </c>
      <c r="V4500">
        <v>56</v>
      </c>
      <c r="W4500">
        <v>3</v>
      </c>
      <c r="X4500">
        <v>0</v>
      </c>
      <c r="Z4500">
        <v>82.36</v>
      </c>
      <c r="AA4500">
        <v>40.683467</v>
      </c>
      <c r="AB4500">
        <v>-73.86390400000001</v>
      </c>
      <c r="AD4500" t="s">
        <v>10839</v>
      </c>
      <c r="AG4500" t="s">
        <v>10858</v>
      </c>
      <c r="AH4500" t="s">
        <v>10862</v>
      </c>
      <c r="AI4500">
        <v>237</v>
      </c>
      <c r="AJ4500" t="s">
        <v>10212</v>
      </c>
      <c r="AL4500">
        <v>1.25</v>
      </c>
      <c r="AM4500" t="s">
        <v>10886</v>
      </c>
      <c r="AN4500" t="s">
        <v>10945</v>
      </c>
      <c r="AO4500" t="s">
        <v>11003</v>
      </c>
      <c r="AP4500" t="s">
        <v>11088</v>
      </c>
      <c r="AR4500" t="s">
        <v>11295</v>
      </c>
      <c r="AS4500" t="s">
        <v>11594</v>
      </c>
      <c r="BA4500" t="s">
        <v>11741</v>
      </c>
      <c r="BB4500">
        <v>0</v>
      </c>
      <c r="BC4500">
        <v>0</v>
      </c>
      <c r="BD4500">
        <v>0</v>
      </c>
      <c r="BE4500">
        <v>0</v>
      </c>
      <c r="BF4500">
        <v>1</v>
      </c>
      <c r="BG4500">
        <v>0</v>
      </c>
    </row>
    <row r="4501" spans="1:59">
      <c r="A4501" s="1">
        <f>HYPERLINK("https://lsnyc.legalserver.org/matter/dynamic-profile/view/1908680","19-1908680")</f>
        <v>0</v>
      </c>
      <c r="B4501" t="s">
        <v>1212</v>
      </c>
      <c r="C4501" t="s">
        <v>8152</v>
      </c>
      <c r="D4501" t="s">
        <v>9929</v>
      </c>
      <c r="E4501" t="s">
        <v>10075</v>
      </c>
      <c r="F4501">
        <v>10308</v>
      </c>
      <c r="G4501" t="s">
        <v>10088</v>
      </c>
      <c r="H4501" t="s">
        <v>10143</v>
      </c>
      <c r="I4501" t="s">
        <v>10168</v>
      </c>
      <c r="J4501" t="s">
        <v>10208</v>
      </c>
      <c r="K4501" t="s">
        <v>10217</v>
      </c>
      <c r="M4501" t="s">
        <v>10542</v>
      </c>
      <c r="N4501" t="s">
        <v>10729</v>
      </c>
      <c r="P4501" t="s">
        <v>10754</v>
      </c>
      <c r="Q4501" t="s">
        <v>10798</v>
      </c>
      <c r="R4501" t="s">
        <v>10820</v>
      </c>
      <c r="T4501">
        <v>40000</v>
      </c>
      <c r="U4501">
        <v>3333.33</v>
      </c>
      <c r="V4501">
        <v>45</v>
      </c>
      <c r="W4501">
        <v>1</v>
      </c>
      <c r="X4501">
        <v>3</v>
      </c>
      <c r="Z4501">
        <v>155.34</v>
      </c>
      <c r="AA4501">
        <v>40.555639</v>
      </c>
      <c r="AB4501">
        <v>-74.15506600000001</v>
      </c>
      <c r="AD4501" t="s">
        <v>10839</v>
      </c>
      <c r="AG4501" t="s">
        <v>10858</v>
      </c>
      <c r="AH4501" t="s">
        <v>10865</v>
      </c>
      <c r="AI4501">
        <v>285</v>
      </c>
      <c r="AJ4501" t="s">
        <v>10208</v>
      </c>
      <c r="AL4501">
        <v>0.4</v>
      </c>
      <c r="AM4501" t="s">
        <v>10883</v>
      </c>
      <c r="AN4501" t="s">
        <v>10906</v>
      </c>
      <c r="AO4501" t="s">
        <v>10999</v>
      </c>
      <c r="AP4501" t="s">
        <v>11044</v>
      </c>
      <c r="AQ4501" t="s">
        <v>11239</v>
      </c>
      <c r="AR4501" t="s">
        <v>11257</v>
      </c>
      <c r="AS4501" t="s">
        <v>11593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</row>
    <row r="4502" spans="1:59">
      <c r="A4502" s="1">
        <f>HYPERLINK("https://lsnyc.legalserver.org/matter/dynamic-profile/view/1908681","19-1908681")</f>
        <v>0</v>
      </c>
      <c r="B4502" t="s">
        <v>3654</v>
      </c>
      <c r="C4502" t="s">
        <v>8462</v>
      </c>
      <c r="D4502" t="s">
        <v>9926</v>
      </c>
      <c r="E4502" t="s">
        <v>10075</v>
      </c>
      <c r="F4502">
        <v>10467</v>
      </c>
      <c r="G4502" t="s">
        <v>10091</v>
      </c>
      <c r="H4502" t="s">
        <v>10108</v>
      </c>
      <c r="I4502" t="s">
        <v>10168</v>
      </c>
      <c r="J4502" t="s">
        <v>10211</v>
      </c>
      <c r="K4502" t="s">
        <v>10217</v>
      </c>
      <c r="M4502" t="s">
        <v>10307</v>
      </c>
      <c r="N4502" t="s">
        <v>10671</v>
      </c>
      <c r="P4502" t="s">
        <v>10752</v>
      </c>
      <c r="Q4502" t="s">
        <v>10762</v>
      </c>
      <c r="R4502" t="s">
        <v>10824</v>
      </c>
      <c r="T4502">
        <v>0</v>
      </c>
      <c r="U4502">
        <v>0</v>
      </c>
      <c r="V4502">
        <v>24</v>
      </c>
      <c r="W4502">
        <v>1</v>
      </c>
      <c r="X4502">
        <v>0</v>
      </c>
      <c r="Z4502">
        <v>0</v>
      </c>
      <c r="AA4502">
        <v>40.877549</v>
      </c>
      <c r="AB4502">
        <v>-73.87999000000001</v>
      </c>
      <c r="AD4502" t="s">
        <v>10839</v>
      </c>
      <c r="AG4502" t="s">
        <v>10858</v>
      </c>
      <c r="AH4502" t="s">
        <v>10861</v>
      </c>
      <c r="AI4502">
        <v>234</v>
      </c>
      <c r="AJ4502" t="s">
        <v>10214</v>
      </c>
      <c r="AL4502">
        <v>0.6</v>
      </c>
      <c r="AM4502" t="s">
        <v>10887</v>
      </c>
      <c r="AN4502" t="s">
        <v>10919</v>
      </c>
      <c r="AO4502" t="s">
        <v>11010</v>
      </c>
      <c r="AP4502" t="s">
        <v>11057</v>
      </c>
      <c r="AR4502" t="s">
        <v>11279</v>
      </c>
      <c r="AS4502" t="s">
        <v>9926</v>
      </c>
      <c r="AT4502" t="s">
        <v>11641</v>
      </c>
      <c r="AX4502" t="s">
        <v>10837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</row>
    <row r="4503" spans="1:59">
      <c r="A4503" s="1">
        <f>HYPERLINK("https://lsnyc.legalserver.org/matter/dynamic-profile/view/1908682","19-1908682")</f>
        <v>0</v>
      </c>
      <c r="B4503" t="s">
        <v>3655</v>
      </c>
      <c r="C4503" t="s">
        <v>8463</v>
      </c>
      <c r="D4503" t="s">
        <v>9933</v>
      </c>
      <c r="E4503" t="s">
        <v>10075</v>
      </c>
      <c r="F4503">
        <v>11420</v>
      </c>
      <c r="G4503" t="s">
        <v>10092</v>
      </c>
      <c r="H4503" t="s">
        <v>10108</v>
      </c>
      <c r="I4503" t="s">
        <v>10184</v>
      </c>
      <c r="J4503" t="s">
        <v>10212</v>
      </c>
      <c r="K4503" t="s">
        <v>10217</v>
      </c>
      <c r="M4503" t="s">
        <v>10547</v>
      </c>
      <c r="N4503" t="s">
        <v>10714</v>
      </c>
      <c r="P4503" t="s">
        <v>10753</v>
      </c>
      <c r="Q4503" t="s">
        <v>10763</v>
      </c>
      <c r="R4503" t="s">
        <v>10825</v>
      </c>
      <c r="T4503">
        <v>3770</v>
      </c>
      <c r="U4503">
        <v>314.17</v>
      </c>
      <c r="V4503">
        <v>82</v>
      </c>
      <c r="W4503">
        <v>3</v>
      </c>
      <c r="X4503">
        <v>0</v>
      </c>
      <c r="Z4503">
        <v>17.67</v>
      </c>
      <c r="AA4503">
        <v>40.672976</v>
      </c>
      <c r="AB4503">
        <v>-73.80239400000001</v>
      </c>
      <c r="AD4503" t="s">
        <v>10840</v>
      </c>
      <c r="AF4503" t="s">
        <v>10843</v>
      </c>
      <c r="AG4503" t="s">
        <v>10859</v>
      </c>
      <c r="AH4503" t="s">
        <v>10861</v>
      </c>
      <c r="AI4503">
        <v>234</v>
      </c>
      <c r="AJ4503" t="s">
        <v>10214</v>
      </c>
      <c r="AL4503">
        <v>1.95</v>
      </c>
      <c r="AM4503" t="s">
        <v>10892</v>
      </c>
      <c r="AN4503" t="s">
        <v>10930</v>
      </c>
      <c r="AO4503" t="s">
        <v>11017</v>
      </c>
      <c r="AP4503" t="s">
        <v>11070</v>
      </c>
      <c r="AR4503" t="s">
        <v>11255</v>
      </c>
      <c r="AS4503" t="s">
        <v>11594</v>
      </c>
      <c r="AT4503" t="s">
        <v>11642</v>
      </c>
      <c r="AX4503" t="s">
        <v>10838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</row>
    <row r="4504" spans="1:59">
      <c r="A4504" s="1">
        <f>HYPERLINK("https://lsnyc.legalserver.org/matter/dynamic-profile/view/1908683","19-1908683")</f>
        <v>0</v>
      </c>
      <c r="B4504" t="s">
        <v>3656</v>
      </c>
      <c r="C4504" t="s">
        <v>8463</v>
      </c>
      <c r="D4504" t="s">
        <v>9933</v>
      </c>
      <c r="E4504" t="s">
        <v>10075</v>
      </c>
      <c r="F4504">
        <v>11420</v>
      </c>
      <c r="G4504" t="s">
        <v>10092</v>
      </c>
      <c r="H4504" t="s">
        <v>10108</v>
      </c>
      <c r="I4504" t="s">
        <v>10184</v>
      </c>
      <c r="J4504" t="s">
        <v>10212</v>
      </c>
      <c r="K4504" t="s">
        <v>10217</v>
      </c>
      <c r="M4504" t="s">
        <v>10547</v>
      </c>
      <c r="N4504" t="s">
        <v>10714</v>
      </c>
      <c r="P4504" t="s">
        <v>10753</v>
      </c>
      <c r="Q4504" t="s">
        <v>10763</v>
      </c>
      <c r="R4504" t="s">
        <v>10825</v>
      </c>
      <c r="T4504">
        <v>3770</v>
      </c>
      <c r="U4504">
        <v>314.17</v>
      </c>
      <c r="V4504">
        <v>71</v>
      </c>
      <c r="W4504">
        <v>3</v>
      </c>
      <c r="X4504">
        <v>0</v>
      </c>
      <c r="Z4504">
        <v>17.67</v>
      </c>
      <c r="AA4504">
        <v>40.672976</v>
      </c>
      <c r="AB4504">
        <v>-73.80239400000001</v>
      </c>
      <c r="AD4504" t="s">
        <v>10839</v>
      </c>
      <c r="AF4504" t="s">
        <v>10843</v>
      </c>
      <c r="AG4504" t="s">
        <v>10859</v>
      </c>
      <c r="AH4504" t="s">
        <v>10861</v>
      </c>
      <c r="AI4504">
        <v>234</v>
      </c>
      <c r="AJ4504" t="s">
        <v>10214</v>
      </c>
      <c r="AL4504">
        <v>2.5</v>
      </c>
      <c r="AM4504" t="s">
        <v>10892</v>
      </c>
      <c r="AN4504" t="s">
        <v>10930</v>
      </c>
      <c r="AO4504" t="s">
        <v>11017</v>
      </c>
      <c r="AP4504" t="s">
        <v>11070</v>
      </c>
      <c r="AR4504" t="s">
        <v>11255</v>
      </c>
      <c r="AS4504" t="s">
        <v>11594</v>
      </c>
      <c r="AT4504" t="s">
        <v>11641</v>
      </c>
      <c r="AX4504" t="s">
        <v>10838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</row>
    <row r="4505" spans="1:59">
      <c r="A4505" s="1">
        <f>HYPERLINK("https://lsnyc.legalserver.org/matter/dynamic-profile/view/1908684","19-1908684")</f>
        <v>0</v>
      </c>
      <c r="B4505" t="s">
        <v>1212</v>
      </c>
      <c r="C4505" t="s">
        <v>8152</v>
      </c>
      <c r="D4505" t="s">
        <v>9929</v>
      </c>
      <c r="E4505" t="s">
        <v>10075</v>
      </c>
      <c r="F4505">
        <v>10308</v>
      </c>
      <c r="G4505" t="s">
        <v>10088</v>
      </c>
      <c r="H4505" t="s">
        <v>10143</v>
      </c>
      <c r="I4505" t="s">
        <v>10168</v>
      </c>
      <c r="J4505" t="s">
        <v>10208</v>
      </c>
      <c r="K4505" t="s">
        <v>10217</v>
      </c>
      <c r="M4505" t="s">
        <v>10542</v>
      </c>
      <c r="N4505" t="s">
        <v>10729</v>
      </c>
      <c r="P4505" t="s">
        <v>10754</v>
      </c>
      <c r="Q4505" t="s">
        <v>10777</v>
      </c>
      <c r="R4505" t="s">
        <v>10820</v>
      </c>
      <c r="T4505">
        <v>40000</v>
      </c>
      <c r="U4505">
        <v>3333.33</v>
      </c>
      <c r="V4505">
        <v>45</v>
      </c>
      <c r="W4505">
        <v>1</v>
      </c>
      <c r="X4505">
        <v>3</v>
      </c>
      <c r="Z4505">
        <v>155.34</v>
      </c>
      <c r="AA4505">
        <v>40.555639</v>
      </c>
      <c r="AB4505">
        <v>-74.15506600000001</v>
      </c>
      <c r="AD4505" t="s">
        <v>10839</v>
      </c>
      <c r="AG4505" t="s">
        <v>10858</v>
      </c>
      <c r="AH4505" t="s">
        <v>10865</v>
      </c>
      <c r="AI4505">
        <v>285</v>
      </c>
      <c r="AJ4505" t="s">
        <v>10208</v>
      </c>
      <c r="AL4505">
        <v>0.4</v>
      </c>
      <c r="AM4505" t="s">
        <v>10883</v>
      </c>
      <c r="AN4505" t="s">
        <v>10906</v>
      </c>
      <c r="AO4505" t="s">
        <v>10999</v>
      </c>
      <c r="AP4505" t="s">
        <v>11044</v>
      </c>
      <c r="AQ4505" t="s">
        <v>11128</v>
      </c>
      <c r="AR4505" t="s">
        <v>11257</v>
      </c>
      <c r="AS4505" t="s">
        <v>11593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</row>
    <row r="4506" spans="1:59">
      <c r="A4506" s="1">
        <f>HYPERLINK("https://lsnyc.legalserver.org/matter/dynamic-profile/view/1908685","19-1908685")</f>
        <v>0</v>
      </c>
      <c r="B4506" t="s">
        <v>3657</v>
      </c>
      <c r="C4506" t="s">
        <v>8464</v>
      </c>
      <c r="D4506" t="s">
        <v>9928</v>
      </c>
      <c r="E4506" t="s">
        <v>10075</v>
      </c>
      <c r="F4506">
        <v>11212</v>
      </c>
      <c r="G4506" t="s">
        <v>10093</v>
      </c>
      <c r="H4506" t="s">
        <v>10108</v>
      </c>
      <c r="I4506" t="s">
        <v>10168</v>
      </c>
      <c r="J4506" t="s">
        <v>10213</v>
      </c>
      <c r="K4506" t="s">
        <v>10218</v>
      </c>
      <c r="L4506" t="s">
        <v>10152</v>
      </c>
      <c r="M4506" t="s">
        <v>10564</v>
      </c>
      <c r="N4506" t="s">
        <v>10650</v>
      </c>
      <c r="P4506" t="s">
        <v>10749</v>
      </c>
      <c r="Q4506" t="s">
        <v>10765</v>
      </c>
      <c r="R4506" t="s">
        <v>10824</v>
      </c>
      <c r="T4506">
        <v>98700</v>
      </c>
      <c r="U4506">
        <v>8225</v>
      </c>
      <c r="V4506">
        <v>45</v>
      </c>
      <c r="W4506">
        <v>1</v>
      </c>
      <c r="X4506">
        <v>3</v>
      </c>
      <c r="Y4506" t="s">
        <v>10829</v>
      </c>
      <c r="Z4506">
        <v>383.3</v>
      </c>
      <c r="AA4506">
        <v>40.658418</v>
      </c>
      <c r="AB4506">
        <v>-73.92277799999999</v>
      </c>
      <c r="AD4506" t="s">
        <v>10839</v>
      </c>
      <c r="AG4506" t="s">
        <v>10858</v>
      </c>
      <c r="AH4506" t="s">
        <v>10861</v>
      </c>
      <c r="AI4506">
        <v>234</v>
      </c>
      <c r="AJ4506" t="s">
        <v>10214</v>
      </c>
      <c r="AK4506" t="s">
        <v>10838</v>
      </c>
      <c r="AL4506">
        <v>0.6</v>
      </c>
      <c r="AM4506" t="s">
        <v>10888</v>
      </c>
      <c r="AN4506" t="s">
        <v>10925</v>
      </c>
      <c r="AO4506" t="s">
        <v>11005</v>
      </c>
      <c r="AP4506" t="s">
        <v>11064</v>
      </c>
      <c r="AR4506" t="s">
        <v>11257</v>
      </c>
      <c r="AS4506" t="s">
        <v>11595</v>
      </c>
      <c r="AT4506" t="s">
        <v>11641</v>
      </c>
      <c r="AX4506" t="s">
        <v>10838</v>
      </c>
      <c r="AY4506" t="s">
        <v>10829</v>
      </c>
      <c r="AZ4506" t="s">
        <v>11681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</row>
    <row r="4507" spans="1:59">
      <c r="A4507" s="1">
        <f>HYPERLINK("https://lsnyc.legalserver.org/matter/dynamic-profile/view/1908686","19-1908686")</f>
        <v>0</v>
      </c>
      <c r="B4507" t="s">
        <v>1212</v>
      </c>
      <c r="C4507" t="s">
        <v>8152</v>
      </c>
      <c r="D4507" t="s">
        <v>9929</v>
      </c>
      <c r="E4507" t="s">
        <v>10075</v>
      </c>
      <c r="F4507">
        <v>10308</v>
      </c>
      <c r="G4507" t="s">
        <v>10088</v>
      </c>
      <c r="H4507" t="s">
        <v>10143</v>
      </c>
      <c r="I4507" t="s">
        <v>10168</v>
      </c>
      <c r="J4507" t="s">
        <v>10208</v>
      </c>
      <c r="K4507" t="s">
        <v>10217</v>
      </c>
      <c r="M4507" t="s">
        <v>10542</v>
      </c>
      <c r="N4507" t="s">
        <v>10729</v>
      </c>
      <c r="P4507" t="s">
        <v>10754</v>
      </c>
      <c r="Q4507" t="s">
        <v>10770</v>
      </c>
      <c r="R4507" t="s">
        <v>10820</v>
      </c>
      <c r="T4507">
        <v>40000</v>
      </c>
      <c r="U4507">
        <v>3333.33</v>
      </c>
      <c r="V4507">
        <v>45</v>
      </c>
      <c r="W4507">
        <v>1</v>
      </c>
      <c r="X4507">
        <v>3</v>
      </c>
      <c r="Z4507">
        <v>155.34</v>
      </c>
      <c r="AA4507">
        <v>40.555639</v>
      </c>
      <c r="AB4507">
        <v>-74.15506600000001</v>
      </c>
      <c r="AD4507" t="s">
        <v>10839</v>
      </c>
      <c r="AG4507" t="s">
        <v>10858</v>
      </c>
      <c r="AH4507" t="s">
        <v>10865</v>
      </c>
      <c r="AI4507">
        <v>285</v>
      </c>
      <c r="AJ4507" t="s">
        <v>10208</v>
      </c>
      <c r="AL4507">
        <v>0.3</v>
      </c>
      <c r="AM4507" t="s">
        <v>10883</v>
      </c>
      <c r="AN4507" t="s">
        <v>10906</v>
      </c>
      <c r="AO4507" t="s">
        <v>10999</v>
      </c>
      <c r="AP4507" t="s">
        <v>11044</v>
      </c>
      <c r="AR4507" t="s">
        <v>11257</v>
      </c>
      <c r="AS4507" t="s">
        <v>11593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</row>
    <row r="4508" spans="1:59">
      <c r="A4508" s="1">
        <f>HYPERLINK("https://lsnyc.legalserver.org/matter/dynamic-profile/view/1908687","19-1908687")</f>
        <v>0</v>
      </c>
      <c r="B4508" t="s">
        <v>3658</v>
      </c>
      <c r="C4508" t="s">
        <v>8465</v>
      </c>
      <c r="D4508" t="s">
        <v>9928</v>
      </c>
      <c r="E4508" t="s">
        <v>10075</v>
      </c>
      <c r="F4508">
        <v>11207</v>
      </c>
      <c r="G4508" t="s">
        <v>10093</v>
      </c>
      <c r="H4508" t="s">
        <v>10108</v>
      </c>
      <c r="I4508" t="s">
        <v>10168</v>
      </c>
      <c r="J4508" t="s">
        <v>10213</v>
      </c>
      <c r="K4508" t="s">
        <v>10217</v>
      </c>
      <c r="M4508" t="s">
        <v>10481</v>
      </c>
      <c r="N4508" t="s">
        <v>10650</v>
      </c>
      <c r="P4508" t="s">
        <v>10749</v>
      </c>
      <c r="Q4508" t="s">
        <v>10765</v>
      </c>
      <c r="R4508" t="s">
        <v>10824</v>
      </c>
      <c r="T4508">
        <v>0</v>
      </c>
      <c r="U4508">
        <v>0</v>
      </c>
      <c r="V4508">
        <v>31</v>
      </c>
      <c r="W4508">
        <v>2</v>
      </c>
      <c r="X4508">
        <v>4</v>
      </c>
      <c r="Z4508">
        <v>0</v>
      </c>
      <c r="AA4508">
        <v>40.675111</v>
      </c>
      <c r="AB4508">
        <v>-73.88896699999999</v>
      </c>
      <c r="AD4508" t="s">
        <v>10839</v>
      </c>
      <c r="AG4508" t="s">
        <v>10858</v>
      </c>
      <c r="AH4508" t="s">
        <v>10861</v>
      </c>
      <c r="AI4508">
        <v>234</v>
      </c>
      <c r="AJ4508" t="s">
        <v>10214</v>
      </c>
      <c r="AL4508">
        <v>1</v>
      </c>
      <c r="AM4508" t="s">
        <v>10889</v>
      </c>
      <c r="AN4508" t="s">
        <v>10922</v>
      </c>
      <c r="AO4508" t="s">
        <v>11011</v>
      </c>
      <c r="AP4508" t="s">
        <v>11058</v>
      </c>
      <c r="AQ4508" t="s">
        <v>11101</v>
      </c>
      <c r="AR4508" t="s">
        <v>11279</v>
      </c>
      <c r="AS4508" t="s">
        <v>11595</v>
      </c>
      <c r="AT4508" t="s">
        <v>11641</v>
      </c>
      <c r="AX4508" t="s">
        <v>10838</v>
      </c>
      <c r="BA4508" t="s">
        <v>11741</v>
      </c>
      <c r="BB4508">
        <v>0</v>
      </c>
      <c r="BC4508">
        <v>0</v>
      </c>
      <c r="BD4508">
        <v>0</v>
      </c>
      <c r="BE4508">
        <v>0</v>
      </c>
      <c r="BF4508">
        <v>1</v>
      </c>
      <c r="BG4508">
        <v>0</v>
      </c>
    </row>
    <row r="4509" spans="1:59">
      <c r="A4509" s="1">
        <f>HYPERLINK("https://lsnyc.legalserver.org/matter/dynamic-profile/view/1908688","19-1908688")</f>
        <v>0</v>
      </c>
      <c r="B4509" t="s">
        <v>3659</v>
      </c>
      <c r="C4509" t="s">
        <v>5741</v>
      </c>
      <c r="D4509" t="s">
        <v>9928</v>
      </c>
      <c r="E4509" t="s">
        <v>10075</v>
      </c>
      <c r="F4509">
        <v>11225</v>
      </c>
      <c r="G4509" t="s">
        <v>10093</v>
      </c>
      <c r="H4509" t="s">
        <v>10108</v>
      </c>
      <c r="I4509" t="s">
        <v>10168</v>
      </c>
      <c r="J4509" t="s">
        <v>10213</v>
      </c>
      <c r="K4509" t="s">
        <v>10217</v>
      </c>
      <c r="M4509" t="s">
        <v>10304</v>
      </c>
      <c r="N4509" t="s">
        <v>10671</v>
      </c>
      <c r="P4509" t="s">
        <v>10749</v>
      </c>
      <c r="Q4509" t="s">
        <v>10765</v>
      </c>
      <c r="R4509" t="s">
        <v>10824</v>
      </c>
      <c r="T4509">
        <v>30000</v>
      </c>
      <c r="U4509">
        <v>2500</v>
      </c>
      <c r="V4509">
        <v>55</v>
      </c>
      <c r="W4509">
        <v>2</v>
      </c>
      <c r="X4509">
        <v>0</v>
      </c>
      <c r="Z4509">
        <v>177.41</v>
      </c>
      <c r="AA4509">
        <v>40.659282</v>
      </c>
      <c r="AB4509">
        <v>-73.961113</v>
      </c>
      <c r="AD4509" t="s">
        <v>10839</v>
      </c>
      <c r="AF4509" t="s">
        <v>10843</v>
      </c>
      <c r="AG4509" t="s">
        <v>10859</v>
      </c>
      <c r="AH4509" t="s">
        <v>10861</v>
      </c>
      <c r="AI4509">
        <v>234</v>
      </c>
      <c r="AJ4509" t="s">
        <v>10214</v>
      </c>
      <c r="AL4509">
        <v>0.8</v>
      </c>
      <c r="AM4509" t="s">
        <v>10888</v>
      </c>
      <c r="AN4509" t="s">
        <v>10912</v>
      </c>
      <c r="AO4509" t="s">
        <v>11008</v>
      </c>
      <c r="AP4509" t="s">
        <v>11050</v>
      </c>
      <c r="AR4509" t="s">
        <v>11262</v>
      </c>
      <c r="AS4509" t="s">
        <v>11595</v>
      </c>
      <c r="AT4509" t="s">
        <v>11641</v>
      </c>
      <c r="AX4509" t="s">
        <v>10838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</row>
    <row r="4510" spans="1:59">
      <c r="A4510" s="1">
        <f>HYPERLINK("https://lsnyc.legalserver.org/matter/dynamic-profile/view/1908689","19-1908689")</f>
        <v>0</v>
      </c>
      <c r="B4510" t="s">
        <v>3660</v>
      </c>
      <c r="C4510" t="s">
        <v>8466</v>
      </c>
      <c r="D4510" t="s">
        <v>9928</v>
      </c>
      <c r="E4510" t="s">
        <v>10075</v>
      </c>
      <c r="F4510">
        <v>11211</v>
      </c>
      <c r="G4510" t="s">
        <v>10093</v>
      </c>
      <c r="H4510" t="s">
        <v>10108</v>
      </c>
      <c r="I4510" t="s">
        <v>10168</v>
      </c>
      <c r="J4510" t="s">
        <v>10213</v>
      </c>
      <c r="K4510" t="s">
        <v>10217</v>
      </c>
      <c r="M4510" t="s">
        <v>10280</v>
      </c>
      <c r="N4510" t="s">
        <v>10671</v>
      </c>
      <c r="P4510" t="s">
        <v>10751</v>
      </c>
      <c r="Q4510" t="s">
        <v>10780</v>
      </c>
      <c r="R4510" t="s">
        <v>10822</v>
      </c>
      <c r="T4510">
        <v>18504</v>
      </c>
      <c r="U4510">
        <v>1542</v>
      </c>
      <c r="V4510">
        <v>18</v>
      </c>
      <c r="W4510">
        <v>2</v>
      </c>
      <c r="X4510">
        <v>0</v>
      </c>
      <c r="Z4510">
        <v>109.43</v>
      </c>
      <c r="AA4510">
        <v>40.711577</v>
      </c>
      <c r="AB4510">
        <v>-73.96064200000001</v>
      </c>
      <c r="AD4510" t="s">
        <v>10840</v>
      </c>
      <c r="AG4510" t="s">
        <v>10858</v>
      </c>
      <c r="AH4510" t="s">
        <v>10861</v>
      </c>
      <c r="AI4510">
        <v>234</v>
      </c>
      <c r="AJ4510" t="s">
        <v>10214</v>
      </c>
      <c r="AL4510">
        <v>2.6</v>
      </c>
      <c r="AM4510" t="s">
        <v>10886</v>
      </c>
      <c r="AN4510" t="s">
        <v>10942</v>
      </c>
      <c r="AO4510" t="s">
        <v>11011</v>
      </c>
      <c r="AP4510" t="s">
        <v>11071</v>
      </c>
      <c r="AR4510" t="s">
        <v>11274</v>
      </c>
      <c r="AS4510" t="s">
        <v>11595</v>
      </c>
      <c r="AT4510" t="s">
        <v>11642</v>
      </c>
      <c r="AX4510" t="s">
        <v>10838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</row>
    <row r="4511" spans="1:59">
      <c r="A4511" s="1">
        <f>HYPERLINK("https://lsnyc.legalserver.org/matter/dynamic-profile/view/1908690","19-1908690")</f>
        <v>0</v>
      </c>
      <c r="B4511" t="s">
        <v>3661</v>
      </c>
      <c r="C4511" t="s">
        <v>8467</v>
      </c>
      <c r="D4511" t="s">
        <v>9928</v>
      </c>
      <c r="E4511" t="s">
        <v>10075</v>
      </c>
      <c r="F4511">
        <v>11221</v>
      </c>
      <c r="G4511" t="s">
        <v>10093</v>
      </c>
      <c r="H4511" t="s">
        <v>10108</v>
      </c>
      <c r="I4511" t="s">
        <v>10169</v>
      </c>
      <c r="J4511" t="s">
        <v>10213</v>
      </c>
      <c r="K4511" t="s">
        <v>10217</v>
      </c>
      <c r="M4511" t="s">
        <v>10570</v>
      </c>
      <c r="N4511" t="s">
        <v>10667</v>
      </c>
      <c r="P4511" t="s">
        <v>10749</v>
      </c>
      <c r="Q4511" t="s">
        <v>10765</v>
      </c>
      <c r="R4511" t="s">
        <v>10823</v>
      </c>
      <c r="T4511">
        <v>13000</v>
      </c>
      <c r="U4511">
        <v>1083.33</v>
      </c>
      <c r="V4511">
        <v>48</v>
      </c>
      <c r="W4511">
        <v>2</v>
      </c>
      <c r="X4511">
        <v>0</v>
      </c>
      <c r="Z4511">
        <v>76.88</v>
      </c>
      <c r="AA4511">
        <v>40.697161</v>
      </c>
      <c r="AB4511">
        <v>-73.929151</v>
      </c>
      <c r="AD4511" t="s">
        <v>10840</v>
      </c>
      <c r="AF4511" t="s">
        <v>10843</v>
      </c>
      <c r="AG4511" t="s">
        <v>10859</v>
      </c>
      <c r="AH4511" t="s">
        <v>10862</v>
      </c>
      <c r="AI4511">
        <v>239</v>
      </c>
      <c r="AJ4511" t="s">
        <v>10213</v>
      </c>
      <c r="AL4511">
        <v>29.75</v>
      </c>
      <c r="AM4511" t="s">
        <v>10886</v>
      </c>
      <c r="AN4511" t="s">
        <v>10942</v>
      </c>
      <c r="AO4511" t="s">
        <v>11011</v>
      </c>
      <c r="AP4511" t="s">
        <v>11071</v>
      </c>
      <c r="AQ4511" t="s">
        <v>11101</v>
      </c>
      <c r="AR4511" t="s">
        <v>11257</v>
      </c>
      <c r="AS4511" t="s">
        <v>11595</v>
      </c>
      <c r="AT4511" t="s">
        <v>11642</v>
      </c>
      <c r="BA4511" t="s">
        <v>11738</v>
      </c>
      <c r="BB4511">
        <v>0</v>
      </c>
      <c r="BC4511">
        <v>0</v>
      </c>
      <c r="BD4511">
        <v>0</v>
      </c>
      <c r="BE4511">
        <v>0</v>
      </c>
      <c r="BF4511">
        <v>5</v>
      </c>
      <c r="BG4511">
        <v>0</v>
      </c>
    </row>
    <row r="4512" spans="1:59">
      <c r="A4512" s="1">
        <f>HYPERLINK("https://lsnyc.legalserver.org/matter/dynamic-profile/view/1908691","19-1908691")</f>
        <v>0</v>
      </c>
      <c r="B4512" t="s">
        <v>3662</v>
      </c>
      <c r="C4512" t="s">
        <v>8468</v>
      </c>
      <c r="D4512" t="s">
        <v>9928</v>
      </c>
      <c r="E4512" t="s">
        <v>10075</v>
      </c>
      <c r="F4512">
        <v>11223</v>
      </c>
      <c r="G4512" t="s">
        <v>10093</v>
      </c>
      <c r="H4512" t="s">
        <v>10108</v>
      </c>
      <c r="I4512" t="s">
        <v>10168</v>
      </c>
      <c r="J4512" t="s">
        <v>10213</v>
      </c>
      <c r="K4512" t="s">
        <v>10217</v>
      </c>
      <c r="M4512" t="s">
        <v>10565</v>
      </c>
      <c r="N4512" t="s">
        <v>10664</v>
      </c>
      <c r="P4512" t="s">
        <v>10749</v>
      </c>
      <c r="Q4512" t="s">
        <v>10765</v>
      </c>
      <c r="R4512" t="s">
        <v>10821</v>
      </c>
      <c r="T4512">
        <v>14112</v>
      </c>
      <c r="U4512">
        <v>1176</v>
      </c>
      <c r="V4512">
        <v>46</v>
      </c>
      <c r="W4512">
        <v>1</v>
      </c>
      <c r="X4512">
        <v>1</v>
      </c>
      <c r="Z4512">
        <v>83.45</v>
      </c>
      <c r="AA4512">
        <v>40.599061</v>
      </c>
      <c r="AB4512">
        <v>-73.961009</v>
      </c>
      <c r="AD4512" t="s">
        <v>10839</v>
      </c>
      <c r="AG4512" t="s">
        <v>10858</v>
      </c>
      <c r="AH4512" t="s">
        <v>10861</v>
      </c>
      <c r="AI4512">
        <v>239</v>
      </c>
      <c r="AJ4512" t="s">
        <v>10213</v>
      </c>
      <c r="AL4512">
        <v>0.1</v>
      </c>
      <c r="AM4512" t="s">
        <v>10883</v>
      </c>
      <c r="AN4512" t="s">
        <v>10965</v>
      </c>
      <c r="AO4512" t="s">
        <v>11015</v>
      </c>
      <c r="AP4512" t="s">
        <v>11092</v>
      </c>
      <c r="AR4512" t="s">
        <v>11445</v>
      </c>
      <c r="AS4512" t="s">
        <v>11595</v>
      </c>
      <c r="BA4512" t="s">
        <v>11742</v>
      </c>
      <c r="BB4512">
        <v>0</v>
      </c>
      <c r="BC4512">
        <v>0</v>
      </c>
      <c r="BD4512">
        <v>0</v>
      </c>
      <c r="BE4512">
        <v>0</v>
      </c>
      <c r="BF4512">
        <v>7</v>
      </c>
      <c r="BG4512">
        <v>0</v>
      </c>
    </row>
    <row r="4513" spans="1:59">
      <c r="A4513" s="1">
        <f>HYPERLINK("https://lsnyc.legalserver.org/matter/dynamic-profile/view/1908692","19-1908692")</f>
        <v>0</v>
      </c>
      <c r="C4513" t="s">
        <v>8469</v>
      </c>
      <c r="D4513" t="s">
        <v>9948</v>
      </c>
      <c r="E4513" t="s">
        <v>10075</v>
      </c>
      <c r="F4513">
        <v>11691</v>
      </c>
      <c r="G4513" t="s">
        <v>10090</v>
      </c>
      <c r="H4513" t="s">
        <v>10161</v>
      </c>
      <c r="I4513" t="s">
        <v>10168</v>
      </c>
      <c r="J4513" t="s">
        <v>10210</v>
      </c>
      <c r="K4513" t="s">
        <v>10217</v>
      </c>
      <c r="M4513" t="s">
        <v>10261</v>
      </c>
      <c r="N4513" t="s">
        <v>10650</v>
      </c>
      <c r="P4513" t="s">
        <v>10749</v>
      </c>
      <c r="Q4513" t="s">
        <v>10764</v>
      </c>
      <c r="R4513" t="s">
        <v>10822</v>
      </c>
      <c r="T4513">
        <v>3600</v>
      </c>
      <c r="U4513">
        <v>300</v>
      </c>
      <c r="V4513">
        <v>0</v>
      </c>
      <c r="W4513">
        <v>2</v>
      </c>
      <c r="X4513">
        <v>1</v>
      </c>
      <c r="Z4513">
        <v>16.88</v>
      </c>
      <c r="AA4513">
        <v>40.595667</v>
      </c>
      <c r="AB4513">
        <v>-73.74181</v>
      </c>
      <c r="AD4513" t="s">
        <v>10839</v>
      </c>
      <c r="AG4513" t="s">
        <v>10858</v>
      </c>
      <c r="AH4513" t="s">
        <v>10862</v>
      </c>
      <c r="AI4513">
        <v>230</v>
      </c>
      <c r="AJ4513" t="s">
        <v>10210</v>
      </c>
      <c r="AL4513">
        <v>2</v>
      </c>
      <c r="AM4513" t="s">
        <v>10892</v>
      </c>
      <c r="AN4513" t="s">
        <v>10958</v>
      </c>
      <c r="AO4513" t="s">
        <v>11024</v>
      </c>
      <c r="AP4513" t="s">
        <v>11082</v>
      </c>
      <c r="AR4513" t="s">
        <v>11305</v>
      </c>
      <c r="AS4513" t="s">
        <v>11594</v>
      </c>
      <c r="BA4513" t="s">
        <v>11738</v>
      </c>
      <c r="BB4513">
        <v>0</v>
      </c>
      <c r="BC4513">
        <v>0</v>
      </c>
      <c r="BD4513">
        <v>0</v>
      </c>
      <c r="BE4513">
        <v>0</v>
      </c>
      <c r="BF4513">
        <v>5</v>
      </c>
      <c r="BG4513">
        <v>0</v>
      </c>
    </row>
    <row r="4514" spans="1:59">
      <c r="A4514" s="1">
        <f>HYPERLINK("https://lsnyc.legalserver.org/matter/dynamic-profile/view/1908693","19-1908693")</f>
        <v>0</v>
      </c>
      <c r="B4514" t="s">
        <v>781</v>
      </c>
      <c r="C4514" t="s">
        <v>5643</v>
      </c>
      <c r="D4514" t="s">
        <v>9928</v>
      </c>
      <c r="E4514" t="s">
        <v>10075</v>
      </c>
      <c r="F4514">
        <v>11221</v>
      </c>
      <c r="G4514" t="s">
        <v>10093</v>
      </c>
      <c r="H4514" t="s">
        <v>10108</v>
      </c>
      <c r="I4514" t="s">
        <v>10168</v>
      </c>
      <c r="J4514" t="s">
        <v>10213</v>
      </c>
      <c r="K4514" t="s">
        <v>10217</v>
      </c>
      <c r="M4514" t="s">
        <v>10570</v>
      </c>
      <c r="N4514" t="s">
        <v>10667</v>
      </c>
      <c r="P4514" t="s">
        <v>10749</v>
      </c>
      <c r="Q4514" t="s">
        <v>10765</v>
      </c>
      <c r="R4514" t="s">
        <v>10824</v>
      </c>
      <c r="T4514">
        <v>26000</v>
      </c>
      <c r="U4514">
        <v>2166.67</v>
      </c>
      <c r="V4514">
        <v>37</v>
      </c>
      <c r="W4514">
        <v>1</v>
      </c>
      <c r="X4514">
        <v>1</v>
      </c>
      <c r="Z4514">
        <v>153.76</v>
      </c>
      <c r="AA4514">
        <v>40.687212</v>
      </c>
      <c r="AB4514">
        <v>-73.940983</v>
      </c>
      <c r="AD4514" t="s">
        <v>10839</v>
      </c>
      <c r="AG4514" t="s">
        <v>10858</v>
      </c>
      <c r="AH4514" t="s">
        <v>10862</v>
      </c>
      <c r="AI4514">
        <v>239</v>
      </c>
      <c r="AJ4514" t="s">
        <v>10213</v>
      </c>
      <c r="AL4514">
        <v>3.75</v>
      </c>
      <c r="AM4514" t="s">
        <v>10889</v>
      </c>
      <c r="AN4514" t="s">
        <v>10914</v>
      </c>
      <c r="AO4514" t="s">
        <v>11007</v>
      </c>
      <c r="AP4514" t="s">
        <v>11052</v>
      </c>
      <c r="AQ4514" t="s">
        <v>11101</v>
      </c>
      <c r="AR4514" t="s">
        <v>11262</v>
      </c>
      <c r="AS4514" t="s">
        <v>11595</v>
      </c>
      <c r="BA4514" t="s">
        <v>11738</v>
      </c>
      <c r="BB4514">
        <v>0</v>
      </c>
      <c r="BC4514">
        <v>0</v>
      </c>
      <c r="BD4514">
        <v>0</v>
      </c>
      <c r="BE4514">
        <v>0</v>
      </c>
      <c r="BF4514">
        <v>5</v>
      </c>
      <c r="BG4514">
        <v>0</v>
      </c>
    </row>
    <row r="4515" spans="1:59">
      <c r="A4515" s="1">
        <f>HYPERLINK("https://lsnyc.legalserver.org/matter/dynamic-profile/view/1908694","19-1908694")</f>
        <v>0</v>
      </c>
      <c r="B4515" t="s">
        <v>3663</v>
      </c>
      <c r="C4515" t="s">
        <v>7042</v>
      </c>
      <c r="D4515" t="s">
        <v>9926</v>
      </c>
      <c r="E4515" t="s">
        <v>10075</v>
      </c>
      <c r="F4515">
        <v>10456</v>
      </c>
      <c r="G4515" t="s">
        <v>10090</v>
      </c>
      <c r="H4515" t="s">
        <v>10108</v>
      </c>
      <c r="I4515" t="s">
        <v>10169</v>
      </c>
      <c r="J4515" t="s">
        <v>10210</v>
      </c>
      <c r="K4515" t="s">
        <v>10217</v>
      </c>
      <c r="M4515" t="s">
        <v>10296</v>
      </c>
      <c r="N4515" t="s">
        <v>10679</v>
      </c>
      <c r="P4515" t="s">
        <v>10753</v>
      </c>
      <c r="Q4515" t="s">
        <v>10763</v>
      </c>
      <c r="R4515" t="s">
        <v>10823</v>
      </c>
      <c r="T4515">
        <v>0</v>
      </c>
      <c r="U4515">
        <v>0</v>
      </c>
      <c r="V4515">
        <v>5</v>
      </c>
      <c r="W4515">
        <v>1</v>
      </c>
      <c r="X4515">
        <v>2</v>
      </c>
      <c r="Z4515">
        <v>0</v>
      </c>
      <c r="AA4515">
        <v>40.82931</v>
      </c>
      <c r="AB4515">
        <v>-73.91955</v>
      </c>
      <c r="AD4515" t="s">
        <v>10840</v>
      </c>
      <c r="AF4515" t="s">
        <v>10842</v>
      </c>
      <c r="AG4515" t="s">
        <v>10859</v>
      </c>
      <c r="AH4515" t="s">
        <v>10864</v>
      </c>
      <c r="AI4515">
        <v>230</v>
      </c>
      <c r="AJ4515" t="s">
        <v>10210</v>
      </c>
      <c r="AL4515">
        <v>2</v>
      </c>
      <c r="AM4515" t="s">
        <v>10884</v>
      </c>
      <c r="AN4515" t="s">
        <v>10929</v>
      </c>
      <c r="AO4515" t="s">
        <v>11001</v>
      </c>
      <c r="AP4515" t="s">
        <v>11055</v>
      </c>
      <c r="AQ4515" t="s">
        <v>11109</v>
      </c>
      <c r="AR4515" t="s">
        <v>11267</v>
      </c>
      <c r="AS4515" t="s">
        <v>9926</v>
      </c>
      <c r="AT4515" t="s">
        <v>11642</v>
      </c>
      <c r="AV4515" t="s">
        <v>11655</v>
      </c>
      <c r="AW4515" t="s">
        <v>11666</v>
      </c>
      <c r="AX4515" t="s">
        <v>10838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</row>
    <row r="4516" spans="1:59">
      <c r="A4516" s="1">
        <f>HYPERLINK("https://lsnyc.legalserver.org/matter/dynamic-profile/view/1908695","19-1908695")</f>
        <v>0</v>
      </c>
      <c r="B4516" t="s">
        <v>3664</v>
      </c>
      <c r="C4516" t="s">
        <v>8470</v>
      </c>
      <c r="D4516" t="s">
        <v>9928</v>
      </c>
      <c r="E4516" t="s">
        <v>10075</v>
      </c>
      <c r="F4516">
        <v>11207</v>
      </c>
      <c r="G4516" t="s">
        <v>10093</v>
      </c>
      <c r="H4516" t="s">
        <v>10152</v>
      </c>
      <c r="I4516" t="s">
        <v>10168</v>
      </c>
      <c r="J4516" t="s">
        <v>10213</v>
      </c>
      <c r="K4516" t="s">
        <v>10217</v>
      </c>
      <c r="M4516" t="s">
        <v>10439</v>
      </c>
      <c r="N4516" t="s">
        <v>10650</v>
      </c>
      <c r="P4516" t="s">
        <v>10749</v>
      </c>
      <c r="Q4516" t="s">
        <v>10765</v>
      </c>
      <c r="R4516" t="s">
        <v>10824</v>
      </c>
      <c r="T4516">
        <v>37000</v>
      </c>
      <c r="U4516">
        <v>3083.33</v>
      </c>
      <c r="V4516">
        <v>23</v>
      </c>
      <c r="W4516">
        <v>3</v>
      </c>
      <c r="X4516">
        <v>0</v>
      </c>
      <c r="Z4516">
        <v>173.46</v>
      </c>
      <c r="AA4516">
        <v>40.666052</v>
      </c>
      <c r="AB4516">
        <v>-73.898376</v>
      </c>
      <c r="AD4516" t="s">
        <v>10840</v>
      </c>
      <c r="AG4516" t="s">
        <v>10858</v>
      </c>
      <c r="AH4516" t="s">
        <v>10862</v>
      </c>
      <c r="AI4516">
        <v>239</v>
      </c>
      <c r="AJ4516" t="s">
        <v>10213</v>
      </c>
      <c r="AL4516">
        <v>0</v>
      </c>
      <c r="AM4516" t="s">
        <v>10889</v>
      </c>
      <c r="AN4516" t="s">
        <v>10946</v>
      </c>
      <c r="AO4516" t="s">
        <v>11012</v>
      </c>
      <c r="AP4516" t="s">
        <v>11060</v>
      </c>
      <c r="AQ4516" t="s">
        <v>11101</v>
      </c>
      <c r="AR4516" t="s">
        <v>11257</v>
      </c>
      <c r="AS4516" t="s">
        <v>11595</v>
      </c>
      <c r="AT4516" t="s">
        <v>11642</v>
      </c>
      <c r="AX4516" t="s">
        <v>10838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</row>
    <row r="4517" spans="1:59">
      <c r="A4517" s="1">
        <f>HYPERLINK("https://lsnyc.legalserver.org/matter/dynamic-profile/view/1908696","19-1908696")</f>
        <v>0</v>
      </c>
      <c r="B4517" t="s">
        <v>1057</v>
      </c>
      <c r="C4517" t="s">
        <v>8471</v>
      </c>
      <c r="D4517" t="s">
        <v>9926</v>
      </c>
      <c r="E4517" t="s">
        <v>10075</v>
      </c>
      <c r="F4517">
        <v>10460</v>
      </c>
      <c r="G4517" t="s">
        <v>10091</v>
      </c>
      <c r="H4517" t="s">
        <v>10108</v>
      </c>
      <c r="I4517" t="s">
        <v>10168</v>
      </c>
      <c r="J4517" t="s">
        <v>10211</v>
      </c>
      <c r="K4517" t="s">
        <v>10217</v>
      </c>
      <c r="M4517" t="s">
        <v>10307</v>
      </c>
      <c r="N4517" t="s">
        <v>10671</v>
      </c>
      <c r="P4517" t="s">
        <v>10752</v>
      </c>
      <c r="Q4517" t="s">
        <v>10762</v>
      </c>
      <c r="R4517" t="s">
        <v>10824</v>
      </c>
      <c r="T4517">
        <v>40380</v>
      </c>
      <c r="U4517">
        <v>3365</v>
      </c>
      <c r="V4517">
        <v>42</v>
      </c>
      <c r="W4517">
        <v>1</v>
      </c>
      <c r="X4517">
        <v>2</v>
      </c>
      <c r="Z4517">
        <v>189.31</v>
      </c>
      <c r="AA4517">
        <v>40.842801</v>
      </c>
      <c r="AB4517">
        <v>-73.882749</v>
      </c>
      <c r="AD4517" t="s">
        <v>10839</v>
      </c>
      <c r="AG4517" t="s">
        <v>10858</v>
      </c>
      <c r="AH4517" t="s">
        <v>10861</v>
      </c>
      <c r="AI4517">
        <v>234</v>
      </c>
      <c r="AJ4517" t="s">
        <v>10214</v>
      </c>
      <c r="AL4517">
        <v>0.5</v>
      </c>
      <c r="AM4517" t="s">
        <v>10884</v>
      </c>
      <c r="AN4517" t="s">
        <v>10908</v>
      </c>
      <c r="AO4517" t="s">
        <v>11001</v>
      </c>
      <c r="AP4517" t="s">
        <v>11062</v>
      </c>
      <c r="AQ4517" t="s">
        <v>11110</v>
      </c>
      <c r="AR4517" t="s">
        <v>11257</v>
      </c>
      <c r="AS4517" t="s">
        <v>11595</v>
      </c>
      <c r="AT4517" t="s">
        <v>11641</v>
      </c>
      <c r="AX4517" t="s">
        <v>10838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</row>
    <row r="4518" spans="1:59">
      <c r="A4518" s="1">
        <f>HYPERLINK("https://lsnyc.legalserver.org/matter/dynamic-profile/view/1908697","19-1908697")</f>
        <v>0</v>
      </c>
      <c r="B4518" t="s">
        <v>3665</v>
      </c>
      <c r="C4518" t="s">
        <v>8472</v>
      </c>
      <c r="D4518" t="s">
        <v>9926</v>
      </c>
      <c r="E4518" t="s">
        <v>10075</v>
      </c>
      <c r="F4518">
        <v>10466</v>
      </c>
      <c r="G4518" t="s">
        <v>10090</v>
      </c>
      <c r="H4518" t="s">
        <v>10108</v>
      </c>
      <c r="I4518" t="s">
        <v>10168</v>
      </c>
      <c r="J4518" t="s">
        <v>10210</v>
      </c>
      <c r="K4518" t="s">
        <v>10217</v>
      </c>
      <c r="M4518" t="s">
        <v>10495</v>
      </c>
      <c r="N4518" t="s">
        <v>10658</v>
      </c>
      <c r="P4518" t="s">
        <v>10749</v>
      </c>
      <c r="Q4518" t="s">
        <v>10769</v>
      </c>
      <c r="R4518" t="s">
        <v>10824</v>
      </c>
      <c r="T4518">
        <v>39588</v>
      </c>
      <c r="U4518">
        <v>3299</v>
      </c>
      <c r="V4518">
        <v>57</v>
      </c>
      <c r="W4518">
        <v>1</v>
      </c>
      <c r="X4518">
        <v>0</v>
      </c>
      <c r="Z4518">
        <v>316.96</v>
      </c>
      <c r="AA4518">
        <v>40.896284</v>
      </c>
      <c r="AB4518">
        <v>-73.850393</v>
      </c>
      <c r="AD4518" t="s">
        <v>10839</v>
      </c>
      <c r="AG4518" t="s">
        <v>10858</v>
      </c>
      <c r="AH4518" t="s">
        <v>10871</v>
      </c>
      <c r="AI4518">
        <v>234</v>
      </c>
      <c r="AJ4518" t="s">
        <v>10214</v>
      </c>
      <c r="AL4518">
        <v>7.5</v>
      </c>
      <c r="AM4518" t="s">
        <v>10893</v>
      </c>
      <c r="AN4518" t="s">
        <v>10956</v>
      </c>
      <c r="AO4518" t="s">
        <v>11010</v>
      </c>
      <c r="AP4518" t="s">
        <v>11085</v>
      </c>
      <c r="AR4518" t="s">
        <v>11546</v>
      </c>
      <c r="AS4518" t="s">
        <v>9926</v>
      </c>
      <c r="AT4518" t="s">
        <v>11641</v>
      </c>
      <c r="AX4518" t="s">
        <v>10838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</row>
    <row r="4519" spans="1:59">
      <c r="A4519" s="1">
        <f>HYPERLINK("https://lsnyc.legalserver.org/matter/dynamic-profile/view/1908698","19-1908698")</f>
        <v>0</v>
      </c>
      <c r="B4519" t="s">
        <v>781</v>
      </c>
      <c r="C4519" t="s">
        <v>5643</v>
      </c>
      <c r="D4519" t="s">
        <v>9928</v>
      </c>
      <c r="E4519" t="s">
        <v>10075</v>
      </c>
      <c r="F4519">
        <v>11221</v>
      </c>
      <c r="G4519" t="s">
        <v>10093</v>
      </c>
      <c r="H4519" t="s">
        <v>10160</v>
      </c>
      <c r="I4519" t="s">
        <v>10168</v>
      </c>
      <c r="J4519" t="s">
        <v>10213</v>
      </c>
      <c r="K4519" t="s">
        <v>10217</v>
      </c>
      <c r="M4519" t="s">
        <v>10570</v>
      </c>
      <c r="N4519" t="s">
        <v>10668</v>
      </c>
      <c r="P4519" t="s">
        <v>10751</v>
      </c>
      <c r="Q4519" t="s">
        <v>10761</v>
      </c>
      <c r="R4519" t="s">
        <v>10824</v>
      </c>
      <c r="T4519">
        <v>26000</v>
      </c>
      <c r="U4519">
        <v>2166.67</v>
      </c>
      <c r="V4519">
        <v>37</v>
      </c>
      <c r="W4519">
        <v>1</v>
      </c>
      <c r="X4519">
        <v>1</v>
      </c>
      <c r="Z4519">
        <v>153.76</v>
      </c>
      <c r="AA4519">
        <v>40.687212</v>
      </c>
      <c r="AB4519">
        <v>-73.940983</v>
      </c>
      <c r="AD4519" t="s">
        <v>10839</v>
      </c>
      <c r="AG4519" t="s">
        <v>10858</v>
      </c>
      <c r="AH4519" t="s">
        <v>10862</v>
      </c>
      <c r="AI4519">
        <v>239</v>
      </c>
      <c r="AJ4519" t="s">
        <v>10213</v>
      </c>
      <c r="AL4519">
        <v>3.75</v>
      </c>
      <c r="AM4519" t="s">
        <v>10889</v>
      </c>
      <c r="AN4519" t="s">
        <v>10914</v>
      </c>
      <c r="AO4519" t="s">
        <v>11007</v>
      </c>
      <c r="AP4519" t="s">
        <v>11052</v>
      </c>
      <c r="AR4519" t="s">
        <v>11262</v>
      </c>
      <c r="AS4519" t="s">
        <v>11595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</row>
    <row r="4520" spans="1:59">
      <c r="A4520" s="1">
        <f>HYPERLINK("https://lsnyc.legalserver.org/matter/dynamic-profile/view/1908699","19-1908699")</f>
        <v>0</v>
      </c>
      <c r="B4520" t="s">
        <v>3666</v>
      </c>
      <c r="C4520" t="s">
        <v>8473</v>
      </c>
      <c r="D4520" t="s">
        <v>9926</v>
      </c>
      <c r="E4520" t="s">
        <v>10075</v>
      </c>
      <c r="F4520">
        <v>10459</v>
      </c>
      <c r="G4520" t="s">
        <v>10091</v>
      </c>
      <c r="H4520" t="s">
        <v>10108</v>
      </c>
      <c r="I4520" t="s">
        <v>10169</v>
      </c>
      <c r="J4520" t="s">
        <v>10214</v>
      </c>
      <c r="K4520" t="s">
        <v>10217</v>
      </c>
      <c r="M4520" t="s">
        <v>10286</v>
      </c>
      <c r="N4520" t="s">
        <v>10671</v>
      </c>
      <c r="P4520" t="s">
        <v>10751</v>
      </c>
      <c r="Q4520" t="s">
        <v>10780</v>
      </c>
      <c r="R4520" t="s">
        <v>10821</v>
      </c>
      <c r="T4520">
        <v>9300</v>
      </c>
      <c r="U4520">
        <v>775</v>
      </c>
      <c r="V4520">
        <v>55</v>
      </c>
      <c r="W4520">
        <v>1</v>
      </c>
      <c r="X4520">
        <v>0</v>
      </c>
      <c r="Z4520">
        <v>74.45999999999999</v>
      </c>
      <c r="AA4520">
        <v>40.820678</v>
      </c>
      <c r="AB4520">
        <v>-73.894178</v>
      </c>
      <c r="AD4520" t="s">
        <v>10840</v>
      </c>
      <c r="AG4520" t="s">
        <v>10858</v>
      </c>
      <c r="AH4520" t="s">
        <v>10861</v>
      </c>
      <c r="AI4520">
        <v>234</v>
      </c>
      <c r="AJ4520" t="s">
        <v>10214</v>
      </c>
      <c r="AL4520">
        <v>0.75</v>
      </c>
      <c r="AM4520" t="s">
        <v>10884</v>
      </c>
      <c r="AN4520" t="s">
        <v>10968</v>
      </c>
      <c r="AO4520" t="s">
        <v>11001</v>
      </c>
      <c r="AP4520" t="s">
        <v>11062</v>
      </c>
      <c r="AR4520" t="s">
        <v>11254</v>
      </c>
      <c r="AS4520" t="s">
        <v>9926</v>
      </c>
      <c r="AT4520" t="s">
        <v>11642</v>
      </c>
      <c r="AX4520" t="s">
        <v>10838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</row>
    <row r="4521" spans="1:59">
      <c r="A4521" s="1">
        <f>HYPERLINK("https://lsnyc.legalserver.org/matter/dynamic-profile/view/1908700","19-1908700")</f>
        <v>0</v>
      </c>
      <c r="B4521" t="s">
        <v>2640</v>
      </c>
      <c r="C4521" t="s">
        <v>8229</v>
      </c>
      <c r="D4521" t="s">
        <v>9929</v>
      </c>
      <c r="E4521" t="s">
        <v>10075</v>
      </c>
      <c r="F4521">
        <v>10304</v>
      </c>
      <c r="G4521" t="s">
        <v>10088</v>
      </c>
      <c r="H4521" t="s">
        <v>10143</v>
      </c>
      <c r="I4521" t="s">
        <v>10168</v>
      </c>
      <c r="J4521" t="s">
        <v>10208</v>
      </c>
      <c r="K4521" t="s">
        <v>10217</v>
      </c>
      <c r="M4521" t="s">
        <v>10542</v>
      </c>
      <c r="N4521" t="s">
        <v>10729</v>
      </c>
      <c r="P4521" t="s">
        <v>10754</v>
      </c>
      <c r="Q4521" t="s">
        <v>10770</v>
      </c>
      <c r="R4521" t="s">
        <v>10827</v>
      </c>
      <c r="T4521">
        <v>0</v>
      </c>
      <c r="U4521">
        <v>0</v>
      </c>
      <c r="V4521">
        <v>31</v>
      </c>
      <c r="W4521">
        <v>2</v>
      </c>
      <c r="X4521">
        <v>2</v>
      </c>
      <c r="Z4521">
        <v>0</v>
      </c>
      <c r="AA4521">
        <v>40.596951</v>
      </c>
      <c r="AB4521">
        <v>-74.09264400000001</v>
      </c>
      <c r="AD4521" t="s">
        <v>10839</v>
      </c>
      <c r="AF4521" t="s">
        <v>10843</v>
      </c>
      <c r="AG4521" t="s">
        <v>10859</v>
      </c>
      <c r="AH4521" t="s">
        <v>10865</v>
      </c>
      <c r="AI4521">
        <v>285</v>
      </c>
      <c r="AJ4521" t="s">
        <v>10208</v>
      </c>
      <c r="AL4521">
        <v>0.6</v>
      </c>
      <c r="AM4521" t="s">
        <v>10883</v>
      </c>
      <c r="AN4521" t="s">
        <v>10915</v>
      </c>
      <c r="AO4521" t="s">
        <v>10999</v>
      </c>
      <c r="AP4521" t="s">
        <v>11063</v>
      </c>
      <c r="AR4521" t="s">
        <v>11267</v>
      </c>
      <c r="AS4521" t="s">
        <v>11593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</row>
    <row r="4522" spans="1:59">
      <c r="A4522" s="1">
        <f>HYPERLINK("https://lsnyc.legalserver.org/matter/dynamic-profile/view/1908701","19-1908701")</f>
        <v>0</v>
      </c>
      <c r="B4522" t="s">
        <v>3667</v>
      </c>
      <c r="C4522" t="s">
        <v>8474</v>
      </c>
      <c r="D4522" t="s">
        <v>9926</v>
      </c>
      <c r="E4522" t="s">
        <v>10075</v>
      </c>
      <c r="F4522">
        <v>10452</v>
      </c>
      <c r="G4522" t="s">
        <v>10091</v>
      </c>
      <c r="H4522" t="s">
        <v>10108</v>
      </c>
      <c r="I4522" t="s">
        <v>10168</v>
      </c>
      <c r="J4522" t="s">
        <v>10214</v>
      </c>
      <c r="K4522" t="s">
        <v>10217</v>
      </c>
      <c r="M4522" t="s">
        <v>10537</v>
      </c>
      <c r="N4522" t="s">
        <v>10673</v>
      </c>
      <c r="P4522" t="s">
        <v>10753</v>
      </c>
      <c r="Q4522" t="s">
        <v>10763</v>
      </c>
      <c r="R4522" t="s">
        <v>10824</v>
      </c>
      <c r="T4522">
        <v>0</v>
      </c>
      <c r="U4522">
        <v>0</v>
      </c>
      <c r="V4522">
        <v>24</v>
      </c>
      <c r="W4522">
        <v>1</v>
      </c>
      <c r="X4522">
        <v>0</v>
      </c>
      <c r="Z4522">
        <v>0</v>
      </c>
      <c r="AA4522">
        <v>40.83584</v>
      </c>
      <c r="AB4522">
        <v>-73.926958</v>
      </c>
      <c r="AD4522" t="s">
        <v>10840</v>
      </c>
      <c r="AF4522" t="s">
        <v>10843</v>
      </c>
      <c r="AG4522" t="s">
        <v>10859</v>
      </c>
      <c r="AH4522" t="s">
        <v>10871</v>
      </c>
      <c r="AI4522">
        <v>234</v>
      </c>
      <c r="AJ4522" t="s">
        <v>10214</v>
      </c>
      <c r="AL4522">
        <v>0.86</v>
      </c>
      <c r="AM4522" t="s">
        <v>10884</v>
      </c>
      <c r="AN4522" t="s">
        <v>10929</v>
      </c>
      <c r="AO4522" t="s">
        <v>11013</v>
      </c>
      <c r="AP4522" t="s">
        <v>11055</v>
      </c>
      <c r="AR4522" t="s">
        <v>11267</v>
      </c>
      <c r="AS4522" t="s">
        <v>9926</v>
      </c>
      <c r="AT4522" t="s">
        <v>11642</v>
      </c>
      <c r="AX4522" t="s">
        <v>10838</v>
      </c>
      <c r="BA4522" t="s">
        <v>11742</v>
      </c>
      <c r="BB4522">
        <v>0</v>
      </c>
      <c r="BC4522">
        <v>0</v>
      </c>
      <c r="BD4522">
        <v>0</v>
      </c>
      <c r="BE4522">
        <v>0</v>
      </c>
      <c r="BF4522">
        <v>7</v>
      </c>
      <c r="BG4522">
        <v>0</v>
      </c>
    </row>
    <row r="4523" spans="1:59">
      <c r="A4523" s="1">
        <f>HYPERLINK("https://lsnyc.legalserver.org/matter/dynamic-profile/view/1908702","19-1908702")</f>
        <v>0</v>
      </c>
      <c r="B4523" t="s">
        <v>3019</v>
      </c>
      <c r="C4523" t="s">
        <v>7810</v>
      </c>
      <c r="D4523" t="s">
        <v>9929</v>
      </c>
      <c r="E4523" t="s">
        <v>10075</v>
      </c>
      <c r="F4523">
        <v>10302</v>
      </c>
      <c r="G4523" t="s">
        <v>10088</v>
      </c>
      <c r="H4523" t="s">
        <v>10143</v>
      </c>
      <c r="I4523" t="s">
        <v>10168</v>
      </c>
      <c r="J4523" t="s">
        <v>10208</v>
      </c>
      <c r="K4523" t="s">
        <v>10217</v>
      </c>
      <c r="M4523" t="s">
        <v>10542</v>
      </c>
      <c r="N4523" t="s">
        <v>10729</v>
      </c>
      <c r="P4523" t="s">
        <v>10754</v>
      </c>
      <c r="Q4523" t="s">
        <v>10777</v>
      </c>
      <c r="R4523" t="s">
        <v>10821</v>
      </c>
      <c r="T4523">
        <v>0</v>
      </c>
      <c r="U4523">
        <v>0</v>
      </c>
      <c r="V4523">
        <v>32</v>
      </c>
      <c r="W4523">
        <v>1</v>
      </c>
      <c r="X4523">
        <v>0</v>
      </c>
      <c r="Z4523">
        <v>0</v>
      </c>
      <c r="AA4523">
        <v>40.64026</v>
      </c>
      <c r="AB4523">
        <v>-74.132451</v>
      </c>
      <c r="AD4523" t="s">
        <v>10839</v>
      </c>
      <c r="AG4523" t="s">
        <v>10858</v>
      </c>
      <c r="AH4523" t="s">
        <v>10861</v>
      </c>
      <c r="AI4523">
        <v>285</v>
      </c>
      <c r="AJ4523" t="s">
        <v>10208</v>
      </c>
      <c r="AL4523">
        <v>32.1</v>
      </c>
      <c r="AM4523" t="s">
        <v>10883</v>
      </c>
      <c r="AN4523" t="s">
        <v>10913</v>
      </c>
      <c r="AO4523" t="s">
        <v>11006</v>
      </c>
      <c r="AP4523" t="s">
        <v>11051</v>
      </c>
      <c r="AQ4523" t="s">
        <v>11165</v>
      </c>
      <c r="AR4523" t="s">
        <v>11267</v>
      </c>
      <c r="AS4523" t="s">
        <v>11593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</row>
    <row r="4524" spans="1:59">
      <c r="A4524" s="1">
        <f>HYPERLINK("https://lsnyc.legalserver.org/matter/dynamic-profile/view/1908703","19-1908703")</f>
        <v>0</v>
      </c>
      <c r="B4524" t="s">
        <v>3668</v>
      </c>
      <c r="C4524" t="s">
        <v>8475</v>
      </c>
      <c r="D4524" t="s">
        <v>9932</v>
      </c>
      <c r="E4524" t="s">
        <v>10075</v>
      </c>
      <c r="F4524">
        <v>11368</v>
      </c>
      <c r="G4524" t="s">
        <v>10092</v>
      </c>
      <c r="H4524" t="s">
        <v>10108</v>
      </c>
      <c r="I4524" t="s">
        <v>10169</v>
      </c>
      <c r="J4524" t="s">
        <v>10212</v>
      </c>
      <c r="K4524" t="s">
        <v>10217</v>
      </c>
      <c r="M4524" t="s">
        <v>10523</v>
      </c>
      <c r="N4524" t="s">
        <v>10714</v>
      </c>
      <c r="P4524" t="s">
        <v>10753</v>
      </c>
      <c r="Q4524" t="s">
        <v>10763</v>
      </c>
      <c r="R4524" t="s">
        <v>10823</v>
      </c>
      <c r="T4524">
        <v>20800</v>
      </c>
      <c r="U4524">
        <v>1733.33</v>
      </c>
      <c r="V4524">
        <v>18</v>
      </c>
      <c r="W4524">
        <v>2</v>
      </c>
      <c r="X4524">
        <v>2</v>
      </c>
      <c r="Z4524">
        <v>80.78</v>
      </c>
      <c r="AA4524">
        <v>40.749221</v>
      </c>
      <c r="AB4524">
        <v>-73.864633</v>
      </c>
      <c r="AD4524" t="s">
        <v>10839</v>
      </c>
      <c r="AF4524" t="s">
        <v>10851</v>
      </c>
      <c r="AG4524" t="s">
        <v>10859</v>
      </c>
      <c r="AH4524" t="s">
        <v>10864</v>
      </c>
      <c r="AI4524">
        <v>237</v>
      </c>
      <c r="AJ4524" t="s">
        <v>10212</v>
      </c>
      <c r="AL4524">
        <v>4.24</v>
      </c>
      <c r="AM4524" t="s">
        <v>10885</v>
      </c>
      <c r="AN4524" t="s">
        <v>10949</v>
      </c>
      <c r="AO4524" t="s">
        <v>11014</v>
      </c>
      <c r="AP4524" t="s">
        <v>11068</v>
      </c>
      <c r="AQ4524" t="s">
        <v>11109</v>
      </c>
      <c r="AR4524" t="s">
        <v>11257</v>
      </c>
      <c r="AS4524" t="s">
        <v>11594</v>
      </c>
      <c r="AT4524" t="s">
        <v>11641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</row>
    <row r="4525" spans="1:59">
      <c r="A4525" s="1">
        <f>HYPERLINK("https://lsnyc.legalserver.org/matter/dynamic-profile/view/1908704","19-1908704")</f>
        <v>0</v>
      </c>
      <c r="B4525" t="s">
        <v>1158</v>
      </c>
      <c r="C4525" t="s">
        <v>8476</v>
      </c>
      <c r="D4525" t="s">
        <v>9926</v>
      </c>
      <c r="E4525" t="s">
        <v>10075</v>
      </c>
      <c r="F4525">
        <v>10460</v>
      </c>
      <c r="G4525" t="s">
        <v>10090</v>
      </c>
      <c r="H4525" t="s">
        <v>10108</v>
      </c>
      <c r="I4525" t="s">
        <v>10168</v>
      </c>
      <c r="J4525" t="s">
        <v>10210</v>
      </c>
      <c r="K4525" t="s">
        <v>10217</v>
      </c>
      <c r="M4525" t="s">
        <v>10401</v>
      </c>
      <c r="N4525" t="s">
        <v>10677</v>
      </c>
      <c r="P4525" t="s">
        <v>10757</v>
      </c>
      <c r="Q4525" t="s">
        <v>10789</v>
      </c>
      <c r="R4525" t="s">
        <v>10824</v>
      </c>
      <c r="T4525">
        <v>15648</v>
      </c>
      <c r="U4525">
        <v>1304</v>
      </c>
      <c r="V4525">
        <v>68</v>
      </c>
      <c r="W4525">
        <v>1</v>
      </c>
      <c r="X4525">
        <v>0</v>
      </c>
      <c r="Z4525">
        <v>125.28</v>
      </c>
      <c r="AA4525">
        <v>40.840522</v>
      </c>
      <c r="AB4525">
        <v>-73.86849599999999</v>
      </c>
      <c r="AD4525" t="s">
        <v>10839</v>
      </c>
      <c r="AG4525" t="s">
        <v>10858</v>
      </c>
      <c r="AH4525" t="s">
        <v>10861</v>
      </c>
      <c r="AI4525">
        <v>234</v>
      </c>
      <c r="AJ4525" t="s">
        <v>10214</v>
      </c>
      <c r="AL4525">
        <v>6.75</v>
      </c>
      <c r="AM4525" t="s">
        <v>10884</v>
      </c>
      <c r="AN4525" t="s">
        <v>10908</v>
      </c>
      <c r="AO4525" t="s">
        <v>11000</v>
      </c>
      <c r="AP4525" t="s">
        <v>11056</v>
      </c>
      <c r="AQ4525" t="s">
        <v>11145</v>
      </c>
      <c r="AR4525" t="s">
        <v>11268</v>
      </c>
      <c r="AS4525" t="s">
        <v>9926</v>
      </c>
      <c r="AT4525" t="s">
        <v>11641</v>
      </c>
      <c r="AX4525" t="s">
        <v>10838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</row>
    <row r="4526" spans="1:59">
      <c r="A4526" s="1">
        <f>HYPERLINK("https://lsnyc.legalserver.org/matter/dynamic-profile/view/1908705","19-1908705")</f>
        <v>0</v>
      </c>
      <c r="B4526" t="s">
        <v>3669</v>
      </c>
      <c r="C4526" t="s">
        <v>8477</v>
      </c>
      <c r="D4526" t="s">
        <v>9928</v>
      </c>
      <c r="E4526" t="s">
        <v>10075</v>
      </c>
      <c r="F4526">
        <v>11207</v>
      </c>
      <c r="G4526" t="s">
        <v>10093</v>
      </c>
      <c r="H4526" t="s">
        <v>10108</v>
      </c>
      <c r="I4526" t="s">
        <v>10168</v>
      </c>
      <c r="J4526" t="s">
        <v>10213</v>
      </c>
      <c r="K4526" t="s">
        <v>10217</v>
      </c>
      <c r="M4526" t="s">
        <v>10280</v>
      </c>
      <c r="N4526" t="s">
        <v>10656</v>
      </c>
      <c r="P4526" t="s">
        <v>10751</v>
      </c>
      <c r="Q4526" t="s">
        <v>10780</v>
      </c>
      <c r="R4526" t="s">
        <v>10822</v>
      </c>
      <c r="T4526">
        <v>18504</v>
      </c>
      <c r="U4526">
        <v>1542</v>
      </c>
      <c r="V4526">
        <v>39</v>
      </c>
      <c r="W4526">
        <v>1</v>
      </c>
      <c r="X4526">
        <v>1</v>
      </c>
      <c r="Z4526">
        <v>109.43</v>
      </c>
      <c r="AA4526">
        <v>0</v>
      </c>
      <c r="AB4526">
        <v>0</v>
      </c>
      <c r="AD4526" t="s">
        <v>10839</v>
      </c>
      <c r="AG4526" t="s">
        <v>10858</v>
      </c>
      <c r="AH4526" t="s">
        <v>10861</v>
      </c>
      <c r="AI4526">
        <v>234</v>
      </c>
      <c r="AJ4526" t="s">
        <v>10214</v>
      </c>
      <c r="AL4526">
        <v>2.6</v>
      </c>
      <c r="AR4526" t="s">
        <v>11263</v>
      </c>
      <c r="AS4526" t="s">
        <v>11595</v>
      </c>
      <c r="AT4526" t="s">
        <v>11641</v>
      </c>
      <c r="AX4526" t="s">
        <v>10838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</row>
    <row r="4527" spans="1:59">
      <c r="A4527" s="1">
        <f>HYPERLINK("https://lsnyc.legalserver.org/matter/dynamic-profile/view/1908706","19-1908706")</f>
        <v>0</v>
      </c>
      <c r="B4527" t="s">
        <v>700</v>
      </c>
      <c r="C4527" t="s">
        <v>8478</v>
      </c>
      <c r="D4527" t="s">
        <v>9925</v>
      </c>
      <c r="E4527" t="s">
        <v>10075</v>
      </c>
      <c r="F4527">
        <v>10034</v>
      </c>
      <c r="G4527" t="s">
        <v>10089</v>
      </c>
      <c r="H4527" t="s">
        <v>10108</v>
      </c>
      <c r="I4527" t="s">
        <v>10168</v>
      </c>
      <c r="J4527" t="s">
        <v>10209</v>
      </c>
      <c r="K4527" t="s">
        <v>10218</v>
      </c>
      <c r="L4527" t="s">
        <v>10221</v>
      </c>
      <c r="M4527" t="s">
        <v>10573</v>
      </c>
      <c r="N4527" t="s">
        <v>10650</v>
      </c>
      <c r="P4527" t="s">
        <v>10749</v>
      </c>
      <c r="Q4527" t="s">
        <v>10765</v>
      </c>
      <c r="R4527" t="s">
        <v>10823</v>
      </c>
      <c r="T4527">
        <v>26000</v>
      </c>
      <c r="U4527">
        <v>2166.67</v>
      </c>
      <c r="V4527">
        <v>33</v>
      </c>
      <c r="W4527">
        <v>1</v>
      </c>
      <c r="X4527">
        <v>0</v>
      </c>
      <c r="Y4527" t="s">
        <v>10829</v>
      </c>
      <c r="Z4527">
        <v>208.17</v>
      </c>
      <c r="AA4527">
        <v>40.868838</v>
      </c>
      <c r="AB4527">
        <v>-73.92388099999999</v>
      </c>
      <c r="AD4527" t="s">
        <v>10840</v>
      </c>
      <c r="AG4527" t="s">
        <v>10858</v>
      </c>
      <c r="AH4527" t="s">
        <v>10862</v>
      </c>
      <c r="AI4527">
        <v>236</v>
      </c>
      <c r="AJ4527" t="s">
        <v>10209</v>
      </c>
      <c r="AK4527" t="s">
        <v>10838</v>
      </c>
      <c r="AL4527">
        <v>2.1</v>
      </c>
      <c r="AM4527" t="s">
        <v>10887</v>
      </c>
      <c r="AN4527" t="s">
        <v>10937</v>
      </c>
      <c r="AO4527" t="s">
        <v>11019</v>
      </c>
      <c r="AP4527" t="s">
        <v>11074</v>
      </c>
      <c r="AR4527" t="s">
        <v>11276</v>
      </c>
      <c r="AS4527" t="s">
        <v>9925</v>
      </c>
      <c r="AT4527" t="s">
        <v>11642</v>
      </c>
      <c r="AX4527" t="s">
        <v>10838</v>
      </c>
      <c r="AY4527" t="s">
        <v>10829</v>
      </c>
      <c r="AZ4527" t="s">
        <v>11681</v>
      </c>
      <c r="BA4527" t="s">
        <v>11741</v>
      </c>
      <c r="BB4527">
        <v>0</v>
      </c>
      <c r="BC4527">
        <v>0</v>
      </c>
      <c r="BD4527">
        <v>0</v>
      </c>
      <c r="BE4527">
        <v>0</v>
      </c>
      <c r="BF4527">
        <v>1</v>
      </c>
      <c r="BG4527">
        <v>0</v>
      </c>
    </row>
    <row r="4528" spans="1:59">
      <c r="A4528" s="1">
        <f>HYPERLINK("https://lsnyc.legalserver.org/matter/dynamic-profile/view/1908707","19-1908707")</f>
        <v>0</v>
      </c>
      <c r="B4528" t="s">
        <v>3670</v>
      </c>
      <c r="C4528" t="s">
        <v>8479</v>
      </c>
      <c r="D4528" t="s">
        <v>9954</v>
      </c>
      <c r="E4528" t="s">
        <v>10075</v>
      </c>
      <c r="F4528">
        <v>11372</v>
      </c>
      <c r="G4528" t="s">
        <v>10091</v>
      </c>
      <c r="H4528" t="s">
        <v>10108</v>
      </c>
      <c r="I4528" t="s">
        <v>10169</v>
      </c>
      <c r="J4528" t="s">
        <v>10211</v>
      </c>
      <c r="K4528" t="s">
        <v>10217</v>
      </c>
      <c r="M4528" t="s">
        <v>10231</v>
      </c>
      <c r="N4528" t="s">
        <v>10647</v>
      </c>
      <c r="P4528" t="s">
        <v>10752</v>
      </c>
      <c r="Q4528" t="s">
        <v>10762</v>
      </c>
      <c r="R4528" t="s">
        <v>10821</v>
      </c>
      <c r="T4528">
        <v>49000</v>
      </c>
      <c r="U4528">
        <v>4083.33</v>
      </c>
      <c r="V4528">
        <v>56</v>
      </c>
      <c r="W4528">
        <v>4</v>
      </c>
      <c r="X4528">
        <v>0</v>
      </c>
      <c r="Z4528">
        <v>190.29</v>
      </c>
      <c r="AA4528">
        <v>40.748716</v>
      </c>
      <c r="AB4528">
        <v>-73.87870700000001</v>
      </c>
      <c r="AD4528" t="s">
        <v>10840</v>
      </c>
      <c r="AG4528" t="s">
        <v>10858</v>
      </c>
      <c r="AH4528" t="s">
        <v>10861</v>
      </c>
      <c r="AI4528">
        <v>234</v>
      </c>
      <c r="AJ4528" t="s">
        <v>10214</v>
      </c>
      <c r="AL4528">
        <v>0.95</v>
      </c>
      <c r="AM4528" t="s">
        <v>10885</v>
      </c>
      <c r="AN4528" t="s">
        <v>10909</v>
      </c>
      <c r="AO4528" t="s">
        <v>11014</v>
      </c>
      <c r="AP4528" t="s">
        <v>11068</v>
      </c>
      <c r="AR4528" t="s">
        <v>11257</v>
      </c>
      <c r="AS4528" t="s">
        <v>11594</v>
      </c>
      <c r="AT4528" t="s">
        <v>11642</v>
      </c>
      <c r="AX4528" t="s">
        <v>10838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</row>
    <row r="4529" spans="1:59">
      <c r="A4529" s="1">
        <f>HYPERLINK("https://lsnyc.legalserver.org/matter/dynamic-profile/view/1908708","19-1908708")</f>
        <v>0</v>
      </c>
      <c r="B4529" t="s">
        <v>3096</v>
      </c>
      <c r="C4529" t="s">
        <v>7885</v>
      </c>
      <c r="D4529" t="s">
        <v>9926</v>
      </c>
      <c r="E4529" t="s">
        <v>10075</v>
      </c>
      <c r="F4529">
        <v>10460</v>
      </c>
      <c r="G4529" t="s">
        <v>10090</v>
      </c>
      <c r="H4529" t="s">
        <v>10108</v>
      </c>
      <c r="I4529" t="s">
        <v>10169</v>
      </c>
      <c r="J4529" t="s">
        <v>10210</v>
      </c>
      <c r="K4529" t="s">
        <v>10218</v>
      </c>
      <c r="L4529" t="s">
        <v>10155</v>
      </c>
      <c r="M4529" t="s">
        <v>10596</v>
      </c>
      <c r="N4529" t="s">
        <v>10677</v>
      </c>
      <c r="P4529" t="s">
        <v>10751</v>
      </c>
      <c r="Q4529" t="s">
        <v>10786</v>
      </c>
      <c r="R4529" t="s">
        <v>10823</v>
      </c>
      <c r="T4529">
        <v>9000</v>
      </c>
      <c r="U4529">
        <v>750</v>
      </c>
      <c r="V4529">
        <v>75</v>
      </c>
      <c r="W4529">
        <v>2</v>
      </c>
      <c r="X4529">
        <v>0</v>
      </c>
      <c r="Y4529" t="s">
        <v>10830</v>
      </c>
      <c r="Z4529">
        <v>53.22</v>
      </c>
      <c r="AA4529">
        <v>40.836324</v>
      </c>
      <c r="AB4529">
        <v>-73.865476</v>
      </c>
      <c r="AD4529" t="s">
        <v>10840</v>
      </c>
      <c r="AF4529" t="s">
        <v>10843</v>
      </c>
      <c r="AG4529" t="s">
        <v>10859</v>
      </c>
      <c r="AH4529" t="s">
        <v>10869</v>
      </c>
      <c r="AI4529">
        <v>230</v>
      </c>
      <c r="AJ4529" t="s">
        <v>10210</v>
      </c>
      <c r="AK4529" t="s">
        <v>10838</v>
      </c>
      <c r="AL4529">
        <v>0.75</v>
      </c>
      <c r="AR4529" t="s">
        <v>11268</v>
      </c>
      <c r="AS4529" t="s">
        <v>9926</v>
      </c>
      <c r="AY4529" t="s">
        <v>10830</v>
      </c>
      <c r="AZ4529" t="s">
        <v>11693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</row>
    <row r="4530" spans="1:59">
      <c r="A4530" s="1">
        <f>HYPERLINK("https://lsnyc.legalserver.org/matter/dynamic-profile/view/1908709","19-1908709")</f>
        <v>0</v>
      </c>
      <c r="B4530" t="s">
        <v>113</v>
      </c>
      <c r="C4530" t="s">
        <v>8480</v>
      </c>
      <c r="D4530" t="s">
        <v>9928</v>
      </c>
      <c r="E4530" t="s">
        <v>10075</v>
      </c>
      <c r="F4530">
        <v>11233</v>
      </c>
      <c r="G4530" t="s">
        <v>10093</v>
      </c>
      <c r="H4530" t="s">
        <v>10108</v>
      </c>
      <c r="I4530" t="s">
        <v>10168</v>
      </c>
      <c r="J4530" t="s">
        <v>10213</v>
      </c>
      <c r="K4530" t="s">
        <v>10217</v>
      </c>
      <c r="M4530" t="s">
        <v>10435</v>
      </c>
      <c r="N4530" t="s">
        <v>10665</v>
      </c>
      <c r="P4530" t="s">
        <v>10750</v>
      </c>
      <c r="Q4530" t="s">
        <v>10760</v>
      </c>
      <c r="R4530" t="s">
        <v>10824</v>
      </c>
      <c r="T4530">
        <v>20000</v>
      </c>
      <c r="U4530">
        <v>1666.67</v>
      </c>
      <c r="V4530">
        <v>32</v>
      </c>
      <c r="W4530">
        <v>1</v>
      </c>
      <c r="X4530">
        <v>0</v>
      </c>
      <c r="Z4530">
        <v>160.13</v>
      </c>
      <c r="AA4530">
        <v>40.676879</v>
      </c>
      <c r="AB4530">
        <v>-73.90725399999999</v>
      </c>
      <c r="AD4530" t="s">
        <v>10840</v>
      </c>
      <c r="AG4530" t="s">
        <v>10858</v>
      </c>
      <c r="AH4530" t="s">
        <v>10871</v>
      </c>
      <c r="AI4530">
        <v>234</v>
      </c>
      <c r="AJ4530" t="s">
        <v>10214</v>
      </c>
      <c r="AL4530">
        <v>2.75</v>
      </c>
      <c r="AM4530" t="s">
        <v>10889</v>
      </c>
      <c r="AN4530" t="s">
        <v>10922</v>
      </c>
      <c r="AO4530" t="s">
        <v>11012</v>
      </c>
      <c r="AP4530" t="s">
        <v>11058</v>
      </c>
      <c r="AR4530" t="s">
        <v>11276</v>
      </c>
      <c r="AS4530" t="s">
        <v>11595</v>
      </c>
      <c r="AT4530" t="s">
        <v>11642</v>
      </c>
      <c r="AX4530" t="s">
        <v>10837</v>
      </c>
      <c r="BA4530" t="s">
        <v>11742</v>
      </c>
      <c r="BB4530">
        <v>0</v>
      </c>
      <c r="BC4530">
        <v>0</v>
      </c>
      <c r="BD4530">
        <v>0</v>
      </c>
      <c r="BE4530">
        <v>0</v>
      </c>
      <c r="BF4530">
        <v>7</v>
      </c>
      <c r="BG4530">
        <v>0</v>
      </c>
    </row>
    <row r="4531" spans="1:59">
      <c r="A4531" s="1">
        <f>HYPERLINK("https://lsnyc.legalserver.org/matter/dynamic-profile/view/1908710","19-1908710")</f>
        <v>0</v>
      </c>
      <c r="B4531" t="s">
        <v>2773</v>
      </c>
      <c r="C4531" t="s">
        <v>8481</v>
      </c>
      <c r="D4531" t="s">
        <v>9928</v>
      </c>
      <c r="E4531" t="s">
        <v>10075</v>
      </c>
      <c r="F4531">
        <v>11229</v>
      </c>
      <c r="G4531" t="s">
        <v>10093</v>
      </c>
      <c r="H4531" t="s">
        <v>10108</v>
      </c>
      <c r="I4531" t="s">
        <v>10168</v>
      </c>
      <c r="J4531" t="s">
        <v>10213</v>
      </c>
      <c r="K4531" t="s">
        <v>10217</v>
      </c>
      <c r="M4531" t="s">
        <v>10437</v>
      </c>
      <c r="N4531" t="s">
        <v>10656</v>
      </c>
      <c r="P4531" t="s">
        <v>10751</v>
      </c>
      <c r="Q4531" t="s">
        <v>10768</v>
      </c>
      <c r="R4531" t="s">
        <v>10824</v>
      </c>
      <c r="T4531">
        <v>39600</v>
      </c>
      <c r="U4531">
        <v>3300</v>
      </c>
      <c r="V4531">
        <v>34</v>
      </c>
      <c r="W4531">
        <v>1</v>
      </c>
      <c r="X4531">
        <v>2</v>
      </c>
      <c r="Z4531">
        <v>185.65</v>
      </c>
      <c r="AA4531">
        <v>40.595832</v>
      </c>
      <c r="AB4531">
        <v>-73.93560100000001</v>
      </c>
      <c r="AC4531" t="s">
        <v>10837</v>
      </c>
      <c r="AD4531" t="s">
        <v>10840</v>
      </c>
      <c r="AG4531" t="s">
        <v>10858</v>
      </c>
      <c r="AH4531" t="s">
        <v>10871</v>
      </c>
      <c r="AI4531">
        <v>234</v>
      </c>
      <c r="AJ4531" t="s">
        <v>10214</v>
      </c>
      <c r="AL4531">
        <v>6.75</v>
      </c>
      <c r="AM4531" t="s">
        <v>10888</v>
      </c>
      <c r="AN4531" t="s">
        <v>10957</v>
      </c>
      <c r="AO4531" t="s">
        <v>11012</v>
      </c>
      <c r="AP4531" t="s">
        <v>11072</v>
      </c>
      <c r="AR4531" t="s">
        <v>11302</v>
      </c>
      <c r="AS4531" t="s">
        <v>11595</v>
      </c>
      <c r="AT4531" t="s">
        <v>11642</v>
      </c>
      <c r="AX4531" t="s">
        <v>10838</v>
      </c>
      <c r="BA4531" t="s">
        <v>11740</v>
      </c>
      <c r="BB4531">
        <v>0</v>
      </c>
      <c r="BC4531">
        <v>0</v>
      </c>
      <c r="BD4531">
        <v>0</v>
      </c>
      <c r="BE4531">
        <v>0</v>
      </c>
      <c r="BF4531">
        <v>2</v>
      </c>
      <c r="BG4531">
        <v>0</v>
      </c>
    </row>
    <row r="4532" spans="1:59">
      <c r="A4532" s="1">
        <f>HYPERLINK("https://lsnyc.legalserver.org/matter/dynamic-profile/view/1908712","19-1908712")</f>
        <v>0</v>
      </c>
      <c r="B4532" t="s">
        <v>3671</v>
      </c>
      <c r="C4532" t="s">
        <v>8482</v>
      </c>
      <c r="D4532" t="s">
        <v>9929</v>
      </c>
      <c r="E4532" t="s">
        <v>10075</v>
      </c>
      <c r="F4532">
        <v>10304</v>
      </c>
      <c r="G4532" t="s">
        <v>10088</v>
      </c>
      <c r="H4532" t="s">
        <v>10159</v>
      </c>
      <c r="I4532" t="s">
        <v>10169</v>
      </c>
      <c r="J4532" t="s">
        <v>10208</v>
      </c>
      <c r="K4532" t="s">
        <v>10217</v>
      </c>
      <c r="M4532" t="s">
        <v>10605</v>
      </c>
      <c r="N4532" t="s">
        <v>10650</v>
      </c>
      <c r="P4532" t="s">
        <v>10749</v>
      </c>
      <c r="Q4532" t="s">
        <v>10765</v>
      </c>
      <c r="R4532" t="s">
        <v>10821</v>
      </c>
      <c r="T4532">
        <v>29640</v>
      </c>
      <c r="U4532">
        <v>2470</v>
      </c>
      <c r="V4532">
        <v>53</v>
      </c>
      <c r="W4532">
        <v>1</v>
      </c>
      <c r="X4532">
        <v>1</v>
      </c>
      <c r="Z4532">
        <v>175.28</v>
      </c>
      <c r="AA4532">
        <v>40.619056</v>
      </c>
      <c r="AB4532">
        <v>-74.0823</v>
      </c>
      <c r="AD4532" t="s">
        <v>10839</v>
      </c>
      <c r="AF4532" t="s">
        <v>10844</v>
      </c>
      <c r="AG4532" t="s">
        <v>10859</v>
      </c>
      <c r="AH4532" t="s">
        <v>10862</v>
      </c>
      <c r="AI4532">
        <v>285</v>
      </c>
      <c r="AJ4532" t="s">
        <v>10208</v>
      </c>
      <c r="AL4532">
        <v>2</v>
      </c>
      <c r="AM4532" t="s">
        <v>10883</v>
      </c>
      <c r="AN4532" t="s">
        <v>10913</v>
      </c>
      <c r="AO4532" t="s">
        <v>11006</v>
      </c>
      <c r="AP4532" t="s">
        <v>11051</v>
      </c>
      <c r="AR4532" t="s">
        <v>11257</v>
      </c>
      <c r="AS4532" t="s">
        <v>11593</v>
      </c>
      <c r="BA4532" t="s">
        <v>11737</v>
      </c>
      <c r="BB4532">
        <v>0</v>
      </c>
      <c r="BC4532">
        <v>0</v>
      </c>
      <c r="BD4532">
        <v>0</v>
      </c>
      <c r="BE4532">
        <v>0</v>
      </c>
      <c r="BF4532">
        <v>3</v>
      </c>
      <c r="BG4532">
        <v>0</v>
      </c>
    </row>
    <row r="4533" spans="1:59">
      <c r="A4533" s="1">
        <f>HYPERLINK("https://lsnyc.legalserver.org/matter/dynamic-profile/view/1908713","19-1908713")</f>
        <v>0</v>
      </c>
      <c r="B4533" t="s">
        <v>3099</v>
      </c>
      <c r="C4533" t="s">
        <v>8483</v>
      </c>
      <c r="D4533" t="s">
        <v>9927</v>
      </c>
      <c r="E4533" t="s">
        <v>10075</v>
      </c>
      <c r="F4533">
        <v>11377</v>
      </c>
      <c r="G4533" t="s">
        <v>10092</v>
      </c>
      <c r="H4533" t="s">
        <v>10108</v>
      </c>
      <c r="I4533" t="s">
        <v>10169</v>
      </c>
      <c r="J4533" t="s">
        <v>10212</v>
      </c>
      <c r="K4533" t="s">
        <v>10217</v>
      </c>
      <c r="M4533" t="s">
        <v>10329</v>
      </c>
      <c r="N4533" t="s">
        <v>10711</v>
      </c>
      <c r="P4533" t="s">
        <v>10749</v>
      </c>
      <c r="Q4533" t="s">
        <v>10765</v>
      </c>
      <c r="R4533" t="s">
        <v>10821</v>
      </c>
      <c r="T4533">
        <v>7800</v>
      </c>
      <c r="U4533">
        <v>650</v>
      </c>
      <c r="V4533">
        <v>37</v>
      </c>
      <c r="W4533">
        <v>1</v>
      </c>
      <c r="X4533">
        <v>3</v>
      </c>
      <c r="Z4533">
        <v>30.29</v>
      </c>
      <c r="AA4533">
        <v>40.744725</v>
      </c>
      <c r="AB4533">
        <v>-73.911377</v>
      </c>
      <c r="AD4533" t="s">
        <v>10839</v>
      </c>
      <c r="AF4533" t="s">
        <v>10842</v>
      </c>
      <c r="AG4533" t="s">
        <v>10859</v>
      </c>
      <c r="AH4533" t="s">
        <v>10862</v>
      </c>
      <c r="AI4533">
        <v>237</v>
      </c>
      <c r="AJ4533" t="s">
        <v>10212</v>
      </c>
      <c r="AL4533">
        <v>1</v>
      </c>
      <c r="AM4533" t="s">
        <v>10885</v>
      </c>
      <c r="AN4533" t="s">
        <v>10935</v>
      </c>
      <c r="AO4533" t="s">
        <v>11003</v>
      </c>
      <c r="AP4533" t="s">
        <v>11047</v>
      </c>
      <c r="AR4533" t="s">
        <v>11257</v>
      </c>
      <c r="AS4533" t="s">
        <v>11594</v>
      </c>
      <c r="BA4533" t="s">
        <v>11742</v>
      </c>
      <c r="BB4533">
        <v>0</v>
      </c>
      <c r="BC4533">
        <v>0</v>
      </c>
      <c r="BD4533">
        <v>0</v>
      </c>
      <c r="BE4533">
        <v>0</v>
      </c>
      <c r="BF4533">
        <v>7</v>
      </c>
      <c r="BG4533">
        <v>0</v>
      </c>
    </row>
    <row r="4534" spans="1:59">
      <c r="A4534" s="1">
        <f>HYPERLINK("https://lsnyc.legalserver.org/matter/dynamic-profile/view/1908714","19-1908714")</f>
        <v>0</v>
      </c>
      <c r="B4534" t="s">
        <v>3672</v>
      </c>
      <c r="C4534" t="s">
        <v>8484</v>
      </c>
      <c r="D4534" t="s">
        <v>9928</v>
      </c>
      <c r="E4534" t="s">
        <v>10075</v>
      </c>
      <c r="F4534">
        <v>11221</v>
      </c>
      <c r="G4534" t="s">
        <v>10093</v>
      </c>
      <c r="H4534" t="s">
        <v>10108</v>
      </c>
      <c r="I4534" t="s">
        <v>10168</v>
      </c>
      <c r="J4534" t="s">
        <v>10213</v>
      </c>
      <c r="K4534" t="s">
        <v>10217</v>
      </c>
      <c r="M4534" t="s">
        <v>10247</v>
      </c>
      <c r="N4534" t="s">
        <v>10657</v>
      </c>
      <c r="P4534" t="s">
        <v>10754</v>
      </c>
      <c r="Q4534" t="s">
        <v>10775</v>
      </c>
      <c r="R4534" t="s">
        <v>10824</v>
      </c>
      <c r="T4534">
        <v>9996</v>
      </c>
      <c r="U4534">
        <v>833</v>
      </c>
      <c r="V4534">
        <v>60</v>
      </c>
      <c r="W4534">
        <v>1</v>
      </c>
      <c r="X4534">
        <v>0</v>
      </c>
      <c r="Z4534">
        <v>80.03</v>
      </c>
      <c r="AA4534">
        <v>40.687237</v>
      </c>
      <c r="AB4534">
        <v>-73.94342899999999</v>
      </c>
      <c r="AD4534" t="s">
        <v>10839</v>
      </c>
      <c r="AG4534" t="s">
        <v>10858</v>
      </c>
      <c r="AH4534" t="s">
        <v>10861</v>
      </c>
      <c r="AI4534">
        <v>239</v>
      </c>
      <c r="AJ4534" t="s">
        <v>10213</v>
      </c>
      <c r="AL4534">
        <v>0.3</v>
      </c>
      <c r="AM4534" t="s">
        <v>10889</v>
      </c>
      <c r="AN4534" t="s">
        <v>10914</v>
      </c>
      <c r="AO4534" t="s">
        <v>11007</v>
      </c>
      <c r="AP4534" t="s">
        <v>11052</v>
      </c>
      <c r="AQ4534" t="s">
        <v>11187</v>
      </c>
      <c r="AR4534" t="s">
        <v>11331</v>
      </c>
      <c r="AS4534" t="s">
        <v>11595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</row>
    <row r="4535" spans="1:59">
      <c r="A4535" s="1">
        <f>HYPERLINK("https://lsnyc.legalserver.org/matter/dynamic-profile/view/1908715","19-1908715")</f>
        <v>0</v>
      </c>
      <c r="B4535" t="s">
        <v>1757</v>
      </c>
      <c r="C4535" t="s">
        <v>8485</v>
      </c>
      <c r="D4535" t="s">
        <v>9925</v>
      </c>
      <c r="E4535" t="s">
        <v>10075</v>
      </c>
      <c r="F4535">
        <v>10040</v>
      </c>
      <c r="G4535" t="s">
        <v>10089</v>
      </c>
      <c r="H4535" t="s">
        <v>10108</v>
      </c>
      <c r="I4535" t="s">
        <v>10168</v>
      </c>
      <c r="J4535" t="s">
        <v>10209</v>
      </c>
      <c r="K4535" t="s">
        <v>10218</v>
      </c>
      <c r="L4535" t="s">
        <v>10100</v>
      </c>
      <c r="M4535" t="s">
        <v>10573</v>
      </c>
      <c r="N4535" t="s">
        <v>10650</v>
      </c>
      <c r="P4535" t="s">
        <v>10749</v>
      </c>
      <c r="Q4535" t="s">
        <v>10765</v>
      </c>
      <c r="R4535" t="s">
        <v>10821</v>
      </c>
      <c r="T4535">
        <v>50000</v>
      </c>
      <c r="U4535">
        <v>4166.67</v>
      </c>
      <c r="V4535">
        <v>54</v>
      </c>
      <c r="W4535">
        <v>1</v>
      </c>
      <c r="X4535">
        <v>0</v>
      </c>
      <c r="Y4535" t="s">
        <v>10829</v>
      </c>
      <c r="Z4535">
        <v>400.32</v>
      </c>
      <c r="AA4535">
        <v>40.853758</v>
      </c>
      <c r="AB4535">
        <v>-73.928393</v>
      </c>
      <c r="AD4535" t="s">
        <v>10839</v>
      </c>
      <c r="AG4535" t="s">
        <v>10858</v>
      </c>
      <c r="AH4535" t="s">
        <v>10862</v>
      </c>
      <c r="AI4535">
        <v>236</v>
      </c>
      <c r="AJ4535" t="s">
        <v>10209</v>
      </c>
      <c r="AK4535" t="s">
        <v>10838</v>
      </c>
      <c r="AL4535">
        <v>2.1</v>
      </c>
      <c r="AM4535" t="s">
        <v>10887</v>
      </c>
      <c r="AN4535" t="s">
        <v>10937</v>
      </c>
      <c r="AO4535" t="s">
        <v>11019</v>
      </c>
      <c r="AP4535" t="s">
        <v>11074</v>
      </c>
      <c r="AR4535" t="s">
        <v>11257</v>
      </c>
      <c r="AS4535" t="s">
        <v>9925</v>
      </c>
      <c r="AT4535" t="s">
        <v>11641</v>
      </c>
      <c r="AX4535" t="s">
        <v>10838</v>
      </c>
      <c r="AY4535" t="s">
        <v>10829</v>
      </c>
      <c r="AZ4535" t="s">
        <v>11681</v>
      </c>
      <c r="BA4535" t="s">
        <v>11741</v>
      </c>
      <c r="BB4535">
        <v>0</v>
      </c>
      <c r="BC4535">
        <v>0</v>
      </c>
      <c r="BD4535">
        <v>0</v>
      </c>
      <c r="BE4535">
        <v>0</v>
      </c>
      <c r="BF4535">
        <v>1</v>
      </c>
      <c r="BG4535">
        <v>0</v>
      </c>
    </row>
    <row r="4536" spans="1:59">
      <c r="A4536" s="1">
        <f>HYPERLINK("https://lsnyc.legalserver.org/matter/dynamic-profile/view/1908716","19-1908716")</f>
        <v>0</v>
      </c>
      <c r="B4536" t="s">
        <v>671</v>
      </c>
      <c r="C4536" t="s">
        <v>8486</v>
      </c>
      <c r="D4536" t="s">
        <v>9929</v>
      </c>
      <c r="E4536" t="s">
        <v>10075</v>
      </c>
      <c r="F4536">
        <v>10310</v>
      </c>
      <c r="G4536" t="s">
        <v>10088</v>
      </c>
      <c r="H4536" t="s">
        <v>10108</v>
      </c>
      <c r="I4536" t="s">
        <v>10168</v>
      </c>
      <c r="J4536" t="s">
        <v>10208</v>
      </c>
      <c r="K4536" t="s">
        <v>10217</v>
      </c>
      <c r="M4536" t="s">
        <v>10240</v>
      </c>
      <c r="N4536" t="s">
        <v>10671</v>
      </c>
      <c r="P4536" t="s">
        <v>10749</v>
      </c>
      <c r="Q4536" t="s">
        <v>10765</v>
      </c>
      <c r="R4536" t="s">
        <v>10822</v>
      </c>
      <c r="T4536">
        <v>0</v>
      </c>
      <c r="U4536">
        <v>0</v>
      </c>
      <c r="V4536">
        <v>44</v>
      </c>
      <c r="W4536">
        <v>1</v>
      </c>
      <c r="X4536">
        <v>0</v>
      </c>
      <c r="Z4536">
        <v>0</v>
      </c>
      <c r="AA4536">
        <v>40.631119</v>
      </c>
      <c r="AB4536">
        <v>-74.11518599999999</v>
      </c>
      <c r="AD4536" t="s">
        <v>10839</v>
      </c>
      <c r="AF4536" t="s">
        <v>10843</v>
      </c>
      <c r="AG4536" t="s">
        <v>10859</v>
      </c>
      <c r="AH4536" t="s">
        <v>10861</v>
      </c>
      <c r="AI4536">
        <v>234</v>
      </c>
      <c r="AJ4536" t="s">
        <v>10214</v>
      </c>
      <c r="AL4536">
        <v>2.4</v>
      </c>
      <c r="AM4536" t="s">
        <v>10883</v>
      </c>
      <c r="AN4536" t="s">
        <v>10913</v>
      </c>
      <c r="AO4536" t="s">
        <v>11006</v>
      </c>
      <c r="AP4536" t="s">
        <v>11051</v>
      </c>
      <c r="AR4536" t="s">
        <v>11267</v>
      </c>
      <c r="AS4536" t="s">
        <v>11593</v>
      </c>
      <c r="AT4536" t="s">
        <v>11641</v>
      </c>
      <c r="AX4536" t="s">
        <v>11678</v>
      </c>
      <c r="BA4536" t="s">
        <v>11741</v>
      </c>
      <c r="BB4536">
        <v>0</v>
      </c>
      <c r="BC4536">
        <v>0</v>
      </c>
      <c r="BD4536">
        <v>0</v>
      </c>
      <c r="BE4536">
        <v>0</v>
      </c>
      <c r="BF4536">
        <v>1</v>
      </c>
      <c r="BG4536">
        <v>0</v>
      </c>
    </row>
    <row r="4537" spans="1:59">
      <c r="A4537" s="1">
        <f>HYPERLINK("https://lsnyc.legalserver.org/matter/dynamic-profile/view/1908717","19-1908717")</f>
        <v>0</v>
      </c>
      <c r="B4537" t="s">
        <v>3673</v>
      </c>
      <c r="C4537" t="s">
        <v>8487</v>
      </c>
      <c r="D4537" t="s">
        <v>9926</v>
      </c>
      <c r="E4537" t="s">
        <v>10075</v>
      </c>
      <c r="F4537">
        <v>10455</v>
      </c>
      <c r="G4537" t="s">
        <v>10091</v>
      </c>
      <c r="H4537" t="s">
        <v>10108</v>
      </c>
      <c r="I4537" t="s">
        <v>10168</v>
      </c>
      <c r="J4537" t="s">
        <v>10214</v>
      </c>
      <c r="K4537" t="s">
        <v>10217</v>
      </c>
      <c r="M4537" t="s">
        <v>10286</v>
      </c>
      <c r="N4537" t="s">
        <v>10671</v>
      </c>
      <c r="P4537" t="s">
        <v>10751</v>
      </c>
      <c r="Q4537" t="s">
        <v>10761</v>
      </c>
      <c r="R4537" t="s">
        <v>10823</v>
      </c>
      <c r="T4537">
        <v>12300</v>
      </c>
      <c r="U4537">
        <v>1025</v>
      </c>
      <c r="V4537">
        <v>48</v>
      </c>
      <c r="W4537">
        <v>3</v>
      </c>
      <c r="X4537">
        <v>0</v>
      </c>
      <c r="Z4537">
        <v>57.67</v>
      </c>
      <c r="AA4537">
        <v>40.81566</v>
      </c>
      <c r="AB4537">
        <v>-73.897884</v>
      </c>
      <c r="AD4537" t="s">
        <v>10840</v>
      </c>
      <c r="AG4537" t="s">
        <v>10858</v>
      </c>
      <c r="AH4537" t="s">
        <v>10861</v>
      </c>
      <c r="AI4537">
        <v>234</v>
      </c>
      <c r="AJ4537" t="s">
        <v>10214</v>
      </c>
      <c r="AL4537">
        <v>2.15</v>
      </c>
      <c r="AM4537" t="s">
        <v>10884</v>
      </c>
      <c r="AN4537" t="s">
        <v>10968</v>
      </c>
      <c r="AO4537" t="s">
        <v>11001</v>
      </c>
      <c r="AP4537" t="s">
        <v>11066</v>
      </c>
      <c r="AR4537" t="s">
        <v>11547</v>
      </c>
      <c r="AS4537" t="s">
        <v>9926</v>
      </c>
      <c r="AT4537" t="s">
        <v>11642</v>
      </c>
      <c r="AX4537" t="s">
        <v>10838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</row>
    <row r="4538" spans="1:59">
      <c r="A4538" s="1">
        <f>HYPERLINK("https://lsnyc.legalserver.org/matter/dynamic-profile/view/1908718","19-1908718")</f>
        <v>0</v>
      </c>
      <c r="B4538" t="s">
        <v>3674</v>
      </c>
      <c r="C4538" t="s">
        <v>8488</v>
      </c>
      <c r="D4538" t="s">
        <v>9925</v>
      </c>
      <c r="E4538" t="s">
        <v>10075</v>
      </c>
      <c r="F4538">
        <v>10030</v>
      </c>
      <c r="G4538" t="s">
        <v>10093</v>
      </c>
      <c r="H4538" t="s">
        <v>10108</v>
      </c>
      <c r="I4538" t="s">
        <v>10168</v>
      </c>
      <c r="J4538" t="s">
        <v>10213</v>
      </c>
      <c r="K4538" t="s">
        <v>10217</v>
      </c>
      <c r="M4538" t="s">
        <v>10358</v>
      </c>
      <c r="N4538" t="s">
        <v>10646</v>
      </c>
      <c r="P4538" t="s">
        <v>10752</v>
      </c>
      <c r="Q4538" t="s">
        <v>10783</v>
      </c>
      <c r="R4538" t="s">
        <v>10824</v>
      </c>
      <c r="T4538">
        <v>28600</v>
      </c>
      <c r="U4538">
        <v>2383.33</v>
      </c>
      <c r="V4538">
        <v>56</v>
      </c>
      <c r="W4538">
        <v>1</v>
      </c>
      <c r="X4538">
        <v>0</v>
      </c>
      <c r="Z4538">
        <v>228.98</v>
      </c>
      <c r="AA4538">
        <v>40.816525</v>
      </c>
      <c r="AB4538">
        <v>-73.94179200000001</v>
      </c>
      <c r="AD4538" t="s">
        <v>10840</v>
      </c>
      <c r="AG4538" t="s">
        <v>10858</v>
      </c>
      <c r="AH4538" t="s">
        <v>10861</v>
      </c>
      <c r="AI4538">
        <v>234</v>
      </c>
      <c r="AJ4538" t="s">
        <v>10214</v>
      </c>
      <c r="AL4538">
        <v>3</v>
      </c>
      <c r="AM4538" t="s">
        <v>10887</v>
      </c>
      <c r="AN4538" t="s">
        <v>10936</v>
      </c>
      <c r="AO4538" t="s">
        <v>11016</v>
      </c>
      <c r="AP4538" t="s">
        <v>11076</v>
      </c>
      <c r="AQ4538" t="s">
        <v>11184</v>
      </c>
      <c r="AR4538" t="s">
        <v>11257</v>
      </c>
      <c r="AS4538" t="s">
        <v>9925</v>
      </c>
      <c r="AT4538" t="s">
        <v>11642</v>
      </c>
      <c r="AX4538" t="s">
        <v>10838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</row>
    <row r="4539" spans="1:59">
      <c r="A4539" s="1">
        <f>HYPERLINK("https://lsnyc.legalserver.org/matter/dynamic-profile/view/1908719","19-1908719")</f>
        <v>0</v>
      </c>
      <c r="B4539" t="s">
        <v>356</v>
      </c>
      <c r="C4539" t="s">
        <v>8489</v>
      </c>
      <c r="D4539" t="s">
        <v>9925</v>
      </c>
      <c r="E4539" t="s">
        <v>10075</v>
      </c>
      <c r="F4539">
        <v>10001</v>
      </c>
      <c r="G4539" t="s">
        <v>10089</v>
      </c>
      <c r="H4539" t="s">
        <v>10108</v>
      </c>
      <c r="I4539" t="s">
        <v>10168</v>
      </c>
      <c r="J4539" t="s">
        <v>10209</v>
      </c>
      <c r="K4539" t="s">
        <v>10217</v>
      </c>
      <c r="M4539" t="s">
        <v>10301</v>
      </c>
      <c r="N4539" t="s">
        <v>10665</v>
      </c>
      <c r="P4539" t="s">
        <v>10751</v>
      </c>
      <c r="Q4539" t="s">
        <v>10773</v>
      </c>
      <c r="R4539" t="s">
        <v>10821</v>
      </c>
      <c r="T4539">
        <v>19344</v>
      </c>
      <c r="U4539">
        <v>1612</v>
      </c>
      <c r="V4539">
        <v>46</v>
      </c>
      <c r="W4539">
        <v>1</v>
      </c>
      <c r="X4539">
        <v>0</v>
      </c>
      <c r="Z4539">
        <v>154.88</v>
      </c>
      <c r="AA4539">
        <v>40.747426</v>
      </c>
      <c r="AB4539">
        <v>-73.987533</v>
      </c>
      <c r="AD4539" t="s">
        <v>10840</v>
      </c>
      <c r="AG4539" t="s">
        <v>10858</v>
      </c>
      <c r="AH4539" t="s">
        <v>10871</v>
      </c>
      <c r="AI4539">
        <v>234</v>
      </c>
      <c r="AJ4539" t="s">
        <v>10214</v>
      </c>
      <c r="AK4539" t="s">
        <v>10838</v>
      </c>
      <c r="AL4539">
        <v>14.16</v>
      </c>
      <c r="AM4539" t="s">
        <v>10891</v>
      </c>
      <c r="AN4539" t="s">
        <v>10966</v>
      </c>
      <c r="AO4539" t="s">
        <v>11021</v>
      </c>
      <c r="AP4539" t="s">
        <v>11091</v>
      </c>
      <c r="AQ4539" t="s">
        <v>11115</v>
      </c>
      <c r="AR4539" t="s">
        <v>11275</v>
      </c>
      <c r="AS4539" t="s">
        <v>9925</v>
      </c>
      <c r="AT4539" t="s">
        <v>11642</v>
      </c>
      <c r="AX4539" t="s">
        <v>10837</v>
      </c>
      <c r="AZ4539" t="s">
        <v>11679</v>
      </c>
      <c r="BA4539" t="s">
        <v>11739</v>
      </c>
      <c r="BB4539">
        <v>0</v>
      </c>
      <c r="BC4539">
        <v>0</v>
      </c>
      <c r="BD4539">
        <v>0</v>
      </c>
      <c r="BE4539">
        <v>0</v>
      </c>
      <c r="BF4539">
        <v>4</v>
      </c>
      <c r="BG4539">
        <v>0</v>
      </c>
    </row>
    <row r="4540" spans="1:59">
      <c r="A4540" s="1">
        <f>HYPERLINK("https://lsnyc.legalserver.org/matter/dynamic-profile/view/1908720","19-1908720")</f>
        <v>0</v>
      </c>
      <c r="B4540" t="s">
        <v>3675</v>
      </c>
      <c r="C4540" t="s">
        <v>8490</v>
      </c>
      <c r="D4540" t="s">
        <v>9928</v>
      </c>
      <c r="E4540" t="s">
        <v>10075</v>
      </c>
      <c r="F4540">
        <v>11225</v>
      </c>
      <c r="G4540" t="s">
        <v>10093</v>
      </c>
      <c r="H4540" t="s">
        <v>10108</v>
      </c>
      <c r="I4540" t="s">
        <v>10168</v>
      </c>
      <c r="J4540" t="s">
        <v>10213</v>
      </c>
      <c r="K4540" t="s">
        <v>10217</v>
      </c>
      <c r="M4540" t="s">
        <v>10280</v>
      </c>
      <c r="N4540" t="s">
        <v>10657</v>
      </c>
      <c r="P4540" t="s">
        <v>10751</v>
      </c>
      <c r="Q4540" t="s">
        <v>10768</v>
      </c>
      <c r="R4540" t="s">
        <v>10824</v>
      </c>
      <c r="T4540">
        <v>25723</v>
      </c>
      <c r="U4540">
        <v>2143.58</v>
      </c>
      <c r="V4540">
        <v>42</v>
      </c>
      <c r="W4540">
        <v>2</v>
      </c>
      <c r="X4540">
        <v>0</v>
      </c>
      <c r="Z4540">
        <v>152.12</v>
      </c>
      <c r="AA4540">
        <v>40.657963</v>
      </c>
      <c r="AB4540">
        <v>-73.957933</v>
      </c>
      <c r="AD4540" t="s">
        <v>10840</v>
      </c>
      <c r="AG4540" t="s">
        <v>10858</v>
      </c>
      <c r="AH4540" t="s">
        <v>10861</v>
      </c>
      <c r="AI4540">
        <v>239</v>
      </c>
      <c r="AJ4540" t="s">
        <v>10213</v>
      </c>
      <c r="AL4540">
        <v>0</v>
      </c>
      <c r="AM4540" t="s">
        <v>10888</v>
      </c>
      <c r="AN4540" t="s">
        <v>10912</v>
      </c>
      <c r="AO4540" t="s">
        <v>11005</v>
      </c>
      <c r="AP4540" t="s">
        <v>11050</v>
      </c>
      <c r="AR4540" t="s">
        <v>11548</v>
      </c>
      <c r="AS4540" t="s">
        <v>11595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</row>
    <row r="4541" spans="1:59">
      <c r="A4541" s="1">
        <f>HYPERLINK("https://lsnyc.legalserver.org/matter/dynamic-profile/view/1908721","19-1908721")</f>
        <v>0</v>
      </c>
      <c r="B4541" t="s">
        <v>3676</v>
      </c>
      <c r="C4541" t="s">
        <v>8491</v>
      </c>
      <c r="D4541" t="s">
        <v>9926</v>
      </c>
      <c r="E4541" t="s">
        <v>10075</v>
      </c>
      <c r="F4541">
        <v>10461</v>
      </c>
      <c r="G4541" t="s">
        <v>10090</v>
      </c>
      <c r="H4541" t="s">
        <v>10108</v>
      </c>
      <c r="I4541" t="s">
        <v>10168</v>
      </c>
      <c r="J4541" t="s">
        <v>10210</v>
      </c>
      <c r="K4541" t="s">
        <v>10217</v>
      </c>
      <c r="M4541" t="s">
        <v>10455</v>
      </c>
      <c r="N4541" t="s">
        <v>10671</v>
      </c>
      <c r="P4541" t="s">
        <v>10756</v>
      </c>
      <c r="Q4541" t="s">
        <v>10787</v>
      </c>
      <c r="R4541" t="s">
        <v>10820</v>
      </c>
      <c r="T4541">
        <v>9840</v>
      </c>
      <c r="U4541">
        <v>820</v>
      </c>
      <c r="V4541">
        <v>75</v>
      </c>
      <c r="W4541">
        <v>1</v>
      </c>
      <c r="X4541">
        <v>0</v>
      </c>
      <c r="Z4541">
        <v>78.78</v>
      </c>
      <c r="AA4541">
        <v>40.851151</v>
      </c>
      <c r="AB4541">
        <v>-73.853955</v>
      </c>
      <c r="AD4541" t="s">
        <v>10839</v>
      </c>
      <c r="AG4541" t="s">
        <v>10858</v>
      </c>
      <c r="AH4541" t="s">
        <v>10871</v>
      </c>
      <c r="AI4541">
        <v>234</v>
      </c>
      <c r="AJ4541" t="s">
        <v>10214</v>
      </c>
      <c r="AL4541">
        <v>1</v>
      </c>
      <c r="AM4541" t="s">
        <v>10885</v>
      </c>
      <c r="AN4541" t="s">
        <v>10938</v>
      </c>
      <c r="AO4541" t="s">
        <v>11002</v>
      </c>
      <c r="AP4541" t="s">
        <v>11049</v>
      </c>
      <c r="AR4541" t="s">
        <v>11253</v>
      </c>
      <c r="AS4541" t="s">
        <v>9926</v>
      </c>
      <c r="AT4541" t="s">
        <v>11641</v>
      </c>
      <c r="AX4541" t="s">
        <v>10838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</row>
    <row r="4542" spans="1:59">
      <c r="A4542" s="1">
        <f>HYPERLINK("https://lsnyc.legalserver.org/matter/dynamic-profile/view/1908722","19-1908722")</f>
        <v>0</v>
      </c>
      <c r="B4542" t="s">
        <v>2850</v>
      </c>
      <c r="C4542" t="s">
        <v>8449</v>
      </c>
      <c r="D4542" t="s">
        <v>9926</v>
      </c>
      <c r="E4542" t="s">
        <v>10075</v>
      </c>
      <c r="F4542">
        <v>10470</v>
      </c>
      <c r="G4542" t="s">
        <v>10088</v>
      </c>
      <c r="H4542" t="s">
        <v>10108</v>
      </c>
      <c r="I4542" t="s">
        <v>10168</v>
      </c>
      <c r="J4542" t="s">
        <v>10208</v>
      </c>
      <c r="K4542" t="s">
        <v>10217</v>
      </c>
      <c r="M4542" t="s">
        <v>10466</v>
      </c>
      <c r="N4542" t="s">
        <v>10701</v>
      </c>
      <c r="P4542" t="s">
        <v>10754</v>
      </c>
      <c r="Q4542" t="s">
        <v>10777</v>
      </c>
      <c r="R4542" t="s">
        <v>10822</v>
      </c>
      <c r="T4542">
        <v>0</v>
      </c>
      <c r="U4542">
        <v>0</v>
      </c>
      <c r="V4542">
        <v>30</v>
      </c>
      <c r="W4542">
        <v>1</v>
      </c>
      <c r="X4542">
        <v>1</v>
      </c>
      <c r="Z4542">
        <v>0</v>
      </c>
      <c r="AA4542">
        <v>40.900382</v>
      </c>
      <c r="AB4542">
        <v>-73.862168</v>
      </c>
      <c r="AD4542" t="s">
        <v>10839</v>
      </c>
      <c r="AF4542" t="s">
        <v>10843</v>
      </c>
      <c r="AG4542" t="s">
        <v>10859</v>
      </c>
      <c r="AH4542" t="s">
        <v>10861</v>
      </c>
      <c r="AI4542">
        <v>285</v>
      </c>
      <c r="AJ4542" t="s">
        <v>10208</v>
      </c>
      <c r="AL4542">
        <v>8.5</v>
      </c>
      <c r="AM4542" t="s">
        <v>10893</v>
      </c>
      <c r="AN4542" t="s">
        <v>10919</v>
      </c>
      <c r="AO4542" t="s">
        <v>11002</v>
      </c>
      <c r="AP4542" t="s">
        <v>11057</v>
      </c>
      <c r="AR4542" t="s">
        <v>11267</v>
      </c>
      <c r="AS4542" t="s">
        <v>9926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</row>
    <row r="4543" spans="1:59">
      <c r="A4543" s="1">
        <f>HYPERLINK("https://lsnyc.legalserver.org/matter/dynamic-profile/view/1908723","19-1908723")</f>
        <v>0</v>
      </c>
      <c r="B4543" t="s">
        <v>2447</v>
      </c>
      <c r="C4543" t="s">
        <v>8492</v>
      </c>
      <c r="D4543" t="s">
        <v>9926</v>
      </c>
      <c r="E4543" t="s">
        <v>10075</v>
      </c>
      <c r="F4543">
        <v>10462</v>
      </c>
      <c r="G4543" t="s">
        <v>10090</v>
      </c>
      <c r="H4543" t="s">
        <v>10151</v>
      </c>
      <c r="I4543" t="s">
        <v>10168</v>
      </c>
      <c r="J4543" t="s">
        <v>10210</v>
      </c>
      <c r="K4543" t="s">
        <v>10217</v>
      </c>
      <c r="M4543" t="s">
        <v>10557</v>
      </c>
      <c r="N4543" t="s">
        <v>10651</v>
      </c>
      <c r="P4543" t="s">
        <v>10749</v>
      </c>
      <c r="Q4543" t="s">
        <v>10765</v>
      </c>
      <c r="R4543" t="s">
        <v>10824</v>
      </c>
      <c r="T4543">
        <v>14274</v>
      </c>
      <c r="U4543">
        <v>1189.5</v>
      </c>
      <c r="V4543">
        <v>45</v>
      </c>
      <c r="W4543">
        <v>1</v>
      </c>
      <c r="X4543">
        <v>2</v>
      </c>
      <c r="Z4543">
        <v>66.92</v>
      </c>
      <c r="AA4543">
        <v>40.840432</v>
      </c>
      <c r="AB4543">
        <v>-73.864512</v>
      </c>
      <c r="AD4543" t="s">
        <v>10839</v>
      </c>
      <c r="AG4543" t="s">
        <v>10858</v>
      </c>
      <c r="AH4543" t="s">
        <v>10862</v>
      </c>
      <c r="AI4543">
        <v>230</v>
      </c>
      <c r="AJ4543" t="s">
        <v>10210</v>
      </c>
      <c r="AL4543">
        <v>4.8</v>
      </c>
      <c r="AM4543" t="s">
        <v>10884</v>
      </c>
      <c r="AN4543" t="s">
        <v>10908</v>
      </c>
      <c r="AO4543" t="s">
        <v>11001</v>
      </c>
      <c r="AP4543" t="s">
        <v>11046</v>
      </c>
      <c r="AR4543" t="s">
        <v>11262</v>
      </c>
      <c r="AS4543" t="s">
        <v>9926</v>
      </c>
      <c r="AT4543" t="s">
        <v>11641</v>
      </c>
      <c r="AX4543" t="s">
        <v>10838</v>
      </c>
      <c r="BA4543" t="s">
        <v>11738</v>
      </c>
      <c r="BB4543">
        <v>0</v>
      </c>
      <c r="BC4543">
        <v>0</v>
      </c>
      <c r="BD4543">
        <v>0</v>
      </c>
      <c r="BE4543">
        <v>0</v>
      </c>
      <c r="BF4543">
        <v>5</v>
      </c>
      <c r="BG4543">
        <v>0</v>
      </c>
    </row>
    <row r="4544" spans="1:59">
      <c r="A4544" s="1">
        <f>HYPERLINK("https://lsnyc.legalserver.org/matter/dynamic-profile/view/1908724","19-1908724")</f>
        <v>0</v>
      </c>
      <c r="B4544" t="s">
        <v>1245</v>
      </c>
      <c r="C4544" t="s">
        <v>8493</v>
      </c>
      <c r="D4544" t="s">
        <v>9928</v>
      </c>
      <c r="E4544" t="s">
        <v>10075</v>
      </c>
      <c r="F4544">
        <v>11222</v>
      </c>
      <c r="G4544" t="s">
        <v>10093</v>
      </c>
      <c r="H4544" t="s">
        <v>10108</v>
      </c>
      <c r="I4544" t="s">
        <v>10168</v>
      </c>
      <c r="J4544" t="s">
        <v>10213</v>
      </c>
      <c r="K4544" t="s">
        <v>10217</v>
      </c>
      <c r="M4544" t="s">
        <v>10435</v>
      </c>
      <c r="N4544" t="s">
        <v>10646</v>
      </c>
      <c r="P4544" t="s">
        <v>10750</v>
      </c>
      <c r="Q4544" t="s">
        <v>10779</v>
      </c>
      <c r="R4544" t="s">
        <v>10824</v>
      </c>
      <c r="T4544">
        <v>40000</v>
      </c>
      <c r="U4544">
        <v>3333.33</v>
      </c>
      <c r="V4544">
        <v>31</v>
      </c>
      <c r="W4544">
        <v>1</v>
      </c>
      <c r="X4544">
        <v>0</v>
      </c>
      <c r="Z4544">
        <v>320.26</v>
      </c>
      <c r="AA4544">
        <v>40.737094</v>
      </c>
      <c r="AB4544">
        <v>-73.958963</v>
      </c>
      <c r="AD4544" t="s">
        <v>10839</v>
      </c>
      <c r="AG4544" t="s">
        <v>10858</v>
      </c>
      <c r="AH4544" t="s">
        <v>10861</v>
      </c>
      <c r="AI4544">
        <v>234</v>
      </c>
      <c r="AJ4544" t="s">
        <v>10214</v>
      </c>
      <c r="AL4544">
        <v>1.35</v>
      </c>
      <c r="AM4544" t="s">
        <v>10891</v>
      </c>
      <c r="AN4544" t="s">
        <v>10939</v>
      </c>
      <c r="AO4544" t="s">
        <v>11011</v>
      </c>
      <c r="AP4544" t="s">
        <v>11054</v>
      </c>
      <c r="AR4544" t="s">
        <v>11257</v>
      </c>
      <c r="AS4544" t="s">
        <v>11595</v>
      </c>
      <c r="AT4544" t="s">
        <v>11641</v>
      </c>
      <c r="AX4544" t="s">
        <v>10838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</row>
    <row r="4545" spans="1:59">
      <c r="A4545" s="1">
        <f>HYPERLINK("https://lsnyc.legalserver.org/matter/dynamic-profile/view/1908725","19-1908725")</f>
        <v>0</v>
      </c>
      <c r="B4545" t="s">
        <v>3677</v>
      </c>
      <c r="C4545" t="s">
        <v>8494</v>
      </c>
      <c r="D4545" t="s">
        <v>9925</v>
      </c>
      <c r="E4545" t="s">
        <v>10075</v>
      </c>
      <c r="F4545">
        <v>10030</v>
      </c>
      <c r="G4545" t="s">
        <v>10089</v>
      </c>
      <c r="H4545" t="s">
        <v>10108</v>
      </c>
      <c r="I4545" t="s">
        <v>10169</v>
      </c>
      <c r="J4545" t="s">
        <v>10209</v>
      </c>
      <c r="K4545" t="s">
        <v>10217</v>
      </c>
      <c r="M4545" t="s">
        <v>10278</v>
      </c>
      <c r="N4545" t="s">
        <v>10673</v>
      </c>
      <c r="P4545" t="s">
        <v>10753</v>
      </c>
      <c r="Q4545" t="s">
        <v>10763</v>
      </c>
      <c r="R4545" t="s">
        <v>10821</v>
      </c>
      <c r="T4545">
        <v>0</v>
      </c>
      <c r="U4545">
        <v>0</v>
      </c>
      <c r="V4545">
        <v>30</v>
      </c>
      <c r="W4545">
        <v>1</v>
      </c>
      <c r="X4545">
        <v>0</v>
      </c>
      <c r="Z4545">
        <v>0</v>
      </c>
      <c r="AA4545">
        <v>40.819481</v>
      </c>
      <c r="AB4545">
        <v>-73.94328299999999</v>
      </c>
      <c r="AD4545" t="s">
        <v>10840</v>
      </c>
      <c r="AF4545" t="s">
        <v>10842</v>
      </c>
      <c r="AG4545" t="s">
        <v>10859</v>
      </c>
      <c r="AH4545" t="s">
        <v>10861</v>
      </c>
      <c r="AI4545">
        <v>234</v>
      </c>
      <c r="AJ4545" t="s">
        <v>10214</v>
      </c>
      <c r="AL4545">
        <v>1.75</v>
      </c>
      <c r="AM4545" t="s">
        <v>10887</v>
      </c>
      <c r="AN4545" t="s">
        <v>10936</v>
      </c>
      <c r="AO4545" t="s">
        <v>11016</v>
      </c>
      <c r="AP4545" t="s">
        <v>11076</v>
      </c>
      <c r="AR4545" t="s">
        <v>11267</v>
      </c>
      <c r="AS4545" t="s">
        <v>9925</v>
      </c>
      <c r="AT4545" t="s">
        <v>11642</v>
      </c>
      <c r="AX4545" t="s">
        <v>10838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</row>
    <row r="4546" spans="1:59">
      <c r="A4546" s="1">
        <f>HYPERLINK("https://lsnyc.legalserver.org/matter/dynamic-profile/view/1908727","19-1908727")</f>
        <v>0</v>
      </c>
      <c r="B4546" t="s">
        <v>3678</v>
      </c>
      <c r="C4546" t="s">
        <v>8495</v>
      </c>
      <c r="D4546" t="s">
        <v>9929</v>
      </c>
      <c r="E4546" t="s">
        <v>10075</v>
      </c>
      <c r="F4546">
        <v>10308</v>
      </c>
      <c r="G4546" t="s">
        <v>10088</v>
      </c>
      <c r="H4546" t="s">
        <v>10100</v>
      </c>
      <c r="I4546" t="s">
        <v>10168</v>
      </c>
      <c r="J4546" t="s">
        <v>10208</v>
      </c>
      <c r="K4546" t="s">
        <v>10217</v>
      </c>
      <c r="M4546" t="s">
        <v>10605</v>
      </c>
      <c r="N4546" t="s">
        <v>10654</v>
      </c>
      <c r="P4546" t="s">
        <v>10749</v>
      </c>
      <c r="Q4546" t="s">
        <v>10765</v>
      </c>
      <c r="R4546" t="s">
        <v>10820</v>
      </c>
      <c r="T4546">
        <v>43000</v>
      </c>
      <c r="U4546">
        <v>3583.33</v>
      </c>
      <c r="V4546">
        <v>47</v>
      </c>
      <c r="W4546">
        <v>3</v>
      </c>
      <c r="X4546">
        <v>3</v>
      </c>
      <c r="Z4546">
        <v>124.31</v>
      </c>
      <c r="AA4546">
        <v>40.560146</v>
      </c>
      <c r="AB4546">
        <v>-74.145274</v>
      </c>
      <c r="AD4546" t="s">
        <v>10839</v>
      </c>
      <c r="AG4546" t="s">
        <v>10858</v>
      </c>
      <c r="AH4546" t="s">
        <v>10862</v>
      </c>
      <c r="AI4546">
        <v>285</v>
      </c>
      <c r="AJ4546" t="s">
        <v>10208</v>
      </c>
      <c r="AL4546">
        <v>10.6</v>
      </c>
      <c r="AM4546" t="s">
        <v>10883</v>
      </c>
      <c r="AN4546" t="s">
        <v>10906</v>
      </c>
      <c r="AO4546" t="s">
        <v>10999</v>
      </c>
      <c r="AP4546" t="s">
        <v>11044</v>
      </c>
      <c r="AR4546" t="s">
        <v>11257</v>
      </c>
      <c r="AS4546" t="s">
        <v>11593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</row>
    <row r="4547" spans="1:59">
      <c r="A4547" s="1">
        <f>HYPERLINK("https://lsnyc.legalserver.org/matter/dynamic-profile/view/1908728","19-1908728")</f>
        <v>0</v>
      </c>
      <c r="B4547" t="s">
        <v>3679</v>
      </c>
      <c r="C4547" t="s">
        <v>7618</v>
      </c>
      <c r="D4547" t="s">
        <v>9925</v>
      </c>
      <c r="E4547" t="s">
        <v>10075</v>
      </c>
      <c r="F4547">
        <v>10034</v>
      </c>
      <c r="G4547" t="s">
        <v>10089</v>
      </c>
      <c r="H4547" t="s">
        <v>10108</v>
      </c>
      <c r="I4547" t="s">
        <v>10169</v>
      </c>
      <c r="J4547" t="s">
        <v>10209</v>
      </c>
      <c r="K4547" t="s">
        <v>10217</v>
      </c>
      <c r="M4547" t="s">
        <v>10459</v>
      </c>
      <c r="N4547" t="s">
        <v>10656</v>
      </c>
      <c r="P4547" t="s">
        <v>10751</v>
      </c>
      <c r="Q4547" t="s">
        <v>10768</v>
      </c>
      <c r="R4547" t="s">
        <v>10821</v>
      </c>
      <c r="T4547">
        <v>2316</v>
      </c>
      <c r="U4547">
        <v>193</v>
      </c>
      <c r="V4547">
        <v>64</v>
      </c>
      <c r="W4547">
        <v>1</v>
      </c>
      <c r="X4547">
        <v>0</v>
      </c>
      <c r="Z4547">
        <v>18.54</v>
      </c>
      <c r="AA4547">
        <v>40.86839</v>
      </c>
      <c r="AB4547">
        <v>-73.924819</v>
      </c>
      <c r="AD4547" t="s">
        <v>10839</v>
      </c>
      <c r="AF4547" t="s">
        <v>10843</v>
      </c>
      <c r="AG4547" t="s">
        <v>10859</v>
      </c>
      <c r="AH4547" t="s">
        <v>10861</v>
      </c>
      <c r="AI4547">
        <v>234</v>
      </c>
      <c r="AJ4547" t="s">
        <v>10214</v>
      </c>
      <c r="AL4547">
        <v>0.5</v>
      </c>
      <c r="AM4547" t="s">
        <v>10887</v>
      </c>
      <c r="AN4547" t="s">
        <v>10937</v>
      </c>
      <c r="AO4547" t="s">
        <v>11019</v>
      </c>
      <c r="AP4547" t="s">
        <v>11074</v>
      </c>
      <c r="AR4547" t="s">
        <v>11300</v>
      </c>
      <c r="AS4547" t="s">
        <v>9925</v>
      </c>
      <c r="AT4547" t="s">
        <v>11641</v>
      </c>
      <c r="AX4547" t="s">
        <v>10838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</row>
    <row r="4548" spans="1:59">
      <c r="A4548" s="1">
        <f>HYPERLINK("https://lsnyc.legalserver.org/matter/dynamic-profile/view/1908729","19-1908729")</f>
        <v>0</v>
      </c>
      <c r="B4548" t="s">
        <v>3680</v>
      </c>
      <c r="C4548" t="s">
        <v>8496</v>
      </c>
      <c r="D4548" t="s">
        <v>9931</v>
      </c>
      <c r="E4548" t="s">
        <v>10075</v>
      </c>
      <c r="F4548">
        <v>11367</v>
      </c>
      <c r="G4548" t="s">
        <v>10092</v>
      </c>
      <c r="H4548" t="s">
        <v>10108</v>
      </c>
      <c r="I4548" t="s">
        <v>10168</v>
      </c>
      <c r="J4548" t="s">
        <v>10212</v>
      </c>
      <c r="K4548" t="s">
        <v>10217</v>
      </c>
      <c r="M4548" t="s">
        <v>10364</v>
      </c>
      <c r="N4548" t="s">
        <v>10695</v>
      </c>
      <c r="P4548" t="s">
        <v>10749</v>
      </c>
      <c r="Q4548" t="s">
        <v>10765</v>
      </c>
      <c r="R4548" t="s">
        <v>10820</v>
      </c>
      <c r="T4548">
        <v>0</v>
      </c>
      <c r="U4548">
        <v>0</v>
      </c>
      <c r="V4548">
        <v>72</v>
      </c>
      <c r="W4548">
        <v>1</v>
      </c>
      <c r="X4548">
        <v>0</v>
      </c>
      <c r="Z4548">
        <v>0</v>
      </c>
      <c r="AA4548">
        <v>40.732567</v>
      </c>
      <c r="AB4548">
        <v>-73.817138</v>
      </c>
      <c r="AD4548" t="s">
        <v>10839</v>
      </c>
      <c r="AG4548" t="s">
        <v>10858</v>
      </c>
      <c r="AH4548" t="s">
        <v>10862</v>
      </c>
      <c r="AI4548">
        <v>237</v>
      </c>
      <c r="AJ4548" t="s">
        <v>10212</v>
      </c>
      <c r="AL4548">
        <v>2.4</v>
      </c>
      <c r="AM4548" t="s">
        <v>10890</v>
      </c>
      <c r="AN4548" t="s">
        <v>10962</v>
      </c>
      <c r="AO4548" t="s">
        <v>11009</v>
      </c>
      <c r="AP4548" t="s">
        <v>11081</v>
      </c>
      <c r="AR4548" t="s">
        <v>11267</v>
      </c>
      <c r="AS4548" t="s">
        <v>11594</v>
      </c>
      <c r="BA4548" t="s">
        <v>11742</v>
      </c>
      <c r="BB4548">
        <v>0</v>
      </c>
      <c r="BC4548">
        <v>0</v>
      </c>
      <c r="BD4548">
        <v>0</v>
      </c>
      <c r="BE4548">
        <v>0</v>
      </c>
      <c r="BF4548">
        <v>7</v>
      </c>
      <c r="BG4548">
        <v>0</v>
      </c>
    </row>
    <row r="4549" spans="1:59">
      <c r="A4549" s="1">
        <f>HYPERLINK("https://lsnyc.legalserver.org/matter/dynamic-profile/view/1908730","19-1908730")</f>
        <v>0</v>
      </c>
      <c r="B4549" t="s">
        <v>3681</v>
      </c>
      <c r="C4549" t="s">
        <v>8497</v>
      </c>
      <c r="D4549" t="s">
        <v>9926</v>
      </c>
      <c r="E4549" t="s">
        <v>10075</v>
      </c>
      <c r="F4549">
        <v>10453</v>
      </c>
      <c r="G4549" t="s">
        <v>10090</v>
      </c>
      <c r="H4549" t="s">
        <v>10108</v>
      </c>
      <c r="I4549" t="s">
        <v>10169</v>
      </c>
      <c r="J4549" t="s">
        <v>10210</v>
      </c>
      <c r="K4549" t="s">
        <v>10217</v>
      </c>
      <c r="M4549" t="s">
        <v>10517</v>
      </c>
      <c r="N4549" t="s">
        <v>10650</v>
      </c>
      <c r="P4549" t="s">
        <v>10749</v>
      </c>
      <c r="Q4549" t="s">
        <v>10765</v>
      </c>
      <c r="R4549" t="s">
        <v>10823</v>
      </c>
      <c r="T4549">
        <v>18444</v>
      </c>
      <c r="U4549">
        <v>1537</v>
      </c>
      <c r="V4549">
        <v>52</v>
      </c>
      <c r="W4549">
        <v>2</v>
      </c>
      <c r="X4549">
        <v>0</v>
      </c>
      <c r="Z4549">
        <v>109.07</v>
      </c>
      <c r="AA4549">
        <v>40.859932</v>
      </c>
      <c r="AB4549">
        <v>-73.910145</v>
      </c>
      <c r="AD4549" t="s">
        <v>10840</v>
      </c>
      <c r="AF4549" t="s">
        <v>10843</v>
      </c>
      <c r="AG4549" t="s">
        <v>10858</v>
      </c>
      <c r="AH4549" t="s">
        <v>10871</v>
      </c>
      <c r="AI4549">
        <v>234</v>
      </c>
      <c r="AJ4549" t="s">
        <v>10214</v>
      </c>
      <c r="AL4549">
        <v>4.75</v>
      </c>
      <c r="AM4549" t="s">
        <v>10884</v>
      </c>
      <c r="AN4549" t="s">
        <v>10931</v>
      </c>
      <c r="AO4549" t="s">
        <v>11000</v>
      </c>
      <c r="AP4549" t="s">
        <v>11045</v>
      </c>
      <c r="AR4549" t="s">
        <v>11452</v>
      </c>
      <c r="AS4549" t="s">
        <v>9926</v>
      </c>
      <c r="AT4549" t="s">
        <v>11641</v>
      </c>
      <c r="AX4549" t="s">
        <v>10838</v>
      </c>
      <c r="BA4549" t="s">
        <v>11741</v>
      </c>
      <c r="BB4549">
        <v>0</v>
      </c>
      <c r="BC4549">
        <v>0</v>
      </c>
      <c r="BD4549">
        <v>0</v>
      </c>
      <c r="BE4549">
        <v>0</v>
      </c>
      <c r="BF4549">
        <v>1</v>
      </c>
      <c r="BG4549">
        <v>0</v>
      </c>
    </row>
    <row r="4550" spans="1:59">
      <c r="A4550" s="1">
        <f>HYPERLINK("https://lsnyc.legalserver.org/matter/dynamic-profile/view/1908731","19-1908731")</f>
        <v>0</v>
      </c>
      <c r="B4550" t="s">
        <v>2790</v>
      </c>
      <c r="C4550" t="s">
        <v>8498</v>
      </c>
      <c r="D4550" t="s">
        <v>9925</v>
      </c>
      <c r="E4550" t="s">
        <v>10075</v>
      </c>
      <c r="F4550">
        <v>10034</v>
      </c>
      <c r="G4550" t="s">
        <v>10089</v>
      </c>
      <c r="H4550" t="s">
        <v>10108</v>
      </c>
      <c r="I4550" t="s">
        <v>10168</v>
      </c>
      <c r="J4550" t="s">
        <v>10209</v>
      </c>
      <c r="K4550" t="s">
        <v>10217</v>
      </c>
      <c r="M4550" t="s">
        <v>10442</v>
      </c>
      <c r="N4550" t="s">
        <v>10650</v>
      </c>
      <c r="P4550" t="s">
        <v>10749</v>
      </c>
      <c r="Q4550" t="s">
        <v>10765</v>
      </c>
      <c r="R4550" t="s">
        <v>10827</v>
      </c>
      <c r="T4550">
        <v>16788</v>
      </c>
      <c r="U4550">
        <v>1399</v>
      </c>
      <c r="V4550">
        <v>56</v>
      </c>
      <c r="W4550">
        <v>1</v>
      </c>
      <c r="X4550">
        <v>0</v>
      </c>
      <c r="Z4550">
        <v>134.41</v>
      </c>
      <c r="AA4550">
        <v>40.868636</v>
      </c>
      <c r="AB4550">
        <v>-73.923085</v>
      </c>
      <c r="AD4550" t="s">
        <v>10839</v>
      </c>
      <c r="AG4550" t="s">
        <v>10858</v>
      </c>
      <c r="AH4550" t="s">
        <v>10862</v>
      </c>
      <c r="AI4550">
        <v>234</v>
      </c>
      <c r="AJ4550" t="s">
        <v>10214</v>
      </c>
      <c r="AL4550">
        <v>0.6</v>
      </c>
      <c r="AM4550" t="s">
        <v>10887</v>
      </c>
      <c r="AN4550" t="s">
        <v>10937</v>
      </c>
      <c r="AO4550" t="s">
        <v>11019</v>
      </c>
      <c r="AP4550" t="s">
        <v>11074</v>
      </c>
      <c r="AR4550" t="s">
        <v>11298</v>
      </c>
      <c r="AS4550" t="s">
        <v>9925</v>
      </c>
      <c r="AT4550" t="s">
        <v>11641</v>
      </c>
      <c r="AX4550" t="s">
        <v>10838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</row>
    <row r="4551" spans="1:59">
      <c r="A4551" s="1">
        <f>HYPERLINK("https://lsnyc.legalserver.org/matter/dynamic-profile/view/1908732","19-1908732")</f>
        <v>0</v>
      </c>
      <c r="B4551" t="s">
        <v>3682</v>
      </c>
      <c r="C4551" t="s">
        <v>8499</v>
      </c>
      <c r="D4551" t="s">
        <v>9926</v>
      </c>
      <c r="E4551" t="s">
        <v>10075</v>
      </c>
      <c r="F4551">
        <v>10475</v>
      </c>
      <c r="G4551" t="s">
        <v>10090</v>
      </c>
      <c r="H4551" t="s">
        <v>10108</v>
      </c>
      <c r="I4551" t="s">
        <v>10168</v>
      </c>
      <c r="J4551" t="s">
        <v>10210</v>
      </c>
      <c r="K4551" t="s">
        <v>10217</v>
      </c>
      <c r="M4551" t="s">
        <v>10455</v>
      </c>
      <c r="N4551" t="s">
        <v>10671</v>
      </c>
      <c r="P4551" t="s">
        <v>10756</v>
      </c>
      <c r="Q4551" t="s">
        <v>10787</v>
      </c>
      <c r="R4551" t="s">
        <v>10822</v>
      </c>
      <c r="T4551">
        <v>22800</v>
      </c>
      <c r="U4551">
        <v>1900</v>
      </c>
      <c r="V4551">
        <v>66</v>
      </c>
      <c r="W4551">
        <v>1</v>
      </c>
      <c r="X4551">
        <v>0</v>
      </c>
      <c r="Z4551">
        <v>182.55</v>
      </c>
      <c r="AA4551">
        <v>40.878998</v>
      </c>
      <c r="AB4551">
        <v>-73.824684</v>
      </c>
      <c r="AD4551" t="s">
        <v>10822</v>
      </c>
      <c r="AG4551" t="s">
        <v>10858</v>
      </c>
      <c r="AH4551" t="s">
        <v>10861</v>
      </c>
      <c r="AI4551">
        <v>234</v>
      </c>
      <c r="AJ4551" t="s">
        <v>10214</v>
      </c>
      <c r="AL4551">
        <v>1</v>
      </c>
      <c r="AM4551" t="s">
        <v>10893</v>
      </c>
      <c r="AN4551" t="s">
        <v>10911</v>
      </c>
      <c r="AO4551" t="s">
        <v>11010</v>
      </c>
      <c r="AP4551" t="s">
        <v>11085</v>
      </c>
      <c r="AQ4551" t="s">
        <v>11149</v>
      </c>
      <c r="AR4551" t="s">
        <v>11354</v>
      </c>
      <c r="AS4551" t="s">
        <v>9926</v>
      </c>
      <c r="AT4551" t="s">
        <v>10822</v>
      </c>
      <c r="AX4551" t="s">
        <v>11678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</row>
    <row r="4552" spans="1:59">
      <c r="A4552" s="1">
        <f>HYPERLINK("https://lsnyc.legalserver.org/matter/dynamic-profile/view/1908733","19-1908733")</f>
        <v>0</v>
      </c>
      <c r="B4552" t="s">
        <v>3683</v>
      </c>
      <c r="C4552" t="s">
        <v>8500</v>
      </c>
      <c r="D4552" t="s">
        <v>9925</v>
      </c>
      <c r="E4552" t="s">
        <v>10075</v>
      </c>
      <c r="F4552">
        <v>10035</v>
      </c>
      <c r="G4552" t="s">
        <v>10089</v>
      </c>
      <c r="H4552" t="s">
        <v>10108</v>
      </c>
      <c r="I4552" t="s">
        <v>10168</v>
      </c>
      <c r="J4552" t="s">
        <v>10209</v>
      </c>
      <c r="K4552" t="s">
        <v>10217</v>
      </c>
      <c r="M4552" t="s">
        <v>10442</v>
      </c>
      <c r="N4552" t="s">
        <v>10671</v>
      </c>
      <c r="P4552" t="s">
        <v>10749</v>
      </c>
      <c r="Q4552" t="s">
        <v>10765</v>
      </c>
      <c r="R4552" t="s">
        <v>10821</v>
      </c>
      <c r="T4552">
        <v>0</v>
      </c>
      <c r="U4552">
        <v>0</v>
      </c>
      <c r="V4552">
        <v>27</v>
      </c>
      <c r="W4552">
        <v>1</v>
      </c>
      <c r="X4552">
        <v>3</v>
      </c>
      <c r="Z4552">
        <v>0</v>
      </c>
      <c r="AA4552">
        <v>40.800365</v>
      </c>
      <c r="AB4552">
        <v>-73.94002500000001</v>
      </c>
      <c r="AD4552" t="s">
        <v>10839</v>
      </c>
      <c r="AG4552" t="s">
        <v>10858</v>
      </c>
      <c r="AH4552" t="s">
        <v>10861</v>
      </c>
      <c r="AI4552">
        <v>234</v>
      </c>
      <c r="AJ4552" t="s">
        <v>10214</v>
      </c>
      <c r="AL4552">
        <v>1</v>
      </c>
      <c r="AM4552" t="s">
        <v>10887</v>
      </c>
      <c r="AN4552" t="s">
        <v>10926</v>
      </c>
      <c r="AO4552" t="s">
        <v>11013</v>
      </c>
      <c r="AP4552" t="s">
        <v>11066</v>
      </c>
      <c r="AR4552" t="s">
        <v>11279</v>
      </c>
      <c r="AS4552" t="s">
        <v>9925</v>
      </c>
      <c r="AT4552" t="s">
        <v>11641</v>
      </c>
      <c r="AX4552" t="s">
        <v>10838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</row>
    <row r="4553" spans="1:59">
      <c r="A4553" s="1">
        <f>HYPERLINK("https://lsnyc.legalserver.org/matter/dynamic-profile/view/1908734","19-1908734")</f>
        <v>0</v>
      </c>
      <c r="B4553" t="s">
        <v>3684</v>
      </c>
      <c r="C4553" t="s">
        <v>8501</v>
      </c>
      <c r="D4553" t="s">
        <v>9962</v>
      </c>
      <c r="E4553" t="s">
        <v>10075</v>
      </c>
      <c r="F4553">
        <v>11423</v>
      </c>
      <c r="G4553" t="s">
        <v>10092</v>
      </c>
      <c r="H4553" t="s">
        <v>10108</v>
      </c>
      <c r="I4553" t="s">
        <v>10179</v>
      </c>
      <c r="J4553" t="s">
        <v>10212</v>
      </c>
      <c r="K4553" t="s">
        <v>10217</v>
      </c>
      <c r="M4553" t="s">
        <v>10295</v>
      </c>
      <c r="N4553" t="s">
        <v>10674</v>
      </c>
      <c r="P4553" t="s">
        <v>10754</v>
      </c>
      <c r="Q4553" t="s">
        <v>10777</v>
      </c>
      <c r="R4553" t="s">
        <v>10828</v>
      </c>
      <c r="T4553">
        <v>0</v>
      </c>
      <c r="U4553">
        <v>0</v>
      </c>
      <c r="V4553">
        <v>31</v>
      </c>
      <c r="W4553">
        <v>1</v>
      </c>
      <c r="X4553">
        <v>2</v>
      </c>
      <c r="Z4553">
        <v>0</v>
      </c>
      <c r="AA4553">
        <v>40.712738</v>
      </c>
      <c r="AB4553">
        <v>-73.769217</v>
      </c>
      <c r="AD4553" t="s">
        <v>10839</v>
      </c>
      <c r="AF4553" t="s">
        <v>10843</v>
      </c>
      <c r="AG4553" t="s">
        <v>10859</v>
      </c>
      <c r="AH4553" t="s">
        <v>10865</v>
      </c>
      <c r="AI4553">
        <v>237</v>
      </c>
      <c r="AJ4553" t="s">
        <v>10212</v>
      </c>
      <c r="AL4553">
        <v>15.05</v>
      </c>
      <c r="AM4553" t="s">
        <v>10892</v>
      </c>
      <c r="AN4553" t="s">
        <v>10955</v>
      </c>
      <c r="AO4553" t="s">
        <v>11020</v>
      </c>
      <c r="AP4553" t="s">
        <v>11078</v>
      </c>
      <c r="AR4553" t="s">
        <v>11267</v>
      </c>
      <c r="AS4553" t="s">
        <v>11594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</row>
    <row r="4554" spans="1:59">
      <c r="A4554" s="1">
        <f>HYPERLINK("https://lsnyc.legalserver.org/matter/dynamic-profile/view/1908735","19-1908735")</f>
        <v>0</v>
      </c>
      <c r="B4554" t="s">
        <v>2447</v>
      </c>
      <c r="C4554" t="s">
        <v>8492</v>
      </c>
      <c r="D4554" t="s">
        <v>9926</v>
      </c>
      <c r="E4554" t="s">
        <v>10075</v>
      </c>
      <c r="F4554">
        <v>10462</v>
      </c>
      <c r="G4554" t="s">
        <v>10090</v>
      </c>
      <c r="H4554" t="s">
        <v>10108</v>
      </c>
      <c r="I4554" t="s">
        <v>10168</v>
      </c>
      <c r="J4554" t="s">
        <v>10210</v>
      </c>
      <c r="K4554" t="s">
        <v>10217</v>
      </c>
      <c r="M4554" t="s">
        <v>10287</v>
      </c>
      <c r="N4554" t="s">
        <v>10671</v>
      </c>
      <c r="P4554" t="s">
        <v>10751</v>
      </c>
      <c r="Q4554" t="s">
        <v>10761</v>
      </c>
      <c r="R4554" t="s">
        <v>10824</v>
      </c>
      <c r="T4554">
        <v>14274</v>
      </c>
      <c r="U4554">
        <v>1189.5</v>
      </c>
      <c r="V4554">
        <v>45</v>
      </c>
      <c r="W4554">
        <v>1</v>
      </c>
      <c r="X4554">
        <v>2</v>
      </c>
      <c r="Z4554">
        <v>66.92</v>
      </c>
      <c r="AA4554">
        <v>40.840432</v>
      </c>
      <c r="AB4554">
        <v>-73.864512</v>
      </c>
      <c r="AD4554" t="s">
        <v>10839</v>
      </c>
      <c r="AG4554" t="s">
        <v>10858</v>
      </c>
      <c r="AH4554" t="s">
        <v>10862</v>
      </c>
      <c r="AI4554">
        <v>230</v>
      </c>
      <c r="AJ4554" t="s">
        <v>10210</v>
      </c>
      <c r="AL4554">
        <v>0.5</v>
      </c>
      <c r="AM4554" t="s">
        <v>10884</v>
      </c>
      <c r="AN4554" t="s">
        <v>10908</v>
      </c>
      <c r="AO4554" t="s">
        <v>11001</v>
      </c>
      <c r="AP4554" t="s">
        <v>11046</v>
      </c>
      <c r="AR4554" t="s">
        <v>11262</v>
      </c>
      <c r="AS4554" t="s">
        <v>9926</v>
      </c>
      <c r="AT4554" t="s">
        <v>11641</v>
      </c>
      <c r="AX4554" t="s">
        <v>10838</v>
      </c>
      <c r="BA4554" t="s">
        <v>11742</v>
      </c>
      <c r="BB4554">
        <v>0</v>
      </c>
      <c r="BC4554">
        <v>0</v>
      </c>
      <c r="BD4554">
        <v>0</v>
      </c>
      <c r="BE4554">
        <v>0</v>
      </c>
      <c r="BF4554">
        <v>7</v>
      </c>
      <c r="BG4554">
        <v>0</v>
      </c>
    </row>
    <row r="4555" spans="1:59">
      <c r="A4555" s="1">
        <f>HYPERLINK("https://lsnyc.legalserver.org/matter/dynamic-profile/view/1908736","19-1908736")</f>
        <v>0</v>
      </c>
      <c r="B4555" t="s">
        <v>3685</v>
      </c>
      <c r="C4555" t="s">
        <v>8502</v>
      </c>
      <c r="D4555" t="s">
        <v>9928</v>
      </c>
      <c r="E4555" t="s">
        <v>10075</v>
      </c>
      <c r="F4555">
        <v>11207</v>
      </c>
      <c r="G4555" t="s">
        <v>10093</v>
      </c>
      <c r="H4555" t="s">
        <v>10108</v>
      </c>
      <c r="J4555" t="s">
        <v>10213</v>
      </c>
      <c r="K4555" t="s">
        <v>10217</v>
      </c>
      <c r="M4555" t="s">
        <v>10317</v>
      </c>
      <c r="N4555" t="s">
        <v>10698</v>
      </c>
      <c r="P4555" t="s">
        <v>10751</v>
      </c>
      <c r="Q4555" t="s">
        <v>10761</v>
      </c>
      <c r="R4555" t="s">
        <v>10824</v>
      </c>
      <c r="T4555">
        <v>21048</v>
      </c>
      <c r="U4555">
        <v>1754</v>
      </c>
      <c r="V4555">
        <v>56</v>
      </c>
      <c r="W4555">
        <v>1</v>
      </c>
      <c r="X4555">
        <v>0</v>
      </c>
      <c r="Z4555">
        <v>168.52</v>
      </c>
      <c r="AA4555">
        <v>40.659491</v>
      </c>
      <c r="AB4555">
        <v>-73.895184</v>
      </c>
      <c r="AD4555" t="s">
        <v>10839</v>
      </c>
      <c r="AG4555" t="s">
        <v>10858</v>
      </c>
      <c r="AH4555" t="s">
        <v>10868</v>
      </c>
      <c r="AI4555">
        <v>239</v>
      </c>
      <c r="AJ4555" t="s">
        <v>10213</v>
      </c>
      <c r="AL4555">
        <v>3</v>
      </c>
      <c r="AM4555" t="s">
        <v>10889</v>
      </c>
      <c r="AN4555" t="s">
        <v>10946</v>
      </c>
      <c r="AO4555" t="s">
        <v>11012</v>
      </c>
      <c r="AP4555" t="s">
        <v>11060</v>
      </c>
      <c r="AR4555" t="s">
        <v>11437</v>
      </c>
      <c r="AS4555" t="s">
        <v>11595</v>
      </c>
      <c r="AT4555" t="s">
        <v>11641</v>
      </c>
      <c r="AX4555" t="s">
        <v>10838</v>
      </c>
      <c r="BA4555" t="s">
        <v>11742</v>
      </c>
      <c r="BB4555">
        <v>0</v>
      </c>
      <c r="BC4555">
        <v>0</v>
      </c>
      <c r="BD4555">
        <v>0</v>
      </c>
      <c r="BE4555">
        <v>0</v>
      </c>
      <c r="BF4555">
        <v>7</v>
      </c>
      <c r="BG4555">
        <v>0</v>
      </c>
    </row>
    <row r="4556" spans="1:59">
      <c r="A4556" s="1">
        <f>HYPERLINK("https://lsnyc.legalserver.org/matter/dynamic-profile/view/1908738","19-1908738")</f>
        <v>0</v>
      </c>
      <c r="B4556" t="s">
        <v>3686</v>
      </c>
      <c r="C4556" t="s">
        <v>8503</v>
      </c>
      <c r="D4556" t="s">
        <v>9932</v>
      </c>
      <c r="E4556" t="s">
        <v>10075</v>
      </c>
      <c r="F4556">
        <v>11368</v>
      </c>
      <c r="G4556" t="s">
        <v>10092</v>
      </c>
      <c r="H4556" t="s">
        <v>10108</v>
      </c>
      <c r="I4556" t="s">
        <v>10169</v>
      </c>
      <c r="J4556" t="s">
        <v>10212</v>
      </c>
      <c r="K4556" t="s">
        <v>10217</v>
      </c>
      <c r="M4556" t="s">
        <v>10282</v>
      </c>
      <c r="N4556" t="s">
        <v>10648</v>
      </c>
      <c r="P4556" t="s">
        <v>10753</v>
      </c>
      <c r="Q4556" t="s">
        <v>10763</v>
      </c>
      <c r="R4556" t="s">
        <v>10821</v>
      </c>
      <c r="T4556">
        <v>12000</v>
      </c>
      <c r="U4556">
        <v>1000</v>
      </c>
      <c r="V4556">
        <v>37</v>
      </c>
      <c r="W4556">
        <v>1</v>
      </c>
      <c r="X4556">
        <v>3</v>
      </c>
      <c r="Z4556">
        <v>46.6</v>
      </c>
      <c r="AA4556">
        <v>40.744417</v>
      </c>
      <c r="AB4556">
        <v>-73.860761</v>
      </c>
      <c r="AD4556" t="s">
        <v>10839</v>
      </c>
      <c r="AF4556" t="s">
        <v>10844</v>
      </c>
      <c r="AG4556" t="s">
        <v>10859</v>
      </c>
      <c r="AH4556" t="s">
        <v>10864</v>
      </c>
      <c r="AI4556">
        <v>237</v>
      </c>
      <c r="AJ4556" t="s">
        <v>10212</v>
      </c>
      <c r="AL4556">
        <v>1.2</v>
      </c>
      <c r="AM4556" t="s">
        <v>10885</v>
      </c>
      <c r="AN4556" t="s">
        <v>10949</v>
      </c>
      <c r="AO4556" t="s">
        <v>11014</v>
      </c>
      <c r="AP4556" t="s">
        <v>11068</v>
      </c>
      <c r="AQ4556" t="s">
        <v>11096</v>
      </c>
      <c r="AR4556" t="s">
        <v>10180</v>
      </c>
      <c r="AS4556" t="s">
        <v>11594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</row>
    <row r="4557" spans="1:59">
      <c r="A4557" s="1">
        <f>HYPERLINK("https://lsnyc.legalserver.org/matter/dynamic-profile/view/1908739","19-1908739")</f>
        <v>0</v>
      </c>
      <c r="B4557" t="s">
        <v>3687</v>
      </c>
      <c r="C4557" t="s">
        <v>8504</v>
      </c>
      <c r="D4557" t="s">
        <v>9926</v>
      </c>
      <c r="E4557" t="s">
        <v>10075</v>
      </c>
      <c r="F4557">
        <v>10469</v>
      </c>
      <c r="G4557" t="s">
        <v>10090</v>
      </c>
      <c r="H4557" t="s">
        <v>10160</v>
      </c>
      <c r="I4557" t="s">
        <v>10168</v>
      </c>
      <c r="J4557" t="s">
        <v>10210</v>
      </c>
      <c r="K4557" t="s">
        <v>10217</v>
      </c>
      <c r="M4557" t="s">
        <v>10510</v>
      </c>
      <c r="N4557" t="s">
        <v>10682</v>
      </c>
      <c r="P4557" t="s">
        <v>10757</v>
      </c>
      <c r="Q4557" t="s">
        <v>10789</v>
      </c>
      <c r="R4557" t="s">
        <v>10822</v>
      </c>
      <c r="T4557">
        <v>12348</v>
      </c>
      <c r="U4557">
        <v>1029</v>
      </c>
      <c r="V4557">
        <v>58</v>
      </c>
      <c r="W4557">
        <v>1</v>
      </c>
      <c r="X4557">
        <v>0</v>
      </c>
      <c r="Z4557">
        <v>98.86</v>
      </c>
      <c r="AA4557">
        <v>40.858412</v>
      </c>
      <c r="AB4557">
        <v>-73.835617</v>
      </c>
      <c r="AD4557" t="s">
        <v>10839</v>
      </c>
      <c r="AG4557" t="s">
        <v>10858</v>
      </c>
      <c r="AH4557" t="s">
        <v>10874</v>
      </c>
      <c r="AI4557">
        <v>230</v>
      </c>
      <c r="AJ4557" t="s">
        <v>10210</v>
      </c>
      <c r="AL4557">
        <v>1.5</v>
      </c>
      <c r="AM4557" t="s">
        <v>10885</v>
      </c>
      <c r="AN4557" t="s">
        <v>10938</v>
      </c>
      <c r="AO4557" t="s">
        <v>11002</v>
      </c>
      <c r="AP4557" t="s">
        <v>11049</v>
      </c>
      <c r="AQ4557" t="s">
        <v>11121</v>
      </c>
      <c r="AR4557" t="s">
        <v>11432</v>
      </c>
      <c r="AS4557" t="s">
        <v>9926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</row>
    <row r="4558" spans="1:59">
      <c r="A4558" s="1">
        <f>HYPERLINK("https://lsnyc.legalserver.org/matter/dynamic-profile/view/1908740","19-1908740")</f>
        <v>0</v>
      </c>
      <c r="B4558" t="s">
        <v>3688</v>
      </c>
      <c r="C4558" t="s">
        <v>8505</v>
      </c>
      <c r="D4558" t="s">
        <v>9928</v>
      </c>
      <c r="E4558" t="s">
        <v>10075</v>
      </c>
      <c r="F4558">
        <v>11233</v>
      </c>
      <c r="G4558" t="s">
        <v>10093</v>
      </c>
      <c r="H4558" t="s">
        <v>10108</v>
      </c>
      <c r="I4558" t="s">
        <v>10168</v>
      </c>
      <c r="J4558" t="s">
        <v>10213</v>
      </c>
      <c r="K4558" t="s">
        <v>10217</v>
      </c>
      <c r="M4558" t="s">
        <v>10505</v>
      </c>
      <c r="N4558" t="s">
        <v>10650</v>
      </c>
      <c r="P4558" t="s">
        <v>10749</v>
      </c>
      <c r="Q4558" t="s">
        <v>10765</v>
      </c>
      <c r="R4558" t="s">
        <v>10820</v>
      </c>
      <c r="T4558">
        <v>34000</v>
      </c>
      <c r="U4558">
        <v>2833.33</v>
      </c>
      <c r="V4558">
        <v>52</v>
      </c>
      <c r="W4558">
        <v>1</v>
      </c>
      <c r="X4558">
        <v>0</v>
      </c>
      <c r="Z4558">
        <v>272.22</v>
      </c>
      <c r="AA4558">
        <v>40.681918</v>
      </c>
      <c r="AB4558">
        <v>-73.924764</v>
      </c>
      <c r="AD4558" t="s">
        <v>10839</v>
      </c>
      <c r="AG4558" t="s">
        <v>10858</v>
      </c>
      <c r="AH4558" t="s">
        <v>10862</v>
      </c>
      <c r="AI4558">
        <v>239</v>
      </c>
      <c r="AJ4558" t="s">
        <v>10213</v>
      </c>
      <c r="AL4558">
        <v>0.7</v>
      </c>
      <c r="AM4558" t="s">
        <v>10889</v>
      </c>
      <c r="AN4558" t="s">
        <v>10914</v>
      </c>
      <c r="AO4558" t="s">
        <v>11007</v>
      </c>
      <c r="AP4558" t="s">
        <v>11064</v>
      </c>
      <c r="AR4558" t="s">
        <v>11257</v>
      </c>
      <c r="AS4558" t="s">
        <v>11595</v>
      </c>
      <c r="AT4558" t="s">
        <v>11641</v>
      </c>
      <c r="AX4558" t="s">
        <v>10838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</row>
    <row r="4559" spans="1:59">
      <c r="A4559" s="1">
        <f>HYPERLINK("https://lsnyc.legalserver.org/matter/dynamic-profile/view/1908741","19-1908741")</f>
        <v>0</v>
      </c>
      <c r="B4559" t="s">
        <v>1203</v>
      </c>
      <c r="C4559" t="s">
        <v>8506</v>
      </c>
      <c r="D4559" t="s">
        <v>9926</v>
      </c>
      <c r="E4559" t="s">
        <v>10075</v>
      </c>
      <c r="F4559">
        <v>10453</v>
      </c>
      <c r="G4559" t="s">
        <v>10089</v>
      </c>
      <c r="H4559" t="s">
        <v>10108</v>
      </c>
      <c r="I4559" t="s">
        <v>10168</v>
      </c>
      <c r="J4559" t="s">
        <v>10209</v>
      </c>
      <c r="K4559" t="s">
        <v>10217</v>
      </c>
      <c r="M4559" t="s">
        <v>10490</v>
      </c>
      <c r="N4559" t="s">
        <v>10718</v>
      </c>
      <c r="P4559" t="s">
        <v>10751</v>
      </c>
      <c r="Q4559" t="s">
        <v>10780</v>
      </c>
      <c r="R4559" t="s">
        <v>10824</v>
      </c>
      <c r="T4559">
        <v>11040</v>
      </c>
      <c r="U4559">
        <v>920</v>
      </c>
      <c r="V4559">
        <v>63</v>
      </c>
      <c r="W4559">
        <v>1</v>
      </c>
      <c r="X4559">
        <v>0</v>
      </c>
      <c r="Z4559">
        <v>88.39</v>
      </c>
      <c r="AA4559">
        <v>40.851168</v>
      </c>
      <c r="AB4559">
        <v>-73.923253</v>
      </c>
      <c r="AD4559" t="s">
        <v>10840</v>
      </c>
      <c r="AG4559" t="s">
        <v>10858</v>
      </c>
      <c r="AH4559" t="s">
        <v>10879</v>
      </c>
      <c r="AI4559">
        <v>236</v>
      </c>
      <c r="AJ4559" t="s">
        <v>10209</v>
      </c>
      <c r="AL4559">
        <v>5.25</v>
      </c>
      <c r="AM4559" t="s">
        <v>10887</v>
      </c>
      <c r="AN4559" t="s">
        <v>10929</v>
      </c>
      <c r="AO4559" t="s">
        <v>11013</v>
      </c>
      <c r="AP4559" t="s">
        <v>11055</v>
      </c>
      <c r="AR4559" t="s">
        <v>11549</v>
      </c>
      <c r="AS4559" t="s">
        <v>9926</v>
      </c>
      <c r="AX4559" t="s">
        <v>10837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</row>
    <row r="4560" spans="1:59">
      <c r="A4560" s="1">
        <f>HYPERLINK("https://lsnyc.legalserver.org/matter/dynamic-profile/view/1908742","19-1908742")</f>
        <v>0</v>
      </c>
      <c r="B4560" t="s">
        <v>3686</v>
      </c>
      <c r="C4560" t="s">
        <v>8503</v>
      </c>
      <c r="D4560" t="s">
        <v>9932</v>
      </c>
      <c r="E4560" t="s">
        <v>10075</v>
      </c>
      <c r="F4560">
        <v>11368</v>
      </c>
      <c r="G4560" t="s">
        <v>10092</v>
      </c>
      <c r="H4560" t="s">
        <v>10108</v>
      </c>
      <c r="I4560" t="s">
        <v>10169</v>
      </c>
      <c r="J4560" t="s">
        <v>10212</v>
      </c>
      <c r="K4560" t="s">
        <v>10217</v>
      </c>
      <c r="M4560" t="s">
        <v>10374</v>
      </c>
      <c r="N4560" t="s">
        <v>10730</v>
      </c>
      <c r="O4560" t="s">
        <v>10699</v>
      </c>
      <c r="P4560" t="s">
        <v>10754</v>
      </c>
      <c r="Q4560" t="s">
        <v>10770</v>
      </c>
      <c r="R4560" t="s">
        <v>10821</v>
      </c>
      <c r="T4560">
        <v>12000</v>
      </c>
      <c r="U4560">
        <v>1000</v>
      </c>
      <c r="V4560">
        <v>37</v>
      </c>
      <c r="W4560">
        <v>1</v>
      </c>
      <c r="X4560">
        <v>3</v>
      </c>
      <c r="Z4560">
        <v>46.6</v>
      </c>
      <c r="AA4560">
        <v>40.744417</v>
      </c>
      <c r="AB4560">
        <v>-73.860761</v>
      </c>
      <c r="AD4560" t="s">
        <v>10839</v>
      </c>
      <c r="AF4560" t="s">
        <v>10844</v>
      </c>
      <c r="AG4560" t="s">
        <v>10859</v>
      </c>
      <c r="AH4560" t="s">
        <v>10864</v>
      </c>
      <c r="AI4560">
        <v>237</v>
      </c>
      <c r="AJ4560" t="s">
        <v>10212</v>
      </c>
      <c r="AK4560" t="s">
        <v>10837</v>
      </c>
      <c r="AL4560">
        <v>1</v>
      </c>
      <c r="AR4560" t="s">
        <v>10180</v>
      </c>
      <c r="AS4560" t="s">
        <v>11594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</row>
    <row r="4561" spans="1:59">
      <c r="A4561" s="1">
        <f>HYPERLINK("https://lsnyc.legalserver.org/matter/dynamic-profile/view/1908743","19-1908743")</f>
        <v>0</v>
      </c>
      <c r="B4561" t="s">
        <v>3689</v>
      </c>
      <c r="C4561" t="s">
        <v>8507</v>
      </c>
      <c r="D4561" t="s">
        <v>9953</v>
      </c>
      <c r="E4561" t="s">
        <v>10075</v>
      </c>
      <c r="F4561">
        <v>11104</v>
      </c>
      <c r="G4561" t="s">
        <v>10092</v>
      </c>
      <c r="H4561" t="s">
        <v>10108</v>
      </c>
      <c r="I4561" t="s">
        <v>10168</v>
      </c>
      <c r="J4561" t="s">
        <v>10212</v>
      </c>
      <c r="K4561" t="s">
        <v>10217</v>
      </c>
      <c r="M4561" t="s">
        <v>10329</v>
      </c>
      <c r="N4561" t="s">
        <v>10711</v>
      </c>
      <c r="P4561" t="s">
        <v>10749</v>
      </c>
      <c r="Q4561" t="s">
        <v>10765</v>
      </c>
      <c r="R4561" t="s">
        <v>10820</v>
      </c>
      <c r="T4561">
        <v>70000</v>
      </c>
      <c r="U4561">
        <v>5833.33</v>
      </c>
      <c r="V4561">
        <v>43</v>
      </c>
      <c r="W4561">
        <v>1</v>
      </c>
      <c r="X4561">
        <v>0</v>
      </c>
      <c r="Z4561">
        <v>560.45</v>
      </c>
      <c r="AA4561">
        <v>40.738138</v>
      </c>
      <c r="AB4561">
        <v>-73.924002</v>
      </c>
      <c r="AD4561" t="s">
        <v>10839</v>
      </c>
      <c r="AG4561" t="s">
        <v>10858</v>
      </c>
      <c r="AH4561" t="s">
        <v>10862</v>
      </c>
      <c r="AI4561">
        <v>237</v>
      </c>
      <c r="AJ4561" t="s">
        <v>10212</v>
      </c>
      <c r="AL4561">
        <v>1.25</v>
      </c>
      <c r="AM4561" t="s">
        <v>10885</v>
      </c>
      <c r="AN4561" t="s">
        <v>10961</v>
      </c>
      <c r="AO4561" t="s">
        <v>11003</v>
      </c>
      <c r="AP4561" t="s">
        <v>11047</v>
      </c>
      <c r="AR4561" t="s">
        <v>11257</v>
      </c>
      <c r="AS4561" t="s">
        <v>11594</v>
      </c>
      <c r="BA4561" t="s">
        <v>11742</v>
      </c>
      <c r="BB4561">
        <v>0</v>
      </c>
      <c r="BC4561">
        <v>0</v>
      </c>
      <c r="BD4561">
        <v>0</v>
      </c>
      <c r="BE4561">
        <v>0</v>
      </c>
      <c r="BF4561">
        <v>7</v>
      </c>
      <c r="BG4561">
        <v>0</v>
      </c>
    </row>
    <row r="4562" spans="1:59">
      <c r="A4562" s="1">
        <f>HYPERLINK("https://lsnyc.legalserver.org/matter/dynamic-profile/view/1908744","19-1908744")</f>
        <v>0</v>
      </c>
      <c r="B4562" t="s">
        <v>3690</v>
      </c>
      <c r="C4562" t="s">
        <v>5223</v>
      </c>
      <c r="D4562" t="s">
        <v>9926</v>
      </c>
      <c r="E4562" t="s">
        <v>10075</v>
      </c>
      <c r="F4562">
        <v>10467</v>
      </c>
      <c r="G4562" t="s">
        <v>10090</v>
      </c>
      <c r="H4562" t="s">
        <v>10108</v>
      </c>
      <c r="I4562" t="s">
        <v>10168</v>
      </c>
      <c r="J4562" t="s">
        <v>10210</v>
      </c>
      <c r="K4562" t="s">
        <v>10217</v>
      </c>
      <c r="M4562" t="s">
        <v>10540</v>
      </c>
      <c r="N4562" t="s">
        <v>10727</v>
      </c>
      <c r="P4562" t="s">
        <v>10753</v>
      </c>
      <c r="Q4562" t="s">
        <v>10809</v>
      </c>
      <c r="R4562" t="s">
        <v>10821</v>
      </c>
      <c r="T4562">
        <v>14112</v>
      </c>
      <c r="U4562">
        <v>1176</v>
      </c>
      <c r="V4562">
        <v>55</v>
      </c>
      <c r="W4562">
        <v>2</v>
      </c>
      <c r="X4562">
        <v>1</v>
      </c>
      <c r="Z4562">
        <v>66.16</v>
      </c>
      <c r="AA4562">
        <v>40.879565</v>
      </c>
      <c r="AB4562">
        <v>-73.87673100000001</v>
      </c>
      <c r="AD4562" t="s">
        <v>10839</v>
      </c>
      <c r="AG4562" t="s">
        <v>10858</v>
      </c>
      <c r="AH4562" t="s">
        <v>10862</v>
      </c>
      <c r="AI4562">
        <v>230</v>
      </c>
      <c r="AJ4562" t="s">
        <v>10210</v>
      </c>
      <c r="AL4562">
        <v>1.7</v>
      </c>
      <c r="AM4562" t="s">
        <v>10887</v>
      </c>
      <c r="AN4562" t="s">
        <v>10919</v>
      </c>
      <c r="AO4562" t="s">
        <v>11010</v>
      </c>
      <c r="AP4562" t="s">
        <v>11057</v>
      </c>
      <c r="AQ4562" t="s">
        <v>11180</v>
      </c>
      <c r="AR4562" t="s">
        <v>11263</v>
      </c>
      <c r="AS4562" t="s">
        <v>9926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</row>
    <row r="4563" spans="1:59">
      <c r="A4563" s="1">
        <f>HYPERLINK("https://lsnyc.legalserver.org/matter/dynamic-profile/view/1908745","19-1908745")</f>
        <v>0</v>
      </c>
      <c r="B4563" t="s">
        <v>3691</v>
      </c>
      <c r="C4563" t="s">
        <v>8508</v>
      </c>
      <c r="D4563" t="s">
        <v>9928</v>
      </c>
      <c r="E4563" t="s">
        <v>10075</v>
      </c>
      <c r="F4563">
        <v>11215</v>
      </c>
      <c r="G4563" t="s">
        <v>10093</v>
      </c>
      <c r="H4563" t="s">
        <v>10160</v>
      </c>
      <c r="I4563" t="s">
        <v>10168</v>
      </c>
      <c r="J4563" t="s">
        <v>10213</v>
      </c>
      <c r="K4563" t="s">
        <v>10217</v>
      </c>
      <c r="M4563" t="s">
        <v>10245</v>
      </c>
      <c r="N4563" t="s">
        <v>10657</v>
      </c>
      <c r="P4563" t="s">
        <v>10749</v>
      </c>
      <c r="Q4563" t="s">
        <v>10765</v>
      </c>
      <c r="R4563" t="s">
        <v>10823</v>
      </c>
      <c r="T4563">
        <v>27600</v>
      </c>
      <c r="U4563">
        <v>2300</v>
      </c>
      <c r="V4563">
        <v>59</v>
      </c>
      <c r="W4563">
        <v>2</v>
      </c>
      <c r="X4563">
        <v>3</v>
      </c>
      <c r="Z4563">
        <v>91.48</v>
      </c>
      <c r="AA4563">
        <v>40.660991</v>
      </c>
      <c r="AB4563">
        <v>-73.990923</v>
      </c>
      <c r="AD4563" t="s">
        <v>10839</v>
      </c>
      <c r="AG4563" t="s">
        <v>10858</v>
      </c>
      <c r="AH4563" t="s">
        <v>10862</v>
      </c>
      <c r="AI4563">
        <v>239</v>
      </c>
      <c r="AJ4563" t="s">
        <v>10213</v>
      </c>
      <c r="AL4563">
        <v>0.3</v>
      </c>
      <c r="AM4563" t="s">
        <v>10886</v>
      </c>
      <c r="AN4563" t="s">
        <v>10921</v>
      </c>
      <c r="AO4563" t="s">
        <v>11008</v>
      </c>
      <c r="AP4563" t="s">
        <v>11069</v>
      </c>
      <c r="AQ4563" t="s">
        <v>11099</v>
      </c>
      <c r="AR4563" t="s">
        <v>11295</v>
      </c>
      <c r="AS4563" t="s">
        <v>11595</v>
      </c>
      <c r="AT4563" t="s">
        <v>11641</v>
      </c>
      <c r="AU4563" t="s">
        <v>11645</v>
      </c>
      <c r="AV4563" t="s">
        <v>11656</v>
      </c>
      <c r="AW4563" t="s">
        <v>11645</v>
      </c>
      <c r="AX4563" t="s">
        <v>10838</v>
      </c>
      <c r="BA4563" t="s">
        <v>11742</v>
      </c>
      <c r="BB4563">
        <v>0</v>
      </c>
      <c r="BC4563">
        <v>0</v>
      </c>
      <c r="BD4563">
        <v>0</v>
      </c>
      <c r="BE4563">
        <v>0</v>
      </c>
      <c r="BF4563">
        <v>7</v>
      </c>
      <c r="BG4563">
        <v>0</v>
      </c>
    </row>
    <row r="4564" spans="1:59">
      <c r="A4564" s="1">
        <f>HYPERLINK("https://lsnyc.legalserver.org/matter/dynamic-profile/view/1908746","19-1908746")</f>
        <v>0</v>
      </c>
      <c r="B4564" t="s">
        <v>3692</v>
      </c>
      <c r="C4564" t="s">
        <v>8509</v>
      </c>
      <c r="D4564" t="s">
        <v>9928</v>
      </c>
      <c r="E4564" t="s">
        <v>10075</v>
      </c>
      <c r="F4564">
        <v>11224</v>
      </c>
      <c r="G4564" t="s">
        <v>10093</v>
      </c>
      <c r="H4564" t="s">
        <v>10160</v>
      </c>
      <c r="I4564" t="s">
        <v>10168</v>
      </c>
      <c r="J4564" t="s">
        <v>10213</v>
      </c>
      <c r="K4564" t="s">
        <v>10217</v>
      </c>
      <c r="M4564" t="s">
        <v>10245</v>
      </c>
      <c r="N4564" t="s">
        <v>10657</v>
      </c>
      <c r="P4564" t="s">
        <v>10749</v>
      </c>
      <c r="Q4564" t="s">
        <v>10767</v>
      </c>
      <c r="R4564" t="s">
        <v>10821</v>
      </c>
      <c r="T4564">
        <v>12000</v>
      </c>
      <c r="U4564">
        <v>1000</v>
      </c>
      <c r="V4564">
        <v>54</v>
      </c>
      <c r="W4564">
        <v>1</v>
      </c>
      <c r="X4564">
        <v>0</v>
      </c>
      <c r="Z4564">
        <v>96.08</v>
      </c>
      <c r="AA4564">
        <v>40.574028</v>
      </c>
      <c r="AB4564">
        <v>-73.99988999999999</v>
      </c>
      <c r="AD4564" t="s">
        <v>10839</v>
      </c>
      <c r="AG4564" t="s">
        <v>10858</v>
      </c>
      <c r="AH4564" t="s">
        <v>10862</v>
      </c>
      <c r="AI4564">
        <v>239</v>
      </c>
      <c r="AJ4564" t="s">
        <v>10213</v>
      </c>
      <c r="AL4564">
        <v>1.2</v>
      </c>
      <c r="AM4564" t="s">
        <v>10889</v>
      </c>
      <c r="AN4564" t="s">
        <v>10960</v>
      </c>
      <c r="AO4564" t="s">
        <v>11006</v>
      </c>
      <c r="AP4564" t="s">
        <v>11087</v>
      </c>
      <c r="AR4564" t="s">
        <v>11257</v>
      </c>
      <c r="AS4564" t="s">
        <v>11595</v>
      </c>
      <c r="AT4564" t="s">
        <v>11641</v>
      </c>
      <c r="AW4564" t="s">
        <v>11645</v>
      </c>
      <c r="AX4564" t="s">
        <v>10838</v>
      </c>
      <c r="BA4564" t="s">
        <v>11740</v>
      </c>
      <c r="BB4564">
        <v>0</v>
      </c>
      <c r="BC4564">
        <v>0</v>
      </c>
      <c r="BD4564">
        <v>0</v>
      </c>
      <c r="BE4564">
        <v>0</v>
      </c>
      <c r="BF4564">
        <v>2</v>
      </c>
      <c r="BG4564">
        <v>0</v>
      </c>
    </row>
    <row r="4565" spans="1:59">
      <c r="A4565" s="1">
        <f>HYPERLINK("https://lsnyc.legalserver.org/matter/dynamic-profile/view/1908748","19-1908748")</f>
        <v>0</v>
      </c>
      <c r="B4565" t="s">
        <v>3693</v>
      </c>
      <c r="C4565" t="s">
        <v>8510</v>
      </c>
      <c r="D4565" t="s">
        <v>9928</v>
      </c>
      <c r="E4565" t="s">
        <v>10075</v>
      </c>
      <c r="F4565">
        <v>11225</v>
      </c>
      <c r="G4565" t="s">
        <v>10093</v>
      </c>
      <c r="H4565" t="s">
        <v>10160</v>
      </c>
      <c r="I4565" t="s">
        <v>10168</v>
      </c>
      <c r="J4565" t="s">
        <v>10213</v>
      </c>
      <c r="K4565" t="s">
        <v>10217</v>
      </c>
      <c r="M4565" t="s">
        <v>10465</v>
      </c>
      <c r="N4565" t="s">
        <v>10667</v>
      </c>
      <c r="P4565" t="s">
        <v>10749</v>
      </c>
      <c r="Q4565" t="s">
        <v>10765</v>
      </c>
      <c r="R4565" t="s">
        <v>10824</v>
      </c>
      <c r="T4565">
        <v>32000</v>
      </c>
      <c r="U4565">
        <v>2666.67</v>
      </c>
      <c r="V4565">
        <v>60</v>
      </c>
      <c r="W4565">
        <v>2</v>
      </c>
      <c r="X4565">
        <v>0</v>
      </c>
      <c r="Z4565">
        <v>189.24</v>
      </c>
      <c r="AA4565">
        <v>40.665207</v>
      </c>
      <c r="AB4565">
        <v>-73.952298</v>
      </c>
      <c r="AD4565" t="s">
        <v>10839</v>
      </c>
      <c r="AG4565" t="s">
        <v>10858</v>
      </c>
      <c r="AH4565" t="s">
        <v>10862</v>
      </c>
      <c r="AI4565">
        <v>239</v>
      </c>
      <c r="AJ4565" t="s">
        <v>10213</v>
      </c>
      <c r="AL4565">
        <v>6.5</v>
      </c>
      <c r="AM4565" t="s">
        <v>10888</v>
      </c>
      <c r="AN4565" t="s">
        <v>10912</v>
      </c>
      <c r="AO4565" t="s">
        <v>11005</v>
      </c>
      <c r="AP4565" t="s">
        <v>11061</v>
      </c>
      <c r="AQ4565" t="s">
        <v>11101</v>
      </c>
      <c r="AR4565" t="s">
        <v>11257</v>
      </c>
      <c r="AS4565" t="s">
        <v>11595</v>
      </c>
      <c r="BA4565" t="s">
        <v>11738</v>
      </c>
      <c r="BB4565">
        <v>0</v>
      </c>
      <c r="BC4565">
        <v>0</v>
      </c>
      <c r="BD4565">
        <v>0</v>
      </c>
      <c r="BE4565">
        <v>0</v>
      </c>
      <c r="BF4565">
        <v>5</v>
      </c>
      <c r="BG4565">
        <v>0</v>
      </c>
    </row>
    <row r="4566" spans="1:59">
      <c r="A4566" s="1">
        <f>HYPERLINK("https://lsnyc.legalserver.org/matter/dynamic-profile/view/1908749","19-1908749")</f>
        <v>0</v>
      </c>
      <c r="B4566" t="s">
        <v>3694</v>
      </c>
      <c r="C4566" t="s">
        <v>8511</v>
      </c>
      <c r="D4566" t="s">
        <v>9928</v>
      </c>
      <c r="E4566" t="s">
        <v>10075</v>
      </c>
      <c r="F4566">
        <v>11216</v>
      </c>
      <c r="G4566" t="s">
        <v>10093</v>
      </c>
      <c r="H4566" t="s">
        <v>10160</v>
      </c>
      <c r="I4566" t="s">
        <v>10168</v>
      </c>
      <c r="J4566" t="s">
        <v>10213</v>
      </c>
      <c r="K4566" t="s">
        <v>10218</v>
      </c>
      <c r="L4566" t="s">
        <v>10136</v>
      </c>
      <c r="M4566" t="s">
        <v>10465</v>
      </c>
      <c r="N4566" t="s">
        <v>10667</v>
      </c>
      <c r="P4566" t="s">
        <v>10749</v>
      </c>
      <c r="Q4566" t="s">
        <v>10765</v>
      </c>
      <c r="R4566" t="s">
        <v>10824</v>
      </c>
      <c r="T4566">
        <v>20000</v>
      </c>
      <c r="U4566">
        <v>1666.67</v>
      </c>
      <c r="V4566">
        <v>56</v>
      </c>
      <c r="W4566">
        <v>1</v>
      </c>
      <c r="X4566">
        <v>0</v>
      </c>
      <c r="Y4566" t="s">
        <v>10831</v>
      </c>
      <c r="Z4566">
        <v>160.13</v>
      </c>
      <c r="AA4566">
        <v>40.675812</v>
      </c>
      <c r="AB4566">
        <v>-73.950907</v>
      </c>
      <c r="AD4566" t="s">
        <v>10840</v>
      </c>
      <c r="AG4566" t="s">
        <v>10858</v>
      </c>
      <c r="AH4566" t="s">
        <v>10862</v>
      </c>
      <c r="AI4566">
        <v>239</v>
      </c>
      <c r="AJ4566" t="s">
        <v>10213</v>
      </c>
      <c r="AK4566" t="s">
        <v>10882</v>
      </c>
      <c r="AL4566">
        <v>2.55</v>
      </c>
      <c r="AM4566" t="s">
        <v>10888</v>
      </c>
      <c r="AN4566" t="s">
        <v>10912</v>
      </c>
      <c r="AO4566" t="s">
        <v>11007</v>
      </c>
      <c r="AP4566" t="s">
        <v>11052</v>
      </c>
      <c r="AQ4566" t="s">
        <v>11101</v>
      </c>
      <c r="AR4566" t="s">
        <v>11257</v>
      </c>
      <c r="AS4566" t="s">
        <v>11595</v>
      </c>
      <c r="AY4566" t="s">
        <v>10831</v>
      </c>
      <c r="AZ4566" t="s">
        <v>11687</v>
      </c>
      <c r="BA4566" t="s">
        <v>11738</v>
      </c>
      <c r="BB4566">
        <v>0</v>
      </c>
      <c r="BC4566">
        <v>0</v>
      </c>
      <c r="BD4566">
        <v>0</v>
      </c>
      <c r="BE4566">
        <v>0</v>
      </c>
      <c r="BF4566">
        <v>5</v>
      </c>
      <c r="BG4566">
        <v>0</v>
      </c>
    </row>
    <row r="4567" spans="1:59">
      <c r="A4567" s="1">
        <f>HYPERLINK("https://lsnyc.legalserver.org/matter/dynamic-profile/view/1908750","19-1908750")</f>
        <v>0</v>
      </c>
      <c r="B4567" t="s">
        <v>1522</v>
      </c>
      <c r="C4567" t="s">
        <v>8265</v>
      </c>
      <c r="D4567" t="s">
        <v>9926</v>
      </c>
      <c r="E4567" t="s">
        <v>10075</v>
      </c>
      <c r="F4567">
        <v>10467</v>
      </c>
      <c r="G4567" t="s">
        <v>10090</v>
      </c>
      <c r="H4567" t="s">
        <v>10160</v>
      </c>
      <c r="I4567" t="s">
        <v>10169</v>
      </c>
      <c r="J4567" t="s">
        <v>10210</v>
      </c>
      <c r="K4567" t="s">
        <v>10217</v>
      </c>
      <c r="M4567" t="s">
        <v>10614</v>
      </c>
      <c r="N4567" t="s">
        <v>10651</v>
      </c>
      <c r="P4567" t="s">
        <v>10749</v>
      </c>
      <c r="Q4567" t="s">
        <v>10765</v>
      </c>
      <c r="R4567" t="s">
        <v>10821</v>
      </c>
      <c r="T4567">
        <v>15600</v>
      </c>
      <c r="U4567">
        <v>1300</v>
      </c>
      <c r="V4567">
        <v>35</v>
      </c>
      <c r="W4567">
        <v>1</v>
      </c>
      <c r="X4567">
        <v>4</v>
      </c>
      <c r="Z4567">
        <v>51.71</v>
      </c>
      <c r="AA4567">
        <v>40.87982</v>
      </c>
      <c r="AB4567">
        <v>-73.87667399999999</v>
      </c>
      <c r="AD4567" t="s">
        <v>10839</v>
      </c>
      <c r="AG4567" t="s">
        <v>10858</v>
      </c>
      <c r="AH4567" t="s">
        <v>10861</v>
      </c>
      <c r="AI4567">
        <v>230</v>
      </c>
      <c r="AJ4567" t="s">
        <v>10210</v>
      </c>
      <c r="AL4567">
        <v>11</v>
      </c>
      <c r="AM4567" t="s">
        <v>10887</v>
      </c>
      <c r="AN4567" t="s">
        <v>10919</v>
      </c>
      <c r="AO4567" t="s">
        <v>11010</v>
      </c>
      <c r="AP4567" t="s">
        <v>11057</v>
      </c>
      <c r="AR4567" t="s">
        <v>11262</v>
      </c>
      <c r="AS4567" t="s">
        <v>9926</v>
      </c>
      <c r="AT4567" t="s">
        <v>11641</v>
      </c>
      <c r="AX4567" t="s">
        <v>10838</v>
      </c>
      <c r="BA4567" t="s">
        <v>11738</v>
      </c>
      <c r="BB4567">
        <v>0</v>
      </c>
      <c r="BC4567">
        <v>0</v>
      </c>
      <c r="BD4567">
        <v>0</v>
      </c>
      <c r="BE4567">
        <v>0</v>
      </c>
      <c r="BF4567">
        <v>5</v>
      </c>
      <c r="BG4567">
        <v>0</v>
      </c>
    </row>
    <row r="4568" spans="1:59">
      <c r="A4568" s="1">
        <f>HYPERLINK("https://lsnyc.legalserver.org/matter/dynamic-profile/view/1908752","19-1908752")</f>
        <v>0</v>
      </c>
      <c r="B4568" t="s">
        <v>3643</v>
      </c>
      <c r="C4568" t="s">
        <v>7867</v>
      </c>
      <c r="D4568" t="s">
        <v>9927</v>
      </c>
      <c r="E4568" t="s">
        <v>10075</v>
      </c>
      <c r="F4568">
        <v>11377</v>
      </c>
      <c r="G4568" t="s">
        <v>10092</v>
      </c>
      <c r="H4568" t="s">
        <v>10160</v>
      </c>
      <c r="I4568" t="s">
        <v>10169</v>
      </c>
      <c r="J4568" t="s">
        <v>10212</v>
      </c>
      <c r="K4568" t="s">
        <v>10217</v>
      </c>
      <c r="M4568" t="s">
        <v>10387</v>
      </c>
      <c r="N4568" t="s">
        <v>10650</v>
      </c>
      <c r="P4568" t="s">
        <v>10749</v>
      </c>
      <c r="Q4568" t="s">
        <v>10765</v>
      </c>
      <c r="R4568" t="s">
        <v>10821</v>
      </c>
      <c r="T4568">
        <v>26000</v>
      </c>
      <c r="U4568">
        <v>2166.67</v>
      </c>
      <c r="V4568">
        <v>45</v>
      </c>
      <c r="W4568">
        <v>3</v>
      </c>
      <c r="X4568">
        <v>1</v>
      </c>
      <c r="Z4568">
        <v>100.97</v>
      </c>
      <c r="AA4568">
        <v>40.741994</v>
      </c>
      <c r="AB4568">
        <v>-73.90494</v>
      </c>
      <c r="AD4568" t="s">
        <v>10840</v>
      </c>
      <c r="AF4568" t="s">
        <v>10848</v>
      </c>
      <c r="AG4568" t="s">
        <v>10859</v>
      </c>
      <c r="AH4568" t="s">
        <v>10862</v>
      </c>
      <c r="AI4568">
        <v>237</v>
      </c>
      <c r="AJ4568" t="s">
        <v>10212</v>
      </c>
      <c r="AL4568">
        <v>0.2</v>
      </c>
      <c r="AM4568" t="s">
        <v>10885</v>
      </c>
      <c r="AN4568" t="s">
        <v>10935</v>
      </c>
      <c r="AO4568" t="s">
        <v>11003</v>
      </c>
      <c r="AP4568" t="s">
        <v>11047</v>
      </c>
      <c r="AR4568" t="s">
        <v>11257</v>
      </c>
      <c r="AS4568" t="s">
        <v>11594</v>
      </c>
      <c r="BA4568" t="s">
        <v>11739</v>
      </c>
      <c r="BB4568">
        <v>0</v>
      </c>
      <c r="BC4568">
        <v>0</v>
      </c>
      <c r="BD4568">
        <v>0</v>
      </c>
      <c r="BE4568">
        <v>0</v>
      </c>
      <c r="BF4568">
        <v>4</v>
      </c>
      <c r="BG4568">
        <v>0</v>
      </c>
    </row>
    <row r="4569" spans="1:59">
      <c r="A4569" s="1">
        <f>HYPERLINK("https://lsnyc.legalserver.org/matter/dynamic-profile/view/1908753","19-1908753")</f>
        <v>0</v>
      </c>
      <c r="B4569" t="s">
        <v>3695</v>
      </c>
      <c r="C4569" t="s">
        <v>8512</v>
      </c>
      <c r="D4569" t="s">
        <v>9926</v>
      </c>
      <c r="E4569" t="s">
        <v>10075</v>
      </c>
      <c r="F4569">
        <v>10468</v>
      </c>
      <c r="G4569" t="s">
        <v>10090</v>
      </c>
      <c r="H4569" t="s">
        <v>10151</v>
      </c>
      <c r="I4569" t="s">
        <v>10168</v>
      </c>
      <c r="J4569" t="s">
        <v>10210</v>
      </c>
      <c r="K4569" t="s">
        <v>10217</v>
      </c>
      <c r="M4569" t="s">
        <v>10546</v>
      </c>
      <c r="N4569" t="s">
        <v>10651</v>
      </c>
      <c r="P4569" t="s">
        <v>10749</v>
      </c>
      <c r="Q4569" t="s">
        <v>10765</v>
      </c>
      <c r="R4569" t="s">
        <v>10824</v>
      </c>
      <c r="T4569">
        <v>9252</v>
      </c>
      <c r="U4569">
        <v>771</v>
      </c>
      <c r="V4569">
        <v>62</v>
      </c>
      <c r="W4569">
        <v>1</v>
      </c>
      <c r="X4569">
        <v>0</v>
      </c>
      <c r="Z4569">
        <v>74.08</v>
      </c>
      <c r="AA4569">
        <v>40.858814</v>
      </c>
      <c r="AB4569">
        <v>-73.900048</v>
      </c>
      <c r="AD4569" t="s">
        <v>10839</v>
      </c>
      <c r="AG4569" t="s">
        <v>10858</v>
      </c>
      <c r="AH4569" t="s">
        <v>10862</v>
      </c>
      <c r="AI4569">
        <v>230</v>
      </c>
      <c r="AJ4569" t="s">
        <v>10210</v>
      </c>
      <c r="AL4569">
        <v>5.4</v>
      </c>
      <c r="AM4569" t="s">
        <v>10884</v>
      </c>
      <c r="AN4569" t="s">
        <v>10931</v>
      </c>
      <c r="AO4569" t="s">
        <v>11000</v>
      </c>
      <c r="AP4569" t="s">
        <v>11045</v>
      </c>
      <c r="AR4569" t="s">
        <v>11274</v>
      </c>
      <c r="AS4569" t="s">
        <v>9926</v>
      </c>
      <c r="AT4569" t="s">
        <v>11641</v>
      </c>
      <c r="BA4569" t="s">
        <v>11738</v>
      </c>
      <c r="BB4569">
        <v>0</v>
      </c>
      <c r="BC4569">
        <v>0</v>
      </c>
      <c r="BD4569">
        <v>0</v>
      </c>
      <c r="BE4569">
        <v>0</v>
      </c>
      <c r="BF4569">
        <v>5</v>
      </c>
      <c r="BG4569">
        <v>0</v>
      </c>
    </row>
    <row r="4570" spans="1:59">
      <c r="A4570" s="1">
        <f>HYPERLINK("https://lsnyc.legalserver.org/matter/dynamic-profile/view/1908754","19-1908754")</f>
        <v>0</v>
      </c>
      <c r="B4570" t="s">
        <v>2638</v>
      </c>
      <c r="C4570" t="s">
        <v>6236</v>
      </c>
      <c r="D4570" t="s">
        <v>9926</v>
      </c>
      <c r="E4570" t="s">
        <v>10075</v>
      </c>
      <c r="F4570">
        <v>10452</v>
      </c>
      <c r="G4570" t="s">
        <v>10090</v>
      </c>
      <c r="H4570" t="s">
        <v>10160</v>
      </c>
      <c r="I4570" t="s">
        <v>10168</v>
      </c>
      <c r="J4570" t="s">
        <v>10210</v>
      </c>
      <c r="K4570" t="s">
        <v>10217</v>
      </c>
      <c r="M4570" t="s">
        <v>10597</v>
      </c>
      <c r="N4570" t="s">
        <v>10671</v>
      </c>
      <c r="P4570" t="s">
        <v>10757</v>
      </c>
      <c r="Q4570" t="s">
        <v>10797</v>
      </c>
      <c r="R4570" t="s">
        <v>10825</v>
      </c>
      <c r="T4570">
        <v>20400</v>
      </c>
      <c r="U4570">
        <v>1700</v>
      </c>
      <c r="V4570">
        <v>53</v>
      </c>
      <c r="W4570">
        <v>1</v>
      </c>
      <c r="X4570">
        <v>0</v>
      </c>
      <c r="Z4570">
        <v>163.33</v>
      </c>
      <c r="AA4570">
        <v>40.832781</v>
      </c>
      <c r="AB4570">
        <v>-73.928279</v>
      </c>
      <c r="AD4570" t="s">
        <v>10839</v>
      </c>
      <c r="AG4570" t="s">
        <v>10858</v>
      </c>
      <c r="AH4570" t="s">
        <v>10861</v>
      </c>
      <c r="AI4570">
        <v>234</v>
      </c>
      <c r="AJ4570" t="s">
        <v>10214</v>
      </c>
      <c r="AL4570">
        <v>3.45</v>
      </c>
      <c r="AR4570" t="s">
        <v>11298</v>
      </c>
      <c r="AS4570" t="s">
        <v>9926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</row>
    <row r="4571" spans="1:59">
      <c r="A4571" s="1">
        <f>HYPERLINK("https://lsnyc.legalserver.org/matter/dynamic-profile/view/1908756","19-1908756")</f>
        <v>0</v>
      </c>
      <c r="B4571" t="s">
        <v>3695</v>
      </c>
      <c r="C4571" t="s">
        <v>8512</v>
      </c>
      <c r="D4571" t="s">
        <v>9926</v>
      </c>
      <c r="E4571" t="s">
        <v>10075</v>
      </c>
      <c r="F4571">
        <v>10468</v>
      </c>
      <c r="G4571" t="s">
        <v>10090</v>
      </c>
      <c r="H4571" t="s">
        <v>10151</v>
      </c>
      <c r="I4571" t="s">
        <v>10168</v>
      </c>
      <c r="J4571" t="s">
        <v>10210</v>
      </c>
      <c r="K4571" t="s">
        <v>10217</v>
      </c>
      <c r="M4571" t="s">
        <v>10546</v>
      </c>
      <c r="N4571" t="s">
        <v>10677</v>
      </c>
      <c r="P4571" t="s">
        <v>10751</v>
      </c>
      <c r="Q4571" t="s">
        <v>10761</v>
      </c>
      <c r="R4571" t="s">
        <v>10824</v>
      </c>
      <c r="T4571">
        <v>9252</v>
      </c>
      <c r="U4571">
        <v>771</v>
      </c>
      <c r="V4571">
        <v>62</v>
      </c>
      <c r="W4571">
        <v>1</v>
      </c>
      <c r="X4571">
        <v>0</v>
      </c>
      <c r="Z4571">
        <v>74.08</v>
      </c>
      <c r="AA4571">
        <v>40.858814</v>
      </c>
      <c r="AB4571">
        <v>-73.900048</v>
      </c>
      <c r="AD4571" t="s">
        <v>10839</v>
      </c>
      <c r="AG4571" t="s">
        <v>10858</v>
      </c>
      <c r="AH4571" t="s">
        <v>10862</v>
      </c>
      <c r="AI4571">
        <v>230</v>
      </c>
      <c r="AJ4571" t="s">
        <v>10210</v>
      </c>
      <c r="AL4571">
        <v>1.2</v>
      </c>
      <c r="AM4571" t="s">
        <v>10884</v>
      </c>
      <c r="AN4571" t="s">
        <v>10931</v>
      </c>
      <c r="AO4571" t="s">
        <v>11000</v>
      </c>
      <c r="AP4571" t="s">
        <v>11045</v>
      </c>
      <c r="AR4571" t="s">
        <v>11274</v>
      </c>
      <c r="AS4571" t="s">
        <v>9926</v>
      </c>
      <c r="AT4571" t="s">
        <v>11641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</row>
    <row r="4572" spans="1:59">
      <c r="A4572" s="1">
        <f>HYPERLINK("https://lsnyc.legalserver.org/matter/dynamic-profile/view/1908757","19-1908757")</f>
        <v>0</v>
      </c>
      <c r="B4572" t="s">
        <v>3696</v>
      </c>
      <c r="C4572" t="s">
        <v>8513</v>
      </c>
      <c r="D4572" t="s">
        <v>9929</v>
      </c>
      <c r="E4572" t="s">
        <v>10075</v>
      </c>
      <c r="F4572">
        <v>10314</v>
      </c>
      <c r="G4572" t="s">
        <v>10088</v>
      </c>
      <c r="H4572" t="s">
        <v>10160</v>
      </c>
      <c r="I4572" t="s">
        <v>10168</v>
      </c>
      <c r="J4572" t="s">
        <v>10208</v>
      </c>
      <c r="K4572" t="s">
        <v>10217</v>
      </c>
      <c r="M4572" t="s">
        <v>10605</v>
      </c>
      <c r="N4572" t="s">
        <v>10655</v>
      </c>
      <c r="P4572" t="s">
        <v>10749</v>
      </c>
      <c r="Q4572" t="s">
        <v>10765</v>
      </c>
      <c r="R4572" t="s">
        <v>10821</v>
      </c>
      <c r="T4572">
        <v>2196</v>
      </c>
      <c r="U4572">
        <v>183</v>
      </c>
      <c r="V4572">
        <v>64</v>
      </c>
      <c r="W4572">
        <v>1</v>
      </c>
      <c r="X4572">
        <v>0</v>
      </c>
      <c r="Z4572">
        <v>17.58</v>
      </c>
      <c r="AA4572">
        <v>40.595743</v>
      </c>
      <c r="AB4572">
        <v>-74.130742</v>
      </c>
      <c r="AD4572" t="s">
        <v>10839</v>
      </c>
      <c r="AG4572" t="s">
        <v>10858</v>
      </c>
      <c r="AH4572" t="s">
        <v>10862</v>
      </c>
      <c r="AI4572">
        <v>285</v>
      </c>
      <c r="AJ4572" t="s">
        <v>10208</v>
      </c>
      <c r="AL4572">
        <v>5.05</v>
      </c>
      <c r="AM4572" t="s">
        <v>10883</v>
      </c>
      <c r="AN4572" t="s">
        <v>10928</v>
      </c>
      <c r="AO4572" t="s">
        <v>10999</v>
      </c>
      <c r="AP4572" t="s">
        <v>11063</v>
      </c>
      <c r="AR4572" t="s">
        <v>11255</v>
      </c>
      <c r="AS4572" t="s">
        <v>11593</v>
      </c>
      <c r="BA4572" t="s">
        <v>11738</v>
      </c>
      <c r="BB4572">
        <v>0</v>
      </c>
      <c r="BC4572">
        <v>0</v>
      </c>
      <c r="BD4572">
        <v>0</v>
      </c>
      <c r="BE4572">
        <v>0</v>
      </c>
      <c r="BF4572">
        <v>5</v>
      </c>
      <c r="BG4572">
        <v>0</v>
      </c>
    </row>
    <row r="4573" spans="1:59">
      <c r="A4573" s="1">
        <f>HYPERLINK("https://lsnyc.legalserver.org/matter/dynamic-profile/view/1908759","19-1908759")</f>
        <v>0</v>
      </c>
      <c r="B4573" t="s">
        <v>3697</v>
      </c>
      <c r="C4573" t="s">
        <v>8514</v>
      </c>
      <c r="D4573" t="s">
        <v>9928</v>
      </c>
      <c r="E4573" t="s">
        <v>10075</v>
      </c>
      <c r="F4573">
        <v>11239</v>
      </c>
      <c r="G4573" t="s">
        <v>10093</v>
      </c>
      <c r="H4573" t="s">
        <v>10160</v>
      </c>
      <c r="I4573" t="s">
        <v>10168</v>
      </c>
      <c r="J4573" t="s">
        <v>10213</v>
      </c>
      <c r="K4573" t="s">
        <v>10217</v>
      </c>
      <c r="M4573" t="s">
        <v>10390</v>
      </c>
      <c r="N4573" t="s">
        <v>10671</v>
      </c>
      <c r="P4573" t="s">
        <v>10754</v>
      </c>
      <c r="Q4573" t="s">
        <v>10782</v>
      </c>
      <c r="R4573" t="s">
        <v>10824</v>
      </c>
      <c r="T4573">
        <v>21804</v>
      </c>
      <c r="U4573">
        <v>1817</v>
      </c>
      <c r="V4573">
        <v>68</v>
      </c>
      <c r="W4573">
        <v>1</v>
      </c>
      <c r="X4573">
        <v>0</v>
      </c>
      <c r="Z4573">
        <v>174.57</v>
      </c>
      <c r="AA4573">
        <v>40.650035</v>
      </c>
      <c r="AB4573">
        <v>-73.88462199999999</v>
      </c>
      <c r="AD4573" t="s">
        <v>10839</v>
      </c>
      <c r="AG4573" t="s">
        <v>10858</v>
      </c>
      <c r="AH4573" t="s">
        <v>10861</v>
      </c>
      <c r="AI4573">
        <v>234</v>
      </c>
      <c r="AJ4573" t="s">
        <v>10214</v>
      </c>
      <c r="AL4573">
        <v>1.2</v>
      </c>
      <c r="AM4573" t="s">
        <v>10889</v>
      </c>
      <c r="AN4573" t="s">
        <v>10946</v>
      </c>
      <c r="AO4573" t="s">
        <v>11012</v>
      </c>
      <c r="AP4573" t="s">
        <v>11060</v>
      </c>
      <c r="AR4573" t="s">
        <v>11316</v>
      </c>
      <c r="AS4573" t="s">
        <v>11595</v>
      </c>
      <c r="AT4573" t="s">
        <v>11641</v>
      </c>
      <c r="AX4573" t="s">
        <v>10838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</row>
    <row r="4574" spans="1:59">
      <c r="A4574" s="1">
        <f>HYPERLINK("https://lsnyc.legalserver.org/matter/dynamic-profile/view/1908760","19-1908760")</f>
        <v>0</v>
      </c>
      <c r="B4574" t="s">
        <v>2331</v>
      </c>
      <c r="C4574" t="s">
        <v>8515</v>
      </c>
      <c r="D4574" t="s">
        <v>9925</v>
      </c>
      <c r="E4574" t="s">
        <v>10075</v>
      </c>
      <c r="F4574">
        <v>10031</v>
      </c>
      <c r="G4574" t="s">
        <v>10089</v>
      </c>
      <c r="H4574" t="s">
        <v>10160</v>
      </c>
      <c r="I4574" t="s">
        <v>10169</v>
      </c>
      <c r="J4574" t="s">
        <v>10209</v>
      </c>
      <c r="K4574" t="s">
        <v>10217</v>
      </c>
      <c r="M4574" t="s">
        <v>10575</v>
      </c>
      <c r="N4574" t="s">
        <v>10702</v>
      </c>
      <c r="P4574" t="s">
        <v>10749</v>
      </c>
      <c r="Q4574" t="s">
        <v>10765</v>
      </c>
      <c r="R4574" t="s">
        <v>10824</v>
      </c>
      <c r="T4574">
        <v>47000</v>
      </c>
      <c r="U4574">
        <v>3916.67</v>
      </c>
      <c r="V4574">
        <v>58</v>
      </c>
      <c r="W4574">
        <v>1</v>
      </c>
      <c r="X4574">
        <v>1</v>
      </c>
      <c r="Z4574">
        <v>277.94</v>
      </c>
      <c r="AA4574">
        <v>40.829435</v>
      </c>
      <c r="AB4574">
        <v>-73.94638399999999</v>
      </c>
      <c r="AD4574" t="s">
        <v>10839</v>
      </c>
      <c r="AG4574" t="s">
        <v>10858</v>
      </c>
      <c r="AH4574" t="s">
        <v>10862</v>
      </c>
      <c r="AI4574">
        <v>236</v>
      </c>
      <c r="AJ4574" t="s">
        <v>10209</v>
      </c>
      <c r="AL4574">
        <v>1</v>
      </c>
      <c r="AM4574" t="s">
        <v>10887</v>
      </c>
      <c r="AN4574" t="s">
        <v>10943</v>
      </c>
      <c r="AO4574" t="s">
        <v>11016</v>
      </c>
      <c r="AP4574" t="s">
        <v>11073</v>
      </c>
      <c r="AR4574" t="s">
        <v>11257</v>
      </c>
      <c r="AS4574" t="s">
        <v>9925</v>
      </c>
      <c r="BA4574" t="s">
        <v>11741</v>
      </c>
      <c r="BB4574">
        <v>0</v>
      </c>
      <c r="BC4574">
        <v>0</v>
      </c>
      <c r="BD4574">
        <v>0</v>
      </c>
      <c r="BE4574">
        <v>0</v>
      </c>
      <c r="BF4574">
        <v>1</v>
      </c>
      <c r="BG4574">
        <v>0</v>
      </c>
    </row>
    <row r="4575" spans="1:59">
      <c r="A4575" s="1">
        <f>HYPERLINK("https://lsnyc.legalserver.org/matter/dynamic-profile/view/1908761","19-1908761")</f>
        <v>0</v>
      </c>
      <c r="B4575" t="s">
        <v>2146</v>
      </c>
      <c r="C4575" t="s">
        <v>8516</v>
      </c>
      <c r="D4575" t="s">
        <v>9925</v>
      </c>
      <c r="E4575" t="s">
        <v>10075</v>
      </c>
      <c r="F4575">
        <v>10031</v>
      </c>
      <c r="G4575" t="s">
        <v>10089</v>
      </c>
      <c r="H4575" t="s">
        <v>10160</v>
      </c>
      <c r="I4575" t="s">
        <v>10169</v>
      </c>
      <c r="J4575" t="s">
        <v>10209</v>
      </c>
      <c r="K4575" t="s">
        <v>10217</v>
      </c>
      <c r="M4575" t="s">
        <v>10389</v>
      </c>
      <c r="N4575" t="s">
        <v>10702</v>
      </c>
      <c r="P4575" t="s">
        <v>10749</v>
      </c>
      <c r="Q4575" t="s">
        <v>10765</v>
      </c>
      <c r="R4575" t="s">
        <v>10823</v>
      </c>
      <c r="T4575">
        <v>23920</v>
      </c>
      <c r="U4575">
        <v>1993.33</v>
      </c>
      <c r="V4575">
        <v>50</v>
      </c>
      <c r="W4575">
        <v>1</v>
      </c>
      <c r="X4575">
        <v>0</v>
      </c>
      <c r="Z4575">
        <v>191.51</v>
      </c>
      <c r="AA4575">
        <v>40.819371</v>
      </c>
      <c r="AB4575">
        <v>-73.952583</v>
      </c>
      <c r="AD4575" t="s">
        <v>10840</v>
      </c>
      <c r="AF4575" t="s">
        <v>10842</v>
      </c>
      <c r="AG4575" t="s">
        <v>10859</v>
      </c>
      <c r="AH4575" t="s">
        <v>10862</v>
      </c>
      <c r="AI4575">
        <v>236</v>
      </c>
      <c r="AJ4575" t="s">
        <v>10209</v>
      </c>
      <c r="AL4575">
        <v>1.1</v>
      </c>
      <c r="AM4575" t="s">
        <v>10887</v>
      </c>
      <c r="AN4575" t="s">
        <v>10936</v>
      </c>
      <c r="AO4575" t="s">
        <v>11019</v>
      </c>
      <c r="AP4575" t="s">
        <v>11073</v>
      </c>
      <c r="AR4575" t="s">
        <v>11257</v>
      </c>
      <c r="AS4575" t="s">
        <v>9925</v>
      </c>
      <c r="BA4575" t="s">
        <v>11738</v>
      </c>
      <c r="BB4575">
        <v>0</v>
      </c>
      <c r="BC4575">
        <v>0</v>
      </c>
      <c r="BD4575">
        <v>0</v>
      </c>
      <c r="BE4575">
        <v>0</v>
      </c>
      <c r="BF4575">
        <v>5</v>
      </c>
      <c r="BG4575">
        <v>0</v>
      </c>
    </row>
    <row r="4576" spans="1:59">
      <c r="A4576" s="1">
        <f>HYPERLINK("https://lsnyc.legalserver.org/matter/dynamic-profile/view/1908762","19-1908762")</f>
        <v>0</v>
      </c>
      <c r="B4576" t="s">
        <v>2638</v>
      </c>
      <c r="C4576" t="s">
        <v>6236</v>
      </c>
      <c r="D4576" t="s">
        <v>9926</v>
      </c>
      <c r="E4576" t="s">
        <v>10075</v>
      </c>
      <c r="F4576">
        <v>10452</v>
      </c>
      <c r="G4576" t="s">
        <v>10090</v>
      </c>
      <c r="H4576" t="s">
        <v>10160</v>
      </c>
      <c r="I4576" t="s">
        <v>10168</v>
      </c>
      <c r="J4576" t="s">
        <v>10210</v>
      </c>
      <c r="K4576" t="s">
        <v>10217</v>
      </c>
      <c r="M4576" t="s">
        <v>10597</v>
      </c>
      <c r="N4576" t="s">
        <v>10671</v>
      </c>
      <c r="P4576" t="s">
        <v>10751</v>
      </c>
      <c r="Q4576" t="s">
        <v>10786</v>
      </c>
      <c r="R4576" t="s">
        <v>10825</v>
      </c>
      <c r="T4576">
        <v>20400</v>
      </c>
      <c r="U4576">
        <v>1700</v>
      </c>
      <c r="V4576">
        <v>53</v>
      </c>
      <c r="W4576">
        <v>1</v>
      </c>
      <c r="X4576">
        <v>0</v>
      </c>
      <c r="Z4576">
        <v>163.33</v>
      </c>
      <c r="AA4576">
        <v>40.832781</v>
      </c>
      <c r="AB4576">
        <v>-73.928279</v>
      </c>
      <c r="AD4576" t="s">
        <v>10839</v>
      </c>
      <c r="AG4576" t="s">
        <v>10858</v>
      </c>
      <c r="AH4576" t="s">
        <v>10861</v>
      </c>
      <c r="AI4576">
        <v>234</v>
      </c>
      <c r="AJ4576" t="s">
        <v>10214</v>
      </c>
      <c r="AL4576">
        <v>0.2</v>
      </c>
      <c r="AR4576" t="s">
        <v>11298</v>
      </c>
      <c r="AS4576" t="s">
        <v>9926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</row>
    <row r="4577" spans="1:59">
      <c r="A4577" s="1">
        <f>HYPERLINK("https://lsnyc.legalserver.org/matter/dynamic-profile/view/1908763","19-1908763")</f>
        <v>0</v>
      </c>
      <c r="B4577" t="s">
        <v>3698</v>
      </c>
      <c r="C4577" t="s">
        <v>8517</v>
      </c>
      <c r="D4577" t="s">
        <v>9925</v>
      </c>
      <c r="E4577" t="s">
        <v>10075</v>
      </c>
      <c r="F4577">
        <v>10032</v>
      </c>
      <c r="G4577" t="s">
        <v>10089</v>
      </c>
      <c r="H4577" t="s">
        <v>10160</v>
      </c>
      <c r="I4577" t="s">
        <v>10168</v>
      </c>
      <c r="J4577" t="s">
        <v>10209</v>
      </c>
      <c r="K4577" t="s">
        <v>10217</v>
      </c>
      <c r="M4577" t="s">
        <v>10301</v>
      </c>
      <c r="N4577" t="s">
        <v>10665</v>
      </c>
      <c r="P4577" t="s">
        <v>10751</v>
      </c>
      <c r="Q4577" t="s">
        <v>10773</v>
      </c>
      <c r="R4577" t="s">
        <v>10824</v>
      </c>
      <c r="T4577">
        <v>0</v>
      </c>
      <c r="U4577">
        <v>0</v>
      </c>
      <c r="V4577">
        <v>60</v>
      </c>
      <c r="W4577">
        <v>1</v>
      </c>
      <c r="X4577">
        <v>0</v>
      </c>
      <c r="Z4577">
        <v>0</v>
      </c>
      <c r="AA4577">
        <v>40.841661</v>
      </c>
      <c r="AB4577">
        <v>-73.93929199999999</v>
      </c>
      <c r="AD4577" t="s">
        <v>10839</v>
      </c>
      <c r="AG4577" t="s">
        <v>10858</v>
      </c>
      <c r="AH4577" t="s">
        <v>10861</v>
      </c>
      <c r="AI4577">
        <v>234</v>
      </c>
      <c r="AJ4577" t="s">
        <v>10214</v>
      </c>
      <c r="AL4577">
        <v>6</v>
      </c>
      <c r="AQ4577" t="s">
        <v>11115</v>
      </c>
      <c r="AR4577" t="s">
        <v>11267</v>
      </c>
      <c r="AS4577" t="s">
        <v>9925</v>
      </c>
      <c r="AT4577" t="s">
        <v>11641</v>
      </c>
      <c r="AX4577" t="s">
        <v>10838</v>
      </c>
      <c r="BA4577" t="s">
        <v>11741</v>
      </c>
      <c r="BB4577">
        <v>0</v>
      </c>
      <c r="BC4577">
        <v>0</v>
      </c>
      <c r="BD4577">
        <v>0</v>
      </c>
      <c r="BE4577">
        <v>0</v>
      </c>
      <c r="BF4577">
        <v>1</v>
      </c>
      <c r="BG4577">
        <v>0</v>
      </c>
    </row>
    <row r="4578" spans="1:59">
      <c r="A4578" s="1">
        <f>HYPERLINK("https://lsnyc.legalserver.org/matter/dynamic-profile/view/1908764","19-1908764")</f>
        <v>0</v>
      </c>
      <c r="B4578" t="s">
        <v>3699</v>
      </c>
      <c r="C4578" t="s">
        <v>8518</v>
      </c>
      <c r="D4578" t="s">
        <v>9926</v>
      </c>
      <c r="E4578" t="s">
        <v>10075</v>
      </c>
      <c r="F4578">
        <v>10458</v>
      </c>
      <c r="G4578" t="s">
        <v>10090</v>
      </c>
      <c r="H4578" t="s">
        <v>10160</v>
      </c>
      <c r="I4578" t="s">
        <v>10168</v>
      </c>
      <c r="J4578" t="s">
        <v>10210</v>
      </c>
      <c r="K4578" t="s">
        <v>10217</v>
      </c>
      <c r="M4578" t="s">
        <v>10615</v>
      </c>
      <c r="N4578" t="s">
        <v>10656</v>
      </c>
      <c r="P4578" t="s">
        <v>10751</v>
      </c>
      <c r="Q4578" t="s">
        <v>10768</v>
      </c>
      <c r="R4578" t="s">
        <v>10824</v>
      </c>
      <c r="T4578">
        <v>16000</v>
      </c>
      <c r="U4578">
        <v>1333.33</v>
      </c>
      <c r="V4578">
        <v>53</v>
      </c>
      <c r="W4578">
        <v>2</v>
      </c>
      <c r="X4578">
        <v>0</v>
      </c>
      <c r="Z4578">
        <v>94.62</v>
      </c>
      <c r="AA4578">
        <v>40.86444</v>
      </c>
      <c r="AB4578">
        <v>-73.89383599999999</v>
      </c>
      <c r="AD4578" t="s">
        <v>10839</v>
      </c>
      <c r="AG4578" t="s">
        <v>10858</v>
      </c>
      <c r="AH4578" t="s">
        <v>10861</v>
      </c>
      <c r="AI4578">
        <v>234</v>
      </c>
      <c r="AJ4578" t="s">
        <v>10214</v>
      </c>
      <c r="AL4578">
        <v>2.9</v>
      </c>
      <c r="AM4578" t="s">
        <v>10887</v>
      </c>
      <c r="AN4578" t="s">
        <v>10907</v>
      </c>
      <c r="AO4578" t="s">
        <v>11000</v>
      </c>
      <c r="AP4578" t="s">
        <v>11056</v>
      </c>
      <c r="AR4578" t="s">
        <v>11257</v>
      </c>
      <c r="AS4578" t="s">
        <v>9926</v>
      </c>
      <c r="AT4578" t="s">
        <v>11641</v>
      </c>
      <c r="AX4578" t="s">
        <v>10838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</row>
    <row r="4579" spans="1:59">
      <c r="A4579" s="1">
        <f>HYPERLINK("https://lsnyc.legalserver.org/matter/dynamic-profile/view/1908765","19-1908765")</f>
        <v>0</v>
      </c>
      <c r="B4579" t="s">
        <v>3700</v>
      </c>
      <c r="C4579" t="s">
        <v>8519</v>
      </c>
      <c r="D4579" t="s">
        <v>9928</v>
      </c>
      <c r="E4579" t="s">
        <v>10075</v>
      </c>
      <c r="F4579">
        <v>11249</v>
      </c>
      <c r="G4579" t="s">
        <v>10093</v>
      </c>
      <c r="H4579" t="s">
        <v>10160</v>
      </c>
      <c r="I4579" t="s">
        <v>10168</v>
      </c>
      <c r="J4579" t="s">
        <v>10213</v>
      </c>
      <c r="K4579" t="s">
        <v>10217</v>
      </c>
      <c r="M4579" t="s">
        <v>10443</v>
      </c>
      <c r="N4579" t="s">
        <v>10646</v>
      </c>
      <c r="P4579" t="s">
        <v>10757</v>
      </c>
      <c r="Q4579" t="s">
        <v>10789</v>
      </c>
      <c r="R4579" t="s">
        <v>10820</v>
      </c>
      <c r="T4579">
        <v>66640</v>
      </c>
      <c r="U4579">
        <v>5553.33</v>
      </c>
      <c r="V4579">
        <v>63</v>
      </c>
      <c r="W4579">
        <v>1</v>
      </c>
      <c r="X4579">
        <v>0</v>
      </c>
      <c r="Z4579">
        <v>533.55</v>
      </c>
      <c r="AA4579">
        <v>40.714019</v>
      </c>
      <c r="AB4579">
        <v>-73.96239799999999</v>
      </c>
      <c r="AC4579" t="s">
        <v>10837</v>
      </c>
      <c r="AD4579" t="s">
        <v>10840</v>
      </c>
      <c r="AG4579" t="s">
        <v>10858</v>
      </c>
      <c r="AH4579" t="s">
        <v>10871</v>
      </c>
      <c r="AI4579">
        <v>234</v>
      </c>
      <c r="AJ4579" t="s">
        <v>10214</v>
      </c>
      <c r="AL4579">
        <v>2</v>
      </c>
      <c r="AM4579" t="s">
        <v>10886</v>
      </c>
      <c r="AN4579" t="s">
        <v>10939</v>
      </c>
      <c r="AO4579" t="s">
        <v>11011</v>
      </c>
      <c r="AP4579" t="s">
        <v>11071</v>
      </c>
      <c r="AR4579" t="s">
        <v>11550</v>
      </c>
      <c r="AS4579" t="s">
        <v>11595</v>
      </c>
      <c r="AT4579" t="s">
        <v>11642</v>
      </c>
      <c r="AX4579" t="s">
        <v>10838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</row>
    <row r="4580" spans="1:59">
      <c r="A4580" s="1">
        <f>HYPERLINK("https://lsnyc.legalserver.org/matter/dynamic-profile/view/1908766","19-1908766")</f>
        <v>0</v>
      </c>
      <c r="B4580" t="s">
        <v>2638</v>
      </c>
      <c r="C4580" t="s">
        <v>6236</v>
      </c>
      <c r="D4580" t="s">
        <v>9926</v>
      </c>
      <c r="E4580" t="s">
        <v>10075</v>
      </c>
      <c r="F4580">
        <v>10452</v>
      </c>
      <c r="G4580" t="s">
        <v>10090</v>
      </c>
      <c r="H4580" t="s">
        <v>10160</v>
      </c>
      <c r="I4580" t="s">
        <v>10168</v>
      </c>
      <c r="J4580" t="s">
        <v>10210</v>
      </c>
      <c r="K4580" t="s">
        <v>10217</v>
      </c>
      <c r="M4580" t="s">
        <v>10597</v>
      </c>
      <c r="N4580" t="s">
        <v>10671</v>
      </c>
      <c r="P4580" t="s">
        <v>10749</v>
      </c>
      <c r="Q4580" t="s">
        <v>10791</v>
      </c>
      <c r="R4580" t="s">
        <v>10825</v>
      </c>
      <c r="T4580">
        <v>20400</v>
      </c>
      <c r="U4580">
        <v>1700</v>
      </c>
      <c r="V4580">
        <v>53</v>
      </c>
      <c r="W4580">
        <v>1</v>
      </c>
      <c r="X4580">
        <v>0</v>
      </c>
      <c r="Z4580">
        <v>163.33</v>
      </c>
      <c r="AA4580">
        <v>40.832781</v>
      </c>
      <c r="AB4580">
        <v>-73.928279</v>
      </c>
      <c r="AD4580" t="s">
        <v>10839</v>
      </c>
      <c r="AG4580" t="s">
        <v>10858</v>
      </c>
      <c r="AH4580" t="s">
        <v>10861</v>
      </c>
      <c r="AI4580">
        <v>234</v>
      </c>
      <c r="AJ4580" t="s">
        <v>10214</v>
      </c>
      <c r="AL4580">
        <v>0.4</v>
      </c>
      <c r="AQ4580" t="s">
        <v>11186</v>
      </c>
      <c r="AR4580" t="s">
        <v>11298</v>
      </c>
      <c r="AS4580" t="s">
        <v>9926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</row>
    <row r="4581" spans="1:59">
      <c r="A4581" s="1">
        <f>HYPERLINK("https://lsnyc.legalserver.org/matter/dynamic-profile/view/1908767","19-1908767")</f>
        <v>0</v>
      </c>
      <c r="B4581" t="s">
        <v>3701</v>
      </c>
      <c r="C4581" t="s">
        <v>8520</v>
      </c>
      <c r="D4581" t="s">
        <v>9926</v>
      </c>
      <c r="E4581" t="s">
        <v>10075</v>
      </c>
      <c r="F4581">
        <v>10451</v>
      </c>
      <c r="G4581" t="s">
        <v>10091</v>
      </c>
      <c r="H4581" t="s">
        <v>10160</v>
      </c>
      <c r="I4581" t="s">
        <v>10168</v>
      </c>
      <c r="J4581" t="s">
        <v>10214</v>
      </c>
      <c r="K4581" t="s">
        <v>10217</v>
      </c>
      <c r="M4581" t="s">
        <v>10286</v>
      </c>
      <c r="N4581" t="s">
        <v>10671</v>
      </c>
      <c r="P4581" t="s">
        <v>10752</v>
      </c>
      <c r="Q4581" t="s">
        <v>10762</v>
      </c>
      <c r="R4581" t="s">
        <v>10821</v>
      </c>
      <c r="T4581">
        <v>11004</v>
      </c>
      <c r="U4581">
        <v>917</v>
      </c>
      <c r="V4581">
        <v>73</v>
      </c>
      <c r="W4581">
        <v>1</v>
      </c>
      <c r="X4581">
        <v>0</v>
      </c>
      <c r="Z4581">
        <v>88.09999999999999</v>
      </c>
      <c r="AA4581">
        <v>40.820229</v>
      </c>
      <c r="AB4581">
        <v>-73.92008</v>
      </c>
      <c r="AD4581" t="s">
        <v>10839</v>
      </c>
      <c r="AG4581" t="s">
        <v>10858</v>
      </c>
      <c r="AH4581" t="s">
        <v>10871</v>
      </c>
      <c r="AI4581">
        <v>234</v>
      </c>
      <c r="AJ4581" t="s">
        <v>10214</v>
      </c>
      <c r="AL4581">
        <v>1</v>
      </c>
      <c r="AM4581" t="s">
        <v>10884</v>
      </c>
      <c r="AN4581" t="s">
        <v>10924</v>
      </c>
      <c r="AO4581" t="s">
        <v>11001</v>
      </c>
      <c r="AP4581" t="s">
        <v>11062</v>
      </c>
      <c r="AR4581" t="s">
        <v>11268</v>
      </c>
      <c r="AS4581" t="s">
        <v>9926</v>
      </c>
      <c r="AT4581" t="s">
        <v>11641</v>
      </c>
      <c r="AX4581" t="s">
        <v>10838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</row>
    <row r="4582" spans="1:59">
      <c r="A4582" s="1">
        <f>HYPERLINK("https://lsnyc.legalserver.org/matter/dynamic-profile/view/1908768","19-1908768")</f>
        <v>0</v>
      </c>
      <c r="B4582" t="s">
        <v>2518</v>
      </c>
      <c r="C4582" t="s">
        <v>8521</v>
      </c>
      <c r="D4582" t="s">
        <v>9926</v>
      </c>
      <c r="E4582" t="s">
        <v>10075</v>
      </c>
      <c r="F4582">
        <v>10462</v>
      </c>
      <c r="G4582" t="s">
        <v>10090</v>
      </c>
      <c r="H4582" t="s">
        <v>10151</v>
      </c>
      <c r="I4582" t="s">
        <v>10168</v>
      </c>
      <c r="J4582" t="s">
        <v>10210</v>
      </c>
      <c r="K4582" t="s">
        <v>10217</v>
      </c>
      <c r="M4582" t="s">
        <v>10546</v>
      </c>
      <c r="N4582" t="s">
        <v>10666</v>
      </c>
      <c r="P4582" t="s">
        <v>10749</v>
      </c>
      <c r="Q4582" t="s">
        <v>10765</v>
      </c>
      <c r="R4582" t="s">
        <v>10821</v>
      </c>
      <c r="T4582">
        <v>20700</v>
      </c>
      <c r="U4582">
        <v>1725</v>
      </c>
      <c r="V4582">
        <v>42</v>
      </c>
      <c r="W4582">
        <v>1</v>
      </c>
      <c r="X4582">
        <v>2</v>
      </c>
      <c r="Z4582">
        <v>97.05</v>
      </c>
      <c r="AA4582">
        <v>40.85171</v>
      </c>
      <c r="AB4582">
        <v>-73.867559</v>
      </c>
      <c r="AD4582" t="s">
        <v>10839</v>
      </c>
      <c r="AG4582" t="s">
        <v>10858</v>
      </c>
      <c r="AH4582" t="s">
        <v>10862</v>
      </c>
      <c r="AI4582">
        <v>230</v>
      </c>
      <c r="AJ4582" t="s">
        <v>10210</v>
      </c>
      <c r="AL4582">
        <v>4.15</v>
      </c>
      <c r="AM4582" t="s">
        <v>10885</v>
      </c>
      <c r="AN4582" t="s">
        <v>10938</v>
      </c>
      <c r="AO4582" t="s">
        <v>11002</v>
      </c>
      <c r="AP4582" t="s">
        <v>11049</v>
      </c>
      <c r="AR4582" t="s">
        <v>11334</v>
      </c>
      <c r="AS4582" t="s">
        <v>9926</v>
      </c>
      <c r="AT4582" t="s">
        <v>11641</v>
      </c>
      <c r="AX4582" t="s">
        <v>10838</v>
      </c>
      <c r="BA4582" t="s">
        <v>11738</v>
      </c>
      <c r="BB4582">
        <v>0</v>
      </c>
      <c r="BC4582">
        <v>0</v>
      </c>
      <c r="BD4582">
        <v>0</v>
      </c>
      <c r="BE4582">
        <v>0</v>
      </c>
      <c r="BF4582">
        <v>5</v>
      </c>
      <c r="BG4582">
        <v>0</v>
      </c>
    </row>
    <row r="4583" spans="1:59">
      <c r="A4583" s="1">
        <f>HYPERLINK("https://lsnyc.legalserver.org/matter/dynamic-profile/view/1908770","19-1908770")</f>
        <v>0</v>
      </c>
      <c r="B4583" t="s">
        <v>2518</v>
      </c>
      <c r="C4583" t="s">
        <v>8521</v>
      </c>
      <c r="D4583" t="s">
        <v>9926</v>
      </c>
      <c r="E4583" t="s">
        <v>10075</v>
      </c>
      <c r="F4583">
        <v>10462</v>
      </c>
      <c r="G4583" t="s">
        <v>10090</v>
      </c>
      <c r="H4583" t="s">
        <v>10151</v>
      </c>
      <c r="I4583" t="s">
        <v>10168</v>
      </c>
      <c r="J4583" t="s">
        <v>10210</v>
      </c>
      <c r="K4583" t="s">
        <v>10217</v>
      </c>
      <c r="M4583" t="s">
        <v>10546</v>
      </c>
      <c r="N4583" t="s">
        <v>10671</v>
      </c>
      <c r="P4583" t="s">
        <v>10751</v>
      </c>
      <c r="Q4583" t="s">
        <v>10761</v>
      </c>
      <c r="R4583" t="s">
        <v>10821</v>
      </c>
      <c r="T4583">
        <v>20700</v>
      </c>
      <c r="U4583">
        <v>1725</v>
      </c>
      <c r="V4583">
        <v>42</v>
      </c>
      <c r="W4583">
        <v>1</v>
      </c>
      <c r="X4583">
        <v>2</v>
      </c>
      <c r="Z4583">
        <v>97.05</v>
      </c>
      <c r="AA4583">
        <v>40.85171</v>
      </c>
      <c r="AB4583">
        <v>-73.867559</v>
      </c>
      <c r="AD4583" t="s">
        <v>10839</v>
      </c>
      <c r="AG4583" t="s">
        <v>10858</v>
      </c>
      <c r="AH4583" t="s">
        <v>10862</v>
      </c>
      <c r="AI4583">
        <v>230</v>
      </c>
      <c r="AJ4583" t="s">
        <v>10210</v>
      </c>
      <c r="AL4583">
        <v>0</v>
      </c>
      <c r="AM4583" t="s">
        <v>10885</v>
      </c>
      <c r="AN4583" t="s">
        <v>10938</v>
      </c>
      <c r="AO4583" t="s">
        <v>11002</v>
      </c>
      <c r="AP4583" t="s">
        <v>11049</v>
      </c>
      <c r="AR4583" t="s">
        <v>11334</v>
      </c>
      <c r="AS4583" t="s">
        <v>9926</v>
      </c>
      <c r="AT4583" t="s">
        <v>11641</v>
      </c>
      <c r="AX4583" t="s">
        <v>10838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</row>
    <row r="4584" spans="1:59">
      <c r="A4584" s="1">
        <f>HYPERLINK("https://lsnyc.legalserver.org/matter/dynamic-profile/view/1908771","19-1908771")</f>
        <v>0</v>
      </c>
      <c r="B4584" t="s">
        <v>3702</v>
      </c>
      <c r="C4584" t="s">
        <v>8522</v>
      </c>
      <c r="D4584" t="s">
        <v>9977</v>
      </c>
      <c r="E4584" t="s">
        <v>10075</v>
      </c>
      <c r="F4584">
        <v>11361</v>
      </c>
      <c r="G4584" t="s">
        <v>10092</v>
      </c>
      <c r="H4584" t="s">
        <v>10160</v>
      </c>
      <c r="I4584" t="s">
        <v>10168</v>
      </c>
      <c r="J4584" t="s">
        <v>10212</v>
      </c>
      <c r="K4584" t="s">
        <v>10217</v>
      </c>
      <c r="M4584" t="s">
        <v>10366</v>
      </c>
      <c r="N4584" t="s">
        <v>10678</v>
      </c>
      <c r="P4584" t="s">
        <v>10749</v>
      </c>
      <c r="Q4584" t="s">
        <v>10769</v>
      </c>
      <c r="R4584" t="s">
        <v>10822</v>
      </c>
      <c r="T4584">
        <v>100000</v>
      </c>
      <c r="U4584">
        <v>8333.33</v>
      </c>
      <c r="V4584">
        <v>53</v>
      </c>
      <c r="W4584">
        <v>3</v>
      </c>
      <c r="X4584">
        <v>1</v>
      </c>
      <c r="Z4584">
        <v>388.35</v>
      </c>
      <c r="AA4584">
        <v>40.764238</v>
      </c>
      <c r="AB4584">
        <v>-73.762258</v>
      </c>
      <c r="AD4584" t="s">
        <v>10840</v>
      </c>
      <c r="AF4584" t="s">
        <v>10843</v>
      </c>
      <c r="AG4584" t="s">
        <v>10859</v>
      </c>
      <c r="AH4584" t="s">
        <v>10860</v>
      </c>
      <c r="AI4584">
        <v>237</v>
      </c>
      <c r="AJ4584" t="s">
        <v>10212</v>
      </c>
      <c r="AL4584">
        <v>3.5</v>
      </c>
      <c r="AM4584" t="s">
        <v>10890</v>
      </c>
      <c r="AN4584" t="s">
        <v>10948</v>
      </c>
      <c r="AO4584" t="s">
        <v>11022</v>
      </c>
      <c r="AP4584" t="s">
        <v>11080</v>
      </c>
      <c r="AQ4584" t="s">
        <v>11236</v>
      </c>
      <c r="AR4584" t="s">
        <v>11257</v>
      </c>
      <c r="AS4584" t="s">
        <v>11594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</row>
    <row r="4585" spans="1:59">
      <c r="A4585" s="1">
        <f>HYPERLINK("https://lsnyc.legalserver.org/matter/dynamic-profile/view/1908772","19-1908772")</f>
        <v>0</v>
      </c>
      <c r="B4585" t="s">
        <v>3703</v>
      </c>
      <c r="C4585" t="s">
        <v>8523</v>
      </c>
      <c r="D4585" t="s">
        <v>9928</v>
      </c>
      <c r="E4585" t="s">
        <v>10075</v>
      </c>
      <c r="F4585">
        <v>11212</v>
      </c>
      <c r="G4585" t="s">
        <v>10093</v>
      </c>
      <c r="H4585" t="s">
        <v>10160</v>
      </c>
      <c r="I4585" t="s">
        <v>10168</v>
      </c>
      <c r="J4585" t="s">
        <v>10213</v>
      </c>
      <c r="K4585" t="s">
        <v>10218</v>
      </c>
      <c r="L4585" t="s">
        <v>10155</v>
      </c>
      <c r="M4585" t="s">
        <v>10405</v>
      </c>
      <c r="N4585" t="s">
        <v>10650</v>
      </c>
      <c r="P4585" t="s">
        <v>10749</v>
      </c>
      <c r="Q4585" t="s">
        <v>10765</v>
      </c>
      <c r="R4585" t="s">
        <v>10825</v>
      </c>
      <c r="T4585">
        <v>9600</v>
      </c>
      <c r="U4585">
        <v>800</v>
      </c>
      <c r="V4585">
        <v>56</v>
      </c>
      <c r="W4585">
        <v>1</v>
      </c>
      <c r="X4585">
        <v>0</v>
      </c>
      <c r="Y4585" t="s">
        <v>10829</v>
      </c>
      <c r="Z4585">
        <v>76.86</v>
      </c>
      <c r="AA4585">
        <v>40.661565</v>
      </c>
      <c r="AB4585">
        <v>-73.90893</v>
      </c>
      <c r="AC4585" t="s">
        <v>10837</v>
      </c>
      <c r="AD4585" t="s">
        <v>10840</v>
      </c>
      <c r="AG4585" t="s">
        <v>10858</v>
      </c>
      <c r="AH4585" t="s">
        <v>10861</v>
      </c>
      <c r="AI4585">
        <v>234</v>
      </c>
      <c r="AJ4585" t="s">
        <v>10214</v>
      </c>
      <c r="AK4585" t="s">
        <v>10838</v>
      </c>
      <c r="AL4585">
        <v>1.4</v>
      </c>
      <c r="AM4585" t="s">
        <v>10888</v>
      </c>
      <c r="AN4585" t="s">
        <v>10922</v>
      </c>
      <c r="AO4585" t="s">
        <v>11012</v>
      </c>
      <c r="AP4585" t="s">
        <v>11060</v>
      </c>
      <c r="AR4585" t="s">
        <v>11268</v>
      </c>
      <c r="AS4585" t="s">
        <v>11595</v>
      </c>
      <c r="AT4585" t="s">
        <v>11642</v>
      </c>
      <c r="AX4585" t="s">
        <v>10837</v>
      </c>
      <c r="AY4585" t="s">
        <v>10829</v>
      </c>
      <c r="AZ4585" t="s">
        <v>11681</v>
      </c>
      <c r="BA4585" t="s">
        <v>11742</v>
      </c>
      <c r="BB4585">
        <v>0</v>
      </c>
      <c r="BC4585">
        <v>0</v>
      </c>
      <c r="BD4585">
        <v>0</v>
      </c>
      <c r="BE4585">
        <v>0</v>
      </c>
      <c r="BF4585">
        <v>7</v>
      </c>
      <c r="BG4585">
        <v>0</v>
      </c>
    </row>
    <row r="4586" spans="1:59">
      <c r="A4586" s="1">
        <f>HYPERLINK("https://lsnyc.legalserver.org/matter/dynamic-profile/view/1908773","19-1908773")</f>
        <v>0</v>
      </c>
      <c r="B4586" t="s">
        <v>3704</v>
      </c>
      <c r="C4586" t="s">
        <v>8524</v>
      </c>
      <c r="D4586" t="s">
        <v>9926</v>
      </c>
      <c r="E4586" t="s">
        <v>10075</v>
      </c>
      <c r="F4586">
        <v>10466</v>
      </c>
      <c r="G4586" t="s">
        <v>10090</v>
      </c>
      <c r="H4586" t="s">
        <v>10160</v>
      </c>
      <c r="I4586" t="s">
        <v>10168</v>
      </c>
      <c r="J4586" t="s">
        <v>10210</v>
      </c>
      <c r="K4586" t="s">
        <v>10218</v>
      </c>
      <c r="L4586" t="s">
        <v>10137</v>
      </c>
      <c r="M4586" t="s">
        <v>10262</v>
      </c>
      <c r="N4586" t="s">
        <v>10666</v>
      </c>
      <c r="P4586" t="s">
        <v>10749</v>
      </c>
      <c r="Q4586" t="s">
        <v>10765</v>
      </c>
      <c r="R4586" t="s">
        <v>10825</v>
      </c>
      <c r="T4586">
        <v>20907.24</v>
      </c>
      <c r="U4586">
        <v>1742.27</v>
      </c>
      <c r="V4586">
        <v>50</v>
      </c>
      <c r="W4586">
        <v>2</v>
      </c>
      <c r="X4586">
        <v>0</v>
      </c>
      <c r="Y4586" t="s">
        <v>10829</v>
      </c>
      <c r="Z4586">
        <v>123.64</v>
      </c>
      <c r="AA4586">
        <v>40.886319</v>
      </c>
      <c r="AB4586">
        <v>-73.849879</v>
      </c>
      <c r="AD4586" t="s">
        <v>10839</v>
      </c>
      <c r="AG4586" t="s">
        <v>10858</v>
      </c>
      <c r="AH4586" t="s">
        <v>10862</v>
      </c>
      <c r="AI4586">
        <v>230</v>
      </c>
      <c r="AJ4586" t="s">
        <v>10210</v>
      </c>
      <c r="AK4586" t="s">
        <v>10882</v>
      </c>
      <c r="AL4586">
        <v>0.9</v>
      </c>
      <c r="AM4586" t="s">
        <v>10893</v>
      </c>
      <c r="AN4586" t="s">
        <v>10956</v>
      </c>
      <c r="AO4586" t="s">
        <v>11010</v>
      </c>
      <c r="AP4586" t="s">
        <v>11085</v>
      </c>
      <c r="AR4586" t="s">
        <v>11551</v>
      </c>
      <c r="AS4586" t="s">
        <v>9926</v>
      </c>
      <c r="AT4586" t="s">
        <v>11641</v>
      </c>
      <c r="AX4586" t="s">
        <v>10838</v>
      </c>
      <c r="AY4586" t="s">
        <v>10829</v>
      </c>
      <c r="AZ4586" t="s">
        <v>11681</v>
      </c>
      <c r="BA4586" t="s">
        <v>11741</v>
      </c>
      <c r="BB4586">
        <v>0</v>
      </c>
      <c r="BC4586">
        <v>0</v>
      </c>
      <c r="BD4586">
        <v>0</v>
      </c>
      <c r="BE4586">
        <v>0</v>
      </c>
      <c r="BF4586">
        <v>1</v>
      </c>
      <c r="BG4586">
        <v>0</v>
      </c>
    </row>
    <row r="4587" spans="1:59">
      <c r="A4587" s="1">
        <f>HYPERLINK("https://lsnyc.legalserver.org/matter/dynamic-profile/view/1908775","19-1908775")</f>
        <v>0</v>
      </c>
      <c r="B4587" t="s">
        <v>3705</v>
      </c>
      <c r="C4587" t="s">
        <v>8525</v>
      </c>
      <c r="D4587" t="s">
        <v>9925</v>
      </c>
      <c r="E4587" t="s">
        <v>10075</v>
      </c>
      <c r="F4587">
        <v>10031</v>
      </c>
      <c r="G4587" t="s">
        <v>10089</v>
      </c>
      <c r="H4587" t="s">
        <v>10160</v>
      </c>
      <c r="I4587" t="s">
        <v>10168</v>
      </c>
      <c r="J4587" t="s">
        <v>10209</v>
      </c>
      <c r="K4587" t="s">
        <v>10217</v>
      </c>
      <c r="M4587" t="s">
        <v>10616</v>
      </c>
      <c r="N4587" t="s">
        <v>10702</v>
      </c>
      <c r="P4587" t="s">
        <v>10749</v>
      </c>
      <c r="Q4587" t="s">
        <v>10765</v>
      </c>
      <c r="R4587" t="s">
        <v>10822</v>
      </c>
      <c r="T4587">
        <v>18000</v>
      </c>
      <c r="U4587">
        <v>1500</v>
      </c>
      <c r="V4587">
        <v>55</v>
      </c>
      <c r="W4587">
        <v>1</v>
      </c>
      <c r="X4587">
        <v>0</v>
      </c>
      <c r="Z4587">
        <v>144.12</v>
      </c>
      <c r="AA4587">
        <v>40.822472</v>
      </c>
      <c r="AB4587">
        <v>-73.94843899999999</v>
      </c>
      <c r="AD4587" t="s">
        <v>10839</v>
      </c>
      <c r="AG4587" t="s">
        <v>10858</v>
      </c>
      <c r="AH4587" t="s">
        <v>10862</v>
      </c>
      <c r="AI4587">
        <v>236</v>
      </c>
      <c r="AJ4587" t="s">
        <v>10209</v>
      </c>
      <c r="AL4587">
        <v>2.5</v>
      </c>
      <c r="AM4587" t="s">
        <v>10887</v>
      </c>
      <c r="AN4587" t="s">
        <v>10943</v>
      </c>
      <c r="AO4587" t="s">
        <v>11016</v>
      </c>
      <c r="AP4587" t="s">
        <v>11073</v>
      </c>
      <c r="AR4587" t="s">
        <v>11276</v>
      </c>
      <c r="AS4587" t="s">
        <v>9925</v>
      </c>
      <c r="BA4587" t="s">
        <v>11738</v>
      </c>
      <c r="BB4587">
        <v>0</v>
      </c>
      <c r="BC4587">
        <v>0</v>
      </c>
      <c r="BD4587">
        <v>0</v>
      </c>
      <c r="BE4587">
        <v>0</v>
      </c>
      <c r="BF4587">
        <v>5</v>
      </c>
      <c r="BG4587">
        <v>0</v>
      </c>
    </row>
    <row r="4588" spans="1:59">
      <c r="A4588" s="1">
        <f>HYPERLINK("https://lsnyc.legalserver.org/matter/dynamic-profile/view/1908777","19-1908777")</f>
        <v>0</v>
      </c>
      <c r="B4588" t="s">
        <v>3706</v>
      </c>
      <c r="C4588" t="s">
        <v>8526</v>
      </c>
      <c r="D4588" t="s">
        <v>9926</v>
      </c>
      <c r="E4588" t="s">
        <v>10075</v>
      </c>
      <c r="F4588">
        <v>10468</v>
      </c>
      <c r="G4588" t="s">
        <v>10090</v>
      </c>
      <c r="H4588" t="s">
        <v>10160</v>
      </c>
      <c r="I4588" t="s">
        <v>10168</v>
      </c>
      <c r="J4588" t="s">
        <v>10210</v>
      </c>
      <c r="K4588" t="s">
        <v>10217</v>
      </c>
      <c r="M4588" t="s">
        <v>10279</v>
      </c>
      <c r="N4588" t="s">
        <v>10651</v>
      </c>
      <c r="P4588" t="s">
        <v>10749</v>
      </c>
      <c r="Q4588" t="s">
        <v>10767</v>
      </c>
      <c r="R4588" t="s">
        <v>10824</v>
      </c>
      <c r="T4588">
        <v>27404</v>
      </c>
      <c r="U4588">
        <v>2283.67</v>
      </c>
      <c r="V4588">
        <v>54</v>
      </c>
      <c r="W4588">
        <v>3</v>
      </c>
      <c r="X4588">
        <v>2</v>
      </c>
      <c r="Z4588">
        <v>90.83</v>
      </c>
      <c r="AA4588">
        <v>40.862539</v>
      </c>
      <c r="AB4588">
        <v>-73.904579</v>
      </c>
      <c r="AD4588" t="s">
        <v>10840</v>
      </c>
      <c r="AG4588" t="s">
        <v>10858</v>
      </c>
      <c r="AH4588" t="s">
        <v>10861</v>
      </c>
      <c r="AI4588">
        <v>230</v>
      </c>
      <c r="AJ4588" t="s">
        <v>10210</v>
      </c>
      <c r="AL4588">
        <v>3.2</v>
      </c>
      <c r="AM4588" t="s">
        <v>10884</v>
      </c>
      <c r="AN4588" t="s">
        <v>10931</v>
      </c>
      <c r="AO4588" t="s">
        <v>11000</v>
      </c>
      <c r="AP4588" t="s">
        <v>11045</v>
      </c>
      <c r="AR4588" t="s">
        <v>11257</v>
      </c>
      <c r="AS4588" t="s">
        <v>9926</v>
      </c>
      <c r="AT4588" t="s">
        <v>11642</v>
      </c>
      <c r="AX4588" t="s">
        <v>10838</v>
      </c>
      <c r="BA4588" t="s">
        <v>11738</v>
      </c>
      <c r="BB4588">
        <v>0</v>
      </c>
      <c r="BC4588">
        <v>0</v>
      </c>
      <c r="BD4588">
        <v>0</v>
      </c>
      <c r="BE4588">
        <v>0</v>
      </c>
      <c r="BF4588">
        <v>5</v>
      </c>
      <c r="BG4588">
        <v>0</v>
      </c>
    </row>
    <row r="4589" spans="1:59">
      <c r="A4589" s="1">
        <f>HYPERLINK("https://lsnyc.legalserver.org/matter/dynamic-profile/view/1908778","19-1908778")</f>
        <v>0</v>
      </c>
      <c r="B4589" t="s">
        <v>3707</v>
      </c>
      <c r="C4589" t="s">
        <v>8527</v>
      </c>
      <c r="D4589" t="s">
        <v>9925</v>
      </c>
      <c r="E4589" t="s">
        <v>10075</v>
      </c>
      <c r="F4589">
        <v>10128</v>
      </c>
      <c r="G4589" t="s">
        <v>10089</v>
      </c>
      <c r="H4589" t="s">
        <v>10160</v>
      </c>
      <c r="I4589" t="s">
        <v>10168</v>
      </c>
      <c r="J4589" t="s">
        <v>10209</v>
      </c>
      <c r="K4589" t="s">
        <v>10217</v>
      </c>
      <c r="M4589" t="s">
        <v>10503</v>
      </c>
      <c r="N4589" t="s">
        <v>10721</v>
      </c>
      <c r="P4589" t="s">
        <v>10754</v>
      </c>
      <c r="Q4589" t="s">
        <v>10777</v>
      </c>
      <c r="R4589" t="s">
        <v>10820</v>
      </c>
      <c r="T4589">
        <v>3000</v>
      </c>
      <c r="U4589">
        <v>250</v>
      </c>
      <c r="V4589">
        <v>49</v>
      </c>
      <c r="W4589">
        <v>1</v>
      </c>
      <c r="X4589">
        <v>0</v>
      </c>
      <c r="Z4589">
        <v>24.02</v>
      </c>
      <c r="AA4589">
        <v>40.784583</v>
      </c>
      <c r="AB4589">
        <v>-73.947373</v>
      </c>
      <c r="AD4589" t="s">
        <v>10839</v>
      </c>
      <c r="AG4589" t="s">
        <v>10858</v>
      </c>
      <c r="AH4589" t="s">
        <v>10865</v>
      </c>
      <c r="AI4589">
        <v>236</v>
      </c>
      <c r="AJ4589" t="s">
        <v>10209</v>
      </c>
      <c r="AK4589" t="s">
        <v>10837</v>
      </c>
      <c r="AL4589">
        <v>5</v>
      </c>
      <c r="AM4589" t="s">
        <v>10891</v>
      </c>
      <c r="AN4589" t="s">
        <v>10926</v>
      </c>
      <c r="AO4589" t="s">
        <v>11013</v>
      </c>
      <c r="AP4589" t="s">
        <v>11094</v>
      </c>
      <c r="AQ4589" t="s">
        <v>11165</v>
      </c>
      <c r="AR4589" t="s">
        <v>11273</v>
      </c>
      <c r="AS4589" t="s">
        <v>9925</v>
      </c>
      <c r="AT4589" t="s">
        <v>11641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</row>
    <row r="4590" spans="1:59">
      <c r="A4590" s="1">
        <f>HYPERLINK("https://lsnyc.legalserver.org/matter/dynamic-profile/view/1908779","19-1908779")</f>
        <v>0</v>
      </c>
      <c r="B4590" t="s">
        <v>3708</v>
      </c>
      <c r="C4590" t="s">
        <v>8528</v>
      </c>
      <c r="D4590" t="s">
        <v>9928</v>
      </c>
      <c r="E4590" t="s">
        <v>10075</v>
      </c>
      <c r="F4590">
        <v>11230</v>
      </c>
      <c r="G4590" t="s">
        <v>10093</v>
      </c>
      <c r="H4590" t="s">
        <v>10160</v>
      </c>
      <c r="I4590" t="s">
        <v>10168</v>
      </c>
      <c r="J4590" t="s">
        <v>10213</v>
      </c>
      <c r="K4590" t="s">
        <v>10218</v>
      </c>
      <c r="L4590" t="s">
        <v>10155</v>
      </c>
      <c r="M4590" t="s">
        <v>10405</v>
      </c>
      <c r="N4590" t="s">
        <v>10650</v>
      </c>
      <c r="P4590" t="s">
        <v>10749</v>
      </c>
      <c r="Q4590" t="s">
        <v>10765</v>
      </c>
      <c r="R4590" t="s">
        <v>10820</v>
      </c>
      <c r="T4590">
        <v>27260</v>
      </c>
      <c r="U4590">
        <v>2271.67</v>
      </c>
      <c r="V4590">
        <v>69</v>
      </c>
      <c r="W4590">
        <v>1</v>
      </c>
      <c r="X4590">
        <v>0</v>
      </c>
      <c r="Y4590" t="s">
        <v>10829</v>
      </c>
      <c r="Z4590">
        <v>218.25</v>
      </c>
      <c r="AA4590">
        <v>40.625873</v>
      </c>
      <c r="AB4590">
        <v>-73.95687599999999</v>
      </c>
      <c r="AD4590" t="s">
        <v>10839</v>
      </c>
      <c r="AG4590" t="s">
        <v>10858</v>
      </c>
      <c r="AH4590" t="s">
        <v>10861</v>
      </c>
      <c r="AI4590">
        <v>234</v>
      </c>
      <c r="AJ4590" t="s">
        <v>10214</v>
      </c>
      <c r="AK4590" t="s">
        <v>10838</v>
      </c>
      <c r="AL4590">
        <v>1.3</v>
      </c>
      <c r="AM4590" t="s">
        <v>10888</v>
      </c>
      <c r="AN4590" t="s">
        <v>10947</v>
      </c>
      <c r="AO4590" t="s">
        <v>11015</v>
      </c>
      <c r="AP4590" t="s">
        <v>11065</v>
      </c>
      <c r="AR4590" t="s">
        <v>11422</v>
      </c>
      <c r="AS4590" t="s">
        <v>11595</v>
      </c>
      <c r="AT4590" t="s">
        <v>11641</v>
      </c>
      <c r="AX4590" t="s">
        <v>10838</v>
      </c>
      <c r="AY4590" t="s">
        <v>10829</v>
      </c>
      <c r="AZ4590" t="s">
        <v>11681</v>
      </c>
      <c r="BA4590" t="s">
        <v>11741</v>
      </c>
      <c r="BB4590">
        <v>0</v>
      </c>
      <c r="BC4590">
        <v>0</v>
      </c>
      <c r="BD4590">
        <v>0</v>
      </c>
      <c r="BE4590">
        <v>0</v>
      </c>
      <c r="BF4590">
        <v>1</v>
      </c>
      <c r="BG4590">
        <v>0</v>
      </c>
    </row>
    <row r="4591" spans="1:59">
      <c r="A4591" s="1">
        <f>HYPERLINK("https://lsnyc.legalserver.org/matter/dynamic-profile/view/1908780","19-1908780")</f>
        <v>0</v>
      </c>
      <c r="B4591" t="s">
        <v>3709</v>
      </c>
      <c r="C4591" t="s">
        <v>5547</v>
      </c>
      <c r="D4591" t="s">
        <v>9925</v>
      </c>
      <c r="E4591" t="s">
        <v>10075</v>
      </c>
      <c r="F4591">
        <v>10031</v>
      </c>
      <c r="G4591" t="s">
        <v>10089</v>
      </c>
      <c r="H4591" t="s">
        <v>10160</v>
      </c>
      <c r="I4591" t="s">
        <v>10168</v>
      </c>
      <c r="J4591" t="s">
        <v>10209</v>
      </c>
      <c r="K4591" t="s">
        <v>10217</v>
      </c>
      <c r="M4591" t="s">
        <v>10575</v>
      </c>
      <c r="N4591" t="s">
        <v>10702</v>
      </c>
      <c r="P4591" t="s">
        <v>10749</v>
      </c>
      <c r="Q4591" t="s">
        <v>10765</v>
      </c>
      <c r="R4591" t="s">
        <v>10821</v>
      </c>
      <c r="T4591">
        <v>9780</v>
      </c>
      <c r="U4591">
        <v>815</v>
      </c>
      <c r="V4591">
        <v>54</v>
      </c>
      <c r="W4591">
        <v>1</v>
      </c>
      <c r="X4591">
        <v>0</v>
      </c>
      <c r="Z4591">
        <v>78.3</v>
      </c>
      <c r="AA4591">
        <v>40.824581</v>
      </c>
      <c r="AB4591">
        <v>-73.948427</v>
      </c>
      <c r="AD4591" t="s">
        <v>10839</v>
      </c>
      <c r="AG4591" t="s">
        <v>10858</v>
      </c>
      <c r="AH4591" t="s">
        <v>10862</v>
      </c>
      <c r="AI4591">
        <v>236</v>
      </c>
      <c r="AJ4591" t="s">
        <v>10209</v>
      </c>
      <c r="AL4591">
        <v>1.7</v>
      </c>
      <c r="AM4591" t="s">
        <v>10887</v>
      </c>
      <c r="AN4591" t="s">
        <v>10943</v>
      </c>
      <c r="AO4591" t="s">
        <v>11019</v>
      </c>
      <c r="AP4591" t="s">
        <v>11073</v>
      </c>
      <c r="AR4591" t="s">
        <v>11298</v>
      </c>
      <c r="AS4591" t="s">
        <v>9925</v>
      </c>
      <c r="BA4591" t="s">
        <v>11738</v>
      </c>
      <c r="BB4591">
        <v>0</v>
      </c>
      <c r="BC4591">
        <v>0</v>
      </c>
      <c r="BD4591">
        <v>0</v>
      </c>
      <c r="BE4591">
        <v>0</v>
      </c>
      <c r="BF4591">
        <v>5</v>
      </c>
      <c r="BG4591">
        <v>0</v>
      </c>
    </row>
    <row r="4592" spans="1:59">
      <c r="A4592" s="1">
        <f>HYPERLINK("https://lsnyc.legalserver.org/matter/dynamic-profile/view/1908781","19-1908781")</f>
        <v>0</v>
      </c>
      <c r="B4592" t="s">
        <v>3710</v>
      </c>
      <c r="C4592" t="s">
        <v>7517</v>
      </c>
      <c r="D4592" t="s">
        <v>9938</v>
      </c>
      <c r="E4592" t="s">
        <v>10075</v>
      </c>
      <c r="F4592">
        <v>11435</v>
      </c>
      <c r="G4592" t="s">
        <v>10092</v>
      </c>
      <c r="H4592" t="s">
        <v>10160</v>
      </c>
      <c r="I4592" t="s">
        <v>10169</v>
      </c>
      <c r="J4592" t="s">
        <v>10212</v>
      </c>
      <c r="K4592" t="s">
        <v>10218</v>
      </c>
      <c r="L4592" t="s">
        <v>10220</v>
      </c>
      <c r="M4592" t="s">
        <v>10340</v>
      </c>
      <c r="N4592" t="s">
        <v>10671</v>
      </c>
      <c r="O4592" t="s">
        <v>10694</v>
      </c>
      <c r="P4592" t="s">
        <v>10751</v>
      </c>
      <c r="Q4592" t="s">
        <v>10780</v>
      </c>
      <c r="R4592" t="s">
        <v>10821</v>
      </c>
      <c r="T4592">
        <v>6240</v>
      </c>
      <c r="U4592">
        <v>520</v>
      </c>
      <c r="V4592">
        <v>58</v>
      </c>
      <c r="W4592">
        <v>1</v>
      </c>
      <c r="X4592">
        <v>0</v>
      </c>
      <c r="Y4592" t="s">
        <v>10829</v>
      </c>
      <c r="Z4592">
        <v>49.96</v>
      </c>
      <c r="AA4592">
        <v>40.704749</v>
      </c>
      <c r="AB4592">
        <v>-73.806703</v>
      </c>
      <c r="AD4592" t="s">
        <v>10839</v>
      </c>
      <c r="AG4592" t="s">
        <v>10858</v>
      </c>
      <c r="AH4592" t="s">
        <v>10871</v>
      </c>
      <c r="AI4592">
        <v>234</v>
      </c>
      <c r="AJ4592" t="s">
        <v>10214</v>
      </c>
      <c r="AK4592" t="s">
        <v>10838</v>
      </c>
      <c r="AL4592">
        <v>3.28</v>
      </c>
      <c r="AM4592" t="s">
        <v>10892</v>
      </c>
      <c r="AN4592" t="s">
        <v>10951</v>
      </c>
      <c r="AO4592" t="s">
        <v>11020</v>
      </c>
      <c r="AP4592" t="s">
        <v>11081</v>
      </c>
      <c r="AR4592" t="s">
        <v>11283</v>
      </c>
      <c r="AS4592" t="s">
        <v>11594</v>
      </c>
      <c r="AT4592" t="s">
        <v>11641</v>
      </c>
      <c r="AX4592" t="s">
        <v>10838</v>
      </c>
      <c r="AY4592" t="s">
        <v>10829</v>
      </c>
      <c r="AZ4592" t="s">
        <v>11682</v>
      </c>
      <c r="BA4592" t="s">
        <v>11741</v>
      </c>
      <c r="BB4592">
        <v>0</v>
      </c>
      <c r="BC4592">
        <v>0</v>
      </c>
      <c r="BD4592">
        <v>0</v>
      </c>
      <c r="BE4592">
        <v>0</v>
      </c>
      <c r="BF4592">
        <v>1</v>
      </c>
      <c r="BG4592">
        <v>0</v>
      </c>
    </row>
    <row r="4593" spans="1:59">
      <c r="A4593" s="1">
        <f>HYPERLINK("https://lsnyc.legalserver.org/matter/dynamic-profile/view/1908782","19-1908782")</f>
        <v>0</v>
      </c>
      <c r="B4593" t="s">
        <v>3711</v>
      </c>
      <c r="C4593" t="s">
        <v>8529</v>
      </c>
      <c r="D4593" t="s">
        <v>9928</v>
      </c>
      <c r="E4593" t="s">
        <v>10075</v>
      </c>
      <c r="F4593">
        <v>11230</v>
      </c>
      <c r="G4593" t="s">
        <v>10093</v>
      </c>
      <c r="H4593" t="s">
        <v>10160</v>
      </c>
      <c r="J4593" t="s">
        <v>10213</v>
      </c>
      <c r="K4593" t="s">
        <v>10217</v>
      </c>
      <c r="M4593" t="s">
        <v>10565</v>
      </c>
      <c r="N4593" t="s">
        <v>10664</v>
      </c>
      <c r="P4593" t="s">
        <v>10749</v>
      </c>
      <c r="Q4593" t="s">
        <v>10765</v>
      </c>
      <c r="R4593" t="s">
        <v>10823</v>
      </c>
      <c r="T4593">
        <v>25088</v>
      </c>
      <c r="U4593">
        <v>2090.67</v>
      </c>
      <c r="V4593">
        <v>69</v>
      </c>
      <c r="W4593">
        <v>2</v>
      </c>
      <c r="X4593">
        <v>0</v>
      </c>
      <c r="Z4593">
        <v>148.36</v>
      </c>
      <c r="AA4593">
        <v>40.620237</v>
      </c>
      <c r="AB4593">
        <v>-73.96016</v>
      </c>
      <c r="AD4593" t="s">
        <v>10839</v>
      </c>
      <c r="AG4593" t="s">
        <v>10858</v>
      </c>
      <c r="AH4593" t="s">
        <v>10869</v>
      </c>
      <c r="AI4593">
        <v>239</v>
      </c>
      <c r="AJ4593" t="s">
        <v>10213</v>
      </c>
      <c r="AL4593">
        <v>0</v>
      </c>
      <c r="AM4593" t="s">
        <v>10888</v>
      </c>
      <c r="AN4593" t="s">
        <v>10947</v>
      </c>
      <c r="AO4593" t="s">
        <v>11015</v>
      </c>
      <c r="AP4593" t="s">
        <v>11079</v>
      </c>
      <c r="AR4593" t="s">
        <v>11484</v>
      </c>
      <c r="AS4593" t="s">
        <v>11595</v>
      </c>
      <c r="AT4593" t="s">
        <v>11641</v>
      </c>
      <c r="BA4593" t="s">
        <v>11741</v>
      </c>
      <c r="BB4593">
        <v>0</v>
      </c>
      <c r="BC4593">
        <v>0</v>
      </c>
      <c r="BD4593">
        <v>0</v>
      </c>
      <c r="BE4593">
        <v>0</v>
      </c>
      <c r="BF4593">
        <v>1</v>
      </c>
      <c r="BG4593">
        <v>0</v>
      </c>
    </row>
    <row r="4594" spans="1:59">
      <c r="A4594" s="1">
        <f>HYPERLINK("https://lsnyc.legalserver.org/matter/dynamic-profile/view/1908783","19-1908783")</f>
        <v>0</v>
      </c>
      <c r="B4594" t="s">
        <v>3712</v>
      </c>
      <c r="C4594" t="s">
        <v>8530</v>
      </c>
      <c r="D4594" t="s">
        <v>9925</v>
      </c>
      <c r="E4594" t="s">
        <v>10075</v>
      </c>
      <c r="F4594">
        <v>10032</v>
      </c>
      <c r="G4594" t="s">
        <v>10089</v>
      </c>
      <c r="H4594" t="s">
        <v>10160</v>
      </c>
      <c r="I4594" t="s">
        <v>10168</v>
      </c>
      <c r="J4594" t="s">
        <v>10209</v>
      </c>
      <c r="K4594" t="s">
        <v>10217</v>
      </c>
      <c r="M4594" t="s">
        <v>10402</v>
      </c>
      <c r="N4594" t="s">
        <v>10707</v>
      </c>
      <c r="P4594" t="s">
        <v>10751</v>
      </c>
      <c r="Q4594" t="s">
        <v>10776</v>
      </c>
      <c r="R4594" t="s">
        <v>10822</v>
      </c>
      <c r="T4594">
        <v>4512</v>
      </c>
      <c r="U4594">
        <v>376</v>
      </c>
      <c r="V4594">
        <v>54</v>
      </c>
      <c r="W4594">
        <v>1</v>
      </c>
      <c r="X4594">
        <v>0</v>
      </c>
      <c r="Z4594">
        <v>36.12</v>
      </c>
      <c r="AA4594">
        <v>40.841039</v>
      </c>
      <c r="AB4594">
        <v>-73.937333</v>
      </c>
      <c r="AD4594" t="s">
        <v>10822</v>
      </c>
      <c r="AG4594" t="s">
        <v>10858</v>
      </c>
      <c r="AH4594" t="s">
        <v>10861</v>
      </c>
      <c r="AI4594">
        <v>234</v>
      </c>
      <c r="AJ4594" t="s">
        <v>10214</v>
      </c>
      <c r="AL4594">
        <v>2.5</v>
      </c>
      <c r="AM4594" t="s">
        <v>10887</v>
      </c>
      <c r="AN4594" t="s">
        <v>10937</v>
      </c>
      <c r="AO4594" t="s">
        <v>11019</v>
      </c>
      <c r="AP4594" t="s">
        <v>11074</v>
      </c>
      <c r="AR4594" t="s">
        <v>11255</v>
      </c>
      <c r="AS4594" t="s">
        <v>9925</v>
      </c>
      <c r="AT4594" t="s">
        <v>11642</v>
      </c>
      <c r="AX4594" t="s">
        <v>11678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</row>
    <row r="4595" spans="1:59">
      <c r="A4595" s="1">
        <f>HYPERLINK("https://lsnyc.legalserver.org/matter/dynamic-profile/view/1908785","19-1908785")</f>
        <v>0</v>
      </c>
      <c r="B4595" t="s">
        <v>3713</v>
      </c>
      <c r="C4595" t="s">
        <v>8531</v>
      </c>
      <c r="D4595" t="s">
        <v>9928</v>
      </c>
      <c r="E4595" t="s">
        <v>10075</v>
      </c>
      <c r="F4595">
        <v>11221</v>
      </c>
      <c r="G4595" t="s">
        <v>10093</v>
      </c>
      <c r="H4595" t="s">
        <v>10160</v>
      </c>
      <c r="I4595" t="s">
        <v>10168</v>
      </c>
      <c r="J4595" t="s">
        <v>10213</v>
      </c>
      <c r="K4595" t="s">
        <v>10217</v>
      </c>
      <c r="M4595" t="s">
        <v>10570</v>
      </c>
      <c r="N4595" t="s">
        <v>10667</v>
      </c>
      <c r="P4595" t="s">
        <v>10749</v>
      </c>
      <c r="Q4595" t="s">
        <v>10765</v>
      </c>
      <c r="R4595" t="s">
        <v>10822</v>
      </c>
      <c r="T4595">
        <v>36400</v>
      </c>
      <c r="U4595">
        <v>3033.33</v>
      </c>
      <c r="V4595">
        <v>37</v>
      </c>
      <c r="W4595">
        <v>2</v>
      </c>
      <c r="X4595">
        <v>1</v>
      </c>
      <c r="Z4595">
        <v>170.65</v>
      </c>
      <c r="AA4595">
        <v>40.69073</v>
      </c>
      <c r="AB4595">
        <v>-73.939368</v>
      </c>
      <c r="AD4595" t="s">
        <v>10839</v>
      </c>
      <c r="AG4595" t="s">
        <v>10858</v>
      </c>
      <c r="AH4595" t="s">
        <v>10862</v>
      </c>
      <c r="AI4595">
        <v>239</v>
      </c>
      <c r="AJ4595" t="s">
        <v>10213</v>
      </c>
      <c r="AL4595">
        <v>1.75</v>
      </c>
      <c r="AM4595" t="s">
        <v>10889</v>
      </c>
      <c r="AN4595" t="s">
        <v>10914</v>
      </c>
      <c r="AO4595" t="s">
        <v>11007</v>
      </c>
      <c r="AP4595" t="s">
        <v>11052</v>
      </c>
      <c r="AQ4595" t="s">
        <v>11101</v>
      </c>
      <c r="AR4595" t="s">
        <v>11257</v>
      </c>
      <c r="AS4595" t="s">
        <v>11595</v>
      </c>
      <c r="BA4595" t="s">
        <v>11738</v>
      </c>
      <c r="BB4595">
        <v>0</v>
      </c>
      <c r="BC4595">
        <v>0</v>
      </c>
      <c r="BD4595">
        <v>0</v>
      </c>
      <c r="BE4595">
        <v>0</v>
      </c>
      <c r="BF4595">
        <v>5</v>
      </c>
      <c r="BG4595">
        <v>0</v>
      </c>
    </row>
    <row r="4596" spans="1:59">
      <c r="A4596" s="1">
        <f>HYPERLINK("https://lsnyc.legalserver.org/matter/dynamic-profile/view/1908786","19-1908786")</f>
        <v>0</v>
      </c>
      <c r="B4596" t="s">
        <v>3714</v>
      </c>
      <c r="C4596" t="s">
        <v>8532</v>
      </c>
      <c r="D4596" t="s">
        <v>9928</v>
      </c>
      <c r="E4596" t="s">
        <v>10075</v>
      </c>
      <c r="F4596">
        <v>11208</v>
      </c>
      <c r="G4596" t="s">
        <v>10092</v>
      </c>
      <c r="H4596" t="s">
        <v>10160</v>
      </c>
      <c r="I4596" t="s">
        <v>10168</v>
      </c>
      <c r="J4596" t="s">
        <v>10212</v>
      </c>
      <c r="K4596" t="s">
        <v>10217</v>
      </c>
      <c r="M4596" t="s">
        <v>10326</v>
      </c>
      <c r="N4596" t="s">
        <v>10689</v>
      </c>
      <c r="O4596" t="s">
        <v>10699</v>
      </c>
      <c r="P4596" t="s">
        <v>10754</v>
      </c>
      <c r="Q4596" t="s">
        <v>10775</v>
      </c>
      <c r="R4596" t="s">
        <v>10824</v>
      </c>
      <c r="T4596">
        <v>41600</v>
      </c>
      <c r="U4596">
        <v>3466.67</v>
      </c>
      <c r="V4596">
        <v>33</v>
      </c>
      <c r="W4596">
        <v>1</v>
      </c>
      <c r="X4596">
        <v>0</v>
      </c>
      <c r="Z4596">
        <v>333.07</v>
      </c>
      <c r="AA4596">
        <v>40.678558</v>
      </c>
      <c r="AB4596">
        <v>-73.87193000000001</v>
      </c>
      <c r="AD4596" t="s">
        <v>10840</v>
      </c>
      <c r="AF4596" t="s">
        <v>10842</v>
      </c>
      <c r="AG4596" t="s">
        <v>10859</v>
      </c>
      <c r="AH4596" t="s">
        <v>10865</v>
      </c>
      <c r="AI4596">
        <v>237</v>
      </c>
      <c r="AJ4596" t="s">
        <v>10212</v>
      </c>
      <c r="AK4596" t="s">
        <v>10837</v>
      </c>
      <c r="AL4596">
        <v>4.9</v>
      </c>
      <c r="AM4596" t="s">
        <v>10889</v>
      </c>
      <c r="AN4596" t="s">
        <v>10920</v>
      </c>
      <c r="AO4596" t="s">
        <v>11011</v>
      </c>
      <c r="AP4596" t="s">
        <v>11058</v>
      </c>
      <c r="AQ4596" t="s">
        <v>11114</v>
      </c>
      <c r="AR4596" t="s">
        <v>11257</v>
      </c>
      <c r="AS4596" t="s">
        <v>11595</v>
      </c>
      <c r="BA4596" t="s">
        <v>11741</v>
      </c>
      <c r="BB4596">
        <v>0</v>
      </c>
      <c r="BC4596">
        <v>0</v>
      </c>
      <c r="BD4596">
        <v>0</v>
      </c>
      <c r="BE4596">
        <v>0</v>
      </c>
      <c r="BF4596">
        <v>1</v>
      </c>
      <c r="BG4596">
        <v>0</v>
      </c>
    </row>
    <row r="4597" spans="1:59">
      <c r="A4597" s="1">
        <f>HYPERLINK("https://lsnyc.legalserver.org/matter/dynamic-profile/view/1908787","19-1908787")</f>
        <v>0</v>
      </c>
      <c r="B4597" t="s">
        <v>3715</v>
      </c>
      <c r="C4597" t="s">
        <v>8533</v>
      </c>
      <c r="D4597" t="s">
        <v>9925</v>
      </c>
      <c r="E4597" t="s">
        <v>10075</v>
      </c>
      <c r="F4597">
        <v>10026</v>
      </c>
      <c r="G4597" t="s">
        <v>10089</v>
      </c>
      <c r="H4597" t="s">
        <v>10160</v>
      </c>
      <c r="I4597" t="s">
        <v>10168</v>
      </c>
      <c r="J4597" t="s">
        <v>10209</v>
      </c>
      <c r="K4597" t="s">
        <v>10217</v>
      </c>
      <c r="M4597" t="s">
        <v>10389</v>
      </c>
      <c r="N4597" t="s">
        <v>10702</v>
      </c>
      <c r="P4597" t="s">
        <v>10749</v>
      </c>
      <c r="Q4597" t="s">
        <v>10765</v>
      </c>
      <c r="R4597" t="s">
        <v>10824</v>
      </c>
      <c r="T4597">
        <v>4888</v>
      </c>
      <c r="U4597">
        <v>407.33</v>
      </c>
      <c r="V4597">
        <v>32</v>
      </c>
      <c r="W4597">
        <v>1</v>
      </c>
      <c r="X4597">
        <v>0</v>
      </c>
      <c r="Z4597">
        <v>39.14</v>
      </c>
      <c r="AA4597">
        <v>40.80323</v>
      </c>
      <c r="AB4597">
        <v>-73.94715600000001</v>
      </c>
      <c r="AD4597" t="s">
        <v>10840</v>
      </c>
      <c r="AG4597" t="s">
        <v>10858</v>
      </c>
      <c r="AH4597" t="s">
        <v>10862</v>
      </c>
      <c r="AI4597">
        <v>236</v>
      </c>
      <c r="AJ4597" t="s">
        <v>10209</v>
      </c>
      <c r="AL4597">
        <v>3.2</v>
      </c>
      <c r="AM4597" t="s">
        <v>10887</v>
      </c>
      <c r="AN4597" t="s">
        <v>10936</v>
      </c>
      <c r="AO4597" t="s">
        <v>11016</v>
      </c>
      <c r="AP4597" t="s">
        <v>11076</v>
      </c>
      <c r="AR4597" t="s">
        <v>11260</v>
      </c>
      <c r="AS4597" t="s">
        <v>9925</v>
      </c>
      <c r="BA4597" t="s">
        <v>11738</v>
      </c>
      <c r="BB4597">
        <v>0</v>
      </c>
      <c r="BC4597">
        <v>0</v>
      </c>
      <c r="BD4597">
        <v>0</v>
      </c>
      <c r="BE4597">
        <v>0</v>
      </c>
      <c r="BF4597">
        <v>5</v>
      </c>
      <c r="BG4597">
        <v>0</v>
      </c>
    </row>
    <row r="4598" spans="1:59">
      <c r="A4598" s="1">
        <f>HYPERLINK("https://lsnyc.legalserver.org/matter/dynamic-profile/view/1908788","19-1908788")</f>
        <v>0</v>
      </c>
      <c r="B4598" t="s">
        <v>3716</v>
      </c>
      <c r="C4598" t="s">
        <v>8534</v>
      </c>
      <c r="D4598" t="s">
        <v>9928</v>
      </c>
      <c r="E4598" t="s">
        <v>10075</v>
      </c>
      <c r="F4598">
        <v>11211</v>
      </c>
      <c r="G4598" t="s">
        <v>10093</v>
      </c>
      <c r="H4598" t="s">
        <v>10160</v>
      </c>
      <c r="I4598" t="s">
        <v>10168</v>
      </c>
      <c r="J4598" t="s">
        <v>10213</v>
      </c>
      <c r="K4598" t="s">
        <v>10218</v>
      </c>
      <c r="L4598" t="s">
        <v>10135</v>
      </c>
      <c r="M4598" t="s">
        <v>10291</v>
      </c>
      <c r="N4598" t="s">
        <v>10664</v>
      </c>
      <c r="P4598" t="s">
        <v>10749</v>
      </c>
      <c r="Q4598" t="s">
        <v>10765</v>
      </c>
      <c r="R4598" t="s">
        <v>10821</v>
      </c>
      <c r="T4598">
        <v>7164</v>
      </c>
      <c r="U4598">
        <v>597</v>
      </c>
      <c r="V4598">
        <v>65</v>
      </c>
      <c r="W4598">
        <v>1</v>
      </c>
      <c r="X4598">
        <v>0</v>
      </c>
      <c r="Y4598" t="s">
        <v>10829</v>
      </c>
      <c r="Z4598">
        <v>57.36</v>
      </c>
      <c r="AA4598">
        <v>40.704273</v>
      </c>
      <c r="AB4598">
        <v>-73.95769</v>
      </c>
      <c r="AD4598" t="s">
        <v>10839</v>
      </c>
      <c r="AG4598" t="s">
        <v>10858</v>
      </c>
      <c r="AH4598" t="s">
        <v>10861</v>
      </c>
      <c r="AI4598">
        <v>239</v>
      </c>
      <c r="AJ4598" t="s">
        <v>10213</v>
      </c>
      <c r="AK4598" t="s">
        <v>10838</v>
      </c>
      <c r="AL4598">
        <v>1.7</v>
      </c>
      <c r="AM4598" t="s">
        <v>10886</v>
      </c>
      <c r="AN4598" t="s">
        <v>10939</v>
      </c>
      <c r="AO4598" t="s">
        <v>11004</v>
      </c>
      <c r="AP4598" t="s">
        <v>11054</v>
      </c>
      <c r="AR4598" t="s">
        <v>11270</v>
      </c>
      <c r="AS4598" t="s">
        <v>11595</v>
      </c>
      <c r="AY4598" t="s">
        <v>10829</v>
      </c>
      <c r="AZ4598" t="s">
        <v>11681</v>
      </c>
      <c r="BA4598" t="s">
        <v>11741</v>
      </c>
      <c r="BB4598">
        <v>0</v>
      </c>
      <c r="BC4598">
        <v>0</v>
      </c>
      <c r="BD4598">
        <v>0</v>
      </c>
      <c r="BE4598">
        <v>0</v>
      </c>
      <c r="BF4598">
        <v>1</v>
      </c>
      <c r="BG4598">
        <v>0</v>
      </c>
    </row>
    <row r="4599" spans="1:59">
      <c r="A4599" s="1">
        <f>HYPERLINK("https://lsnyc.legalserver.org/matter/dynamic-profile/view/1908789","19-1908789")</f>
        <v>0</v>
      </c>
      <c r="B4599" t="s">
        <v>2739</v>
      </c>
      <c r="C4599" t="s">
        <v>8535</v>
      </c>
      <c r="D4599" t="s">
        <v>9925</v>
      </c>
      <c r="E4599" t="s">
        <v>10075</v>
      </c>
      <c r="F4599">
        <v>10026</v>
      </c>
      <c r="G4599" t="s">
        <v>10089</v>
      </c>
      <c r="H4599" t="s">
        <v>10160</v>
      </c>
      <c r="I4599" t="s">
        <v>10170</v>
      </c>
      <c r="J4599" t="s">
        <v>10209</v>
      </c>
      <c r="K4599" t="s">
        <v>10217</v>
      </c>
      <c r="M4599" t="s">
        <v>10616</v>
      </c>
      <c r="N4599" t="s">
        <v>10702</v>
      </c>
      <c r="P4599" t="s">
        <v>10749</v>
      </c>
      <c r="Q4599" t="s">
        <v>10765</v>
      </c>
      <c r="R4599" t="s">
        <v>10824</v>
      </c>
      <c r="T4599">
        <v>14040</v>
      </c>
      <c r="U4599">
        <v>1170</v>
      </c>
      <c r="V4599">
        <v>43</v>
      </c>
      <c r="W4599">
        <v>2</v>
      </c>
      <c r="X4599">
        <v>3</v>
      </c>
      <c r="Z4599">
        <v>46.54</v>
      </c>
      <c r="AA4599">
        <v>40.805066</v>
      </c>
      <c r="AB4599">
        <v>-73.952499</v>
      </c>
      <c r="AD4599" t="s">
        <v>10839</v>
      </c>
      <c r="AF4599" t="s">
        <v>10844</v>
      </c>
      <c r="AG4599" t="s">
        <v>10859</v>
      </c>
      <c r="AH4599" t="s">
        <v>10862</v>
      </c>
      <c r="AI4599">
        <v>236</v>
      </c>
      <c r="AJ4599" t="s">
        <v>10209</v>
      </c>
      <c r="AL4599">
        <v>3.7</v>
      </c>
      <c r="AM4599" t="s">
        <v>10887</v>
      </c>
      <c r="AN4599" t="s">
        <v>10936</v>
      </c>
      <c r="AO4599" t="s">
        <v>11016</v>
      </c>
      <c r="AP4599" t="s">
        <v>11076</v>
      </c>
      <c r="AR4599" t="s">
        <v>11274</v>
      </c>
      <c r="AS4599" t="s">
        <v>9925</v>
      </c>
      <c r="BA4599" t="s">
        <v>11738</v>
      </c>
      <c r="BB4599">
        <v>0</v>
      </c>
      <c r="BC4599">
        <v>0</v>
      </c>
      <c r="BD4599">
        <v>0</v>
      </c>
      <c r="BE4599">
        <v>0</v>
      </c>
      <c r="BF4599">
        <v>5</v>
      </c>
      <c r="BG4599">
        <v>0</v>
      </c>
    </row>
    <row r="4600" spans="1:59">
      <c r="A4600" s="1">
        <f>HYPERLINK("https://lsnyc.legalserver.org/matter/dynamic-profile/view/1908791","19-1908791")</f>
        <v>0</v>
      </c>
      <c r="B4600" t="s">
        <v>3717</v>
      </c>
      <c r="C4600" t="s">
        <v>8536</v>
      </c>
      <c r="D4600" t="s">
        <v>9926</v>
      </c>
      <c r="E4600" t="s">
        <v>10075</v>
      </c>
      <c r="F4600">
        <v>10451</v>
      </c>
      <c r="G4600" t="s">
        <v>10090</v>
      </c>
      <c r="H4600" t="s">
        <v>10160</v>
      </c>
      <c r="I4600" t="s">
        <v>10168</v>
      </c>
      <c r="J4600" t="s">
        <v>10210</v>
      </c>
      <c r="K4600" t="s">
        <v>10218</v>
      </c>
      <c r="L4600" t="s">
        <v>10099</v>
      </c>
      <c r="M4600" t="s">
        <v>10262</v>
      </c>
      <c r="N4600" t="s">
        <v>10666</v>
      </c>
      <c r="P4600" t="s">
        <v>10749</v>
      </c>
      <c r="Q4600" t="s">
        <v>10765</v>
      </c>
      <c r="R4600" t="s">
        <v>10822</v>
      </c>
      <c r="T4600">
        <v>13832</v>
      </c>
      <c r="U4600">
        <v>1152.67</v>
      </c>
      <c r="V4600">
        <v>34</v>
      </c>
      <c r="W4600">
        <v>1</v>
      </c>
      <c r="X4600">
        <v>1</v>
      </c>
      <c r="Y4600" t="s">
        <v>10829</v>
      </c>
      <c r="Z4600">
        <v>81.8</v>
      </c>
      <c r="AA4600">
        <v>40.823797</v>
      </c>
      <c r="AB4600">
        <v>-73.91437000000001</v>
      </c>
      <c r="AD4600" t="s">
        <v>10822</v>
      </c>
      <c r="AG4600" t="s">
        <v>10858</v>
      </c>
      <c r="AH4600" t="s">
        <v>10861</v>
      </c>
      <c r="AI4600">
        <v>230</v>
      </c>
      <c r="AJ4600" t="s">
        <v>10210</v>
      </c>
      <c r="AK4600" t="s">
        <v>10838</v>
      </c>
      <c r="AL4600">
        <v>0.8</v>
      </c>
      <c r="AM4600" t="s">
        <v>10884</v>
      </c>
      <c r="AN4600" t="s">
        <v>10918</v>
      </c>
      <c r="AO4600" t="s">
        <v>11001</v>
      </c>
      <c r="AP4600" t="s">
        <v>11062</v>
      </c>
      <c r="AR4600" t="s">
        <v>11257</v>
      </c>
      <c r="AS4600" t="s">
        <v>9926</v>
      </c>
      <c r="AT4600" t="s">
        <v>11641</v>
      </c>
      <c r="AX4600" t="s">
        <v>11678</v>
      </c>
      <c r="AY4600" t="s">
        <v>10829</v>
      </c>
      <c r="AZ4600" t="s">
        <v>11681</v>
      </c>
      <c r="BA4600" t="s">
        <v>11741</v>
      </c>
      <c r="BB4600">
        <v>0</v>
      </c>
      <c r="BC4600">
        <v>0</v>
      </c>
      <c r="BD4600">
        <v>0</v>
      </c>
      <c r="BE4600">
        <v>0</v>
      </c>
      <c r="BF4600">
        <v>1</v>
      </c>
      <c r="BG4600">
        <v>0</v>
      </c>
    </row>
    <row r="4601" spans="1:59">
      <c r="A4601" s="1">
        <f>HYPERLINK("https://lsnyc.legalserver.org/matter/dynamic-profile/view/1908792","19-1908792")</f>
        <v>0</v>
      </c>
      <c r="B4601" t="s">
        <v>3718</v>
      </c>
      <c r="C4601" t="s">
        <v>8537</v>
      </c>
      <c r="D4601" t="s">
        <v>9928</v>
      </c>
      <c r="E4601" t="s">
        <v>10075</v>
      </c>
      <c r="F4601">
        <v>11235</v>
      </c>
      <c r="G4601" t="s">
        <v>10093</v>
      </c>
      <c r="H4601" t="s">
        <v>10108</v>
      </c>
      <c r="I4601" t="s">
        <v>10171</v>
      </c>
      <c r="J4601" t="s">
        <v>10213</v>
      </c>
      <c r="K4601" t="s">
        <v>10217</v>
      </c>
      <c r="M4601" t="s">
        <v>10390</v>
      </c>
      <c r="N4601" t="s">
        <v>10644</v>
      </c>
      <c r="P4601" t="s">
        <v>10751</v>
      </c>
      <c r="Q4601" t="s">
        <v>10780</v>
      </c>
      <c r="R4601" t="s">
        <v>10820</v>
      </c>
      <c r="T4601">
        <v>20592</v>
      </c>
      <c r="U4601">
        <v>1716</v>
      </c>
      <c r="V4601">
        <v>47</v>
      </c>
      <c r="W4601">
        <v>2</v>
      </c>
      <c r="X4601">
        <v>0</v>
      </c>
      <c r="Z4601">
        <v>121.77</v>
      </c>
      <c r="AA4601">
        <v>40.584518</v>
      </c>
      <c r="AB4601">
        <v>-73.932464</v>
      </c>
      <c r="AD4601" t="s">
        <v>10840</v>
      </c>
      <c r="AG4601" t="s">
        <v>10858</v>
      </c>
      <c r="AH4601" t="s">
        <v>10869</v>
      </c>
      <c r="AI4601">
        <v>239</v>
      </c>
      <c r="AJ4601" t="s">
        <v>10213</v>
      </c>
      <c r="AL4601">
        <v>3</v>
      </c>
      <c r="AM4601" t="s">
        <v>10889</v>
      </c>
      <c r="AN4601" t="s">
        <v>10957</v>
      </c>
      <c r="AO4601" t="s">
        <v>11006</v>
      </c>
      <c r="AP4601" t="s">
        <v>11092</v>
      </c>
      <c r="AQ4601" t="s">
        <v>11118</v>
      </c>
      <c r="AR4601" t="s">
        <v>11263</v>
      </c>
      <c r="AS4601" t="s">
        <v>11595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</row>
    <row r="4602" spans="1:59">
      <c r="A4602" s="1">
        <f>HYPERLINK("https://lsnyc.legalserver.org/matter/dynamic-profile/view/1908793","19-1908793")</f>
        <v>0</v>
      </c>
      <c r="B4602" t="s">
        <v>3719</v>
      </c>
      <c r="C4602" t="s">
        <v>7083</v>
      </c>
      <c r="D4602" t="s">
        <v>9928</v>
      </c>
      <c r="E4602" t="s">
        <v>10075</v>
      </c>
      <c r="F4602">
        <v>11206</v>
      </c>
      <c r="G4602" t="s">
        <v>10093</v>
      </c>
      <c r="H4602" t="s">
        <v>10160</v>
      </c>
      <c r="I4602" t="s">
        <v>10168</v>
      </c>
      <c r="J4602" t="s">
        <v>10213</v>
      </c>
      <c r="K4602" t="s">
        <v>10217</v>
      </c>
      <c r="M4602" t="s">
        <v>10280</v>
      </c>
      <c r="N4602" t="s">
        <v>10671</v>
      </c>
      <c r="P4602" t="s">
        <v>10751</v>
      </c>
      <c r="Q4602" t="s">
        <v>10780</v>
      </c>
      <c r="R4602" t="s">
        <v>10824</v>
      </c>
      <c r="T4602">
        <v>18504</v>
      </c>
      <c r="U4602">
        <v>1542</v>
      </c>
      <c r="V4602">
        <v>10</v>
      </c>
      <c r="W4602">
        <v>1</v>
      </c>
      <c r="X4602">
        <v>1</v>
      </c>
      <c r="Z4602">
        <v>109.43</v>
      </c>
      <c r="AA4602">
        <v>40.703751</v>
      </c>
      <c r="AB4602">
        <v>-73.939751</v>
      </c>
      <c r="AD4602" t="s">
        <v>10840</v>
      </c>
      <c r="AG4602" t="s">
        <v>10858</v>
      </c>
      <c r="AH4602" t="s">
        <v>10861</v>
      </c>
      <c r="AI4602">
        <v>234</v>
      </c>
      <c r="AJ4602" t="s">
        <v>10214</v>
      </c>
      <c r="AL4602">
        <v>1.3</v>
      </c>
      <c r="AM4602" t="s">
        <v>10886</v>
      </c>
      <c r="AN4602" t="s">
        <v>10942</v>
      </c>
      <c r="AO4602" t="s">
        <v>11011</v>
      </c>
      <c r="AP4602" t="s">
        <v>11071</v>
      </c>
      <c r="AR4602" t="s">
        <v>11263</v>
      </c>
      <c r="AS4602" t="s">
        <v>11595</v>
      </c>
      <c r="AT4602" t="s">
        <v>11642</v>
      </c>
      <c r="AX4602" t="s">
        <v>10838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</row>
    <row r="4603" spans="1:59">
      <c r="A4603" s="1">
        <f>HYPERLINK("https://lsnyc.legalserver.org/matter/dynamic-profile/view/1908794","19-1908794")</f>
        <v>0</v>
      </c>
      <c r="B4603" t="s">
        <v>3720</v>
      </c>
      <c r="C4603" t="s">
        <v>8538</v>
      </c>
      <c r="D4603" t="s">
        <v>9929</v>
      </c>
      <c r="E4603" t="s">
        <v>10075</v>
      </c>
      <c r="F4603">
        <v>10301</v>
      </c>
      <c r="G4603" t="s">
        <v>10088</v>
      </c>
      <c r="H4603" t="s">
        <v>10160</v>
      </c>
      <c r="I4603" t="s">
        <v>10168</v>
      </c>
      <c r="J4603" t="s">
        <v>10208</v>
      </c>
      <c r="K4603" t="s">
        <v>10217</v>
      </c>
      <c r="M4603" t="s">
        <v>10243</v>
      </c>
      <c r="N4603" t="s">
        <v>10650</v>
      </c>
      <c r="O4603" t="s">
        <v>10650</v>
      </c>
      <c r="P4603" t="s">
        <v>10749</v>
      </c>
      <c r="Q4603" t="s">
        <v>10765</v>
      </c>
      <c r="R4603" t="s">
        <v>10820</v>
      </c>
      <c r="T4603">
        <v>19200</v>
      </c>
      <c r="U4603">
        <v>1600</v>
      </c>
      <c r="V4603">
        <v>56</v>
      </c>
      <c r="W4603">
        <v>1</v>
      </c>
      <c r="X4603">
        <v>0</v>
      </c>
      <c r="Z4603">
        <v>153.72</v>
      </c>
      <c r="AA4603">
        <v>40.639725</v>
      </c>
      <c r="AB4603">
        <v>-74.07641099999999</v>
      </c>
      <c r="AD4603" t="s">
        <v>10840</v>
      </c>
      <c r="AG4603" t="s">
        <v>10858</v>
      </c>
      <c r="AH4603" t="s">
        <v>10871</v>
      </c>
      <c r="AI4603">
        <v>234</v>
      </c>
      <c r="AJ4603" t="s">
        <v>10214</v>
      </c>
      <c r="AL4603">
        <v>2.75</v>
      </c>
      <c r="AM4603" t="s">
        <v>10883</v>
      </c>
      <c r="AN4603" t="s">
        <v>10913</v>
      </c>
      <c r="AO4603" t="s">
        <v>11006</v>
      </c>
      <c r="AP4603" t="s">
        <v>11051</v>
      </c>
      <c r="AR4603" t="s">
        <v>11296</v>
      </c>
      <c r="AS4603" t="s">
        <v>11593</v>
      </c>
      <c r="AT4603" t="s">
        <v>11642</v>
      </c>
      <c r="AX4603" t="s">
        <v>10838</v>
      </c>
      <c r="BA4603" t="s">
        <v>11741</v>
      </c>
      <c r="BB4603">
        <v>0</v>
      </c>
      <c r="BC4603">
        <v>0</v>
      </c>
      <c r="BD4603">
        <v>0</v>
      </c>
      <c r="BE4603">
        <v>0</v>
      </c>
      <c r="BF4603">
        <v>1</v>
      </c>
      <c r="BG4603">
        <v>0</v>
      </c>
    </row>
    <row r="4604" spans="1:59">
      <c r="A4604" s="1">
        <f>HYPERLINK("https://lsnyc.legalserver.org/matter/dynamic-profile/view/1908795","19-1908795")</f>
        <v>0</v>
      </c>
      <c r="B4604" t="s">
        <v>1581</v>
      </c>
      <c r="C4604" t="s">
        <v>8539</v>
      </c>
      <c r="D4604" t="s">
        <v>9936</v>
      </c>
      <c r="E4604" t="s">
        <v>10075</v>
      </c>
      <c r="F4604">
        <v>11102</v>
      </c>
      <c r="G4604" t="s">
        <v>10092</v>
      </c>
      <c r="H4604" t="s">
        <v>10160</v>
      </c>
      <c r="I4604" t="s">
        <v>10168</v>
      </c>
      <c r="J4604" t="s">
        <v>10212</v>
      </c>
      <c r="K4604" t="s">
        <v>10217</v>
      </c>
      <c r="M4604" t="s">
        <v>10260</v>
      </c>
      <c r="N4604" t="s">
        <v>10665</v>
      </c>
      <c r="P4604" t="s">
        <v>10751</v>
      </c>
      <c r="Q4604" t="s">
        <v>10773</v>
      </c>
      <c r="R4604" t="s">
        <v>10822</v>
      </c>
      <c r="T4604">
        <v>0</v>
      </c>
      <c r="U4604">
        <v>0</v>
      </c>
      <c r="V4604">
        <v>57</v>
      </c>
      <c r="W4604">
        <v>1</v>
      </c>
      <c r="X4604">
        <v>0</v>
      </c>
      <c r="Z4604">
        <v>0</v>
      </c>
      <c r="AA4604">
        <v>40.772274</v>
      </c>
      <c r="AB4604">
        <v>-73.921773</v>
      </c>
      <c r="AD4604" t="s">
        <v>10840</v>
      </c>
      <c r="AG4604" t="s">
        <v>10858</v>
      </c>
      <c r="AH4604" t="s">
        <v>10861</v>
      </c>
      <c r="AI4604">
        <v>234</v>
      </c>
      <c r="AJ4604" t="s">
        <v>10214</v>
      </c>
      <c r="AL4604">
        <v>32.38</v>
      </c>
      <c r="AM4604" t="s">
        <v>10891</v>
      </c>
      <c r="AN4604" t="s">
        <v>10954</v>
      </c>
      <c r="AO4604" t="s">
        <v>11003</v>
      </c>
      <c r="AP4604" t="s">
        <v>11084</v>
      </c>
      <c r="AR4604" t="s">
        <v>11267</v>
      </c>
      <c r="AS4604" t="s">
        <v>11594</v>
      </c>
      <c r="AT4604" t="s">
        <v>11642</v>
      </c>
      <c r="AX4604" t="s">
        <v>10838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</row>
    <row r="4605" spans="1:59">
      <c r="A4605" s="1">
        <f>HYPERLINK("https://lsnyc.legalserver.org/matter/dynamic-profile/view/1908796","19-1908796")</f>
        <v>0</v>
      </c>
      <c r="B4605" t="s">
        <v>3249</v>
      </c>
      <c r="C4605" t="s">
        <v>8540</v>
      </c>
      <c r="D4605" t="s">
        <v>9946</v>
      </c>
      <c r="E4605" t="s">
        <v>10075</v>
      </c>
      <c r="F4605">
        <v>11385</v>
      </c>
      <c r="G4605" t="s">
        <v>10093</v>
      </c>
      <c r="H4605" t="s">
        <v>10160</v>
      </c>
      <c r="I4605" t="s">
        <v>10168</v>
      </c>
      <c r="J4605" t="s">
        <v>10213</v>
      </c>
      <c r="K4605" t="s">
        <v>10217</v>
      </c>
      <c r="M4605" t="s">
        <v>10358</v>
      </c>
      <c r="N4605" t="s">
        <v>10671</v>
      </c>
      <c r="P4605" t="s">
        <v>10755</v>
      </c>
      <c r="Q4605" t="s">
        <v>10813</v>
      </c>
      <c r="R4605" t="s">
        <v>10827</v>
      </c>
      <c r="T4605">
        <v>11292</v>
      </c>
      <c r="U4605">
        <v>941</v>
      </c>
      <c r="V4605">
        <v>50</v>
      </c>
      <c r="W4605">
        <v>1</v>
      </c>
      <c r="X4605">
        <v>0</v>
      </c>
      <c r="Z4605">
        <v>90.41</v>
      </c>
      <c r="AA4605">
        <v>40.707071</v>
      </c>
      <c r="AB4605">
        <v>-73.905334</v>
      </c>
      <c r="AD4605" t="s">
        <v>10839</v>
      </c>
      <c r="AG4605" t="s">
        <v>10858</v>
      </c>
      <c r="AH4605" t="s">
        <v>10871</v>
      </c>
      <c r="AI4605">
        <v>234</v>
      </c>
      <c r="AJ4605" t="s">
        <v>10214</v>
      </c>
      <c r="AL4605">
        <v>3.95</v>
      </c>
      <c r="AM4605" t="s">
        <v>10886</v>
      </c>
      <c r="AN4605" t="s">
        <v>10961</v>
      </c>
      <c r="AO4605" t="s">
        <v>11024</v>
      </c>
      <c r="AP4605" t="s">
        <v>11077</v>
      </c>
      <c r="AR4605" t="s">
        <v>11254</v>
      </c>
      <c r="AS4605" t="s">
        <v>11594</v>
      </c>
      <c r="AT4605" t="s">
        <v>11641</v>
      </c>
      <c r="AX4605" t="s">
        <v>10838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</row>
    <row r="4606" spans="1:59">
      <c r="A4606" s="1">
        <f>HYPERLINK("https://lsnyc.legalserver.org/matter/dynamic-profile/view/1908797","19-1908797")</f>
        <v>0</v>
      </c>
      <c r="B4606" t="s">
        <v>3721</v>
      </c>
      <c r="C4606" t="s">
        <v>8541</v>
      </c>
      <c r="D4606" t="s">
        <v>9928</v>
      </c>
      <c r="E4606" t="s">
        <v>10075</v>
      </c>
      <c r="F4606">
        <v>11208</v>
      </c>
      <c r="G4606" t="s">
        <v>10093</v>
      </c>
      <c r="H4606" t="s">
        <v>10160</v>
      </c>
      <c r="I4606" t="s">
        <v>10168</v>
      </c>
      <c r="J4606" t="s">
        <v>10213</v>
      </c>
      <c r="K4606" t="s">
        <v>10217</v>
      </c>
      <c r="M4606" t="s">
        <v>10565</v>
      </c>
      <c r="N4606" t="s">
        <v>10650</v>
      </c>
      <c r="P4606" t="s">
        <v>10749</v>
      </c>
      <c r="Q4606" t="s">
        <v>10765</v>
      </c>
      <c r="R4606" t="s">
        <v>10820</v>
      </c>
      <c r="T4606">
        <v>15084</v>
      </c>
      <c r="U4606">
        <v>1257</v>
      </c>
      <c r="V4606">
        <v>63</v>
      </c>
      <c r="W4606">
        <v>1</v>
      </c>
      <c r="X4606">
        <v>0</v>
      </c>
      <c r="Z4606">
        <v>120.77</v>
      </c>
      <c r="AA4606">
        <v>40.686598</v>
      </c>
      <c r="AB4606">
        <v>-73.87352199999999</v>
      </c>
      <c r="AC4606" t="s">
        <v>10837</v>
      </c>
      <c r="AD4606" t="s">
        <v>10840</v>
      </c>
      <c r="AG4606" t="s">
        <v>10858</v>
      </c>
      <c r="AH4606" t="s">
        <v>10862</v>
      </c>
      <c r="AI4606">
        <v>239</v>
      </c>
      <c r="AJ4606" t="s">
        <v>10213</v>
      </c>
      <c r="AL4606">
        <v>0</v>
      </c>
      <c r="AM4606" t="s">
        <v>10886</v>
      </c>
      <c r="AN4606" t="s">
        <v>10920</v>
      </c>
      <c r="AO4606" t="s">
        <v>11011</v>
      </c>
      <c r="AP4606" t="s">
        <v>11058</v>
      </c>
      <c r="AR4606" t="s">
        <v>11296</v>
      </c>
      <c r="AS4606" t="s">
        <v>11595</v>
      </c>
      <c r="AT4606" t="s">
        <v>11642</v>
      </c>
      <c r="BA4606" t="s">
        <v>11741</v>
      </c>
      <c r="BB4606">
        <v>0</v>
      </c>
      <c r="BC4606">
        <v>0</v>
      </c>
      <c r="BD4606">
        <v>0</v>
      </c>
      <c r="BE4606">
        <v>0</v>
      </c>
      <c r="BF4606">
        <v>1</v>
      </c>
      <c r="BG4606">
        <v>0</v>
      </c>
    </row>
    <row r="4607" spans="1:59">
      <c r="A4607" s="1">
        <f>HYPERLINK("https://lsnyc.legalserver.org/matter/dynamic-profile/view/1908798","19-1908798")</f>
        <v>0</v>
      </c>
      <c r="B4607" t="s">
        <v>763</v>
      </c>
      <c r="C4607" t="s">
        <v>6558</v>
      </c>
      <c r="D4607" t="s">
        <v>9928</v>
      </c>
      <c r="E4607" t="s">
        <v>10075</v>
      </c>
      <c r="F4607">
        <v>11225</v>
      </c>
      <c r="G4607" t="s">
        <v>10093</v>
      </c>
      <c r="H4607" t="s">
        <v>10160</v>
      </c>
      <c r="J4607" t="s">
        <v>10213</v>
      </c>
      <c r="K4607" t="s">
        <v>10217</v>
      </c>
      <c r="M4607" t="s">
        <v>10317</v>
      </c>
      <c r="N4607" t="s">
        <v>10698</v>
      </c>
      <c r="P4607" t="s">
        <v>10749</v>
      </c>
      <c r="Q4607" t="s">
        <v>10765</v>
      </c>
      <c r="R4607" t="s">
        <v>10824</v>
      </c>
      <c r="T4607">
        <v>18924</v>
      </c>
      <c r="U4607">
        <v>1577</v>
      </c>
      <c r="V4607">
        <v>45</v>
      </c>
      <c r="W4607">
        <v>3</v>
      </c>
      <c r="X4607">
        <v>0</v>
      </c>
      <c r="Z4607">
        <v>88.72</v>
      </c>
      <c r="AA4607">
        <v>40.667623</v>
      </c>
      <c r="AB4607">
        <v>-73.959632</v>
      </c>
      <c r="AD4607" t="s">
        <v>10839</v>
      </c>
      <c r="AG4607" t="s">
        <v>10858</v>
      </c>
      <c r="AH4607" t="s">
        <v>10868</v>
      </c>
      <c r="AI4607">
        <v>239</v>
      </c>
      <c r="AJ4607" t="s">
        <v>10213</v>
      </c>
      <c r="AL4607">
        <v>4.25</v>
      </c>
      <c r="AM4607" t="s">
        <v>10888</v>
      </c>
      <c r="AN4607" t="s">
        <v>10923</v>
      </c>
      <c r="AO4607" t="s">
        <v>11005</v>
      </c>
      <c r="AP4607" t="s">
        <v>11061</v>
      </c>
      <c r="AR4607" t="s">
        <v>11274</v>
      </c>
      <c r="AS4607" t="s">
        <v>11595</v>
      </c>
      <c r="AT4607" t="s">
        <v>11641</v>
      </c>
      <c r="AX4607" t="s">
        <v>10838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</row>
    <row r="4608" spans="1:59">
      <c r="A4608" s="1">
        <f>HYPERLINK("https://lsnyc.legalserver.org/matter/dynamic-profile/view/1908799","19-1908799")</f>
        <v>0</v>
      </c>
      <c r="B4608" t="s">
        <v>3722</v>
      </c>
      <c r="C4608" t="s">
        <v>8542</v>
      </c>
      <c r="D4608" t="s">
        <v>9925</v>
      </c>
      <c r="E4608" t="s">
        <v>10075</v>
      </c>
      <c r="F4608">
        <v>10025</v>
      </c>
      <c r="G4608" t="s">
        <v>10089</v>
      </c>
      <c r="H4608" t="s">
        <v>10160</v>
      </c>
      <c r="I4608" t="s">
        <v>10169</v>
      </c>
      <c r="J4608" t="s">
        <v>10209</v>
      </c>
      <c r="K4608" t="s">
        <v>10217</v>
      </c>
      <c r="M4608" t="s">
        <v>10305</v>
      </c>
      <c r="N4608" t="s">
        <v>10691</v>
      </c>
      <c r="P4608" t="s">
        <v>10752</v>
      </c>
      <c r="Q4608" t="s">
        <v>10805</v>
      </c>
      <c r="R4608" t="s">
        <v>10821</v>
      </c>
      <c r="T4608">
        <v>38000</v>
      </c>
      <c r="U4608">
        <v>3166.67</v>
      </c>
      <c r="V4608">
        <v>59</v>
      </c>
      <c r="W4608">
        <v>5</v>
      </c>
      <c r="X4608">
        <v>0</v>
      </c>
      <c r="Z4608">
        <v>125.95</v>
      </c>
      <c r="AA4608">
        <v>40.799754</v>
      </c>
      <c r="AB4608">
        <v>-73.959484</v>
      </c>
      <c r="AD4608" t="s">
        <v>10839</v>
      </c>
      <c r="AG4608" t="s">
        <v>10858</v>
      </c>
      <c r="AH4608" t="s">
        <v>10863</v>
      </c>
      <c r="AI4608">
        <v>236</v>
      </c>
      <c r="AJ4608" t="s">
        <v>10209</v>
      </c>
      <c r="AL4608">
        <v>0.3</v>
      </c>
      <c r="AM4608" t="s">
        <v>10887</v>
      </c>
      <c r="AN4608" t="s">
        <v>10953</v>
      </c>
      <c r="AO4608" t="s">
        <v>11016</v>
      </c>
      <c r="AP4608" t="s">
        <v>11073</v>
      </c>
      <c r="AQ4608" t="s">
        <v>11155</v>
      </c>
      <c r="AR4608" t="s">
        <v>11257</v>
      </c>
      <c r="AS4608" t="s">
        <v>9925</v>
      </c>
      <c r="AT4608" t="s">
        <v>11641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</row>
    <row r="4609" spans="1:59">
      <c r="A4609" s="1">
        <f>HYPERLINK("https://lsnyc.legalserver.org/matter/dynamic-profile/view/1908800","19-1908800")</f>
        <v>0</v>
      </c>
      <c r="B4609" t="s">
        <v>3723</v>
      </c>
      <c r="C4609" t="s">
        <v>8543</v>
      </c>
      <c r="D4609" t="s">
        <v>9930</v>
      </c>
      <c r="E4609" t="s">
        <v>10075</v>
      </c>
      <c r="F4609">
        <v>11373</v>
      </c>
      <c r="G4609" t="s">
        <v>10092</v>
      </c>
      <c r="H4609" t="s">
        <v>10160</v>
      </c>
      <c r="I4609" t="s">
        <v>10169</v>
      </c>
      <c r="J4609" t="s">
        <v>10212</v>
      </c>
      <c r="K4609" t="s">
        <v>10217</v>
      </c>
      <c r="M4609" t="s">
        <v>10335</v>
      </c>
      <c r="N4609" t="s">
        <v>10693</v>
      </c>
      <c r="P4609" t="s">
        <v>10749</v>
      </c>
      <c r="Q4609" t="s">
        <v>10765</v>
      </c>
      <c r="R4609" t="s">
        <v>10823</v>
      </c>
      <c r="T4609">
        <v>16500</v>
      </c>
      <c r="U4609">
        <v>1375</v>
      </c>
      <c r="V4609">
        <v>34</v>
      </c>
      <c r="W4609">
        <v>1</v>
      </c>
      <c r="X4609">
        <v>1</v>
      </c>
      <c r="Z4609">
        <v>97.58</v>
      </c>
      <c r="AA4609">
        <v>40.745763</v>
      </c>
      <c r="AB4609">
        <v>-73.872506</v>
      </c>
      <c r="AD4609" t="s">
        <v>10839</v>
      </c>
      <c r="AF4609" t="s">
        <v>10842</v>
      </c>
      <c r="AG4609" t="s">
        <v>10859</v>
      </c>
      <c r="AH4609" t="s">
        <v>10862</v>
      </c>
      <c r="AI4609">
        <v>237</v>
      </c>
      <c r="AJ4609" t="s">
        <v>10212</v>
      </c>
      <c r="AL4609">
        <v>2.9</v>
      </c>
      <c r="AM4609" t="s">
        <v>10885</v>
      </c>
      <c r="AN4609" t="s">
        <v>10949</v>
      </c>
      <c r="AO4609" t="s">
        <v>11014</v>
      </c>
      <c r="AP4609" t="s">
        <v>11053</v>
      </c>
      <c r="AR4609" t="s">
        <v>11257</v>
      </c>
      <c r="AS4609" t="s">
        <v>11594</v>
      </c>
      <c r="BA4609" t="s">
        <v>11738</v>
      </c>
      <c r="BB4609">
        <v>0</v>
      </c>
      <c r="BC4609">
        <v>0</v>
      </c>
      <c r="BD4609">
        <v>0</v>
      </c>
      <c r="BE4609">
        <v>0</v>
      </c>
      <c r="BF4609">
        <v>5</v>
      </c>
      <c r="BG4609">
        <v>0</v>
      </c>
    </row>
    <row r="4610" spans="1:59">
      <c r="A4610" s="1">
        <f>HYPERLINK("https://lsnyc.legalserver.org/matter/dynamic-profile/view/1908801","19-1908801")</f>
        <v>0</v>
      </c>
      <c r="B4610" t="s">
        <v>3724</v>
      </c>
      <c r="C4610" t="s">
        <v>7525</v>
      </c>
      <c r="D4610" t="s">
        <v>9936</v>
      </c>
      <c r="E4610" t="s">
        <v>10075</v>
      </c>
      <c r="F4610">
        <v>11106</v>
      </c>
      <c r="G4610" t="s">
        <v>10091</v>
      </c>
      <c r="H4610" t="s">
        <v>10160</v>
      </c>
      <c r="I4610" t="s">
        <v>10168</v>
      </c>
      <c r="J4610" t="s">
        <v>10214</v>
      </c>
      <c r="K4610" t="s">
        <v>10217</v>
      </c>
      <c r="M4610" t="s">
        <v>10286</v>
      </c>
      <c r="N4610" t="s">
        <v>10671</v>
      </c>
      <c r="P4610" t="s">
        <v>10751</v>
      </c>
      <c r="Q4610" t="s">
        <v>10768</v>
      </c>
      <c r="R4610" t="s">
        <v>10824</v>
      </c>
      <c r="T4610">
        <v>10320</v>
      </c>
      <c r="U4610">
        <v>860</v>
      </c>
      <c r="V4610">
        <v>52</v>
      </c>
      <c r="W4610">
        <v>1</v>
      </c>
      <c r="X4610">
        <v>0</v>
      </c>
      <c r="Z4610">
        <v>82.63</v>
      </c>
      <c r="AA4610">
        <v>40.760603</v>
      </c>
      <c r="AB4610">
        <v>-73.93455400000001</v>
      </c>
      <c r="AD4610" t="s">
        <v>10840</v>
      </c>
      <c r="AG4610" t="s">
        <v>10858</v>
      </c>
      <c r="AH4610" t="s">
        <v>10871</v>
      </c>
      <c r="AI4610">
        <v>234</v>
      </c>
      <c r="AJ4610" t="s">
        <v>10214</v>
      </c>
      <c r="AL4610">
        <v>0.6</v>
      </c>
      <c r="AM4610" t="s">
        <v>10891</v>
      </c>
      <c r="AN4610" t="s">
        <v>10961</v>
      </c>
      <c r="AO4610" t="s">
        <v>11003</v>
      </c>
      <c r="AP4610" t="s">
        <v>11047</v>
      </c>
      <c r="AR4610" t="s">
        <v>11274</v>
      </c>
      <c r="AS4610" t="s">
        <v>11594</v>
      </c>
      <c r="AT4610" t="s">
        <v>11642</v>
      </c>
      <c r="AX4610" t="s">
        <v>10838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</row>
    <row r="4611" spans="1:59">
      <c r="A4611" s="1">
        <f>HYPERLINK("https://lsnyc.legalserver.org/matter/dynamic-profile/view/1908802","19-1908802")</f>
        <v>0</v>
      </c>
      <c r="B4611" t="s">
        <v>3725</v>
      </c>
      <c r="C4611" t="s">
        <v>8544</v>
      </c>
      <c r="D4611" t="s">
        <v>9928</v>
      </c>
      <c r="E4611" t="s">
        <v>10075</v>
      </c>
      <c r="F4611">
        <v>11210</v>
      </c>
      <c r="G4611" t="s">
        <v>10093</v>
      </c>
      <c r="H4611" t="s">
        <v>10160</v>
      </c>
      <c r="I4611" t="s">
        <v>10168</v>
      </c>
      <c r="J4611" t="s">
        <v>10213</v>
      </c>
      <c r="K4611" t="s">
        <v>10217</v>
      </c>
      <c r="M4611" t="s">
        <v>10583</v>
      </c>
      <c r="N4611" t="s">
        <v>10646</v>
      </c>
      <c r="P4611" t="s">
        <v>10757</v>
      </c>
      <c r="Q4611" t="s">
        <v>10789</v>
      </c>
      <c r="R4611" t="s">
        <v>10824</v>
      </c>
      <c r="T4611">
        <v>43900</v>
      </c>
      <c r="U4611">
        <v>3658.33</v>
      </c>
      <c r="V4611">
        <v>80</v>
      </c>
      <c r="W4611">
        <v>1</v>
      </c>
      <c r="X4611">
        <v>0</v>
      </c>
      <c r="Z4611">
        <v>351.48</v>
      </c>
      <c r="AA4611">
        <v>40.633745</v>
      </c>
      <c r="AB4611">
        <v>-73.94064299999999</v>
      </c>
      <c r="AD4611" t="s">
        <v>10840</v>
      </c>
      <c r="AG4611" t="s">
        <v>10858</v>
      </c>
      <c r="AH4611" t="s">
        <v>10861</v>
      </c>
      <c r="AI4611">
        <v>234</v>
      </c>
      <c r="AJ4611" t="s">
        <v>10214</v>
      </c>
      <c r="AL4611">
        <v>1.2</v>
      </c>
      <c r="AM4611" t="s">
        <v>10888</v>
      </c>
      <c r="AN4611" t="s">
        <v>10925</v>
      </c>
      <c r="AO4611" t="s">
        <v>11008</v>
      </c>
      <c r="AP4611" t="s">
        <v>11065</v>
      </c>
      <c r="AR4611" t="s">
        <v>11486</v>
      </c>
      <c r="AS4611" t="s">
        <v>11595</v>
      </c>
      <c r="AT4611" t="s">
        <v>11642</v>
      </c>
      <c r="AX4611" t="s">
        <v>10838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</row>
    <row r="4612" spans="1:59">
      <c r="A4612" s="1">
        <f>HYPERLINK("https://lsnyc.legalserver.org/matter/dynamic-profile/view/1908804","19-1908804")</f>
        <v>0</v>
      </c>
      <c r="B4612" t="s">
        <v>3726</v>
      </c>
      <c r="C4612" t="s">
        <v>8545</v>
      </c>
      <c r="D4612" t="s">
        <v>9928</v>
      </c>
      <c r="E4612" t="s">
        <v>10075</v>
      </c>
      <c r="F4612">
        <v>11233</v>
      </c>
      <c r="G4612" t="s">
        <v>10091</v>
      </c>
      <c r="H4612" t="s">
        <v>10160</v>
      </c>
      <c r="I4612" t="s">
        <v>10168</v>
      </c>
      <c r="J4612" t="s">
        <v>10214</v>
      </c>
      <c r="K4612" t="s">
        <v>10217</v>
      </c>
      <c r="M4612" t="s">
        <v>10307</v>
      </c>
      <c r="N4612" t="s">
        <v>10671</v>
      </c>
      <c r="P4612" t="s">
        <v>10752</v>
      </c>
      <c r="Q4612" t="s">
        <v>10762</v>
      </c>
      <c r="R4612" t="s">
        <v>10823</v>
      </c>
      <c r="T4612">
        <v>36400</v>
      </c>
      <c r="U4612">
        <v>3033.33</v>
      </c>
      <c r="V4612">
        <v>37</v>
      </c>
      <c r="W4612">
        <v>2</v>
      </c>
      <c r="X4612">
        <v>3</v>
      </c>
      <c r="Z4612">
        <v>120.65</v>
      </c>
      <c r="AA4612">
        <v>40.669619</v>
      </c>
      <c r="AB4612">
        <v>-73.91732399999999</v>
      </c>
      <c r="AD4612" t="s">
        <v>10840</v>
      </c>
      <c r="AG4612" t="s">
        <v>10858</v>
      </c>
      <c r="AH4612" t="s">
        <v>10861</v>
      </c>
      <c r="AI4612">
        <v>234</v>
      </c>
      <c r="AJ4612" t="s">
        <v>10214</v>
      </c>
      <c r="AL4612">
        <v>0.7</v>
      </c>
      <c r="AM4612" t="s">
        <v>10888</v>
      </c>
      <c r="AN4612" t="s">
        <v>10922</v>
      </c>
      <c r="AO4612" t="s">
        <v>11005</v>
      </c>
      <c r="AP4612" t="s">
        <v>11064</v>
      </c>
      <c r="AR4612" t="s">
        <v>11443</v>
      </c>
      <c r="AS4612" t="s">
        <v>11595</v>
      </c>
      <c r="AT4612" t="s">
        <v>11642</v>
      </c>
      <c r="AX4612" t="s">
        <v>10838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</row>
    <row r="4613" spans="1:59">
      <c r="A4613" s="1">
        <f>HYPERLINK("https://lsnyc.legalserver.org/matter/dynamic-profile/view/1908805","19-1908805")</f>
        <v>0</v>
      </c>
      <c r="B4613" t="s">
        <v>3727</v>
      </c>
      <c r="C4613" t="s">
        <v>8546</v>
      </c>
      <c r="D4613" t="s">
        <v>9925</v>
      </c>
      <c r="E4613" t="s">
        <v>10075</v>
      </c>
      <c r="F4613">
        <v>10040</v>
      </c>
      <c r="G4613" t="s">
        <v>10089</v>
      </c>
      <c r="H4613" t="s">
        <v>10160</v>
      </c>
      <c r="I4613" t="s">
        <v>10168</v>
      </c>
      <c r="J4613" t="s">
        <v>10209</v>
      </c>
      <c r="K4613" t="s">
        <v>10217</v>
      </c>
      <c r="M4613" t="s">
        <v>10442</v>
      </c>
      <c r="N4613" t="s">
        <v>10671</v>
      </c>
      <c r="P4613" t="s">
        <v>10749</v>
      </c>
      <c r="Q4613" t="s">
        <v>10765</v>
      </c>
      <c r="R4613" t="s">
        <v>10820</v>
      </c>
      <c r="T4613">
        <v>19000</v>
      </c>
      <c r="U4613">
        <v>1583.33</v>
      </c>
      <c r="V4613">
        <v>75</v>
      </c>
      <c r="W4613">
        <v>1</v>
      </c>
      <c r="X4613">
        <v>0</v>
      </c>
      <c r="Z4613">
        <v>152.12</v>
      </c>
      <c r="AA4613">
        <v>40.853391</v>
      </c>
      <c r="AB4613">
        <v>-73.927526</v>
      </c>
      <c r="AD4613" t="s">
        <v>10839</v>
      </c>
      <c r="AG4613" t="s">
        <v>10858</v>
      </c>
      <c r="AH4613" t="s">
        <v>10861</v>
      </c>
      <c r="AI4613">
        <v>234</v>
      </c>
      <c r="AJ4613" t="s">
        <v>10214</v>
      </c>
      <c r="AL4613">
        <v>1.2</v>
      </c>
      <c r="AM4613" t="s">
        <v>10887</v>
      </c>
      <c r="AN4613" t="s">
        <v>10937</v>
      </c>
      <c r="AO4613" t="s">
        <v>11019</v>
      </c>
      <c r="AP4613" t="s">
        <v>11074</v>
      </c>
      <c r="AR4613" t="s">
        <v>11268</v>
      </c>
      <c r="AS4613" t="s">
        <v>9925</v>
      </c>
      <c r="AT4613" t="s">
        <v>11641</v>
      </c>
      <c r="AX4613" t="s">
        <v>10838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</row>
    <row r="4614" spans="1:59">
      <c r="A4614" s="1">
        <f>HYPERLINK("https://lsnyc.legalserver.org/matter/dynamic-profile/view/1908806","19-1908806")</f>
        <v>0</v>
      </c>
      <c r="B4614" t="s">
        <v>3728</v>
      </c>
      <c r="C4614" t="s">
        <v>8547</v>
      </c>
      <c r="D4614" t="s">
        <v>9926</v>
      </c>
      <c r="E4614" t="s">
        <v>10075</v>
      </c>
      <c r="F4614">
        <v>10460</v>
      </c>
      <c r="G4614" t="s">
        <v>10091</v>
      </c>
      <c r="H4614" t="s">
        <v>10160</v>
      </c>
      <c r="I4614" t="s">
        <v>10168</v>
      </c>
      <c r="J4614" t="s">
        <v>10214</v>
      </c>
      <c r="K4614" t="s">
        <v>10217</v>
      </c>
      <c r="M4614" t="s">
        <v>10286</v>
      </c>
      <c r="N4614" t="s">
        <v>10671</v>
      </c>
      <c r="P4614" t="s">
        <v>10751</v>
      </c>
      <c r="Q4614" t="s">
        <v>10768</v>
      </c>
      <c r="R4614" t="s">
        <v>10821</v>
      </c>
      <c r="T4614">
        <v>4680</v>
      </c>
      <c r="U4614">
        <v>390</v>
      </c>
      <c r="V4614">
        <v>42</v>
      </c>
      <c r="W4614">
        <v>1</v>
      </c>
      <c r="X4614">
        <v>0</v>
      </c>
      <c r="Z4614">
        <v>37.47</v>
      </c>
      <c r="AA4614">
        <v>40.836687</v>
      </c>
      <c r="AB4614">
        <v>-73.882503</v>
      </c>
      <c r="AD4614" t="s">
        <v>10840</v>
      </c>
      <c r="AG4614" t="s">
        <v>10858</v>
      </c>
      <c r="AH4614" t="s">
        <v>10871</v>
      </c>
      <c r="AI4614">
        <v>234</v>
      </c>
      <c r="AJ4614" t="s">
        <v>10214</v>
      </c>
      <c r="AL4614">
        <v>1</v>
      </c>
      <c r="AM4614" t="s">
        <v>10884</v>
      </c>
      <c r="AN4614" t="s">
        <v>10968</v>
      </c>
      <c r="AO4614" t="s">
        <v>11001</v>
      </c>
      <c r="AP4614" t="s">
        <v>11062</v>
      </c>
      <c r="AR4614" t="s">
        <v>11311</v>
      </c>
      <c r="AS4614" t="s">
        <v>9926</v>
      </c>
      <c r="AT4614" t="s">
        <v>11642</v>
      </c>
      <c r="AX4614" t="s">
        <v>10838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</row>
    <row r="4615" spans="1:59">
      <c r="A4615" s="1">
        <f>HYPERLINK("https://lsnyc.legalserver.org/matter/dynamic-profile/view/1908808","19-1908808")</f>
        <v>0</v>
      </c>
      <c r="B4615" t="s">
        <v>3729</v>
      </c>
      <c r="C4615" t="s">
        <v>8548</v>
      </c>
      <c r="D4615" t="s">
        <v>9926</v>
      </c>
      <c r="E4615" t="s">
        <v>10075</v>
      </c>
      <c r="F4615">
        <v>10460</v>
      </c>
      <c r="G4615" t="s">
        <v>10090</v>
      </c>
      <c r="H4615" t="s">
        <v>10160</v>
      </c>
      <c r="I4615" t="s">
        <v>10168</v>
      </c>
      <c r="J4615" t="s">
        <v>10210</v>
      </c>
      <c r="K4615" t="s">
        <v>10218</v>
      </c>
      <c r="L4615" t="s">
        <v>10157</v>
      </c>
      <c r="M4615" t="s">
        <v>10262</v>
      </c>
      <c r="N4615" t="s">
        <v>10666</v>
      </c>
      <c r="P4615" t="s">
        <v>10749</v>
      </c>
      <c r="Q4615" t="s">
        <v>10765</v>
      </c>
      <c r="R4615" t="s">
        <v>10824</v>
      </c>
      <c r="T4615">
        <v>13676</v>
      </c>
      <c r="U4615">
        <v>1139.67</v>
      </c>
      <c r="V4615">
        <v>57</v>
      </c>
      <c r="W4615">
        <v>1</v>
      </c>
      <c r="X4615">
        <v>0</v>
      </c>
      <c r="Y4615" t="s">
        <v>10829</v>
      </c>
      <c r="Z4615">
        <v>109.5</v>
      </c>
      <c r="AA4615">
        <v>40.836549</v>
      </c>
      <c r="AB4615">
        <v>-73.88587</v>
      </c>
      <c r="AD4615" t="s">
        <v>10840</v>
      </c>
      <c r="AG4615" t="s">
        <v>10858</v>
      </c>
      <c r="AH4615" t="s">
        <v>10861</v>
      </c>
      <c r="AI4615">
        <v>230</v>
      </c>
      <c r="AJ4615" t="s">
        <v>10210</v>
      </c>
      <c r="AK4615" t="s">
        <v>10838</v>
      </c>
      <c r="AL4615">
        <v>0.5</v>
      </c>
      <c r="AM4615" t="s">
        <v>10884</v>
      </c>
      <c r="AN4615" t="s">
        <v>10918</v>
      </c>
      <c r="AO4615" t="s">
        <v>11001</v>
      </c>
      <c r="AP4615" t="s">
        <v>11062</v>
      </c>
      <c r="AR4615" t="s">
        <v>11257</v>
      </c>
      <c r="AS4615" t="s">
        <v>9926</v>
      </c>
      <c r="AT4615" t="s">
        <v>11642</v>
      </c>
      <c r="AX4615" t="s">
        <v>10838</v>
      </c>
      <c r="AY4615" t="s">
        <v>10829</v>
      </c>
      <c r="AZ4615" t="s">
        <v>11681</v>
      </c>
      <c r="BA4615" t="s">
        <v>11741</v>
      </c>
      <c r="BB4615">
        <v>0</v>
      </c>
      <c r="BC4615">
        <v>0</v>
      </c>
      <c r="BD4615">
        <v>0</v>
      </c>
      <c r="BE4615">
        <v>0</v>
      </c>
      <c r="BF4615">
        <v>1</v>
      </c>
      <c r="BG4615">
        <v>0</v>
      </c>
    </row>
    <row r="4616" spans="1:59">
      <c r="A4616" s="1">
        <f>HYPERLINK("https://lsnyc.legalserver.org/matter/dynamic-profile/view/1908809","19-1908809")</f>
        <v>0</v>
      </c>
      <c r="B4616" t="s">
        <v>3730</v>
      </c>
      <c r="C4616" t="s">
        <v>8549</v>
      </c>
      <c r="D4616" t="s">
        <v>9925</v>
      </c>
      <c r="E4616" t="s">
        <v>10075</v>
      </c>
      <c r="F4616">
        <v>10025</v>
      </c>
      <c r="G4616" t="s">
        <v>10089</v>
      </c>
      <c r="H4616" t="s">
        <v>10160</v>
      </c>
      <c r="I4616" t="s">
        <v>10168</v>
      </c>
      <c r="J4616" t="s">
        <v>10209</v>
      </c>
      <c r="K4616" t="s">
        <v>10217</v>
      </c>
      <c r="M4616" t="s">
        <v>10617</v>
      </c>
      <c r="N4616" t="s">
        <v>10702</v>
      </c>
      <c r="P4616" t="s">
        <v>10749</v>
      </c>
      <c r="Q4616" t="s">
        <v>10765</v>
      </c>
      <c r="R4616" t="s">
        <v>10824</v>
      </c>
      <c r="T4616">
        <v>1098</v>
      </c>
      <c r="U4616">
        <v>91.5</v>
      </c>
      <c r="V4616">
        <v>26</v>
      </c>
      <c r="W4616">
        <v>1</v>
      </c>
      <c r="X4616">
        <v>0</v>
      </c>
      <c r="Z4616">
        <v>8.789999999999999</v>
      </c>
      <c r="AA4616">
        <v>40.804257</v>
      </c>
      <c r="AB4616">
        <v>-73.961652</v>
      </c>
      <c r="AD4616" t="s">
        <v>10839</v>
      </c>
      <c r="AG4616" t="s">
        <v>10858</v>
      </c>
      <c r="AH4616" t="s">
        <v>10861</v>
      </c>
      <c r="AI4616">
        <v>236</v>
      </c>
      <c r="AJ4616" t="s">
        <v>10209</v>
      </c>
      <c r="AL4616">
        <v>2.2</v>
      </c>
      <c r="AM4616" t="s">
        <v>10894</v>
      </c>
      <c r="AN4616" t="s">
        <v>10953</v>
      </c>
      <c r="AO4616" t="s">
        <v>11016</v>
      </c>
      <c r="AP4616" t="s">
        <v>11073</v>
      </c>
      <c r="AR4616" t="s">
        <v>11260</v>
      </c>
      <c r="AS4616" t="s">
        <v>9925</v>
      </c>
      <c r="BA4616" t="s">
        <v>11738</v>
      </c>
      <c r="BB4616">
        <v>0</v>
      </c>
      <c r="BC4616">
        <v>0</v>
      </c>
      <c r="BD4616">
        <v>0</v>
      </c>
      <c r="BE4616">
        <v>0</v>
      </c>
      <c r="BF4616">
        <v>5</v>
      </c>
      <c r="BG4616">
        <v>0</v>
      </c>
    </row>
    <row r="4617" spans="1:59">
      <c r="A4617" s="1">
        <f>HYPERLINK("https://lsnyc.legalserver.org/matter/dynamic-profile/view/1908810","19-1908810")</f>
        <v>0</v>
      </c>
      <c r="B4617" t="s">
        <v>3731</v>
      </c>
      <c r="C4617" t="s">
        <v>8550</v>
      </c>
      <c r="D4617" t="s">
        <v>9930</v>
      </c>
      <c r="E4617" t="s">
        <v>10075</v>
      </c>
      <c r="F4617">
        <v>11373</v>
      </c>
      <c r="G4617" t="s">
        <v>10092</v>
      </c>
      <c r="H4617" t="s">
        <v>10160</v>
      </c>
      <c r="I4617" t="s">
        <v>10169</v>
      </c>
      <c r="J4617" t="s">
        <v>10212</v>
      </c>
      <c r="K4617" t="s">
        <v>10217</v>
      </c>
      <c r="M4617" t="s">
        <v>10335</v>
      </c>
      <c r="N4617" t="s">
        <v>10693</v>
      </c>
      <c r="P4617" t="s">
        <v>10749</v>
      </c>
      <c r="Q4617" t="s">
        <v>10765</v>
      </c>
      <c r="R4617" t="s">
        <v>10823</v>
      </c>
      <c r="T4617">
        <v>13800</v>
      </c>
      <c r="U4617">
        <v>1150</v>
      </c>
      <c r="V4617">
        <v>69</v>
      </c>
      <c r="W4617">
        <v>2</v>
      </c>
      <c r="X4617">
        <v>0</v>
      </c>
      <c r="Z4617">
        <v>81.61</v>
      </c>
      <c r="AA4617">
        <v>40.746663</v>
      </c>
      <c r="AB4617">
        <v>-73.87530700000001</v>
      </c>
      <c r="AD4617" t="s">
        <v>10840</v>
      </c>
      <c r="AG4617" t="s">
        <v>10858</v>
      </c>
      <c r="AH4617" t="s">
        <v>10862</v>
      </c>
      <c r="AI4617">
        <v>237</v>
      </c>
      <c r="AJ4617" t="s">
        <v>10212</v>
      </c>
      <c r="AL4617">
        <v>7.6</v>
      </c>
      <c r="AM4617" t="s">
        <v>10885</v>
      </c>
      <c r="AN4617" t="s">
        <v>10949</v>
      </c>
      <c r="AO4617" t="s">
        <v>11014</v>
      </c>
      <c r="AP4617" t="s">
        <v>11053</v>
      </c>
      <c r="AR4617" t="s">
        <v>10180</v>
      </c>
      <c r="AS4617" t="s">
        <v>11594</v>
      </c>
      <c r="BA4617" t="s">
        <v>11742</v>
      </c>
      <c r="BB4617">
        <v>0</v>
      </c>
      <c r="BC4617">
        <v>0</v>
      </c>
      <c r="BD4617">
        <v>0</v>
      </c>
      <c r="BE4617">
        <v>0</v>
      </c>
      <c r="BF4617">
        <v>7</v>
      </c>
      <c r="BG4617">
        <v>0</v>
      </c>
    </row>
    <row r="4618" spans="1:59">
      <c r="A4618" s="1">
        <f>HYPERLINK("https://lsnyc.legalserver.org/matter/dynamic-profile/view/1908812","19-1908812")</f>
        <v>0</v>
      </c>
      <c r="B4618" t="s">
        <v>145</v>
      </c>
      <c r="C4618" t="s">
        <v>5084</v>
      </c>
      <c r="D4618" t="s">
        <v>9926</v>
      </c>
      <c r="E4618" t="s">
        <v>10075</v>
      </c>
      <c r="F4618">
        <v>10467</v>
      </c>
      <c r="G4618" t="s">
        <v>10090</v>
      </c>
      <c r="H4618" t="s">
        <v>10160</v>
      </c>
      <c r="I4618" t="s">
        <v>10169</v>
      </c>
      <c r="J4618" t="s">
        <v>10210</v>
      </c>
      <c r="K4618" t="s">
        <v>10218</v>
      </c>
      <c r="L4618" t="s">
        <v>10160</v>
      </c>
      <c r="M4618" t="s">
        <v>10262</v>
      </c>
      <c r="N4618" t="s">
        <v>10650</v>
      </c>
      <c r="P4618" t="s">
        <v>10749</v>
      </c>
      <c r="Q4618" t="s">
        <v>10765</v>
      </c>
      <c r="R4618" t="s">
        <v>10823</v>
      </c>
      <c r="T4618">
        <v>15600</v>
      </c>
      <c r="U4618">
        <v>1300</v>
      </c>
      <c r="V4618">
        <v>42</v>
      </c>
      <c r="W4618">
        <v>2</v>
      </c>
      <c r="X4618">
        <v>1</v>
      </c>
      <c r="Y4618" t="s">
        <v>10831</v>
      </c>
      <c r="Z4618">
        <v>73.14</v>
      </c>
      <c r="AA4618">
        <v>40.881405</v>
      </c>
      <c r="AB4618">
        <v>-73.878146</v>
      </c>
      <c r="AD4618" t="s">
        <v>10839</v>
      </c>
      <c r="AF4618" t="s">
        <v>10843</v>
      </c>
      <c r="AG4618" t="s">
        <v>10859</v>
      </c>
      <c r="AH4618" t="s">
        <v>10862</v>
      </c>
      <c r="AI4618">
        <v>230</v>
      </c>
      <c r="AJ4618" t="s">
        <v>10210</v>
      </c>
      <c r="AK4618" t="s">
        <v>10838</v>
      </c>
      <c r="AL4618">
        <v>1.6</v>
      </c>
      <c r="AM4618" t="s">
        <v>10887</v>
      </c>
      <c r="AN4618" t="s">
        <v>10919</v>
      </c>
      <c r="AO4618" t="s">
        <v>11010</v>
      </c>
      <c r="AP4618" t="s">
        <v>11057</v>
      </c>
      <c r="AR4618" t="s">
        <v>11257</v>
      </c>
      <c r="AS4618" t="s">
        <v>9926</v>
      </c>
      <c r="AT4618" t="s">
        <v>11641</v>
      </c>
      <c r="AX4618" t="s">
        <v>10838</v>
      </c>
      <c r="AY4618" t="s">
        <v>10831</v>
      </c>
      <c r="AZ4618" t="s">
        <v>11687</v>
      </c>
      <c r="BA4618" t="s">
        <v>11738</v>
      </c>
      <c r="BB4618">
        <v>0</v>
      </c>
      <c r="BC4618">
        <v>0</v>
      </c>
      <c r="BD4618">
        <v>0</v>
      </c>
      <c r="BE4618">
        <v>0</v>
      </c>
      <c r="BF4618">
        <v>5</v>
      </c>
      <c r="BG4618">
        <v>0</v>
      </c>
    </row>
    <row r="4619" spans="1:59">
      <c r="A4619" s="1">
        <f>HYPERLINK("https://lsnyc.legalserver.org/matter/dynamic-profile/view/1908813","19-1908813")</f>
        <v>0</v>
      </c>
      <c r="B4619" t="s">
        <v>3732</v>
      </c>
      <c r="C4619" t="s">
        <v>8551</v>
      </c>
      <c r="D4619" t="s">
        <v>9949</v>
      </c>
      <c r="E4619" t="s">
        <v>10075</v>
      </c>
      <c r="F4619">
        <v>11413</v>
      </c>
      <c r="G4619" t="s">
        <v>10093</v>
      </c>
      <c r="H4619" t="s">
        <v>10160</v>
      </c>
      <c r="I4619" t="s">
        <v>10168</v>
      </c>
      <c r="J4619" t="s">
        <v>10213</v>
      </c>
      <c r="K4619" t="s">
        <v>10218</v>
      </c>
      <c r="L4619" t="s">
        <v>10159</v>
      </c>
      <c r="M4619" t="s">
        <v>10436</v>
      </c>
      <c r="N4619" t="s">
        <v>10710</v>
      </c>
      <c r="P4619" t="s">
        <v>10750</v>
      </c>
      <c r="Q4619" t="s">
        <v>10760</v>
      </c>
      <c r="R4619" t="s">
        <v>10824</v>
      </c>
      <c r="T4619">
        <v>26000</v>
      </c>
      <c r="U4619">
        <v>2166.67</v>
      </c>
      <c r="V4619">
        <v>57</v>
      </c>
      <c r="W4619">
        <v>1</v>
      </c>
      <c r="X4619">
        <v>0</v>
      </c>
      <c r="Y4619" t="s">
        <v>10829</v>
      </c>
      <c r="Z4619">
        <v>208.17</v>
      </c>
      <c r="AA4619">
        <v>40.663246</v>
      </c>
      <c r="AB4619">
        <v>-73.757338</v>
      </c>
      <c r="AD4619" t="s">
        <v>10840</v>
      </c>
      <c r="AG4619" t="s">
        <v>10858</v>
      </c>
      <c r="AH4619" t="s">
        <v>10861</v>
      </c>
      <c r="AI4619">
        <v>234</v>
      </c>
      <c r="AJ4619" t="s">
        <v>10214</v>
      </c>
      <c r="AK4619" t="s">
        <v>10838</v>
      </c>
      <c r="AL4619">
        <v>0.75</v>
      </c>
      <c r="AM4619" t="s">
        <v>10892</v>
      </c>
      <c r="AN4619" t="s">
        <v>10930</v>
      </c>
      <c r="AO4619" t="s">
        <v>11017</v>
      </c>
      <c r="AP4619" t="s">
        <v>11082</v>
      </c>
      <c r="AQ4619" t="s">
        <v>11243</v>
      </c>
      <c r="AR4619" t="s">
        <v>11279</v>
      </c>
      <c r="AS4619" t="s">
        <v>11594</v>
      </c>
      <c r="AT4619" t="s">
        <v>11642</v>
      </c>
      <c r="AX4619" t="s">
        <v>10838</v>
      </c>
      <c r="AY4619" t="s">
        <v>10829</v>
      </c>
      <c r="AZ4619" t="s">
        <v>11679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</row>
    <row r="4620" spans="1:59">
      <c r="A4620" s="1">
        <f>HYPERLINK("https://lsnyc.legalserver.org/matter/dynamic-profile/view/1908814","19-1908814")</f>
        <v>0</v>
      </c>
      <c r="B4620" t="s">
        <v>3733</v>
      </c>
      <c r="C4620" t="s">
        <v>8552</v>
      </c>
      <c r="D4620" t="s">
        <v>9928</v>
      </c>
      <c r="E4620" t="s">
        <v>10075</v>
      </c>
      <c r="F4620">
        <v>11236</v>
      </c>
      <c r="G4620" t="s">
        <v>10090</v>
      </c>
      <c r="H4620" t="s">
        <v>10160</v>
      </c>
      <c r="I4620" t="s">
        <v>10168</v>
      </c>
      <c r="J4620" t="s">
        <v>10210</v>
      </c>
      <c r="K4620" t="s">
        <v>10218</v>
      </c>
      <c r="L4620" t="s">
        <v>10162</v>
      </c>
      <c r="M4620" t="s">
        <v>10336</v>
      </c>
      <c r="N4620" t="s">
        <v>10671</v>
      </c>
      <c r="P4620" t="s">
        <v>10758</v>
      </c>
      <c r="Q4620" t="s">
        <v>10793</v>
      </c>
      <c r="R4620" t="s">
        <v>10824</v>
      </c>
      <c r="T4620">
        <v>39796.8</v>
      </c>
      <c r="U4620">
        <v>3316.4</v>
      </c>
      <c r="V4620">
        <v>44</v>
      </c>
      <c r="W4620">
        <v>2</v>
      </c>
      <c r="X4620">
        <v>2</v>
      </c>
      <c r="Y4620" t="s">
        <v>10829</v>
      </c>
      <c r="Z4620">
        <v>154.55</v>
      </c>
      <c r="AA4620">
        <v>40.634446</v>
      </c>
      <c r="AB4620">
        <v>-73.88430700000001</v>
      </c>
      <c r="AD4620" t="s">
        <v>10839</v>
      </c>
      <c r="AG4620" t="s">
        <v>10858</v>
      </c>
      <c r="AH4620" t="s">
        <v>10861</v>
      </c>
      <c r="AI4620">
        <v>234</v>
      </c>
      <c r="AJ4620" t="s">
        <v>10214</v>
      </c>
      <c r="AK4620" t="s">
        <v>10882</v>
      </c>
      <c r="AL4620">
        <v>1.5</v>
      </c>
      <c r="AM4620" t="s">
        <v>10889</v>
      </c>
      <c r="AN4620" t="s">
        <v>10959</v>
      </c>
      <c r="AO4620" t="s">
        <v>11012</v>
      </c>
      <c r="AP4620" t="s">
        <v>11072</v>
      </c>
      <c r="AR4620" t="s">
        <v>11295</v>
      </c>
      <c r="AS4620" t="s">
        <v>11595</v>
      </c>
      <c r="AT4620" t="s">
        <v>11641</v>
      </c>
      <c r="AX4620" t="s">
        <v>10838</v>
      </c>
      <c r="AY4620" t="s">
        <v>10829</v>
      </c>
      <c r="AZ4620" t="s">
        <v>11714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</row>
    <row r="4621" spans="1:59">
      <c r="A4621" s="1">
        <f>HYPERLINK("https://lsnyc.legalserver.org/matter/dynamic-profile/view/1908815","19-1908815")</f>
        <v>0</v>
      </c>
      <c r="B4621" t="s">
        <v>3734</v>
      </c>
      <c r="C4621" t="s">
        <v>8553</v>
      </c>
      <c r="D4621" t="s">
        <v>9925</v>
      </c>
      <c r="E4621" t="s">
        <v>10075</v>
      </c>
      <c r="F4621">
        <v>10025</v>
      </c>
      <c r="G4621" t="s">
        <v>10089</v>
      </c>
      <c r="H4621" t="s">
        <v>10160</v>
      </c>
      <c r="I4621" t="s">
        <v>10168</v>
      </c>
      <c r="J4621" t="s">
        <v>10209</v>
      </c>
      <c r="K4621" t="s">
        <v>10217</v>
      </c>
      <c r="M4621" t="s">
        <v>10616</v>
      </c>
      <c r="N4621" t="s">
        <v>10702</v>
      </c>
      <c r="P4621" t="s">
        <v>10749</v>
      </c>
      <c r="Q4621" t="s">
        <v>10765</v>
      </c>
      <c r="R4621" t="s">
        <v>10824</v>
      </c>
      <c r="T4621">
        <v>5616</v>
      </c>
      <c r="U4621">
        <v>468</v>
      </c>
      <c r="V4621">
        <v>33</v>
      </c>
      <c r="W4621">
        <v>1</v>
      </c>
      <c r="X4621">
        <v>2</v>
      </c>
      <c r="Z4621">
        <v>26.33</v>
      </c>
      <c r="AA4621">
        <v>40.797893</v>
      </c>
      <c r="AB4621">
        <v>-73.968287</v>
      </c>
      <c r="AD4621" t="s">
        <v>10839</v>
      </c>
      <c r="AG4621" t="s">
        <v>10858</v>
      </c>
      <c r="AH4621" t="s">
        <v>10862</v>
      </c>
      <c r="AI4621">
        <v>236</v>
      </c>
      <c r="AJ4621" t="s">
        <v>10209</v>
      </c>
      <c r="AL4621">
        <v>2.2</v>
      </c>
      <c r="AM4621" t="s">
        <v>10894</v>
      </c>
      <c r="AN4621" t="s">
        <v>10953</v>
      </c>
      <c r="AO4621" t="s">
        <v>11016</v>
      </c>
      <c r="AP4621" t="s">
        <v>11073</v>
      </c>
      <c r="AR4621" t="s">
        <v>11268</v>
      </c>
      <c r="AS4621" t="s">
        <v>9925</v>
      </c>
      <c r="BA4621" t="s">
        <v>11738</v>
      </c>
      <c r="BB4621">
        <v>0</v>
      </c>
      <c r="BC4621">
        <v>0</v>
      </c>
      <c r="BD4621">
        <v>0</v>
      </c>
      <c r="BE4621">
        <v>0</v>
      </c>
      <c r="BF4621">
        <v>5</v>
      </c>
      <c r="BG4621">
        <v>0</v>
      </c>
    </row>
    <row r="4622" spans="1:59">
      <c r="A4622" s="1">
        <f>HYPERLINK("https://lsnyc.legalserver.org/matter/dynamic-profile/view/1908816","19-1908816")</f>
        <v>0</v>
      </c>
      <c r="B4622" t="s">
        <v>2664</v>
      </c>
      <c r="C4622" t="s">
        <v>6028</v>
      </c>
      <c r="D4622" t="s">
        <v>9928</v>
      </c>
      <c r="E4622" t="s">
        <v>10075</v>
      </c>
      <c r="F4622">
        <v>11233</v>
      </c>
      <c r="G4622" t="s">
        <v>10093</v>
      </c>
      <c r="H4622" t="s">
        <v>10160</v>
      </c>
      <c r="I4622" t="s">
        <v>10168</v>
      </c>
      <c r="J4622" t="s">
        <v>10213</v>
      </c>
      <c r="K4622" t="s">
        <v>10217</v>
      </c>
      <c r="M4622" t="s">
        <v>10348</v>
      </c>
      <c r="N4622" t="s">
        <v>10650</v>
      </c>
      <c r="P4622" t="s">
        <v>10751</v>
      </c>
      <c r="Q4622" t="s">
        <v>10776</v>
      </c>
      <c r="R4622" t="s">
        <v>10824</v>
      </c>
      <c r="T4622">
        <v>35800</v>
      </c>
      <c r="U4622">
        <v>2983.33</v>
      </c>
      <c r="V4622">
        <v>36</v>
      </c>
      <c r="W4622">
        <v>1</v>
      </c>
      <c r="X4622">
        <v>1</v>
      </c>
      <c r="Z4622">
        <v>211.71</v>
      </c>
      <c r="AA4622">
        <v>40.680592</v>
      </c>
      <c r="AB4622">
        <v>-73.912558</v>
      </c>
      <c r="AD4622" t="s">
        <v>10839</v>
      </c>
      <c r="AG4622" t="s">
        <v>10858</v>
      </c>
      <c r="AH4622" t="s">
        <v>10862</v>
      </c>
      <c r="AI4622">
        <v>239</v>
      </c>
      <c r="AJ4622" t="s">
        <v>10213</v>
      </c>
      <c r="AL4622">
        <v>11.5</v>
      </c>
      <c r="AR4622" t="s">
        <v>11257</v>
      </c>
      <c r="AS4622" t="s">
        <v>11595</v>
      </c>
      <c r="AT4622" t="s">
        <v>11641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</row>
    <row r="4623" spans="1:59">
      <c r="A4623" s="1">
        <f>HYPERLINK("https://lsnyc.legalserver.org/matter/dynamic-profile/view/1908817","19-1908817")</f>
        <v>0</v>
      </c>
      <c r="B4623" t="s">
        <v>306</v>
      </c>
      <c r="C4623" t="s">
        <v>8554</v>
      </c>
      <c r="D4623" t="s">
        <v>9926</v>
      </c>
      <c r="E4623" t="s">
        <v>10075</v>
      </c>
      <c r="F4623">
        <v>10462</v>
      </c>
      <c r="G4623" t="s">
        <v>10090</v>
      </c>
      <c r="H4623" t="s">
        <v>10160</v>
      </c>
      <c r="I4623" t="s">
        <v>10168</v>
      </c>
      <c r="J4623" t="s">
        <v>10210</v>
      </c>
      <c r="K4623" t="s">
        <v>10217</v>
      </c>
      <c r="M4623" t="s">
        <v>10434</v>
      </c>
      <c r="N4623" t="s">
        <v>10666</v>
      </c>
      <c r="P4623" t="s">
        <v>10749</v>
      </c>
      <c r="Q4623" t="s">
        <v>10765</v>
      </c>
      <c r="R4623" t="s">
        <v>10824</v>
      </c>
      <c r="T4623">
        <v>0</v>
      </c>
      <c r="U4623">
        <v>0</v>
      </c>
      <c r="V4623">
        <v>56</v>
      </c>
      <c r="W4623">
        <v>1</v>
      </c>
      <c r="X4623">
        <v>0</v>
      </c>
      <c r="Z4623">
        <v>0</v>
      </c>
      <c r="AA4623">
        <v>40.839081</v>
      </c>
      <c r="AB4623">
        <v>-73.85525199999999</v>
      </c>
      <c r="AD4623" t="s">
        <v>10839</v>
      </c>
      <c r="AG4623" t="s">
        <v>10858</v>
      </c>
      <c r="AH4623" t="s">
        <v>10871</v>
      </c>
      <c r="AI4623">
        <v>234</v>
      </c>
      <c r="AJ4623" t="s">
        <v>10214</v>
      </c>
      <c r="AL4623">
        <v>4.9</v>
      </c>
      <c r="AM4623" t="s">
        <v>10885</v>
      </c>
      <c r="AN4623" t="s">
        <v>10908</v>
      </c>
      <c r="AO4623" t="s">
        <v>11001</v>
      </c>
      <c r="AP4623" t="s">
        <v>11046</v>
      </c>
      <c r="AR4623" t="s">
        <v>11279</v>
      </c>
      <c r="AS4623" t="s">
        <v>9926</v>
      </c>
      <c r="AT4623" t="s">
        <v>11641</v>
      </c>
      <c r="AX4623" t="s">
        <v>10838</v>
      </c>
      <c r="BA4623" t="s">
        <v>11741</v>
      </c>
      <c r="BB4623">
        <v>0</v>
      </c>
      <c r="BC4623">
        <v>0</v>
      </c>
      <c r="BD4623">
        <v>0</v>
      </c>
      <c r="BE4623">
        <v>0</v>
      </c>
      <c r="BF4623">
        <v>1</v>
      </c>
      <c r="BG4623">
        <v>0</v>
      </c>
    </row>
    <row r="4624" spans="1:59">
      <c r="A4624" s="1">
        <f>HYPERLINK("https://lsnyc.legalserver.org/matter/dynamic-profile/view/1908818","19-1908818")</f>
        <v>0</v>
      </c>
      <c r="B4624" t="s">
        <v>3735</v>
      </c>
      <c r="C4624" t="s">
        <v>8555</v>
      </c>
      <c r="D4624" t="s">
        <v>9928</v>
      </c>
      <c r="E4624" t="s">
        <v>10075</v>
      </c>
      <c r="F4624">
        <v>11207</v>
      </c>
      <c r="G4624" t="s">
        <v>10093</v>
      </c>
      <c r="H4624" t="s">
        <v>10160</v>
      </c>
      <c r="I4624" t="s">
        <v>10168</v>
      </c>
      <c r="J4624" t="s">
        <v>10213</v>
      </c>
      <c r="K4624" t="s">
        <v>10217</v>
      </c>
      <c r="M4624" t="s">
        <v>10565</v>
      </c>
      <c r="N4624" t="s">
        <v>10650</v>
      </c>
      <c r="P4624" t="s">
        <v>10749</v>
      </c>
      <c r="Q4624" t="s">
        <v>10765</v>
      </c>
      <c r="R4624" t="s">
        <v>10824</v>
      </c>
      <c r="T4624">
        <v>2196</v>
      </c>
      <c r="U4624">
        <v>183</v>
      </c>
      <c r="V4624">
        <v>45</v>
      </c>
      <c r="W4624">
        <v>1</v>
      </c>
      <c r="X4624">
        <v>0</v>
      </c>
      <c r="Z4624">
        <v>17.58</v>
      </c>
      <c r="AA4624">
        <v>40.667109</v>
      </c>
      <c r="AB4624">
        <v>-73.89435899999999</v>
      </c>
      <c r="AD4624" t="s">
        <v>10839</v>
      </c>
      <c r="AG4624" t="s">
        <v>10858</v>
      </c>
      <c r="AH4624" t="s">
        <v>10862</v>
      </c>
      <c r="AI4624">
        <v>239</v>
      </c>
      <c r="AJ4624" t="s">
        <v>10213</v>
      </c>
      <c r="AL4624">
        <v>0</v>
      </c>
      <c r="AM4624" t="s">
        <v>10889</v>
      </c>
      <c r="AN4624" t="s">
        <v>10946</v>
      </c>
      <c r="AO4624" t="s">
        <v>11012</v>
      </c>
      <c r="AP4624" t="s">
        <v>11060</v>
      </c>
      <c r="AR4624" t="s">
        <v>11273</v>
      </c>
      <c r="AS4624" t="s">
        <v>11595</v>
      </c>
      <c r="AT4624" t="s">
        <v>11641</v>
      </c>
      <c r="BA4624" t="s">
        <v>11741</v>
      </c>
      <c r="BB4624">
        <v>0</v>
      </c>
      <c r="BC4624">
        <v>0</v>
      </c>
      <c r="BD4624">
        <v>0</v>
      </c>
      <c r="BE4624">
        <v>0</v>
      </c>
      <c r="BF4624">
        <v>1</v>
      </c>
      <c r="BG4624">
        <v>0</v>
      </c>
    </row>
    <row r="4625" spans="1:59">
      <c r="A4625" s="1">
        <f>HYPERLINK("https://lsnyc.legalserver.org/matter/dynamic-profile/view/1908819","19-1908819")</f>
        <v>0</v>
      </c>
      <c r="B4625" t="s">
        <v>3736</v>
      </c>
      <c r="C4625" t="s">
        <v>8556</v>
      </c>
      <c r="D4625" t="s">
        <v>9928</v>
      </c>
      <c r="E4625" t="s">
        <v>10075</v>
      </c>
      <c r="F4625">
        <v>11208</v>
      </c>
      <c r="G4625" t="s">
        <v>10093</v>
      </c>
      <c r="H4625" t="s">
        <v>10160</v>
      </c>
      <c r="I4625" t="s">
        <v>10168</v>
      </c>
      <c r="J4625" t="s">
        <v>10213</v>
      </c>
      <c r="K4625" t="s">
        <v>10217</v>
      </c>
      <c r="M4625" t="s">
        <v>10359</v>
      </c>
      <c r="N4625" t="s">
        <v>10664</v>
      </c>
      <c r="P4625" t="s">
        <v>10749</v>
      </c>
      <c r="Q4625" t="s">
        <v>10765</v>
      </c>
      <c r="R4625" t="s">
        <v>10824</v>
      </c>
      <c r="T4625">
        <v>2580</v>
      </c>
      <c r="U4625">
        <v>215</v>
      </c>
      <c r="V4625">
        <v>32</v>
      </c>
      <c r="W4625">
        <v>1</v>
      </c>
      <c r="X4625">
        <v>0</v>
      </c>
      <c r="Z4625">
        <v>20.66</v>
      </c>
      <c r="AA4625">
        <v>40.678338</v>
      </c>
      <c r="AB4625">
        <v>-73.868967</v>
      </c>
      <c r="AD4625" t="s">
        <v>10840</v>
      </c>
      <c r="AG4625" t="s">
        <v>10858</v>
      </c>
      <c r="AH4625" t="s">
        <v>10862</v>
      </c>
      <c r="AI4625">
        <v>239</v>
      </c>
      <c r="AJ4625" t="s">
        <v>10213</v>
      </c>
      <c r="AL4625">
        <v>2.8</v>
      </c>
      <c r="AM4625" t="s">
        <v>10889</v>
      </c>
      <c r="AN4625" t="s">
        <v>10920</v>
      </c>
      <c r="AO4625" t="s">
        <v>11012</v>
      </c>
      <c r="AP4625" t="s">
        <v>11058</v>
      </c>
      <c r="AQ4625" t="s">
        <v>11120</v>
      </c>
      <c r="AR4625" t="s">
        <v>11273</v>
      </c>
      <c r="AS4625" t="s">
        <v>11595</v>
      </c>
      <c r="AT4625" t="s">
        <v>11642</v>
      </c>
      <c r="AV4625" t="s">
        <v>11655</v>
      </c>
      <c r="AW4625" t="s">
        <v>11666</v>
      </c>
      <c r="AX4625" t="s">
        <v>10838</v>
      </c>
      <c r="BA4625" t="s">
        <v>11738</v>
      </c>
      <c r="BB4625">
        <v>0</v>
      </c>
      <c r="BC4625">
        <v>0</v>
      </c>
      <c r="BD4625">
        <v>0</v>
      </c>
      <c r="BE4625">
        <v>0</v>
      </c>
      <c r="BF4625">
        <v>5</v>
      </c>
      <c r="BG4625">
        <v>0</v>
      </c>
    </row>
    <row r="4626" spans="1:59">
      <c r="A4626" s="1">
        <f>HYPERLINK("https://lsnyc.legalserver.org/matter/dynamic-profile/view/1908820","19-1908820")</f>
        <v>0</v>
      </c>
      <c r="B4626" t="s">
        <v>3737</v>
      </c>
      <c r="C4626" t="s">
        <v>8557</v>
      </c>
      <c r="D4626" t="s">
        <v>9928</v>
      </c>
      <c r="E4626" t="s">
        <v>10075</v>
      </c>
      <c r="F4626">
        <v>11203</v>
      </c>
      <c r="G4626" t="s">
        <v>10093</v>
      </c>
      <c r="H4626" t="s">
        <v>10160</v>
      </c>
      <c r="I4626" t="s">
        <v>10168</v>
      </c>
      <c r="J4626" t="s">
        <v>10213</v>
      </c>
      <c r="K4626" t="s">
        <v>10217</v>
      </c>
      <c r="M4626" t="s">
        <v>10359</v>
      </c>
      <c r="N4626" t="s">
        <v>10668</v>
      </c>
      <c r="P4626" t="s">
        <v>10751</v>
      </c>
      <c r="Q4626" t="s">
        <v>10761</v>
      </c>
      <c r="R4626" t="s">
        <v>10826</v>
      </c>
      <c r="T4626">
        <v>10020</v>
      </c>
      <c r="U4626">
        <v>835</v>
      </c>
      <c r="V4626">
        <v>61</v>
      </c>
      <c r="W4626">
        <v>1</v>
      </c>
      <c r="X4626">
        <v>0</v>
      </c>
      <c r="Z4626">
        <v>80.22</v>
      </c>
      <c r="AA4626">
        <v>40.65856</v>
      </c>
      <c r="AB4626">
        <v>-73.945598</v>
      </c>
      <c r="AD4626" t="s">
        <v>10840</v>
      </c>
      <c r="AG4626" t="s">
        <v>10858</v>
      </c>
      <c r="AH4626" t="s">
        <v>10862</v>
      </c>
      <c r="AI4626">
        <v>239</v>
      </c>
      <c r="AJ4626" t="s">
        <v>10213</v>
      </c>
      <c r="AL4626">
        <v>0</v>
      </c>
      <c r="AM4626" t="s">
        <v>10888</v>
      </c>
      <c r="AN4626" t="s">
        <v>10912</v>
      </c>
      <c r="AO4626" t="s">
        <v>11005</v>
      </c>
      <c r="AP4626" t="s">
        <v>11050</v>
      </c>
      <c r="AR4626" t="s">
        <v>11263</v>
      </c>
      <c r="AS4626" t="s">
        <v>11595</v>
      </c>
      <c r="BA4626" t="s">
        <v>11737</v>
      </c>
      <c r="BB4626">
        <v>0</v>
      </c>
      <c r="BC4626">
        <v>0</v>
      </c>
      <c r="BD4626">
        <v>0</v>
      </c>
      <c r="BE4626">
        <v>0</v>
      </c>
      <c r="BF4626">
        <v>3</v>
      </c>
      <c r="BG4626">
        <v>0</v>
      </c>
    </row>
    <row r="4627" spans="1:59">
      <c r="A4627" s="1">
        <f>HYPERLINK("https://lsnyc.legalserver.org/matter/dynamic-profile/view/1908821","19-1908821")</f>
        <v>0</v>
      </c>
      <c r="B4627" t="s">
        <v>3738</v>
      </c>
      <c r="C4627" t="s">
        <v>8558</v>
      </c>
      <c r="D4627" t="s">
        <v>9925</v>
      </c>
      <c r="E4627" t="s">
        <v>10075</v>
      </c>
      <c r="F4627">
        <v>10031</v>
      </c>
      <c r="G4627" t="s">
        <v>10089</v>
      </c>
      <c r="H4627" t="s">
        <v>10160</v>
      </c>
      <c r="I4627" t="s">
        <v>10168</v>
      </c>
      <c r="J4627" t="s">
        <v>10209</v>
      </c>
      <c r="K4627" t="s">
        <v>10217</v>
      </c>
      <c r="M4627" t="s">
        <v>10389</v>
      </c>
      <c r="N4627" t="s">
        <v>10702</v>
      </c>
      <c r="P4627" t="s">
        <v>10749</v>
      </c>
      <c r="Q4627" t="s">
        <v>10765</v>
      </c>
      <c r="R4627" t="s">
        <v>10824</v>
      </c>
      <c r="T4627">
        <v>2132</v>
      </c>
      <c r="U4627">
        <v>177.67</v>
      </c>
      <c r="V4627">
        <v>53</v>
      </c>
      <c r="W4627">
        <v>2</v>
      </c>
      <c r="X4627">
        <v>1</v>
      </c>
      <c r="Z4627">
        <v>10</v>
      </c>
      <c r="AA4627">
        <v>40.823697</v>
      </c>
      <c r="AB4627">
        <v>-73.954672</v>
      </c>
      <c r="AD4627" t="s">
        <v>10839</v>
      </c>
      <c r="AG4627" t="s">
        <v>10858</v>
      </c>
      <c r="AH4627" t="s">
        <v>10862</v>
      </c>
      <c r="AI4627">
        <v>236</v>
      </c>
      <c r="AJ4627" t="s">
        <v>10209</v>
      </c>
      <c r="AL4627">
        <v>0.4</v>
      </c>
      <c r="AM4627" t="s">
        <v>10887</v>
      </c>
      <c r="AN4627" t="s">
        <v>10936</v>
      </c>
      <c r="AO4627" t="s">
        <v>11019</v>
      </c>
      <c r="AP4627" t="s">
        <v>11073</v>
      </c>
      <c r="AR4627" t="s">
        <v>11260</v>
      </c>
      <c r="AS4627" t="s">
        <v>9925</v>
      </c>
      <c r="BA4627" t="s">
        <v>11738</v>
      </c>
      <c r="BB4627">
        <v>0</v>
      </c>
      <c r="BC4627">
        <v>0</v>
      </c>
      <c r="BD4627">
        <v>0</v>
      </c>
      <c r="BE4627">
        <v>0</v>
      </c>
      <c r="BF4627">
        <v>5</v>
      </c>
      <c r="BG4627">
        <v>0</v>
      </c>
    </row>
    <row r="4628" spans="1:59">
      <c r="A4628" s="1">
        <f>HYPERLINK("https://lsnyc.legalserver.org/matter/dynamic-profile/view/1908822","19-1908822")</f>
        <v>0</v>
      </c>
      <c r="B4628" t="s">
        <v>3739</v>
      </c>
      <c r="C4628" t="s">
        <v>8559</v>
      </c>
      <c r="D4628" t="s">
        <v>9928</v>
      </c>
      <c r="E4628" t="s">
        <v>10075</v>
      </c>
      <c r="F4628">
        <v>11207</v>
      </c>
      <c r="G4628" t="s">
        <v>10093</v>
      </c>
      <c r="H4628" t="s">
        <v>10160</v>
      </c>
      <c r="I4628" t="s">
        <v>10169</v>
      </c>
      <c r="J4628" t="s">
        <v>10213</v>
      </c>
      <c r="K4628" t="s">
        <v>10218</v>
      </c>
      <c r="L4628" t="s">
        <v>10160</v>
      </c>
      <c r="M4628" t="s">
        <v>10507</v>
      </c>
      <c r="N4628" t="s">
        <v>10650</v>
      </c>
      <c r="P4628" t="s">
        <v>10749</v>
      </c>
      <c r="Q4628" t="s">
        <v>10765</v>
      </c>
      <c r="R4628" t="s">
        <v>10821</v>
      </c>
      <c r="T4628">
        <v>10080</v>
      </c>
      <c r="U4628">
        <v>840</v>
      </c>
      <c r="V4628">
        <v>57</v>
      </c>
      <c r="W4628">
        <v>1</v>
      </c>
      <c r="X4628">
        <v>0</v>
      </c>
      <c r="Y4628" t="s">
        <v>10829</v>
      </c>
      <c r="Z4628">
        <v>80.7</v>
      </c>
      <c r="AA4628">
        <v>40.68292</v>
      </c>
      <c r="AB4628">
        <v>-73.909398</v>
      </c>
      <c r="AD4628" t="s">
        <v>10840</v>
      </c>
      <c r="AF4628" t="s">
        <v>10843</v>
      </c>
      <c r="AG4628" t="s">
        <v>10859</v>
      </c>
      <c r="AH4628" t="s">
        <v>10862</v>
      </c>
      <c r="AI4628">
        <v>239</v>
      </c>
      <c r="AJ4628" t="s">
        <v>10213</v>
      </c>
      <c r="AK4628" t="s">
        <v>10882</v>
      </c>
      <c r="AL4628">
        <v>0.4</v>
      </c>
      <c r="AM4628" t="s">
        <v>10889</v>
      </c>
      <c r="AN4628" t="s">
        <v>10922</v>
      </c>
      <c r="AO4628" t="s">
        <v>11011</v>
      </c>
      <c r="AP4628" t="s">
        <v>11058</v>
      </c>
      <c r="AR4628" t="s">
        <v>11263</v>
      </c>
      <c r="AS4628" t="s">
        <v>11595</v>
      </c>
      <c r="AT4628" t="s">
        <v>11642</v>
      </c>
      <c r="AY4628" t="s">
        <v>10829</v>
      </c>
      <c r="AZ4628" t="s">
        <v>11681</v>
      </c>
      <c r="BA4628" t="s">
        <v>11741</v>
      </c>
      <c r="BB4628">
        <v>0</v>
      </c>
      <c r="BC4628">
        <v>0</v>
      </c>
      <c r="BD4628">
        <v>0</v>
      </c>
      <c r="BE4628">
        <v>0</v>
      </c>
      <c r="BF4628">
        <v>1</v>
      </c>
      <c r="BG4628">
        <v>0</v>
      </c>
    </row>
    <row r="4629" spans="1:59">
      <c r="A4629" s="1">
        <f>HYPERLINK("https://lsnyc.legalserver.org/matter/dynamic-profile/view/1908823","19-1908823")</f>
        <v>0</v>
      </c>
      <c r="B4629" t="s">
        <v>3740</v>
      </c>
      <c r="C4629" t="s">
        <v>6745</v>
      </c>
      <c r="D4629" t="s">
        <v>9926</v>
      </c>
      <c r="E4629" t="s">
        <v>10075</v>
      </c>
      <c r="F4629">
        <v>10457</v>
      </c>
      <c r="G4629" t="s">
        <v>10090</v>
      </c>
      <c r="H4629" t="s">
        <v>10160</v>
      </c>
      <c r="I4629" t="s">
        <v>10169</v>
      </c>
      <c r="J4629" t="s">
        <v>10210</v>
      </c>
      <c r="K4629" t="s">
        <v>10217</v>
      </c>
      <c r="M4629" t="s">
        <v>10380</v>
      </c>
      <c r="N4629" t="s">
        <v>10671</v>
      </c>
      <c r="P4629" t="s">
        <v>10753</v>
      </c>
      <c r="Q4629" t="s">
        <v>10763</v>
      </c>
      <c r="R4629" t="s">
        <v>10821</v>
      </c>
      <c r="T4629">
        <v>20800</v>
      </c>
      <c r="U4629">
        <v>1733.33</v>
      </c>
      <c r="V4629">
        <v>40</v>
      </c>
      <c r="W4629">
        <v>2</v>
      </c>
      <c r="X4629">
        <v>3</v>
      </c>
      <c r="Z4629">
        <v>68.94</v>
      </c>
      <c r="AA4629">
        <v>40.855562</v>
      </c>
      <c r="AB4629">
        <v>-73.892307</v>
      </c>
      <c r="AD4629" t="s">
        <v>10839</v>
      </c>
      <c r="AF4629" t="s">
        <v>10843</v>
      </c>
      <c r="AG4629" t="s">
        <v>10859</v>
      </c>
      <c r="AH4629" t="s">
        <v>10871</v>
      </c>
      <c r="AI4629">
        <v>234</v>
      </c>
      <c r="AJ4629" t="s">
        <v>10214</v>
      </c>
      <c r="AL4629">
        <v>1</v>
      </c>
      <c r="AQ4629" t="s">
        <v>11131</v>
      </c>
      <c r="AR4629" t="s">
        <v>11257</v>
      </c>
      <c r="AS4629" t="s">
        <v>9926</v>
      </c>
      <c r="AT4629" t="s">
        <v>11641</v>
      </c>
      <c r="AX4629" t="s">
        <v>10838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</row>
    <row r="4630" spans="1:59">
      <c r="A4630" s="1">
        <f>HYPERLINK("https://lsnyc.legalserver.org/matter/dynamic-profile/view/1908824","19-1908824")</f>
        <v>0</v>
      </c>
      <c r="B4630" t="s">
        <v>3741</v>
      </c>
      <c r="C4630" t="s">
        <v>8560</v>
      </c>
      <c r="D4630" t="s">
        <v>9929</v>
      </c>
      <c r="E4630" t="s">
        <v>10075</v>
      </c>
      <c r="F4630">
        <v>10310</v>
      </c>
      <c r="G4630" t="s">
        <v>10088</v>
      </c>
      <c r="H4630" t="s">
        <v>10160</v>
      </c>
      <c r="I4630" t="s">
        <v>10168</v>
      </c>
      <c r="J4630" t="s">
        <v>10208</v>
      </c>
      <c r="K4630" t="s">
        <v>10217</v>
      </c>
      <c r="M4630" t="s">
        <v>10257</v>
      </c>
      <c r="N4630" t="s">
        <v>10711</v>
      </c>
      <c r="P4630" t="s">
        <v>10749</v>
      </c>
      <c r="Q4630" t="s">
        <v>10765</v>
      </c>
      <c r="R4630" t="s">
        <v>10821</v>
      </c>
      <c r="T4630">
        <v>0</v>
      </c>
      <c r="U4630">
        <v>0</v>
      </c>
      <c r="V4630">
        <v>27</v>
      </c>
      <c r="W4630">
        <v>1</v>
      </c>
      <c r="X4630">
        <v>2</v>
      </c>
      <c r="Z4630">
        <v>0</v>
      </c>
      <c r="AA4630">
        <v>40.631593</v>
      </c>
      <c r="AB4630">
        <v>-74.11878900000001</v>
      </c>
      <c r="AD4630" t="s">
        <v>10839</v>
      </c>
      <c r="AG4630" t="s">
        <v>10858</v>
      </c>
      <c r="AH4630" t="s">
        <v>10862</v>
      </c>
      <c r="AI4630">
        <v>285</v>
      </c>
      <c r="AJ4630" t="s">
        <v>10208</v>
      </c>
      <c r="AL4630">
        <v>2.3</v>
      </c>
      <c r="AM4630" t="s">
        <v>10883</v>
      </c>
      <c r="AN4630" t="s">
        <v>10913</v>
      </c>
      <c r="AO4630" t="s">
        <v>11006</v>
      </c>
      <c r="AP4630" t="s">
        <v>11051</v>
      </c>
      <c r="AQ4630" t="s">
        <v>11120</v>
      </c>
      <c r="AR4630" t="s">
        <v>11267</v>
      </c>
      <c r="AS4630" t="s">
        <v>11593</v>
      </c>
      <c r="AT4630" t="s">
        <v>11641</v>
      </c>
      <c r="AX4630" t="s">
        <v>10838</v>
      </c>
      <c r="BA4630" t="s">
        <v>11741</v>
      </c>
      <c r="BB4630">
        <v>0</v>
      </c>
      <c r="BC4630">
        <v>0</v>
      </c>
      <c r="BD4630">
        <v>0</v>
      </c>
      <c r="BE4630">
        <v>0</v>
      </c>
      <c r="BF4630">
        <v>1</v>
      </c>
      <c r="BG4630">
        <v>0</v>
      </c>
    </row>
    <row r="4631" spans="1:59">
      <c r="A4631" s="1">
        <f>HYPERLINK("https://lsnyc.legalserver.org/matter/dynamic-profile/view/1908825","19-1908825")</f>
        <v>0</v>
      </c>
      <c r="B4631" t="s">
        <v>3742</v>
      </c>
      <c r="C4631" t="s">
        <v>8561</v>
      </c>
      <c r="D4631" t="s">
        <v>9925</v>
      </c>
      <c r="E4631" t="s">
        <v>10075</v>
      </c>
      <c r="F4631">
        <v>10027</v>
      </c>
      <c r="G4631" t="s">
        <v>10089</v>
      </c>
      <c r="H4631" t="s">
        <v>10160</v>
      </c>
      <c r="I4631" t="s">
        <v>10168</v>
      </c>
      <c r="J4631" t="s">
        <v>10209</v>
      </c>
      <c r="K4631" t="s">
        <v>10217</v>
      </c>
      <c r="M4631" t="s">
        <v>10301</v>
      </c>
      <c r="N4631" t="s">
        <v>10665</v>
      </c>
      <c r="P4631" t="s">
        <v>10751</v>
      </c>
      <c r="Q4631" t="s">
        <v>10773</v>
      </c>
      <c r="R4631" t="s">
        <v>10820</v>
      </c>
      <c r="T4631">
        <v>0</v>
      </c>
      <c r="U4631">
        <v>0</v>
      </c>
      <c r="V4631">
        <v>33</v>
      </c>
      <c r="W4631">
        <v>1</v>
      </c>
      <c r="X4631">
        <v>0</v>
      </c>
      <c r="Z4631">
        <v>0</v>
      </c>
      <c r="AA4631">
        <v>40.814127</v>
      </c>
      <c r="AB4631">
        <v>-73.95131600000001</v>
      </c>
      <c r="AD4631" t="s">
        <v>10840</v>
      </c>
      <c r="AG4631" t="s">
        <v>10858</v>
      </c>
      <c r="AH4631" t="s">
        <v>10871</v>
      </c>
      <c r="AI4631">
        <v>234</v>
      </c>
      <c r="AJ4631" t="s">
        <v>10214</v>
      </c>
      <c r="AL4631">
        <v>3</v>
      </c>
      <c r="AM4631" t="s">
        <v>10887</v>
      </c>
      <c r="AN4631" t="s">
        <v>10936</v>
      </c>
      <c r="AO4631" t="s">
        <v>11016</v>
      </c>
      <c r="AP4631" t="s">
        <v>11076</v>
      </c>
      <c r="AQ4631" t="s">
        <v>11115</v>
      </c>
      <c r="AR4631" t="s">
        <v>11267</v>
      </c>
      <c r="AS4631" t="s">
        <v>9925</v>
      </c>
      <c r="AT4631" t="s">
        <v>11642</v>
      </c>
      <c r="AX4631" t="s">
        <v>10838</v>
      </c>
      <c r="BA4631" t="s">
        <v>11741</v>
      </c>
      <c r="BB4631">
        <v>0</v>
      </c>
      <c r="BC4631">
        <v>0</v>
      </c>
      <c r="BD4631">
        <v>0</v>
      </c>
      <c r="BE4631">
        <v>0</v>
      </c>
      <c r="BF4631">
        <v>1</v>
      </c>
      <c r="BG4631">
        <v>0</v>
      </c>
    </row>
    <row r="4632" spans="1:59">
      <c r="A4632" s="1">
        <f>HYPERLINK("https://lsnyc.legalserver.org/matter/dynamic-profile/view/1908826","19-1908826")</f>
        <v>0</v>
      </c>
      <c r="B4632" t="s">
        <v>3743</v>
      </c>
      <c r="C4632" t="s">
        <v>8562</v>
      </c>
      <c r="D4632" t="s">
        <v>9928</v>
      </c>
      <c r="E4632" t="s">
        <v>10075</v>
      </c>
      <c r="F4632">
        <v>11235</v>
      </c>
      <c r="G4632" t="s">
        <v>10090</v>
      </c>
      <c r="H4632" t="s">
        <v>10160</v>
      </c>
      <c r="I4632" t="s">
        <v>10168</v>
      </c>
      <c r="J4632" t="s">
        <v>10210</v>
      </c>
      <c r="K4632" t="s">
        <v>10217</v>
      </c>
      <c r="M4632" t="s">
        <v>10336</v>
      </c>
      <c r="N4632" t="s">
        <v>10671</v>
      </c>
      <c r="P4632" t="s">
        <v>10754</v>
      </c>
      <c r="Q4632" t="s">
        <v>10771</v>
      </c>
      <c r="R4632" t="s">
        <v>10820</v>
      </c>
      <c r="T4632">
        <v>0</v>
      </c>
      <c r="U4632">
        <v>0</v>
      </c>
      <c r="V4632">
        <v>45</v>
      </c>
      <c r="W4632">
        <v>1</v>
      </c>
      <c r="X4632">
        <v>0</v>
      </c>
      <c r="Z4632">
        <v>0</v>
      </c>
      <c r="AA4632">
        <v>40.583863</v>
      </c>
      <c r="AB4632">
        <v>-73.93548199999999</v>
      </c>
      <c r="AD4632" t="s">
        <v>10839</v>
      </c>
      <c r="AG4632" t="s">
        <v>10858</v>
      </c>
      <c r="AH4632" t="s">
        <v>10871</v>
      </c>
      <c r="AI4632">
        <v>234</v>
      </c>
      <c r="AJ4632" t="s">
        <v>10214</v>
      </c>
      <c r="AL4632">
        <v>4.25</v>
      </c>
      <c r="AM4632" t="s">
        <v>10889</v>
      </c>
      <c r="AN4632" t="s">
        <v>10957</v>
      </c>
      <c r="AO4632" t="s">
        <v>11023</v>
      </c>
      <c r="AP4632" t="s">
        <v>11092</v>
      </c>
      <c r="AR4632" t="s">
        <v>11267</v>
      </c>
      <c r="AS4632" t="s">
        <v>11595</v>
      </c>
      <c r="AT4632" t="s">
        <v>11641</v>
      </c>
      <c r="AX4632" t="s">
        <v>10838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</row>
    <row r="4633" spans="1:59">
      <c r="A4633" s="1">
        <f>HYPERLINK("https://lsnyc.legalserver.org/matter/dynamic-profile/view/1908827","19-1908827")</f>
        <v>0</v>
      </c>
      <c r="B4633" t="s">
        <v>3744</v>
      </c>
      <c r="C4633" t="s">
        <v>8563</v>
      </c>
      <c r="D4633" t="s">
        <v>9926</v>
      </c>
      <c r="E4633" t="s">
        <v>10075</v>
      </c>
      <c r="F4633">
        <v>10459</v>
      </c>
      <c r="G4633" t="s">
        <v>10090</v>
      </c>
      <c r="H4633" t="s">
        <v>10160</v>
      </c>
      <c r="I4633" t="s">
        <v>10168</v>
      </c>
      <c r="J4633" t="s">
        <v>10210</v>
      </c>
      <c r="K4633" t="s">
        <v>10217</v>
      </c>
      <c r="M4633" t="s">
        <v>10362</v>
      </c>
      <c r="N4633" t="s">
        <v>10666</v>
      </c>
      <c r="P4633" t="s">
        <v>10749</v>
      </c>
      <c r="Q4633" t="s">
        <v>10765</v>
      </c>
      <c r="R4633" t="s">
        <v>10821</v>
      </c>
      <c r="T4633">
        <v>10000</v>
      </c>
      <c r="U4633">
        <v>833.33</v>
      </c>
      <c r="V4633">
        <v>34</v>
      </c>
      <c r="W4633">
        <v>1</v>
      </c>
      <c r="X4633">
        <v>2</v>
      </c>
      <c r="Z4633">
        <v>46.88</v>
      </c>
      <c r="AA4633">
        <v>40.825352</v>
      </c>
      <c r="AB4633">
        <v>-73.88996400000001</v>
      </c>
      <c r="AC4633" t="s">
        <v>10837</v>
      </c>
      <c r="AD4633" t="s">
        <v>10839</v>
      </c>
      <c r="AG4633" t="s">
        <v>10858</v>
      </c>
      <c r="AH4633" t="s">
        <v>10861</v>
      </c>
      <c r="AI4633">
        <v>230</v>
      </c>
      <c r="AJ4633" t="s">
        <v>10210</v>
      </c>
      <c r="AL4633">
        <v>0.5</v>
      </c>
      <c r="AM4633" t="s">
        <v>10884</v>
      </c>
      <c r="AN4633" t="s">
        <v>10968</v>
      </c>
      <c r="AO4633" t="s">
        <v>11001</v>
      </c>
      <c r="AP4633" t="s">
        <v>11062</v>
      </c>
      <c r="AR4633" t="s">
        <v>11257</v>
      </c>
      <c r="AS4633" t="s">
        <v>9926</v>
      </c>
      <c r="AT4633" t="s">
        <v>11641</v>
      </c>
      <c r="AX4633" t="s">
        <v>10838</v>
      </c>
      <c r="BA4633" t="s">
        <v>11742</v>
      </c>
      <c r="BB4633">
        <v>0</v>
      </c>
      <c r="BC4633">
        <v>0</v>
      </c>
      <c r="BD4633">
        <v>0</v>
      </c>
      <c r="BE4633">
        <v>0</v>
      </c>
      <c r="BF4633">
        <v>7</v>
      </c>
      <c r="BG4633">
        <v>0</v>
      </c>
    </row>
    <row r="4634" spans="1:59">
      <c r="A4634" s="1">
        <f>HYPERLINK("https://lsnyc.legalserver.org/matter/dynamic-profile/view/1908828","19-1908828")</f>
        <v>0</v>
      </c>
      <c r="B4634" t="s">
        <v>3745</v>
      </c>
      <c r="C4634" t="s">
        <v>8564</v>
      </c>
      <c r="D4634" t="s">
        <v>9928</v>
      </c>
      <c r="E4634" t="s">
        <v>10075</v>
      </c>
      <c r="F4634">
        <v>11215</v>
      </c>
      <c r="G4634" t="s">
        <v>10093</v>
      </c>
      <c r="H4634" t="s">
        <v>10160</v>
      </c>
      <c r="I4634" t="s">
        <v>10168</v>
      </c>
      <c r="J4634" t="s">
        <v>10213</v>
      </c>
      <c r="K4634" t="s">
        <v>10217</v>
      </c>
      <c r="M4634" t="s">
        <v>10382</v>
      </c>
      <c r="N4634" t="s">
        <v>10650</v>
      </c>
      <c r="P4634" t="s">
        <v>10752</v>
      </c>
      <c r="Q4634" t="s">
        <v>10783</v>
      </c>
      <c r="R4634" t="s">
        <v>10820</v>
      </c>
      <c r="T4634">
        <v>46440</v>
      </c>
      <c r="U4634">
        <v>3870</v>
      </c>
      <c r="V4634">
        <v>25</v>
      </c>
      <c r="W4634">
        <v>1</v>
      </c>
      <c r="X4634">
        <v>0</v>
      </c>
      <c r="Z4634">
        <v>371.82</v>
      </c>
      <c r="AA4634">
        <v>40.665773</v>
      </c>
      <c r="AB4634">
        <v>-73.99515100000001</v>
      </c>
      <c r="AD4634" t="s">
        <v>10839</v>
      </c>
      <c r="AG4634" t="s">
        <v>10858</v>
      </c>
      <c r="AH4634" t="s">
        <v>10871</v>
      </c>
      <c r="AI4634">
        <v>234</v>
      </c>
      <c r="AJ4634" t="s">
        <v>10214</v>
      </c>
      <c r="AL4634">
        <v>2.55</v>
      </c>
      <c r="AM4634" t="s">
        <v>10886</v>
      </c>
      <c r="AN4634" t="s">
        <v>10921</v>
      </c>
      <c r="AO4634" t="s">
        <v>11005</v>
      </c>
      <c r="AP4634" t="s">
        <v>11069</v>
      </c>
      <c r="AR4634" t="s">
        <v>11257</v>
      </c>
      <c r="AS4634" t="s">
        <v>11595</v>
      </c>
      <c r="AT4634" t="s">
        <v>11641</v>
      </c>
      <c r="AX4634" t="s">
        <v>10838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</row>
    <row r="4635" spans="1:59">
      <c r="A4635" s="1">
        <f>HYPERLINK("https://lsnyc.legalserver.org/matter/dynamic-profile/view/1908829","19-1908829")</f>
        <v>0</v>
      </c>
      <c r="B4635" t="s">
        <v>3619</v>
      </c>
      <c r="C4635" t="s">
        <v>8424</v>
      </c>
      <c r="D4635" t="s">
        <v>9928</v>
      </c>
      <c r="E4635" t="s">
        <v>10075</v>
      </c>
      <c r="F4635">
        <v>11221</v>
      </c>
      <c r="G4635" t="s">
        <v>10093</v>
      </c>
      <c r="H4635" t="s">
        <v>10160</v>
      </c>
      <c r="I4635" t="s">
        <v>10168</v>
      </c>
      <c r="J4635" t="s">
        <v>10213</v>
      </c>
      <c r="K4635" t="s">
        <v>10217</v>
      </c>
      <c r="M4635" t="s">
        <v>10275</v>
      </c>
      <c r="N4635" t="s">
        <v>10668</v>
      </c>
      <c r="P4635" t="s">
        <v>10751</v>
      </c>
      <c r="Q4635" t="s">
        <v>10761</v>
      </c>
      <c r="R4635" t="s">
        <v>10824</v>
      </c>
      <c r="T4635">
        <v>37000</v>
      </c>
      <c r="U4635">
        <v>3083.33</v>
      </c>
      <c r="V4635">
        <v>41</v>
      </c>
      <c r="W4635">
        <v>1</v>
      </c>
      <c r="X4635">
        <v>3</v>
      </c>
      <c r="Z4635">
        <v>143.69</v>
      </c>
      <c r="AA4635">
        <v>40.690804</v>
      </c>
      <c r="AB4635">
        <v>-73.941169</v>
      </c>
      <c r="AD4635" t="s">
        <v>10839</v>
      </c>
      <c r="AG4635" t="s">
        <v>10858</v>
      </c>
      <c r="AH4635" t="s">
        <v>10862</v>
      </c>
      <c r="AI4635">
        <v>239</v>
      </c>
      <c r="AJ4635" t="s">
        <v>10213</v>
      </c>
      <c r="AL4635">
        <v>0</v>
      </c>
      <c r="AM4635" t="s">
        <v>10889</v>
      </c>
      <c r="AN4635" t="s">
        <v>10914</v>
      </c>
      <c r="AO4635" t="s">
        <v>11007</v>
      </c>
      <c r="AP4635" t="s">
        <v>11052</v>
      </c>
      <c r="AR4635" t="s">
        <v>11257</v>
      </c>
      <c r="AS4635" t="s">
        <v>11595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</row>
    <row r="4636" spans="1:59">
      <c r="A4636" s="1">
        <f>HYPERLINK("https://lsnyc.legalserver.org/matter/dynamic-profile/view/1908830","19-1908830")</f>
        <v>0</v>
      </c>
      <c r="B4636" t="s">
        <v>3746</v>
      </c>
      <c r="C4636" t="s">
        <v>8565</v>
      </c>
      <c r="D4636" t="s">
        <v>10049</v>
      </c>
      <c r="E4636" t="s">
        <v>10076</v>
      </c>
      <c r="F4636">
        <v>8807</v>
      </c>
      <c r="G4636" t="s">
        <v>10089</v>
      </c>
      <c r="H4636" t="s">
        <v>10160</v>
      </c>
      <c r="I4636" t="s">
        <v>10168</v>
      </c>
      <c r="J4636" t="s">
        <v>10209</v>
      </c>
      <c r="K4636" t="s">
        <v>10217</v>
      </c>
      <c r="M4636" t="s">
        <v>10301</v>
      </c>
      <c r="N4636" t="s">
        <v>10665</v>
      </c>
      <c r="P4636" t="s">
        <v>10751</v>
      </c>
      <c r="Q4636" t="s">
        <v>10773</v>
      </c>
      <c r="R4636" t="s">
        <v>10822</v>
      </c>
      <c r="T4636">
        <v>0</v>
      </c>
      <c r="U4636">
        <v>0</v>
      </c>
      <c r="V4636">
        <v>30</v>
      </c>
      <c r="W4636">
        <v>1</v>
      </c>
      <c r="X4636">
        <v>0</v>
      </c>
      <c r="Z4636">
        <v>0</v>
      </c>
      <c r="AA4636">
        <v>40.596847</v>
      </c>
      <c r="AB4636">
        <v>-74.59660100000001</v>
      </c>
      <c r="AD4636" t="s">
        <v>10822</v>
      </c>
      <c r="AG4636" t="s">
        <v>10858</v>
      </c>
      <c r="AH4636" t="s">
        <v>10861</v>
      </c>
      <c r="AI4636">
        <v>234</v>
      </c>
      <c r="AJ4636" t="s">
        <v>10214</v>
      </c>
      <c r="AL4636">
        <v>4.25</v>
      </c>
      <c r="AQ4636" t="s">
        <v>11115</v>
      </c>
      <c r="AR4636" t="s">
        <v>11267</v>
      </c>
      <c r="AS4636" t="s">
        <v>11632</v>
      </c>
      <c r="AT4636" t="s">
        <v>11642</v>
      </c>
      <c r="AX4636" t="s">
        <v>10838</v>
      </c>
      <c r="BA4636" t="s">
        <v>11741</v>
      </c>
      <c r="BB4636">
        <v>0</v>
      </c>
      <c r="BC4636">
        <v>0</v>
      </c>
      <c r="BD4636">
        <v>0</v>
      </c>
      <c r="BE4636">
        <v>0</v>
      </c>
      <c r="BF4636">
        <v>1</v>
      </c>
      <c r="BG4636">
        <v>0</v>
      </c>
    </row>
    <row r="4637" spans="1:59">
      <c r="A4637" s="1">
        <f>HYPERLINK("https://lsnyc.legalserver.org/matter/dynamic-profile/view/1908831","19-1908831")</f>
        <v>0</v>
      </c>
      <c r="B4637" t="s">
        <v>3743</v>
      </c>
      <c r="C4637" t="s">
        <v>8562</v>
      </c>
      <c r="D4637" t="s">
        <v>9928</v>
      </c>
      <c r="E4637" t="s">
        <v>10075</v>
      </c>
      <c r="F4637">
        <v>11235</v>
      </c>
      <c r="G4637" t="s">
        <v>10093</v>
      </c>
      <c r="H4637" t="s">
        <v>10160</v>
      </c>
      <c r="I4637" t="s">
        <v>10168</v>
      </c>
      <c r="J4637" t="s">
        <v>10213</v>
      </c>
      <c r="K4637" t="s">
        <v>10217</v>
      </c>
      <c r="M4637" t="s">
        <v>10290</v>
      </c>
      <c r="N4637" t="s">
        <v>10694</v>
      </c>
      <c r="P4637" t="s">
        <v>10751</v>
      </c>
      <c r="Q4637" t="s">
        <v>10773</v>
      </c>
      <c r="R4637" t="s">
        <v>10820</v>
      </c>
      <c r="T4637">
        <v>0</v>
      </c>
      <c r="U4637">
        <v>0</v>
      </c>
      <c r="V4637">
        <v>45</v>
      </c>
      <c r="W4637">
        <v>1</v>
      </c>
      <c r="X4637">
        <v>0</v>
      </c>
      <c r="Z4637">
        <v>0</v>
      </c>
      <c r="AA4637">
        <v>40.583863</v>
      </c>
      <c r="AB4637">
        <v>-73.93548199999999</v>
      </c>
      <c r="AD4637" t="s">
        <v>10839</v>
      </c>
      <c r="AG4637" t="s">
        <v>10858</v>
      </c>
      <c r="AH4637" t="s">
        <v>10871</v>
      </c>
      <c r="AI4637">
        <v>234</v>
      </c>
      <c r="AJ4637" t="s">
        <v>10214</v>
      </c>
      <c r="AL4637">
        <v>5.05</v>
      </c>
      <c r="AR4637" t="s">
        <v>11267</v>
      </c>
      <c r="AS4637" t="s">
        <v>11595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</row>
    <row r="4638" spans="1:59">
      <c r="A4638" s="1">
        <f>HYPERLINK("https://lsnyc.legalserver.org/matter/dynamic-profile/view/1908833","19-1908833")</f>
        <v>0</v>
      </c>
      <c r="B4638" t="s">
        <v>3747</v>
      </c>
      <c r="C4638" t="s">
        <v>8566</v>
      </c>
      <c r="D4638" t="s">
        <v>9926</v>
      </c>
      <c r="E4638" t="s">
        <v>10075</v>
      </c>
      <c r="F4638">
        <v>10455</v>
      </c>
      <c r="G4638" t="s">
        <v>10090</v>
      </c>
      <c r="H4638" t="s">
        <v>10160</v>
      </c>
      <c r="I4638" t="s">
        <v>10168</v>
      </c>
      <c r="J4638" t="s">
        <v>10210</v>
      </c>
      <c r="K4638" t="s">
        <v>10218</v>
      </c>
      <c r="L4638" t="s">
        <v>10115</v>
      </c>
      <c r="M4638" t="s">
        <v>10614</v>
      </c>
      <c r="N4638" t="s">
        <v>10666</v>
      </c>
      <c r="P4638" t="s">
        <v>10749</v>
      </c>
      <c r="Q4638" t="s">
        <v>10765</v>
      </c>
      <c r="R4638" t="s">
        <v>10821</v>
      </c>
      <c r="T4638">
        <v>14560</v>
      </c>
      <c r="U4638">
        <v>1213.33</v>
      </c>
      <c r="V4638">
        <v>43</v>
      </c>
      <c r="W4638">
        <v>1</v>
      </c>
      <c r="X4638">
        <v>1</v>
      </c>
      <c r="Y4638" t="s">
        <v>10829</v>
      </c>
      <c r="Z4638">
        <v>86.09999999999999</v>
      </c>
      <c r="AA4638">
        <v>40.815256</v>
      </c>
      <c r="AB4638">
        <v>-73.90045600000001</v>
      </c>
      <c r="AD4638" t="s">
        <v>10839</v>
      </c>
      <c r="AF4638" t="s">
        <v>10843</v>
      </c>
      <c r="AG4638" t="s">
        <v>10859</v>
      </c>
      <c r="AH4638" t="s">
        <v>10861</v>
      </c>
      <c r="AI4638">
        <v>230</v>
      </c>
      <c r="AJ4638" t="s">
        <v>10210</v>
      </c>
      <c r="AK4638" t="s">
        <v>10882</v>
      </c>
      <c r="AL4638">
        <v>0.5</v>
      </c>
      <c r="AM4638" t="s">
        <v>10884</v>
      </c>
      <c r="AN4638" t="s">
        <v>10924</v>
      </c>
      <c r="AO4638" t="s">
        <v>11001</v>
      </c>
      <c r="AP4638" t="s">
        <v>11062</v>
      </c>
      <c r="AR4638" t="s">
        <v>11257</v>
      </c>
      <c r="AS4638" t="s">
        <v>9926</v>
      </c>
      <c r="AT4638" t="s">
        <v>11641</v>
      </c>
      <c r="AX4638" t="s">
        <v>10838</v>
      </c>
      <c r="AY4638" t="s">
        <v>10829</v>
      </c>
      <c r="AZ4638" t="s">
        <v>11681</v>
      </c>
      <c r="BA4638" t="s">
        <v>11741</v>
      </c>
      <c r="BB4638">
        <v>0</v>
      </c>
      <c r="BC4638">
        <v>0</v>
      </c>
      <c r="BD4638">
        <v>0</v>
      </c>
      <c r="BE4638">
        <v>0</v>
      </c>
      <c r="BF4638">
        <v>1</v>
      </c>
      <c r="BG4638">
        <v>0</v>
      </c>
    </row>
    <row r="4639" spans="1:59">
      <c r="A4639" s="1">
        <f>HYPERLINK("https://lsnyc.legalserver.org/matter/dynamic-profile/view/1908834","19-1908834")</f>
        <v>0</v>
      </c>
      <c r="B4639" t="s">
        <v>3748</v>
      </c>
      <c r="C4639" t="s">
        <v>8567</v>
      </c>
      <c r="D4639" t="s">
        <v>9926</v>
      </c>
      <c r="E4639" t="s">
        <v>10075</v>
      </c>
      <c r="F4639">
        <v>10455</v>
      </c>
      <c r="G4639" t="s">
        <v>10090</v>
      </c>
      <c r="H4639" t="s">
        <v>10160</v>
      </c>
      <c r="I4639" t="s">
        <v>10169</v>
      </c>
      <c r="J4639" t="s">
        <v>10210</v>
      </c>
      <c r="K4639" t="s">
        <v>10217</v>
      </c>
      <c r="M4639" t="s">
        <v>10517</v>
      </c>
      <c r="N4639" t="s">
        <v>10650</v>
      </c>
      <c r="P4639" t="s">
        <v>10749</v>
      </c>
      <c r="Q4639" t="s">
        <v>10765</v>
      </c>
      <c r="R4639" t="s">
        <v>10821</v>
      </c>
      <c r="T4639">
        <v>2160</v>
      </c>
      <c r="U4639">
        <v>180</v>
      </c>
      <c r="V4639">
        <v>60</v>
      </c>
      <c r="W4639">
        <v>1</v>
      </c>
      <c r="X4639">
        <v>0</v>
      </c>
      <c r="Z4639">
        <v>17.29</v>
      </c>
      <c r="AA4639">
        <v>40.818808</v>
      </c>
      <c r="AB4639">
        <v>-73.915402</v>
      </c>
      <c r="AD4639" t="s">
        <v>10839</v>
      </c>
      <c r="AG4639" t="s">
        <v>10858</v>
      </c>
      <c r="AH4639" t="s">
        <v>10861</v>
      </c>
      <c r="AI4639">
        <v>234</v>
      </c>
      <c r="AJ4639" t="s">
        <v>10214</v>
      </c>
      <c r="AL4639">
        <v>2.35</v>
      </c>
      <c r="AM4639" t="s">
        <v>10884</v>
      </c>
      <c r="AN4639" t="s">
        <v>10924</v>
      </c>
      <c r="AO4639" t="s">
        <v>11001</v>
      </c>
      <c r="AP4639" t="s">
        <v>11062</v>
      </c>
      <c r="AR4639" t="s">
        <v>11311</v>
      </c>
      <c r="AS4639" t="s">
        <v>9926</v>
      </c>
      <c r="AT4639" t="s">
        <v>11641</v>
      </c>
      <c r="AX4639" t="s">
        <v>10838</v>
      </c>
      <c r="BA4639" t="s">
        <v>11741</v>
      </c>
      <c r="BB4639">
        <v>0</v>
      </c>
      <c r="BC4639">
        <v>0</v>
      </c>
      <c r="BD4639">
        <v>0</v>
      </c>
      <c r="BE4639">
        <v>0</v>
      </c>
      <c r="BF4639">
        <v>1</v>
      </c>
      <c r="BG4639">
        <v>0</v>
      </c>
    </row>
    <row r="4640" spans="1:59">
      <c r="A4640" s="1">
        <f>HYPERLINK("https://lsnyc.legalserver.org/matter/dynamic-profile/view/1908835","19-1908835")</f>
        <v>0</v>
      </c>
      <c r="B4640" t="s">
        <v>2317</v>
      </c>
      <c r="C4640" t="s">
        <v>8568</v>
      </c>
      <c r="D4640" t="s">
        <v>9925</v>
      </c>
      <c r="E4640" t="s">
        <v>10075</v>
      </c>
      <c r="F4640">
        <v>10027</v>
      </c>
      <c r="G4640" t="s">
        <v>10089</v>
      </c>
      <c r="H4640" t="s">
        <v>10160</v>
      </c>
      <c r="I4640" t="s">
        <v>10169</v>
      </c>
      <c r="J4640" t="s">
        <v>10209</v>
      </c>
      <c r="K4640" t="s">
        <v>10217</v>
      </c>
      <c r="M4640" t="s">
        <v>10267</v>
      </c>
      <c r="N4640" t="s">
        <v>10671</v>
      </c>
      <c r="P4640" t="s">
        <v>10751</v>
      </c>
      <c r="Q4640" t="s">
        <v>10776</v>
      </c>
      <c r="R4640" t="s">
        <v>10821</v>
      </c>
      <c r="T4640">
        <v>15600</v>
      </c>
      <c r="U4640">
        <v>1300</v>
      </c>
      <c r="V4640">
        <v>45</v>
      </c>
      <c r="W4640">
        <v>1</v>
      </c>
      <c r="X4640">
        <v>0</v>
      </c>
      <c r="Z4640">
        <v>124.9</v>
      </c>
      <c r="AA4640">
        <v>40.813505</v>
      </c>
      <c r="AB4640">
        <v>-73.95253700000001</v>
      </c>
      <c r="AD4640" t="s">
        <v>10839</v>
      </c>
      <c r="AG4640" t="s">
        <v>10858</v>
      </c>
      <c r="AH4640" t="s">
        <v>10871</v>
      </c>
      <c r="AI4640">
        <v>234</v>
      </c>
      <c r="AJ4640" t="s">
        <v>10214</v>
      </c>
      <c r="AL4640">
        <v>5</v>
      </c>
      <c r="AM4640" t="s">
        <v>10887</v>
      </c>
      <c r="AN4640" t="s">
        <v>10936</v>
      </c>
      <c r="AO4640" t="s">
        <v>11016</v>
      </c>
      <c r="AP4640" t="s">
        <v>11076</v>
      </c>
      <c r="AR4640" t="s">
        <v>11311</v>
      </c>
      <c r="AS4640" t="s">
        <v>9925</v>
      </c>
      <c r="AT4640" t="s">
        <v>11641</v>
      </c>
      <c r="AX4640" t="s">
        <v>10838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</row>
    <row r="4641" spans="1:59">
      <c r="A4641" s="1">
        <f>HYPERLINK("https://lsnyc.legalserver.org/matter/dynamic-profile/view/1908836","19-1908836")</f>
        <v>0</v>
      </c>
      <c r="B4641" t="s">
        <v>3253</v>
      </c>
      <c r="C4641" t="s">
        <v>8569</v>
      </c>
      <c r="D4641" t="s">
        <v>9929</v>
      </c>
      <c r="E4641" t="s">
        <v>10075</v>
      </c>
      <c r="F4641">
        <v>10305</v>
      </c>
      <c r="G4641" t="s">
        <v>10088</v>
      </c>
      <c r="H4641" t="s">
        <v>10160</v>
      </c>
      <c r="I4641" t="s">
        <v>10168</v>
      </c>
      <c r="J4641" t="s">
        <v>10208</v>
      </c>
      <c r="K4641" t="s">
        <v>10217</v>
      </c>
      <c r="M4641" t="s">
        <v>10257</v>
      </c>
      <c r="N4641" t="s">
        <v>10711</v>
      </c>
      <c r="P4641" t="s">
        <v>10749</v>
      </c>
      <c r="Q4641" t="s">
        <v>10791</v>
      </c>
      <c r="R4641" t="s">
        <v>10822</v>
      </c>
      <c r="T4641">
        <v>0</v>
      </c>
      <c r="U4641">
        <v>0</v>
      </c>
      <c r="V4641">
        <v>37</v>
      </c>
      <c r="W4641">
        <v>4</v>
      </c>
      <c r="X4641">
        <v>2</v>
      </c>
      <c r="Z4641">
        <v>0</v>
      </c>
      <c r="AA4641">
        <v>40.603781</v>
      </c>
      <c r="AB4641">
        <v>-74.083136</v>
      </c>
      <c r="AD4641" t="s">
        <v>10839</v>
      </c>
      <c r="AG4641" t="s">
        <v>10858</v>
      </c>
      <c r="AH4641" t="s">
        <v>10862</v>
      </c>
      <c r="AI4641">
        <v>285</v>
      </c>
      <c r="AJ4641" t="s">
        <v>10208</v>
      </c>
      <c r="AK4641" t="s">
        <v>10837</v>
      </c>
      <c r="AL4641">
        <v>1.7</v>
      </c>
      <c r="AM4641" t="s">
        <v>10883</v>
      </c>
      <c r="AN4641" t="s">
        <v>10915</v>
      </c>
      <c r="AO4641" t="s">
        <v>10999</v>
      </c>
      <c r="AP4641" t="s">
        <v>11063</v>
      </c>
      <c r="AQ4641" t="s">
        <v>11133</v>
      </c>
      <c r="AR4641" t="s">
        <v>11267</v>
      </c>
      <c r="AS4641" t="s">
        <v>11593</v>
      </c>
      <c r="AT4641" t="s">
        <v>11641</v>
      </c>
      <c r="AX4641" t="s">
        <v>10838</v>
      </c>
      <c r="BA4641" t="s">
        <v>11741</v>
      </c>
      <c r="BB4641">
        <v>0</v>
      </c>
      <c r="BC4641">
        <v>0</v>
      </c>
      <c r="BD4641">
        <v>0</v>
      </c>
      <c r="BE4641">
        <v>0</v>
      </c>
      <c r="BF4641">
        <v>1</v>
      </c>
      <c r="BG4641">
        <v>0</v>
      </c>
    </row>
    <row r="4642" spans="1:59">
      <c r="A4642" s="1">
        <f>HYPERLINK("https://lsnyc.legalserver.org/matter/dynamic-profile/view/1908837","19-1908837")</f>
        <v>0</v>
      </c>
      <c r="B4642" t="s">
        <v>3749</v>
      </c>
      <c r="C4642" t="s">
        <v>8570</v>
      </c>
      <c r="D4642" t="s">
        <v>10050</v>
      </c>
      <c r="E4642" t="s">
        <v>10075</v>
      </c>
      <c r="F4642">
        <v>11553</v>
      </c>
      <c r="G4642" t="s">
        <v>10093</v>
      </c>
      <c r="H4642" t="s">
        <v>10160</v>
      </c>
      <c r="I4642" t="s">
        <v>10168</v>
      </c>
      <c r="J4642" t="s">
        <v>10213</v>
      </c>
      <c r="K4642" t="s">
        <v>10218</v>
      </c>
      <c r="L4642" t="s">
        <v>10163</v>
      </c>
      <c r="M4642" t="s">
        <v>10436</v>
      </c>
      <c r="N4642" t="s">
        <v>10710</v>
      </c>
      <c r="P4642" t="s">
        <v>10750</v>
      </c>
      <c r="Q4642" t="s">
        <v>10760</v>
      </c>
      <c r="R4642" t="s">
        <v>10824</v>
      </c>
      <c r="T4642">
        <v>20400</v>
      </c>
      <c r="U4642">
        <v>1700</v>
      </c>
      <c r="V4642">
        <v>80</v>
      </c>
      <c r="W4642">
        <v>1</v>
      </c>
      <c r="X4642">
        <v>0</v>
      </c>
      <c r="Y4642" t="s">
        <v>10829</v>
      </c>
      <c r="Z4642">
        <v>163.33</v>
      </c>
      <c r="AA4642">
        <v>40.693733</v>
      </c>
      <c r="AB4642">
        <v>-73.584384</v>
      </c>
      <c r="AD4642" t="s">
        <v>10839</v>
      </c>
      <c r="AG4642" t="s">
        <v>10858</v>
      </c>
      <c r="AH4642" t="s">
        <v>10861</v>
      </c>
      <c r="AI4642">
        <v>234</v>
      </c>
      <c r="AJ4642" t="s">
        <v>10214</v>
      </c>
      <c r="AK4642" t="s">
        <v>10838</v>
      </c>
      <c r="AL4642">
        <v>0.75</v>
      </c>
      <c r="AM4642" t="s">
        <v>10900</v>
      </c>
      <c r="AN4642" t="s">
        <v>10978</v>
      </c>
      <c r="AO4642" t="s">
        <v>11032</v>
      </c>
      <c r="AQ4642" t="s">
        <v>11141</v>
      </c>
      <c r="AR4642" t="s">
        <v>11300</v>
      </c>
      <c r="AS4642" t="s">
        <v>11612</v>
      </c>
      <c r="AT4642" t="s">
        <v>11641</v>
      </c>
      <c r="AX4642" t="s">
        <v>10838</v>
      </c>
      <c r="AY4642" t="s">
        <v>10829</v>
      </c>
      <c r="AZ4642" t="s">
        <v>11679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</row>
    <row r="4643" spans="1:59">
      <c r="A4643" s="1">
        <f>HYPERLINK("https://lsnyc.legalserver.org/matter/dynamic-profile/view/1908838","19-1908838")</f>
        <v>0</v>
      </c>
      <c r="B4643" t="s">
        <v>3750</v>
      </c>
      <c r="C4643" t="s">
        <v>8571</v>
      </c>
      <c r="D4643" t="s">
        <v>9928</v>
      </c>
      <c r="E4643" t="s">
        <v>10075</v>
      </c>
      <c r="F4643">
        <v>11234</v>
      </c>
      <c r="G4643" t="s">
        <v>10093</v>
      </c>
      <c r="H4643" t="s">
        <v>10160</v>
      </c>
      <c r="I4643" t="s">
        <v>10168</v>
      </c>
      <c r="J4643" t="s">
        <v>10213</v>
      </c>
      <c r="K4643" t="s">
        <v>10217</v>
      </c>
      <c r="M4643" t="s">
        <v>10280</v>
      </c>
      <c r="N4643" t="s">
        <v>10656</v>
      </c>
      <c r="P4643" t="s">
        <v>10751</v>
      </c>
      <c r="Q4643" t="s">
        <v>10780</v>
      </c>
      <c r="R4643" t="s">
        <v>10824</v>
      </c>
      <c r="T4643">
        <v>24358.62</v>
      </c>
      <c r="U4643">
        <v>2029.89</v>
      </c>
      <c r="V4643">
        <v>36</v>
      </c>
      <c r="W4643">
        <v>2</v>
      </c>
      <c r="X4643">
        <v>3</v>
      </c>
      <c r="Z4643">
        <v>80.73999999999999</v>
      </c>
      <c r="AA4643">
        <v>40.612811</v>
      </c>
      <c r="AB4643">
        <v>-73.921306</v>
      </c>
      <c r="AD4643" t="s">
        <v>10839</v>
      </c>
      <c r="AG4643" t="s">
        <v>10858</v>
      </c>
      <c r="AH4643" t="s">
        <v>10861</v>
      </c>
      <c r="AI4643">
        <v>234</v>
      </c>
      <c r="AJ4643" t="s">
        <v>10214</v>
      </c>
      <c r="AL4643">
        <v>3</v>
      </c>
      <c r="AM4643" t="s">
        <v>10889</v>
      </c>
      <c r="AN4643" t="s">
        <v>10959</v>
      </c>
      <c r="AO4643" t="s">
        <v>11012</v>
      </c>
      <c r="AP4643" t="s">
        <v>11072</v>
      </c>
      <c r="AR4643" t="s">
        <v>11262</v>
      </c>
      <c r="AS4643" t="s">
        <v>11595</v>
      </c>
      <c r="AT4643" t="s">
        <v>11641</v>
      </c>
      <c r="AX4643" t="s">
        <v>10838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</row>
    <row r="4644" spans="1:59">
      <c r="A4644" s="1">
        <f>HYPERLINK("https://lsnyc.legalserver.org/matter/dynamic-profile/view/1908839","19-1908839")</f>
        <v>0</v>
      </c>
      <c r="B4644" t="s">
        <v>3751</v>
      </c>
      <c r="C4644" t="s">
        <v>8572</v>
      </c>
      <c r="D4644" t="s">
        <v>9926</v>
      </c>
      <c r="E4644" t="s">
        <v>10075</v>
      </c>
      <c r="F4644">
        <v>10453</v>
      </c>
      <c r="G4644" t="s">
        <v>10090</v>
      </c>
      <c r="H4644" t="s">
        <v>10160</v>
      </c>
      <c r="I4644" t="s">
        <v>10169</v>
      </c>
      <c r="J4644" t="s">
        <v>10210</v>
      </c>
      <c r="K4644" t="s">
        <v>10217</v>
      </c>
      <c r="M4644" t="s">
        <v>10615</v>
      </c>
      <c r="N4644" t="s">
        <v>10656</v>
      </c>
      <c r="P4644" t="s">
        <v>10751</v>
      </c>
      <c r="Q4644" t="s">
        <v>10768</v>
      </c>
      <c r="R4644" t="s">
        <v>10823</v>
      </c>
      <c r="T4644">
        <v>4114</v>
      </c>
      <c r="U4644">
        <v>342.83</v>
      </c>
      <c r="V4644">
        <v>55</v>
      </c>
      <c r="W4644">
        <v>1</v>
      </c>
      <c r="X4644">
        <v>0</v>
      </c>
      <c r="Z4644">
        <v>32.94</v>
      </c>
      <c r="AA4644">
        <v>40.847183</v>
      </c>
      <c r="AB4644">
        <v>-73.91531500000001</v>
      </c>
      <c r="AD4644" t="s">
        <v>10839</v>
      </c>
      <c r="AG4644" t="s">
        <v>10858</v>
      </c>
      <c r="AH4644" t="s">
        <v>10861</v>
      </c>
      <c r="AI4644">
        <v>234</v>
      </c>
      <c r="AJ4644" t="s">
        <v>10214</v>
      </c>
      <c r="AL4644">
        <v>11.85</v>
      </c>
      <c r="AM4644" t="s">
        <v>10884</v>
      </c>
      <c r="AN4644" t="s">
        <v>10929</v>
      </c>
      <c r="AO4644" t="s">
        <v>11013</v>
      </c>
      <c r="AP4644" t="s">
        <v>11045</v>
      </c>
      <c r="AR4644" t="s">
        <v>11315</v>
      </c>
      <c r="AS4644" t="s">
        <v>9926</v>
      </c>
      <c r="AT4644" t="s">
        <v>11641</v>
      </c>
      <c r="AX4644" t="s">
        <v>10838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</row>
    <row r="4645" spans="1:59">
      <c r="A4645" s="1">
        <f>HYPERLINK("https://lsnyc.legalserver.org/matter/dynamic-profile/view/1908840","19-1908840")</f>
        <v>0</v>
      </c>
      <c r="B4645" t="s">
        <v>3614</v>
      </c>
      <c r="C4645" t="s">
        <v>8419</v>
      </c>
      <c r="D4645" t="s">
        <v>9928</v>
      </c>
      <c r="E4645" t="s">
        <v>10075</v>
      </c>
      <c r="F4645">
        <v>11221</v>
      </c>
      <c r="G4645" t="s">
        <v>10093</v>
      </c>
      <c r="H4645" t="s">
        <v>10160</v>
      </c>
      <c r="I4645" t="s">
        <v>10168</v>
      </c>
      <c r="J4645" t="s">
        <v>10213</v>
      </c>
      <c r="K4645" t="s">
        <v>10217</v>
      </c>
      <c r="M4645" t="s">
        <v>10275</v>
      </c>
      <c r="N4645" t="s">
        <v>10668</v>
      </c>
      <c r="P4645" t="s">
        <v>10751</v>
      </c>
      <c r="Q4645" t="s">
        <v>10761</v>
      </c>
      <c r="R4645" t="s">
        <v>10824</v>
      </c>
      <c r="T4645">
        <v>10320</v>
      </c>
      <c r="U4645">
        <v>860</v>
      </c>
      <c r="V4645">
        <v>66</v>
      </c>
      <c r="W4645">
        <v>2</v>
      </c>
      <c r="X4645">
        <v>2</v>
      </c>
      <c r="Z4645">
        <v>40.08</v>
      </c>
      <c r="AA4645">
        <v>40.683815</v>
      </c>
      <c r="AB4645">
        <v>-73.943819</v>
      </c>
      <c r="AD4645" t="s">
        <v>10839</v>
      </c>
      <c r="AG4645" t="s">
        <v>10858</v>
      </c>
      <c r="AH4645" t="s">
        <v>10862</v>
      </c>
      <c r="AI4645">
        <v>239</v>
      </c>
      <c r="AJ4645" t="s">
        <v>10213</v>
      </c>
      <c r="AL4645">
        <v>0</v>
      </c>
      <c r="AM4645" t="s">
        <v>10889</v>
      </c>
      <c r="AN4645" t="s">
        <v>10914</v>
      </c>
      <c r="AO4645" t="s">
        <v>11007</v>
      </c>
      <c r="AP4645" t="s">
        <v>11052</v>
      </c>
      <c r="AR4645" t="s">
        <v>11290</v>
      </c>
      <c r="AS4645" t="s">
        <v>11595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</row>
    <row r="4646" spans="1:59">
      <c r="A4646" s="1">
        <f>HYPERLINK("https://lsnyc.legalserver.org/matter/dynamic-profile/view/1908841","19-1908841")</f>
        <v>0</v>
      </c>
      <c r="B4646" t="s">
        <v>3234</v>
      </c>
      <c r="C4646" t="s">
        <v>8573</v>
      </c>
      <c r="D4646" t="s">
        <v>9928</v>
      </c>
      <c r="E4646" t="s">
        <v>10075</v>
      </c>
      <c r="F4646">
        <v>11239</v>
      </c>
      <c r="G4646" t="s">
        <v>10093</v>
      </c>
      <c r="H4646" t="s">
        <v>10160</v>
      </c>
      <c r="I4646" t="s">
        <v>10168</v>
      </c>
      <c r="J4646" t="s">
        <v>10213</v>
      </c>
      <c r="K4646" t="s">
        <v>10217</v>
      </c>
      <c r="M4646" t="s">
        <v>10345</v>
      </c>
      <c r="N4646" t="s">
        <v>10650</v>
      </c>
      <c r="P4646" t="s">
        <v>10749</v>
      </c>
      <c r="Q4646" t="s">
        <v>10765</v>
      </c>
      <c r="R4646" t="s">
        <v>10824</v>
      </c>
      <c r="T4646">
        <v>2316</v>
      </c>
      <c r="U4646">
        <v>193</v>
      </c>
      <c r="V4646">
        <v>61</v>
      </c>
      <c r="W4646">
        <v>1</v>
      </c>
      <c r="X4646">
        <v>1</v>
      </c>
      <c r="Z4646">
        <v>13.7</v>
      </c>
      <c r="AA4646">
        <v>40.649331</v>
      </c>
      <c r="AB4646">
        <v>-73.88232000000001</v>
      </c>
      <c r="AC4646" t="s">
        <v>10838</v>
      </c>
      <c r="AD4646" t="s">
        <v>10839</v>
      </c>
      <c r="AG4646" t="s">
        <v>10858</v>
      </c>
      <c r="AH4646" t="s">
        <v>10861</v>
      </c>
      <c r="AI4646">
        <v>239</v>
      </c>
      <c r="AJ4646" t="s">
        <v>10213</v>
      </c>
      <c r="AL4646">
        <v>7.25</v>
      </c>
      <c r="AR4646" t="s">
        <v>11279</v>
      </c>
      <c r="AS4646" t="s">
        <v>11595</v>
      </c>
      <c r="AT4646" t="s">
        <v>11641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</row>
    <row r="4647" spans="1:59">
      <c r="A4647" s="1">
        <f>HYPERLINK("https://lsnyc.legalserver.org/matter/dynamic-profile/view/1908842","19-1908842")</f>
        <v>0</v>
      </c>
      <c r="B4647" t="s">
        <v>3752</v>
      </c>
      <c r="C4647" t="s">
        <v>8574</v>
      </c>
      <c r="D4647" t="s">
        <v>9926</v>
      </c>
      <c r="E4647" t="s">
        <v>10075</v>
      </c>
      <c r="F4647">
        <v>10471</v>
      </c>
      <c r="G4647" t="s">
        <v>10090</v>
      </c>
      <c r="H4647" t="s">
        <v>10160</v>
      </c>
      <c r="I4647" t="s">
        <v>10168</v>
      </c>
      <c r="J4647" t="s">
        <v>10210</v>
      </c>
      <c r="K4647" t="s">
        <v>10218</v>
      </c>
      <c r="L4647" t="s">
        <v>10166</v>
      </c>
      <c r="M4647" t="s">
        <v>10262</v>
      </c>
      <c r="N4647" t="s">
        <v>10666</v>
      </c>
      <c r="P4647" t="s">
        <v>10749</v>
      </c>
      <c r="Q4647" t="s">
        <v>10765</v>
      </c>
      <c r="R4647" t="s">
        <v>10824</v>
      </c>
      <c r="T4647">
        <v>50000</v>
      </c>
      <c r="U4647">
        <v>4166.67</v>
      </c>
      <c r="V4647">
        <v>66</v>
      </c>
      <c r="W4647">
        <v>3</v>
      </c>
      <c r="X4647">
        <v>4</v>
      </c>
      <c r="Y4647" t="s">
        <v>10829</v>
      </c>
      <c r="Z4647">
        <v>128.17</v>
      </c>
      <c r="AA4647">
        <v>40.911772</v>
      </c>
      <c r="AB4647">
        <v>-73.902439</v>
      </c>
      <c r="AD4647" t="s">
        <v>10839</v>
      </c>
      <c r="AG4647" t="s">
        <v>10858</v>
      </c>
      <c r="AH4647" t="s">
        <v>10861</v>
      </c>
      <c r="AI4647">
        <v>230</v>
      </c>
      <c r="AJ4647" t="s">
        <v>10210</v>
      </c>
      <c r="AK4647" t="s">
        <v>10837</v>
      </c>
      <c r="AL4647">
        <v>0.6</v>
      </c>
      <c r="AM4647" t="s">
        <v>10893</v>
      </c>
      <c r="AN4647" t="s">
        <v>10919</v>
      </c>
      <c r="AO4647" t="s">
        <v>11002</v>
      </c>
      <c r="AP4647" t="s">
        <v>11057</v>
      </c>
      <c r="AR4647" t="s">
        <v>11270</v>
      </c>
      <c r="AS4647" t="s">
        <v>9926</v>
      </c>
      <c r="AT4647" t="s">
        <v>11641</v>
      </c>
      <c r="AX4647" t="s">
        <v>10838</v>
      </c>
      <c r="AY4647" t="s">
        <v>10829</v>
      </c>
      <c r="AZ4647" t="s">
        <v>11681</v>
      </c>
      <c r="BA4647" t="s">
        <v>11741</v>
      </c>
      <c r="BB4647">
        <v>0</v>
      </c>
      <c r="BC4647">
        <v>0</v>
      </c>
      <c r="BD4647">
        <v>0</v>
      </c>
      <c r="BE4647">
        <v>0</v>
      </c>
      <c r="BF4647">
        <v>1</v>
      </c>
      <c r="BG4647">
        <v>0</v>
      </c>
    </row>
    <row r="4648" spans="1:59">
      <c r="A4648" s="1">
        <f>HYPERLINK("https://lsnyc.legalserver.org/matter/dynamic-profile/view/1908843","19-1908843")</f>
        <v>0</v>
      </c>
      <c r="B4648" t="s">
        <v>3753</v>
      </c>
      <c r="C4648" t="s">
        <v>8575</v>
      </c>
      <c r="D4648" t="s">
        <v>9926</v>
      </c>
      <c r="E4648" t="s">
        <v>10075</v>
      </c>
      <c r="F4648">
        <v>10460</v>
      </c>
      <c r="G4648" t="s">
        <v>10090</v>
      </c>
      <c r="H4648" t="s">
        <v>10160</v>
      </c>
      <c r="I4648" t="s">
        <v>10168</v>
      </c>
      <c r="J4648" t="s">
        <v>10210</v>
      </c>
      <c r="K4648" t="s">
        <v>10217</v>
      </c>
      <c r="M4648" t="s">
        <v>10469</v>
      </c>
      <c r="N4648" t="s">
        <v>10682</v>
      </c>
      <c r="P4648" t="s">
        <v>10753</v>
      </c>
      <c r="Q4648" t="s">
        <v>10790</v>
      </c>
      <c r="R4648" t="s">
        <v>10824</v>
      </c>
      <c r="T4648">
        <v>9000</v>
      </c>
      <c r="U4648">
        <v>750</v>
      </c>
      <c r="V4648">
        <v>52</v>
      </c>
      <c r="W4648">
        <v>1</v>
      </c>
      <c r="X4648">
        <v>0</v>
      </c>
      <c r="Z4648">
        <v>72.06</v>
      </c>
      <c r="AA4648">
        <v>40.848686</v>
      </c>
      <c r="AB4648">
        <v>-73.88422199999999</v>
      </c>
      <c r="AD4648" t="s">
        <v>10839</v>
      </c>
      <c r="AG4648" t="s">
        <v>10858</v>
      </c>
      <c r="AH4648" t="s">
        <v>10862</v>
      </c>
      <c r="AI4648">
        <v>230</v>
      </c>
      <c r="AJ4648" t="s">
        <v>10210</v>
      </c>
      <c r="AL4648">
        <v>17.25</v>
      </c>
      <c r="AM4648" t="s">
        <v>10884</v>
      </c>
      <c r="AN4648" t="s">
        <v>10918</v>
      </c>
      <c r="AO4648" t="s">
        <v>11000</v>
      </c>
      <c r="AP4648" t="s">
        <v>11056</v>
      </c>
      <c r="AR4648" t="s">
        <v>11268</v>
      </c>
      <c r="AS4648" t="s">
        <v>9926</v>
      </c>
      <c r="BA4648" t="s">
        <v>11744</v>
      </c>
      <c r="BB4648">
        <v>0</v>
      </c>
      <c r="BC4648">
        <v>0</v>
      </c>
      <c r="BD4648">
        <v>0</v>
      </c>
      <c r="BE4648">
        <v>0</v>
      </c>
      <c r="BF4648">
        <v>6</v>
      </c>
      <c r="BG4648">
        <v>0</v>
      </c>
    </row>
    <row r="4649" spans="1:59">
      <c r="A4649" s="1">
        <f>HYPERLINK("https://lsnyc.legalserver.org/matter/dynamic-profile/view/1908844","19-1908844")</f>
        <v>0</v>
      </c>
      <c r="B4649" t="s">
        <v>3754</v>
      </c>
      <c r="C4649" t="s">
        <v>8576</v>
      </c>
      <c r="D4649" t="s">
        <v>9951</v>
      </c>
      <c r="E4649" t="s">
        <v>10075</v>
      </c>
      <c r="F4649">
        <v>11416</v>
      </c>
      <c r="G4649" t="s">
        <v>10092</v>
      </c>
      <c r="H4649" t="s">
        <v>10160</v>
      </c>
      <c r="I4649" t="s">
        <v>10168</v>
      </c>
      <c r="J4649" t="s">
        <v>10212</v>
      </c>
      <c r="K4649" t="s">
        <v>10217</v>
      </c>
      <c r="M4649" t="s">
        <v>10326</v>
      </c>
      <c r="N4649" t="s">
        <v>10689</v>
      </c>
      <c r="O4649" t="s">
        <v>10699</v>
      </c>
      <c r="P4649" t="s">
        <v>10754</v>
      </c>
      <c r="Q4649" t="s">
        <v>10777</v>
      </c>
      <c r="R4649" t="s">
        <v>10823</v>
      </c>
      <c r="T4649">
        <v>0</v>
      </c>
      <c r="U4649">
        <v>0</v>
      </c>
      <c r="V4649">
        <v>20</v>
      </c>
      <c r="W4649">
        <v>1</v>
      </c>
      <c r="X4649">
        <v>1</v>
      </c>
      <c r="Z4649">
        <v>0</v>
      </c>
      <c r="AA4649">
        <v>40.683385</v>
      </c>
      <c r="AB4649">
        <v>-73.85305700000001</v>
      </c>
      <c r="AD4649" t="s">
        <v>10839</v>
      </c>
      <c r="AG4649" t="s">
        <v>10858</v>
      </c>
      <c r="AH4649" t="s">
        <v>10865</v>
      </c>
      <c r="AI4649">
        <v>237</v>
      </c>
      <c r="AJ4649" t="s">
        <v>10212</v>
      </c>
      <c r="AK4649" t="s">
        <v>10837</v>
      </c>
      <c r="AL4649">
        <v>4</v>
      </c>
      <c r="AM4649" t="s">
        <v>10886</v>
      </c>
      <c r="AN4649" t="s">
        <v>10945</v>
      </c>
      <c r="AO4649" t="s">
        <v>11024</v>
      </c>
      <c r="AP4649" t="s">
        <v>11088</v>
      </c>
      <c r="AQ4649" t="s">
        <v>11128</v>
      </c>
      <c r="AR4649" t="s">
        <v>11311</v>
      </c>
      <c r="AS4649" t="s">
        <v>11594</v>
      </c>
      <c r="AX4649" t="s">
        <v>11678</v>
      </c>
      <c r="BA4649" t="s">
        <v>11741</v>
      </c>
      <c r="BB4649">
        <v>0</v>
      </c>
      <c r="BC4649">
        <v>0</v>
      </c>
      <c r="BD4649">
        <v>0</v>
      </c>
      <c r="BE4649">
        <v>0</v>
      </c>
      <c r="BF4649">
        <v>1</v>
      </c>
      <c r="BG4649">
        <v>0</v>
      </c>
    </row>
    <row r="4650" spans="1:59">
      <c r="A4650" s="1">
        <f>HYPERLINK("https://lsnyc.legalserver.org/matter/dynamic-profile/view/1908845","19-1908845")</f>
        <v>0</v>
      </c>
      <c r="B4650" t="s">
        <v>3300</v>
      </c>
      <c r="C4650" t="s">
        <v>5807</v>
      </c>
      <c r="D4650" t="s">
        <v>9926</v>
      </c>
      <c r="E4650" t="s">
        <v>10075</v>
      </c>
      <c r="F4650">
        <v>10457</v>
      </c>
      <c r="G4650" t="s">
        <v>10090</v>
      </c>
      <c r="H4650" t="s">
        <v>10160</v>
      </c>
      <c r="I4650" t="s">
        <v>10169</v>
      </c>
      <c r="J4650" t="s">
        <v>10210</v>
      </c>
      <c r="K4650" t="s">
        <v>10217</v>
      </c>
      <c r="M4650" t="s">
        <v>10415</v>
      </c>
      <c r="N4650" t="s">
        <v>10651</v>
      </c>
      <c r="P4650" t="s">
        <v>10749</v>
      </c>
      <c r="Q4650" t="s">
        <v>10765</v>
      </c>
      <c r="R4650" t="s">
        <v>10823</v>
      </c>
      <c r="T4650">
        <v>0</v>
      </c>
      <c r="U4650">
        <v>0</v>
      </c>
      <c r="V4650">
        <v>26</v>
      </c>
      <c r="W4650">
        <v>1</v>
      </c>
      <c r="X4650">
        <v>2</v>
      </c>
      <c r="Z4650">
        <v>0</v>
      </c>
      <c r="AA4650">
        <v>40.843438</v>
      </c>
      <c r="AB4650">
        <v>-73.907078</v>
      </c>
      <c r="AD4650" t="s">
        <v>10839</v>
      </c>
      <c r="AF4650" t="s">
        <v>10847</v>
      </c>
      <c r="AG4650" t="s">
        <v>10859</v>
      </c>
      <c r="AH4650" t="s">
        <v>10862</v>
      </c>
      <c r="AI4650">
        <v>230</v>
      </c>
      <c r="AJ4650" t="s">
        <v>10210</v>
      </c>
      <c r="AL4650">
        <v>3.7</v>
      </c>
      <c r="AM4650" t="s">
        <v>10884</v>
      </c>
      <c r="AN4650" t="s">
        <v>10931</v>
      </c>
      <c r="AO4650" t="s">
        <v>11000</v>
      </c>
      <c r="AP4650" t="s">
        <v>11056</v>
      </c>
      <c r="AR4650" t="s">
        <v>11279</v>
      </c>
      <c r="AS4650" t="s">
        <v>9926</v>
      </c>
      <c r="AT4650" t="s">
        <v>11641</v>
      </c>
      <c r="AX4650" t="s">
        <v>10838</v>
      </c>
      <c r="BA4650" t="s">
        <v>11738</v>
      </c>
      <c r="BB4650">
        <v>0</v>
      </c>
      <c r="BC4650">
        <v>0</v>
      </c>
      <c r="BD4650">
        <v>0</v>
      </c>
      <c r="BE4650">
        <v>0</v>
      </c>
      <c r="BF4650">
        <v>5</v>
      </c>
      <c r="BG4650">
        <v>0</v>
      </c>
    </row>
    <row r="4651" spans="1:59">
      <c r="A4651" s="1">
        <f>HYPERLINK("https://lsnyc.legalserver.org/matter/dynamic-profile/view/1908846","19-1908846")</f>
        <v>0</v>
      </c>
      <c r="B4651" t="s">
        <v>3755</v>
      </c>
      <c r="C4651" t="s">
        <v>8577</v>
      </c>
      <c r="D4651" t="s">
        <v>9926</v>
      </c>
      <c r="E4651" t="s">
        <v>10075</v>
      </c>
      <c r="F4651">
        <v>10456</v>
      </c>
      <c r="G4651" t="s">
        <v>10090</v>
      </c>
      <c r="H4651" t="s">
        <v>10160</v>
      </c>
      <c r="I4651" t="s">
        <v>10168</v>
      </c>
      <c r="J4651" t="s">
        <v>10210</v>
      </c>
      <c r="K4651" t="s">
        <v>10217</v>
      </c>
      <c r="M4651" t="s">
        <v>10546</v>
      </c>
      <c r="N4651" t="s">
        <v>10666</v>
      </c>
      <c r="P4651" t="s">
        <v>10749</v>
      </c>
      <c r="Q4651" t="s">
        <v>10765</v>
      </c>
      <c r="R4651" t="s">
        <v>10824</v>
      </c>
      <c r="T4651">
        <v>20136</v>
      </c>
      <c r="U4651">
        <v>1678</v>
      </c>
      <c r="V4651">
        <v>72</v>
      </c>
      <c r="W4651">
        <v>1</v>
      </c>
      <c r="X4651">
        <v>0</v>
      </c>
      <c r="Z4651">
        <v>161.22</v>
      </c>
      <c r="AA4651">
        <v>40.832201</v>
      </c>
      <c r="AB4651">
        <v>-73.912959</v>
      </c>
      <c r="AC4651" t="s">
        <v>10837</v>
      </c>
      <c r="AD4651" t="s">
        <v>10840</v>
      </c>
      <c r="AG4651" t="s">
        <v>10858</v>
      </c>
      <c r="AH4651" t="s">
        <v>10862</v>
      </c>
      <c r="AI4651">
        <v>230</v>
      </c>
      <c r="AJ4651" t="s">
        <v>10210</v>
      </c>
      <c r="AL4651">
        <v>5.4</v>
      </c>
      <c r="AM4651" t="s">
        <v>10884</v>
      </c>
      <c r="AN4651" t="s">
        <v>10929</v>
      </c>
      <c r="AO4651" t="s">
        <v>11001</v>
      </c>
      <c r="AP4651" t="s">
        <v>11055</v>
      </c>
      <c r="AR4651" t="s">
        <v>11303</v>
      </c>
      <c r="AS4651" t="s">
        <v>9926</v>
      </c>
      <c r="AT4651" t="s">
        <v>11642</v>
      </c>
      <c r="AX4651" t="s">
        <v>10838</v>
      </c>
      <c r="BA4651" t="s">
        <v>11738</v>
      </c>
      <c r="BB4651">
        <v>0</v>
      </c>
      <c r="BC4651">
        <v>0</v>
      </c>
      <c r="BD4651">
        <v>0</v>
      </c>
      <c r="BE4651">
        <v>0</v>
      </c>
      <c r="BF4651">
        <v>5</v>
      </c>
      <c r="BG4651">
        <v>0</v>
      </c>
    </row>
    <row r="4652" spans="1:59">
      <c r="A4652" s="1">
        <f>HYPERLINK("https://lsnyc.legalserver.org/matter/dynamic-profile/view/1908847","19-1908847")</f>
        <v>0</v>
      </c>
      <c r="B4652" t="s">
        <v>3756</v>
      </c>
      <c r="C4652" t="s">
        <v>8578</v>
      </c>
      <c r="D4652" t="s">
        <v>9926</v>
      </c>
      <c r="E4652" t="s">
        <v>10075</v>
      </c>
      <c r="F4652">
        <v>10467</v>
      </c>
      <c r="G4652" t="s">
        <v>10090</v>
      </c>
      <c r="H4652" t="s">
        <v>10160</v>
      </c>
      <c r="I4652" t="s">
        <v>10168</v>
      </c>
      <c r="J4652" t="s">
        <v>10210</v>
      </c>
      <c r="K4652" t="s">
        <v>10217</v>
      </c>
      <c r="M4652" t="s">
        <v>10271</v>
      </c>
      <c r="N4652" t="s">
        <v>10651</v>
      </c>
      <c r="P4652" t="s">
        <v>10749</v>
      </c>
      <c r="Q4652" t="s">
        <v>10765</v>
      </c>
      <c r="R4652" t="s">
        <v>10824</v>
      </c>
      <c r="T4652">
        <v>27812</v>
      </c>
      <c r="U4652">
        <v>2317.67</v>
      </c>
      <c r="V4652">
        <v>54</v>
      </c>
      <c r="W4652">
        <v>2</v>
      </c>
      <c r="X4652">
        <v>3</v>
      </c>
      <c r="Z4652">
        <v>92.18000000000001</v>
      </c>
      <c r="AA4652">
        <v>40.880528</v>
      </c>
      <c r="AB4652">
        <v>-73.867589</v>
      </c>
      <c r="AD4652" t="s">
        <v>10840</v>
      </c>
      <c r="AG4652" t="s">
        <v>10858</v>
      </c>
      <c r="AH4652" t="s">
        <v>10862</v>
      </c>
      <c r="AI4652">
        <v>230</v>
      </c>
      <c r="AJ4652" t="s">
        <v>10210</v>
      </c>
      <c r="AL4652">
        <v>1</v>
      </c>
      <c r="AM4652" t="s">
        <v>10893</v>
      </c>
      <c r="AN4652" t="s">
        <v>10956</v>
      </c>
      <c r="AO4652" t="s">
        <v>11010</v>
      </c>
      <c r="AP4652" t="s">
        <v>11085</v>
      </c>
      <c r="AR4652" t="s">
        <v>11295</v>
      </c>
      <c r="AS4652" t="s">
        <v>9926</v>
      </c>
      <c r="AT4652" t="s">
        <v>11642</v>
      </c>
      <c r="BA4652" t="s">
        <v>11738</v>
      </c>
      <c r="BB4652">
        <v>0</v>
      </c>
      <c r="BC4652">
        <v>0</v>
      </c>
      <c r="BD4652">
        <v>0</v>
      </c>
      <c r="BE4652">
        <v>0</v>
      </c>
      <c r="BF4652">
        <v>5</v>
      </c>
      <c r="BG4652">
        <v>0</v>
      </c>
    </row>
    <row r="4653" spans="1:59">
      <c r="A4653" s="1">
        <f>HYPERLINK("https://lsnyc.legalserver.org/matter/dynamic-profile/view/1908848","19-1908848")</f>
        <v>0</v>
      </c>
      <c r="B4653" t="s">
        <v>2850</v>
      </c>
      <c r="C4653" t="s">
        <v>8449</v>
      </c>
      <c r="D4653" t="s">
        <v>9926</v>
      </c>
      <c r="E4653" t="s">
        <v>10075</v>
      </c>
      <c r="F4653">
        <v>10470</v>
      </c>
      <c r="G4653" t="s">
        <v>10088</v>
      </c>
      <c r="H4653" t="s">
        <v>10160</v>
      </c>
      <c r="I4653" t="s">
        <v>10168</v>
      </c>
      <c r="J4653" t="s">
        <v>10208</v>
      </c>
      <c r="K4653" t="s">
        <v>10217</v>
      </c>
      <c r="M4653" t="s">
        <v>10377</v>
      </c>
      <c r="N4653" t="s">
        <v>10700</v>
      </c>
      <c r="P4653" t="s">
        <v>10754</v>
      </c>
      <c r="Q4653" t="s">
        <v>10775</v>
      </c>
      <c r="R4653" t="s">
        <v>10822</v>
      </c>
      <c r="T4653">
        <v>0</v>
      </c>
      <c r="U4653">
        <v>0</v>
      </c>
      <c r="V4653">
        <v>30</v>
      </c>
      <c r="W4653">
        <v>1</v>
      </c>
      <c r="X4653">
        <v>1</v>
      </c>
      <c r="Z4653">
        <v>0</v>
      </c>
      <c r="AA4653">
        <v>40.900382</v>
      </c>
      <c r="AB4653">
        <v>-73.862168</v>
      </c>
      <c r="AD4653" t="s">
        <v>10839</v>
      </c>
      <c r="AF4653" t="s">
        <v>10843</v>
      </c>
      <c r="AG4653" t="s">
        <v>10859</v>
      </c>
      <c r="AH4653" t="s">
        <v>10861</v>
      </c>
      <c r="AI4653">
        <v>285</v>
      </c>
      <c r="AJ4653" t="s">
        <v>10208</v>
      </c>
      <c r="AL4653">
        <v>0.3</v>
      </c>
      <c r="AM4653" t="s">
        <v>10893</v>
      </c>
      <c r="AN4653" t="s">
        <v>10919</v>
      </c>
      <c r="AO4653" t="s">
        <v>11002</v>
      </c>
      <c r="AP4653" t="s">
        <v>11057</v>
      </c>
      <c r="AQ4653" t="s">
        <v>11114</v>
      </c>
      <c r="AR4653" t="s">
        <v>11267</v>
      </c>
      <c r="AS4653" t="s">
        <v>9926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</row>
    <row r="4654" spans="1:59">
      <c r="A4654" s="1">
        <f>HYPERLINK("https://lsnyc.legalserver.org/matter/dynamic-profile/view/1908849","19-1908849")</f>
        <v>0</v>
      </c>
      <c r="B4654" t="s">
        <v>3757</v>
      </c>
      <c r="C4654" t="s">
        <v>7431</v>
      </c>
      <c r="D4654" t="s">
        <v>9926</v>
      </c>
      <c r="E4654" t="s">
        <v>10075</v>
      </c>
      <c r="F4654">
        <v>10468</v>
      </c>
      <c r="G4654" t="s">
        <v>10090</v>
      </c>
      <c r="H4654" t="s">
        <v>10160</v>
      </c>
      <c r="I4654" t="s">
        <v>10169</v>
      </c>
      <c r="J4654" t="s">
        <v>10210</v>
      </c>
      <c r="K4654" t="s">
        <v>10217</v>
      </c>
      <c r="M4654" t="s">
        <v>10279</v>
      </c>
      <c r="N4654" t="s">
        <v>10651</v>
      </c>
      <c r="P4654" t="s">
        <v>10749</v>
      </c>
      <c r="Q4654" t="s">
        <v>10765</v>
      </c>
      <c r="R4654" t="s">
        <v>10821</v>
      </c>
      <c r="T4654">
        <v>23400</v>
      </c>
      <c r="U4654">
        <v>1950</v>
      </c>
      <c r="V4654">
        <v>40</v>
      </c>
      <c r="W4654">
        <v>2</v>
      </c>
      <c r="X4654">
        <v>4</v>
      </c>
      <c r="Z4654">
        <v>67.65000000000001</v>
      </c>
      <c r="AA4654">
        <v>40.867054</v>
      </c>
      <c r="AB4654">
        <v>-73.89816</v>
      </c>
      <c r="AD4654" t="s">
        <v>10839</v>
      </c>
      <c r="AG4654" t="s">
        <v>10858</v>
      </c>
      <c r="AH4654" t="s">
        <v>10861</v>
      </c>
      <c r="AI4654">
        <v>230</v>
      </c>
      <c r="AJ4654" t="s">
        <v>10210</v>
      </c>
      <c r="AL4654">
        <v>1.2</v>
      </c>
      <c r="AM4654" t="s">
        <v>10887</v>
      </c>
      <c r="AN4654" t="s">
        <v>10907</v>
      </c>
      <c r="AO4654" t="s">
        <v>11000</v>
      </c>
      <c r="AP4654" t="s">
        <v>11045</v>
      </c>
      <c r="AR4654" t="s">
        <v>11262</v>
      </c>
      <c r="AS4654" t="s">
        <v>9926</v>
      </c>
      <c r="AT4654" t="s">
        <v>11641</v>
      </c>
      <c r="AX4654" t="s">
        <v>10838</v>
      </c>
      <c r="BA4654" t="s">
        <v>11738</v>
      </c>
      <c r="BB4654">
        <v>0</v>
      </c>
      <c r="BC4654">
        <v>0</v>
      </c>
      <c r="BD4654">
        <v>0</v>
      </c>
      <c r="BE4654">
        <v>0</v>
      </c>
      <c r="BF4654">
        <v>5</v>
      </c>
      <c r="BG4654">
        <v>0</v>
      </c>
    </row>
    <row r="4655" spans="1:59">
      <c r="A4655" s="1">
        <f>HYPERLINK("https://lsnyc.legalserver.org/matter/dynamic-profile/view/1908850","19-1908850")</f>
        <v>0</v>
      </c>
      <c r="B4655" t="s">
        <v>3758</v>
      </c>
      <c r="C4655" t="s">
        <v>8579</v>
      </c>
      <c r="D4655" t="s">
        <v>9925</v>
      </c>
      <c r="E4655" t="s">
        <v>10075</v>
      </c>
      <c r="F4655">
        <v>10025</v>
      </c>
      <c r="G4655" t="s">
        <v>10089</v>
      </c>
      <c r="H4655" t="s">
        <v>10160</v>
      </c>
      <c r="I4655" t="s">
        <v>10169</v>
      </c>
      <c r="J4655" t="s">
        <v>10209</v>
      </c>
      <c r="K4655" t="s">
        <v>10217</v>
      </c>
      <c r="M4655" t="s">
        <v>10575</v>
      </c>
      <c r="N4655" t="s">
        <v>10702</v>
      </c>
      <c r="P4655" t="s">
        <v>10749</v>
      </c>
      <c r="Q4655" t="s">
        <v>10765</v>
      </c>
      <c r="R4655" t="s">
        <v>10821</v>
      </c>
      <c r="T4655">
        <v>20040</v>
      </c>
      <c r="U4655">
        <v>1670</v>
      </c>
      <c r="V4655">
        <v>87</v>
      </c>
      <c r="W4655">
        <v>2</v>
      </c>
      <c r="X4655">
        <v>0</v>
      </c>
      <c r="Z4655">
        <v>118.51</v>
      </c>
      <c r="AA4655">
        <v>40.802737</v>
      </c>
      <c r="AB4655">
        <v>-73.96480099999999</v>
      </c>
      <c r="AD4655" t="s">
        <v>10839</v>
      </c>
      <c r="AG4655" t="s">
        <v>10858</v>
      </c>
      <c r="AH4655" t="s">
        <v>10862</v>
      </c>
      <c r="AI4655">
        <v>236</v>
      </c>
      <c r="AJ4655" t="s">
        <v>10209</v>
      </c>
      <c r="AL4655">
        <v>3</v>
      </c>
      <c r="AM4655" t="s">
        <v>10894</v>
      </c>
      <c r="AN4655" t="s">
        <v>10953</v>
      </c>
      <c r="AO4655" t="s">
        <v>11019</v>
      </c>
      <c r="AP4655" t="s">
        <v>11073</v>
      </c>
      <c r="AR4655" t="s">
        <v>11253</v>
      </c>
      <c r="AS4655" t="s">
        <v>9925</v>
      </c>
      <c r="BA4655" t="s">
        <v>11738</v>
      </c>
      <c r="BB4655">
        <v>0</v>
      </c>
      <c r="BC4655">
        <v>0</v>
      </c>
      <c r="BD4655">
        <v>0</v>
      </c>
      <c r="BE4655">
        <v>0</v>
      </c>
      <c r="BF4655">
        <v>5</v>
      </c>
      <c r="BG4655">
        <v>0</v>
      </c>
    </row>
    <row r="4656" spans="1:59">
      <c r="A4656" s="1">
        <f>HYPERLINK("https://lsnyc.legalserver.org/matter/dynamic-profile/view/1908851","19-1908851")</f>
        <v>0</v>
      </c>
      <c r="B4656" t="s">
        <v>3756</v>
      </c>
      <c r="C4656" t="s">
        <v>8578</v>
      </c>
      <c r="D4656" t="s">
        <v>9926</v>
      </c>
      <c r="E4656" t="s">
        <v>10075</v>
      </c>
      <c r="F4656">
        <v>10467</v>
      </c>
      <c r="G4656" t="s">
        <v>10090</v>
      </c>
      <c r="H4656" t="s">
        <v>10160</v>
      </c>
      <c r="I4656" t="s">
        <v>10168</v>
      </c>
      <c r="J4656" t="s">
        <v>10210</v>
      </c>
      <c r="K4656" t="s">
        <v>10217</v>
      </c>
      <c r="M4656" t="s">
        <v>10287</v>
      </c>
      <c r="N4656" t="s">
        <v>10671</v>
      </c>
      <c r="P4656" t="s">
        <v>10751</v>
      </c>
      <c r="Q4656" t="s">
        <v>10761</v>
      </c>
      <c r="R4656" t="s">
        <v>10824</v>
      </c>
      <c r="T4656">
        <v>27812</v>
      </c>
      <c r="U4656">
        <v>2317.67</v>
      </c>
      <c r="V4656">
        <v>54</v>
      </c>
      <c r="W4656">
        <v>2</v>
      </c>
      <c r="X4656">
        <v>3</v>
      </c>
      <c r="Z4656">
        <v>92.18000000000001</v>
      </c>
      <c r="AA4656">
        <v>40.880528</v>
      </c>
      <c r="AB4656">
        <v>-73.867589</v>
      </c>
      <c r="AD4656" t="s">
        <v>10840</v>
      </c>
      <c r="AG4656" t="s">
        <v>10858</v>
      </c>
      <c r="AH4656" t="s">
        <v>10862</v>
      </c>
      <c r="AI4656">
        <v>230</v>
      </c>
      <c r="AJ4656" t="s">
        <v>10210</v>
      </c>
      <c r="AL4656">
        <v>0.25</v>
      </c>
      <c r="AM4656" t="s">
        <v>10893</v>
      </c>
      <c r="AN4656" t="s">
        <v>10956</v>
      </c>
      <c r="AO4656" t="s">
        <v>11010</v>
      </c>
      <c r="AP4656" t="s">
        <v>11085</v>
      </c>
      <c r="AR4656" t="s">
        <v>11295</v>
      </c>
      <c r="AS4656" t="s">
        <v>9926</v>
      </c>
      <c r="AT4656" t="s">
        <v>11642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</row>
    <row r="4657" spans="1:59">
      <c r="A4657" s="1">
        <f>HYPERLINK("https://lsnyc.legalserver.org/matter/dynamic-profile/view/1908852","19-1908852")</f>
        <v>0</v>
      </c>
      <c r="B4657" t="s">
        <v>3759</v>
      </c>
      <c r="C4657" t="s">
        <v>8580</v>
      </c>
      <c r="D4657" t="s">
        <v>9928</v>
      </c>
      <c r="E4657" t="s">
        <v>10075</v>
      </c>
      <c r="F4657">
        <v>11233</v>
      </c>
      <c r="G4657" t="s">
        <v>10093</v>
      </c>
      <c r="H4657" t="s">
        <v>10160</v>
      </c>
      <c r="J4657" t="s">
        <v>10213</v>
      </c>
      <c r="K4657" t="s">
        <v>10217</v>
      </c>
      <c r="M4657" t="s">
        <v>10457</v>
      </c>
      <c r="N4657" t="s">
        <v>10698</v>
      </c>
      <c r="P4657" t="s">
        <v>10749</v>
      </c>
      <c r="Q4657" t="s">
        <v>10765</v>
      </c>
      <c r="R4657" t="s">
        <v>10824</v>
      </c>
      <c r="T4657">
        <v>4888</v>
      </c>
      <c r="U4657">
        <v>407.33</v>
      </c>
      <c r="V4657">
        <v>54</v>
      </c>
      <c r="W4657">
        <v>1</v>
      </c>
      <c r="X4657">
        <v>0</v>
      </c>
      <c r="Z4657">
        <v>39.14</v>
      </c>
      <c r="AA4657">
        <v>40.68213</v>
      </c>
      <c r="AB4657">
        <v>-73.929188</v>
      </c>
      <c r="AD4657" t="s">
        <v>10840</v>
      </c>
      <c r="AG4657" t="s">
        <v>10858</v>
      </c>
      <c r="AH4657" t="s">
        <v>10868</v>
      </c>
      <c r="AI4657">
        <v>239</v>
      </c>
      <c r="AJ4657" t="s">
        <v>10213</v>
      </c>
      <c r="AL4657">
        <v>3.5</v>
      </c>
      <c r="AM4657" t="s">
        <v>10889</v>
      </c>
      <c r="AN4657" t="s">
        <v>10914</v>
      </c>
      <c r="AO4657" t="s">
        <v>11007</v>
      </c>
      <c r="AP4657" t="s">
        <v>11052</v>
      </c>
      <c r="AR4657" t="s">
        <v>11255</v>
      </c>
      <c r="AS4657" t="s">
        <v>11595</v>
      </c>
      <c r="AT4657" t="s">
        <v>11642</v>
      </c>
      <c r="AX4657" t="s">
        <v>10837</v>
      </c>
      <c r="BA4657" t="s">
        <v>11742</v>
      </c>
      <c r="BB4657">
        <v>0</v>
      </c>
      <c r="BC4657">
        <v>0</v>
      </c>
      <c r="BD4657">
        <v>0</v>
      </c>
      <c r="BE4657">
        <v>0</v>
      </c>
      <c r="BF4657">
        <v>7</v>
      </c>
      <c r="BG4657">
        <v>0</v>
      </c>
    </row>
    <row r="4658" spans="1:59">
      <c r="A4658" s="1">
        <f>HYPERLINK("https://lsnyc.legalserver.org/matter/dynamic-profile/view/1908853","19-1908853")</f>
        <v>0</v>
      </c>
      <c r="B4658" t="s">
        <v>3496</v>
      </c>
      <c r="C4658" t="s">
        <v>8292</v>
      </c>
      <c r="D4658" t="s">
        <v>9929</v>
      </c>
      <c r="E4658" t="s">
        <v>10075</v>
      </c>
      <c r="F4658">
        <v>10312</v>
      </c>
      <c r="G4658" t="s">
        <v>10088</v>
      </c>
      <c r="H4658" t="s">
        <v>10108</v>
      </c>
      <c r="I4658" t="s">
        <v>10168</v>
      </c>
      <c r="J4658" t="s">
        <v>10208</v>
      </c>
      <c r="K4658" t="s">
        <v>10217</v>
      </c>
      <c r="M4658" t="s">
        <v>10377</v>
      </c>
      <c r="N4658" t="s">
        <v>10701</v>
      </c>
      <c r="P4658" t="s">
        <v>10754</v>
      </c>
      <c r="Q4658" t="s">
        <v>10777</v>
      </c>
      <c r="R4658" t="s">
        <v>10827</v>
      </c>
      <c r="T4658">
        <v>0</v>
      </c>
      <c r="U4658">
        <v>0</v>
      </c>
      <c r="V4658">
        <v>44</v>
      </c>
      <c r="W4658">
        <v>1</v>
      </c>
      <c r="X4658">
        <v>4</v>
      </c>
      <c r="Z4658">
        <v>0</v>
      </c>
      <c r="AA4658">
        <v>40.55943</v>
      </c>
      <c r="AB4658">
        <v>-74.16547199999999</v>
      </c>
      <c r="AD4658" t="s">
        <v>10839</v>
      </c>
      <c r="AG4658" t="s">
        <v>10858</v>
      </c>
      <c r="AH4658" t="s">
        <v>10861</v>
      </c>
      <c r="AI4658">
        <v>285</v>
      </c>
      <c r="AJ4658" t="s">
        <v>10208</v>
      </c>
      <c r="AL4658">
        <v>0.5</v>
      </c>
      <c r="AQ4658" t="s">
        <v>11128</v>
      </c>
      <c r="AR4658" t="s">
        <v>11267</v>
      </c>
      <c r="AS4658" t="s">
        <v>11593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</row>
    <row r="4659" spans="1:59">
      <c r="A4659" s="1">
        <f>HYPERLINK("https://lsnyc.legalserver.org/matter/dynamic-profile/view/1908854","19-1908854")</f>
        <v>0</v>
      </c>
      <c r="B4659" t="s">
        <v>3760</v>
      </c>
      <c r="C4659" t="s">
        <v>8581</v>
      </c>
      <c r="D4659" t="s">
        <v>9959</v>
      </c>
      <c r="E4659" t="s">
        <v>10075</v>
      </c>
      <c r="F4659">
        <v>11356</v>
      </c>
      <c r="G4659" t="s">
        <v>10091</v>
      </c>
      <c r="H4659" t="s">
        <v>10160</v>
      </c>
      <c r="I4659" t="s">
        <v>10168</v>
      </c>
      <c r="J4659" t="s">
        <v>10214</v>
      </c>
      <c r="K4659" t="s">
        <v>10217</v>
      </c>
      <c r="M4659" t="s">
        <v>10286</v>
      </c>
      <c r="N4659" t="s">
        <v>10671</v>
      </c>
      <c r="P4659" t="s">
        <v>10752</v>
      </c>
      <c r="Q4659" t="s">
        <v>10762</v>
      </c>
      <c r="R4659" t="s">
        <v>10820</v>
      </c>
      <c r="T4659">
        <v>19800</v>
      </c>
      <c r="U4659">
        <v>1650</v>
      </c>
      <c r="V4659">
        <v>75</v>
      </c>
      <c r="W4659">
        <v>1</v>
      </c>
      <c r="X4659">
        <v>0</v>
      </c>
      <c r="Z4659">
        <v>158.53</v>
      </c>
      <c r="AA4659">
        <v>40.783074</v>
      </c>
      <c r="AB4659">
        <v>-73.84714200000001</v>
      </c>
      <c r="AD4659" t="s">
        <v>10839</v>
      </c>
      <c r="AG4659" t="s">
        <v>10858</v>
      </c>
      <c r="AH4659" t="s">
        <v>10861</v>
      </c>
      <c r="AI4659">
        <v>234</v>
      </c>
      <c r="AJ4659" t="s">
        <v>10214</v>
      </c>
      <c r="AL4659">
        <v>1</v>
      </c>
      <c r="AM4659" t="s">
        <v>10885</v>
      </c>
      <c r="AN4659" t="s">
        <v>10962</v>
      </c>
      <c r="AO4659" t="s">
        <v>11022</v>
      </c>
      <c r="AP4659" t="s">
        <v>11080</v>
      </c>
      <c r="AR4659" t="s">
        <v>11300</v>
      </c>
      <c r="AS4659" t="s">
        <v>11594</v>
      </c>
      <c r="AT4659" t="s">
        <v>11641</v>
      </c>
      <c r="AX4659" t="s">
        <v>10838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</row>
    <row r="4660" spans="1:59">
      <c r="A4660" s="1">
        <f>HYPERLINK("https://lsnyc.legalserver.org/matter/dynamic-profile/view/1908855","19-1908855")</f>
        <v>0</v>
      </c>
      <c r="B4660" t="s">
        <v>3761</v>
      </c>
      <c r="C4660" t="s">
        <v>8582</v>
      </c>
      <c r="D4660" t="s">
        <v>9926</v>
      </c>
      <c r="E4660" t="s">
        <v>10075</v>
      </c>
      <c r="F4660">
        <v>10467</v>
      </c>
      <c r="G4660" t="s">
        <v>10090</v>
      </c>
      <c r="H4660" t="s">
        <v>10100</v>
      </c>
      <c r="I4660" t="s">
        <v>10168</v>
      </c>
      <c r="J4660" t="s">
        <v>10210</v>
      </c>
      <c r="K4660" t="s">
        <v>10217</v>
      </c>
      <c r="M4660" t="s">
        <v>10235</v>
      </c>
      <c r="N4660" t="s">
        <v>10651</v>
      </c>
      <c r="P4660" t="s">
        <v>10749</v>
      </c>
      <c r="Q4660" t="s">
        <v>10765</v>
      </c>
      <c r="R4660" t="s">
        <v>10821</v>
      </c>
      <c r="T4660">
        <v>3336</v>
      </c>
      <c r="U4660">
        <v>278</v>
      </c>
      <c r="V4660">
        <v>24</v>
      </c>
      <c r="W4660">
        <v>1</v>
      </c>
      <c r="X4660">
        <v>1</v>
      </c>
      <c r="Z4660">
        <v>19.73</v>
      </c>
      <c r="AA4660">
        <v>40.86341</v>
      </c>
      <c r="AB4660">
        <v>-73.86595199999999</v>
      </c>
      <c r="AD4660" t="s">
        <v>10839</v>
      </c>
      <c r="AG4660" t="s">
        <v>10858</v>
      </c>
      <c r="AH4660" t="s">
        <v>10862</v>
      </c>
      <c r="AI4660">
        <v>230</v>
      </c>
      <c r="AJ4660" t="s">
        <v>10210</v>
      </c>
      <c r="AL4660">
        <v>0.5</v>
      </c>
      <c r="AM4660" t="s">
        <v>10885</v>
      </c>
      <c r="AN4660" t="s">
        <v>10938</v>
      </c>
      <c r="AO4660" t="s">
        <v>11002</v>
      </c>
      <c r="AP4660" t="s">
        <v>11056</v>
      </c>
      <c r="AR4660" t="s">
        <v>11255</v>
      </c>
      <c r="AS4660" t="s">
        <v>9926</v>
      </c>
      <c r="AT4660" t="s">
        <v>11641</v>
      </c>
      <c r="AX4660" t="s">
        <v>10838</v>
      </c>
      <c r="BA4660" t="s">
        <v>11742</v>
      </c>
      <c r="BB4660">
        <v>0</v>
      </c>
      <c r="BC4660">
        <v>0</v>
      </c>
      <c r="BD4660">
        <v>0</v>
      </c>
      <c r="BE4660">
        <v>0</v>
      </c>
      <c r="BF4660">
        <v>7</v>
      </c>
      <c r="BG4660">
        <v>0</v>
      </c>
    </row>
    <row r="4661" spans="1:59">
      <c r="A4661" s="1">
        <f>HYPERLINK("https://lsnyc.legalserver.org/matter/dynamic-profile/view/1908856","19-1908856")</f>
        <v>0</v>
      </c>
      <c r="B4661" t="s">
        <v>3300</v>
      </c>
      <c r="C4661" t="s">
        <v>5807</v>
      </c>
      <c r="D4661" t="s">
        <v>9926</v>
      </c>
      <c r="E4661" t="s">
        <v>10075</v>
      </c>
      <c r="F4661">
        <v>10457</v>
      </c>
      <c r="G4661" t="s">
        <v>10090</v>
      </c>
      <c r="H4661" t="s">
        <v>10160</v>
      </c>
      <c r="I4661" t="s">
        <v>10169</v>
      </c>
      <c r="J4661" t="s">
        <v>10210</v>
      </c>
      <c r="K4661" t="s">
        <v>10217</v>
      </c>
      <c r="M4661" t="s">
        <v>10415</v>
      </c>
      <c r="N4661" t="s">
        <v>10671</v>
      </c>
      <c r="P4661" t="s">
        <v>10751</v>
      </c>
      <c r="Q4661" t="s">
        <v>10761</v>
      </c>
      <c r="R4661" t="s">
        <v>10823</v>
      </c>
      <c r="T4661">
        <v>0</v>
      </c>
      <c r="U4661">
        <v>0</v>
      </c>
      <c r="V4661">
        <v>26</v>
      </c>
      <c r="W4661">
        <v>1</v>
      </c>
      <c r="X4661">
        <v>2</v>
      </c>
      <c r="Z4661">
        <v>0</v>
      </c>
      <c r="AA4661">
        <v>40.843438</v>
      </c>
      <c r="AB4661">
        <v>-73.907078</v>
      </c>
      <c r="AD4661" t="s">
        <v>10839</v>
      </c>
      <c r="AF4661" t="s">
        <v>10847</v>
      </c>
      <c r="AG4661" t="s">
        <v>10859</v>
      </c>
      <c r="AH4661" t="s">
        <v>10862</v>
      </c>
      <c r="AI4661">
        <v>230</v>
      </c>
      <c r="AJ4661" t="s">
        <v>10210</v>
      </c>
      <c r="AL4661">
        <v>1.25</v>
      </c>
      <c r="AM4661" t="s">
        <v>10884</v>
      </c>
      <c r="AN4661" t="s">
        <v>10931</v>
      </c>
      <c r="AO4661" t="s">
        <v>11000</v>
      </c>
      <c r="AP4661" t="s">
        <v>11056</v>
      </c>
      <c r="AR4661" t="s">
        <v>11279</v>
      </c>
      <c r="AS4661" t="s">
        <v>9926</v>
      </c>
      <c r="BA4661" t="s">
        <v>11737</v>
      </c>
      <c r="BB4661">
        <v>0</v>
      </c>
      <c r="BC4661">
        <v>0</v>
      </c>
      <c r="BD4661">
        <v>0</v>
      </c>
      <c r="BE4661">
        <v>0</v>
      </c>
      <c r="BF4661">
        <v>3</v>
      </c>
      <c r="BG4661">
        <v>0</v>
      </c>
    </row>
    <row r="4662" spans="1:59">
      <c r="A4662" s="1">
        <f>HYPERLINK("https://lsnyc.legalserver.org/matter/dynamic-profile/view/1908857","19-1908857")</f>
        <v>0</v>
      </c>
      <c r="B4662" t="s">
        <v>3762</v>
      </c>
      <c r="C4662" t="s">
        <v>8583</v>
      </c>
      <c r="D4662" t="s">
        <v>9926</v>
      </c>
      <c r="E4662" t="s">
        <v>10075</v>
      </c>
      <c r="F4662">
        <v>10460</v>
      </c>
      <c r="G4662" t="s">
        <v>10090</v>
      </c>
      <c r="H4662" t="s">
        <v>10160</v>
      </c>
      <c r="I4662" t="s">
        <v>10168</v>
      </c>
      <c r="J4662" t="s">
        <v>10215</v>
      </c>
      <c r="K4662" t="s">
        <v>10218</v>
      </c>
      <c r="L4662" t="s">
        <v>10157</v>
      </c>
      <c r="M4662" t="s">
        <v>10262</v>
      </c>
      <c r="N4662" t="s">
        <v>10666</v>
      </c>
      <c r="P4662" t="s">
        <v>10749</v>
      </c>
      <c r="Q4662" t="s">
        <v>10765</v>
      </c>
      <c r="R4662" t="s">
        <v>10824</v>
      </c>
      <c r="T4662">
        <v>12180</v>
      </c>
      <c r="U4662">
        <v>1015</v>
      </c>
      <c r="V4662">
        <v>25</v>
      </c>
      <c r="W4662">
        <v>1</v>
      </c>
      <c r="X4662">
        <v>1</v>
      </c>
      <c r="Y4662" t="s">
        <v>10829</v>
      </c>
      <c r="Z4662">
        <v>72.03</v>
      </c>
      <c r="AA4662">
        <v>40.837941</v>
      </c>
      <c r="AB4662">
        <v>-73.884862</v>
      </c>
      <c r="AD4662" t="s">
        <v>10839</v>
      </c>
      <c r="AG4662" t="s">
        <v>10858</v>
      </c>
      <c r="AH4662" t="s">
        <v>10862</v>
      </c>
      <c r="AI4662">
        <v>231</v>
      </c>
      <c r="AJ4662" t="s">
        <v>10215</v>
      </c>
      <c r="AK4662" t="s">
        <v>10882</v>
      </c>
      <c r="AL4662">
        <v>0.7</v>
      </c>
      <c r="AM4662" t="s">
        <v>10884</v>
      </c>
      <c r="AN4662" t="s">
        <v>10918</v>
      </c>
      <c r="AO4662" t="s">
        <v>11001</v>
      </c>
      <c r="AP4662" t="s">
        <v>11062</v>
      </c>
      <c r="AR4662" t="s">
        <v>11257</v>
      </c>
      <c r="AS4662" t="s">
        <v>9926</v>
      </c>
      <c r="AY4662" t="s">
        <v>10829</v>
      </c>
      <c r="AZ4662" t="s">
        <v>11681</v>
      </c>
      <c r="BA4662" t="s">
        <v>11741</v>
      </c>
      <c r="BB4662">
        <v>0</v>
      </c>
      <c r="BC4662">
        <v>0</v>
      </c>
      <c r="BD4662">
        <v>0</v>
      </c>
      <c r="BE4662">
        <v>0</v>
      </c>
      <c r="BF4662">
        <v>1</v>
      </c>
      <c r="BG4662">
        <v>0</v>
      </c>
    </row>
    <row r="4663" spans="1:59">
      <c r="A4663" s="1">
        <f>HYPERLINK("https://lsnyc.legalserver.org/matter/dynamic-profile/view/1908858","19-1908858")</f>
        <v>0</v>
      </c>
      <c r="B4663" t="s">
        <v>3763</v>
      </c>
      <c r="C4663" t="s">
        <v>8584</v>
      </c>
      <c r="D4663" t="s">
        <v>9925</v>
      </c>
      <c r="E4663" t="s">
        <v>10075</v>
      </c>
      <c r="F4663">
        <v>10031</v>
      </c>
      <c r="G4663" t="s">
        <v>10089</v>
      </c>
      <c r="H4663" t="s">
        <v>10160</v>
      </c>
      <c r="I4663" t="s">
        <v>10169</v>
      </c>
      <c r="J4663" t="s">
        <v>10209</v>
      </c>
      <c r="K4663" t="s">
        <v>10218</v>
      </c>
      <c r="L4663" t="s">
        <v>10163</v>
      </c>
      <c r="M4663" t="s">
        <v>10389</v>
      </c>
      <c r="N4663" t="s">
        <v>10703</v>
      </c>
      <c r="P4663" t="s">
        <v>10749</v>
      </c>
      <c r="Q4663" t="s">
        <v>10765</v>
      </c>
      <c r="R4663" t="s">
        <v>10821</v>
      </c>
      <c r="T4663">
        <v>44000</v>
      </c>
      <c r="U4663">
        <v>3666.67</v>
      </c>
      <c r="V4663">
        <v>65</v>
      </c>
      <c r="W4663">
        <v>2</v>
      </c>
      <c r="X4663">
        <v>0</v>
      </c>
      <c r="Y4663" t="s">
        <v>10829</v>
      </c>
      <c r="Z4663">
        <v>260.2</v>
      </c>
      <c r="AA4663">
        <v>40.828892</v>
      </c>
      <c r="AB4663">
        <v>-73.94903499999999</v>
      </c>
      <c r="AD4663" t="s">
        <v>10839</v>
      </c>
      <c r="AG4663" t="s">
        <v>10858</v>
      </c>
      <c r="AH4663" t="s">
        <v>10862</v>
      </c>
      <c r="AI4663">
        <v>236</v>
      </c>
      <c r="AJ4663" t="s">
        <v>10209</v>
      </c>
      <c r="AK4663" t="s">
        <v>10838</v>
      </c>
      <c r="AL4663">
        <v>0.5</v>
      </c>
      <c r="AM4663" t="s">
        <v>10887</v>
      </c>
      <c r="AN4663" t="s">
        <v>10943</v>
      </c>
      <c r="AO4663" t="s">
        <v>11016</v>
      </c>
      <c r="AP4663" t="s">
        <v>11073</v>
      </c>
      <c r="AR4663" t="s">
        <v>11257</v>
      </c>
      <c r="AS4663" t="s">
        <v>9925</v>
      </c>
      <c r="AY4663" t="s">
        <v>10829</v>
      </c>
      <c r="AZ4663" t="s">
        <v>11681</v>
      </c>
      <c r="BA4663" t="s">
        <v>11741</v>
      </c>
      <c r="BB4663">
        <v>0</v>
      </c>
      <c r="BC4663">
        <v>0</v>
      </c>
      <c r="BD4663">
        <v>0</v>
      </c>
      <c r="BE4663">
        <v>0</v>
      </c>
      <c r="BF4663">
        <v>1</v>
      </c>
      <c r="BG4663">
        <v>0</v>
      </c>
    </row>
    <row r="4664" spans="1:59">
      <c r="A4664" s="1">
        <f>HYPERLINK("https://lsnyc.legalserver.org/matter/dynamic-profile/view/1908859","19-1908859")</f>
        <v>0</v>
      </c>
      <c r="B4664" t="s">
        <v>527</v>
      </c>
      <c r="C4664" t="s">
        <v>6276</v>
      </c>
      <c r="D4664" t="s">
        <v>9926</v>
      </c>
      <c r="E4664" t="s">
        <v>10075</v>
      </c>
      <c r="F4664">
        <v>10467</v>
      </c>
      <c r="G4664" t="s">
        <v>10090</v>
      </c>
      <c r="H4664" t="s">
        <v>10160</v>
      </c>
      <c r="J4664" t="s">
        <v>10210</v>
      </c>
      <c r="K4664" t="s">
        <v>10217</v>
      </c>
      <c r="M4664" t="s">
        <v>10415</v>
      </c>
      <c r="N4664" t="s">
        <v>10651</v>
      </c>
      <c r="P4664" t="s">
        <v>10749</v>
      </c>
      <c r="Q4664" t="s">
        <v>10765</v>
      </c>
      <c r="R4664" t="s">
        <v>10821</v>
      </c>
      <c r="T4664">
        <v>72800</v>
      </c>
      <c r="U4664">
        <v>6066.67</v>
      </c>
      <c r="V4664">
        <v>33</v>
      </c>
      <c r="W4664">
        <v>2</v>
      </c>
      <c r="X4664">
        <v>2</v>
      </c>
      <c r="Z4664">
        <v>282.72</v>
      </c>
      <c r="AA4664">
        <v>40.860714</v>
      </c>
      <c r="AB4664">
        <v>-73.86795600000001</v>
      </c>
      <c r="AD4664" t="s">
        <v>10839</v>
      </c>
      <c r="AG4664" t="s">
        <v>10858</v>
      </c>
      <c r="AH4664" t="s">
        <v>10862</v>
      </c>
      <c r="AI4664">
        <v>230</v>
      </c>
      <c r="AJ4664" t="s">
        <v>10210</v>
      </c>
      <c r="AL4664">
        <v>1.25</v>
      </c>
      <c r="AM4664" t="s">
        <v>10885</v>
      </c>
      <c r="AN4664" t="s">
        <v>10907</v>
      </c>
      <c r="AO4664" t="s">
        <v>11002</v>
      </c>
      <c r="AP4664" t="s">
        <v>11056</v>
      </c>
      <c r="AR4664" t="s">
        <v>11262</v>
      </c>
      <c r="AS4664" t="s">
        <v>9926</v>
      </c>
      <c r="AT4664" t="s">
        <v>11641</v>
      </c>
      <c r="AX4664" t="s">
        <v>10838</v>
      </c>
      <c r="BA4664" t="s">
        <v>11738</v>
      </c>
      <c r="BB4664">
        <v>0</v>
      </c>
      <c r="BC4664">
        <v>0</v>
      </c>
      <c r="BD4664">
        <v>0</v>
      </c>
      <c r="BE4664">
        <v>0</v>
      </c>
      <c r="BF4664">
        <v>5</v>
      </c>
      <c r="BG4664">
        <v>0</v>
      </c>
    </row>
    <row r="4665" spans="1:59">
      <c r="A4665" s="1">
        <f>HYPERLINK("https://lsnyc.legalserver.org/matter/dynamic-profile/view/1908860","19-1908860")</f>
        <v>0</v>
      </c>
      <c r="B4665" t="s">
        <v>3760</v>
      </c>
      <c r="C4665" t="s">
        <v>8581</v>
      </c>
      <c r="D4665" t="s">
        <v>9959</v>
      </c>
      <c r="E4665" t="s">
        <v>10075</v>
      </c>
      <c r="F4665">
        <v>11356</v>
      </c>
      <c r="G4665" t="s">
        <v>10092</v>
      </c>
      <c r="H4665" t="s">
        <v>10160</v>
      </c>
      <c r="I4665" t="s">
        <v>10168</v>
      </c>
      <c r="J4665" t="s">
        <v>10212</v>
      </c>
      <c r="K4665" t="s">
        <v>10217</v>
      </c>
      <c r="M4665" t="s">
        <v>10318</v>
      </c>
      <c r="N4665" t="s">
        <v>10684</v>
      </c>
      <c r="P4665" t="s">
        <v>10751</v>
      </c>
      <c r="Q4665" t="s">
        <v>10786</v>
      </c>
      <c r="R4665" t="s">
        <v>10820</v>
      </c>
      <c r="T4665">
        <v>19800</v>
      </c>
      <c r="U4665">
        <v>1650</v>
      </c>
      <c r="V4665">
        <v>75</v>
      </c>
      <c r="W4665">
        <v>1</v>
      </c>
      <c r="X4665">
        <v>0</v>
      </c>
      <c r="Z4665">
        <v>158.53</v>
      </c>
      <c r="AA4665">
        <v>40.783074</v>
      </c>
      <c r="AB4665">
        <v>-73.84714200000001</v>
      </c>
      <c r="AC4665" t="s">
        <v>10838</v>
      </c>
      <c r="AD4665" t="s">
        <v>10839</v>
      </c>
      <c r="AG4665" t="s">
        <v>10858</v>
      </c>
      <c r="AH4665" t="s">
        <v>10861</v>
      </c>
      <c r="AI4665">
        <v>234</v>
      </c>
      <c r="AJ4665" t="s">
        <v>10214</v>
      </c>
      <c r="AL4665">
        <v>1</v>
      </c>
      <c r="AR4665" t="s">
        <v>11300</v>
      </c>
      <c r="AS4665" t="s">
        <v>11594</v>
      </c>
      <c r="AT4665" t="s">
        <v>11641</v>
      </c>
      <c r="AX4665" t="s">
        <v>10838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</row>
    <row r="4666" spans="1:59">
      <c r="A4666" s="1">
        <f>HYPERLINK("https://lsnyc.legalserver.org/matter/dynamic-profile/view/1908861","19-1908861")</f>
        <v>0</v>
      </c>
      <c r="B4666" t="s">
        <v>999</v>
      </c>
      <c r="C4666" t="s">
        <v>5875</v>
      </c>
      <c r="D4666" t="s">
        <v>9925</v>
      </c>
      <c r="E4666" t="s">
        <v>10075</v>
      </c>
      <c r="F4666">
        <v>10024</v>
      </c>
      <c r="G4666" t="s">
        <v>10089</v>
      </c>
      <c r="H4666" t="s">
        <v>10160</v>
      </c>
      <c r="I4666" t="s">
        <v>10168</v>
      </c>
      <c r="J4666" t="s">
        <v>10209</v>
      </c>
      <c r="K4666" t="s">
        <v>10217</v>
      </c>
      <c r="M4666" t="s">
        <v>10301</v>
      </c>
      <c r="N4666" t="s">
        <v>10665</v>
      </c>
      <c r="P4666" t="s">
        <v>10751</v>
      </c>
      <c r="Q4666" t="s">
        <v>10773</v>
      </c>
      <c r="R4666" t="s">
        <v>10822</v>
      </c>
      <c r="T4666">
        <v>0</v>
      </c>
      <c r="U4666">
        <v>0</v>
      </c>
      <c r="V4666">
        <v>67</v>
      </c>
      <c r="W4666">
        <v>1</v>
      </c>
      <c r="X4666">
        <v>0</v>
      </c>
      <c r="Z4666">
        <v>0</v>
      </c>
      <c r="AA4666">
        <v>40.784465</v>
      </c>
      <c r="AB4666">
        <v>-73.977746</v>
      </c>
      <c r="AD4666" t="s">
        <v>10839</v>
      </c>
      <c r="AG4666" t="s">
        <v>10858</v>
      </c>
      <c r="AH4666" t="s">
        <v>10876</v>
      </c>
      <c r="AI4666">
        <v>234</v>
      </c>
      <c r="AJ4666" t="s">
        <v>10214</v>
      </c>
      <c r="AL4666">
        <v>2.7</v>
      </c>
      <c r="AM4666" t="s">
        <v>10894</v>
      </c>
      <c r="AN4666" t="s">
        <v>10964</v>
      </c>
      <c r="AO4666" t="s">
        <v>11013</v>
      </c>
      <c r="AP4666" t="s">
        <v>11089</v>
      </c>
      <c r="AQ4666" t="s">
        <v>11115</v>
      </c>
      <c r="AR4666" t="s">
        <v>11267</v>
      </c>
      <c r="AS4666" t="s">
        <v>9925</v>
      </c>
      <c r="AT4666" t="s">
        <v>11641</v>
      </c>
      <c r="AX4666" t="s">
        <v>11678</v>
      </c>
      <c r="BA4666" t="s">
        <v>11741</v>
      </c>
      <c r="BB4666">
        <v>0</v>
      </c>
      <c r="BC4666">
        <v>0</v>
      </c>
      <c r="BD4666">
        <v>0</v>
      </c>
      <c r="BE4666">
        <v>0</v>
      </c>
      <c r="BF4666">
        <v>1</v>
      </c>
      <c r="BG4666">
        <v>0</v>
      </c>
    </row>
    <row r="4667" spans="1:59">
      <c r="A4667" s="1">
        <f>HYPERLINK("https://lsnyc.legalserver.org/matter/dynamic-profile/view/1908862","19-1908862")</f>
        <v>0</v>
      </c>
      <c r="B4667" t="s">
        <v>3757</v>
      </c>
      <c r="C4667" t="s">
        <v>7431</v>
      </c>
      <c r="D4667" t="s">
        <v>9926</v>
      </c>
      <c r="E4667" t="s">
        <v>10075</v>
      </c>
      <c r="F4667">
        <v>10468</v>
      </c>
      <c r="G4667" t="s">
        <v>10090</v>
      </c>
      <c r="H4667" t="s">
        <v>10160</v>
      </c>
      <c r="I4667" t="s">
        <v>10169</v>
      </c>
      <c r="J4667" t="s">
        <v>10210</v>
      </c>
      <c r="K4667" t="s">
        <v>10217</v>
      </c>
      <c r="M4667" t="s">
        <v>10279</v>
      </c>
      <c r="N4667" t="s">
        <v>10704</v>
      </c>
      <c r="P4667" t="s">
        <v>10751</v>
      </c>
      <c r="Q4667" t="s">
        <v>10761</v>
      </c>
      <c r="R4667" t="s">
        <v>10821</v>
      </c>
      <c r="T4667">
        <v>23400</v>
      </c>
      <c r="U4667">
        <v>1950</v>
      </c>
      <c r="V4667">
        <v>40</v>
      </c>
      <c r="W4667">
        <v>2</v>
      </c>
      <c r="X4667">
        <v>4</v>
      </c>
      <c r="Z4667">
        <v>67.65000000000001</v>
      </c>
      <c r="AA4667">
        <v>40.867054</v>
      </c>
      <c r="AB4667">
        <v>-73.89816</v>
      </c>
      <c r="AD4667" t="s">
        <v>10839</v>
      </c>
      <c r="AG4667" t="s">
        <v>10858</v>
      </c>
      <c r="AH4667" t="s">
        <v>10861</v>
      </c>
      <c r="AI4667">
        <v>230</v>
      </c>
      <c r="AJ4667" t="s">
        <v>10210</v>
      </c>
      <c r="AL4667">
        <v>0</v>
      </c>
      <c r="AR4667" t="s">
        <v>11262</v>
      </c>
      <c r="AS4667" t="s">
        <v>9926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</row>
    <row r="4668" spans="1:59">
      <c r="A4668" s="1">
        <f>HYPERLINK("https://lsnyc.legalserver.org/matter/dynamic-profile/view/1908863","19-1908863")</f>
        <v>0</v>
      </c>
      <c r="B4668" t="s">
        <v>1522</v>
      </c>
      <c r="C4668" t="s">
        <v>8265</v>
      </c>
      <c r="D4668" t="s">
        <v>9926</v>
      </c>
      <c r="E4668" t="s">
        <v>10075</v>
      </c>
      <c r="F4668">
        <v>10467</v>
      </c>
      <c r="G4668" t="s">
        <v>10090</v>
      </c>
      <c r="H4668" t="s">
        <v>10160</v>
      </c>
      <c r="I4668" t="s">
        <v>10169</v>
      </c>
      <c r="J4668" t="s">
        <v>10210</v>
      </c>
      <c r="K4668" t="s">
        <v>10217</v>
      </c>
      <c r="M4668" t="s">
        <v>10375</v>
      </c>
      <c r="N4668" t="s">
        <v>10671</v>
      </c>
      <c r="P4668" t="s">
        <v>10751</v>
      </c>
      <c r="Q4668" t="s">
        <v>10761</v>
      </c>
      <c r="R4668" t="s">
        <v>10821</v>
      </c>
      <c r="T4668">
        <v>15600</v>
      </c>
      <c r="U4668">
        <v>1300</v>
      </c>
      <c r="V4668">
        <v>35</v>
      </c>
      <c r="W4668">
        <v>1</v>
      </c>
      <c r="X4668">
        <v>4</v>
      </c>
      <c r="Z4668">
        <v>51.71</v>
      </c>
      <c r="AA4668">
        <v>40.87982</v>
      </c>
      <c r="AB4668">
        <v>-73.87667399999999</v>
      </c>
      <c r="AD4668" t="s">
        <v>10839</v>
      </c>
      <c r="AG4668" t="s">
        <v>10858</v>
      </c>
      <c r="AH4668" t="s">
        <v>10861</v>
      </c>
      <c r="AI4668">
        <v>230</v>
      </c>
      <c r="AJ4668" t="s">
        <v>10210</v>
      </c>
      <c r="AL4668">
        <v>8.5</v>
      </c>
      <c r="AM4668" t="s">
        <v>10887</v>
      </c>
      <c r="AN4668" t="s">
        <v>10919</v>
      </c>
      <c r="AO4668" t="s">
        <v>11010</v>
      </c>
      <c r="AP4668" t="s">
        <v>11057</v>
      </c>
      <c r="AR4668" t="s">
        <v>11257</v>
      </c>
      <c r="AS4668" t="s">
        <v>9926</v>
      </c>
      <c r="AT4668" t="s">
        <v>11641</v>
      </c>
      <c r="AX4668" t="s">
        <v>10838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</row>
    <row r="4669" spans="1:59">
      <c r="A4669" s="1">
        <f>HYPERLINK("https://lsnyc.legalserver.org/matter/dynamic-profile/view/1908864","19-1908864")</f>
        <v>0</v>
      </c>
      <c r="B4669" t="s">
        <v>3764</v>
      </c>
      <c r="C4669" t="s">
        <v>8585</v>
      </c>
      <c r="D4669" t="s">
        <v>9937</v>
      </c>
      <c r="E4669" t="s">
        <v>10075</v>
      </c>
      <c r="F4669">
        <v>11412</v>
      </c>
      <c r="G4669" t="s">
        <v>10092</v>
      </c>
      <c r="H4669" t="s">
        <v>10160</v>
      </c>
      <c r="I4669" t="s">
        <v>10168</v>
      </c>
      <c r="J4669" t="s">
        <v>10212</v>
      </c>
      <c r="K4669" t="s">
        <v>10217</v>
      </c>
      <c r="M4669" t="s">
        <v>10520</v>
      </c>
      <c r="N4669" t="s">
        <v>10678</v>
      </c>
      <c r="P4669" t="s">
        <v>10749</v>
      </c>
      <c r="Q4669" t="s">
        <v>10769</v>
      </c>
      <c r="R4669" t="s">
        <v>10824</v>
      </c>
      <c r="T4669">
        <v>75426</v>
      </c>
      <c r="U4669">
        <v>6285.5</v>
      </c>
      <c r="V4669">
        <v>59</v>
      </c>
      <c r="W4669">
        <v>3</v>
      </c>
      <c r="X4669">
        <v>0</v>
      </c>
      <c r="Z4669">
        <v>353.61</v>
      </c>
      <c r="AA4669">
        <v>40.707324</v>
      </c>
      <c r="AB4669">
        <v>-73.765355</v>
      </c>
      <c r="AD4669" t="s">
        <v>10840</v>
      </c>
      <c r="AF4669" t="s">
        <v>10843</v>
      </c>
      <c r="AG4669" t="s">
        <v>10859</v>
      </c>
      <c r="AH4669" t="s">
        <v>10871</v>
      </c>
      <c r="AI4669">
        <v>234</v>
      </c>
      <c r="AJ4669" t="s">
        <v>10214</v>
      </c>
      <c r="AL4669">
        <v>26.05</v>
      </c>
      <c r="AM4669" t="s">
        <v>10892</v>
      </c>
      <c r="AN4669" t="s">
        <v>10940</v>
      </c>
      <c r="AO4669" t="s">
        <v>11020</v>
      </c>
      <c r="AP4669" t="s">
        <v>11075</v>
      </c>
      <c r="AR4669" t="s">
        <v>11257</v>
      </c>
      <c r="AS4669" t="s">
        <v>11594</v>
      </c>
      <c r="AT4669" t="s">
        <v>11642</v>
      </c>
      <c r="AX4669" t="s">
        <v>10838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</row>
    <row r="4670" spans="1:59">
      <c r="A4670" s="1">
        <f>HYPERLINK("https://lsnyc.legalserver.org/matter/dynamic-profile/view/1908865","19-1908865")</f>
        <v>0</v>
      </c>
      <c r="B4670" t="s">
        <v>982</v>
      </c>
      <c r="C4670" t="s">
        <v>5859</v>
      </c>
      <c r="D4670" t="s">
        <v>9929</v>
      </c>
      <c r="E4670" t="s">
        <v>10075</v>
      </c>
      <c r="F4670">
        <v>10301</v>
      </c>
      <c r="G4670" t="s">
        <v>10088</v>
      </c>
      <c r="H4670" t="s">
        <v>10161</v>
      </c>
      <c r="I4670" t="s">
        <v>10168</v>
      </c>
      <c r="J4670" t="s">
        <v>10208</v>
      </c>
      <c r="K4670" t="s">
        <v>10217</v>
      </c>
      <c r="M4670" t="s">
        <v>10574</v>
      </c>
      <c r="N4670" t="s">
        <v>10652</v>
      </c>
      <c r="P4670" t="s">
        <v>10754</v>
      </c>
      <c r="Q4670" t="s">
        <v>10771</v>
      </c>
      <c r="R4670" t="s">
        <v>10822</v>
      </c>
      <c r="T4670">
        <v>4800</v>
      </c>
      <c r="U4670">
        <v>400</v>
      </c>
      <c r="V4670">
        <v>22</v>
      </c>
      <c r="W4670">
        <v>1</v>
      </c>
      <c r="X4670">
        <v>1</v>
      </c>
      <c r="Z4670">
        <v>28.39</v>
      </c>
      <c r="AA4670">
        <v>40.641463</v>
      </c>
      <c r="AB4670">
        <v>-74.087553</v>
      </c>
      <c r="AD4670" t="s">
        <v>10839</v>
      </c>
      <c r="AG4670" t="s">
        <v>10858</v>
      </c>
      <c r="AH4670" t="s">
        <v>10861</v>
      </c>
      <c r="AI4670">
        <v>285</v>
      </c>
      <c r="AJ4670" t="s">
        <v>10208</v>
      </c>
      <c r="AL4670">
        <v>4</v>
      </c>
      <c r="AM4670" t="s">
        <v>10883</v>
      </c>
      <c r="AN4670" t="s">
        <v>10913</v>
      </c>
      <c r="AO4670" t="s">
        <v>11006</v>
      </c>
      <c r="AP4670" t="s">
        <v>11051</v>
      </c>
      <c r="AR4670" t="s">
        <v>11257</v>
      </c>
      <c r="AS4670" t="s">
        <v>11593</v>
      </c>
      <c r="AT4670" t="s">
        <v>11641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</row>
    <row r="4671" spans="1:59">
      <c r="A4671" s="1">
        <f>HYPERLINK("https://lsnyc.legalserver.org/matter/dynamic-profile/view/1908866","19-1908866")</f>
        <v>0</v>
      </c>
      <c r="B4671" t="s">
        <v>3765</v>
      </c>
      <c r="C4671" t="s">
        <v>8586</v>
      </c>
      <c r="D4671" t="s">
        <v>9928</v>
      </c>
      <c r="E4671" t="s">
        <v>10075</v>
      </c>
      <c r="F4671">
        <v>11214</v>
      </c>
      <c r="G4671" t="s">
        <v>10093</v>
      </c>
      <c r="H4671" t="s">
        <v>10160</v>
      </c>
      <c r="I4671" t="s">
        <v>10168</v>
      </c>
      <c r="J4671" t="s">
        <v>10213</v>
      </c>
      <c r="K4671" t="s">
        <v>10217</v>
      </c>
      <c r="M4671" t="s">
        <v>10293</v>
      </c>
      <c r="N4671" t="s">
        <v>10644</v>
      </c>
      <c r="P4671" t="s">
        <v>10749</v>
      </c>
      <c r="Q4671" t="s">
        <v>10765</v>
      </c>
      <c r="R4671" t="s">
        <v>10820</v>
      </c>
      <c r="T4671">
        <v>26908</v>
      </c>
      <c r="U4671">
        <v>2242.33</v>
      </c>
      <c r="V4671">
        <v>64</v>
      </c>
      <c r="W4671">
        <v>2</v>
      </c>
      <c r="X4671">
        <v>0</v>
      </c>
      <c r="Z4671">
        <v>159.12</v>
      </c>
      <c r="AA4671">
        <v>40.602947</v>
      </c>
      <c r="AB4671">
        <v>-74.00040300000001</v>
      </c>
      <c r="AD4671" t="s">
        <v>10840</v>
      </c>
      <c r="AG4671" t="s">
        <v>10858</v>
      </c>
      <c r="AH4671" t="s">
        <v>10861</v>
      </c>
      <c r="AI4671">
        <v>234</v>
      </c>
      <c r="AJ4671" t="s">
        <v>10214</v>
      </c>
      <c r="AL4671">
        <v>2.55</v>
      </c>
      <c r="AM4671" t="s">
        <v>10883</v>
      </c>
      <c r="AN4671" t="s">
        <v>10969</v>
      </c>
      <c r="AO4671" t="s">
        <v>11006</v>
      </c>
      <c r="AP4671" t="s">
        <v>11087</v>
      </c>
      <c r="AR4671" t="s">
        <v>11444</v>
      </c>
      <c r="AS4671" t="s">
        <v>11595</v>
      </c>
      <c r="AT4671" t="s">
        <v>11642</v>
      </c>
      <c r="AX4671" t="s">
        <v>10838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</row>
    <row r="4672" spans="1:59">
      <c r="A4672" s="1">
        <f>HYPERLINK("https://lsnyc.legalserver.org/matter/dynamic-profile/view/1908867","19-1908867")</f>
        <v>0</v>
      </c>
      <c r="B4672" t="s">
        <v>527</v>
      </c>
      <c r="C4672" t="s">
        <v>6276</v>
      </c>
      <c r="D4672" t="s">
        <v>9926</v>
      </c>
      <c r="E4672" t="s">
        <v>10075</v>
      </c>
      <c r="F4672">
        <v>10467</v>
      </c>
      <c r="G4672" t="s">
        <v>10090</v>
      </c>
      <c r="H4672" t="s">
        <v>10160</v>
      </c>
      <c r="J4672" t="s">
        <v>10210</v>
      </c>
      <c r="K4672" t="s">
        <v>10217</v>
      </c>
      <c r="M4672" t="s">
        <v>10415</v>
      </c>
      <c r="N4672" t="s">
        <v>10646</v>
      </c>
      <c r="P4672" t="s">
        <v>10751</v>
      </c>
      <c r="Q4672" t="s">
        <v>10761</v>
      </c>
      <c r="R4672" t="s">
        <v>10821</v>
      </c>
      <c r="T4672">
        <v>72800</v>
      </c>
      <c r="U4672">
        <v>6066.67</v>
      </c>
      <c r="V4672">
        <v>33</v>
      </c>
      <c r="W4672">
        <v>2</v>
      </c>
      <c r="X4672">
        <v>2</v>
      </c>
      <c r="Z4672">
        <v>282.72</v>
      </c>
      <c r="AA4672">
        <v>40.860714</v>
      </c>
      <c r="AB4672">
        <v>-73.86795600000001</v>
      </c>
      <c r="AD4672" t="s">
        <v>10839</v>
      </c>
      <c r="AG4672" t="s">
        <v>10858</v>
      </c>
      <c r="AH4672" t="s">
        <v>10862</v>
      </c>
      <c r="AI4672">
        <v>230</v>
      </c>
      <c r="AJ4672" t="s">
        <v>10210</v>
      </c>
      <c r="AL4672">
        <v>0</v>
      </c>
      <c r="AM4672" t="s">
        <v>10885</v>
      </c>
      <c r="AN4672" t="s">
        <v>10907</v>
      </c>
      <c r="AO4672" t="s">
        <v>11002</v>
      </c>
      <c r="AP4672" t="s">
        <v>11056</v>
      </c>
      <c r="AR4672" t="s">
        <v>11262</v>
      </c>
      <c r="AS4672" t="s">
        <v>9926</v>
      </c>
      <c r="BA4672" t="s">
        <v>11738</v>
      </c>
      <c r="BB4672">
        <v>0</v>
      </c>
      <c r="BC4672">
        <v>0</v>
      </c>
      <c r="BD4672">
        <v>0</v>
      </c>
      <c r="BE4672">
        <v>0</v>
      </c>
      <c r="BF4672">
        <v>5</v>
      </c>
      <c r="BG4672">
        <v>0</v>
      </c>
    </row>
    <row r="4673" spans="1:59">
      <c r="A4673" s="1">
        <f>HYPERLINK("https://lsnyc.legalserver.org/matter/dynamic-profile/view/1908868","19-1908868")</f>
        <v>0</v>
      </c>
      <c r="B4673" t="s">
        <v>3766</v>
      </c>
      <c r="C4673" t="s">
        <v>6056</v>
      </c>
      <c r="D4673" t="s">
        <v>9925</v>
      </c>
      <c r="E4673" t="s">
        <v>10075</v>
      </c>
      <c r="F4673">
        <v>10027</v>
      </c>
      <c r="G4673" t="s">
        <v>10089</v>
      </c>
      <c r="H4673" t="s">
        <v>10160</v>
      </c>
      <c r="I4673" t="s">
        <v>10168</v>
      </c>
      <c r="J4673" t="s">
        <v>10209</v>
      </c>
      <c r="K4673" t="s">
        <v>10217</v>
      </c>
      <c r="M4673" t="s">
        <v>10575</v>
      </c>
      <c r="N4673" t="s">
        <v>10702</v>
      </c>
      <c r="P4673" t="s">
        <v>10749</v>
      </c>
      <c r="Q4673" t="s">
        <v>10765</v>
      </c>
      <c r="R4673" t="s">
        <v>10824</v>
      </c>
      <c r="T4673">
        <v>9600</v>
      </c>
      <c r="U4673">
        <v>800</v>
      </c>
      <c r="V4673">
        <v>47</v>
      </c>
      <c r="W4673">
        <v>1</v>
      </c>
      <c r="X4673">
        <v>0</v>
      </c>
      <c r="Z4673">
        <v>76.86</v>
      </c>
      <c r="AA4673">
        <v>40.807213</v>
      </c>
      <c r="AB4673">
        <v>-73.952662</v>
      </c>
      <c r="AD4673" t="s">
        <v>10840</v>
      </c>
      <c r="AG4673" t="s">
        <v>10858</v>
      </c>
      <c r="AH4673" t="s">
        <v>10862</v>
      </c>
      <c r="AI4673">
        <v>236</v>
      </c>
      <c r="AJ4673" t="s">
        <v>10209</v>
      </c>
      <c r="AL4673">
        <v>2.9</v>
      </c>
      <c r="AM4673" t="s">
        <v>10887</v>
      </c>
      <c r="AN4673" t="s">
        <v>10936</v>
      </c>
      <c r="AO4673" t="s">
        <v>11016</v>
      </c>
      <c r="AP4673" t="s">
        <v>11076</v>
      </c>
      <c r="AR4673" t="s">
        <v>11297</v>
      </c>
      <c r="AS4673" t="s">
        <v>9925</v>
      </c>
      <c r="BA4673" t="s">
        <v>11741</v>
      </c>
      <c r="BB4673">
        <v>0</v>
      </c>
      <c r="BC4673">
        <v>0</v>
      </c>
      <c r="BD4673">
        <v>0</v>
      </c>
      <c r="BE4673">
        <v>0</v>
      </c>
      <c r="BF4673">
        <v>1</v>
      </c>
      <c r="BG4673">
        <v>0</v>
      </c>
    </row>
    <row r="4674" spans="1:59">
      <c r="A4674" s="1">
        <f>HYPERLINK("https://lsnyc.legalserver.org/matter/dynamic-profile/view/1908869","19-1908869")</f>
        <v>0</v>
      </c>
      <c r="B4674" t="s">
        <v>3767</v>
      </c>
      <c r="C4674" t="s">
        <v>8587</v>
      </c>
      <c r="D4674" t="s">
        <v>9939</v>
      </c>
      <c r="E4674" t="s">
        <v>10075</v>
      </c>
      <c r="F4674">
        <v>11419</v>
      </c>
      <c r="G4674" t="s">
        <v>10092</v>
      </c>
      <c r="H4674" t="s">
        <v>10160</v>
      </c>
      <c r="I4674" t="s">
        <v>10168</v>
      </c>
      <c r="J4674" t="s">
        <v>10212</v>
      </c>
      <c r="K4674" t="s">
        <v>10217</v>
      </c>
      <c r="M4674" t="s">
        <v>10325</v>
      </c>
      <c r="N4674" t="s">
        <v>10671</v>
      </c>
      <c r="P4674" t="s">
        <v>10751</v>
      </c>
      <c r="Q4674" t="s">
        <v>10761</v>
      </c>
      <c r="R4674" t="s">
        <v>10827</v>
      </c>
      <c r="T4674">
        <v>6000</v>
      </c>
      <c r="U4674">
        <v>500</v>
      </c>
      <c r="V4674">
        <v>82</v>
      </c>
      <c r="W4674">
        <v>1</v>
      </c>
      <c r="X4674">
        <v>0</v>
      </c>
      <c r="Z4674">
        <v>48.04</v>
      </c>
      <c r="AA4674">
        <v>40.686422</v>
      </c>
      <c r="AB4674">
        <v>-73.829505</v>
      </c>
      <c r="AD4674" t="s">
        <v>10839</v>
      </c>
      <c r="AG4674" t="s">
        <v>10858</v>
      </c>
      <c r="AH4674" t="s">
        <v>10861</v>
      </c>
      <c r="AI4674">
        <v>234</v>
      </c>
      <c r="AJ4674" t="s">
        <v>10214</v>
      </c>
      <c r="AL4674">
        <v>2.35</v>
      </c>
      <c r="AM4674" t="s">
        <v>10892</v>
      </c>
      <c r="AN4674" t="s">
        <v>10945</v>
      </c>
      <c r="AO4674" t="s">
        <v>11017</v>
      </c>
      <c r="AP4674" t="s">
        <v>11070</v>
      </c>
      <c r="AR4674" t="s">
        <v>11253</v>
      </c>
      <c r="AS4674" t="s">
        <v>11594</v>
      </c>
      <c r="AT4674" t="s">
        <v>11641</v>
      </c>
      <c r="AX4674" t="s">
        <v>10838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</row>
    <row r="4675" spans="1:59">
      <c r="A4675" s="1">
        <f>HYPERLINK("https://lsnyc.legalserver.org/matter/dynamic-profile/view/1908870","19-1908870")</f>
        <v>0</v>
      </c>
      <c r="B4675" t="s">
        <v>3768</v>
      </c>
      <c r="C4675" t="s">
        <v>8588</v>
      </c>
      <c r="D4675" t="s">
        <v>9925</v>
      </c>
      <c r="E4675" t="s">
        <v>10075</v>
      </c>
      <c r="F4675">
        <v>10031</v>
      </c>
      <c r="G4675" t="s">
        <v>10089</v>
      </c>
      <c r="H4675" t="s">
        <v>10160</v>
      </c>
      <c r="I4675" t="s">
        <v>10168</v>
      </c>
      <c r="J4675" t="s">
        <v>10209</v>
      </c>
      <c r="K4675" t="s">
        <v>10217</v>
      </c>
      <c r="M4675" t="s">
        <v>10391</v>
      </c>
      <c r="N4675" t="s">
        <v>10702</v>
      </c>
      <c r="P4675" t="s">
        <v>10749</v>
      </c>
      <c r="Q4675" t="s">
        <v>10765</v>
      </c>
      <c r="R4675" t="s">
        <v>10824</v>
      </c>
      <c r="T4675">
        <v>0</v>
      </c>
      <c r="U4675">
        <v>0</v>
      </c>
      <c r="V4675">
        <v>33</v>
      </c>
      <c r="W4675">
        <v>1</v>
      </c>
      <c r="X4675">
        <v>0</v>
      </c>
      <c r="Z4675">
        <v>0</v>
      </c>
      <c r="AA4675">
        <v>40.8231</v>
      </c>
      <c r="AB4675">
        <v>-73.953869</v>
      </c>
      <c r="AD4675" t="s">
        <v>10840</v>
      </c>
      <c r="AG4675" t="s">
        <v>10858</v>
      </c>
      <c r="AH4675" t="s">
        <v>10862</v>
      </c>
      <c r="AI4675">
        <v>236</v>
      </c>
      <c r="AJ4675" t="s">
        <v>10209</v>
      </c>
      <c r="AL4675">
        <v>1.7</v>
      </c>
      <c r="AM4675" t="s">
        <v>10887</v>
      </c>
      <c r="AN4675" t="s">
        <v>10936</v>
      </c>
      <c r="AO4675" t="s">
        <v>11019</v>
      </c>
      <c r="AP4675" t="s">
        <v>11073</v>
      </c>
      <c r="AR4675" t="s">
        <v>11267</v>
      </c>
      <c r="AS4675" t="s">
        <v>9925</v>
      </c>
      <c r="BA4675" t="s">
        <v>11738</v>
      </c>
      <c r="BB4675">
        <v>0</v>
      </c>
      <c r="BC4675">
        <v>0</v>
      </c>
      <c r="BD4675">
        <v>0</v>
      </c>
      <c r="BE4675">
        <v>0</v>
      </c>
      <c r="BF4675">
        <v>5</v>
      </c>
      <c r="BG4675">
        <v>0</v>
      </c>
    </row>
    <row r="4676" spans="1:59">
      <c r="A4676" s="1">
        <f>HYPERLINK("https://lsnyc.legalserver.org/matter/dynamic-profile/view/1908872","19-1908872")</f>
        <v>0</v>
      </c>
      <c r="B4676" t="s">
        <v>3769</v>
      </c>
      <c r="C4676" t="s">
        <v>8589</v>
      </c>
      <c r="D4676" t="s">
        <v>9947</v>
      </c>
      <c r="E4676" t="s">
        <v>10075</v>
      </c>
      <c r="F4676">
        <v>11374</v>
      </c>
      <c r="G4676" t="s">
        <v>10092</v>
      </c>
      <c r="H4676" t="s">
        <v>10160</v>
      </c>
      <c r="I4676" t="s">
        <v>10168</v>
      </c>
      <c r="J4676" t="s">
        <v>10212</v>
      </c>
      <c r="K4676" t="s">
        <v>10217</v>
      </c>
      <c r="M4676" t="s">
        <v>10295</v>
      </c>
      <c r="N4676" t="s">
        <v>10674</v>
      </c>
      <c r="P4676" t="s">
        <v>10754</v>
      </c>
      <c r="Q4676" t="s">
        <v>10770</v>
      </c>
      <c r="R4676" t="s">
        <v>10827</v>
      </c>
      <c r="T4676">
        <v>0</v>
      </c>
      <c r="U4676">
        <v>0</v>
      </c>
      <c r="V4676">
        <v>44</v>
      </c>
      <c r="W4676">
        <v>2</v>
      </c>
      <c r="X4676">
        <v>1</v>
      </c>
      <c r="Z4676">
        <v>0</v>
      </c>
      <c r="AA4676">
        <v>40.727143</v>
      </c>
      <c r="AB4676">
        <v>-73.860789</v>
      </c>
      <c r="AD4676" t="s">
        <v>10839</v>
      </c>
      <c r="AF4676" t="s">
        <v>10843</v>
      </c>
      <c r="AG4676" t="s">
        <v>10859</v>
      </c>
      <c r="AH4676" t="s">
        <v>10865</v>
      </c>
      <c r="AI4676">
        <v>237</v>
      </c>
      <c r="AJ4676" t="s">
        <v>10212</v>
      </c>
      <c r="AL4676">
        <v>1.95</v>
      </c>
      <c r="AR4676" t="s">
        <v>11267</v>
      </c>
      <c r="AS4676" t="s">
        <v>11594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</row>
    <row r="4677" spans="1:59">
      <c r="A4677" s="1">
        <f>HYPERLINK("https://lsnyc.legalserver.org/matter/dynamic-profile/view/1908873","19-1908873")</f>
        <v>0</v>
      </c>
      <c r="B4677" t="s">
        <v>3770</v>
      </c>
      <c r="C4677" t="s">
        <v>8590</v>
      </c>
      <c r="D4677" t="s">
        <v>9925</v>
      </c>
      <c r="E4677" t="s">
        <v>10075</v>
      </c>
      <c r="F4677">
        <v>10011</v>
      </c>
      <c r="G4677" t="s">
        <v>10089</v>
      </c>
      <c r="H4677" t="s">
        <v>10160</v>
      </c>
      <c r="J4677" t="s">
        <v>10209</v>
      </c>
      <c r="K4677" t="s">
        <v>10217</v>
      </c>
      <c r="M4677" t="s">
        <v>10544</v>
      </c>
      <c r="N4677" t="s">
        <v>10706</v>
      </c>
      <c r="P4677" t="s">
        <v>10751</v>
      </c>
      <c r="Q4677" t="s">
        <v>10780</v>
      </c>
      <c r="R4677" t="s">
        <v>10820</v>
      </c>
      <c r="T4677">
        <v>2366</v>
      </c>
      <c r="U4677">
        <v>197.17</v>
      </c>
      <c r="V4677">
        <v>32</v>
      </c>
      <c r="W4677">
        <v>1</v>
      </c>
      <c r="X4677">
        <v>0</v>
      </c>
      <c r="Z4677">
        <v>18.94</v>
      </c>
      <c r="AA4677">
        <v>40.743026</v>
      </c>
      <c r="AB4677">
        <v>-74.00315999999999</v>
      </c>
      <c r="AD4677" t="s">
        <v>10840</v>
      </c>
      <c r="AG4677" t="s">
        <v>10858</v>
      </c>
      <c r="AH4677" t="s">
        <v>10868</v>
      </c>
      <c r="AI4677">
        <v>237</v>
      </c>
      <c r="AJ4677" t="s">
        <v>10212</v>
      </c>
      <c r="AL4677">
        <v>12.9</v>
      </c>
      <c r="AM4677" t="s">
        <v>10894</v>
      </c>
      <c r="AN4677" t="s">
        <v>10966</v>
      </c>
      <c r="AO4677" t="s">
        <v>11021</v>
      </c>
      <c r="AP4677" t="s">
        <v>11090</v>
      </c>
      <c r="AR4677" t="s">
        <v>11255</v>
      </c>
      <c r="AS4677" t="s">
        <v>9925</v>
      </c>
      <c r="AT4677" t="s">
        <v>11642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</row>
    <row r="4678" spans="1:59">
      <c r="A4678" s="1">
        <f>HYPERLINK("https://lsnyc.legalserver.org/matter/dynamic-profile/view/1908874","19-1908874")</f>
        <v>0</v>
      </c>
      <c r="B4678" t="s">
        <v>3771</v>
      </c>
      <c r="C4678" t="s">
        <v>8591</v>
      </c>
      <c r="D4678" t="s">
        <v>9928</v>
      </c>
      <c r="E4678" t="s">
        <v>10075</v>
      </c>
      <c r="F4678">
        <v>11210</v>
      </c>
      <c r="G4678" t="s">
        <v>10093</v>
      </c>
      <c r="H4678" t="s">
        <v>10160</v>
      </c>
      <c r="J4678" t="s">
        <v>10213</v>
      </c>
      <c r="K4678" t="s">
        <v>10218</v>
      </c>
      <c r="L4678" t="s">
        <v>10116</v>
      </c>
      <c r="M4678" t="s">
        <v>10457</v>
      </c>
      <c r="N4678" t="s">
        <v>10706</v>
      </c>
      <c r="P4678" t="s">
        <v>10753</v>
      </c>
      <c r="Q4678" t="s">
        <v>10763</v>
      </c>
      <c r="R4678" t="s">
        <v>10824</v>
      </c>
      <c r="T4678">
        <v>30000</v>
      </c>
      <c r="U4678">
        <v>2500</v>
      </c>
      <c r="V4678">
        <v>33</v>
      </c>
      <c r="W4678">
        <v>1</v>
      </c>
      <c r="X4678">
        <v>0</v>
      </c>
      <c r="Y4678" t="s">
        <v>10829</v>
      </c>
      <c r="Z4678">
        <v>240.19</v>
      </c>
      <c r="AA4678">
        <v>40.633243</v>
      </c>
      <c r="AB4678">
        <v>-73.95032</v>
      </c>
      <c r="AD4678" t="s">
        <v>10841</v>
      </c>
      <c r="AF4678" t="s">
        <v>10856</v>
      </c>
      <c r="AG4678" t="s">
        <v>10859</v>
      </c>
      <c r="AH4678" t="s">
        <v>10868</v>
      </c>
      <c r="AI4678">
        <v>237</v>
      </c>
      <c r="AJ4678" t="s">
        <v>10212</v>
      </c>
      <c r="AK4678" t="s">
        <v>10838</v>
      </c>
      <c r="AL4678">
        <v>1</v>
      </c>
      <c r="AM4678" t="s">
        <v>10888</v>
      </c>
      <c r="AN4678" t="s">
        <v>10932</v>
      </c>
      <c r="AO4678" t="s">
        <v>11008</v>
      </c>
      <c r="AP4678" t="s">
        <v>11065</v>
      </c>
      <c r="AR4678" t="s">
        <v>11257</v>
      </c>
      <c r="AS4678" t="s">
        <v>11595</v>
      </c>
      <c r="AT4678" t="s">
        <v>10841</v>
      </c>
      <c r="AV4678" t="s">
        <v>11662</v>
      </c>
      <c r="AY4678" t="s">
        <v>10829</v>
      </c>
      <c r="AZ4678" t="s">
        <v>11709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</row>
    <row r="4679" spans="1:59">
      <c r="A4679" s="1">
        <f>HYPERLINK("https://lsnyc.legalserver.org/matter/dynamic-profile/view/1908875","19-1908875")</f>
        <v>0</v>
      </c>
      <c r="B4679" t="s">
        <v>3772</v>
      </c>
      <c r="C4679" t="s">
        <v>8592</v>
      </c>
      <c r="D4679" t="s">
        <v>9977</v>
      </c>
      <c r="E4679" t="s">
        <v>10075</v>
      </c>
      <c r="F4679">
        <v>11361</v>
      </c>
      <c r="G4679" t="s">
        <v>10093</v>
      </c>
      <c r="H4679" t="s">
        <v>10100</v>
      </c>
      <c r="I4679" t="s">
        <v>10168</v>
      </c>
      <c r="J4679" t="s">
        <v>10213</v>
      </c>
      <c r="K4679" t="s">
        <v>10217</v>
      </c>
      <c r="M4679" t="s">
        <v>10378</v>
      </c>
      <c r="N4679" t="s">
        <v>10662</v>
      </c>
      <c r="P4679" t="s">
        <v>10754</v>
      </c>
      <c r="Q4679" t="s">
        <v>10784</v>
      </c>
      <c r="R4679" t="s">
        <v>10820</v>
      </c>
      <c r="T4679">
        <v>16380</v>
      </c>
      <c r="U4679">
        <v>1365</v>
      </c>
      <c r="V4679">
        <v>25</v>
      </c>
      <c r="W4679">
        <v>1</v>
      </c>
      <c r="X4679">
        <v>0</v>
      </c>
      <c r="Z4679">
        <v>131.14</v>
      </c>
      <c r="AA4679">
        <v>40.756001</v>
      </c>
      <c r="AB4679">
        <v>-73.774901</v>
      </c>
      <c r="AD4679" t="s">
        <v>10839</v>
      </c>
      <c r="AG4679" t="s">
        <v>10858</v>
      </c>
      <c r="AH4679" t="s">
        <v>10868</v>
      </c>
      <c r="AI4679">
        <v>239</v>
      </c>
      <c r="AJ4679" t="s">
        <v>10213</v>
      </c>
      <c r="AL4679">
        <v>1.1</v>
      </c>
      <c r="AM4679" t="s">
        <v>10890</v>
      </c>
      <c r="AN4679" t="s">
        <v>10934</v>
      </c>
      <c r="AO4679" t="s">
        <v>11022</v>
      </c>
      <c r="AP4679" t="s">
        <v>11080</v>
      </c>
      <c r="AQ4679" t="s">
        <v>11117</v>
      </c>
      <c r="AR4679" t="s">
        <v>11293</v>
      </c>
      <c r="AS4679" t="s">
        <v>11594</v>
      </c>
      <c r="AT4679" t="s">
        <v>11641</v>
      </c>
      <c r="AU4679" t="s">
        <v>11651</v>
      </c>
      <c r="AX4679" t="s">
        <v>10837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</row>
    <row r="4680" spans="1:59">
      <c r="A4680" s="1">
        <f>HYPERLINK("https://lsnyc.legalserver.org/matter/dynamic-profile/view/1908876","19-1908876")</f>
        <v>0</v>
      </c>
      <c r="B4680" t="s">
        <v>3773</v>
      </c>
      <c r="C4680" t="s">
        <v>8593</v>
      </c>
      <c r="D4680" t="s">
        <v>9945</v>
      </c>
      <c r="E4680" t="s">
        <v>10075</v>
      </c>
      <c r="F4680">
        <v>11422</v>
      </c>
      <c r="G4680" t="s">
        <v>10092</v>
      </c>
      <c r="H4680" t="s">
        <v>10160</v>
      </c>
      <c r="I4680" t="s">
        <v>10168</v>
      </c>
      <c r="J4680" t="s">
        <v>10212</v>
      </c>
      <c r="K4680" t="s">
        <v>10217</v>
      </c>
      <c r="M4680" t="s">
        <v>10422</v>
      </c>
      <c r="N4680" t="s">
        <v>10673</v>
      </c>
      <c r="P4680" t="s">
        <v>10753</v>
      </c>
      <c r="Q4680" t="s">
        <v>10763</v>
      </c>
      <c r="R4680" t="s">
        <v>10824</v>
      </c>
      <c r="T4680">
        <v>3600</v>
      </c>
      <c r="U4680">
        <v>300</v>
      </c>
      <c r="V4680">
        <v>42</v>
      </c>
      <c r="W4680">
        <v>1</v>
      </c>
      <c r="X4680">
        <v>1</v>
      </c>
      <c r="Z4680">
        <v>21.29</v>
      </c>
      <c r="AA4680">
        <v>40.655916</v>
      </c>
      <c r="AB4680">
        <v>-73.73082599999999</v>
      </c>
      <c r="AD4680" t="s">
        <v>10839</v>
      </c>
      <c r="AF4680" t="s">
        <v>10842</v>
      </c>
      <c r="AG4680" t="s">
        <v>10859</v>
      </c>
      <c r="AH4680" t="s">
        <v>10864</v>
      </c>
      <c r="AI4680">
        <v>237</v>
      </c>
      <c r="AJ4680" t="s">
        <v>10212</v>
      </c>
      <c r="AL4680">
        <v>4</v>
      </c>
      <c r="AM4680" t="s">
        <v>10892</v>
      </c>
      <c r="AN4680" t="s">
        <v>10955</v>
      </c>
      <c r="AO4680" t="s">
        <v>11017</v>
      </c>
      <c r="AP4680" t="s">
        <v>11082</v>
      </c>
      <c r="AQ4680" t="s">
        <v>11140</v>
      </c>
      <c r="AR4680" t="s">
        <v>11257</v>
      </c>
      <c r="AS4680" t="s">
        <v>11594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</row>
    <row r="4681" spans="1:59">
      <c r="A4681" s="1">
        <f>HYPERLINK("https://lsnyc.legalserver.org/matter/dynamic-profile/view/1908877","19-1908877")</f>
        <v>0</v>
      </c>
      <c r="B4681" t="s">
        <v>3774</v>
      </c>
      <c r="C4681" t="s">
        <v>8594</v>
      </c>
      <c r="D4681" t="s">
        <v>9928</v>
      </c>
      <c r="E4681" t="s">
        <v>10075</v>
      </c>
      <c r="F4681">
        <v>11205</v>
      </c>
      <c r="G4681" t="s">
        <v>10093</v>
      </c>
      <c r="H4681" t="s">
        <v>10160</v>
      </c>
      <c r="J4681" t="s">
        <v>10213</v>
      </c>
      <c r="K4681" t="s">
        <v>10218</v>
      </c>
      <c r="L4681" t="s">
        <v>10166</v>
      </c>
      <c r="M4681" t="s">
        <v>10309</v>
      </c>
      <c r="N4681" t="s">
        <v>10662</v>
      </c>
      <c r="P4681" t="s">
        <v>10754</v>
      </c>
      <c r="Q4681" t="s">
        <v>10775</v>
      </c>
      <c r="R4681" t="s">
        <v>10820</v>
      </c>
      <c r="T4681">
        <v>12000</v>
      </c>
      <c r="U4681">
        <v>1000</v>
      </c>
      <c r="V4681">
        <v>28</v>
      </c>
      <c r="W4681">
        <v>1</v>
      </c>
      <c r="X4681">
        <v>0</v>
      </c>
      <c r="Y4681" t="s">
        <v>10829</v>
      </c>
      <c r="Z4681">
        <v>96.08</v>
      </c>
      <c r="AA4681">
        <v>40.695228</v>
      </c>
      <c r="AB4681">
        <v>-73.963145</v>
      </c>
      <c r="AD4681" t="s">
        <v>10840</v>
      </c>
      <c r="AG4681" t="s">
        <v>10858</v>
      </c>
      <c r="AH4681" t="s">
        <v>10868</v>
      </c>
      <c r="AI4681">
        <v>237</v>
      </c>
      <c r="AJ4681" t="s">
        <v>10212</v>
      </c>
      <c r="AK4681" t="s">
        <v>10837</v>
      </c>
      <c r="AL4681">
        <v>1.35</v>
      </c>
      <c r="AM4681" t="s">
        <v>10886</v>
      </c>
      <c r="AN4681" t="s">
        <v>10939</v>
      </c>
      <c r="AO4681" t="s">
        <v>11007</v>
      </c>
      <c r="AP4681" t="s">
        <v>11061</v>
      </c>
      <c r="AR4681" t="s">
        <v>11257</v>
      </c>
      <c r="AS4681" t="s">
        <v>11595</v>
      </c>
      <c r="AT4681" t="s">
        <v>11642</v>
      </c>
      <c r="AX4681" t="s">
        <v>10837</v>
      </c>
      <c r="AY4681" t="s">
        <v>10829</v>
      </c>
      <c r="AZ4681" t="s">
        <v>11683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</row>
    <row r="4682" spans="1:59">
      <c r="A4682" s="1">
        <f>HYPERLINK("https://lsnyc.legalserver.org/matter/dynamic-profile/view/1908878","19-1908878")</f>
        <v>0</v>
      </c>
      <c r="B4682" t="s">
        <v>3775</v>
      </c>
      <c r="C4682" t="s">
        <v>8595</v>
      </c>
      <c r="D4682" t="s">
        <v>9925</v>
      </c>
      <c r="E4682" t="s">
        <v>10075</v>
      </c>
      <c r="F4682">
        <v>10040</v>
      </c>
      <c r="G4682" t="s">
        <v>10089</v>
      </c>
      <c r="H4682" t="s">
        <v>10160</v>
      </c>
      <c r="J4682" t="s">
        <v>10209</v>
      </c>
      <c r="K4682" t="s">
        <v>10217</v>
      </c>
      <c r="M4682" t="s">
        <v>10402</v>
      </c>
      <c r="N4682" t="s">
        <v>10707</v>
      </c>
      <c r="O4682" t="s">
        <v>10707</v>
      </c>
      <c r="P4682" t="s">
        <v>10756</v>
      </c>
      <c r="Q4682" t="s">
        <v>10802</v>
      </c>
      <c r="R4682" t="s">
        <v>10825</v>
      </c>
      <c r="T4682">
        <v>14000</v>
      </c>
      <c r="U4682">
        <v>1166.67</v>
      </c>
      <c r="V4682">
        <v>47</v>
      </c>
      <c r="W4682">
        <v>1</v>
      </c>
      <c r="X4682">
        <v>0</v>
      </c>
      <c r="Z4682">
        <v>112.09</v>
      </c>
      <c r="AA4682">
        <v>40.86122</v>
      </c>
      <c r="AB4682">
        <v>-73.929416</v>
      </c>
      <c r="AD4682" t="s">
        <v>10839</v>
      </c>
      <c r="AG4682" t="s">
        <v>10858</v>
      </c>
      <c r="AH4682" t="s">
        <v>10868</v>
      </c>
      <c r="AI4682">
        <v>237</v>
      </c>
      <c r="AJ4682" t="s">
        <v>10212</v>
      </c>
      <c r="AL4682">
        <v>9</v>
      </c>
      <c r="AM4682" t="s">
        <v>10887</v>
      </c>
      <c r="AN4682" t="s">
        <v>10937</v>
      </c>
      <c r="AO4682" t="s">
        <v>11019</v>
      </c>
      <c r="AP4682" t="s">
        <v>11074</v>
      </c>
      <c r="AR4682" t="s">
        <v>11321</v>
      </c>
      <c r="AS4682" t="s">
        <v>9925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</row>
    <row r="4683" spans="1:59">
      <c r="A4683" s="1">
        <f>HYPERLINK("https://lsnyc.legalserver.org/matter/dynamic-profile/view/1908880","19-1908880")</f>
        <v>0</v>
      </c>
      <c r="B4683" t="s">
        <v>3776</v>
      </c>
      <c r="C4683" t="s">
        <v>8596</v>
      </c>
      <c r="D4683" t="s">
        <v>9928</v>
      </c>
      <c r="E4683" t="s">
        <v>10075</v>
      </c>
      <c r="F4683">
        <v>11220</v>
      </c>
      <c r="G4683" t="s">
        <v>10093</v>
      </c>
      <c r="H4683" t="s">
        <v>10100</v>
      </c>
      <c r="I4683" t="s">
        <v>10169</v>
      </c>
      <c r="J4683" t="s">
        <v>10213</v>
      </c>
      <c r="K4683" t="s">
        <v>10217</v>
      </c>
      <c r="M4683" t="s">
        <v>10293</v>
      </c>
      <c r="N4683" t="s">
        <v>10657</v>
      </c>
      <c r="P4683" t="s">
        <v>10757</v>
      </c>
      <c r="Q4683" t="s">
        <v>10789</v>
      </c>
      <c r="R4683" t="s">
        <v>10823</v>
      </c>
      <c r="T4683">
        <v>12000</v>
      </c>
      <c r="U4683">
        <v>1000</v>
      </c>
      <c r="V4683">
        <v>66</v>
      </c>
      <c r="W4683">
        <v>2</v>
      </c>
      <c r="X4683">
        <v>0</v>
      </c>
      <c r="Z4683">
        <v>70.95999999999999</v>
      </c>
      <c r="AA4683">
        <v>40.646846</v>
      </c>
      <c r="AB4683">
        <v>-74.010625</v>
      </c>
      <c r="AD4683" t="s">
        <v>10839</v>
      </c>
      <c r="AG4683" t="s">
        <v>10858</v>
      </c>
      <c r="AH4683" t="s">
        <v>10869</v>
      </c>
      <c r="AI4683">
        <v>239</v>
      </c>
      <c r="AJ4683" t="s">
        <v>10213</v>
      </c>
      <c r="AL4683">
        <v>1</v>
      </c>
      <c r="AM4683" t="s">
        <v>10886</v>
      </c>
      <c r="AN4683" t="s">
        <v>10921</v>
      </c>
      <c r="AO4683" t="s">
        <v>11005</v>
      </c>
      <c r="AP4683" t="s">
        <v>11069</v>
      </c>
      <c r="AQ4683" t="s">
        <v>11121</v>
      </c>
      <c r="AR4683" t="s">
        <v>11257</v>
      </c>
      <c r="AS4683" t="s">
        <v>11595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</row>
    <row r="4684" spans="1:59">
      <c r="A4684" s="1">
        <f>HYPERLINK("https://lsnyc.legalserver.org/matter/dynamic-profile/view/1908881","19-1908881")</f>
        <v>0</v>
      </c>
      <c r="B4684" t="s">
        <v>3777</v>
      </c>
      <c r="C4684" t="s">
        <v>8597</v>
      </c>
      <c r="D4684" t="s">
        <v>9926</v>
      </c>
      <c r="E4684" t="s">
        <v>10075</v>
      </c>
      <c r="F4684">
        <v>10459</v>
      </c>
      <c r="G4684" t="s">
        <v>10090</v>
      </c>
      <c r="H4684" t="s">
        <v>10100</v>
      </c>
      <c r="I4684" t="s">
        <v>10168</v>
      </c>
      <c r="J4684" t="s">
        <v>10210</v>
      </c>
      <c r="K4684" t="s">
        <v>10217</v>
      </c>
      <c r="M4684" t="s">
        <v>10415</v>
      </c>
      <c r="N4684" t="s">
        <v>10666</v>
      </c>
      <c r="P4684" t="s">
        <v>10749</v>
      </c>
      <c r="Q4684" t="s">
        <v>10765</v>
      </c>
      <c r="R4684" t="s">
        <v>10821</v>
      </c>
      <c r="T4684">
        <v>7944</v>
      </c>
      <c r="U4684">
        <v>662</v>
      </c>
      <c r="V4684">
        <v>32</v>
      </c>
      <c r="W4684">
        <v>2</v>
      </c>
      <c r="X4684">
        <v>1</v>
      </c>
      <c r="Z4684">
        <v>37.24</v>
      </c>
      <c r="AA4684">
        <v>40.831566</v>
      </c>
      <c r="AB4684">
        <v>-73.891476</v>
      </c>
      <c r="AD4684" t="s">
        <v>10839</v>
      </c>
      <c r="AG4684" t="s">
        <v>10858</v>
      </c>
      <c r="AH4684" t="s">
        <v>10861</v>
      </c>
      <c r="AI4684">
        <v>230</v>
      </c>
      <c r="AJ4684" t="s">
        <v>10210</v>
      </c>
      <c r="AL4684">
        <v>16</v>
      </c>
      <c r="AM4684" t="s">
        <v>10884</v>
      </c>
      <c r="AN4684" t="s">
        <v>10918</v>
      </c>
      <c r="AO4684" t="s">
        <v>11001</v>
      </c>
      <c r="AP4684" t="s">
        <v>11062</v>
      </c>
      <c r="AR4684" t="s">
        <v>11274</v>
      </c>
      <c r="AS4684" t="s">
        <v>9926</v>
      </c>
      <c r="AT4684" t="s">
        <v>11641</v>
      </c>
      <c r="AX4684" t="s">
        <v>10838</v>
      </c>
      <c r="BA4684" t="s">
        <v>11738</v>
      </c>
      <c r="BB4684">
        <v>0</v>
      </c>
      <c r="BC4684">
        <v>0</v>
      </c>
      <c r="BD4684">
        <v>0</v>
      </c>
      <c r="BE4684">
        <v>0</v>
      </c>
      <c r="BF4684">
        <v>5</v>
      </c>
      <c r="BG4684">
        <v>0</v>
      </c>
    </row>
    <row r="4685" spans="1:59">
      <c r="A4685" s="1">
        <f>HYPERLINK("https://lsnyc.legalserver.org/matter/dynamic-profile/view/1908882","19-1908882")</f>
        <v>0</v>
      </c>
      <c r="B4685" t="s">
        <v>3777</v>
      </c>
      <c r="C4685" t="s">
        <v>8597</v>
      </c>
      <c r="D4685" t="s">
        <v>9926</v>
      </c>
      <c r="E4685" t="s">
        <v>10075</v>
      </c>
      <c r="F4685">
        <v>10459</v>
      </c>
      <c r="G4685" t="s">
        <v>10090</v>
      </c>
      <c r="H4685" t="s">
        <v>10100</v>
      </c>
      <c r="I4685" t="s">
        <v>10168</v>
      </c>
      <c r="J4685" t="s">
        <v>10210</v>
      </c>
      <c r="K4685" t="s">
        <v>10217</v>
      </c>
      <c r="M4685" t="s">
        <v>10346</v>
      </c>
      <c r="N4685" t="s">
        <v>10688</v>
      </c>
      <c r="P4685" t="s">
        <v>10751</v>
      </c>
      <c r="Q4685" t="s">
        <v>10761</v>
      </c>
      <c r="R4685" t="s">
        <v>10821</v>
      </c>
      <c r="T4685">
        <v>7944</v>
      </c>
      <c r="U4685">
        <v>662</v>
      </c>
      <c r="V4685">
        <v>32</v>
      </c>
      <c r="W4685">
        <v>2</v>
      </c>
      <c r="X4685">
        <v>1</v>
      </c>
      <c r="Z4685">
        <v>37.24</v>
      </c>
      <c r="AA4685">
        <v>40.831566</v>
      </c>
      <c r="AB4685">
        <v>-73.891476</v>
      </c>
      <c r="AD4685" t="s">
        <v>10839</v>
      </c>
      <c r="AG4685" t="s">
        <v>10858</v>
      </c>
      <c r="AH4685" t="s">
        <v>10861</v>
      </c>
      <c r="AI4685">
        <v>230</v>
      </c>
      <c r="AJ4685" t="s">
        <v>10210</v>
      </c>
      <c r="AL4685">
        <v>5.75</v>
      </c>
      <c r="AR4685" t="s">
        <v>11274</v>
      </c>
      <c r="AS4685" t="s">
        <v>9926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</row>
    <row r="4686" spans="1:59">
      <c r="A4686" s="1">
        <f>HYPERLINK("https://lsnyc.legalserver.org/matter/dynamic-profile/view/1908883","19-1908883")</f>
        <v>0</v>
      </c>
      <c r="B4686" t="s">
        <v>3778</v>
      </c>
      <c r="C4686" t="s">
        <v>8598</v>
      </c>
      <c r="D4686" t="s">
        <v>9926</v>
      </c>
      <c r="E4686" t="s">
        <v>10075</v>
      </c>
      <c r="F4686">
        <v>10470</v>
      </c>
      <c r="G4686" t="s">
        <v>10089</v>
      </c>
      <c r="H4686" t="s">
        <v>10100</v>
      </c>
      <c r="I4686" t="s">
        <v>10168</v>
      </c>
      <c r="J4686" t="s">
        <v>10209</v>
      </c>
      <c r="K4686" t="s">
        <v>10217</v>
      </c>
      <c r="M4686" t="s">
        <v>10442</v>
      </c>
      <c r="N4686" t="s">
        <v>10650</v>
      </c>
      <c r="P4686" t="s">
        <v>10749</v>
      </c>
      <c r="Q4686" t="s">
        <v>10765</v>
      </c>
      <c r="R4686" t="s">
        <v>10824</v>
      </c>
      <c r="T4686">
        <v>23400</v>
      </c>
      <c r="U4686">
        <v>1950</v>
      </c>
      <c r="V4686">
        <v>50</v>
      </c>
      <c r="W4686">
        <v>1</v>
      </c>
      <c r="X4686">
        <v>0</v>
      </c>
      <c r="Z4686">
        <v>187.35</v>
      </c>
      <c r="AA4686">
        <v>40.903787</v>
      </c>
      <c r="AB4686">
        <v>-73.85028699999999</v>
      </c>
      <c r="AD4686" t="s">
        <v>10839</v>
      </c>
      <c r="AG4686" t="s">
        <v>10858</v>
      </c>
      <c r="AH4686" t="s">
        <v>10861</v>
      </c>
      <c r="AI4686">
        <v>234</v>
      </c>
      <c r="AJ4686" t="s">
        <v>10214</v>
      </c>
      <c r="AL4686">
        <v>0.7</v>
      </c>
      <c r="AM4686" t="s">
        <v>10893</v>
      </c>
      <c r="AN4686" t="s">
        <v>10919</v>
      </c>
      <c r="AO4686" t="s">
        <v>11010</v>
      </c>
      <c r="AP4686" t="s">
        <v>11057</v>
      </c>
      <c r="AR4686" t="s">
        <v>11293</v>
      </c>
      <c r="AS4686" t="s">
        <v>9926</v>
      </c>
      <c r="AT4686" t="s">
        <v>11641</v>
      </c>
      <c r="AX4686" t="s">
        <v>10838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</row>
    <row r="4687" spans="1:59">
      <c r="A4687" s="1">
        <f>HYPERLINK("https://lsnyc.legalserver.org/matter/dynamic-profile/view/1908884","19-1908884")</f>
        <v>0</v>
      </c>
      <c r="B4687" t="s">
        <v>3779</v>
      </c>
      <c r="C4687" t="s">
        <v>8599</v>
      </c>
      <c r="D4687" t="s">
        <v>9926</v>
      </c>
      <c r="E4687" t="s">
        <v>10075</v>
      </c>
      <c r="F4687">
        <v>10455</v>
      </c>
      <c r="G4687" t="s">
        <v>10090</v>
      </c>
      <c r="H4687" t="s">
        <v>10100</v>
      </c>
      <c r="I4687" t="s">
        <v>10170</v>
      </c>
      <c r="J4687" t="s">
        <v>10210</v>
      </c>
      <c r="K4687" t="s">
        <v>10217</v>
      </c>
      <c r="M4687" t="s">
        <v>10412</v>
      </c>
      <c r="N4687" t="s">
        <v>10673</v>
      </c>
      <c r="P4687" t="s">
        <v>10753</v>
      </c>
      <c r="Q4687" t="s">
        <v>10763</v>
      </c>
      <c r="R4687" t="s">
        <v>10824</v>
      </c>
      <c r="T4687">
        <v>31200</v>
      </c>
      <c r="U4687">
        <v>2600</v>
      </c>
      <c r="V4687">
        <v>34</v>
      </c>
      <c r="W4687">
        <v>4</v>
      </c>
      <c r="X4687">
        <v>0</v>
      </c>
      <c r="Z4687">
        <v>121.17</v>
      </c>
      <c r="AA4687">
        <v>40.816974</v>
      </c>
      <c r="AB4687">
        <v>-73.901455</v>
      </c>
      <c r="AD4687" t="s">
        <v>10840</v>
      </c>
      <c r="AF4687" t="s">
        <v>10842</v>
      </c>
      <c r="AG4687" t="s">
        <v>10859</v>
      </c>
      <c r="AH4687" t="s">
        <v>10864</v>
      </c>
      <c r="AI4687">
        <v>230</v>
      </c>
      <c r="AJ4687" t="s">
        <v>10210</v>
      </c>
      <c r="AL4687">
        <v>3.6</v>
      </c>
      <c r="AM4687" t="s">
        <v>10884</v>
      </c>
      <c r="AN4687" t="s">
        <v>10924</v>
      </c>
      <c r="AO4687" t="s">
        <v>11001</v>
      </c>
      <c r="AP4687" t="s">
        <v>11062</v>
      </c>
      <c r="AQ4687" t="s">
        <v>11109</v>
      </c>
      <c r="AR4687" t="s">
        <v>11257</v>
      </c>
      <c r="AS4687" t="s">
        <v>9926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</row>
    <row r="4688" spans="1:59">
      <c r="A4688" s="1">
        <f>HYPERLINK("https://lsnyc.legalserver.org/matter/dynamic-profile/view/1908885","19-1908885")</f>
        <v>0</v>
      </c>
      <c r="B4688" t="s">
        <v>3780</v>
      </c>
      <c r="C4688" t="s">
        <v>8600</v>
      </c>
      <c r="D4688" t="s">
        <v>9926</v>
      </c>
      <c r="E4688" t="s">
        <v>10075</v>
      </c>
      <c r="F4688">
        <v>10453</v>
      </c>
      <c r="G4688" t="s">
        <v>10090</v>
      </c>
      <c r="H4688" t="s">
        <v>10100</v>
      </c>
      <c r="I4688" t="s">
        <v>10168</v>
      </c>
      <c r="J4688" t="s">
        <v>10210</v>
      </c>
      <c r="K4688" t="s">
        <v>10217</v>
      </c>
      <c r="M4688" t="s">
        <v>10434</v>
      </c>
      <c r="N4688" t="s">
        <v>10666</v>
      </c>
      <c r="P4688" t="s">
        <v>10749</v>
      </c>
      <c r="Q4688" t="s">
        <v>10765</v>
      </c>
      <c r="R4688" t="s">
        <v>10821</v>
      </c>
      <c r="T4688">
        <v>18200</v>
      </c>
      <c r="U4688">
        <v>1516.67</v>
      </c>
      <c r="V4688">
        <v>59</v>
      </c>
      <c r="W4688">
        <v>1</v>
      </c>
      <c r="X4688">
        <v>0</v>
      </c>
      <c r="Z4688">
        <v>145.72</v>
      </c>
      <c r="AA4688">
        <v>40.857077</v>
      </c>
      <c r="AB4688">
        <v>-73.907712</v>
      </c>
      <c r="AD4688" t="s">
        <v>10840</v>
      </c>
      <c r="AG4688" t="s">
        <v>10858</v>
      </c>
      <c r="AH4688" t="s">
        <v>10862</v>
      </c>
      <c r="AI4688">
        <v>230</v>
      </c>
      <c r="AJ4688" t="s">
        <v>10210</v>
      </c>
      <c r="AL4688">
        <v>7.4</v>
      </c>
      <c r="AR4688" t="s">
        <v>11257</v>
      </c>
      <c r="AS4688" t="s">
        <v>9926</v>
      </c>
      <c r="AT4688" t="s">
        <v>11642</v>
      </c>
      <c r="AV4688" t="s">
        <v>11655</v>
      </c>
      <c r="AW4688" t="s">
        <v>11666</v>
      </c>
      <c r="AX4688" t="s">
        <v>10838</v>
      </c>
      <c r="BA4688" t="s">
        <v>11738</v>
      </c>
      <c r="BB4688">
        <v>0</v>
      </c>
      <c r="BC4688">
        <v>0</v>
      </c>
      <c r="BD4688">
        <v>0</v>
      </c>
      <c r="BE4688">
        <v>0</v>
      </c>
      <c r="BF4688">
        <v>5</v>
      </c>
      <c r="BG4688">
        <v>0</v>
      </c>
    </row>
    <row r="4689" spans="1:59">
      <c r="A4689" s="1">
        <f>HYPERLINK("https://lsnyc.legalserver.org/matter/dynamic-profile/view/1908886","19-1908886")</f>
        <v>0</v>
      </c>
      <c r="B4689" t="s">
        <v>2972</v>
      </c>
      <c r="C4689" t="s">
        <v>8601</v>
      </c>
      <c r="D4689" t="s">
        <v>10051</v>
      </c>
      <c r="E4689" t="s">
        <v>10075</v>
      </c>
      <c r="F4689">
        <v>10541</v>
      </c>
      <c r="G4689" t="s">
        <v>10093</v>
      </c>
      <c r="H4689" t="s">
        <v>10100</v>
      </c>
      <c r="I4689" t="s">
        <v>10168</v>
      </c>
      <c r="J4689" t="s">
        <v>10213</v>
      </c>
      <c r="K4689" t="s">
        <v>10217</v>
      </c>
      <c r="M4689" t="s">
        <v>10330</v>
      </c>
      <c r="N4689" t="s">
        <v>10710</v>
      </c>
      <c r="P4689" t="s">
        <v>10750</v>
      </c>
      <c r="Q4689" t="s">
        <v>10760</v>
      </c>
      <c r="R4689" t="s">
        <v>10820</v>
      </c>
      <c r="T4689">
        <v>49776</v>
      </c>
      <c r="U4689">
        <v>4148</v>
      </c>
      <c r="V4689">
        <v>75</v>
      </c>
      <c r="W4689">
        <v>1</v>
      </c>
      <c r="X4689">
        <v>0</v>
      </c>
      <c r="Z4689">
        <v>398.53</v>
      </c>
      <c r="AA4689">
        <v>41.377607</v>
      </c>
      <c r="AB4689">
        <v>-73.72767399999999</v>
      </c>
      <c r="AD4689" t="s">
        <v>10840</v>
      </c>
      <c r="AG4689" t="s">
        <v>10858</v>
      </c>
      <c r="AH4689" t="s">
        <v>10861</v>
      </c>
      <c r="AI4689">
        <v>234</v>
      </c>
      <c r="AJ4689" t="s">
        <v>10214</v>
      </c>
      <c r="AL4689">
        <v>1.5</v>
      </c>
      <c r="AM4689" t="s">
        <v>10901</v>
      </c>
      <c r="AN4689" t="s">
        <v>10990</v>
      </c>
      <c r="AO4689" t="s">
        <v>11038</v>
      </c>
      <c r="AR4689" t="s">
        <v>11345</v>
      </c>
      <c r="AS4689" t="s">
        <v>11633</v>
      </c>
      <c r="AT4689" t="s">
        <v>11642</v>
      </c>
      <c r="AX4689" t="s">
        <v>10838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</row>
    <row r="4690" spans="1:59">
      <c r="A4690" s="1">
        <f>HYPERLINK("https://lsnyc.legalserver.org/matter/dynamic-profile/view/1908887","19-1908887")</f>
        <v>0</v>
      </c>
      <c r="B4690" t="s">
        <v>3781</v>
      </c>
      <c r="C4690" t="s">
        <v>7770</v>
      </c>
      <c r="D4690" t="s">
        <v>9928</v>
      </c>
      <c r="E4690" t="s">
        <v>10075</v>
      </c>
      <c r="F4690">
        <v>11231</v>
      </c>
      <c r="G4690" t="s">
        <v>10091</v>
      </c>
      <c r="H4690" t="s">
        <v>10100</v>
      </c>
      <c r="I4690" t="s">
        <v>10168</v>
      </c>
      <c r="J4690" t="s">
        <v>10214</v>
      </c>
      <c r="K4690" t="s">
        <v>10217</v>
      </c>
      <c r="M4690" t="s">
        <v>10286</v>
      </c>
      <c r="N4690" t="s">
        <v>10671</v>
      </c>
      <c r="P4690" t="s">
        <v>10751</v>
      </c>
      <c r="Q4690" t="s">
        <v>10768</v>
      </c>
      <c r="R4690" t="s">
        <v>10821</v>
      </c>
      <c r="T4690">
        <v>0</v>
      </c>
      <c r="U4690">
        <v>0</v>
      </c>
      <c r="V4690">
        <v>66</v>
      </c>
      <c r="W4690">
        <v>1</v>
      </c>
      <c r="X4690">
        <v>0</v>
      </c>
      <c r="Z4690">
        <v>0</v>
      </c>
      <c r="AA4690">
        <v>40.675073</v>
      </c>
      <c r="AB4690">
        <v>-74.002303</v>
      </c>
      <c r="AD4690" t="s">
        <v>10840</v>
      </c>
      <c r="AG4690" t="s">
        <v>10858</v>
      </c>
      <c r="AH4690" t="s">
        <v>10871</v>
      </c>
      <c r="AI4690">
        <v>234</v>
      </c>
      <c r="AJ4690" t="s">
        <v>10214</v>
      </c>
      <c r="AL4690">
        <v>1</v>
      </c>
      <c r="AM4690" t="s">
        <v>10886</v>
      </c>
      <c r="AN4690" t="s">
        <v>10921</v>
      </c>
      <c r="AO4690" t="s">
        <v>11007</v>
      </c>
      <c r="AP4690" t="s">
        <v>11069</v>
      </c>
      <c r="AR4690" t="s">
        <v>11267</v>
      </c>
      <c r="AS4690" t="s">
        <v>11595</v>
      </c>
      <c r="AT4690" t="s">
        <v>11642</v>
      </c>
      <c r="AX4690" t="s">
        <v>10838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</row>
    <row r="4691" spans="1:59">
      <c r="A4691" s="1">
        <f>HYPERLINK("https://lsnyc.legalserver.org/matter/dynamic-profile/view/1908888","19-1908888")</f>
        <v>0</v>
      </c>
      <c r="B4691" t="s">
        <v>3782</v>
      </c>
      <c r="C4691" t="s">
        <v>8602</v>
      </c>
      <c r="D4691" t="s">
        <v>9926</v>
      </c>
      <c r="E4691" t="s">
        <v>10075</v>
      </c>
      <c r="F4691">
        <v>10462</v>
      </c>
      <c r="G4691" t="s">
        <v>10089</v>
      </c>
      <c r="H4691" t="s">
        <v>10100</v>
      </c>
      <c r="I4691" t="s">
        <v>10169</v>
      </c>
      <c r="J4691" t="s">
        <v>10209</v>
      </c>
      <c r="K4691" t="s">
        <v>10217</v>
      </c>
      <c r="M4691" t="s">
        <v>10490</v>
      </c>
      <c r="N4691" t="s">
        <v>10718</v>
      </c>
      <c r="P4691" t="s">
        <v>10750</v>
      </c>
      <c r="Q4691" t="s">
        <v>10760</v>
      </c>
      <c r="R4691" t="s">
        <v>10821</v>
      </c>
      <c r="T4691">
        <v>10400</v>
      </c>
      <c r="U4691">
        <v>866.67</v>
      </c>
      <c r="V4691">
        <v>31</v>
      </c>
      <c r="W4691">
        <v>1</v>
      </c>
      <c r="X4691">
        <v>0</v>
      </c>
      <c r="Z4691">
        <v>83.27</v>
      </c>
      <c r="AA4691">
        <v>40.852418</v>
      </c>
      <c r="AB4691">
        <v>-73.868717</v>
      </c>
      <c r="AD4691" t="s">
        <v>10839</v>
      </c>
      <c r="AF4691" t="s">
        <v>10843</v>
      </c>
      <c r="AG4691" t="s">
        <v>10859</v>
      </c>
      <c r="AH4691" t="s">
        <v>10871</v>
      </c>
      <c r="AI4691">
        <v>234</v>
      </c>
      <c r="AJ4691" t="s">
        <v>10214</v>
      </c>
      <c r="AL4691">
        <v>2.91</v>
      </c>
      <c r="AM4691" t="s">
        <v>10885</v>
      </c>
      <c r="AN4691" t="s">
        <v>10938</v>
      </c>
      <c r="AO4691" t="s">
        <v>11002</v>
      </c>
      <c r="AP4691" t="s">
        <v>11049</v>
      </c>
      <c r="AR4691" t="s">
        <v>10180</v>
      </c>
      <c r="AS4691" t="s">
        <v>9926</v>
      </c>
      <c r="AT4691" t="s">
        <v>11641</v>
      </c>
      <c r="AX4691" t="s">
        <v>10838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</row>
    <row r="4692" spans="1:59">
      <c r="A4692" s="1">
        <f>HYPERLINK("https://lsnyc.legalserver.org/matter/dynamic-profile/view/1908889","19-1908889")</f>
        <v>0</v>
      </c>
      <c r="B4692" t="s">
        <v>3783</v>
      </c>
      <c r="C4692" t="s">
        <v>6348</v>
      </c>
      <c r="D4692" t="s">
        <v>9926</v>
      </c>
      <c r="E4692" t="s">
        <v>10075</v>
      </c>
      <c r="F4692">
        <v>10474</v>
      </c>
      <c r="G4692" t="s">
        <v>10090</v>
      </c>
      <c r="H4692" t="s">
        <v>10100</v>
      </c>
      <c r="I4692" t="s">
        <v>10168</v>
      </c>
      <c r="J4692" t="s">
        <v>10210</v>
      </c>
      <c r="K4692" t="s">
        <v>10217</v>
      </c>
      <c r="M4692" t="s">
        <v>10401</v>
      </c>
      <c r="N4692" t="s">
        <v>10671</v>
      </c>
      <c r="P4692" t="s">
        <v>10751</v>
      </c>
      <c r="Q4692" t="s">
        <v>10786</v>
      </c>
      <c r="R4692" t="s">
        <v>10821</v>
      </c>
      <c r="T4692">
        <v>23400</v>
      </c>
      <c r="U4692">
        <v>1950</v>
      </c>
      <c r="V4692">
        <v>53</v>
      </c>
      <c r="W4692">
        <v>1</v>
      </c>
      <c r="X4692">
        <v>0</v>
      </c>
      <c r="Z4692">
        <v>187.35</v>
      </c>
      <c r="AA4692">
        <v>40.81257</v>
      </c>
      <c r="AB4692">
        <v>-73.888023</v>
      </c>
      <c r="AD4692" t="s">
        <v>10839</v>
      </c>
      <c r="AG4692" t="s">
        <v>10858</v>
      </c>
      <c r="AH4692" t="s">
        <v>10861</v>
      </c>
      <c r="AI4692">
        <v>234</v>
      </c>
      <c r="AJ4692" t="s">
        <v>10214</v>
      </c>
      <c r="AL4692">
        <v>5.25</v>
      </c>
      <c r="AM4692" t="s">
        <v>10884</v>
      </c>
      <c r="AN4692" t="s">
        <v>10924</v>
      </c>
      <c r="AO4692" t="s">
        <v>11002</v>
      </c>
      <c r="AP4692" t="s">
        <v>11062</v>
      </c>
      <c r="AR4692" t="s">
        <v>11257</v>
      </c>
      <c r="AS4692" t="s">
        <v>9926</v>
      </c>
      <c r="AT4692" t="s">
        <v>11641</v>
      </c>
      <c r="AX4692" t="s">
        <v>10838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</row>
    <row r="4693" spans="1:59">
      <c r="A4693" s="1">
        <f>HYPERLINK("https://lsnyc.legalserver.org/matter/dynamic-profile/view/1908890","19-1908890")</f>
        <v>0</v>
      </c>
      <c r="B4693" t="s">
        <v>3784</v>
      </c>
      <c r="C4693" t="s">
        <v>8603</v>
      </c>
      <c r="D4693" t="s">
        <v>9925</v>
      </c>
      <c r="E4693" t="s">
        <v>10075</v>
      </c>
      <c r="F4693">
        <v>10035</v>
      </c>
      <c r="G4693" t="s">
        <v>10089</v>
      </c>
      <c r="H4693" t="s">
        <v>10100</v>
      </c>
      <c r="I4693" t="s">
        <v>10168</v>
      </c>
      <c r="J4693" t="s">
        <v>10209</v>
      </c>
      <c r="K4693" t="s">
        <v>10217</v>
      </c>
      <c r="M4693" t="s">
        <v>10440</v>
      </c>
      <c r="N4693" t="s">
        <v>10650</v>
      </c>
      <c r="P4693" t="s">
        <v>10749</v>
      </c>
      <c r="Q4693" t="s">
        <v>10765</v>
      </c>
      <c r="R4693" t="s">
        <v>10821</v>
      </c>
      <c r="T4693">
        <v>19992</v>
      </c>
      <c r="U4693">
        <v>1666</v>
      </c>
      <c r="V4693">
        <v>58</v>
      </c>
      <c r="W4693">
        <v>2</v>
      </c>
      <c r="X4693">
        <v>0</v>
      </c>
      <c r="Z4693">
        <v>118.23</v>
      </c>
      <c r="AA4693">
        <v>40.800002</v>
      </c>
      <c r="AB4693">
        <v>-73.943319</v>
      </c>
      <c r="AD4693" t="s">
        <v>10840</v>
      </c>
      <c r="AG4693" t="s">
        <v>10858</v>
      </c>
      <c r="AH4693" t="s">
        <v>10862</v>
      </c>
      <c r="AI4693">
        <v>236</v>
      </c>
      <c r="AJ4693" t="s">
        <v>10209</v>
      </c>
      <c r="AL4693">
        <v>0</v>
      </c>
      <c r="AM4693" t="s">
        <v>10887</v>
      </c>
      <c r="AN4693" t="s">
        <v>10926</v>
      </c>
      <c r="AO4693" t="s">
        <v>11016</v>
      </c>
      <c r="AP4693" t="s">
        <v>11066</v>
      </c>
      <c r="AR4693" t="s">
        <v>11263</v>
      </c>
      <c r="AS4693" t="s">
        <v>9925</v>
      </c>
      <c r="AT4693" t="s">
        <v>11642</v>
      </c>
      <c r="AX4693" t="s">
        <v>10838</v>
      </c>
      <c r="BA4693" t="s">
        <v>11740</v>
      </c>
      <c r="BB4693">
        <v>0</v>
      </c>
      <c r="BC4693">
        <v>0</v>
      </c>
      <c r="BD4693">
        <v>0</v>
      </c>
      <c r="BE4693">
        <v>0</v>
      </c>
      <c r="BF4693">
        <v>2</v>
      </c>
      <c r="BG4693">
        <v>0</v>
      </c>
    </row>
    <row r="4694" spans="1:59">
      <c r="A4694" s="1">
        <f>HYPERLINK("https://lsnyc.legalserver.org/matter/dynamic-profile/view/1908891","19-1908891")</f>
        <v>0</v>
      </c>
      <c r="B4694" t="s">
        <v>3785</v>
      </c>
      <c r="C4694" t="s">
        <v>8604</v>
      </c>
      <c r="D4694" t="s">
        <v>9931</v>
      </c>
      <c r="E4694" t="s">
        <v>10075</v>
      </c>
      <c r="F4694">
        <v>11367</v>
      </c>
      <c r="G4694" t="s">
        <v>10092</v>
      </c>
      <c r="H4694" t="s">
        <v>10100</v>
      </c>
      <c r="I4694" t="s">
        <v>10169</v>
      </c>
      <c r="J4694" t="s">
        <v>10212</v>
      </c>
      <c r="K4694" t="s">
        <v>10218</v>
      </c>
      <c r="L4694" t="s">
        <v>10167</v>
      </c>
      <c r="M4694" t="s">
        <v>10258</v>
      </c>
      <c r="N4694" t="s">
        <v>10650</v>
      </c>
      <c r="P4694" t="s">
        <v>10749</v>
      </c>
      <c r="Q4694" t="s">
        <v>10765</v>
      </c>
      <c r="R4694" t="s">
        <v>10821</v>
      </c>
      <c r="T4694">
        <v>14400</v>
      </c>
      <c r="U4694">
        <v>1200</v>
      </c>
      <c r="V4694">
        <v>71</v>
      </c>
      <c r="W4694">
        <v>2</v>
      </c>
      <c r="X4694">
        <v>0</v>
      </c>
      <c r="Y4694" t="s">
        <v>10830</v>
      </c>
      <c r="Z4694">
        <v>85.16</v>
      </c>
      <c r="AA4694">
        <v>40.726344</v>
      </c>
      <c r="AB4694">
        <v>-73.817244</v>
      </c>
      <c r="AD4694" t="s">
        <v>10840</v>
      </c>
      <c r="AG4694" t="s">
        <v>10858</v>
      </c>
      <c r="AH4694" t="s">
        <v>10861</v>
      </c>
      <c r="AI4694">
        <v>234</v>
      </c>
      <c r="AJ4694" t="s">
        <v>10214</v>
      </c>
      <c r="AK4694" t="s">
        <v>10838</v>
      </c>
      <c r="AL4694">
        <v>1.85</v>
      </c>
      <c r="AM4694" t="s">
        <v>10890</v>
      </c>
      <c r="AN4694" t="s">
        <v>10962</v>
      </c>
      <c r="AO4694" t="s">
        <v>11024</v>
      </c>
      <c r="AP4694" t="s">
        <v>11081</v>
      </c>
      <c r="AR4694" t="s">
        <v>11274</v>
      </c>
      <c r="AS4694" t="s">
        <v>11594</v>
      </c>
      <c r="AT4694" t="s">
        <v>11642</v>
      </c>
      <c r="AX4694" t="s">
        <v>10838</v>
      </c>
      <c r="AY4694" t="s">
        <v>10830</v>
      </c>
      <c r="AZ4694" t="s">
        <v>11690</v>
      </c>
      <c r="BA4694" t="s">
        <v>11740</v>
      </c>
      <c r="BB4694">
        <v>0</v>
      </c>
      <c r="BC4694">
        <v>0</v>
      </c>
      <c r="BD4694">
        <v>0</v>
      </c>
      <c r="BE4694">
        <v>0</v>
      </c>
      <c r="BF4694">
        <v>2</v>
      </c>
      <c r="BG4694">
        <v>0</v>
      </c>
    </row>
    <row r="4695" spans="1:59">
      <c r="A4695" s="1">
        <f>HYPERLINK("https://lsnyc.legalserver.org/matter/dynamic-profile/view/1908892","19-1908892")</f>
        <v>0</v>
      </c>
      <c r="B4695" t="s">
        <v>3786</v>
      </c>
      <c r="C4695" t="s">
        <v>8605</v>
      </c>
      <c r="D4695" t="s">
        <v>9929</v>
      </c>
      <c r="E4695" t="s">
        <v>10075</v>
      </c>
      <c r="F4695">
        <v>10305</v>
      </c>
      <c r="G4695" t="s">
        <v>10091</v>
      </c>
      <c r="H4695" t="s">
        <v>10100</v>
      </c>
      <c r="I4695" t="s">
        <v>10168</v>
      </c>
      <c r="J4695" t="s">
        <v>10214</v>
      </c>
      <c r="K4695" t="s">
        <v>10217</v>
      </c>
      <c r="M4695" t="s">
        <v>10286</v>
      </c>
      <c r="N4695" t="s">
        <v>10671</v>
      </c>
      <c r="P4695" t="s">
        <v>10751</v>
      </c>
      <c r="Q4695" t="s">
        <v>10780</v>
      </c>
      <c r="R4695" t="s">
        <v>10821</v>
      </c>
      <c r="T4695">
        <v>2196</v>
      </c>
      <c r="U4695">
        <v>183</v>
      </c>
      <c r="V4695">
        <v>51</v>
      </c>
      <c r="W4695">
        <v>1</v>
      </c>
      <c r="X4695">
        <v>0</v>
      </c>
      <c r="Z4695">
        <v>17.58</v>
      </c>
      <c r="AA4695">
        <v>40.596178</v>
      </c>
      <c r="AB4695">
        <v>-74.07997400000001</v>
      </c>
      <c r="AD4695" t="s">
        <v>10839</v>
      </c>
      <c r="AG4695" t="s">
        <v>10858</v>
      </c>
      <c r="AH4695" t="s">
        <v>10861</v>
      </c>
      <c r="AI4695">
        <v>234</v>
      </c>
      <c r="AJ4695" t="s">
        <v>10214</v>
      </c>
      <c r="AL4695">
        <v>0.6</v>
      </c>
      <c r="AM4695" t="s">
        <v>10883</v>
      </c>
      <c r="AN4695" t="s">
        <v>10915</v>
      </c>
      <c r="AO4695" t="s">
        <v>11006</v>
      </c>
      <c r="AP4695" t="s">
        <v>11063</v>
      </c>
      <c r="AR4695" t="s">
        <v>11311</v>
      </c>
      <c r="AS4695" t="s">
        <v>11593</v>
      </c>
      <c r="AT4695" t="s">
        <v>11641</v>
      </c>
      <c r="AX4695" t="s">
        <v>10838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</row>
    <row r="4696" spans="1:59">
      <c r="A4696" s="1">
        <f>HYPERLINK("https://lsnyc.legalserver.org/matter/dynamic-profile/view/1908893","19-1908893")</f>
        <v>0</v>
      </c>
      <c r="B4696" t="s">
        <v>3787</v>
      </c>
      <c r="C4696" t="s">
        <v>8606</v>
      </c>
      <c r="D4696" t="s">
        <v>9928</v>
      </c>
      <c r="E4696" t="s">
        <v>10075</v>
      </c>
      <c r="F4696">
        <v>11212</v>
      </c>
      <c r="G4696" t="s">
        <v>10093</v>
      </c>
      <c r="H4696" t="s">
        <v>10100</v>
      </c>
      <c r="I4696" t="s">
        <v>10168</v>
      </c>
      <c r="J4696" t="s">
        <v>10213</v>
      </c>
      <c r="K4696" t="s">
        <v>10217</v>
      </c>
      <c r="M4696" t="s">
        <v>10358</v>
      </c>
      <c r="N4696" t="s">
        <v>10671</v>
      </c>
      <c r="P4696" t="s">
        <v>10752</v>
      </c>
      <c r="Q4696" t="s">
        <v>10783</v>
      </c>
      <c r="R4696" t="s">
        <v>10824</v>
      </c>
      <c r="T4696">
        <v>9012</v>
      </c>
      <c r="U4696">
        <v>751</v>
      </c>
      <c r="V4696">
        <v>62</v>
      </c>
      <c r="W4696">
        <v>1</v>
      </c>
      <c r="X4696">
        <v>0</v>
      </c>
      <c r="Z4696">
        <v>72.15000000000001</v>
      </c>
      <c r="AA4696">
        <v>40.663932</v>
      </c>
      <c r="AB4696">
        <v>-73.907645</v>
      </c>
      <c r="AC4696" t="s">
        <v>10837</v>
      </c>
      <c r="AD4696" t="s">
        <v>10840</v>
      </c>
      <c r="AG4696" t="s">
        <v>10858</v>
      </c>
      <c r="AH4696" t="s">
        <v>10861</v>
      </c>
      <c r="AI4696">
        <v>234</v>
      </c>
      <c r="AJ4696" t="s">
        <v>10214</v>
      </c>
      <c r="AL4696">
        <v>1.75</v>
      </c>
      <c r="AM4696" t="s">
        <v>10888</v>
      </c>
      <c r="AN4696" t="s">
        <v>10922</v>
      </c>
      <c r="AO4696" t="s">
        <v>11005</v>
      </c>
      <c r="AP4696" t="s">
        <v>11064</v>
      </c>
      <c r="AQ4696" t="s">
        <v>11184</v>
      </c>
      <c r="AR4696" t="s">
        <v>11253</v>
      </c>
      <c r="AS4696" t="s">
        <v>11595</v>
      </c>
      <c r="AT4696" t="s">
        <v>11642</v>
      </c>
      <c r="AX4696" t="s">
        <v>10838</v>
      </c>
      <c r="BA4696" t="s">
        <v>11742</v>
      </c>
      <c r="BB4696">
        <v>0</v>
      </c>
      <c r="BC4696">
        <v>0</v>
      </c>
      <c r="BD4696">
        <v>0</v>
      </c>
      <c r="BE4696">
        <v>0</v>
      </c>
      <c r="BF4696">
        <v>7</v>
      </c>
      <c r="BG4696">
        <v>0</v>
      </c>
    </row>
    <row r="4697" spans="1:59">
      <c r="A4697" s="1">
        <f>HYPERLINK("https://lsnyc.legalserver.org/matter/dynamic-profile/view/1908894","19-1908894")</f>
        <v>0</v>
      </c>
      <c r="B4697" t="s">
        <v>3788</v>
      </c>
      <c r="C4697" t="s">
        <v>8607</v>
      </c>
      <c r="D4697" t="s">
        <v>9926</v>
      </c>
      <c r="E4697" t="s">
        <v>10075</v>
      </c>
      <c r="F4697">
        <v>10458</v>
      </c>
      <c r="G4697" t="s">
        <v>10090</v>
      </c>
      <c r="H4697" t="s">
        <v>10100</v>
      </c>
      <c r="I4697" t="s">
        <v>10169</v>
      </c>
      <c r="J4697" t="s">
        <v>10210</v>
      </c>
      <c r="K4697" t="s">
        <v>10217</v>
      </c>
      <c r="M4697" t="s">
        <v>10579</v>
      </c>
      <c r="N4697" t="s">
        <v>10650</v>
      </c>
      <c r="P4697" t="s">
        <v>10749</v>
      </c>
      <c r="Q4697" t="s">
        <v>10765</v>
      </c>
      <c r="R4697" t="s">
        <v>10823</v>
      </c>
      <c r="T4697">
        <v>12480</v>
      </c>
      <c r="U4697">
        <v>1040</v>
      </c>
      <c r="V4697">
        <v>30</v>
      </c>
      <c r="W4697">
        <v>1</v>
      </c>
      <c r="X4697">
        <v>0</v>
      </c>
      <c r="Z4697">
        <v>99.92</v>
      </c>
      <c r="AA4697">
        <v>40.858919</v>
      </c>
      <c r="AB4697">
        <v>-73.889465</v>
      </c>
      <c r="AD4697" t="s">
        <v>10839</v>
      </c>
      <c r="AG4697" t="s">
        <v>10858</v>
      </c>
      <c r="AH4697" t="s">
        <v>10862</v>
      </c>
      <c r="AI4697">
        <v>230</v>
      </c>
      <c r="AJ4697" t="s">
        <v>10210</v>
      </c>
      <c r="AL4697">
        <v>0</v>
      </c>
      <c r="AM4697" t="s">
        <v>10884</v>
      </c>
      <c r="AN4697" t="s">
        <v>10907</v>
      </c>
      <c r="AO4697" t="s">
        <v>11000</v>
      </c>
      <c r="AP4697" t="s">
        <v>11056</v>
      </c>
      <c r="AR4697" t="s">
        <v>11257</v>
      </c>
      <c r="AS4697" t="s">
        <v>9926</v>
      </c>
      <c r="AT4697" t="s">
        <v>11641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</row>
    <row r="4698" spans="1:59">
      <c r="A4698" s="1">
        <f>HYPERLINK("https://lsnyc.legalserver.org/matter/dynamic-profile/view/1908895","19-1908895")</f>
        <v>0</v>
      </c>
      <c r="B4698" t="s">
        <v>3766</v>
      </c>
      <c r="C4698" t="s">
        <v>8608</v>
      </c>
      <c r="D4698" t="s">
        <v>9928</v>
      </c>
      <c r="E4698" t="s">
        <v>10075</v>
      </c>
      <c r="F4698">
        <v>11215</v>
      </c>
      <c r="G4698" t="s">
        <v>10091</v>
      </c>
      <c r="H4698" t="s">
        <v>10100</v>
      </c>
      <c r="I4698" t="s">
        <v>10168</v>
      </c>
      <c r="J4698" t="s">
        <v>10214</v>
      </c>
      <c r="K4698" t="s">
        <v>10217</v>
      </c>
      <c r="M4698" t="s">
        <v>10280</v>
      </c>
      <c r="N4698" t="s">
        <v>10656</v>
      </c>
      <c r="P4698" t="s">
        <v>10751</v>
      </c>
      <c r="Q4698" t="s">
        <v>10768</v>
      </c>
      <c r="R4698" t="s">
        <v>10822</v>
      </c>
      <c r="T4698">
        <v>0</v>
      </c>
      <c r="U4698">
        <v>0</v>
      </c>
      <c r="V4698">
        <v>47</v>
      </c>
      <c r="W4698">
        <v>1</v>
      </c>
      <c r="X4698">
        <v>0</v>
      </c>
      <c r="Z4698">
        <v>0</v>
      </c>
      <c r="AA4698">
        <v>40.663584</v>
      </c>
      <c r="AB4698">
        <v>-73.980593</v>
      </c>
      <c r="AD4698" t="s">
        <v>10839</v>
      </c>
      <c r="AG4698" t="s">
        <v>10858</v>
      </c>
      <c r="AH4698" t="s">
        <v>10871</v>
      </c>
      <c r="AI4698">
        <v>234</v>
      </c>
      <c r="AJ4698" t="s">
        <v>10214</v>
      </c>
      <c r="AL4698">
        <v>3</v>
      </c>
      <c r="AM4698" t="s">
        <v>10888</v>
      </c>
      <c r="AN4698" t="s">
        <v>10941</v>
      </c>
      <c r="AO4698" t="s">
        <v>11008</v>
      </c>
      <c r="AP4698" t="s">
        <v>11059</v>
      </c>
      <c r="AR4698" t="s">
        <v>11267</v>
      </c>
      <c r="AS4698" t="s">
        <v>11595</v>
      </c>
      <c r="AT4698" t="s">
        <v>11641</v>
      </c>
      <c r="AX4698" t="s">
        <v>10838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</row>
    <row r="4699" spans="1:59">
      <c r="A4699" s="1">
        <f>HYPERLINK("https://lsnyc.legalserver.org/matter/dynamic-profile/view/1908897","19-1908897")</f>
        <v>0</v>
      </c>
      <c r="B4699" t="s">
        <v>3789</v>
      </c>
      <c r="C4699" t="s">
        <v>8609</v>
      </c>
      <c r="D4699" t="s">
        <v>9926</v>
      </c>
      <c r="E4699" t="s">
        <v>10075</v>
      </c>
      <c r="F4699">
        <v>10462</v>
      </c>
      <c r="G4699" t="s">
        <v>10090</v>
      </c>
      <c r="H4699" t="s">
        <v>10100</v>
      </c>
      <c r="I4699" t="s">
        <v>10168</v>
      </c>
      <c r="J4699" t="s">
        <v>10210</v>
      </c>
      <c r="K4699" t="s">
        <v>10217</v>
      </c>
      <c r="M4699" t="s">
        <v>10525</v>
      </c>
      <c r="N4699" t="s">
        <v>10651</v>
      </c>
      <c r="P4699" t="s">
        <v>10749</v>
      </c>
      <c r="Q4699" t="s">
        <v>10765</v>
      </c>
      <c r="R4699" t="s">
        <v>10821</v>
      </c>
      <c r="T4699">
        <v>15600</v>
      </c>
      <c r="U4699">
        <v>1300</v>
      </c>
      <c r="V4699">
        <v>28</v>
      </c>
      <c r="W4699">
        <v>1</v>
      </c>
      <c r="X4699">
        <v>0</v>
      </c>
      <c r="Z4699">
        <v>124.9</v>
      </c>
      <c r="AA4699">
        <v>40.85303</v>
      </c>
      <c r="AB4699">
        <v>-73.868588</v>
      </c>
      <c r="AD4699" t="s">
        <v>10839</v>
      </c>
      <c r="AG4699" t="s">
        <v>10858</v>
      </c>
      <c r="AH4699" t="s">
        <v>10861</v>
      </c>
      <c r="AI4699">
        <v>230</v>
      </c>
      <c r="AJ4699" t="s">
        <v>10210</v>
      </c>
      <c r="AL4699">
        <v>2</v>
      </c>
      <c r="AR4699" t="s">
        <v>11257</v>
      </c>
      <c r="AS4699" t="s">
        <v>9926</v>
      </c>
      <c r="AT4699" t="s">
        <v>11641</v>
      </c>
      <c r="AX4699" t="s">
        <v>10837</v>
      </c>
      <c r="BA4699" t="s">
        <v>11738</v>
      </c>
      <c r="BB4699">
        <v>0</v>
      </c>
      <c r="BC4699">
        <v>0</v>
      </c>
      <c r="BD4699">
        <v>0</v>
      </c>
      <c r="BE4699">
        <v>0</v>
      </c>
      <c r="BF4699">
        <v>5</v>
      </c>
      <c r="BG4699">
        <v>0</v>
      </c>
    </row>
    <row r="4700" spans="1:59">
      <c r="A4700" s="1">
        <f>HYPERLINK("https://lsnyc.legalserver.org/matter/dynamic-profile/view/1908898","19-1908898")</f>
        <v>0</v>
      </c>
      <c r="B4700" t="s">
        <v>1776</v>
      </c>
      <c r="C4700" t="s">
        <v>6570</v>
      </c>
      <c r="D4700" t="s">
        <v>9928</v>
      </c>
      <c r="E4700" t="s">
        <v>10075</v>
      </c>
      <c r="F4700">
        <v>11236</v>
      </c>
      <c r="G4700" t="s">
        <v>10093</v>
      </c>
      <c r="H4700" t="s">
        <v>10100</v>
      </c>
      <c r="I4700" t="s">
        <v>10168</v>
      </c>
      <c r="J4700" t="s">
        <v>10213</v>
      </c>
      <c r="K4700" t="s">
        <v>10217</v>
      </c>
      <c r="M4700" t="s">
        <v>10265</v>
      </c>
      <c r="N4700" t="s">
        <v>10671</v>
      </c>
      <c r="P4700" t="s">
        <v>10751</v>
      </c>
      <c r="Q4700" t="s">
        <v>10761</v>
      </c>
      <c r="R4700" t="s">
        <v>10824</v>
      </c>
      <c r="T4700">
        <v>4296</v>
      </c>
      <c r="U4700">
        <v>358</v>
      </c>
      <c r="V4700">
        <v>41</v>
      </c>
      <c r="W4700">
        <v>1</v>
      </c>
      <c r="X4700">
        <v>2</v>
      </c>
      <c r="Z4700">
        <v>20.14</v>
      </c>
      <c r="AA4700">
        <v>40.630953</v>
      </c>
      <c r="AB4700">
        <v>-73.909092</v>
      </c>
      <c r="AD4700" t="s">
        <v>10839</v>
      </c>
      <c r="AF4700" t="s">
        <v>10843</v>
      </c>
      <c r="AG4700" t="s">
        <v>10859</v>
      </c>
      <c r="AH4700" t="s">
        <v>10862</v>
      </c>
      <c r="AI4700">
        <v>239</v>
      </c>
      <c r="AJ4700" t="s">
        <v>10213</v>
      </c>
      <c r="AL4700">
        <v>7.5</v>
      </c>
      <c r="AM4700" t="s">
        <v>10889</v>
      </c>
      <c r="AN4700" t="s">
        <v>10959</v>
      </c>
      <c r="AO4700" t="s">
        <v>11012</v>
      </c>
      <c r="AP4700" t="s">
        <v>11072</v>
      </c>
      <c r="AR4700" t="s">
        <v>11263</v>
      </c>
      <c r="AS4700" t="s">
        <v>11595</v>
      </c>
      <c r="BA4700" t="s">
        <v>11737</v>
      </c>
      <c r="BB4700">
        <v>0</v>
      </c>
      <c r="BC4700">
        <v>0</v>
      </c>
      <c r="BD4700">
        <v>0</v>
      </c>
      <c r="BE4700">
        <v>0</v>
      </c>
      <c r="BF4700">
        <v>3</v>
      </c>
      <c r="BG4700">
        <v>0</v>
      </c>
    </row>
    <row r="4701" spans="1:59">
      <c r="A4701" s="1">
        <f>HYPERLINK("https://lsnyc.legalserver.org/matter/dynamic-profile/view/1908899","19-1908899")</f>
        <v>0</v>
      </c>
      <c r="B4701" t="s">
        <v>3790</v>
      </c>
      <c r="C4701" t="s">
        <v>8610</v>
      </c>
      <c r="D4701" t="s">
        <v>9926</v>
      </c>
      <c r="E4701" t="s">
        <v>10075</v>
      </c>
      <c r="F4701">
        <v>10461</v>
      </c>
      <c r="G4701" t="s">
        <v>10090</v>
      </c>
      <c r="H4701" t="s">
        <v>10100</v>
      </c>
      <c r="I4701" t="s">
        <v>10168</v>
      </c>
      <c r="J4701" t="s">
        <v>10210</v>
      </c>
      <c r="K4701" t="s">
        <v>10218</v>
      </c>
      <c r="L4701" t="s">
        <v>10158</v>
      </c>
      <c r="M4701" t="s">
        <v>10283</v>
      </c>
      <c r="N4701" t="s">
        <v>10671</v>
      </c>
      <c r="P4701" t="s">
        <v>10751</v>
      </c>
      <c r="Q4701" t="s">
        <v>10786</v>
      </c>
      <c r="R4701" t="s">
        <v>10821</v>
      </c>
      <c r="T4701">
        <v>37440</v>
      </c>
      <c r="U4701">
        <v>3120</v>
      </c>
      <c r="V4701">
        <v>37</v>
      </c>
      <c r="W4701">
        <v>3</v>
      </c>
      <c r="X4701">
        <v>2</v>
      </c>
      <c r="Y4701" t="s">
        <v>10829</v>
      </c>
      <c r="Z4701">
        <v>124.1</v>
      </c>
      <c r="AA4701">
        <v>40.837307</v>
      </c>
      <c r="AB4701">
        <v>-73.845591</v>
      </c>
      <c r="AD4701" t="s">
        <v>10839</v>
      </c>
      <c r="AG4701" t="s">
        <v>10858</v>
      </c>
      <c r="AH4701" t="s">
        <v>10861</v>
      </c>
      <c r="AI4701">
        <v>234</v>
      </c>
      <c r="AJ4701" t="s">
        <v>10214</v>
      </c>
      <c r="AK4701" t="s">
        <v>10882</v>
      </c>
      <c r="AL4701">
        <v>2.05</v>
      </c>
      <c r="AM4701" t="s">
        <v>10885</v>
      </c>
      <c r="AN4701" t="s">
        <v>10911</v>
      </c>
      <c r="AO4701" t="s">
        <v>11002</v>
      </c>
      <c r="AP4701" t="s">
        <v>11046</v>
      </c>
      <c r="AR4701" t="s">
        <v>11262</v>
      </c>
      <c r="AS4701" t="s">
        <v>9926</v>
      </c>
      <c r="AT4701" t="s">
        <v>11641</v>
      </c>
      <c r="AX4701" t="s">
        <v>10838</v>
      </c>
      <c r="AY4701" t="s">
        <v>10829</v>
      </c>
      <c r="AZ4701" t="s">
        <v>11682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</row>
    <row r="4702" spans="1:59">
      <c r="A4702" s="1">
        <f>HYPERLINK("https://lsnyc.legalserver.org/matter/dynamic-profile/view/1908900","19-1908900")</f>
        <v>0</v>
      </c>
      <c r="B4702" t="s">
        <v>3789</v>
      </c>
      <c r="C4702" t="s">
        <v>8611</v>
      </c>
      <c r="D4702" t="s">
        <v>9926</v>
      </c>
      <c r="E4702" t="s">
        <v>10075</v>
      </c>
      <c r="F4702">
        <v>10462</v>
      </c>
      <c r="G4702" t="s">
        <v>10090</v>
      </c>
      <c r="H4702" t="s">
        <v>10100</v>
      </c>
      <c r="I4702" t="s">
        <v>10168</v>
      </c>
      <c r="J4702" t="s">
        <v>10210</v>
      </c>
      <c r="K4702" t="s">
        <v>10217</v>
      </c>
      <c r="M4702" t="s">
        <v>10401</v>
      </c>
      <c r="N4702" t="s">
        <v>10688</v>
      </c>
      <c r="P4702" t="s">
        <v>10751</v>
      </c>
      <c r="Q4702" t="s">
        <v>10761</v>
      </c>
      <c r="R4702" t="s">
        <v>10821</v>
      </c>
      <c r="T4702">
        <v>15600</v>
      </c>
      <c r="U4702">
        <v>1300</v>
      </c>
      <c r="V4702">
        <v>28</v>
      </c>
      <c r="W4702">
        <v>1</v>
      </c>
      <c r="X4702">
        <v>0</v>
      </c>
      <c r="Z4702">
        <v>124.9</v>
      </c>
      <c r="AA4702">
        <v>40.85303</v>
      </c>
      <c r="AB4702">
        <v>-73.868588</v>
      </c>
      <c r="AD4702" t="s">
        <v>10839</v>
      </c>
      <c r="AG4702" t="s">
        <v>10858</v>
      </c>
      <c r="AH4702" t="s">
        <v>10861</v>
      </c>
      <c r="AI4702">
        <v>230</v>
      </c>
      <c r="AJ4702" t="s">
        <v>10210</v>
      </c>
      <c r="AL4702">
        <v>1.25</v>
      </c>
      <c r="AR4702" t="s">
        <v>11257</v>
      </c>
      <c r="AS4702" t="s">
        <v>9926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</row>
    <row r="4703" spans="1:59">
      <c r="A4703" s="1">
        <f>HYPERLINK("https://lsnyc.legalserver.org/matter/dynamic-profile/view/1908901","19-1908901")</f>
        <v>0</v>
      </c>
      <c r="B4703" t="s">
        <v>3791</v>
      </c>
      <c r="C4703" t="s">
        <v>8612</v>
      </c>
      <c r="D4703" t="s">
        <v>9928</v>
      </c>
      <c r="E4703" t="s">
        <v>10075</v>
      </c>
      <c r="F4703">
        <v>11213</v>
      </c>
      <c r="G4703" t="s">
        <v>10093</v>
      </c>
      <c r="H4703" t="s">
        <v>10100</v>
      </c>
      <c r="I4703" t="s">
        <v>10168</v>
      </c>
      <c r="J4703" t="s">
        <v>10213</v>
      </c>
      <c r="K4703" t="s">
        <v>10218</v>
      </c>
      <c r="L4703" t="s">
        <v>10223</v>
      </c>
      <c r="M4703" t="s">
        <v>10317</v>
      </c>
      <c r="N4703" t="s">
        <v>10671</v>
      </c>
      <c r="P4703" t="s">
        <v>10751</v>
      </c>
      <c r="Q4703" t="s">
        <v>10761</v>
      </c>
      <c r="R4703" t="s">
        <v>10820</v>
      </c>
      <c r="T4703">
        <v>29160</v>
      </c>
      <c r="U4703">
        <v>2430</v>
      </c>
      <c r="V4703">
        <v>54</v>
      </c>
      <c r="W4703">
        <v>1</v>
      </c>
      <c r="X4703">
        <v>5</v>
      </c>
      <c r="Y4703" t="s">
        <v>10830</v>
      </c>
      <c r="Z4703">
        <v>84.3</v>
      </c>
      <c r="AA4703">
        <v>40.666005</v>
      </c>
      <c r="AB4703">
        <v>-73.93453599999999</v>
      </c>
      <c r="AD4703" t="s">
        <v>10839</v>
      </c>
      <c r="AG4703" t="s">
        <v>10858</v>
      </c>
      <c r="AH4703" t="s">
        <v>10861</v>
      </c>
      <c r="AI4703">
        <v>234</v>
      </c>
      <c r="AJ4703" t="s">
        <v>10214</v>
      </c>
      <c r="AK4703" t="s">
        <v>10882</v>
      </c>
      <c r="AL4703">
        <v>4.95</v>
      </c>
      <c r="AM4703" t="s">
        <v>10888</v>
      </c>
      <c r="AN4703" t="s">
        <v>10912</v>
      </c>
      <c r="AO4703" t="s">
        <v>11005</v>
      </c>
      <c r="AP4703" t="s">
        <v>11061</v>
      </c>
      <c r="AR4703" t="s">
        <v>11552</v>
      </c>
      <c r="AS4703" t="s">
        <v>11595</v>
      </c>
      <c r="AT4703" t="s">
        <v>11641</v>
      </c>
      <c r="AX4703" t="s">
        <v>10838</v>
      </c>
      <c r="AY4703" t="s">
        <v>10830</v>
      </c>
      <c r="AZ4703" t="s">
        <v>11701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</row>
    <row r="4704" spans="1:59">
      <c r="A4704" s="1">
        <f>HYPERLINK("https://lsnyc.legalserver.org/matter/dynamic-profile/view/1908902","19-1908902")</f>
        <v>0</v>
      </c>
      <c r="B4704" t="s">
        <v>3792</v>
      </c>
      <c r="C4704" t="s">
        <v>8613</v>
      </c>
      <c r="D4704" t="s">
        <v>9928</v>
      </c>
      <c r="E4704" t="s">
        <v>10075</v>
      </c>
      <c r="F4704">
        <v>11201</v>
      </c>
      <c r="G4704" t="s">
        <v>10093</v>
      </c>
      <c r="H4704" t="s">
        <v>10100</v>
      </c>
      <c r="I4704" t="s">
        <v>10168</v>
      </c>
      <c r="J4704" t="s">
        <v>10213</v>
      </c>
      <c r="K4704" t="s">
        <v>10217</v>
      </c>
      <c r="M4704" t="s">
        <v>10289</v>
      </c>
      <c r="N4704" t="s">
        <v>10671</v>
      </c>
      <c r="P4704" t="s">
        <v>10757</v>
      </c>
      <c r="Q4704" t="s">
        <v>10789</v>
      </c>
      <c r="R4704" t="s">
        <v>10820</v>
      </c>
      <c r="T4704">
        <v>12000</v>
      </c>
      <c r="U4704">
        <v>1000</v>
      </c>
      <c r="V4704">
        <v>55</v>
      </c>
      <c r="W4704">
        <v>2</v>
      </c>
      <c r="X4704">
        <v>0</v>
      </c>
      <c r="Z4704">
        <v>70.95999999999999</v>
      </c>
      <c r="AA4704">
        <v>40.690481</v>
      </c>
      <c r="AB4704">
        <v>-73.98281900000001</v>
      </c>
      <c r="AD4704" t="s">
        <v>10839</v>
      </c>
      <c r="AG4704" t="s">
        <v>10858</v>
      </c>
      <c r="AH4704" t="s">
        <v>10861</v>
      </c>
      <c r="AI4704">
        <v>234</v>
      </c>
      <c r="AJ4704" t="s">
        <v>10214</v>
      </c>
      <c r="AL4704">
        <v>2.05</v>
      </c>
      <c r="AM4704" t="s">
        <v>10889</v>
      </c>
      <c r="AN4704" t="s">
        <v>10917</v>
      </c>
      <c r="AO4704" t="s">
        <v>11007</v>
      </c>
      <c r="AP4704" t="s">
        <v>11054</v>
      </c>
      <c r="AR4704" t="s">
        <v>11388</v>
      </c>
      <c r="AS4704" t="s">
        <v>11595</v>
      </c>
      <c r="AT4704" t="s">
        <v>11641</v>
      </c>
      <c r="AX4704" t="s">
        <v>10838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</row>
    <row r="4705" spans="1:59">
      <c r="A4705" s="1">
        <f>HYPERLINK("https://lsnyc.legalserver.org/matter/dynamic-profile/view/1908903","19-1908903")</f>
        <v>0</v>
      </c>
      <c r="B4705" t="s">
        <v>3793</v>
      </c>
      <c r="C4705" t="s">
        <v>8614</v>
      </c>
      <c r="D4705" t="s">
        <v>9925</v>
      </c>
      <c r="E4705" t="s">
        <v>10075</v>
      </c>
      <c r="F4705">
        <v>10030</v>
      </c>
      <c r="G4705" t="s">
        <v>10090</v>
      </c>
      <c r="H4705" t="s">
        <v>10100</v>
      </c>
      <c r="I4705" t="s">
        <v>10168</v>
      </c>
      <c r="J4705" t="s">
        <v>10210</v>
      </c>
      <c r="K4705" t="s">
        <v>10217</v>
      </c>
      <c r="M4705" t="s">
        <v>10495</v>
      </c>
      <c r="N4705" t="s">
        <v>10658</v>
      </c>
      <c r="P4705" t="s">
        <v>10749</v>
      </c>
      <c r="Q4705" t="s">
        <v>10806</v>
      </c>
      <c r="R4705" t="s">
        <v>10824</v>
      </c>
      <c r="T4705">
        <v>30000</v>
      </c>
      <c r="U4705">
        <v>2500</v>
      </c>
      <c r="V4705">
        <v>54</v>
      </c>
      <c r="W4705">
        <v>1</v>
      </c>
      <c r="X4705">
        <v>0</v>
      </c>
      <c r="Z4705">
        <v>240.19</v>
      </c>
      <c r="AA4705">
        <v>40.817276</v>
      </c>
      <c r="AB4705">
        <v>-73.943781</v>
      </c>
      <c r="AC4705" t="s">
        <v>10837</v>
      </c>
      <c r="AD4705" t="s">
        <v>10839</v>
      </c>
      <c r="AG4705" t="s">
        <v>10858</v>
      </c>
      <c r="AH4705" t="s">
        <v>10860</v>
      </c>
      <c r="AI4705">
        <v>230</v>
      </c>
      <c r="AJ4705" t="s">
        <v>10210</v>
      </c>
      <c r="AL4705">
        <v>4.5</v>
      </c>
      <c r="AM4705" t="s">
        <v>10887</v>
      </c>
      <c r="AN4705" t="s">
        <v>10936</v>
      </c>
      <c r="AO4705" t="s">
        <v>11016</v>
      </c>
      <c r="AP4705" t="s">
        <v>11076</v>
      </c>
      <c r="AR4705" t="s">
        <v>11276</v>
      </c>
      <c r="AS4705" t="s">
        <v>9925</v>
      </c>
      <c r="AT4705" t="s">
        <v>11641</v>
      </c>
      <c r="AX4705" t="s">
        <v>10838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</row>
    <row r="4706" spans="1:59">
      <c r="A4706" s="1">
        <f>HYPERLINK("https://lsnyc.legalserver.org/matter/dynamic-profile/view/1908905","19-1908905")</f>
        <v>0</v>
      </c>
      <c r="B4706" t="s">
        <v>3794</v>
      </c>
      <c r="C4706" t="s">
        <v>8615</v>
      </c>
      <c r="D4706" t="s">
        <v>9936</v>
      </c>
      <c r="E4706" t="s">
        <v>10075</v>
      </c>
      <c r="F4706">
        <v>11105</v>
      </c>
      <c r="G4706" t="s">
        <v>10092</v>
      </c>
      <c r="H4706" t="s">
        <v>10100</v>
      </c>
      <c r="J4706" t="s">
        <v>10212</v>
      </c>
      <c r="K4706" t="s">
        <v>10217</v>
      </c>
      <c r="M4706" t="s">
        <v>10484</v>
      </c>
      <c r="N4706" t="s">
        <v>10695</v>
      </c>
      <c r="P4706" t="s">
        <v>10749</v>
      </c>
      <c r="Q4706" t="s">
        <v>10765</v>
      </c>
      <c r="R4706" t="s">
        <v>10823</v>
      </c>
      <c r="T4706">
        <v>250000</v>
      </c>
      <c r="U4706">
        <v>20833.33</v>
      </c>
      <c r="V4706">
        <v>20</v>
      </c>
      <c r="W4706">
        <v>3</v>
      </c>
      <c r="X4706">
        <v>0</v>
      </c>
      <c r="Z4706">
        <v>1172.06</v>
      </c>
      <c r="AA4706">
        <v>40.781413</v>
      </c>
      <c r="AB4706">
        <v>-73.91417199999999</v>
      </c>
      <c r="AC4706" t="s">
        <v>10837</v>
      </c>
      <c r="AD4706" t="s">
        <v>10839</v>
      </c>
      <c r="AG4706" t="s">
        <v>10858</v>
      </c>
      <c r="AH4706" t="s">
        <v>10862</v>
      </c>
      <c r="AI4706">
        <v>237</v>
      </c>
      <c r="AJ4706" t="s">
        <v>10212</v>
      </c>
      <c r="AL4706">
        <v>1.5</v>
      </c>
      <c r="AM4706" t="s">
        <v>10885</v>
      </c>
      <c r="AN4706" t="s">
        <v>10954</v>
      </c>
      <c r="AO4706" t="s">
        <v>11003</v>
      </c>
      <c r="AP4706" t="s">
        <v>11084</v>
      </c>
      <c r="AR4706" t="s">
        <v>11257</v>
      </c>
      <c r="AS4706" t="s">
        <v>11594</v>
      </c>
      <c r="AT4706" t="s">
        <v>11641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</row>
    <row r="4707" spans="1:59">
      <c r="A4707" s="1">
        <f>HYPERLINK("https://lsnyc.legalserver.org/matter/dynamic-profile/view/1908906","19-1908906")</f>
        <v>0</v>
      </c>
      <c r="B4707" t="s">
        <v>3795</v>
      </c>
      <c r="C4707" t="s">
        <v>8616</v>
      </c>
      <c r="D4707" t="s">
        <v>9928</v>
      </c>
      <c r="E4707" t="s">
        <v>10075</v>
      </c>
      <c r="F4707">
        <v>11212</v>
      </c>
      <c r="G4707" t="s">
        <v>10093</v>
      </c>
      <c r="H4707" t="s">
        <v>10100</v>
      </c>
      <c r="I4707" t="s">
        <v>10168</v>
      </c>
      <c r="J4707" t="s">
        <v>10213</v>
      </c>
      <c r="K4707" t="s">
        <v>10218</v>
      </c>
      <c r="L4707" t="s">
        <v>10166</v>
      </c>
      <c r="M4707" t="s">
        <v>10309</v>
      </c>
      <c r="N4707" t="s">
        <v>10698</v>
      </c>
      <c r="P4707" t="s">
        <v>10751</v>
      </c>
      <c r="Q4707" t="s">
        <v>10786</v>
      </c>
      <c r="R4707" t="s">
        <v>10824</v>
      </c>
      <c r="T4707">
        <v>6480</v>
      </c>
      <c r="U4707">
        <v>540</v>
      </c>
      <c r="V4707">
        <v>45</v>
      </c>
      <c r="W4707">
        <v>2</v>
      </c>
      <c r="X4707">
        <v>0</v>
      </c>
      <c r="Y4707" t="s">
        <v>10829</v>
      </c>
      <c r="Z4707">
        <v>38.32</v>
      </c>
      <c r="AA4707">
        <v>40.672229</v>
      </c>
      <c r="AB4707">
        <v>-73.90903900000001</v>
      </c>
      <c r="AD4707" t="s">
        <v>10839</v>
      </c>
      <c r="AG4707" t="s">
        <v>10858</v>
      </c>
      <c r="AH4707" t="s">
        <v>10868</v>
      </c>
      <c r="AI4707">
        <v>239</v>
      </c>
      <c r="AJ4707" t="s">
        <v>10213</v>
      </c>
      <c r="AK4707" t="s">
        <v>10838</v>
      </c>
      <c r="AL4707">
        <v>1</v>
      </c>
      <c r="AM4707" t="s">
        <v>10889</v>
      </c>
      <c r="AN4707" t="s">
        <v>10922</v>
      </c>
      <c r="AO4707" t="s">
        <v>11005</v>
      </c>
      <c r="AP4707" t="s">
        <v>11064</v>
      </c>
      <c r="AR4707" t="s">
        <v>11387</v>
      </c>
      <c r="AS4707" t="s">
        <v>11595</v>
      </c>
      <c r="AY4707" t="s">
        <v>10829</v>
      </c>
      <c r="AZ4707" t="s">
        <v>11688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</row>
    <row r="4708" spans="1:59">
      <c r="A4708" s="1">
        <f>HYPERLINK("https://lsnyc.legalserver.org/matter/dynamic-profile/view/1908907","19-1908907")</f>
        <v>0</v>
      </c>
      <c r="B4708" t="s">
        <v>3796</v>
      </c>
      <c r="C4708" t="s">
        <v>8617</v>
      </c>
      <c r="D4708" t="s">
        <v>9926</v>
      </c>
      <c r="E4708" t="s">
        <v>10075</v>
      </c>
      <c r="F4708">
        <v>10458</v>
      </c>
      <c r="G4708" t="s">
        <v>10091</v>
      </c>
      <c r="H4708" t="s">
        <v>10100</v>
      </c>
      <c r="I4708" t="s">
        <v>10169</v>
      </c>
      <c r="J4708" t="s">
        <v>10211</v>
      </c>
      <c r="K4708" t="s">
        <v>10217</v>
      </c>
      <c r="M4708" t="s">
        <v>10231</v>
      </c>
      <c r="N4708" t="s">
        <v>10647</v>
      </c>
      <c r="P4708" t="s">
        <v>10752</v>
      </c>
      <c r="Q4708" t="s">
        <v>10762</v>
      </c>
      <c r="R4708" t="s">
        <v>10821</v>
      </c>
      <c r="T4708">
        <v>16564</v>
      </c>
      <c r="U4708">
        <v>1380.33</v>
      </c>
      <c r="V4708">
        <v>43</v>
      </c>
      <c r="W4708">
        <v>1</v>
      </c>
      <c r="X4708">
        <v>1</v>
      </c>
      <c r="Z4708">
        <v>97.95</v>
      </c>
      <c r="AA4708">
        <v>40.856087</v>
      </c>
      <c r="AB4708">
        <v>-73.885456</v>
      </c>
      <c r="AD4708" t="s">
        <v>10839</v>
      </c>
      <c r="AG4708" t="s">
        <v>10858</v>
      </c>
      <c r="AH4708" t="s">
        <v>10861</v>
      </c>
      <c r="AI4708">
        <v>234</v>
      </c>
      <c r="AJ4708" t="s">
        <v>10214</v>
      </c>
      <c r="AL4708">
        <v>0.9</v>
      </c>
      <c r="AM4708" t="s">
        <v>10884</v>
      </c>
      <c r="AN4708" t="s">
        <v>10907</v>
      </c>
      <c r="AO4708" t="s">
        <v>11000</v>
      </c>
      <c r="AP4708" t="s">
        <v>11056</v>
      </c>
      <c r="AQ4708" t="s">
        <v>11110</v>
      </c>
      <c r="AR4708" t="s">
        <v>11262</v>
      </c>
      <c r="AS4708" t="s">
        <v>9926</v>
      </c>
      <c r="AT4708" t="s">
        <v>11641</v>
      </c>
      <c r="AX4708" t="s">
        <v>10838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</row>
    <row r="4709" spans="1:59">
      <c r="A4709" s="1">
        <f>HYPERLINK("https://lsnyc.legalserver.org/matter/dynamic-profile/view/1908908","19-1908908")</f>
        <v>0</v>
      </c>
      <c r="B4709" t="s">
        <v>2731</v>
      </c>
      <c r="C4709" t="s">
        <v>8618</v>
      </c>
      <c r="D4709" t="s">
        <v>9928</v>
      </c>
      <c r="E4709" t="s">
        <v>10075</v>
      </c>
      <c r="F4709">
        <v>11213</v>
      </c>
      <c r="G4709" t="s">
        <v>10093</v>
      </c>
      <c r="H4709" t="s">
        <v>10100</v>
      </c>
      <c r="J4709" t="s">
        <v>10213</v>
      </c>
      <c r="K4709" t="s">
        <v>10217</v>
      </c>
      <c r="M4709" t="s">
        <v>10618</v>
      </c>
      <c r="N4709" t="s">
        <v>10664</v>
      </c>
      <c r="P4709" t="s">
        <v>10749</v>
      </c>
      <c r="Q4709" t="s">
        <v>10765</v>
      </c>
      <c r="R4709" t="s">
        <v>10824</v>
      </c>
      <c r="T4709">
        <v>19200</v>
      </c>
      <c r="U4709">
        <v>1600</v>
      </c>
      <c r="V4709">
        <v>61</v>
      </c>
      <c r="W4709">
        <v>1</v>
      </c>
      <c r="X4709">
        <v>1</v>
      </c>
      <c r="Z4709">
        <v>113.54</v>
      </c>
      <c r="AA4709">
        <v>40.664591</v>
      </c>
      <c r="AB4709">
        <v>-73.932136</v>
      </c>
      <c r="AD4709" t="s">
        <v>10839</v>
      </c>
      <c r="AF4709" t="s">
        <v>10843</v>
      </c>
      <c r="AG4709" t="s">
        <v>10859</v>
      </c>
      <c r="AH4709" t="s">
        <v>10862</v>
      </c>
      <c r="AI4709">
        <v>239</v>
      </c>
      <c r="AJ4709" t="s">
        <v>10213</v>
      </c>
      <c r="AL4709">
        <v>6.05</v>
      </c>
      <c r="AM4709" t="s">
        <v>10888</v>
      </c>
      <c r="AN4709" t="s">
        <v>10912</v>
      </c>
      <c r="AO4709" t="s">
        <v>11005</v>
      </c>
      <c r="AP4709" t="s">
        <v>11061</v>
      </c>
      <c r="AR4709" t="s">
        <v>11257</v>
      </c>
      <c r="AS4709" t="s">
        <v>11595</v>
      </c>
      <c r="AT4709" t="s">
        <v>11641</v>
      </c>
      <c r="BA4709" t="s">
        <v>11738</v>
      </c>
      <c r="BB4709">
        <v>0</v>
      </c>
      <c r="BC4709">
        <v>0</v>
      </c>
      <c r="BD4709">
        <v>0</v>
      </c>
      <c r="BE4709">
        <v>0</v>
      </c>
      <c r="BF4709">
        <v>5</v>
      </c>
      <c r="BG4709">
        <v>0</v>
      </c>
    </row>
    <row r="4710" spans="1:59">
      <c r="A4710" s="1">
        <f>HYPERLINK("https://lsnyc.legalserver.org/matter/dynamic-profile/view/1908909","19-1908909")</f>
        <v>0</v>
      </c>
      <c r="B4710" t="s">
        <v>3797</v>
      </c>
      <c r="C4710" t="s">
        <v>5673</v>
      </c>
      <c r="D4710" t="s">
        <v>9926</v>
      </c>
      <c r="E4710" t="s">
        <v>10075</v>
      </c>
      <c r="F4710">
        <v>10451</v>
      </c>
      <c r="G4710" t="s">
        <v>10090</v>
      </c>
      <c r="H4710" t="s">
        <v>10100</v>
      </c>
      <c r="J4710" t="s">
        <v>10210</v>
      </c>
      <c r="K4710" t="s">
        <v>10217</v>
      </c>
      <c r="M4710" t="s">
        <v>10406</v>
      </c>
      <c r="N4710" t="s">
        <v>10688</v>
      </c>
      <c r="P4710" t="s">
        <v>10751</v>
      </c>
      <c r="Q4710" t="s">
        <v>10796</v>
      </c>
      <c r="R4710" t="s">
        <v>10821</v>
      </c>
      <c r="T4710">
        <v>0</v>
      </c>
      <c r="U4710">
        <v>0</v>
      </c>
      <c r="V4710">
        <v>44</v>
      </c>
      <c r="W4710">
        <v>1</v>
      </c>
      <c r="X4710">
        <v>2</v>
      </c>
      <c r="Z4710">
        <v>0</v>
      </c>
      <c r="AA4710">
        <v>40.823957</v>
      </c>
      <c r="AB4710">
        <v>-73.91759399999999</v>
      </c>
      <c r="AD4710" t="s">
        <v>10839</v>
      </c>
      <c r="AG4710" t="s">
        <v>10858</v>
      </c>
      <c r="AH4710" t="s">
        <v>10862</v>
      </c>
      <c r="AI4710">
        <v>230</v>
      </c>
      <c r="AJ4710" t="s">
        <v>10210</v>
      </c>
      <c r="AL4710">
        <v>0.1</v>
      </c>
      <c r="AM4710" t="s">
        <v>10884</v>
      </c>
      <c r="AN4710" t="s">
        <v>10918</v>
      </c>
      <c r="AO4710" t="s">
        <v>11001</v>
      </c>
      <c r="AP4710" t="s">
        <v>11055</v>
      </c>
      <c r="AR4710" t="s">
        <v>11279</v>
      </c>
      <c r="AS4710" t="s">
        <v>9926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</row>
    <row r="4711" spans="1:59">
      <c r="A4711" s="1">
        <f>HYPERLINK("https://lsnyc.legalserver.org/matter/dynamic-profile/view/1908910","19-1908910")</f>
        <v>0</v>
      </c>
      <c r="B4711" t="s">
        <v>3797</v>
      </c>
      <c r="C4711" t="s">
        <v>5673</v>
      </c>
      <c r="D4711" t="s">
        <v>9926</v>
      </c>
      <c r="E4711" t="s">
        <v>10075</v>
      </c>
      <c r="F4711">
        <v>10451</v>
      </c>
      <c r="G4711" t="s">
        <v>10090</v>
      </c>
      <c r="H4711" t="s">
        <v>10100</v>
      </c>
      <c r="J4711" t="s">
        <v>10210</v>
      </c>
      <c r="K4711" t="s">
        <v>10217</v>
      </c>
      <c r="M4711" t="s">
        <v>10406</v>
      </c>
      <c r="N4711" t="s">
        <v>10688</v>
      </c>
      <c r="P4711" t="s">
        <v>10751</v>
      </c>
      <c r="Q4711" t="s">
        <v>10776</v>
      </c>
      <c r="R4711" t="s">
        <v>10821</v>
      </c>
      <c r="T4711">
        <v>0</v>
      </c>
      <c r="U4711">
        <v>0</v>
      </c>
      <c r="V4711">
        <v>44</v>
      </c>
      <c r="W4711">
        <v>1</v>
      </c>
      <c r="X4711">
        <v>2</v>
      </c>
      <c r="Z4711">
        <v>0</v>
      </c>
      <c r="AA4711">
        <v>40.823957</v>
      </c>
      <c r="AB4711">
        <v>-73.91759399999999</v>
      </c>
      <c r="AD4711" t="s">
        <v>10839</v>
      </c>
      <c r="AG4711" t="s">
        <v>10858</v>
      </c>
      <c r="AH4711" t="s">
        <v>10862</v>
      </c>
      <c r="AI4711">
        <v>230</v>
      </c>
      <c r="AJ4711" t="s">
        <v>10210</v>
      </c>
      <c r="AL4711">
        <v>0</v>
      </c>
      <c r="AM4711" t="s">
        <v>10884</v>
      </c>
      <c r="AN4711" t="s">
        <v>10918</v>
      </c>
      <c r="AO4711" t="s">
        <v>11001</v>
      </c>
      <c r="AP4711" t="s">
        <v>11055</v>
      </c>
      <c r="AR4711" t="s">
        <v>11279</v>
      </c>
      <c r="AS4711" t="s">
        <v>9926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</row>
    <row r="4712" spans="1:59">
      <c r="A4712" s="1">
        <f>HYPERLINK("https://lsnyc.legalserver.org/matter/dynamic-profile/view/1908911","19-1908911")</f>
        <v>0</v>
      </c>
      <c r="B4712" t="s">
        <v>3798</v>
      </c>
      <c r="C4712" t="s">
        <v>8619</v>
      </c>
      <c r="D4712" t="s">
        <v>9925</v>
      </c>
      <c r="E4712" t="s">
        <v>10075</v>
      </c>
      <c r="F4712">
        <v>10035</v>
      </c>
      <c r="G4712" t="s">
        <v>10093</v>
      </c>
      <c r="H4712" t="s">
        <v>10100</v>
      </c>
      <c r="I4712" t="s">
        <v>10169</v>
      </c>
      <c r="J4712" t="s">
        <v>10213</v>
      </c>
      <c r="K4712" t="s">
        <v>10218</v>
      </c>
      <c r="L4712" t="s">
        <v>10163</v>
      </c>
      <c r="M4712" t="s">
        <v>10436</v>
      </c>
      <c r="N4712" t="s">
        <v>10710</v>
      </c>
      <c r="P4712" t="s">
        <v>10750</v>
      </c>
      <c r="Q4712" t="s">
        <v>10760</v>
      </c>
      <c r="R4712" t="s">
        <v>10823</v>
      </c>
      <c r="T4712">
        <v>19485.6</v>
      </c>
      <c r="U4712">
        <v>1623.8</v>
      </c>
      <c r="V4712">
        <v>78</v>
      </c>
      <c r="W4712">
        <v>1</v>
      </c>
      <c r="X4712">
        <v>0</v>
      </c>
      <c r="Y4712" t="s">
        <v>10829</v>
      </c>
      <c r="Z4712">
        <v>156.01</v>
      </c>
      <c r="AA4712">
        <v>40.795792</v>
      </c>
      <c r="AB4712">
        <v>-73.933412</v>
      </c>
      <c r="AD4712" t="s">
        <v>10840</v>
      </c>
      <c r="AF4712" t="s">
        <v>10843</v>
      </c>
      <c r="AG4712" t="s">
        <v>10859</v>
      </c>
      <c r="AH4712" t="s">
        <v>10871</v>
      </c>
      <c r="AI4712">
        <v>234</v>
      </c>
      <c r="AJ4712" t="s">
        <v>10214</v>
      </c>
      <c r="AK4712" t="s">
        <v>10838</v>
      </c>
      <c r="AL4712">
        <v>1.08</v>
      </c>
      <c r="AM4712" t="s">
        <v>10887</v>
      </c>
      <c r="AN4712" t="s">
        <v>10926</v>
      </c>
      <c r="AO4712" t="s">
        <v>11013</v>
      </c>
      <c r="AP4712" t="s">
        <v>11066</v>
      </c>
      <c r="AR4712" t="s">
        <v>11253</v>
      </c>
      <c r="AS4712" t="s">
        <v>9925</v>
      </c>
      <c r="AT4712" t="s">
        <v>11642</v>
      </c>
      <c r="AX4712" t="s">
        <v>10838</v>
      </c>
      <c r="AY4712" t="s">
        <v>10829</v>
      </c>
      <c r="AZ4712" t="s">
        <v>11679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</row>
    <row r="4713" spans="1:59">
      <c r="A4713" s="1">
        <f>HYPERLINK("https://lsnyc.legalserver.org/matter/dynamic-profile/view/1908912","19-1908912")</f>
        <v>0</v>
      </c>
      <c r="B4713" t="s">
        <v>171</v>
      </c>
      <c r="C4713" t="s">
        <v>7390</v>
      </c>
      <c r="D4713" t="s">
        <v>9925</v>
      </c>
      <c r="E4713" t="s">
        <v>10075</v>
      </c>
      <c r="F4713">
        <v>10009</v>
      </c>
      <c r="G4713" t="s">
        <v>10089</v>
      </c>
      <c r="H4713" t="s">
        <v>10100</v>
      </c>
      <c r="I4713" t="s">
        <v>10169</v>
      </c>
      <c r="J4713" t="s">
        <v>10209</v>
      </c>
      <c r="K4713" t="s">
        <v>10217</v>
      </c>
      <c r="M4713" t="s">
        <v>10288</v>
      </c>
      <c r="N4713" t="s">
        <v>10665</v>
      </c>
      <c r="P4713" t="s">
        <v>10751</v>
      </c>
      <c r="Q4713" t="s">
        <v>10773</v>
      </c>
      <c r="R4713" t="s">
        <v>10821</v>
      </c>
      <c r="T4713">
        <v>626.4</v>
      </c>
      <c r="U4713">
        <v>52.2</v>
      </c>
      <c r="V4713">
        <v>55</v>
      </c>
      <c r="W4713">
        <v>1</v>
      </c>
      <c r="X4713">
        <v>0</v>
      </c>
      <c r="Z4713">
        <v>5.02</v>
      </c>
      <c r="AA4713">
        <v>40.722046</v>
      </c>
      <c r="AB4713">
        <v>-73.978208</v>
      </c>
      <c r="AD4713" t="s">
        <v>10840</v>
      </c>
      <c r="AF4713" t="s">
        <v>10843</v>
      </c>
      <c r="AG4713" t="s">
        <v>10859</v>
      </c>
      <c r="AH4713" t="s">
        <v>10861</v>
      </c>
      <c r="AI4713">
        <v>236</v>
      </c>
      <c r="AJ4713" t="s">
        <v>10209</v>
      </c>
      <c r="AL4713">
        <v>2.95</v>
      </c>
      <c r="AM4713" t="s">
        <v>10891</v>
      </c>
      <c r="AN4713" t="s">
        <v>10910</v>
      </c>
      <c r="AO4713" t="s">
        <v>11004</v>
      </c>
      <c r="AP4713" t="s">
        <v>11048</v>
      </c>
      <c r="AR4713" t="s">
        <v>11257</v>
      </c>
      <c r="AS4713" t="s">
        <v>9925</v>
      </c>
      <c r="AT4713" t="s">
        <v>11641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</row>
    <row r="4714" spans="1:59">
      <c r="A4714" s="1">
        <f>HYPERLINK("https://lsnyc.legalserver.org/matter/dynamic-profile/view/1908913","19-1908913")</f>
        <v>0</v>
      </c>
      <c r="B4714" t="s">
        <v>306</v>
      </c>
      <c r="C4714" t="s">
        <v>8554</v>
      </c>
      <c r="D4714" t="s">
        <v>9926</v>
      </c>
      <c r="E4714" t="s">
        <v>10075</v>
      </c>
      <c r="F4714">
        <v>10462</v>
      </c>
      <c r="G4714" t="s">
        <v>10090</v>
      </c>
      <c r="H4714" t="s">
        <v>10100</v>
      </c>
      <c r="I4714" t="s">
        <v>10168</v>
      </c>
      <c r="J4714" t="s">
        <v>10210</v>
      </c>
      <c r="K4714" t="s">
        <v>10217</v>
      </c>
      <c r="M4714" t="s">
        <v>10287</v>
      </c>
      <c r="N4714" t="s">
        <v>10671</v>
      </c>
      <c r="P4714" t="s">
        <v>10751</v>
      </c>
      <c r="Q4714" t="s">
        <v>10761</v>
      </c>
      <c r="R4714" t="s">
        <v>10824</v>
      </c>
      <c r="T4714">
        <v>0</v>
      </c>
      <c r="U4714">
        <v>0</v>
      </c>
      <c r="V4714">
        <v>56</v>
      </c>
      <c r="W4714">
        <v>1</v>
      </c>
      <c r="X4714">
        <v>0</v>
      </c>
      <c r="Z4714">
        <v>0</v>
      </c>
      <c r="AA4714">
        <v>40.839081</v>
      </c>
      <c r="AB4714">
        <v>-73.85525199999999</v>
      </c>
      <c r="AD4714" t="s">
        <v>10839</v>
      </c>
      <c r="AG4714" t="s">
        <v>10858</v>
      </c>
      <c r="AH4714" t="s">
        <v>10871</v>
      </c>
      <c r="AI4714">
        <v>234</v>
      </c>
      <c r="AJ4714" t="s">
        <v>10214</v>
      </c>
      <c r="AL4714">
        <v>0.5</v>
      </c>
      <c r="AR4714" t="s">
        <v>11279</v>
      </c>
      <c r="AS4714" t="s">
        <v>9926</v>
      </c>
      <c r="BA4714" t="s">
        <v>11741</v>
      </c>
      <c r="BB4714">
        <v>0</v>
      </c>
      <c r="BC4714">
        <v>0</v>
      </c>
      <c r="BD4714">
        <v>0</v>
      </c>
      <c r="BE4714">
        <v>0</v>
      </c>
      <c r="BF4714">
        <v>1</v>
      </c>
      <c r="BG4714">
        <v>0</v>
      </c>
    </row>
    <row r="4715" spans="1:59">
      <c r="A4715" s="1">
        <f>HYPERLINK("https://lsnyc.legalserver.org/matter/dynamic-profile/view/1908914","19-1908914")</f>
        <v>0</v>
      </c>
      <c r="B4715" t="s">
        <v>3799</v>
      </c>
      <c r="C4715" t="s">
        <v>8620</v>
      </c>
      <c r="D4715" t="s">
        <v>9925</v>
      </c>
      <c r="E4715" t="s">
        <v>10075</v>
      </c>
      <c r="F4715">
        <v>10009</v>
      </c>
      <c r="G4715" t="s">
        <v>10089</v>
      </c>
      <c r="H4715" t="s">
        <v>10100</v>
      </c>
      <c r="I4715" t="s">
        <v>10168</v>
      </c>
      <c r="J4715" t="s">
        <v>10209</v>
      </c>
      <c r="K4715" t="s">
        <v>10218</v>
      </c>
      <c r="L4715" t="s">
        <v>10223</v>
      </c>
      <c r="M4715" t="s">
        <v>10472</v>
      </c>
      <c r="N4715" t="s">
        <v>10691</v>
      </c>
      <c r="P4715" t="s">
        <v>10751</v>
      </c>
      <c r="Q4715" t="s">
        <v>10761</v>
      </c>
      <c r="R4715" t="s">
        <v>10824</v>
      </c>
      <c r="T4715">
        <v>9240</v>
      </c>
      <c r="U4715">
        <v>770</v>
      </c>
      <c r="V4715">
        <v>76</v>
      </c>
      <c r="W4715">
        <v>1</v>
      </c>
      <c r="X4715">
        <v>0</v>
      </c>
      <c r="Y4715" t="s">
        <v>10829</v>
      </c>
      <c r="Z4715">
        <v>73.98</v>
      </c>
      <c r="AA4715">
        <v>40.723449</v>
      </c>
      <c r="AB4715">
        <v>-73.981557</v>
      </c>
      <c r="AD4715" t="s">
        <v>10840</v>
      </c>
      <c r="AG4715" t="s">
        <v>10858</v>
      </c>
      <c r="AH4715" t="s">
        <v>10871</v>
      </c>
      <c r="AI4715">
        <v>234</v>
      </c>
      <c r="AJ4715" t="s">
        <v>10214</v>
      </c>
      <c r="AK4715" t="s">
        <v>10838</v>
      </c>
      <c r="AL4715">
        <v>4.1</v>
      </c>
      <c r="AM4715" t="s">
        <v>10891</v>
      </c>
      <c r="AN4715" t="s">
        <v>10910</v>
      </c>
      <c r="AO4715" t="s">
        <v>11004</v>
      </c>
      <c r="AP4715" t="s">
        <v>11048</v>
      </c>
      <c r="AR4715" t="s">
        <v>11274</v>
      </c>
      <c r="AS4715" t="s">
        <v>9925</v>
      </c>
      <c r="AT4715" t="s">
        <v>11642</v>
      </c>
      <c r="AX4715" t="s">
        <v>10838</v>
      </c>
      <c r="AY4715" t="s">
        <v>10829</v>
      </c>
      <c r="AZ4715" t="s">
        <v>11682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</row>
    <row r="4716" spans="1:59">
      <c r="A4716" s="1">
        <f>HYPERLINK("https://lsnyc.legalserver.org/matter/dynamic-profile/view/1908915","19-1908915")</f>
        <v>0</v>
      </c>
      <c r="B4716" t="s">
        <v>3800</v>
      </c>
      <c r="C4716" t="s">
        <v>8621</v>
      </c>
      <c r="D4716" t="s">
        <v>9926</v>
      </c>
      <c r="E4716" t="s">
        <v>10075</v>
      </c>
      <c r="F4716">
        <v>10472</v>
      </c>
      <c r="G4716" t="s">
        <v>10090</v>
      </c>
      <c r="H4716" t="s">
        <v>10100</v>
      </c>
      <c r="I4716" t="s">
        <v>10168</v>
      </c>
      <c r="J4716" t="s">
        <v>10210</v>
      </c>
      <c r="K4716" t="s">
        <v>10217</v>
      </c>
      <c r="M4716" t="s">
        <v>10495</v>
      </c>
      <c r="N4716" t="s">
        <v>10658</v>
      </c>
      <c r="P4716" t="s">
        <v>10749</v>
      </c>
      <c r="Q4716" t="s">
        <v>10769</v>
      </c>
      <c r="R4716" t="s">
        <v>10824</v>
      </c>
      <c r="T4716">
        <v>130000</v>
      </c>
      <c r="U4716">
        <v>10833.33</v>
      </c>
      <c r="V4716">
        <v>57</v>
      </c>
      <c r="W4716">
        <v>4</v>
      </c>
      <c r="X4716">
        <v>1</v>
      </c>
      <c r="Z4716">
        <v>430.89</v>
      </c>
      <c r="AA4716">
        <v>40.827373</v>
      </c>
      <c r="AB4716">
        <v>-73.870368</v>
      </c>
      <c r="AD4716" t="s">
        <v>10840</v>
      </c>
      <c r="AG4716" t="s">
        <v>10858</v>
      </c>
      <c r="AH4716" t="s">
        <v>10860</v>
      </c>
      <c r="AI4716">
        <v>230</v>
      </c>
      <c r="AJ4716" t="s">
        <v>10210</v>
      </c>
      <c r="AL4716">
        <v>3.5</v>
      </c>
      <c r="AM4716" t="s">
        <v>10884</v>
      </c>
      <c r="AN4716" t="s">
        <v>10968</v>
      </c>
      <c r="AO4716" t="s">
        <v>11001</v>
      </c>
      <c r="AP4716" t="s">
        <v>11046</v>
      </c>
      <c r="AR4716" t="s">
        <v>11257</v>
      </c>
      <c r="AS4716" t="s">
        <v>9926</v>
      </c>
      <c r="AT4716" t="s">
        <v>11642</v>
      </c>
      <c r="AX4716" t="s">
        <v>10838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</row>
    <row r="4717" spans="1:59">
      <c r="A4717" s="1">
        <f>HYPERLINK("https://lsnyc.legalserver.org/matter/dynamic-profile/view/1908916","19-1908916")</f>
        <v>0</v>
      </c>
      <c r="B4717" t="s">
        <v>3801</v>
      </c>
      <c r="C4717" t="s">
        <v>8622</v>
      </c>
      <c r="D4717" t="s">
        <v>9925</v>
      </c>
      <c r="E4717" t="s">
        <v>10075</v>
      </c>
      <c r="F4717">
        <v>10002</v>
      </c>
      <c r="G4717" t="s">
        <v>10089</v>
      </c>
      <c r="H4717" t="s">
        <v>10100</v>
      </c>
      <c r="I4717" t="s">
        <v>10168</v>
      </c>
      <c r="J4717" t="s">
        <v>10209</v>
      </c>
      <c r="K4717" t="s">
        <v>10218</v>
      </c>
      <c r="L4717" t="s">
        <v>10115</v>
      </c>
      <c r="M4717" t="s">
        <v>10288</v>
      </c>
      <c r="N4717" t="s">
        <v>10688</v>
      </c>
      <c r="P4717" t="s">
        <v>10756</v>
      </c>
      <c r="Q4717" t="s">
        <v>10792</v>
      </c>
      <c r="R4717" t="s">
        <v>10823</v>
      </c>
      <c r="T4717">
        <v>9252</v>
      </c>
      <c r="U4717">
        <v>771</v>
      </c>
      <c r="V4717">
        <v>77</v>
      </c>
      <c r="W4717">
        <v>1</v>
      </c>
      <c r="X4717">
        <v>0</v>
      </c>
      <c r="Y4717" t="s">
        <v>10830</v>
      </c>
      <c r="Z4717">
        <v>74.08</v>
      </c>
      <c r="AA4717">
        <v>40.716885</v>
      </c>
      <c r="AB4717">
        <v>-73.980096</v>
      </c>
      <c r="AD4717" t="s">
        <v>10839</v>
      </c>
      <c r="AG4717" t="s">
        <v>10858</v>
      </c>
      <c r="AH4717" t="s">
        <v>10867</v>
      </c>
      <c r="AI4717">
        <v>236</v>
      </c>
      <c r="AJ4717" t="s">
        <v>10209</v>
      </c>
      <c r="AK4717" t="s">
        <v>10838</v>
      </c>
      <c r="AL4717">
        <v>1.25</v>
      </c>
      <c r="AM4717" t="s">
        <v>10886</v>
      </c>
      <c r="AN4717" t="s">
        <v>10910</v>
      </c>
      <c r="AO4717" t="s">
        <v>11004</v>
      </c>
      <c r="AP4717" t="s">
        <v>11048</v>
      </c>
      <c r="AR4717" t="s">
        <v>11263</v>
      </c>
      <c r="AS4717" t="s">
        <v>9925</v>
      </c>
      <c r="AT4717" t="s">
        <v>11641</v>
      </c>
      <c r="AY4717" t="s">
        <v>10830</v>
      </c>
      <c r="AZ4717" t="s">
        <v>11708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</row>
    <row r="4718" spans="1:59">
      <c r="A4718" s="1">
        <f>HYPERLINK("https://lsnyc.legalserver.org/matter/dynamic-profile/view/1908917","19-1908917")</f>
        <v>0</v>
      </c>
      <c r="B4718" t="s">
        <v>2210</v>
      </c>
      <c r="C4718" t="s">
        <v>7000</v>
      </c>
      <c r="D4718" t="s">
        <v>9928</v>
      </c>
      <c r="E4718" t="s">
        <v>10075</v>
      </c>
      <c r="F4718">
        <v>11207</v>
      </c>
      <c r="G4718" t="s">
        <v>10093</v>
      </c>
      <c r="H4718" t="s">
        <v>10100</v>
      </c>
      <c r="I4718" t="s">
        <v>10168</v>
      </c>
      <c r="J4718" t="s">
        <v>10213</v>
      </c>
      <c r="K4718" t="s">
        <v>10217</v>
      </c>
      <c r="M4718" t="s">
        <v>10580</v>
      </c>
      <c r="N4718" t="s">
        <v>10665</v>
      </c>
      <c r="P4718" t="s">
        <v>10756</v>
      </c>
      <c r="Q4718" t="s">
        <v>10807</v>
      </c>
      <c r="R4718" t="s">
        <v>10824</v>
      </c>
      <c r="T4718">
        <v>22800</v>
      </c>
      <c r="U4718">
        <v>1900</v>
      </c>
      <c r="V4718">
        <v>32</v>
      </c>
      <c r="W4718">
        <v>1</v>
      </c>
      <c r="X4718">
        <v>3</v>
      </c>
      <c r="Z4718">
        <v>88.54000000000001</v>
      </c>
      <c r="AA4718">
        <v>40.663588</v>
      </c>
      <c r="AB4718">
        <v>-73.892096</v>
      </c>
      <c r="AD4718" t="s">
        <v>10839</v>
      </c>
      <c r="AG4718" t="s">
        <v>10858</v>
      </c>
      <c r="AH4718" t="s">
        <v>10876</v>
      </c>
      <c r="AI4718">
        <v>239</v>
      </c>
      <c r="AJ4718" t="s">
        <v>10213</v>
      </c>
      <c r="AL4718">
        <v>0.5</v>
      </c>
      <c r="AM4718" t="s">
        <v>10889</v>
      </c>
      <c r="AN4718" t="s">
        <v>10946</v>
      </c>
      <c r="AO4718" t="s">
        <v>11012</v>
      </c>
      <c r="AP4718" t="s">
        <v>11060</v>
      </c>
      <c r="AR4718" t="s">
        <v>11297</v>
      </c>
      <c r="AS4718" t="s">
        <v>11595</v>
      </c>
      <c r="AT4718" t="s">
        <v>11641</v>
      </c>
      <c r="BA4718" t="s">
        <v>11741</v>
      </c>
      <c r="BB4718">
        <v>0</v>
      </c>
      <c r="BC4718">
        <v>0</v>
      </c>
      <c r="BD4718">
        <v>0</v>
      </c>
      <c r="BE4718">
        <v>0</v>
      </c>
      <c r="BF4718">
        <v>1</v>
      </c>
      <c r="BG4718">
        <v>0</v>
      </c>
    </row>
    <row r="4719" spans="1:59">
      <c r="A4719" s="1">
        <f>HYPERLINK("https://lsnyc.legalserver.org/matter/dynamic-profile/view/1908919","19-1908919")</f>
        <v>0</v>
      </c>
      <c r="B4719" t="s">
        <v>3802</v>
      </c>
      <c r="C4719" t="s">
        <v>8623</v>
      </c>
      <c r="D4719" t="s">
        <v>9928</v>
      </c>
      <c r="E4719" t="s">
        <v>10075</v>
      </c>
      <c r="F4719">
        <v>11238</v>
      </c>
      <c r="G4719" t="s">
        <v>10093</v>
      </c>
      <c r="H4719" t="s">
        <v>10100</v>
      </c>
      <c r="I4719" t="s">
        <v>10168</v>
      </c>
      <c r="J4719" t="s">
        <v>10213</v>
      </c>
      <c r="K4719" t="s">
        <v>10217</v>
      </c>
      <c r="M4719" t="s">
        <v>10327</v>
      </c>
      <c r="N4719" t="s">
        <v>10646</v>
      </c>
      <c r="P4719" t="s">
        <v>10749</v>
      </c>
      <c r="Q4719" t="s">
        <v>10765</v>
      </c>
      <c r="R4719" t="s">
        <v>10824</v>
      </c>
      <c r="T4719">
        <v>31200</v>
      </c>
      <c r="U4719">
        <v>2600</v>
      </c>
      <c r="V4719">
        <v>68</v>
      </c>
      <c r="W4719">
        <v>1</v>
      </c>
      <c r="X4719">
        <v>0</v>
      </c>
      <c r="Z4719">
        <v>249.8</v>
      </c>
      <c r="AA4719">
        <v>40.683637</v>
      </c>
      <c r="AB4719">
        <v>-73.96668</v>
      </c>
      <c r="AC4719" t="s">
        <v>10837</v>
      </c>
      <c r="AD4719" t="s">
        <v>10840</v>
      </c>
      <c r="AG4719" t="s">
        <v>10858</v>
      </c>
      <c r="AH4719" t="s">
        <v>10861</v>
      </c>
      <c r="AI4719">
        <v>234</v>
      </c>
      <c r="AJ4719" t="s">
        <v>10214</v>
      </c>
      <c r="AL4719">
        <v>2</v>
      </c>
      <c r="AM4719" t="s">
        <v>10889</v>
      </c>
      <c r="AN4719" t="s">
        <v>10923</v>
      </c>
      <c r="AO4719" t="s">
        <v>11007</v>
      </c>
      <c r="AP4719" t="s">
        <v>11061</v>
      </c>
      <c r="AR4719" t="s">
        <v>11257</v>
      </c>
      <c r="AS4719" t="s">
        <v>11595</v>
      </c>
      <c r="AT4719" t="s">
        <v>11642</v>
      </c>
      <c r="AX4719" t="s">
        <v>10838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</row>
    <row r="4720" spans="1:59">
      <c r="A4720" s="1">
        <f>HYPERLINK("https://lsnyc.legalserver.org/matter/dynamic-profile/view/1908920","19-1908920")</f>
        <v>0</v>
      </c>
      <c r="B4720" t="s">
        <v>3803</v>
      </c>
      <c r="C4720" t="s">
        <v>8624</v>
      </c>
      <c r="D4720" t="s">
        <v>9926</v>
      </c>
      <c r="E4720" t="s">
        <v>10075</v>
      </c>
      <c r="F4720">
        <v>10467</v>
      </c>
      <c r="G4720" t="s">
        <v>10090</v>
      </c>
      <c r="H4720" t="s">
        <v>10100</v>
      </c>
      <c r="J4720" t="s">
        <v>10210</v>
      </c>
      <c r="K4720" t="s">
        <v>10217</v>
      </c>
      <c r="M4720" t="s">
        <v>10406</v>
      </c>
      <c r="N4720" t="s">
        <v>10688</v>
      </c>
      <c r="P4720" t="s">
        <v>10751</v>
      </c>
      <c r="Q4720" t="s">
        <v>10761</v>
      </c>
      <c r="R4720" t="s">
        <v>10823</v>
      </c>
      <c r="T4720">
        <v>8892</v>
      </c>
      <c r="U4720">
        <v>741</v>
      </c>
      <c r="V4720">
        <v>48</v>
      </c>
      <c r="W4720">
        <v>1</v>
      </c>
      <c r="X4720">
        <v>0</v>
      </c>
      <c r="Z4720">
        <v>71.19</v>
      </c>
      <c r="AA4720">
        <v>40.873601</v>
      </c>
      <c r="AB4720">
        <v>-73.880658</v>
      </c>
      <c r="AD4720" t="s">
        <v>10839</v>
      </c>
      <c r="AG4720" t="s">
        <v>10858</v>
      </c>
      <c r="AH4720" t="s">
        <v>10862</v>
      </c>
      <c r="AI4720">
        <v>230</v>
      </c>
      <c r="AJ4720" t="s">
        <v>10210</v>
      </c>
      <c r="AL4720">
        <v>0</v>
      </c>
      <c r="AM4720" t="s">
        <v>10887</v>
      </c>
      <c r="AN4720" t="s">
        <v>10938</v>
      </c>
      <c r="AO4720" t="s">
        <v>11010</v>
      </c>
      <c r="AP4720" t="s">
        <v>11057</v>
      </c>
      <c r="AR4720" t="s">
        <v>11263</v>
      </c>
      <c r="AS4720" t="s">
        <v>9926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</row>
    <row r="4721" spans="1:59">
      <c r="A4721" s="1">
        <f>HYPERLINK("https://lsnyc.legalserver.org/matter/dynamic-profile/view/1908921","19-1908921")</f>
        <v>0</v>
      </c>
      <c r="B4721" t="s">
        <v>3804</v>
      </c>
      <c r="C4721" t="s">
        <v>8625</v>
      </c>
      <c r="D4721" t="s">
        <v>9941</v>
      </c>
      <c r="E4721" t="s">
        <v>10075</v>
      </c>
      <c r="F4721">
        <v>11427</v>
      </c>
      <c r="G4721" t="s">
        <v>10092</v>
      </c>
      <c r="H4721" t="s">
        <v>10100</v>
      </c>
      <c r="J4721" t="s">
        <v>10212</v>
      </c>
      <c r="K4721" t="s">
        <v>10217</v>
      </c>
      <c r="M4721" t="s">
        <v>10491</v>
      </c>
      <c r="N4721" t="s">
        <v>10695</v>
      </c>
      <c r="P4721" t="s">
        <v>10749</v>
      </c>
      <c r="Q4721" t="s">
        <v>10765</v>
      </c>
      <c r="R4721" t="s">
        <v>10823</v>
      </c>
      <c r="T4721">
        <v>9710</v>
      </c>
      <c r="U4721">
        <v>809.17</v>
      </c>
      <c r="V4721">
        <v>25</v>
      </c>
      <c r="W4721">
        <v>1</v>
      </c>
      <c r="X4721">
        <v>1</v>
      </c>
      <c r="Z4721">
        <v>57.42</v>
      </c>
      <c r="AA4721">
        <v>40.72391</v>
      </c>
      <c r="AB4721">
        <v>-73.763912</v>
      </c>
      <c r="AD4721" t="s">
        <v>10839</v>
      </c>
      <c r="AG4721" t="s">
        <v>10858</v>
      </c>
      <c r="AH4721" t="s">
        <v>10862</v>
      </c>
      <c r="AI4721">
        <v>237</v>
      </c>
      <c r="AJ4721" t="s">
        <v>10212</v>
      </c>
      <c r="AL4721">
        <v>1.6</v>
      </c>
      <c r="AM4721" t="s">
        <v>10892</v>
      </c>
      <c r="AN4721" t="s">
        <v>10944</v>
      </c>
      <c r="AO4721" t="s">
        <v>11020</v>
      </c>
      <c r="AP4721" t="s">
        <v>11078</v>
      </c>
      <c r="AR4721" t="s">
        <v>11257</v>
      </c>
      <c r="AS4721" t="s">
        <v>11594</v>
      </c>
      <c r="AX4721" t="s">
        <v>10837</v>
      </c>
      <c r="BA4721" t="s">
        <v>11742</v>
      </c>
      <c r="BB4721">
        <v>0</v>
      </c>
      <c r="BC4721">
        <v>0</v>
      </c>
      <c r="BD4721">
        <v>0</v>
      </c>
      <c r="BE4721">
        <v>0</v>
      </c>
      <c r="BF4721">
        <v>7</v>
      </c>
      <c r="BG4721">
        <v>0</v>
      </c>
    </row>
    <row r="4722" spans="1:59">
      <c r="A4722" s="1">
        <f>HYPERLINK("https://lsnyc.legalserver.org/matter/dynamic-profile/view/1908922","19-1908922")</f>
        <v>0</v>
      </c>
      <c r="B4722" t="s">
        <v>3805</v>
      </c>
      <c r="C4722" t="s">
        <v>8626</v>
      </c>
      <c r="D4722" t="s">
        <v>9926</v>
      </c>
      <c r="E4722" t="s">
        <v>10075</v>
      </c>
      <c r="F4722">
        <v>10468</v>
      </c>
      <c r="G4722" t="s">
        <v>10090</v>
      </c>
      <c r="H4722" t="s">
        <v>10100</v>
      </c>
      <c r="I4722" t="s">
        <v>10169</v>
      </c>
      <c r="J4722" t="s">
        <v>10210</v>
      </c>
      <c r="K4722" t="s">
        <v>10217</v>
      </c>
      <c r="M4722" t="s">
        <v>10406</v>
      </c>
      <c r="N4722" t="s">
        <v>10688</v>
      </c>
      <c r="P4722" t="s">
        <v>10751</v>
      </c>
      <c r="Q4722" t="s">
        <v>10761</v>
      </c>
      <c r="R4722" t="s">
        <v>10821</v>
      </c>
      <c r="T4722">
        <v>31304</v>
      </c>
      <c r="U4722">
        <v>2608.67</v>
      </c>
      <c r="V4722">
        <v>50</v>
      </c>
      <c r="W4722">
        <v>3</v>
      </c>
      <c r="X4722">
        <v>3</v>
      </c>
      <c r="Z4722">
        <v>90.5</v>
      </c>
      <c r="AA4722">
        <v>40.866609</v>
      </c>
      <c r="AB4722">
        <v>-73.897141</v>
      </c>
      <c r="AD4722" t="s">
        <v>10839</v>
      </c>
      <c r="AF4722" t="s">
        <v>10843</v>
      </c>
      <c r="AG4722" t="s">
        <v>10859</v>
      </c>
      <c r="AH4722" t="s">
        <v>10862</v>
      </c>
      <c r="AI4722">
        <v>230</v>
      </c>
      <c r="AJ4722" t="s">
        <v>10210</v>
      </c>
      <c r="AL4722">
        <v>0</v>
      </c>
      <c r="AM4722" t="s">
        <v>10887</v>
      </c>
      <c r="AN4722" t="s">
        <v>10907</v>
      </c>
      <c r="AO4722" t="s">
        <v>11000</v>
      </c>
      <c r="AP4722" t="s">
        <v>11045</v>
      </c>
      <c r="AR4722" t="s">
        <v>11257</v>
      </c>
      <c r="AS4722" t="s">
        <v>9926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</row>
    <row r="4723" spans="1:59">
      <c r="A4723" s="1">
        <f>HYPERLINK("https://lsnyc.legalserver.org/matter/dynamic-profile/view/1908923","19-1908923")</f>
        <v>0</v>
      </c>
      <c r="B4723" t="s">
        <v>3806</v>
      </c>
      <c r="C4723" t="s">
        <v>8627</v>
      </c>
      <c r="D4723" t="s">
        <v>9932</v>
      </c>
      <c r="E4723" t="s">
        <v>10075</v>
      </c>
      <c r="F4723">
        <v>11368</v>
      </c>
      <c r="G4723" t="s">
        <v>10092</v>
      </c>
      <c r="H4723" t="s">
        <v>10100</v>
      </c>
      <c r="I4723" t="s">
        <v>10168</v>
      </c>
      <c r="J4723" t="s">
        <v>10212</v>
      </c>
      <c r="K4723" t="s">
        <v>10218</v>
      </c>
      <c r="L4723" t="s">
        <v>10155</v>
      </c>
      <c r="M4723" t="s">
        <v>10360</v>
      </c>
      <c r="N4723" t="s">
        <v>10695</v>
      </c>
      <c r="P4723" t="s">
        <v>10749</v>
      </c>
      <c r="Q4723" t="s">
        <v>10765</v>
      </c>
      <c r="R4723" t="s">
        <v>10825</v>
      </c>
      <c r="T4723">
        <v>6012</v>
      </c>
      <c r="U4723">
        <v>501</v>
      </c>
      <c r="V4723">
        <v>41</v>
      </c>
      <c r="W4723">
        <v>2</v>
      </c>
      <c r="X4723">
        <v>3</v>
      </c>
      <c r="Y4723" t="s">
        <v>10829</v>
      </c>
      <c r="Z4723">
        <v>19.93</v>
      </c>
      <c r="AA4723">
        <v>40.735973</v>
      </c>
      <c r="AB4723">
        <v>-73.86074600000001</v>
      </c>
      <c r="AD4723" t="s">
        <v>10840</v>
      </c>
      <c r="AG4723" t="s">
        <v>10858</v>
      </c>
      <c r="AH4723" t="s">
        <v>10862</v>
      </c>
      <c r="AI4723">
        <v>237</v>
      </c>
      <c r="AJ4723" t="s">
        <v>10212</v>
      </c>
      <c r="AK4723" t="s">
        <v>10838</v>
      </c>
      <c r="AL4723">
        <v>1.5</v>
      </c>
      <c r="AM4723" t="s">
        <v>10885</v>
      </c>
      <c r="AN4723" t="s">
        <v>10916</v>
      </c>
      <c r="AO4723" t="s">
        <v>11014</v>
      </c>
      <c r="AP4723" t="s">
        <v>11068</v>
      </c>
      <c r="AR4723" t="s">
        <v>11255</v>
      </c>
      <c r="AS4723" t="s">
        <v>11594</v>
      </c>
      <c r="AY4723" t="s">
        <v>10829</v>
      </c>
      <c r="AZ4723" t="s">
        <v>11681</v>
      </c>
      <c r="BA4723" t="s">
        <v>11741</v>
      </c>
      <c r="BB4723">
        <v>0</v>
      </c>
      <c r="BC4723">
        <v>0</v>
      </c>
      <c r="BD4723">
        <v>0</v>
      </c>
      <c r="BE4723">
        <v>0</v>
      </c>
      <c r="BF4723">
        <v>1</v>
      </c>
      <c r="BG4723">
        <v>0</v>
      </c>
    </row>
    <row r="4724" spans="1:59">
      <c r="A4724" s="1">
        <f>HYPERLINK("https://lsnyc.legalserver.org/matter/dynamic-profile/view/1908924","19-1908924")</f>
        <v>0</v>
      </c>
      <c r="B4724" t="s">
        <v>3807</v>
      </c>
      <c r="C4724" t="s">
        <v>8628</v>
      </c>
      <c r="D4724" t="s">
        <v>9926</v>
      </c>
      <c r="E4724" t="s">
        <v>10075</v>
      </c>
      <c r="F4724">
        <v>10457</v>
      </c>
      <c r="G4724" t="s">
        <v>10090</v>
      </c>
      <c r="H4724" t="s">
        <v>10100</v>
      </c>
      <c r="I4724" t="s">
        <v>10169</v>
      </c>
      <c r="J4724" t="s">
        <v>10210</v>
      </c>
      <c r="K4724" t="s">
        <v>10217</v>
      </c>
      <c r="M4724" t="s">
        <v>10401</v>
      </c>
      <c r="N4724" t="s">
        <v>10705</v>
      </c>
      <c r="P4724" t="s">
        <v>10751</v>
      </c>
      <c r="Q4724" t="s">
        <v>10796</v>
      </c>
      <c r="R4724" t="s">
        <v>10823</v>
      </c>
      <c r="T4724">
        <v>13520</v>
      </c>
      <c r="U4724">
        <v>1126.67</v>
      </c>
      <c r="V4724">
        <v>37</v>
      </c>
      <c r="W4724">
        <v>1</v>
      </c>
      <c r="X4724">
        <v>2</v>
      </c>
      <c r="Z4724">
        <v>63.38</v>
      </c>
      <c r="AA4724">
        <v>40.843222</v>
      </c>
      <c r="AB4724">
        <v>-73.907067</v>
      </c>
      <c r="AD4724" t="s">
        <v>10839</v>
      </c>
      <c r="AF4724" t="s">
        <v>10843</v>
      </c>
      <c r="AG4724" t="s">
        <v>10859</v>
      </c>
      <c r="AH4724" t="s">
        <v>10874</v>
      </c>
      <c r="AI4724">
        <v>230</v>
      </c>
      <c r="AJ4724" t="s">
        <v>10210</v>
      </c>
      <c r="AL4724">
        <v>2.5</v>
      </c>
      <c r="AM4724" t="s">
        <v>10884</v>
      </c>
      <c r="AN4724" t="s">
        <v>10931</v>
      </c>
      <c r="AO4724" t="s">
        <v>11000</v>
      </c>
      <c r="AP4724" t="s">
        <v>11056</v>
      </c>
      <c r="AR4724" t="s">
        <v>11257</v>
      </c>
      <c r="AS4724" t="s">
        <v>9926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</row>
    <row r="4725" spans="1:59">
      <c r="A4725" s="1">
        <f>HYPERLINK("https://lsnyc.legalserver.org/matter/dynamic-profile/view/1908925","19-1908925")</f>
        <v>0</v>
      </c>
      <c r="B4725" t="s">
        <v>2106</v>
      </c>
      <c r="C4725" t="s">
        <v>8629</v>
      </c>
      <c r="D4725" t="s">
        <v>9926</v>
      </c>
      <c r="E4725" t="s">
        <v>10075</v>
      </c>
      <c r="F4725">
        <v>10456</v>
      </c>
      <c r="G4725" t="s">
        <v>10091</v>
      </c>
      <c r="H4725" t="s">
        <v>10162</v>
      </c>
      <c r="I4725" t="s">
        <v>10169</v>
      </c>
      <c r="J4725" t="s">
        <v>10214</v>
      </c>
      <c r="K4725" t="s">
        <v>10217</v>
      </c>
      <c r="M4725" t="s">
        <v>10537</v>
      </c>
      <c r="N4725" t="s">
        <v>10671</v>
      </c>
      <c r="P4725" t="s">
        <v>10753</v>
      </c>
      <c r="Q4725" t="s">
        <v>10763</v>
      </c>
      <c r="R4725" t="s">
        <v>10821</v>
      </c>
      <c r="T4725">
        <v>33600</v>
      </c>
      <c r="U4725">
        <v>2800</v>
      </c>
      <c r="V4725">
        <v>23</v>
      </c>
      <c r="W4725">
        <v>2</v>
      </c>
      <c r="X4725">
        <v>0</v>
      </c>
      <c r="Z4725">
        <v>198.7</v>
      </c>
      <c r="AA4725">
        <v>40.819473</v>
      </c>
      <c r="AB4725">
        <v>-73.90817199999999</v>
      </c>
      <c r="AD4725" t="s">
        <v>10840</v>
      </c>
      <c r="AF4725" t="s">
        <v>10843</v>
      </c>
      <c r="AG4725" t="s">
        <v>10859</v>
      </c>
      <c r="AH4725" t="s">
        <v>10871</v>
      </c>
      <c r="AI4725">
        <v>234</v>
      </c>
      <c r="AJ4725" t="s">
        <v>10214</v>
      </c>
      <c r="AL4725">
        <v>0.5</v>
      </c>
      <c r="AM4725" t="s">
        <v>10884</v>
      </c>
      <c r="AN4725" t="s">
        <v>10918</v>
      </c>
      <c r="AO4725" t="s">
        <v>11001</v>
      </c>
      <c r="AP4725" t="s">
        <v>11062</v>
      </c>
      <c r="AR4725" t="s">
        <v>11257</v>
      </c>
      <c r="AS4725" t="s">
        <v>9926</v>
      </c>
      <c r="AT4725" t="s">
        <v>11641</v>
      </c>
      <c r="AX4725" t="s">
        <v>10838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</row>
    <row r="4726" spans="1:59">
      <c r="A4726" s="1">
        <f>HYPERLINK("https://lsnyc.legalserver.org/matter/dynamic-profile/view/1908927","19-1908927")</f>
        <v>0</v>
      </c>
      <c r="B4726" t="s">
        <v>3761</v>
      </c>
      <c r="C4726" t="s">
        <v>8582</v>
      </c>
      <c r="D4726" t="s">
        <v>9926</v>
      </c>
      <c r="E4726" t="s">
        <v>10075</v>
      </c>
      <c r="F4726">
        <v>10467</v>
      </c>
      <c r="G4726" t="s">
        <v>10090</v>
      </c>
      <c r="H4726" t="s">
        <v>10100</v>
      </c>
      <c r="I4726" t="s">
        <v>10168</v>
      </c>
      <c r="J4726" t="s">
        <v>10210</v>
      </c>
      <c r="K4726" t="s">
        <v>10217</v>
      </c>
      <c r="M4726" t="s">
        <v>10334</v>
      </c>
      <c r="N4726" t="s">
        <v>10671</v>
      </c>
      <c r="P4726" t="s">
        <v>10751</v>
      </c>
      <c r="Q4726" t="s">
        <v>10761</v>
      </c>
      <c r="R4726" t="s">
        <v>10821</v>
      </c>
      <c r="T4726">
        <v>3336</v>
      </c>
      <c r="U4726">
        <v>278</v>
      </c>
      <c r="V4726">
        <v>24</v>
      </c>
      <c r="W4726">
        <v>1</v>
      </c>
      <c r="X4726">
        <v>1</v>
      </c>
      <c r="Z4726">
        <v>19.73</v>
      </c>
      <c r="AA4726">
        <v>40.86341</v>
      </c>
      <c r="AB4726">
        <v>-73.86595199999999</v>
      </c>
      <c r="AD4726" t="s">
        <v>10839</v>
      </c>
      <c r="AG4726" t="s">
        <v>10858</v>
      </c>
      <c r="AH4726" t="s">
        <v>10862</v>
      </c>
      <c r="AI4726">
        <v>230</v>
      </c>
      <c r="AJ4726" t="s">
        <v>10210</v>
      </c>
      <c r="AL4726">
        <v>1.5</v>
      </c>
      <c r="AR4726" t="s">
        <v>11255</v>
      </c>
      <c r="AS4726" t="s">
        <v>9926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</row>
    <row r="4727" spans="1:59">
      <c r="A4727" s="1">
        <f>HYPERLINK("https://lsnyc.legalserver.org/matter/dynamic-profile/view/1908928","19-1908928")</f>
        <v>0</v>
      </c>
      <c r="B4727" t="s">
        <v>147</v>
      </c>
      <c r="C4727" t="s">
        <v>8630</v>
      </c>
      <c r="D4727" t="s">
        <v>9928</v>
      </c>
      <c r="E4727" t="s">
        <v>10075</v>
      </c>
      <c r="F4727">
        <v>11213</v>
      </c>
      <c r="G4727" t="s">
        <v>10091</v>
      </c>
      <c r="H4727" t="s">
        <v>10100</v>
      </c>
      <c r="I4727" t="s">
        <v>10168</v>
      </c>
      <c r="J4727" t="s">
        <v>10214</v>
      </c>
      <c r="K4727" t="s">
        <v>10217</v>
      </c>
      <c r="M4727" t="s">
        <v>10286</v>
      </c>
      <c r="N4727" t="s">
        <v>10671</v>
      </c>
      <c r="P4727" t="s">
        <v>10750</v>
      </c>
      <c r="Q4727" t="s">
        <v>10781</v>
      </c>
      <c r="R4727" t="s">
        <v>10824</v>
      </c>
      <c r="T4727">
        <v>0</v>
      </c>
      <c r="U4727">
        <v>0</v>
      </c>
      <c r="V4727">
        <v>50</v>
      </c>
      <c r="W4727">
        <v>1</v>
      </c>
      <c r="X4727">
        <v>0</v>
      </c>
      <c r="Z4727">
        <v>0</v>
      </c>
      <c r="AA4727">
        <v>40.670704</v>
      </c>
      <c r="AB4727">
        <v>-73.942297</v>
      </c>
      <c r="AD4727" t="s">
        <v>10839</v>
      </c>
      <c r="AG4727" t="s">
        <v>10858</v>
      </c>
      <c r="AH4727" t="s">
        <v>10861</v>
      </c>
      <c r="AI4727">
        <v>234</v>
      </c>
      <c r="AJ4727" t="s">
        <v>10214</v>
      </c>
      <c r="AL4727">
        <v>0.5</v>
      </c>
      <c r="AM4727" t="s">
        <v>10888</v>
      </c>
      <c r="AN4727" t="s">
        <v>10912</v>
      </c>
      <c r="AO4727" t="s">
        <v>11005</v>
      </c>
      <c r="AP4727" t="s">
        <v>11061</v>
      </c>
      <c r="AR4727" t="s">
        <v>11267</v>
      </c>
      <c r="AS4727" t="s">
        <v>11595</v>
      </c>
      <c r="AT4727" t="s">
        <v>11641</v>
      </c>
      <c r="AX4727" t="s">
        <v>10838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</row>
    <row r="4728" spans="1:59">
      <c r="A4728" s="1">
        <f>HYPERLINK("https://lsnyc.legalserver.org/matter/dynamic-profile/view/1908929","19-1908929")</f>
        <v>0</v>
      </c>
      <c r="B4728" t="s">
        <v>3808</v>
      </c>
      <c r="C4728" t="s">
        <v>8631</v>
      </c>
      <c r="D4728" t="s">
        <v>9925</v>
      </c>
      <c r="E4728" t="s">
        <v>10075</v>
      </c>
      <c r="F4728">
        <v>10025</v>
      </c>
      <c r="G4728" t="s">
        <v>10089</v>
      </c>
      <c r="H4728" t="s">
        <v>10100</v>
      </c>
      <c r="I4728" t="s">
        <v>10168</v>
      </c>
      <c r="J4728" t="s">
        <v>10209</v>
      </c>
      <c r="K4728" t="s">
        <v>10217</v>
      </c>
      <c r="M4728" t="s">
        <v>10288</v>
      </c>
      <c r="N4728" t="s">
        <v>10665</v>
      </c>
      <c r="P4728" t="s">
        <v>10750</v>
      </c>
      <c r="Q4728" t="s">
        <v>10760</v>
      </c>
      <c r="R4728" t="s">
        <v>10827</v>
      </c>
      <c r="T4728">
        <v>8772</v>
      </c>
      <c r="U4728">
        <v>731</v>
      </c>
      <c r="V4728">
        <v>47</v>
      </c>
      <c r="W4728">
        <v>1</v>
      </c>
      <c r="X4728">
        <v>0</v>
      </c>
      <c r="Z4728">
        <v>70.23</v>
      </c>
      <c r="AA4728">
        <v>40.793341</v>
      </c>
      <c r="AB4728">
        <v>-73.97545</v>
      </c>
      <c r="AD4728" t="s">
        <v>10839</v>
      </c>
      <c r="AG4728" t="s">
        <v>10858</v>
      </c>
      <c r="AH4728" t="s">
        <v>10871</v>
      </c>
      <c r="AI4728">
        <v>234</v>
      </c>
      <c r="AJ4728" t="s">
        <v>10214</v>
      </c>
      <c r="AL4728">
        <v>1.35</v>
      </c>
      <c r="AM4728" t="s">
        <v>10894</v>
      </c>
      <c r="AN4728" t="s">
        <v>10953</v>
      </c>
      <c r="AO4728" t="s">
        <v>11019</v>
      </c>
      <c r="AP4728" t="s">
        <v>11089</v>
      </c>
      <c r="AR4728" t="s">
        <v>10180</v>
      </c>
      <c r="AS4728" t="s">
        <v>9925</v>
      </c>
      <c r="AT4728" t="s">
        <v>11641</v>
      </c>
      <c r="AX4728" t="s">
        <v>10838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</row>
    <row r="4729" spans="1:59">
      <c r="A4729" s="1">
        <f>HYPERLINK("https://lsnyc.legalserver.org/matter/dynamic-profile/view/1908930","19-1908930")</f>
        <v>0</v>
      </c>
      <c r="B4729" t="s">
        <v>3792</v>
      </c>
      <c r="C4729" t="s">
        <v>6062</v>
      </c>
      <c r="D4729" t="s">
        <v>9926</v>
      </c>
      <c r="E4729" t="s">
        <v>10075</v>
      </c>
      <c r="F4729">
        <v>10468</v>
      </c>
      <c r="G4729" t="s">
        <v>10090</v>
      </c>
      <c r="H4729" t="s">
        <v>10100</v>
      </c>
      <c r="I4729" t="s">
        <v>10168</v>
      </c>
      <c r="J4729" t="s">
        <v>10210</v>
      </c>
      <c r="K4729" t="s">
        <v>10217</v>
      </c>
      <c r="M4729" t="s">
        <v>10406</v>
      </c>
      <c r="N4729" t="s">
        <v>10688</v>
      </c>
      <c r="P4729" t="s">
        <v>10751</v>
      </c>
      <c r="Q4729" t="s">
        <v>10761</v>
      </c>
      <c r="R4729" t="s">
        <v>10821</v>
      </c>
      <c r="T4729">
        <v>32184</v>
      </c>
      <c r="U4729">
        <v>2682</v>
      </c>
      <c r="V4729">
        <v>55</v>
      </c>
      <c r="W4729">
        <v>3</v>
      </c>
      <c r="X4729">
        <v>2</v>
      </c>
      <c r="Z4729">
        <v>106.68</v>
      </c>
      <c r="AA4729">
        <v>40.863908</v>
      </c>
      <c r="AB4729">
        <v>-73.90107</v>
      </c>
      <c r="AD4729" t="s">
        <v>10840</v>
      </c>
      <c r="AF4729" t="s">
        <v>10843</v>
      </c>
      <c r="AG4729" t="s">
        <v>10859</v>
      </c>
      <c r="AH4729" t="s">
        <v>10862</v>
      </c>
      <c r="AI4729">
        <v>230</v>
      </c>
      <c r="AJ4729" t="s">
        <v>10210</v>
      </c>
      <c r="AL4729">
        <v>1.5</v>
      </c>
      <c r="AM4729" t="s">
        <v>10887</v>
      </c>
      <c r="AN4729" t="s">
        <v>10907</v>
      </c>
      <c r="AO4729" t="s">
        <v>11000</v>
      </c>
      <c r="AP4729" t="s">
        <v>11045</v>
      </c>
      <c r="AR4729" t="s">
        <v>11553</v>
      </c>
      <c r="AS4729" t="s">
        <v>9926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</row>
    <row r="4730" spans="1:59">
      <c r="A4730" s="1">
        <f>HYPERLINK("https://lsnyc.legalserver.org/matter/dynamic-profile/view/1908931","19-1908931")</f>
        <v>0</v>
      </c>
      <c r="B4730" t="s">
        <v>3809</v>
      </c>
      <c r="C4730" t="s">
        <v>8632</v>
      </c>
      <c r="D4730" t="s">
        <v>9928</v>
      </c>
      <c r="E4730" t="s">
        <v>10075</v>
      </c>
      <c r="F4730">
        <v>11216</v>
      </c>
      <c r="G4730" t="s">
        <v>10091</v>
      </c>
      <c r="H4730" t="s">
        <v>10100</v>
      </c>
      <c r="I4730" t="s">
        <v>10169</v>
      </c>
      <c r="J4730" t="s">
        <v>10214</v>
      </c>
      <c r="K4730" t="s">
        <v>10217</v>
      </c>
      <c r="M4730" t="s">
        <v>10286</v>
      </c>
      <c r="N4730" t="s">
        <v>10671</v>
      </c>
      <c r="P4730" t="s">
        <v>10751</v>
      </c>
      <c r="Q4730" t="s">
        <v>10768</v>
      </c>
      <c r="R4730" t="s">
        <v>10821</v>
      </c>
      <c r="T4730">
        <v>0</v>
      </c>
      <c r="U4730">
        <v>0</v>
      </c>
      <c r="V4730">
        <v>51</v>
      </c>
      <c r="W4730">
        <v>1</v>
      </c>
      <c r="X4730">
        <v>0</v>
      </c>
      <c r="Z4730">
        <v>0</v>
      </c>
      <c r="AA4730">
        <v>40.686254</v>
      </c>
      <c r="AB4730">
        <v>-73.94823</v>
      </c>
      <c r="AD4730" t="s">
        <v>10840</v>
      </c>
      <c r="AG4730" t="s">
        <v>10858</v>
      </c>
      <c r="AH4730" t="s">
        <v>10871</v>
      </c>
      <c r="AI4730">
        <v>234</v>
      </c>
      <c r="AJ4730" t="s">
        <v>10214</v>
      </c>
      <c r="AL4730">
        <v>1</v>
      </c>
      <c r="AM4730" t="s">
        <v>10889</v>
      </c>
      <c r="AN4730" t="s">
        <v>10914</v>
      </c>
      <c r="AO4730" t="s">
        <v>11007</v>
      </c>
      <c r="AP4730" t="s">
        <v>11052</v>
      </c>
      <c r="AR4730" t="s">
        <v>11279</v>
      </c>
      <c r="AS4730" t="s">
        <v>11595</v>
      </c>
      <c r="AT4730" t="s">
        <v>11642</v>
      </c>
      <c r="AX4730" t="s">
        <v>10837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</row>
    <row r="4731" spans="1:59">
      <c r="A4731" s="1">
        <f>HYPERLINK("https://lsnyc.legalserver.org/matter/dynamic-profile/view/1908932","19-1908932")</f>
        <v>0</v>
      </c>
      <c r="B4731" t="s">
        <v>3810</v>
      </c>
      <c r="C4731" t="s">
        <v>8633</v>
      </c>
      <c r="D4731" t="s">
        <v>9926</v>
      </c>
      <c r="E4731" t="s">
        <v>10075</v>
      </c>
      <c r="F4731">
        <v>10468</v>
      </c>
      <c r="G4731" t="s">
        <v>10090</v>
      </c>
      <c r="H4731" t="s">
        <v>10100</v>
      </c>
      <c r="I4731" t="s">
        <v>10168</v>
      </c>
      <c r="J4731" t="s">
        <v>10210</v>
      </c>
      <c r="K4731" t="s">
        <v>10217</v>
      </c>
      <c r="M4731" t="s">
        <v>10498</v>
      </c>
      <c r="N4731" t="s">
        <v>10646</v>
      </c>
      <c r="P4731" t="s">
        <v>10749</v>
      </c>
      <c r="Q4731" t="s">
        <v>10765</v>
      </c>
      <c r="R4731" t="s">
        <v>10821</v>
      </c>
      <c r="T4731">
        <v>50000</v>
      </c>
      <c r="U4731">
        <v>4166.67</v>
      </c>
      <c r="V4731">
        <v>35</v>
      </c>
      <c r="W4731">
        <v>1</v>
      </c>
      <c r="X4731">
        <v>0</v>
      </c>
      <c r="Z4731">
        <v>400.32</v>
      </c>
      <c r="AA4731">
        <v>40.864982</v>
      </c>
      <c r="AB4731">
        <v>-73.895809</v>
      </c>
      <c r="AD4731" t="s">
        <v>10839</v>
      </c>
      <c r="AG4731" t="s">
        <v>10858</v>
      </c>
      <c r="AH4731" t="s">
        <v>10862</v>
      </c>
      <c r="AI4731">
        <v>230</v>
      </c>
      <c r="AJ4731" t="s">
        <v>10210</v>
      </c>
      <c r="AL4731">
        <v>0.35</v>
      </c>
      <c r="AM4731" t="s">
        <v>10887</v>
      </c>
      <c r="AN4731" t="s">
        <v>10907</v>
      </c>
      <c r="AO4731" t="s">
        <v>11000</v>
      </c>
      <c r="AP4731" t="s">
        <v>11045</v>
      </c>
      <c r="AR4731" t="s">
        <v>11257</v>
      </c>
      <c r="AS4731" t="s">
        <v>9926</v>
      </c>
      <c r="AT4731" t="s">
        <v>11641</v>
      </c>
      <c r="BA4731" t="s">
        <v>11740</v>
      </c>
      <c r="BB4731">
        <v>0</v>
      </c>
      <c r="BC4731">
        <v>0</v>
      </c>
      <c r="BD4731">
        <v>0</v>
      </c>
      <c r="BE4731">
        <v>0</v>
      </c>
      <c r="BF4731">
        <v>2</v>
      </c>
      <c r="BG4731">
        <v>0</v>
      </c>
    </row>
    <row r="4732" spans="1:59">
      <c r="A4732" s="1">
        <f>HYPERLINK("https://lsnyc.legalserver.org/matter/dynamic-profile/view/1908933","19-1908933")</f>
        <v>0</v>
      </c>
      <c r="B4732" t="s">
        <v>3811</v>
      </c>
      <c r="C4732" t="s">
        <v>8634</v>
      </c>
      <c r="D4732" t="s">
        <v>9926</v>
      </c>
      <c r="E4732" t="s">
        <v>10075</v>
      </c>
      <c r="F4732">
        <v>10473</v>
      </c>
      <c r="G4732" t="s">
        <v>10090</v>
      </c>
      <c r="H4732" t="s">
        <v>10100</v>
      </c>
      <c r="I4732" t="s">
        <v>10168</v>
      </c>
      <c r="J4732" t="s">
        <v>10210</v>
      </c>
      <c r="K4732" t="s">
        <v>10217</v>
      </c>
      <c r="M4732" t="s">
        <v>10495</v>
      </c>
      <c r="N4732" t="s">
        <v>10658</v>
      </c>
      <c r="P4732" t="s">
        <v>10749</v>
      </c>
      <c r="Q4732" t="s">
        <v>10769</v>
      </c>
      <c r="R4732" t="s">
        <v>10824</v>
      </c>
      <c r="T4732">
        <v>75172.56</v>
      </c>
      <c r="U4732">
        <v>6264.38</v>
      </c>
      <c r="V4732">
        <v>69</v>
      </c>
      <c r="W4732">
        <v>1</v>
      </c>
      <c r="X4732">
        <v>0</v>
      </c>
      <c r="Z4732">
        <v>601.86</v>
      </c>
      <c r="AA4732">
        <v>40.8198</v>
      </c>
      <c r="AB4732">
        <v>-73.86618799999999</v>
      </c>
      <c r="AC4732" t="s">
        <v>10837</v>
      </c>
      <c r="AD4732" t="s">
        <v>10840</v>
      </c>
      <c r="AG4732" t="s">
        <v>10858</v>
      </c>
      <c r="AH4732" t="s">
        <v>10860</v>
      </c>
      <c r="AI4732">
        <v>230</v>
      </c>
      <c r="AJ4732" t="s">
        <v>10210</v>
      </c>
      <c r="AL4732">
        <v>3.5</v>
      </c>
      <c r="AM4732" t="s">
        <v>10884</v>
      </c>
      <c r="AN4732" t="s">
        <v>10968</v>
      </c>
      <c r="AO4732" t="s">
        <v>11002</v>
      </c>
      <c r="AP4732" t="s">
        <v>11046</v>
      </c>
      <c r="AR4732" t="s">
        <v>11345</v>
      </c>
      <c r="AS4732" t="s">
        <v>9926</v>
      </c>
      <c r="AT4732" t="s">
        <v>11642</v>
      </c>
      <c r="AX4732" t="s">
        <v>10838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</row>
    <row r="4733" spans="1:59">
      <c r="A4733" s="1">
        <f>HYPERLINK("https://lsnyc.legalserver.org/matter/dynamic-profile/view/1908934","19-1908934")</f>
        <v>0</v>
      </c>
      <c r="B4733" t="s">
        <v>3812</v>
      </c>
      <c r="C4733" t="s">
        <v>8635</v>
      </c>
      <c r="D4733" t="s">
        <v>9925</v>
      </c>
      <c r="E4733" t="s">
        <v>10075</v>
      </c>
      <c r="F4733">
        <v>10014</v>
      </c>
      <c r="G4733" t="s">
        <v>10089</v>
      </c>
      <c r="H4733" t="s">
        <v>10100</v>
      </c>
      <c r="I4733" t="s">
        <v>10168</v>
      </c>
      <c r="J4733" t="s">
        <v>10209</v>
      </c>
      <c r="K4733" t="s">
        <v>10217</v>
      </c>
      <c r="M4733" t="s">
        <v>10459</v>
      </c>
      <c r="N4733" t="s">
        <v>10656</v>
      </c>
      <c r="P4733" t="s">
        <v>10751</v>
      </c>
      <c r="Q4733" t="s">
        <v>10780</v>
      </c>
      <c r="R4733" t="s">
        <v>10824</v>
      </c>
      <c r="T4733">
        <v>4901</v>
      </c>
      <c r="U4733">
        <v>408.42</v>
      </c>
      <c r="V4733">
        <v>57</v>
      </c>
      <c r="W4733">
        <v>1</v>
      </c>
      <c r="X4733">
        <v>0</v>
      </c>
      <c r="Z4733">
        <v>39.24</v>
      </c>
      <c r="AA4733">
        <v>40.733248</v>
      </c>
      <c r="AB4733">
        <v>-74.004611</v>
      </c>
      <c r="AD4733" t="s">
        <v>10840</v>
      </c>
      <c r="AG4733" t="s">
        <v>10858</v>
      </c>
      <c r="AH4733" t="s">
        <v>10861</v>
      </c>
      <c r="AI4733">
        <v>234</v>
      </c>
      <c r="AJ4733" t="s">
        <v>10214</v>
      </c>
      <c r="AL4733">
        <v>1</v>
      </c>
      <c r="AM4733" t="s">
        <v>10894</v>
      </c>
      <c r="AN4733" t="s">
        <v>10950</v>
      </c>
      <c r="AO4733" t="s">
        <v>11021</v>
      </c>
      <c r="AP4733" t="s">
        <v>11090</v>
      </c>
      <c r="AR4733" t="s">
        <v>11255</v>
      </c>
      <c r="AS4733" t="s">
        <v>9925</v>
      </c>
      <c r="AT4733" t="s">
        <v>11642</v>
      </c>
      <c r="AX4733" t="s">
        <v>10838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</row>
    <row r="4734" spans="1:59">
      <c r="A4734" s="1">
        <f>HYPERLINK("https://lsnyc.legalserver.org/matter/dynamic-profile/view/1908935","19-1908935")</f>
        <v>0</v>
      </c>
      <c r="B4734" t="s">
        <v>147</v>
      </c>
      <c r="C4734" t="s">
        <v>8630</v>
      </c>
      <c r="D4734" t="s">
        <v>9928</v>
      </c>
      <c r="E4734" t="s">
        <v>10075</v>
      </c>
      <c r="F4734">
        <v>11213</v>
      </c>
      <c r="G4734" t="s">
        <v>10093</v>
      </c>
      <c r="H4734" t="s">
        <v>10100</v>
      </c>
      <c r="I4734" t="s">
        <v>10168</v>
      </c>
      <c r="J4734" t="s">
        <v>10213</v>
      </c>
      <c r="K4734" t="s">
        <v>10218</v>
      </c>
      <c r="L4734" t="s">
        <v>10152</v>
      </c>
      <c r="M4734" t="s">
        <v>10290</v>
      </c>
      <c r="N4734" t="s">
        <v>10665</v>
      </c>
      <c r="P4734" t="s">
        <v>10751</v>
      </c>
      <c r="Q4734" t="s">
        <v>10773</v>
      </c>
      <c r="R4734" t="s">
        <v>10824</v>
      </c>
      <c r="T4734">
        <v>0</v>
      </c>
      <c r="U4734">
        <v>0</v>
      </c>
      <c r="V4734">
        <v>50</v>
      </c>
      <c r="W4734">
        <v>1</v>
      </c>
      <c r="X4734">
        <v>0</v>
      </c>
      <c r="Y4734" t="s">
        <v>10830</v>
      </c>
      <c r="Z4734">
        <v>0</v>
      </c>
      <c r="AA4734">
        <v>40.670704</v>
      </c>
      <c r="AB4734">
        <v>-73.942297</v>
      </c>
      <c r="AD4734" t="s">
        <v>10839</v>
      </c>
      <c r="AG4734" t="s">
        <v>10858</v>
      </c>
      <c r="AH4734" t="s">
        <v>10861</v>
      </c>
      <c r="AI4734">
        <v>234</v>
      </c>
      <c r="AJ4734" t="s">
        <v>10214</v>
      </c>
      <c r="AK4734" t="s">
        <v>10838</v>
      </c>
      <c r="AL4734">
        <v>1.75</v>
      </c>
      <c r="AR4734" t="s">
        <v>11267</v>
      </c>
      <c r="AS4734" t="s">
        <v>11595</v>
      </c>
      <c r="AY4734" t="s">
        <v>10830</v>
      </c>
      <c r="AZ4734" t="s">
        <v>11682</v>
      </c>
      <c r="BA4734" t="s">
        <v>11740</v>
      </c>
      <c r="BB4734">
        <v>0</v>
      </c>
      <c r="BC4734">
        <v>0</v>
      </c>
      <c r="BD4734">
        <v>0</v>
      </c>
      <c r="BE4734">
        <v>0</v>
      </c>
      <c r="BF4734">
        <v>2</v>
      </c>
      <c r="BG4734">
        <v>0</v>
      </c>
    </row>
    <row r="4735" spans="1:59">
      <c r="A4735" s="1">
        <f>HYPERLINK("https://lsnyc.legalserver.org/matter/dynamic-profile/view/1908937","19-1908937")</f>
        <v>0</v>
      </c>
      <c r="B4735" t="s">
        <v>3813</v>
      </c>
      <c r="C4735" t="s">
        <v>8636</v>
      </c>
      <c r="D4735" t="s">
        <v>9925</v>
      </c>
      <c r="E4735" t="s">
        <v>10075</v>
      </c>
      <c r="F4735">
        <v>10040</v>
      </c>
      <c r="G4735" t="s">
        <v>10089</v>
      </c>
      <c r="H4735" t="s">
        <v>10100</v>
      </c>
      <c r="I4735" t="s">
        <v>10169</v>
      </c>
      <c r="J4735" t="s">
        <v>10209</v>
      </c>
      <c r="K4735" t="s">
        <v>10217</v>
      </c>
      <c r="M4735" t="s">
        <v>10451</v>
      </c>
      <c r="N4735" t="s">
        <v>10650</v>
      </c>
      <c r="P4735" t="s">
        <v>10749</v>
      </c>
      <c r="Q4735" t="s">
        <v>10765</v>
      </c>
      <c r="R4735" t="s">
        <v>10823</v>
      </c>
      <c r="T4735">
        <v>19200</v>
      </c>
      <c r="U4735">
        <v>1600</v>
      </c>
      <c r="V4735">
        <v>58</v>
      </c>
      <c r="W4735">
        <v>1</v>
      </c>
      <c r="X4735">
        <v>0</v>
      </c>
      <c r="Z4735">
        <v>153.72</v>
      </c>
      <c r="AA4735">
        <v>40.857158</v>
      </c>
      <c r="AB4735">
        <v>-73.932643</v>
      </c>
      <c r="AD4735" t="s">
        <v>10840</v>
      </c>
      <c r="AG4735" t="s">
        <v>10858</v>
      </c>
      <c r="AH4735" t="s">
        <v>10862</v>
      </c>
      <c r="AI4735">
        <v>236</v>
      </c>
      <c r="AJ4735" t="s">
        <v>10209</v>
      </c>
      <c r="AL4735">
        <v>0.5</v>
      </c>
      <c r="AM4735" t="s">
        <v>10887</v>
      </c>
      <c r="AN4735" t="s">
        <v>10937</v>
      </c>
      <c r="AO4735" t="s">
        <v>11019</v>
      </c>
      <c r="AP4735" t="s">
        <v>11074</v>
      </c>
      <c r="AR4735" t="s">
        <v>11296</v>
      </c>
      <c r="AS4735" t="s">
        <v>9925</v>
      </c>
      <c r="AT4735" t="s">
        <v>11642</v>
      </c>
      <c r="AX4735" t="s">
        <v>10838</v>
      </c>
      <c r="BA4735" t="s">
        <v>11738</v>
      </c>
      <c r="BB4735">
        <v>0</v>
      </c>
      <c r="BC4735">
        <v>0</v>
      </c>
      <c r="BD4735">
        <v>0</v>
      </c>
      <c r="BE4735">
        <v>0</v>
      </c>
      <c r="BF4735">
        <v>5</v>
      </c>
      <c r="BG4735">
        <v>0</v>
      </c>
    </row>
    <row r="4736" spans="1:59">
      <c r="A4736" s="1">
        <f>HYPERLINK("https://lsnyc.legalserver.org/matter/dynamic-profile/view/1908938","19-1908938")</f>
        <v>0</v>
      </c>
      <c r="B4736" t="s">
        <v>3814</v>
      </c>
      <c r="C4736" t="s">
        <v>7472</v>
      </c>
      <c r="D4736" t="s">
        <v>9928</v>
      </c>
      <c r="E4736" t="s">
        <v>10075</v>
      </c>
      <c r="F4736">
        <v>11225</v>
      </c>
      <c r="G4736" t="s">
        <v>10093</v>
      </c>
      <c r="H4736" t="s">
        <v>10100</v>
      </c>
      <c r="I4736" t="s">
        <v>10168</v>
      </c>
      <c r="J4736" t="s">
        <v>10213</v>
      </c>
      <c r="K4736" t="s">
        <v>10217</v>
      </c>
      <c r="M4736" t="s">
        <v>10263</v>
      </c>
      <c r="N4736" t="s">
        <v>10650</v>
      </c>
      <c r="P4736" t="s">
        <v>10749</v>
      </c>
      <c r="Q4736" t="s">
        <v>10765</v>
      </c>
      <c r="R4736" t="s">
        <v>10824</v>
      </c>
      <c r="T4736">
        <v>10452</v>
      </c>
      <c r="U4736">
        <v>871</v>
      </c>
      <c r="V4736">
        <v>47</v>
      </c>
      <c r="W4736">
        <v>2</v>
      </c>
      <c r="X4736">
        <v>0</v>
      </c>
      <c r="Z4736">
        <v>61.81</v>
      </c>
      <c r="AA4736">
        <v>40.66729</v>
      </c>
      <c r="AB4736">
        <v>-73.957122</v>
      </c>
      <c r="AD4736" t="s">
        <v>10840</v>
      </c>
      <c r="AG4736" t="s">
        <v>10858</v>
      </c>
      <c r="AH4736" t="s">
        <v>10862</v>
      </c>
      <c r="AI4736">
        <v>239</v>
      </c>
      <c r="AJ4736" t="s">
        <v>10213</v>
      </c>
      <c r="AL4736">
        <v>0</v>
      </c>
      <c r="AM4736" t="s">
        <v>10888</v>
      </c>
      <c r="AN4736" t="s">
        <v>10923</v>
      </c>
      <c r="AO4736" t="s">
        <v>11005</v>
      </c>
      <c r="AP4736" t="s">
        <v>11061</v>
      </c>
      <c r="AR4736" t="s">
        <v>11263</v>
      </c>
      <c r="AS4736" t="s">
        <v>11595</v>
      </c>
      <c r="AT4736" t="s">
        <v>11642</v>
      </c>
      <c r="AX4736" t="s">
        <v>10838</v>
      </c>
      <c r="BA4736" t="s">
        <v>11739</v>
      </c>
      <c r="BB4736">
        <v>0</v>
      </c>
      <c r="BC4736">
        <v>0</v>
      </c>
      <c r="BD4736">
        <v>0</v>
      </c>
      <c r="BE4736">
        <v>0</v>
      </c>
      <c r="BF4736">
        <v>4</v>
      </c>
      <c r="BG4736">
        <v>0</v>
      </c>
    </row>
    <row r="4737" spans="1:59">
      <c r="A4737" s="1">
        <f>HYPERLINK("https://lsnyc.legalserver.org/matter/dynamic-profile/view/1908940","19-1908940")</f>
        <v>0</v>
      </c>
      <c r="B4737" t="s">
        <v>3815</v>
      </c>
      <c r="C4737" t="s">
        <v>8637</v>
      </c>
      <c r="D4737" t="s">
        <v>9928</v>
      </c>
      <c r="E4737" t="s">
        <v>10075</v>
      </c>
      <c r="F4737">
        <v>11229</v>
      </c>
      <c r="G4737" t="s">
        <v>10093</v>
      </c>
      <c r="H4737" t="s">
        <v>10152</v>
      </c>
      <c r="J4737" t="s">
        <v>10213</v>
      </c>
      <c r="K4737" t="s">
        <v>10217</v>
      </c>
      <c r="M4737" t="s">
        <v>10470</v>
      </c>
      <c r="N4737" t="s">
        <v>10720</v>
      </c>
      <c r="P4737" t="s">
        <v>10749</v>
      </c>
      <c r="Q4737" t="s">
        <v>10769</v>
      </c>
      <c r="R4737" t="s">
        <v>10822</v>
      </c>
      <c r="T4737">
        <v>62520</v>
      </c>
      <c r="U4737">
        <v>5210</v>
      </c>
      <c r="V4737">
        <v>63</v>
      </c>
      <c r="W4737">
        <v>2</v>
      </c>
      <c r="X4737">
        <v>0</v>
      </c>
      <c r="Z4737">
        <v>369.72</v>
      </c>
      <c r="AA4737">
        <v>40.595051</v>
      </c>
      <c r="AB4737">
        <v>-73.93077</v>
      </c>
      <c r="AD4737" t="s">
        <v>10840</v>
      </c>
      <c r="AG4737" t="s">
        <v>10858</v>
      </c>
      <c r="AH4737" t="s">
        <v>10860</v>
      </c>
      <c r="AI4737">
        <v>239</v>
      </c>
      <c r="AJ4737" t="s">
        <v>10213</v>
      </c>
      <c r="AL4737">
        <v>1.3</v>
      </c>
      <c r="AM4737" t="s">
        <v>10888</v>
      </c>
      <c r="AN4737" t="s">
        <v>10959</v>
      </c>
      <c r="AO4737" t="s">
        <v>11023</v>
      </c>
      <c r="AP4737" t="s">
        <v>11072</v>
      </c>
      <c r="AQ4737" t="s">
        <v>11098</v>
      </c>
      <c r="AR4737" t="s">
        <v>11554</v>
      </c>
      <c r="AS4737" t="s">
        <v>11595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</row>
    <row r="4738" spans="1:59">
      <c r="A4738" s="1">
        <f>HYPERLINK("https://lsnyc.legalserver.org/matter/dynamic-profile/view/1908941","19-1908941")</f>
        <v>0</v>
      </c>
      <c r="C4738" t="s">
        <v>8638</v>
      </c>
      <c r="D4738" t="s">
        <v>9925</v>
      </c>
      <c r="E4738" t="s">
        <v>10075</v>
      </c>
      <c r="F4738">
        <v>10018</v>
      </c>
      <c r="G4738" t="s">
        <v>10093</v>
      </c>
      <c r="H4738" t="s">
        <v>10100</v>
      </c>
      <c r="J4738" t="s">
        <v>10213</v>
      </c>
      <c r="K4738" t="s">
        <v>10217</v>
      </c>
      <c r="M4738" t="s">
        <v>10619</v>
      </c>
      <c r="N4738" t="s">
        <v>10682</v>
      </c>
      <c r="T4738">
        <v>0</v>
      </c>
      <c r="U4738">
        <v>0</v>
      </c>
      <c r="V4738">
        <v>0</v>
      </c>
      <c r="W4738">
        <v>0</v>
      </c>
      <c r="X4738">
        <v>0</v>
      </c>
      <c r="Z4738">
        <v>0</v>
      </c>
      <c r="AA4738">
        <v>40.753228</v>
      </c>
      <c r="AB4738">
        <v>-73.99145799999999</v>
      </c>
      <c r="AH4738" t="s">
        <v>10867</v>
      </c>
      <c r="AI4738">
        <v>239</v>
      </c>
      <c r="AJ4738" t="s">
        <v>10213</v>
      </c>
      <c r="AL4738">
        <v>2</v>
      </c>
      <c r="AS4738" t="s">
        <v>9925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</row>
    <row r="4739" spans="1:59">
      <c r="A4739" s="1">
        <f>HYPERLINK("https://lsnyc.legalserver.org/matter/dynamic-profile/view/1908942","19-1908942")</f>
        <v>0</v>
      </c>
      <c r="B4739" t="s">
        <v>3816</v>
      </c>
      <c r="C4739" t="s">
        <v>8639</v>
      </c>
      <c r="D4739" t="s">
        <v>9926</v>
      </c>
      <c r="E4739" t="s">
        <v>10075</v>
      </c>
      <c r="F4739">
        <v>10460</v>
      </c>
      <c r="G4739" t="s">
        <v>10090</v>
      </c>
      <c r="H4739" t="s">
        <v>10100</v>
      </c>
      <c r="I4739" t="s">
        <v>10168</v>
      </c>
      <c r="J4739" t="s">
        <v>10210</v>
      </c>
      <c r="K4739" t="s">
        <v>10217</v>
      </c>
      <c r="M4739" t="s">
        <v>10590</v>
      </c>
      <c r="N4739" t="s">
        <v>10650</v>
      </c>
      <c r="P4739" t="s">
        <v>10749</v>
      </c>
      <c r="Q4739" t="s">
        <v>10765</v>
      </c>
      <c r="R4739" t="s">
        <v>10821</v>
      </c>
      <c r="T4739">
        <v>14580</v>
      </c>
      <c r="U4739">
        <v>1215</v>
      </c>
      <c r="V4739">
        <v>69</v>
      </c>
      <c r="W4739">
        <v>2</v>
      </c>
      <c r="X4739">
        <v>0</v>
      </c>
      <c r="Z4739">
        <v>86.22</v>
      </c>
      <c r="AA4739">
        <v>40.836394</v>
      </c>
      <c r="AB4739">
        <v>-73.88861300000001</v>
      </c>
      <c r="AD4739" t="s">
        <v>10839</v>
      </c>
      <c r="AG4739" t="s">
        <v>10858</v>
      </c>
      <c r="AH4739" t="s">
        <v>10862</v>
      </c>
      <c r="AI4739">
        <v>230</v>
      </c>
      <c r="AJ4739" t="s">
        <v>10210</v>
      </c>
      <c r="AL4739">
        <v>3.4</v>
      </c>
      <c r="AM4739" t="s">
        <v>10884</v>
      </c>
      <c r="AN4739" t="s">
        <v>10918</v>
      </c>
      <c r="AO4739" t="s">
        <v>11001</v>
      </c>
      <c r="AP4739" t="s">
        <v>11062</v>
      </c>
      <c r="AR4739" t="s">
        <v>11268</v>
      </c>
      <c r="AS4739" t="s">
        <v>9926</v>
      </c>
      <c r="BA4739" t="s">
        <v>11741</v>
      </c>
      <c r="BB4739">
        <v>0</v>
      </c>
      <c r="BC4739">
        <v>0</v>
      </c>
      <c r="BD4739">
        <v>0</v>
      </c>
      <c r="BE4739">
        <v>0</v>
      </c>
      <c r="BF4739">
        <v>1</v>
      </c>
      <c r="BG4739">
        <v>0</v>
      </c>
    </row>
    <row r="4740" spans="1:59">
      <c r="A4740" s="1">
        <f>HYPERLINK("https://lsnyc.legalserver.org/matter/dynamic-profile/view/1908943","19-1908943")</f>
        <v>0</v>
      </c>
      <c r="B4740" t="s">
        <v>3817</v>
      </c>
      <c r="C4740" t="s">
        <v>8640</v>
      </c>
      <c r="D4740" t="s">
        <v>9928</v>
      </c>
      <c r="E4740" t="s">
        <v>10075</v>
      </c>
      <c r="F4740">
        <v>11207</v>
      </c>
      <c r="G4740" t="s">
        <v>10093</v>
      </c>
      <c r="H4740" t="s">
        <v>10100</v>
      </c>
      <c r="I4740" t="s">
        <v>10168</v>
      </c>
      <c r="J4740" t="s">
        <v>10213</v>
      </c>
      <c r="K4740" t="s">
        <v>10217</v>
      </c>
      <c r="M4740" t="s">
        <v>10439</v>
      </c>
      <c r="N4740" t="s">
        <v>10650</v>
      </c>
      <c r="P4740" t="s">
        <v>10749</v>
      </c>
      <c r="Q4740" t="s">
        <v>10765</v>
      </c>
      <c r="R4740" t="s">
        <v>10822</v>
      </c>
      <c r="T4740">
        <v>35000</v>
      </c>
      <c r="U4740">
        <v>2916.67</v>
      </c>
      <c r="V4740">
        <v>26</v>
      </c>
      <c r="W4740">
        <v>2</v>
      </c>
      <c r="X4740">
        <v>0</v>
      </c>
      <c r="Z4740">
        <v>206.98</v>
      </c>
      <c r="AA4740">
        <v>40.686125</v>
      </c>
      <c r="AB4740">
        <v>-73.915102</v>
      </c>
      <c r="AD4740" t="s">
        <v>10840</v>
      </c>
      <c r="AG4740" t="s">
        <v>10858</v>
      </c>
      <c r="AH4740" t="s">
        <v>10862</v>
      </c>
      <c r="AI4740">
        <v>239</v>
      </c>
      <c r="AJ4740" t="s">
        <v>10213</v>
      </c>
      <c r="AL4740">
        <v>0</v>
      </c>
      <c r="AM4740" t="s">
        <v>10889</v>
      </c>
      <c r="AN4740" t="s">
        <v>10922</v>
      </c>
      <c r="AO4740" t="s">
        <v>11011</v>
      </c>
      <c r="AP4740" t="s">
        <v>11058</v>
      </c>
      <c r="AQ4740" t="s">
        <v>11101</v>
      </c>
      <c r="AR4740" t="s">
        <v>11257</v>
      </c>
      <c r="AS4740" t="s">
        <v>11595</v>
      </c>
      <c r="BA4740" t="s">
        <v>11738</v>
      </c>
      <c r="BB4740">
        <v>0</v>
      </c>
      <c r="BC4740">
        <v>0</v>
      </c>
      <c r="BD4740">
        <v>0</v>
      </c>
      <c r="BE4740">
        <v>0</v>
      </c>
      <c r="BF4740">
        <v>5</v>
      </c>
      <c r="BG4740">
        <v>0</v>
      </c>
    </row>
    <row r="4741" spans="1:59">
      <c r="A4741" s="1">
        <f>HYPERLINK("https://lsnyc.legalserver.org/matter/dynamic-profile/view/1908944","19-1908944")</f>
        <v>0</v>
      </c>
      <c r="B4741" t="s">
        <v>3818</v>
      </c>
      <c r="C4741" t="s">
        <v>8641</v>
      </c>
      <c r="D4741" t="s">
        <v>9938</v>
      </c>
      <c r="E4741" t="s">
        <v>10075</v>
      </c>
      <c r="F4741">
        <v>11434</v>
      </c>
      <c r="G4741" t="s">
        <v>10092</v>
      </c>
      <c r="H4741" t="s">
        <v>10100</v>
      </c>
      <c r="I4741" t="s">
        <v>10168</v>
      </c>
      <c r="J4741" t="s">
        <v>10212</v>
      </c>
      <c r="K4741" t="s">
        <v>10217</v>
      </c>
      <c r="M4741" t="s">
        <v>10312</v>
      </c>
      <c r="N4741" t="s">
        <v>10693</v>
      </c>
      <c r="P4741" t="s">
        <v>10749</v>
      </c>
      <c r="Q4741" t="s">
        <v>10767</v>
      </c>
      <c r="R4741" t="s">
        <v>10824</v>
      </c>
      <c r="T4741">
        <v>35925</v>
      </c>
      <c r="U4741">
        <v>2993.75</v>
      </c>
      <c r="V4741">
        <v>37</v>
      </c>
      <c r="W4741">
        <v>1</v>
      </c>
      <c r="X4741">
        <v>1</v>
      </c>
      <c r="Z4741">
        <v>212.45</v>
      </c>
      <c r="AA4741">
        <v>40.685351</v>
      </c>
      <c r="AB4741">
        <v>-73.78407799999999</v>
      </c>
      <c r="AD4741" t="s">
        <v>10839</v>
      </c>
      <c r="AG4741" t="s">
        <v>10858</v>
      </c>
      <c r="AH4741" t="s">
        <v>10862</v>
      </c>
      <c r="AI4741">
        <v>237</v>
      </c>
      <c r="AJ4741" t="s">
        <v>10212</v>
      </c>
      <c r="AL4741">
        <v>0.5</v>
      </c>
      <c r="AM4741" t="s">
        <v>10892</v>
      </c>
      <c r="AN4741" t="s">
        <v>10951</v>
      </c>
      <c r="AO4741" t="s">
        <v>11017</v>
      </c>
      <c r="AP4741" t="s">
        <v>11070</v>
      </c>
      <c r="AR4741" t="s">
        <v>11257</v>
      </c>
      <c r="AS4741" t="s">
        <v>11594</v>
      </c>
      <c r="BA4741" t="s">
        <v>11738</v>
      </c>
      <c r="BB4741">
        <v>0</v>
      </c>
      <c r="BC4741">
        <v>0</v>
      </c>
      <c r="BD4741">
        <v>0</v>
      </c>
      <c r="BE4741">
        <v>0</v>
      </c>
      <c r="BF4741">
        <v>5</v>
      </c>
      <c r="BG4741">
        <v>0</v>
      </c>
    </row>
    <row r="4742" spans="1:59">
      <c r="A4742" s="1">
        <f>HYPERLINK("https://lsnyc.legalserver.org/matter/dynamic-profile/view/1908945","19-1908945")</f>
        <v>0</v>
      </c>
      <c r="B4742" t="s">
        <v>3819</v>
      </c>
      <c r="C4742" t="s">
        <v>8642</v>
      </c>
      <c r="D4742" t="s">
        <v>9926</v>
      </c>
      <c r="E4742" t="s">
        <v>10075</v>
      </c>
      <c r="F4742">
        <v>10457</v>
      </c>
      <c r="G4742" t="s">
        <v>10090</v>
      </c>
      <c r="H4742" t="s">
        <v>10100</v>
      </c>
      <c r="I4742" t="s">
        <v>10168</v>
      </c>
      <c r="J4742" t="s">
        <v>10210</v>
      </c>
      <c r="K4742" t="s">
        <v>10217</v>
      </c>
      <c r="M4742" t="s">
        <v>10336</v>
      </c>
      <c r="N4742" t="s">
        <v>10671</v>
      </c>
      <c r="P4742" t="s">
        <v>10754</v>
      </c>
      <c r="Q4742" t="s">
        <v>10777</v>
      </c>
      <c r="R4742" t="s">
        <v>10824</v>
      </c>
      <c r="T4742">
        <v>3492</v>
      </c>
      <c r="U4742">
        <v>291</v>
      </c>
      <c r="V4742">
        <v>30</v>
      </c>
      <c r="W4742">
        <v>1</v>
      </c>
      <c r="X4742">
        <v>0</v>
      </c>
      <c r="Z4742">
        <v>27.96</v>
      </c>
      <c r="AA4742">
        <v>40.853817</v>
      </c>
      <c r="AB4742">
        <v>-73.892427</v>
      </c>
      <c r="AD4742" t="s">
        <v>10839</v>
      </c>
      <c r="AG4742" t="s">
        <v>10858</v>
      </c>
      <c r="AH4742" t="s">
        <v>10861</v>
      </c>
      <c r="AI4742">
        <v>234</v>
      </c>
      <c r="AJ4742" t="s">
        <v>10214</v>
      </c>
      <c r="AL4742">
        <v>1.2</v>
      </c>
      <c r="AM4742" t="s">
        <v>10884</v>
      </c>
      <c r="AN4742" t="s">
        <v>10907</v>
      </c>
      <c r="AO4742" t="s">
        <v>11000</v>
      </c>
      <c r="AP4742" t="s">
        <v>11056</v>
      </c>
      <c r="AR4742" t="s">
        <v>11255</v>
      </c>
      <c r="AS4742" t="s">
        <v>9926</v>
      </c>
      <c r="AT4742" t="s">
        <v>11641</v>
      </c>
      <c r="AX4742" t="s">
        <v>10838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</row>
    <row r="4743" spans="1:59">
      <c r="A4743" s="1">
        <f>HYPERLINK("https://lsnyc.legalserver.org/matter/dynamic-profile/view/1908946","19-1908946")</f>
        <v>0</v>
      </c>
      <c r="B4743" t="s">
        <v>3820</v>
      </c>
      <c r="C4743" t="s">
        <v>8643</v>
      </c>
      <c r="D4743" t="s">
        <v>9926</v>
      </c>
      <c r="E4743" t="s">
        <v>10075</v>
      </c>
      <c r="F4743">
        <v>10458</v>
      </c>
      <c r="G4743" t="s">
        <v>10090</v>
      </c>
      <c r="H4743" t="s">
        <v>10100</v>
      </c>
      <c r="I4743" t="s">
        <v>10168</v>
      </c>
      <c r="J4743" t="s">
        <v>10210</v>
      </c>
      <c r="K4743" t="s">
        <v>10218</v>
      </c>
      <c r="L4743" t="s">
        <v>10166</v>
      </c>
      <c r="M4743" t="s">
        <v>10336</v>
      </c>
      <c r="N4743" t="s">
        <v>10671</v>
      </c>
      <c r="P4743" t="s">
        <v>10754</v>
      </c>
      <c r="Q4743" t="s">
        <v>10770</v>
      </c>
      <c r="R4743" t="s">
        <v>10821</v>
      </c>
      <c r="T4743">
        <v>18200</v>
      </c>
      <c r="U4743">
        <v>1516.67</v>
      </c>
      <c r="V4743">
        <v>39</v>
      </c>
      <c r="W4743">
        <v>1</v>
      </c>
      <c r="X4743">
        <v>0</v>
      </c>
      <c r="Y4743" t="s">
        <v>10829</v>
      </c>
      <c r="Z4743">
        <v>145.72</v>
      </c>
      <c r="AA4743">
        <v>40.869812</v>
      </c>
      <c r="AB4743">
        <v>-73.89064999999999</v>
      </c>
      <c r="AD4743" t="s">
        <v>10840</v>
      </c>
      <c r="AG4743" t="s">
        <v>10858</v>
      </c>
      <c r="AH4743" t="s">
        <v>10861</v>
      </c>
      <c r="AI4743">
        <v>234</v>
      </c>
      <c r="AJ4743" t="s">
        <v>10214</v>
      </c>
      <c r="AK4743" t="s">
        <v>10837</v>
      </c>
      <c r="AL4743">
        <v>1.4</v>
      </c>
      <c r="AM4743" t="s">
        <v>10887</v>
      </c>
      <c r="AN4743" t="s">
        <v>10907</v>
      </c>
      <c r="AO4743" t="s">
        <v>11000</v>
      </c>
      <c r="AP4743" t="s">
        <v>11056</v>
      </c>
      <c r="AQ4743" t="s">
        <v>11206</v>
      </c>
      <c r="AR4743" t="s">
        <v>11257</v>
      </c>
      <c r="AS4743" t="s">
        <v>9926</v>
      </c>
      <c r="AT4743" t="s">
        <v>11642</v>
      </c>
      <c r="AX4743" t="s">
        <v>10838</v>
      </c>
      <c r="AY4743" t="s">
        <v>10829</v>
      </c>
      <c r="AZ4743" t="s">
        <v>11683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</row>
    <row r="4744" spans="1:59">
      <c r="A4744" s="1">
        <f>HYPERLINK("https://lsnyc.legalserver.org/matter/dynamic-profile/view/1908947","19-1908947")</f>
        <v>0</v>
      </c>
      <c r="B4744" t="s">
        <v>3821</v>
      </c>
      <c r="C4744" t="s">
        <v>8644</v>
      </c>
      <c r="D4744" t="s">
        <v>9928</v>
      </c>
      <c r="E4744" t="s">
        <v>10075</v>
      </c>
      <c r="F4744">
        <v>11209</v>
      </c>
      <c r="G4744" t="s">
        <v>10091</v>
      </c>
      <c r="H4744" t="s">
        <v>10100</v>
      </c>
      <c r="I4744" t="s">
        <v>10168</v>
      </c>
      <c r="J4744" t="s">
        <v>10214</v>
      </c>
      <c r="K4744" t="s">
        <v>10217</v>
      </c>
      <c r="M4744" t="s">
        <v>10537</v>
      </c>
      <c r="N4744" t="s">
        <v>10673</v>
      </c>
      <c r="P4744" t="s">
        <v>10753</v>
      </c>
      <c r="Q4744" t="s">
        <v>10763</v>
      </c>
      <c r="R4744" t="s">
        <v>10820</v>
      </c>
      <c r="T4744">
        <v>260</v>
      </c>
      <c r="U4744">
        <v>21.67</v>
      </c>
      <c r="V4744">
        <v>33</v>
      </c>
      <c r="W4744">
        <v>1</v>
      </c>
      <c r="X4744">
        <v>0</v>
      </c>
      <c r="Z4744">
        <v>2.08</v>
      </c>
      <c r="AA4744">
        <v>40.61254</v>
      </c>
      <c r="AB4744">
        <v>-74.03428099999999</v>
      </c>
      <c r="AD4744" t="s">
        <v>10840</v>
      </c>
      <c r="AF4744" t="s">
        <v>10843</v>
      </c>
      <c r="AG4744" t="s">
        <v>10859</v>
      </c>
      <c r="AH4744" t="s">
        <v>10861</v>
      </c>
      <c r="AI4744">
        <v>234</v>
      </c>
      <c r="AJ4744" t="s">
        <v>10214</v>
      </c>
      <c r="AL4744">
        <v>0.75</v>
      </c>
      <c r="AM4744" t="s">
        <v>10883</v>
      </c>
      <c r="AN4744" t="s">
        <v>10960</v>
      </c>
      <c r="AO4744" t="s">
        <v>11023</v>
      </c>
      <c r="AP4744" t="s">
        <v>11086</v>
      </c>
      <c r="AQ4744" t="s">
        <v>11097</v>
      </c>
      <c r="AR4744" t="s">
        <v>10180</v>
      </c>
      <c r="AS4744" t="s">
        <v>11595</v>
      </c>
      <c r="AT4744" t="s">
        <v>11642</v>
      </c>
      <c r="AX4744" t="s">
        <v>10838</v>
      </c>
      <c r="BA4744" t="s">
        <v>11742</v>
      </c>
      <c r="BB4744">
        <v>0</v>
      </c>
      <c r="BC4744">
        <v>0</v>
      </c>
      <c r="BD4744">
        <v>0</v>
      </c>
      <c r="BE4744">
        <v>0</v>
      </c>
      <c r="BF4744">
        <v>7</v>
      </c>
      <c r="BG4744">
        <v>0</v>
      </c>
    </row>
    <row r="4745" spans="1:59">
      <c r="A4745" s="1">
        <f>HYPERLINK("https://lsnyc.legalserver.org/matter/dynamic-profile/view/1908948","19-1908948")</f>
        <v>0</v>
      </c>
      <c r="B4745" t="s">
        <v>3822</v>
      </c>
      <c r="C4745" t="s">
        <v>8626</v>
      </c>
      <c r="D4745" t="s">
        <v>9926</v>
      </c>
      <c r="E4745" t="s">
        <v>10075</v>
      </c>
      <c r="F4745">
        <v>10468</v>
      </c>
      <c r="G4745" t="s">
        <v>10090</v>
      </c>
      <c r="H4745" t="s">
        <v>10100</v>
      </c>
      <c r="I4745" t="s">
        <v>10168</v>
      </c>
      <c r="J4745" t="s">
        <v>10210</v>
      </c>
      <c r="K4745" t="s">
        <v>10217</v>
      </c>
      <c r="M4745" t="s">
        <v>10525</v>
      </c>
      <c r="N4745" t="s">
        <v>10651</v>
      </c>
      <c r="P4745" t="s">
        <v>10749</v>
      </c>
      <c r="Q4745" t="s">
        <v>10765</v>
      </c>
      <c r="R4745" t="s">
        <v>10821</v>
      </c>
      <c r="T4745">
        <v>21892</v>
      </c>
      <c r="U4745">
        <v>1824.33</v>
      </c>
      <c r="V4745">
        <v>50</v>
      </c>
      <c r="W4745">
        <v>1</v>
      </c>
      <c r="X4745">
        <v>1</v>
      </c>
      <c r="Z4745">
        <v>129.46</v>
      </c>
      <c r="AA4745">
        <v>40.866609</v>
      </c>
      <c r="AB4745">
        <v>-73.897141</v>
      </c>
      <c r="AD4745" t="s">
        <v>10839</v>
      </c>
      <c r="AG4745" t="s">
        <v>10858</v>
      </c>
      <c r="AH4745" t="s">
        <v>10861</v>
      </c>
      <c r="AI4745">
        <v>230</v>
      </c>
      <c r="AJ4745" t="s">
        <v>10210</v>
      </c>
      <c r="AL4745">
        <v>4</v>
      </c>
      <c r="AM4745" t="s">
        <v>10887</v>
      </c>
      <c r="AN4745" t="s">
        <v>10907</v>
      </c>
      <c r="AO4745" t="s">
        <v>11000</v>
      </c>
      <c r="AP4745" t="s">
        <v>11045</v>
      </c>
      <c r="AR4745" t="s">
        <v>11257</v>
      </c>
      <c r="AS4745" t="s">
        <v>9926</v>
      </c>
      <c r="AT4745" t="s">
        <v>11641</v>
      </c>
      <c r="AX4745" t="s">
        <v>10838</v>
      </c>
      <c r="BA4745" t="s">
        <v>11738</v>
      </c>
      <c r="BB4745">
        <v>0</v>
      </c>
      <c r="BC4745">
        <v>0</v>
      </c>
      <c r="BD4745">
        <v>0</v>
      </c>
      <c r="BE4745">
        <v>0</v>
      </c>
      <c r="BF4745">
        <v>5</v>
      </c>
      <c r="BG4745">
        <v>0</v>
      </c>
    </row>
    <row r="4746" spans="1:59">
      <c r="A4746" s="1">
        <f>HYPERLINK("https://lsnyc.legalserver.org/matter/dynamic-profile/view/1908949","19-1908949")</f>
        <v>0</v>
      </c>
      <c r="B4746" t="s">
        <v>3823</v>
      </c>
      <c r="C4746" t="s">
        <v>8645</v>
      </c>
      <c r="D4746" t="s">
        <v>9925</v>
      </c>
      <c r="E4746" t="s">
        <v>10075</v>
      </c>
      <c r="F4746">
        <v>10026</v>
      </c>
      <c r="G4746" t="s">
        <v>10091</v>
      </c>
      <c r="H4746" t="s">
        <v>10100</v>
      </c>
      <c r="I4746" t="s">
        <v>10168</v>
      </c>
      <c r="J4746" t="s">
        <v>10214</v>
      </c>
      <c r="K4746" t="s">
        <v>10217</v>
      </c>
      <c r="M4746" t="s">
        <v>10286</v>
      </c>
      <c r="N4746" t="s">
        <v>10646</v>
      </c>
      <c r="P4746" t="s">
        <v>10749</v>
      </c>
      <c r="Q4746" t="s">
        <v>10765</v>
      </c>
      <c r="R4746" t="s">
        <v>10820</v>
      </c>
      <c r="T4746">
        <v>36400</v>
      </c>
      <c r="U4746">
        <v>3033.33</v>
      </c>
      <c r="V4746">
        <v>23</v>
      </c>
      <c r="W4746">
        <v>1</v>
      </c>
      <c r="X4746">
        <v>0</v>
      </c>
      <c r="Z4746">
        <v>291.43</v>
      </c>
      <c r="AA4746">
        <v>40.801601</v>
      </c>
      <c r="AB4746">
        <v>-73.958918</v>
      </c>
      <c r="AD4746" t="s">
        <v>10839</v>
      </c>
      <c r="AG4746" t="s">
        <v>10858</v>
      </c>
      <c r="AH4746" t="s">
        <v>10861</v>
      </c>
      <c r="AI4746">
        <v>234</v>
      </c>
      <c r="AJ4746" t="s">
        <v>10214</v>
      </c>
      <c r="AL4746">
        <v>0.5</v>
      </c>
      <c r="AM4746" t="s">
        <v>10887</v>
      </c>
      <c r="AN4746" t="s">
        <v>10953</v>
      </c>
      <c r="AO4746" t="s">
        <v>11016</v>
      </c>
      <c r="AP4746" t="s">
        <v>11076</v>
      </c>
      <c r="AR4746" t="s">
        <v>11257</v>
      </c>
      <c r="AS4746" t="s">
        <v>9925</v>
      </c>
      <c r="AT4746" t="s">
        <v>11641</v>
      </c>
      <c r="AX4746" t="s">
        <v>10837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</row>
    <row r="4747" spans="1:59">
      <c r="A4747" s="1">
        <f>HYPERLINK("https://lsnyc.legalserver.org/matter/dynamic-profile/view/1908950","19-1908950")</f>
        <v>0</v>
      </c>
      <c r="B4747" t="s">
        <v>3824</v>
      </c>
      <c r="C4747" t="s">
        <v>8646</v>
      </c>
      <c r="D4747" t="s">
        <v>9929</v>
      </c>
      <c r="E4747" t="s">
        <v>10075</v>
      </c>
      <c r="F4747">
        <v>10308</v>
      </c>
      <c r="G4747" t="s">
        <v>10088</v>
      </c>
      <c r="H4747" t="s">
        <v>10155</v>
      </c>
      <c r="I4747" t="s">
        <v>10168</v>
      </c>
      <c r="J4747" t="s">
        <v>10208</v>
      </c>
      <c r="K4747" t="s">
        <v>10217</v>
      </c>
      <c r="M4747" t="s">
        <v>10560</v>
      </c>
      <c r="N4747" t="s">
        <v>10742</v>
      </c>
      <c r="P4747" t="s">
        <v>10749</v>
      </c>
      <c r="Q4747" t="s">
        <v>10759</v>
      </c>
      <c r="R4747" t="s">
        <v>10820</v>
      </c>
      <c r="T4747">
        <v>49380</v>
      </c>
      <c r="U4747">
        <v>4115</v>
      </c>
      <c r="V4747">
        <v>70</v>
      </c>
      <c r="W4747">
        <v>2</v>
      </c>
      <c r="X4747">
        <v>0</v>
      </c>
      <c r="Z4747">
        <v>292.02</v>
      </c>
      <c r="AA4747">
        <v>40.555814</v>
      </c>
      <c r="AB4747">
        <v>-74.16297299999999</v>
      </c>
      <c r="AD4747" t="s">
        <v>10839</v>
      </c>
      <c r="AG4747" t="s">
        <v>10858</v>
      </c>
      <c r="AH4747" t="s">
        <v>10860</v>
      </c>
      <c r="AI4747">
        <v>285</v>
      </c>
      <c r="AJ4747" t="s">
        <v>10208</v>
      </c>
      <c r="AL4747">
        <v>5.6</v>
      </c>
      <c r="AM4747" t="s">
        <v>10883</v>
      </c>
      <c r="AN4747" t="s">
        <v>10906</v>
      </c>
      <c r="AO4747" t="s">
        <v>10999</v>
      </c>
      <c r="AP4747" t="s">
        <v>11044</v>
      </c>
      <c r="AR4747" t="s">
        <v>11379</v>
      </c>
      <c r="AS4747" t="s">
        <v>11593</v>
      </c>
      <c r="AT4747" t="s">
        <v>11641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</row>
    <row r="4748" spans="1:59">
      <c r="A4748" s="1">
        <f>HYPERLINK("https://lsnyc.legalserver.org/matter/dynamic-profile/view/1908951","19-1908951")</f>
        <v>0</v>
      </c>
      <c r="B4748" t="s">
        <v>3822</v>
      </c>
      <c r="C4748" t="s">
        <v>8626</v>
      </c>
      <c r="D4748" t="s">
        <v>9926</v>
      </c>
      <c r="E4748" t="s">
        <v>10075</v>
      </c>
      <c r="F4748">
        <v>10468</v>
      </c>
      <c r="G4748" t="s">
        <v>10090</v>
      </c>
      <c r="H4748" t="s">
        <v>10100</v>
      </c>
      <c r="I4748" t="s">
        <v>10168</v>
      </c>
      <c r="J4748" t="s">
        <v>10210</v>
      </c>
      <c r="K4748" t="s">
        <v>10217</v>
      </c>
      <c r="M4748" t="s">
        <v>10525</v>
      </c>
      <c r="N4748" t="s">
        <v>10671</v>
      </c>
      <c r="P4748" t="s">
        <v>10751</v>
      </c>
      <c r="Q4748" t="s">
        <v>10761</v>
      </c>
      <c r="R4748" t="s">
        <v>10821</v>
      </c>
      <c r="T4748">
        <v>21892</v>
      </c>
      <c r="U4748">
        <v>1824.33</v>
      </c>
      <c r="V4748">
        <v>50</v>
      </c>
      <c r="W4748">
        <v>1</v>
      </c>
      <c r="X4748">
        <v>1</v>
      </c>
      <c r="Z4748">
        <v>129.46</v>
      </c>
      <c r="AA4748">
        <v>40.866609</v>
      </c>
      <c r="AB4748">
        <v>-73.897141</v>
      </c>
      <c r="AD4748" t="s">
        <v>10839</v>
      </c>
      <c r="AG4748" t="s">
        <v>10858</v>
      </c>
      <c r="AH4748" t="s">
        <v>10861</v>
      </c>
      <c r="AI4748">
        <v>230</v>
      </c>
      <c r="AJ4748" t="s">
        <v>10210</v>
      </c>
      <c r="AL4748">
        <v>0.2</v>
      </c>
      <c r="AR4748" t="s">
        <v>11257</v>
      </c>
      <c r="AS4748" t="s">
        <v>9926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</row>
    <row r="4749" spans="1:59">
      <c r="A4749" s="1">
        <f>HYPERLINK("https://lsnyc.legalserver.org/matter/dynamic-profile/view/1908952","19-1908952")</f>
        <v>0</v>
      </c>
      <c r="B4749" t="s">
        <v>2672</v>
      </c>
      <c r="C4749" t="s">
        <v>8647</v>
      </c>
      <c r="D4749" t="s">
        <v>9938</v>
      </c>
      <c r="E4749" t="s">
        <v>10075</v>
      </c>
      <c r="F4749">
        <v>11432</v>
      </c>
      <c r="G4749" t="s">
        <v>10092</v>
      </c>
      <c r="H4749" t="s">
        <v>10100</v>
      </c>
      <c r="I4749" t="s">
        <v>10168</v>
      </c>
      <c r="J4749" t="s">
        <v>10212</v>
      </c>
      <c r="K4749" t="s">
        <v>10217</v>
      </c>
      <c r="M4749" t="s">
        <v>10428</v>
      </c>
      <c r="N4749" t="s">
        <v>10695</v>
      </c>
      <c r="P4749" t="s">
        <v>10749</v>
      </c>
      <c r="Q4749" t="s">
        <v>10765</v>
      </c>
      <c r="R4749" t="s">
        <v>10824</v>
      </c>
      <c r="T4749">
        <v>8000</v>
      </c>
      <c r="U4749">
        <v>666.67</v>
      </c>
      <c r="V4749">
        <v>63</v>
      </c>
      <c r="W4749">
        <v>1</v>
      </c>
      <c r="X4749">
        <v>0</v>
      </c>
      <c r="Z4749">
        <v>64.05</v>
      </c>
      <c r="AA4749">
        <v>40.706088</v>
      </c>
      <c r="AB4749">
        <v>-73.805531</v>
      </c>
      <c r="AD4749" t="s">
        <v>10840</v>
      </c>
      <c r="AG4749" t="s">
        <v>10858</v>
      </c>
      <c r="AH4749" t="s">
        <v>10862</v>
      </c>
      <c r="AI4749">
        <v>237</v>
      </c>
      <c r="AJ4749" t="s">
        <v>10212</v>
      </c>
      <c r="AL4749">
        <v>8.449999999999999</v>
      </c>
      <c r="AM4749" t="s">
        <v>10890</v>
      </c>
      <c r="AN4749" t="s">
        <v>10951</v>
      </c>
      <c r="AO4749" t="s">
        <v>11022</v>
      </c>
      <c r="AP4749" t="s">
        <v>11081</v>
      </c>
      <c r="AR4749" t="s">
        <v>11257</v>
      </c>
      <c r="AS4749" t="s">
        <v>11594</v>
      </c>
      <c r="BA4749" t="s">
        <v>11738</v>
      </c>
      <c r="BB4749">
        <v>0</v>
      </c>
      <c r="BC4749">
        <v>0</v>
      </c>
      <c r="BD4749">
        <v>0</v>
      </c>
      <c r="BE4749">
        <v>0</v>
      </c>
      <c r="BF4749">
        <v>5</v>
      </c>
      <c r="BG4749">
        <v>0</v>
      </c>
    </row>
    <row r="4750" spans="1:59">
      <c r="A4750" s="1">
        <f>HYPERLINK("https://lsnyc.legalserver.org/matter/dynamic-profile/view/1908953","19-1908953")</f>
        <v>0</v>
      </c>
      <c r="B4750" t="s">
        <v>3825</v>
      </c>
      <c r="C4750" t="s">
        <v>8648</v>
      </c>
      <c r="D4750" t="s">
        <v>9928</v>
      </c>
      <c r="E4750" t="s">
        <v>10075</v>
      </c>
      <c r="F4750">
        <v>11221</v>
      </c>
      <c r="G4750" t="s">
        <v>10091</v>
      </c>
      <c r="H4750" t="s">
        <v>10100</v>
      </c>
      <c r="I4750" t="s">
        <v>10168</v>
      </c>
      <c r="J4750" t="s">
        <v>10214</v>
      </c>
      <c r="K4750" t="s">
        <v>10217</v>
      </c>
      <c r="M4750" t="s">
        <v>10550</v>
      </c>
      <c r="N4750" t="s">
        <v>10671</v>
      </c>
      <c r="P4750" t="s">
        <v>10753</v>
      </c>
      <c r="Q4750" t="s">
        <v>10763</v>
      </c>
      <c r="R4750" t="s">
        <v>10825</v>
      </c>
      <c r="T4750">
        <v>1300</v>
      </c>
      <c r="U4750">
        <v>108.33</v>
      </c>
      <c r="V4750">
        <v>26</v>
      </c>
      <c r="W4750">
        <v>1</v>
      </c>
      <c r="X4750">
        <v>0</v>
      </c>
      <c r="Z4750">
        <v>10.41</v>
      </c>
      <c r="AA4750">
        <v>40.689562</v>
      </c>
      <c r="AB4750">
        <v>-73.926647</v>
      </c>
      <c r="AD4750" t="s">
        <v>10839</v>
      </c>
      <c r="AF4750" t="s">
        <v>10842</v>
      </c>
      <c r="AG4750" t="s">
        <v>10859</v>
      </c>
      <c r="AH4750" t="s">
        <v>10864</v>
      </c>
      <c r="AI4750">
        <v>234</v>
      </c>
      <c r="AJ4750" t="s">
        <v>10214</v>
      </c>
      <c r="AL4750">
        <v>3.05</v>
      </c>
      <c r="AM4750" t="s">
        <v>10889</v>
      </c>
      <c r="AN4750" t="s">
        <v>10914</v>
      </c>
      <c r="AO4750" t="s">
        <v>11007</v>
      </c>
      <c r="AP4750" t="s">
        <v>11064</v>
      </c>
      <c r="AR4750" t="s">
        <v>11382</v>
      </c>
      <c r="AS4750" t="s">
        <v>11595</v>
      </c>
      <c r="AX4750" t="s">
        <v>10838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</row>
    <row r="4751" spans="1:59">
      <c r="A4751" s="1">
        <f>HYPERLINK("https://lsnyc.legalserver.org/matter/dynamic-profile/view/1908954","19-1908954")</f>
        <v>0</v>
      </c>
      <c r="B4751" t="s">
        <v>3826</v>
      </c>
      <c r="C4751" t="s">
        <v>8649</v>
      </c>
      <c r="D4751" t="s">
        <v>9928</v>
      </c>
      <c r="E4751" t="s">
        <v>10075</v>
      </c>
      <c r="F4751">
        <v>11237</v>
      </c>
      <c r="G4751" t="s">
        <v>10091</v>
      </c>
      <c r="H4751" t="s">
        <v>10100</v>
      </c>
      <c r="I4751" t="s">
        <v>10168</v>
      </c>
      <c r="J4751" t="s">
        <v>10214</v>
      </c>
      <c r="K4751" t="s">
        <v>10218</v>
      </c>
      <c r="L4751" t="s">
        <v>10099</v>
      </c>
      <c r="M4751" t="s">
        <v>10304</v>
      </c>
      <c r="N4751" t="s">
        <v>10671</v>
      </c>
      <c r="P4751" t="s">
        <v>10749</v>
      </c>
      <c r="Q4751" t="s">
        <v>10765</v>
      </c>
      <c r="R4751" t="s">
        <v>10825</v>
      </c>
      <c r="T4751">
        <v>18000</v>
      </c>
      <c r="U4751">
        <v>1500</v>
      </c>
      <c r="V4751">
        <v>39</v>
      </c>
      <c r="W4751">
        <v>1</v>
      </c>
      <c r="X4751">
        <v>0</v>
      </c>
      <c r="Y4751" t="s">
        <v>10830</v>
      </c>
      <c r="Z4751">
        <v>144.12</v>
      </c>
      <c r="AA4751">
        <v>40.70552</v>
      </c>
      <c r="AB4751">
        <v>-73.91768</v>
      </c>
      <c r="AD4751" t="s">
        <v>10840</v>
      </c>
      <c r="AG4751" t="s">
        <v>10858</v>
      </c>
      <c r="AH4751" t="s">
        <v>10861</v>
      </c>
      <c r="AI4751">
        <v>234</v>
      </c>
      <c r="AJ4751" t="s">
        <v>10214</v>
      </c>
      <c r="AK4751" t="s">
        <v>10882</v>
      </c>
      <c r="AL4751">
        <v>1.2</v>
      </c>
      <c r="AM4751" t="s">
        <v>10886</v>
      </c>
      <c r="AN4751" t="s">
        <v>10942</v>
      </c>
      <c r="AO4751" t="s">
        <v>11011</v>
      </c>
      <c r="AP4751" t="s">
        <v>11058</v>
      </c>
      <c r="AR4751" t="s">
        <v>11276</v>
      </c>
      <c r="AS4751" t="s">
        <v>11595</v>
      </c>
      <c r="AT4751" t="s">
        <v>11642</v>
      </c>
      <c r="AX4751" t="s">
        <v>10838</v>
      </c>
      <c r="AY4751" t="s">
        <v>10830</v>
      </c>
      <c r="AZ4751" t="s">
        <v>11697</v>
      </c>
      <c r="BA4751" t="s">
        <v>11740</v>
      </c>
      <c r="BB4751">
        <v>0</v>
      </c>
      <c r="BC4751">
        <v>0</v>
      </c>
      <c r="BD4751">
        <v>0</v>
      </c>
      <c r="BE4751">
        <v>0</v>
      </c>
      <c r="BF4751">
        <v>2</v>
      </c>
      <c r="BG4751">
        <v>0</v>
      </c>
    </row>
    <row r="4752" spans="1:59">
      <c r="A4752" s="1">
        <f>HYPERLINK("https://lsnyc.legalserver.org/matter/dynamic-profile/view/1908955","19-1908955")</f>
        <v>0</v>
      </c>
      <c r="B4752" t="s">
        <v>3827</v>
      </c>
      <c r="C4752" t="s">
        <v>8650</v>
      </c>
      <c r="D4752" t="s">
        <v>9926</v>
      </c>
      <c r="E4752" t="s">
        <v>10075</v>
      </c>
      <c r="F4752">
        <v>10453</v>
      </c>
      <c r="G4752" t="s">
        <v>10090</v>
      </c>
      <c r="H4752" t="s">
        <v>10100</v>
      </c>
      <c r="I4752" t="s">
        <v>10168</v>
      </c>
      <c r="J4752" t="s">
        <v>10210</v>
      </c>
      <c r="K4752" t="s">
        <v>10217</v>
      </c>
      <c r="M4752" t="s">
        <v>10495</v>
      </c>
      <c r="N4752" t="s">
        <v>10658</v>
      </c>
      <c r="P4752" t="s">
        <v>10749</v>
      </c>
      <c r="Q4752" t="s">
        <v>10769</v>
      </c>
      <c r="R4752" t="s">
        <v>10824</v>
      </c>
      <c r="T4752">
        <v>48000</v>
      </c>
      <c r="U4752">
        <v>4000</v>
      </c>
      <c r="V4752">
        <v>50</v>
      </c>
      <c r="W4752">
        <v>2</v>
      </c>
      <c r="X4752">
        <v>0</v>
      </c>
      <c r="Z4752">
        <v>283.86</v>
      </c>
      <c r="AA4752">
        <v>40.845637</v>
      </c>
      <c r="AB4752">
        <v>-73.91230899999999</v>
      </c>
      <c r="AD4752" t="s">
        <v>10840</v>
      </c>
      <c r="AG4752" t="s">
        <v>10858</v>
      </c>
      <c r="AH4752" t="s">
        <v>10860</v>
      </c>
      <c r="AI4752">
        <v>230</v>
      </c>
      <c r="AJ4752" t="s">
        <v>10210</v>
      </c>
      <c r="AL4752">
        <v>3.5</v>
      </c>
      <c r="AM4752" t="s">
        <v>10884</v>
      </c>
      <c r="AN4752" t="s">
        <v>10929</v>
      </c>
      <c r="AO4752" t="s">
        <v>11000</v>
      </c>
      <c r="AP4752" t="s">
        <v>11045</v>
      </c>
      <c r="AR4752" t="s">
        <v>11539</v>
      </c>
      <c r="AS4752" t="s">
        <v>9926</v>
      </c>
      <c r="AT4752" t="s">
        <v>11642</v>
      </c>
      <c r="AX4752" t="s">
        <v>10838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</row>
    <row r="4753" spans="1:59">
      <c r="A4753" s="1">
        <f>HYPERLINK("https://lsnyc.legalserver.org/matter/dynamic-profile/view/1908956","19-1908956")</f>
        <v>0</v>
      </c>
      <c r="B4753" t="s">
        <v>3828</v>
      </c>
      <c r="C4753" t="s">
        <v>8651</v>
      </c>
      <c r="D4753" t="s">
        <v>9926</v>
      </c>
      <c r="E4753" t="s">
        <v>10075</v>
      </c>
      <c r="F4753">
        <v>10456</v>
      </c>
      <c r="G4753" t="s">
        <v>10090</v>
      </c>
      <c r="H4753" t="s">
        <v>10100</v>
      </c>
      <c r="I4753" t="s">
        <v>10169</v>
      </c>
      <c r="J4753" t="s">
        <v>10210</v>
      </c>
      <c r="K4753" t="s">
        <v>10217</v>
      </c>
      <c r="M4753" t="s">
        <v>10615</v>
      </c>
      <c r="N4753" t="s">
        <v>10656</v>
      </c>
      <c r="P4753" t="s">
        <v>10751</v>
      </c>
      <c r="Q4753" t="s">
        <v>10780</v>
      </c>
      <c r="R4753" t="s">
        <v>10821</v>
      </c>
      <c r="T4753">
        <v>0</v>
      </c>
      <c r="U4753">
        <v>0</v>
      </c>
      <c r="V4753">
        <v>55</v>
      </c>
      <c r="W4753">
        <v>2</v>
      </c>
      <c r="X4753">
        <v>0</v>
      </c>
      <c r="Z4753">
        <v>0</v>
      </c>
      <c r="AA4753">
        <v>40.831094</v>
      </c>
      <c r="AB4753">
        <v>-73.917827</v>
      </c>
      <c r="AD4753" t="s">
        <v>10839</v>
      </c>
      <c r="AG4753" t="s">
        <v>10858</v>
      </c>
      <c r="AH4753" t="s">
        <v>10861</v>
      </c>
      <c r="AI4753">
        <v>234</v>
      </c>
      <c r="AJ4753" t="s">
        <v>10214</v>
      </c>
      <c r="AL4753">
        <v>12.45</v>
      </c>
      <c r="AM4753" t="s">
        <v>10884</v>
      </c>
      <c r="AN4753" t="s">
        <v>10929</v>
      </c>
      <c r="AO4753" t="s">
        <v>11001</v>
      </c>
      <c r="AP4753" t="s">
        <v>11055</v>
      </c>
      <c r="AR4753" t="s">
        <v>11279</v>
      </c>
      <c r="AS4753" t="s">
        <v>9926</v>
      </c>
      <c r="AT4753" t="s">
        <v>11641</v>
      </c>
      <c r="AX4753" t="s">
        <v>10838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</row>
    <row r="4754" spans="1:59">
      <c r="A4754" s="1">
        <f>HYPERLINK("https://lsnyc.legalserver.org/matter/dynamic-profile/view/1908957","19-1908957")</f>
        <v>0</v>
      </c>
      <c r="B4754" t="s">
        <v>3829</v>
      </c>
      <c r="C4754" t="s">
        <v>7080</v>
      </c>
      <c r="D4754" t="s">
        <v>9926</v>
      </c>
      <c r="E4754" t="s">
        <v>10075</v>
      </c>
      <c r="F4754">
        <v>10468</v>
      </c>
      <c r="G4754" t="s">
        <v>10091</v>
      </c>
      <c r="H4754" t="s">
        <v>10100</v>
      </c>
      <c r="I4754" t="s">
        <v>10169</v>
      </c>
      <c r="J4754" t="s">
        <v>10214</v>
      </c>
      <c r="K4754" t="s">
        <v>10217</v>
      </c>
      <c r="M4754" t="s">
        <v>10537</v>
      </c>
      <c r="N4754" t="s">
        <v>10671</v>
      </c>
      <c r="P4754" t="s">
        <v>10753</v>
      </c>
      <c r="Q4754" t="s">
        <v>10763</v>
      </c>
      <c r="R4754" t="s">
        <v>10821</v>
      </c>
      <c r="T4754">
        <v>15600</v>
      </c>
      <c r="U4754">
        <v>1300</v>
      </c>
      <c r="V4754">
        <v>42</v>
      </c>
      <c r="W4754">
        <v>2</v>
      </c>
      <c r="X4754">
        <v>2</v>
      </c>
      <c r="Z4754">
        <v>60.58</v>
      </c>
      <c r="AA4754">
        <v>40.871425</v>
      </c>
      <c r="AB4754">
        <v>-73.89951499999999</v>
      </c>
      <c r="AD4754" t="s">
        <v>10839</v>
      </c>
      <c r="AF4754" t="s">
        <v>10843</v>
      </c>
      <c r="AG4754" t="s">
        <v>10859</v>
      </c>
      <c r="AH4754" t="s">
        <v>10871</v>
      </c>
      <c r="AI4754">
        <v>234</v>
      </c>
      <c r="AJ4754" t="s">
        <v>10214</v>
      </c>
      <c r="AL4754">
        <v>1.15</v>
      </c>
      <c r="AM4754" t="s">
        <v>10887</v>
      </c>
      <c r="AN4754" t="s">
        <v>10919</v>
      </c>
      <c r="AO4754" t="s">
        <v>11000</v>
      </c>
      <c r="AP4754" t="s">
        <v>11045</v>
      </c>
      <c r="AR4754" t="s">
        <v>11262</v>
      </c>
      <c r="AS4754" t="s">
        <v>9926</v>
      </c>
      <c r="AT4754" t="s">
        <v>11641</v>
      </c>
      <c r="AX4754" t="s">
        <v>10838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</row>
    <row r="4755" spans="1:59">
      <c r="A4755" s="1">
        <f>HYPERLINK("https://lsnyc.legalserver.org/matter/dynamic-profile/view/1908958","19-1908958")</f>
        <v>0</v>
      </c>
      <c r="B4755" t="s">
        <v>3830</v>
      </c>
      <c r="C4755" t="s">
        <v>8652</v>
      </c>
      <c r="D4755" t="s">
        <v>9928</v>
      </c>
      <c r="E4755" t="s">
        <v>10075</v>
      </c>
      <c r="F4755">
        <v>11215</v>
      </c>
      <c r="G4755" t="s">
        <v>10093</v>
      </c>
      <c r="H4755" t="s">
        <v>10100</v>
      </c>
      <c r="I4755" t="s">
        <v>10168</v>
      </c>
      <c r="J4755" t="s">
        <v>10213</v>
      </c>
      <c r="K4755" t="s">
        <v>10217</v>
      </c>
      <c r="M4755" t="s">
        <v>10315</v>
      </c>
      <c r="N4755" t="s">
        <v>10686</v>
      </c>
      <c r="P4755" t="s">
        <v>10750</v>
      </c>
      <c r="Q4755" t="s">
        <v>10778</v>
      </c>
      <c r="R4755" t="s">
        <v>10820</v>
      </c>
      <c r="T4755">
        <v>17976</v>
      </c>
      <c r="U4755">
        <v>1498</v>
      </c>
      <c r="V4755">
        <v>57</v>
      </c>
      <c r="W4755">
        <v>1</v>
      </c>
      <c r="X4755">
        <v>0</v>
      </c>
      <c r="Z4755">
        <v>143.92</v>
      </c>
      <c r="AA4755">
        <v>40.673583</v>
      </c>
      <c r="AB4755">
        <v>-73.974625</v>
      </c>
      <c r="AD4755" t="s">
        <v>10839</v>
      </c>
      <c r="AG4755" t="s">
        <v>10858</v>
      </c>
      <c r="AH4755" t="s">
        <v>10861</v>
      </c>
      <c r="AI4755">
        <v>234</v>
      </c>
      <c r="AJ4755" t="s">
        <v>10214</v>
      </c>
      <c r="AL4755">
        <v>4.1</v>
      </c>
      <c r="AM4755" t="s">
        <v>10888</v>
      </c>
      <c r="AN4755" t="s">
        <v>10917</v>
      </c>
      <c r="AO4755" t="s">
        <v>11008</v>
      </c>
      <c r="AP4755" t="s">
        <v>11059</v>
      </c>
      <c r="AR4755" t="s">
        <v>11274</v>
      </c>
      <c r="AS4755" t="s">
        <v>11595</v>
      </c>
      <c r="AT4755" t="s">
        <v>11641</v>
      </c>
      <c r="AX4755" t="s">
        <v>10838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</row>
    <row r="4756" spans="1:59">
      <c r="A4756" s="1">
        <f>HYPERLINK("https://lsnyc.legalserver.org/matter/dynamic-profile/view/1908959","19-1908959")</f>
        <v>0</v>
      </c>
      <c r="B4756" t="s">
        <v>3646</v>
      </c>
      <c r="C4756" t="s">
        <v>8653</v>
      </c>
      <c r="D4756" t="s">
        <v>9926</v>
      </c>
      <c r="E4756" t="s">
        <v>10075</v>
      </c>
      <c r="F4756">
        <v>10471</v>
      </c>
      <c r="G4756" t="s">
        <v>10090</v>
      </c>
      <c r="H4756" t="s">
        <v>10100</v>
      </c>
      <c r="I4756" t="s">
        <v>10168</v>
      </c>
      <c r="J4756" t="s">
        <v>10210</v>
      </c>
      <c r="K4756" t="s">
        <v>10218</v>
      </c>
      <c r="L4756" t="s">
        <v>10159</v>
      </c>
      <c r="M4756" t="s">
        <v>10524</v>
      </c>
      <c r="N4756" t="s">
        <v>10690</v>
      </c>
      <c r="P4756" t="s">
        <v>10749</v>
      </c>
      <c r="Q4756" t="s">
        <v>10765</v>
      </c>
      <c r="R4756" t="s">
        <v>10822</v>
      </c>
      <c r="T4756">
        <v>18000</v>
      </c>
      <c r="U4756">
        <v>1500</v>
      </c>
      <c r="V4756">
        <v>43</v>
      </c>
      <c r="W4756">
        <v>1</v>
      </c>
      <c r="X4756">
        <v>0</v>
      </c>
      <c r="Y4756" t="s">
        <v>10829</v>
      </c>
      <c r="Z4756">
        <v>144.12</v>
      </c>
      <c r="AA4756">
        <v>40.903427</v>
      </c>
      <c r="AB4756">
        <v>-73.896747</v>
      </c>
      <c r="AC4756" t="s">
        <v>10837</v>
      </c>
      <c r="AD4756" t="s">
        <v>10839</v>
      </c>
      <c r="AG4756" t="s">
        <v>10858</v>
      </c>
      <c r="AH4756" t="s">
        <v>10861</v>
      </c>
      <c r="AI4756">
        <v>234</v>
      </c>
      <c r="AJ4756" t="s">
        <v>10214</v>
      </c>
      <c r="AK4756" t="s">
        <v>10838</v>
      </c>
      <c r="AL4756">
        <v>1.35</v>
      </c>
      <c r="AM4756" t="s">
        <v>10893</v>
      </c>
      <c r="AN4756" t="s">
        <v>10919</v>
      </c>
      <c r="AO4756" t="s">
        <v>11002</v>
      </c>
      <c r="AP4756" t="s">
        <v>11057</v>
      </c>
      <c r="AR4756" t="s">
        <v>11276</v>
      </c>
      <c r="AS4756" t="s">
        <v>9926</v>
      </c>
      <c r="AT4756" t="s">
        <v>11641</v>
      </c>
      <c r="AX4756" t="s">
        <v>10838</v>
      </c>
      <c r="AY4756" t="s">
        <v>10829</v>
      </c>
      <c r="AZ4756" t="s">
        <v>11681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</row>
    <row r="4757" spans="1:59">
      <c r="A4757" s="1">
        <f>HYPERLINK("https://lsnyc.legalserver.org/matter/dynamic-profile/view/1908960","19-1908960")</f>
        <v>0</v>
      </c>
      <c r="B4757" t="s">
        <v>3831</v>
      </c>
      <c r="C4757" t="s">
        <v>8654</v>
      </c>
      <c r="D4757" t="s">
        <v>9953</v>
      </c>
      <c r="E4757" t="s">
        <v>10075</v>
      </c>
      <c r="F4757">
        <v>11104</v>
      </c>
      <c r="G4757" t="s">
        <v>10092</v>
      </c>
      <c r="H4757" t="s">
        <v>10100</v>
      </c>
      <c r="I4757" t="s">
        <v>10168</v>
      </c>
      <c r="J4757" t="s">
        <v>10212</v>
      </c>
      <c r="K4757" t="s">
        <v>10217</v>
      </c>
      <c r="M4757" t="s">
        <v>10410</v>
      </c>
      <c r="N4757" t="s">
        <v>10695</v>
      </c>
      <c r="P4757" t="s">
        <v>10749</v>
      </c>
      <c r="Q4757" t="s">
        <v>10765</v>
      </c>
      <c r="R4757" t="s">
        <v>10821</v>
      </c>
      <c r="T4757">
        <v>6000</v>
      </c>
      <c r="U4757">
        <v>500</v>
      </c>
      <c r="V4757">
        <v>46</v>
      </c>
      <c r="W4757">
        <v>1</v>
      </c>
      <c r="X4757">
        <v>0</v>
      </c>
      <c r="Z4757">
        <v>48.04</v>
      </c>
      <c r="AA4757">
        <v>40.74603</v>
      </c>
      <c r="AB4757">
        <v>-73.91932300000001</v>
      </c>
      <c r="AD4757" t="s">
        <v>10840</v>
      </c>
      <c r="AG4757" t="s">
        <v>10858</v>
      </c>
      <c r="AH4757" t="s">
        <v>10862</v>
      </c>
      <c r="AI4757">
        <v>237</v>
      </c>
      <c r="AJ4757" t="s">
        <v>10212</v>
      </c>
      <c r="AL4757">
        <v>3.88</v>
      </c>
      <c r="AM4757" t="s">
        <v>10885</v>
      </c>
      <c r="AN4757" t="s">
        <v>10961</v>
      </c>
      <c r="AO4757" t="s">
        <v>11003</v>
      </c>
      <c r="AP4757" t="s">
        <v>11047</v>
      </c>
      <c r="AR4757" t="s">
        <v>11257</v>
      </c>
      <c r="AS4757" t="s">
        <v>11594</v>
      </c>
      <c r="AX4757" t="s">
        <v>10838</v>
      </c>
      <c r="BA4757" t="s">
        <v>11742</v>
      </c>
      <c r="BB4757">
        <v>0</v>
      </c>
      <c r="BC4757">
        <v>0</v>
      </c>
      <c r="BD4757">
        <v>0</v>
      </c>
      <c r="BE4757">
        <v>0</v>
      </c>
      <c r="BF4757">
        <v>7</v>
      </c>
      <c r="BG4757">
        <v>0</v>
      </c>
    </row>
    <row r="4758" spans="1:59">
      <c r="A4758" s="1">
        <f>HYPERLINK("https://lsnyc.legalserver.org/matter/dynamic-profile/view/1908961","19-1908961")</f>
        <v>0</v>
      </c>
      <c r="B4758" t="s">
        <v>3832</v>
      </c>
      <c r="C4758" t="s">
        <v>7129</v>
      </c>
      <c r="D4758" t="s">
        <v>9928</v>
      </c>
      <c r="E4758" t="s">
        <v>10075</v>
      </c>
      <c r="F4758">
        <v>11225</v>
      </c>
      <c r="G4758" t="s">
        <v>10093</v>
      </c>
      <c r="H4758" t="s">
        <v>10100</v>
      </c>
      <c r="I4758" t="s">
        <v>10168</v>
      </c>
      <c r="J4758" t="s">
        <v>10213</v>
      </c>
      <c r="K4758" t="s">
        <v>10217</v>
      </c>
      <c r="M4758" t="s">
        <v>10494</v>
      </c>
      <c r="N4758" t="s">
        <v>10667</v>
      </c>
      <c r="P4758" t="s">
        <v>10749</v>
      </c>
      <c r="Q4758" t="s">
        <v>10765</v>
      </c>
      <c r="R4758" t="s">
        <v>10824</v>
      </c>
      <c r="T4758">
        <v>7308</v>
      </c>
      <c r="U4758">
        <v>609</v>
      </c>
      <c r="V4758">
        <v>64</v>
      </c>
      <c r="W4758">
        <v>2</v>
      </c>
      <c r="X4758">
        <v>0</v>
      </c>
      <c r="Z4758">
        <v>43.22</v>
      </c>
      <c r="AA4758">
        <v>40.66463</v>
      </c>
      <c r="AB4758">
        <v>-73.95351599999999</v>
      </c>
      <c r="AD4758" t="s">
        <v>10839</v>
      </c>
      <c r="AG4758" t="s">
        <v>10858</v>
      </c>
      <c r="AH4758" t="s">
        <v>10862</v>
      </c>
      <c r="AI4758">
        <v>239</v>
      </c>
      <c r="AJ4758" t="s">
        <v>10213</v>
      </c>
      <c r="AL4758">
        <v>11.1</v>
      </c>
      <c r="AM4758" t="s">
        <v>10888</v>
      </c>
      <c r="AN4758" t="s">
        <v>10912</v>
      </c>
      <c r="AO4758" t="s">
        <v>11005</v>
      </c>
      <c r="AP4758" t="s">
        <v>11061</v>
      </c>
      <c r="AR4758" t="s">
        <v>11253</v>
      </c>
      <c r="AS4758" t="s">
        <v>11595</v>
      </c>
      <c r="AT4758" t="s">
        <v>11641</v>
      </c>
      <c r="BA4758" t="s">
        <v>11738</v>
      </c>
      <c r="BB4758">
        <v>0</v>
      </c>
      <c r="BC4758">
        <v>0</v>
      </c>
      <c r="BD4758">
        <v>0</v>
      </c>
      <c r="BE4758">
        <v>0</v>
      </c>
      <c r="BF4758">
        <v>5</v>
      </c>
      <c r="BG4758">
        <v>0</v>
      </c>
    </row>
    <row r="4759" spans="1:59">
      <c r="A4759" s="1">
        <f>HYPERLINK("https://lsnyc.legalserver.org/matter/dynamic-profile/view/1908962","19-1908962")</f>
        <v>0</v>
      </c>
      <c r="B4759" t="s">
        <v>3833</v>
      </c>
      <c r="C4759" t="s">
        <v>8655</v>
      </c>
      <c r="D4759" t="s">
        <v>9928</v>
      </c>
      <c r="E4759" t="s">
        <v>10075</v>
      </c>
      <c r="F4759">
        <v>11223</v>
      </c>
      <c r="G4759" t="s">
        <v>10093</v>
      </c>
      <c r="H4759" t="s">
        <v>10153</v>
      </c>
      <c r="I4759" t="s">
        <v>10171</v>
      </c>
      <c r="J4759" t="s">
        <v>10213</v>
      </c>
      <c r="K4759" t="s">
        <v>10218</v>
      </c>
      <c r="L4759" t="s">
        <v>10154</v>
      </c>
      <c r="M4759" t="s">
        <v>10390</v>
      </c>
      <c r="N4759" t="s">
        <v>10644</v>
      </c>
      <c r="P4759" t="s">
        <v>10749</v>
      </c>
      <c r="Q4759" t="s">
        <v>10791</v>
      </c>
      <c r="R4759" t="s">
        <v>10820</v>
      </c>
      <c r="T4759">
        <v>10296</v>
      </c>
      <c r="U4759">
        <v>858</v>
      </c>
      <c r="V4759">
        <v>62</v>
      </c>
      <c r="W4759">
        <v>1</v>
      </c>
      <c r="X4759">
        <v>0</v>
      </c>
      <c r="Y4759" t="s">
        <v>10829</v>
      </c>
      <c r="Z4759">
        <v>82.43000000000001</v>
      </c>
      <c r="AA4759">
        <v>40.584572</v>
      </c>
      <c r="AB4759">
        <v>-73.97142599999999</v>
      </c>
      <c r="AD4759" t="s">
        <v>10840</v>
      </c>
      <c r="AF4759" t="s">
        <v>10843</v>
      </c>
      <c r="AG4759" t="s">
        <v>10859</v>
      </c>
      <c r="AH4759" t="s">
        <v>10869</v>
      </c>
      <c r="AI4759">
        <v>239</v>
      </c>
      <c r="AJ4759" t="s">
        <v>10213</v>
      </c>
      <c r="AK4759" t="s">
        <v>10838</v>
      </c>
      <c r="AL4759">
        <v>1.75</v>
      </c>
      <c r="AM4759" t="s">
        <v>10883</v>
      </c>
      <c r="AN4759" t="s">
        <v>10960</v>
      </c>
      <c r="AO4759" t="s">
        <v>11006</v>
      </c>
      <c r="AP4759" t="s">
        <v>11087</v>
      </c>
      <c r="AQ4759" t="s">
        <v>11133</v>
      </c>
      <c r="AR4759" t="s">
        <v>11263</v>
      </c>
      <c r="AS4759" t="s">
        <v>11595</v>
      </c>
      <c r="AY4759" t="s">
        <v>10829</v>
      </c>
      <c r="AZ4759" t="s">
        <v>11681</v>
      </c>
      <c r="BA4759" t="s">
        <v>11741</v>
      </c>
      <c r="BB4759">
        <v>0</v>
      </c>
      <c r="BC4759">
        <v>0</v>
      </c>
      <c r="BD4759">
        <v>0</v>
      </c>
      <c r="BE4759">
        <v>0</v>
      </c>
      <c r="BF4759">
        <v>1</v>
      </c>
      <c r="BG4759">
        <v>0</v>
      </c>
    </row>
    <row r="4760" spans="1:59">
      <c r="A4760" s="1">
        <f>HYPERLINK("https://lsnyc.legalserver.org/matter/dynamic-profile/view/1908963","19-1908963")</f>
        <v>0</v>
      </c>
      <c r="B4760" t="s">
        <v>371</v>
      </c>
      <c r="C4760" t="s">
        <v>8656</v>
      </c>
      <c r="D4760" t="s">
        <v>9937</v>
      </c>
      <c r="E4760" t="s">
        <v>10075</v>
      </c>
      <c r="F4760">
        <v>11412</v>
      </c>
      <c r="G4760" t="s">
        <v>10092</v>
      </c>
      <c r="H4760" t="s">
        <v>10100</v>
      </c>
      <c r="I4760" t="s">
        <v>10168</v>
      </c>
      <c r="J4760" t="s">
        <v>10212</v>
      </c>
      <c r="K4760" t="s">
        <v>10217</v>
      </c>
      <c r="M4760" t="s">
        <v>10260</v>
      </c>
      <c r="N4760" t="s">
        <v>10665</v>
      </c>
      <c r="P4760" t="s">
        <v>10751</v>
      </c>
      <c r="Q4760" t="s">
        <v>10773</v>
      </c>
      <c r="R4760" t="s">
        <v>10824</v>
      </c>
      <c r="T4760">
        <v>0</v>
      </c>
      <c r="U4760">
        <v>0</v>
      </c>
      <c r="V4760">
        <v>54</v>
      </c>
      <c r="W4760">
        <v>1</v>
      </c>
      <c r="X4760">
        <v>0</v>
      </c>
      <c r="Z4760">
        <v>0</v>
      </c>
      <c r="AA4760">
        <v>40.699244</v>
      </c>
      <c r="AB4760">
        <v>-73.751659</v>
      </c>
      <c r="AD4760" t="s">
        <v>10840</v>
      </c>
      <c r="AG4760" t="s">
        <v>10858</v>
      </c>
      <c r="AH4760" t="s">
        <v>10861</v>
      </c>
      <c r="AI4760">
        <v>234</v>
      </c>
      <c r="AJ4760" t="s">
        <v>10214</v>
      </c>
      <c r="AL4760">
        <v>5.63</v>
      </c>
      <c r="AM4760" t="s">
        <v>10892</v>
      </c>
      <c r="AN4760" t="s">
        <v>10940</v>
      </c>
      <c r="AO4760" t="s">
        <v>11020</v>
      </c>
      <c r="AP4760" t="s">
        <v>11075</v>
      </c>
      <c r="AR4760" t="s">
        <v>11267</v>
      </c>
      <c r="AS4760" t="s">
        <v>11594</v>
      </c>
      <c r="AT4760" t="s">
        <v>11642</v>
      </c>
      <c r="AX4760" t="s">
        <v>10838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</row>
    <row r="4761" spans="1:59">
      <c r="A4761" s="1">
        <f>HYPERLINK("https://lsnyc.legalserver.org/matter/dynamic-profile/view/1908964","19-1908964")</f>
        <v>0</v>
      </c>
      <c r="B4761" t="s">
        <v>3834</v>
      </c>
      <c r="C4761" t="s">
        <v>8657</v>
      </c>
      <c r="D4761" t="s">
        <v>9925</v>
      </c>
      <c r="E4761" t="s">
        <v>10075</v>
      </c>
      <c r="F4761">
        <v>10032</v>
      </c>
      <c r="G4761" t="s">
        <v>10089</v>
      </c>
      <c r="H4761" t="s">
        <v>10100</v>
      </c>
      <c r="I4761" t="s">
        <v>10169</v>
      </c>
      <c r="J4761" t="s">
        <v>10209</v>
      </c>
      <c r="K4761" t="s">
        <v>10217</v>
      </c>
      <c r="M4761" t="s">
        <v>10305</v>
      </c>
      <c r="N4761" t="s">
        <v>10688</v>
      </c>
      <c r="P4761" t="s">
        <v>10752</v>
      </c>
      <c r="Q4761" t="s">
        <v>10805</v>
      </c>
      <c r="R4761" t="s">
        <v>10821</v>
      </c>
      <c r="T4761">
        <v>40000</v>
      </c>
      <c r="U4761">
        <v>3333.33</v>
      </c>
      <c r="V4761">
        <v>26</v>
      </c>
      <c r="W4761">
        <v>5</v>
      </c>
      <c r="X4761">
        <v>0</v>
      </c>
      <c r="Z4761">
        <v>132.58</v>
      </c>
      <c r="AA4761">
        <v>40.84485</v>
      </c>
      <c r="AB4761">
        <v>-73.93965</v>
      </c>
      <c r="AD4761" t="s">
        <v>10840</v>
      </c>
      <c r="AG4761" t="s">
        <v>10858</v>
      </c>
      <c r="AH4761" t="s">
        <v>10863</v>
      </c>
      <c r="AI4761">
        <v>236</v>
      </c>
      <c r="AJ4761" t="s">
        <v>10209</v>
      </c>
      <c r="AL4761">
        <v>2</v>
      </c>
      <c r="AM4761" t="s">
        <v>10887</v>
      </c>
      <c r="AN4761" t="s">
        <v>10943</v>
      </c>
      <c r="AO4761" t="s">
        <v>11019</v>
      </c>
      <c r="AP4761" t="s">
        <v>11074</v>
      </c>
      <c r="AQ4761" t="s">
        <v>11155</v>
      </c>
      <c r="AR4761" t="s">
        <v>11257</v>
      </c>
      <c r="AS4761" t="s">
        <v>9925</v>
      </c>
      <c r="AT4761" t="s">
        <v>11642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</row>
    <row r="4762" spans="1:59">
      <c r="A4762" s="1">
        <f>HYPERLINK("https://lsnyc.legalserver.org/matter/dynamic-profile/view/1908965","19-1908965")</f>
        <v>0</v>
      </c>
      <c r="B4762" t="s">
        <v>3337</v>
      </c>
      <c r="C4762" t="s">
        <v>8129</v>
      </c>
      <c r="D4762" t="s">
        <v>9926</v>
      </c>
      <c r="E4762" t="s">
        <v>10075</v>
      </c>
      <c r="F4762">
        <v>10457</v>
      </c>
      <c r="G4762" t="s">
        <v>10090</v>
      </c>
      <c r="H4762" t="s">
        <v>10100</v>
      </c>
      <c r="I4762" t="s">
        <v>10168</v>
      </c>
      <c r="J4762" t="s">
        <v>10210</v>
      </c>
      <c r="K4762" t="s">
        <v>10217</v>
      </c>
      <c r="M4762" t="s">
        <v>10498</v>
      </c>
      <c r="N4762" t="s">
        <v>10650</v>
      </c>
      <c r="P4762" t="s">
        <v>10749</v>
      </c>
      <c r="Q4762" t="s">
        <v>10765</v>
      </c>
      <c r="R4762" t="s">
        <v>10821</v>
      </c>
      <c r="T4762">
        <v>9100</v>
      </c>
      <c r="U4762">
        <v>758.33</v>
      </c>
      <c r="V4762">
        <v>42</v>
      </c>
      <c r="W4762">
        <v>2</v>
      </c>
      <c r="X4762">
        <v>1</v>
      </c>
      <c r="Z4762">
        <v>42.66</v>
      </c>
      <c r="AA4762">
        <v>40.853931</v>
      </c>
      <c r="AB4762">
        <v>-73.894638</v>
      </c>
      <c r="AD4762" t="s">
        <v>10839</v>
      </c>
      <c r="AG4762" t="s">
        <v>10858</v>
      </c>
      <c r="AH4762" t="s">
        <v>10861</v>
      </c>
      <c r="AI4762">
        <v>230</v>
      </c>
      <c r="AJ4762" t="s">
        <v>10210</v>
      </c>
      <c r="AL4762">
        <v>0</v>
      </c>
      <c r="AM4762" t="s">
        <v>10884</v>
      </c>
      <c r="AN4762" t="s">
        <v>10931</v>
      </c>
      <c r="AO4762" t="s">
        <v>11000</v>
      </c>
      <c r="AP4762" t="s">
        <v>11056</v>
      </c>
      <c r="AR4762" t="s">
        <v>11254</v>
      </c>
      <c r="AS4762" t="s">
        <v>9926</v>
      </c>
      <c r="AT4762" t="s">
        <v>11641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</row>
    <row r="4763" spans="1:59">
      <c r="A4763" s="1">
        <f>HYPERLINK("https://lsnyc.legalserver.org/matter/dynamic-profile/view/1908966","19-1908966")</f>
        <v>0</v>
      </c>
      <c r="B4763" t="s">
        <v>1123</v>
      </c>
      <c r="C4763" t="s">
        <v>8658</v>
      </c>
      <c r="D4763" t="s">
        <v>9928</v>
      </c>
      <c r="E4763" t="s">
        <v>10075</v>
      </c>
      <c r="F4763">
        <v>11203</v>
      </c>
      <c r="G4763" t="s">
        <v>10091</v>
      </c>
      <c r="H4763" t="s">
        <v>10100</v>
      </c>
      <c r="I4763" t="s">
        <v>10168</v>
      </c>
      <c r="J4763" t="s">
        <v>10214</v>
      </c>
      <c r="K4763" t="s">
        <v>10217</v>
      </c>
      <c r="M4763" t="s">
        <v>10537</v>
      </c>
      <c r="N4763" t="s">
        <v>10673</v>
      </c>
      <c r="P4763" t="s">
        <v>10753</v>
      </c>
      <c r="Q4763" t="s">
        <v>10763</v>
      </c>
      <c r="R4763" t="s">
        <v>10824</v>
      </c>
      <c r="T4763">
        <v>0</v>
      </c>
      <c r="U4763">
        <v>0</v>
      </c>
      <c r="V4763">
        <v>29</v>
      </c>
      <c r="W4763">
        <v>2</v>
      </c>
      <c r="X4763">
        <v>0</v>
      </c>
      <c r="Z4763">
        <v>0</v>
      </c>
      <c r="AA4763">
        <v>40.653853</v>
      </c>
      <c r="AB4763">
        <v>-73.92709600000001</v>
      </c>
      <c r="AD4763" t="s">
        <v>10840</v>
      </c>
      <c r="AF4763" t="s">
        <v>10842</v>
      </c>
      <c r="AG4763" t="s">
        <v>10859</v>
      </c>
      <c r="AH4763" t="s">
        <v>10861</v>
      </c>
      <c r="AI4763">
        <v>234</v>
      </c>
      <c r="AJ4763" t="s">
        <v>10214</v>
      </c>
      <c r="AL4763">
        <v>1.8</v>
      </c>
      <c r="AM4763" t="s">
        <v>10888</v>
      </c>
      <c r="AN4763" t="s">
        <v>10925</v>
      </c>
      <c r="AO4763" t="s">
        <v>11005</v>
      </c>
      <c r="AP4763" t="s">
        <v>11064</v>
      </c>
      <c r="AR4763" t="s">
        <v>11267</v>
      </c>
      <c r="AS4763" t="s">
        <v>11595</v>
      </c>
      <c r="AT4763" t="s">
        <v>11642</v>
      </c>
      <c r="AX4763" t="s">
        <v>10837</v>
      </c>
      <c r="BA4763" t="s">
        <v>11742</v>
      </c>
      <c r="BB4763">
        <v>0</v>
      </c>
      <c r="BC4763">
        <v>0</v>
      </c>
      <c r="BD4763">
        <v>0</v>
      </c>
      <c r="BE4763">
        <v>0</v>
      </c>
      <c r="BF4763">
        <v>7</v>
      </c>
      <c r="BG4763">
        <v>0</v>
      </c>
    </row>
    <row r="4764" spans="1:59">
      <c r="A4764" s="1">
        <f>HYPERLINK("https://lsnyc.legalserver.org/matter/dynamic-profile/view/1908967","19-1908967")</f>
        <v>0</v>
      </c>
      <c r="B4764" t="s">
        <v>3835</v>
      </c>
      <c r="C4764" t="s">
        <v>8659</v>
      </c>
      <c r="D4764" t="s">
        <v>9926</v>
      </c>
      <c r="E4764" t="s">
        <v>10075</v>
      </c>
      <c r="F4764">
        <v>10457</v>
      </c>
      <c r="G4764" t="s">
        <v>10090</v>
      </c>
      <c r="H4764" t="s">
        <v>10100</v>
      </c>
      <c r="I4764" t="s">
        <v>10169</v>
      </c>
      <c r="J4764" t="s">
        <v>10210</v>
      </c>
      <c r="K4764" t="s">
        <v>10217</v>
      </c>
      <c r="M4764" t="s">
        <v>10375</v>
      </c>
      <c r="N4764" t="s">
        <v>10671</v>
      </c>
      <c r="P4764" t="s">
        <v>10751</v>
      </c>
      <c r="Q4764" t="s">
        <v>10761</v>
      </c>
      <c r="R4764" t="s">
        <v>10821</v>
      </c>
      <c r="T4764">
        <v>6192</v>
      </c>
      <c r="U4764">
        <v>516</v>
      </c>
      <c r="V4764">
        <v>21</v>
      </c>
      <c r="W4764">
        <v>2</v>
      </c>
      <c r="X4764">
        <v>2</v>
      </c>
      <c r="Z4764">
        <v>24.05</v>
      </c>
      <c r="AA4764">
        <v>40.848608</v>
      </c>
      <c r="AB4764">
        <v>-73.890423</v>
      </c>
      <c r="AD4764" t="s">
        <v>10839</v>
      </c>
      <c r="AG4764" t="s">
        <v>10858</v>
      </c>
      <c r="AH4764" t="s">
        <v>10861</v>
      </c>
      <c r="AI4764">
        <v>234</v>
      </c>
      <c r="AJ4764" t="s">
        <v>10214</v>
      </c>
      <c r="AL4764">
        <v>3.75</v>
      </c>
      <c r="AM4764" t="s">
        <v>10884</v>
      </c>
      <c r="AN4764" t="s">
        <v>10918</v>
      </c>
      <c r="AO4764" t="s">
        <v>11000</v>
      </c>
      <c r="AP4764" t="s">
        <v>11056</v>
      </c>
      <c r="AR4764" t="s">
        <v>11555</v>
      </c>
      <c r="AS4764" t="s">
        <v>9926</v>
      </c>
      <c r="AT4764" t="s">
        <v>11641</v>
      </c>
      <c r="AX4764" t="s">
        <v>10838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</row>
    <row r="4765" spans="1:59">
      <c r="A4765" s="1">
        <f>HYPERLINK("https://lsnyc.legalserver.org/matter/dynamic-profile/view/1908968","19-1908968")</f>
        <v>0</v>
      </c>
      <c r="B4765" t="s">
        <v>1123</v>
      </c>
      <c r="C4765" t="s">
        <v>8660</v>
      </c>
      <c r="D4765" t="s">
        <v>9926</v>
      </c>
      <c r="E4765" t="s">
        <v>10075</v>
      </c>
      <c r="F4765">
        <v>10470</v>
      </c>
      <c r="G4765" t="s">
        <v>10091</v>
      </c>
      <c r="H4765" t="s">
        <v>10100</v>
      </c>
      <c r="I4765" t="s">
        <v>10168</v>
      </c>
      <c r="J4765" t="s">
        <v>10214</v>
      </c>
      <c r="K4765" t="s">
        <v>10217</v>
      </c>
      <c r="M4765" t="s">
        <v>10286</v>
      </c>
      <c r="N4765" t="s">
        <v>10671</v>
      </c>
      <c r="P4765" t="s">
        <v>10749</v>
      </c>
      <c r="Q4765" t="s">
        <v>10765</v>
      </c>
      <c r="R4765" t="s">
        <v>10824</v>
      </c>
      <c r="T4765">
        <v>23400</v>
      </c>
      <c r="U4765">
        <v>1950</v>
      </c>
      <c r="V4765">
        <v>29</v>
      </c>
      <c r="W4765">
        <v>1</v>
      </c>
      <c r="X4765">
        <v>0</v>
      </c>
      <c r="Z4765">
        <v>187.35</v>
      </c>
      <c r="AA4765">
        <v>40.903928</v>
      </c>
      <c r="AB4765">
        <v>-73.853071</v>
      </c>
      <c r="AD4765" t="s">
        <v>10839</v>
      </c>
      <c r="AG4765" t="s">
        <v>10858</v>
      </c>
      <c r="AH4765" t="s">
        <v>10871</v>
      </c>
      <c r="AI4765">
        <v>234</v>
      </c>
      <c r="AJ4765" t="s">
        <v>10214</v>
      </c>
      <c r="AL4765">
        <v>1</v>
      </c>
      <c r="AM4765" t="s">
        <v>10893</v>
      </c>
      <c r="AN4765" t="s">
        <v>10919</v>
      </c>
      <c r="AO4765" t="s">
        <v>11010</v>
      </c>
      <c r="AP4765" t="s">
        <v>11057</v>
      </c>
      <c r="AR4765" t="s">
        <v>11257</v>
      </c>
      <c r="AS4765" t="s">
        <v>9926</v>
      </c>
      <c r="AT4765" t="s">
        <v>11641</v>
      </c>
      <c r="AX4765" t="s">
        <v>10838</v>
      </c>
      <c r="BA4765" t="s">
        <v>11741</v>
      </c>
      <c r="BB4765">
        <v>0</v>
      </c>
      <c r="BC4765">
        <v>0</v>
      </c>
      <c r="BD4765">
        <v>0</v>
      </c>
      <c r="BE4765">
        <v>0</v>
      </c>
      <c r="BF4765">
        <v>1</v>
      </c>
      <c r="BG4765">
        <v>0</v>
      </c>
    </row>
    <row r="4766" spans="1:59">
      <c r="A4766" s="1">
        <f>HYPERLINK("https://lsnyc.legalserver.org/matter/dynamic-profile/view/1908969","19-1908969")</f>
        <v>0</v>
      </c>
      <c r="B4766" t="s">
        <v>3836</v>
      </c>
      <c r="C4766" t="s">
        <v>8661</v>
      </c>
      <c r="D4766" t="s">
        <v>9926</v>
      </c>
      <c r="E4766" t="s">
        <v>10075</v>
      </c>
      <c r="F4766">
        <v>10468</v>
      </c>
      <c r="G4766" t="s">
        <v>10090</v>
      </c>
      <c r="H4766" t="s">
        <v>10100</v>
      </c>
      <c r="I4766" t="s">
        <v>10168</v>
      </c>
      <c r="J4766" t="s">
        <v>10210</v>
      </c>
      <c r="K4766" t="s">
        <v>10217</v>
      </c>
      <c r="M4766" t="s">
        <v>10362</v>
      </c>
      <c r="N4766" t="s">
        <v>10651</v>
      </c>
      <c r="P4766" t="s">
        <v>10749</v>
      </c>
      <c r="Q4766" t="s">
        <v>10765</v>
      </c>
      <c r="R4766" t="s">
        <v>10824</v>
      </c>
      <c r="T4766">
        <v>42000</v>
      </c>
      <c r="U4766">
        <v>3500</v>
      </c>
      <c r="V4766">
        <v>44</v>
      </c>
      <c r="W4766">
        <v>2</v>
      </c>
      <c r="X4766">
        <v>1</v>
      </c>
      <c r="Z4766">
        <v>196.91</v>
      </c>
      <c r="AA4766">
        <v>40.871492</v>
      </c>
      <c r="AB4766">
        <v>-73.90284200000001</v>
      </c>
      <c r="AD4766" t="s">
        <v>10839</v>
      </c>
      <c r="AG4766" t="s">
        <v>10858</v>
      </c>
      <c r="AH4766" t="s">
        <v>10861</v>
      </c>
      <c r="AI4766">
        <v>230</v>
      </c>
      <c r="AJ4766" t="s">
        <v>10210</v>
      </c>
      <c r="AL4766">
        <v>1</v>
      </c>
      <c r="AM4766" t="s">
        <v>10887</v>
      </c>
      <c r="AN4766" t="s">
        <v>10907</v>
      </c>
      <c r="AO4766" t="s">
        <v>11000</v>
      </c>
      <c r="AP4766" t="s">
        <v>11045</v>
      </c>
      <c r="AR4766" t="s">
        <v>11358</v>
      </c>
      <c r="AS4766" t="s">
        <v>9926</v>
      </c>
      <c r="AT4766" t="s">
        <v>11641</v>
      </c>
      <c r="AX4766" t="s">
        <v>10838</v>
      </c>
      <c r="BA4766" t="s">
        <v>11738</v>
      </c>
      <c r="BB4766">
        <v>0</v>
      </c>
      <c r="BC4766">
        <v>0</v>
      </c>
      <c r="BD4766">
        <v>0</v>
      </c>
      <c r="BE4766">
        <v>0</v>
      </c>
      <c r="BF4766">
        <v>5</v>
      </c>
      <c r="BG4766">
        <v>0</v>
      </c>
    </row>
    <row r="4767" spans="1:59">
      <c r="A4767" s="1">
        <f>HYPERLINK("https://lsnyc.legalserver.org/matter/dynamic-profile/view/1908970","19-1908970")</f>
        <v>0</v>
      </c>
      <c r="B4767" t="s">
        <v>3837</v>
      </c>
      <c r="C4767" t="s">
        <v>8662</v>
      </c>
      <c r="D4767" t="s">
        <v>9948</v>
      </c>
      <c r="E4767" t="s">
        <v>10075</v>
      </c>
      <c r="F4767">
        <v>11691</v>
      </c>
      <c r="G4767" t="s">
        <v>10092</v>
      </c>
      <c r="H4767" t="s">
        <v>10100</v>
      </c>
      <c r="I4767" t="s">
        <v>10168</v>
      </c>
      <c r="J4767" t="s">
        <v>10212</v>
      </c>
      <c r="K4767" t="s">
        <v>10217</v>
      </c>
      <c r="M4767" t="s">
        <v>10620</v>
      </c>
      <c r="N4767" t="s">
        <v>10650</v>
      </c>
      <c r="P4767" t="s">
        <v>10749</v>
      </c>
      <c r="Q4767" t="s">
        <v>10765</v>
      </c>
      <c r="R4767" t="s">
        <v>10821</v>
      </c>
      <c r="T4767">
        <v>13872</v>
      </c>
      <c r="U4767">
        <v>1156</v>
      </c>
      <c r="V4767">
        <v>57</v>
      </c>
      <c r="W4767">
        <v>2</v>
      </c>
      <c r="X4767">
        <v>1</v>
      </c>
      <c r="Z4767">
        <v>65.04000000000001</v>
      </c>
      <c r="AA4767">
        <v>40.610008</v>
      </c>
      <c r="AB4767">
        <v>-73.75767999999999</v>
      </c>
      <c r="AC4767" t="s">
        <v>10837</v>
      </c>
      <c r="AD4767" t="s">
        <v>10840</v>
      </c>
      <c r="AG4767" t="s">
        <v>10858</v>
      </c>
      <c r="AH4767" t="s">
        <v>10862</v>
      </c>
      <c r="AI4767">
        <v>237</v>
      </c>
      <c r="AJ4767" t="s">
        <v>10212</v>
      </c>
      <c r="AL4767">
        <v>0.55</v>
      </c>
      <c r="AM4767" t="s">
        <v>10892</v>
      </c>
      <c r="AN4767" t="s">
        <v>10930</v>
      </c>
      <c r="AO4767" t="s">
        <v>11017</v>
      </c>
      <c r="AP4767" t="s">
        <v>11082</v>
      </c>
      <c r="AR4767" t="s">
        <v>11263</v>
      </c>
      <c r="AS4767" t="s">
        <v>11594</v>
      </c>
      <c r="BA4767" t="s">
        <v>11742</v>
      </c>
      <c r="BB4767">
        <v>0</v>
      </c>
      <c r="BC4767">
        <v>0</v>
      </c>
      <c r="BD4767">
        <v>0</v>
      </c>
      <c r="BE4767">
        <v>0</v>
      </c>
      <c r="BF4767">
        <v>7</v>
      </c>
      <c r="BG4767">
        <v>0</v>
      </c>
    </row>
    <row r="4768" spans="1:59">
      <c r="A4768" s="1">
        <f>HYPERLINK("https://lsnyc.legalserver.org/matter/dynamic-profile/view/1908971","19-1908971")</f>
        <v>0</v>
      </c>
      <c r="B4768" t="s">
        <v>3829</v>
      </c>
      <c r="C4768" t="s">
        <v>7080</v>
      </c>
      <c r="D4768" t="s">
        <v>9926</v>
      </c>
      <c r="E4768" t="s">
        <v>10075</v>
      </c>
      <c r="F4768">
        <v>10468</v>
      </c>
      <c r="G4768" t="s">
        <v>10090</v>
      </c>
      <c r="H4768" t="s">
        <v>10100</v>
      </c>
      <c r="I4768" t="s">
        <v>10169</v>
      </c>
      <c r="J4768" t="s">
        <v>10210</v>
      </c>
      <c r="K4768" t="s">
        <v>10218</v>
      </c>
      <c r="L4768" t="s">
        <v>10157</v>
      </c>
      <c r="M4768" t="s">
        <v>10353</v>
      </c>
      <c r="N4768" t="s">
        <v>10671</v>
      </c>
      <c r="P4768" t="s">
        <v>10753</v>
      </c>
      <c r="Q4768" t="s">
        <v>10763</v>
      </c>
      <c r="R4768" t="s">
        <v>10821</v>
      </c>
      <c r="T4768">
        <v>15600</v>
      </c>
      <c r="U4768">
        <v>1300</v>
      </c>
      <c r="V4768">
        <v>42</v>
      </c>
      <c r="W4768">
        <v>2</v>
      </c>
      <c r="X4768">
        <v>2</v>
      </c>
      <c r="Y4768" t="s">
        <v>10829</v>
      </c>
      <c r="Z4768">
        <v>60.58</v>
      </c>
      <c r="AA4768">
        <v>40.871425</v>
      </c>
      <c r="AB4768">
        <v>-73.89951499999999</v>
      </c>
      <c r="AD4768" t="s">
        <v>10839</v>
      </c>
      <c r="AF4768" t="s">
        <v>10843</v>
      </c>
      <c r="AG4768" t="s">
        <v>10859</v>
      </c>
      <c r="AH4768" t="s">
        <v>10871</v>
      </c>
      <c r="AI4768">
        <v>234</v>
      </c>
      <c r="AJ4768" t="s">
        <v>10214</v>
      </c>
      <c r="AK4768" t="s">
        <v>10838</v>
      </c>
      <c r="AL4768">
        <v>0.91</v>
      </c>
      <c r="AR4768" t="s">
        <v>11262</v>
      </c>
      <c r="AS4768" t="s">
        <v>9926</v>
      </c>
      <c r="AX4768" t="s">
        <v>10838</v>
      </c>
      <c r="AY4768" t="s">
        <v>10829</v>
      </c>
      <c r="AZ4768" t="s">
        <v>11709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</row>
    <row r="4769" spans="1:59">
      <c r="A4769" s="1">
        <f>HYPERLINK("https://lsnyc.legalserver.org/matter/dynamic-profile/view/1908972","19-1908972")</f>
        <v>0</v>
      </c>
      <c r="B4769" t="s">
        <v>3838</v>
      </c>
      <c r="C4769" t="s">
        <v>6656</v>
      </c>
      <c r="D4769" t="s">
        <v>9925</v>
      </c>
      <c r="E4769" t="s">
        <v>10075</v>
      </c>
      <c r="F4769">
        <v>10011</v>
      </c>
      <c r="G4769" t="s">
        <v>10093</v>
      </c>
      <c r="H4769" t="s">
        <v>10100</v>
      </c>
      <c r="I4769" t="s">
        <v>10168</v>
      </c>
      <c r="J4769" t="s">
        <v>10213</v>
      </c>
      <c r="K4769" t="s">
        <v>10217</v>
      </c>
      <c r="M4769" t="s">
        <v>10607</v>
      </c>
      <c r="N4769" t="s">
        <v>10671</v>
      </c>
      <c r="P4769" t="s">
        <v>10751</v>
      </c>
      <c r="Q4769" t="s">
        <v>10761</v>
      </c>
      <c r="R4769" t="s">
        <v>10824</v>
      </c>
      <c r="T4769">
        <v>6932</v>
      </c>
      <c r="U4769">
        <v>577.67</v>
      </c>
      <c r="V4769">
        <v>52</v>
      </c>
      <c r="W4769">
        <v>1</v>
      </c>
      <c r="X4769">
        <v>0</v>
      </c>
      <c r="Z4769">
        <v>55.5</v>
      </c>
      <c r="AA4769">
        <v>40.748389</v>
      </c>
      <c r="AB4769">
        <v>-74.005359</v>
      </c>
      <c r="AD4769" t="s">
        <v>10840</v>
      </c>
      <c r="AG4769" t="s">
        <v>10858</v>
      </c>
      <c r="AH4769" t="s">
        <v>10861</v>
      </c>
      <c r="AI4769">
        <v>234</v>
      </c>
      <c r="AJ4769" t="s">
        <v>10214</v>
      </c>
      <c r="AL4769">
        <v>3.5</v>
      </c>
      <c r="AM4769" t="s">
        <v>10894</v>
      </c>
      <c r="AN4769" t="s">
        <v>10966</v>
      </c>
      <c r="AO4769" t="s">
        <v>11021</v>
      </c>
      <c r="AP4769" t="s">
        <v>11090</v>
      </c>
      <c r="AR4769" t="s">
        <v>11366</v>
      </c>
      <c r="AS4769" t="s">
        <v>9925</v>
      </c>
      <c r="AT4769" t="s">
        <v>11642</v>
      </c>
      <c r="AX4769" t="s">
        <v>10837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</row>
    <row r="4770" spans="1:59">
      <c r="A4770" s="1">
        <f>HYPERLINK("https://lsnyc.legalserver.org/matter/dynamic-profile/view/1908973","19-1908973")</f>
        <v>0</v>
      </c>
      <c r="B4770" t="s">
        <v>3839</v>
      </c>
      <c r="C4770" t="s">
        <v>8663</v>
      </c>
      <c r="D4770" t="s">
        <v>9926</v>
      </c>
      <c r="E4770" t="s">
        <v>10075</v>
      </c>
      <c r="F4770">
        <v>10456</v>
      </c>
      <c r="G4770" t="s">
        <v>10091</v>
      </c>
      <c r="H4770" t="s">
        <v>10100</v>
      </c>
      <c r="I4770" t="s">
        <v>10169</v>
      </c>
      <c r="J4770" t="s">
        <v>10214</v>
      </c>
      <c r="K4770" t="s">
        <v>10217</v>
      </c>
      <c r="M4770" t="s">
        <v>10286</v>
      </c>
      <c r="N4770" t="s">
        <v>10671</v>
      </c>
      <c r="P4770" t="s">
        <v>10751</v>
      </c>
      <c r="Q4770" t="s">
        <v>10768</v>
      </c>
      <c r="R4770" t="s">
        <v>10821</v>
      </c>
      <c r="T4770">
        <v>26000</v>
      </c>
      <c r="U4770">
        <v>2166.67</v>
      </c>
      <c r="V4770">
        <v>18</v>
      </c>
      <c r="W4770">
        <v>1</v>
      </c>
      <c r="X4770">
        <v>1</v>
      </c>
      <c r="Z4770">
        <v>153.76</v>
      </c>
      <c r="AA4770">
        <v>40.834682</v>
      </c>
      <c r="AB4770">
        <v>-73.90155900000001</v>
      </c>
      <c r="AD4770" t="s">
        <v>10840</v>
      </c>
      <c r="AG4770" t="s">
        <v>10858</v>
      </c>
      <c r="AH4770" t="s">
        <v>10871</v>
      </c>
      <c r="AI4770">
        <v>234</v>
      </c>
      <c r="AJ4770" t="s">
        <v>10214</v>
      </c>
      <c r="AL4770">
        <v>1</v>
      </c>
      <c r="AM4770" t="s">
        <v>10884</v>
      </c>
      <c r="AN4770" t="s">
        <v>10918</v>
      </c>
      <c r="AO4770" t="s">
        <v>11000</v>
      </c>
      <c r="AP4770" t="s">
        <v>11055</v>
      </c>
      <c r="AR4770" t="s">
        <v>11257</v>
      </c>
      <c r="AS4770" t="s">
        <v>9926</v>
      </c>
      <c r="AT4770" t="s">
        <v>11642</v>
      </c>
      <c r="AX4770" t="s">
        <v>10838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</row>
    <row r="4771" spans="1:59">
      <c r="A4771" s="1">
        <f>HYPERLINK("https://lsnyc.legalserver.org/matter/dynamic-profile/view/1908974","19-1908974")</f>
        <v>0</v>
      </c>
      <c r="B4771" t="s">
        <v>3840</v>
      </c>
      <c r="C4771" t="s">
        <v>8182</v>
      </c>
      <c r="D4771" t="s">
        <v>9926</v>
      </c>
      <c r="E4771" t="s">
        <v>10075</v>
      </c>
      <c r="F4771">
        <v>10467</v>
      </c>
      <c r="G4771" t="s">
        <v>10091</v>
      </c>
      <c r="H4771" t="s">
        <v>10100</v>
      </c>
      <c r="I4771" t="s">
        <v>10168</v>
      </c>
      <c r="J4771" t="s">
        <v>10214</v>
      </c>
      <c r="K4771" t="s">
        <v>10217</v>
      </c>
      <c r="M4771" t="s">
        <v>10286</v>
      </c>
      <c r="N4771" t="s">
        <v>10671</v>
      </c>
      <c r="P4771" t="s">
        <v>10752</v>
      </c>
      <c r="Q4771" t="s">
        <v>10762</v>
      </c>
      <c r="R4771" t="s">
        <v>10821</v>
      </c>
      <c r="S4771" t="s">
        <v>10821</v>
      </c>
      <c r="T4771">
        <v>27612</v>
      </c>
      <c r="U4771">
        <v>2301</v>
      </c>
      <c r="V4771">
        <v>67</v>
      </c>
      <c r="W4771">
        <v>2</v>
      </c>
      <c r="X4771">
        <v>0</v>
      </c>
      <c r="Z4771">
        <v>163.29</v>
      </c>
      <c r="AA4771">
        <v>40.87167</v>
      </c>
      <c r="AB4771">
        <v>-73.869067</v>
      </c>
      <c r="AD4771" t="s">
        <v>10840</v>
      </c>
      <c r="AG4771" t="s">
        <v>10858</v>
      </c>
      <c r="AH4771" t="s">
        <v>10863</v>
      </c>
      <c r="AI4771">
        <v>235</v>
      </c>
      <c r="AJ4771" t="s">
        <v>10211</v>
      </c>
      <c r="AL4771">
        <v>0.3</v>
      </c>
      <c r="AM4771" t="s">
        <v>10893</v>
      </c>
      <c r="AN4771" t="s">
        <v>10938</v>
      </c>
      <c r="AO4771" t="s">
        <v>11010</v>
      </c>
      <c r="AP4771" t="s">
        <v>11056</v>
      </c>
      <c r="AR4771" t="s">
        <v>11274</v>
      </c>
      <c r="AS4771" t="s">
        <v>9926</v>
      </c>
      <c r="AT4771" t="s">
        <v>11642</v>
      </c>
      <c r="AX4771" t="s">
        <v>10838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</row>
    <row r="4772" spans="1:59">
      <c r="A4772" s="1">
        <f>HYPERLINK("https://lsnyc.legalserver.org/matter/dynamic-profile/view/1908975","19-1908975")</f>
        <v>0</v>
      </c>
      <c r="B4772" t="s">
        <v>3841</v>
      </c>
      <c r="C4772" t="s">
        <v>8664</v>
      </c>
      <c r="D4772" t="s">
        <v>9926</v>
      </c>
      <c r="E4772" t="s">
        <v>10075</v>
      </c>
      <c r="F4772">
        <v>10459</v>
      </c>
      <c r="G4772" t="s">
        <v>10090</v>
      </c>
      <c r="H4772" t="s">
        <v>10100</v>
      </c>
      <c r="I4772" t="s">
        <v>10168</v>
      </c>
      <c r="J4772" t="s">
        <v>10210</v>
      </c>
      <c r="K4772" t="s">
        <v>10217</v>
      </c>
      <c r="M4772" t="s">
        <v>10590</v>
      </c>
      <c r="N4772" t="s">
        <v>10650</v>
      </c>
      <c r="P4772" t="s">
        <v>10749</v>
      </c>
      <c r="Q4772" t="s">
        <v>10765</v>
      </c>
      <c r="R4772" t="s">
        <v>10821</v>
      </c>
      <c r="T4772">
        <v>21000</v>
      </c>
      <c r="U4772">
        <v>1750</v>
      </c>
      <c r="V4772">
        <v>60</v>
      </c>
      <c r="W4772">
        <v>2</v>
      </c>
      <c r="X4772">
        <v>0</v>
      </c>
      <c r="Z4772">
        <v>124.19</v>
      </c>
      <c r="AA4772">
        <v>40.820254</v>
      </c>
      <c r="AB4772">
        <v>-73.896322</v>
      </c>
      <c r="AD4772" t="s">
        <v>10839</v>
      </c>
      <c r="AG4772" t="s">
        <v>10858</v>
      </c>
      <c r="AH4772" t="s">
        <v>10862</v>
      </c>
      <c r="AI4772">
        <v>230</v>
      </c>
      <c r="AJ4772" t="s">
        <v>10210</v>
      </c>
      <c r="AL4772">
        <v>1.7</v>
      </c>
      <c r="AM4772" t="s">
        <v>10884</v>
      </c>
      <c r="AN4772" t="s">
        <v>10968</v>
      </c>
      <c r="AO4772" t="s">
        <v>11001</v>
      </c>
      <c r="AP4772" t="s">
        <v>11062</v>
      </c>
      <c r="AR4772" t="s">
        <v>11296</v>
      </c>
      <c r="AS4772" t="s">
        <v>9926</v>
      </c>
      <c r="BA4772" t="s">
        <v>11741</v>
      </c>
      <c r="BB4772">
        <v>0</v>
      </c>
      <c r="BC4772">
        <v>0</v>
      </c>
      <c r="BD4772">
        <v>0</v>
      </c>
      <c r="BE4772">
        <v>0</v>
      </c>
      <c r="BF4772">
        <v>1</v>
      </c>
      <c r="BG4772">
        <v>0</v>
      </c>
    </row>
    <row r="4773" spans="1:59">
      <c r="A4773" s="1">
        <f>HYPERLINK("https://lsnyc.legalserver.org/matter/dynamic-profile/view/1908976","19-1908976")</f>
        <v>0</v>
      </c>
      <c r="B4773" t="s">
        <v>1766</v>
      </c>
      <c r="C4773" t="s">
        <v>8665</v>
      </c>
      <c r="D4773" t="s">
        <v>9926</v>
      </c>
      <c r="E4773" t="s">
        <v>10075</v>
      </c>
      <c r="F4773">
        <v>10458</v>
      </c>
      <c r="G4773" t="s">
        <v>10090</v>
      </c>
      <c r="H4773" t="s">
        <v>10100</v>
      </c>
      <c r="I4773" t="s">
        <v>10168</v>
      </c>
      <c r="J4773" t="s">
        <v>10210</v>
      </c>
      <c r="K4773" t="s">
        <v>10217</v>
      </c>
      <c r="M4773" t="s">
        <v>10498</v>
      </c>
      <c r="N4773" t="s">
        <v>10646</v>
      </c>
      <c r="P4773" t="s">
        <v>10749</v>
      </c>
      <c r="Q4773" t="s">
        <v>10765</v>
      </c>
      <c r="R4773" t="s">
        <v>10824</v>
      </c>
      <c r="T4773">
        <v>54432</v>
      </c>
      <c r="U4773">
        <v>4536</v>
      </c>
      <c r="V4773">
        <v>57</v>
      </c>
      <c r="W4773">
        <v>1</v>
      </c>
      <c r="X4773">
        <v>0</v>
      </c>
      <c r="Z4773">
        <v>435.8</v>
      </c>
      <c r="AA4773">
        <v>40.85698</v>
      </c>
      <c r="AB4773">
        <v>-73.884034</v>
      </c>
      <c r="AD4773" t="s">
        <v>10840</v>
      </c>
      <c r="AG4773" t="s">
        <v>10858</v>
      </c>
      <c r="AH4773" t="s">
        <v>10862</v>
      </c>
      <c r="AI4773">
        <v>230</v>
      </c>
      <c r="AJ4773" t="s">
        <v>10210</v>
      </c>
      <c r="AL4773">
        <v>0.35</v>
      </c>
      <c r="AM4773" t="s">
        <v>10884</v>
      </c>
      <c r="AN4773" t="s">
        <v>10907</v>
      </c>
      <c r="AO4773" t="s">
        <v>11002</v>
      </c>
      <c r="AP4773" t="s">
        <v>11056</v>
      </c>
      <c r="AR4773" t="s">
        <v>11257</v>
      </c>
      <c r="AS4773" t="s">
        <v>9926</v>
      </c>
      <c r="AT4773" t="s">
        <v>11642</v>
      </c>
      <c r="BA4773" t="s">
        <v>11741</v>
      </c>
      <c r="BB4773">
        <v>0</v>
      </c>
      <c r="BC4773">
        <v>0</v>
      </c>
      <c r="BD4773">
        <v>0</v>
      </c>
      <c r="BE4773">
        <v>0</v>
      </c>
      <c r="BF4773">
        <v>1</v>
      </c>
      <c r="BG4773">
        <v>0</v>
      </c>
    </row>
    <row r="4774" spans="1:59">
      <c r="A4774" s="1">
        <f>HYPERLINK("https://lsnyc.legalserver.org/matter/dynamic-profile/view/1908978","19-1908978")</f>
        <v>0</v>
      </c>
      <c r="B4774" t="s">
        <v>3842</v>
      </c>
      <c r="C4774" t="s">
        <v>8666</v>
      </c>
      <c r="D4774" t="s">
        <v>9926</v>
      </c>
      <c r="E4774" t="s">
        <v>10075</v>
      </c>
      <c r="F4774">
        <v>10462</v>
      </c>
      <c r="G4774" t="s">
        <v>10090</v>
      </c>
      <c r="H4774" t="s">
        <v>10100</v>
      </c>
      <c r="I4774" t="s">
        <v>10168</v>
      </c>
      <c r="J4774" t="s">
        <v>10210</v>
      </c>
      <c r="K4774" t="s">
        <v>10217</v>
      </c>
      <c r="M4774" t="s">
        <v>10495</v>
      </c>
      <c r="N4774" t="s">
        <v>10658</v>
      </c>
      <c r="P4774" t="s">
        <v>10749</v>
      </c>
      <c r="Q4774" t="s">
        <v>10769</v>
      </c>
      <c r="R4774" t="s">
        <v>10824</v>
      </c>
      <c r="T4774">
        <v>20776</v>
      </c>
      <c r="U4774">
        <v>1731.33</v>
      </c>
      <c r="V4774">
        <v>65</v>
      </c>
      <c r="W4774">
        <v>2</v>
      </c>
      <c r="X4774">
        <v>1</v>
      </c>
      <c r="Z4774">
        <v>97.40000000000001</v>
      </c>
      <c r="AA4774">
        <v>40.839269</v>
      </c>
      <c r="AB4774">
        <v>-73.855368</v>
      </c>
      <c r="AD4774" t="s">
        <v>10839</v>
      </c>
      <c r="AG4774" t="s">
        <v>10858</v>
      </c>
      <c r="AH4774" t="s">
        <v>10860</v>
      </c>
      <c r="AI4774">
        <v>230</v>
      </c>
      <c r="AJ4774" t="s">
        <v>10210</v>
      </c>
      <c r="AL4774">
        <v>2.5</v>
      </c>
      <c r="AM4774" t="s">
        <v>10885</v>
      </c>
      <c r="AN4774" t="s">
        <v>10908</v>
      </c>
      <c r="AO4774" t="s">
        <v>11001</v>
      </c>
      <c r="AP4774" t="s">
        <v>11046</v>
      </c>
      <c r="AQ4774" t="s">
        <v>11242</v>
      </c>
      <c r="AR4774" t="s">
        <v>11541</v>
      </c>
      <c r="AS4774" t="s">
        <v>9926</v>
      </c>
      <c r="AT4774" t="s">
        <v>11641</v>
      </c>
      <c r="AX4774" t="s">
        <v>10838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</row>
    <row r="4775" spans="1:59">
      <c r="A4775" s="1">
        <f>HYPERLINK("https://lsnyc.legalserver.org/matter/dynamic-profile/view/1908979","19-1908979")</f>
        <v>0</v>
      </c>
      <c r="B4775" t="s">
        <v>3843</v>
      </c>
      <c r="C4775" t="s">
        <v>8667</v>
      </c>
      <c r="D4775" t="s">
        <v>9928</v>
      </c>
      <c r="E4775" t="s">
        <v>10075</v>
      </c>
      <c r="F4775">
        <v>11235</v>
      </c>
      <c r="G4775" t="s">
        <v>10093</v>
      </c>
      <c r="H4775" t="s">
        <v>10100</v>
      </c>
      <c r="I4775" t="s">
        <v>10168</v>
      </c>
      <c r="J4775" t="s">
        <v>10213</v>
      </c>
      <c r="K4775" t="s">
        <v>10218</v>
      </c>
      <c r="L4775" t="s">
        <v>10159</v>
      </c>
      <c r="M4775" t="s">
        <v>10435</v>
      </c>
      <c r="N4775" t="s">
        <v>10665</v>
      </c>
      <c r="P4775" t="s">
        <v>10750</v>
      </c>
      <c r="Q4775" t="s">
        <v>10779</v>
      </c>
      <c r="R4775" t="s">
        <v>10820</v>
      </c>
      <c r="T4775">
        <v>0</v>
      </c>
      <c r="U4775">
        <v>0</v>
      </c>
      <c r="V4775">
        <v>66</v>
      </c>
      <c r="W4775">
        <v>1</v>
      </c>
      <c r="X4775">
        <v>0</v>
      </c>
      <c r="Y4775" t="s">
        <v>10829</v>
      </c>
      <c r="Z4775">
        <v>0</v>
      </c>
      <c r="AA4775">
        <v>40.585624</v>
      </c>
      <c r="AB4775">
        <v>-73.942296</v>
      </c>
      <c r="AD4775" t="s">
        <v>10839</v>
      </c>
      <c r="AG4775" t="s">
        <v>10858</v>
      </c>
      <c r="AH4775" t="s">
        <v>10871</v>
      </c>
      <c r="AI4775">
        <v>234</v>
      </c>
      <c r="AJ4775" t="s">
        <v>10214</v>
      </c>
      <c r="AK4775" t="s">
        <v>10837</v>
      </c>
      <c r="AL4775">
        <v>1.75</v>
      </c>
      <c r="AM4775" t="s">
        <v>10888</v>
      </c>
      <c r="AN4775" t="s">
        <v>10957</v>
      </c>
      <c r="AO4775" t="s">
        <v>11006</v>
      </c>
      <c r="AP4775" t="s">
        <v>11092</v>
      </c>
      <c r="AR4775" t="s">
        <v>11267</v>
      </c>
      <c r="AS4775" t="s">
        <v>11595</v>
      </c>
      <c r="AT4775" t="s">
        <v>11641</v>
      </c>
      <c r="AX4775" t="s">
        <v>10838</v>
      </c>
      <c r="AY4775" t="s">
        <v>10829</v>
      </c>
      <c r="AZ4775" t="s">
        <v>11679</v>
      </c>
      <c r="BA4775" t="s">
        <v>11741</v>
      </c>
      <c r="BB4775">
        <v>0</v>
      </c>
      <c r="BC4775">
        <v>0</v>
      </c>
      <c r="BD4775">
        <v>0</v>
      </c>
      <c r="BE4775">
        <v>0</v>
      </c>
      <c r="BF4775">
        <v>1</v>
      </c>
      <c r="BG4775">
        <v>0</v>
      </c>
    </row>
    <row r="4776" spans="1:59">
      <c r="A4776" s="1">
        <f>HYPERLINK("https://lsnyc.legalserver.org/matter/dynamic-profile/view/1908980","19-1908980")</f>
        <v>0</v>
      </c>
      <c r="B4776" t="s">
        <v>1923</v>
      </c>
      <c r="C4776" t="s">
        <v>8668</v>
      </c>
      <c r="D4776" t="s">
        <v>9926</v>
      </c>
      <c r="E4776" t="s">
        <v>10075</v>
      </c>
      <c r="F4776">
        <v>10473</v>
      </c>
      <c r="G4776" t="s">
        <v>10090</v>
      </c>
      <c r="H4776" t="s">
        <v>10100</v>
      </c>
      <c r="I4776" t="s">
        <v>10168</v>
      </c>
      <c r="J4776" t="s">
        <v>10210</v>
      </c>
      <c r="K4776" t="s">
        <v>10217</v>
      </c>
      <c r="M4776" t="s">
        <v>10346</v>
      </c>
      <c r="N4776" t="s">
        <v>10671</v>
      </c>
      <c r="P4776" t="s">
        <v>10751</v>
      </c>
      <c r="Q4776" t="s">
        <v>10786</v>
      </c>
      <c r="R4776" t="s">
        <v>10821</v>
      </c>
      <c r="T4776">
        <v>24960</v>
      </c>
      <c r="U4776">
        <v>2080</v>
      </c>
      <c r="V4776">
        <v>36</v>
      </c>
      <c r="W4776">
        <v>1</v>
      </c>
      <c r="X4776">
        <v>3</v>
      </c>
      <c r="Z4776">
        <v>96.93000000000001</v>
      </c>
      <c r="AA4776">
        <v>40.822947</v>
      </c>
      <c r="AB4776">
        <v>-73.86425300000001</v>
      </c>
      <c r="AD4776" t="s">
        <v>10839</v>
      </c>
      <c r="AG4776" t="s">
        <v>10858</v>
      </c>
      <c r="AH4776" t="s">
        <v>10861</v>
      </c>
      <c r="AI4776">
        <v>234</v>
      </c>
      <c r="AJ4776" t="s">
        <v>10214</v>
      </c>
      <c r="AL4776">
        <v>1</v>
      </c>
      <c r="AM4776" t="s">
        <v>10884</v>
      </c>
      <c r="AN4776" t="s">
        <v>10968</v>
      </c>
      <c r="AO4776" t="s">
        <v>11001</v>
      </c>
      <c r="AP4776" t="s">
        <v>11046</v>
      </c>
      <c r="AR4776" t="s">
        <v>11262</v>
      </c>
      <c r="AS4776" t="s">
        <v>9926</v>
      </c>
      <c r="AT4776" t="s">
        <v>11641</v>
      </c>
      <c r="AX4776" t="s">
        <v>10838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</row>
    <row r="4777" spans="1:59">
      <c r="A4777" s="1">
        <f>HYPERLINK("https://lsnyc.legalserver.org/matter/dynamic-profile/view/1908981","19-1908981")</f>
        <v>0</v>
      </c>
      <c r="B4777" t="s">
        <v>3844</v>
      </c>
      <c r="C4777" t="s">
        <v>8669</v>
      </c>
      <c r="D4777" t="s">
        <v>9928</v>
      </c>
      <c r="E4777" t="s">
        <v>10075</v>
      </c>
      <c r="F4777">
        <v>11212</v>
      </c>
      <c r="G4777" t="s">
        <v>10093</v>
      </c>
      <c r="H4777" t="s">
        <v>10100</v>
      </c>
      <c r="I4777" t="s">
        <v>10199</v>
      </c>
      <c r="J4777" t="s">
        <v>10213</v>
      </c>
      <c r="K4777" t="s">
        <v>10217</v>
      </c>
      <c r="M4777" t="s">
        <v>10420</v>
      </c>
      <c r="N4777" t="s">
        <v>10657</v>
      </c>
      <c r="P4777" t="s">
        <v>10753</v>
      </c>
      <c r="Q4777" t="s">
        <v>10763</v>
      </c>
      <c r="R4777" t="s">
        <v>10823</v>
      </c>
      <c r="T4777">
        <v>45240</v>
      </c>
      <c r="U4777">
        <v>3770</v>
      </c>
      <c r="V4777">
        <v>25</v>
      </c>
      <c r="W4777">
        <v>2</v>
      </c>
      <c r="X4777">
        <v>2</v>
      </c>
      <c r="Z4777">
        <v>175.69</v>
      </c>
      <c r="AA4777">
        <v>40.663574</v>
      </c>
      <c r="AB4777">
        <v>-73.904939</v>
      </c>
      <c r="AD4777" t="s">
        <v>10840</v>
      </c>
      <c r="AF4777" t="s">
        <v>10843</v>
      </c>
      <c r="AG4777" t="s">
        <v>10859</v>
      </c>
      <c r="AH4777" t="s">
        <v>10874</v>
      </c>
      <c r="AI4777">
        <v>239</v>
      </c>
      <c r="AJ4777" t="s">
        <v>10213</v>
      </c>
      <c r="AL4777">
        <v>1.2</v>
      </c>
      <c r="AM4777" t="s">
        <v>10888</v>
      </c>
      <c r="AN4777" t="s">
        <v>10922</v>
      </c>
      <c r="AO4777" t="s">
        <v>11012</v>
      </c>
      <c r="AP4777" t="s">
        <v>11064</v>
      </c>
      <c r="AR4777" t="s">
        <v>11332</v>
      </c>
      <c r="AS4777" t="s">
        <v>11595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</row>
    <row r="4778" spans="1:59">
      <c r="A4778" s="1">
        <f>HYPERLINK("https://lsnyc.legalserver.org/matter/dynamic-profile/view/1908982","19-1908982")</f>
        <v>0</v>
      </c>
      <c r="B4778" t="s">
        <v>1253</v>
      </c>
      <c r="C4778" t="s">
        <v>5601</v>
      </c>
      <c r="D4778" t="s">
        <v>9926</v>
      </c>
      <c r="E4778" t="s">
        <v>10075</v>
      </c>
      <c r="F4778">
        <v>10453</v>
      </c>
      <c r="G4778" t="s">
        <v>10090</v>
      </c>
      <c r="H4778" t="s">
        <v>10100</v>
      </c>
      <c r="I4778" t="s">
        <v>10169</v>
      </c>
      <c r="J4778" t="s">
        <v>10210</v>
      </c>
      <c r="K4778" t="s">
        <v>10217</v>
      </c>
      <c r="M4778" t="s">
        <v>10590</v>
      </c>
      <c r="N4778" t="s">
        <v>10650</v>
      </c>
      <c r="P4778" t="s">
        <v>10749</v>
      </c>
      <c r="Q4778" t="s">
        <v>10765</v>
      </c>
      <c r="R4778" t="s">
        <v>10823</v>
      </c>
      <c r="T4778">
        <v>37800</v>
      </c>
      <c r="U4778">
        <v>3150</v>
      </c>
      <c r="V4778">
        <v>43</v>
      </c>
      <c r="W4778">
        <v>2</v>
      </c>
      <c r="X4778">
        <v>0</v>
      </c>
      <c r="Z4778">
        <v>223.54</v>
      </c>
      <c r="AA4778">
        <v>40.846849</v>
      </c>
      <c r="AB4778">
        <v>-73.90953500000001</v>
      </c>
      <c r="AD4778" t="s">
        <v>10839</v>
      </c>
      <c r="AF4778" t="s">
        <v>10843</v>
      </c>
      <c r="AG4778" t="s">
        <v>10859</v>
      </c>
      <c r="AH4778" t="s">
        <v>10862</v>
      </c>
      <c r="AI4778">
        <v>230</v>
      </c>
      <c r="AJ4778" t="s">
        <v>10210</v>
      </c>
      <c r="AL4778">
        <v>0.7</v>
      </c>
      <c r="AM4778" t="s">
        <v>10884</v>
      </c>
      <c r="AN4778" t="s">
        <v>10931</v>
      </c>
      <c r="AO4778" t="s">
        <v>11000</v>
      </c>
      <c r="AP4778" t="s">
        <v>11045</v>
      </c>
      <c r="AR4778" t="s">
        <v>11343</v>
      </c>
      <c r="AS4778" t="s">
        <v>9926</v>
      </c>
      <c r="BA4778" t="s">
        <v>11741</v>
      </c>
      <c r="BB4778">
        <v>0</v>
      </c>
      <c r="BC4778">
        <v>0</v>
      </c>
      <c r="BD4778">
        <v>0</v>
      </c>
      <c r="BE4778">
        <v>0</v>
      </c>
      <c r="BF4778">
        <v>1</v>
      </c>
      <c r="BG4778">
        <v>0</v>
      </c>
    </row>
    <row r="4779" spans="1:59">
      <c r="A4779" s="1">
        <f>HYPERLINK("https://lsnyc.legalserver.org/matter/dynamic-profile/view/1908983","19-1908983")</f>
        <v>0</v>
      </c>
      <c r="B4779" t="s">
        <v>3836</v>
      </c>
      <c r="C4779" t="s">
        <v>8661</v>
      </c>
      <c r="D4779" t="s">
        <v>9926</v>
      </c>
      <c r="E4779" t="s">
        <v>10075</v>
      </c>
      <c r="F4779">
        <v>10468</v>
      </c>
      <c r="G4779" t="s">
        <v>10090</v>
      </c>
      <c r="H4779" t="s">
        <v>10100</v>
      </c>
      <c r="I4779" t="s">
        <v>10168</v>
      </c>
      <c r="J4779" t="s">
        <v>10210</v>
      </c>
      <c r="K4779" t="s">
        <v>10217</v>
      </c>
      <c r="M4779" t="s">
        <v>10367</v>
      </c>
      <c r="N4779" t="s">
        <v>10671</v>
      </c>
      <c r="P4779" t="s">
        <v>10751</v>
      </c>
      <c r="Q4779" t="s">
        <v>10761</v>
      </c>
      <c r="R4779" t="s">
        <v>10824</v>
      </c>
      <c r="T4779">
        <v>42000</v>
      </c>
      <c r="U4779">
        <v>3500</v>
      </c>
      <c r="V4779">
        <v>44</v>
      </c>
      <c r="W4779">
        <v>2</v>
      </c>
      <c r="X4779">
        <v>1</v>
      </c>
      <c r="Z4779">
        <v>196.91</v>
      </c>
      <c r="AA4779">
        <v>40.871492</v>
      </c>
      <c r="AB4779">
        <v>-73.90284200000001</v>
      </c>
      <c r="AD4779" t="s">
        <v>10839</v>
      </c>
      <c r="AG4779" t="s">
        <v>10858</v>
      </c>
      <c r="AH4779" t="s">
        <v>10861</v>
      </c>
      <c r="AI4779">
        <v>230</v>
      </c>
      <c r="AJ4779" t="s">
        <v>10210</v>
      </c>
      <c r="AL4779">
        <v>0</v>
      </c>
      <c r="AM4779" t="s">
        <v>10887</v>
      </c>
      <c r="AN4779" t="s">
        <v>10907</v>
      </c>
      <c r="AO4779" t="s">
        <v>11000</v>
      </c>
      <c r="AP4779" t="s">
        <v>11045</v>
      </c>
      <c r="AR4779" t="s">
        <v>11358</v>
      </c>
      <c r="AS4779" t="s">
        <v>9926</v>
      </c>
      <c r="AT4779" t="s">
        <v>11641</v>
      </c>
      <c r="AX4779" t="s">
        <v>10838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</row>
    <row r="4780" spans="1:59">
      <c r="A4780" s="1">
        <f>HYPERLINK("https://lsnyc.legalserver.org/matter/dynamic-profile/view/1908984","19-1908984")</f>
        <v>0</v>
      </c>
      <c r="B4780" t="s">
        <v>3845</v>
      </c>
      <c r="C4780" t="s">
        <v>6215</v>
      </c>
      <c r="D4780" t="s">
        <v>9938</v>
      </c>
      <c r="E4780" t="s">
        <v>10075</v>
      </c>
      <c r="F4780">
        <v>11434</v>
      </c>
      <c r="G4780" t="s">
        <v>10092</v>
      </c>
      <c r="H4780" t="s">
        <v>10100</v>
      </c>
      <c r="I4780" t="s">
        <v>10168</v>
      </c>
      <c r="J4780" t="s">
        <v>10212</v>
      </c>
      <c r="K4780" t="s">
        <v>10217</v>
      </c>
      <c r="M4780" t="s">
        <v>10410</v>
      </c>
      <c r="N4780" t="s">
        <v>10693</v>
      </c>
      <c r="P4780" t="s">
        <v>10749</v>
      </c>
      <c r="Q4780" t="s">
        <v>10767</v>
      </c>
      <c r="R4780" t="s">
        <v>10824</v>
      </c>
      <c r="T4780">
        <v>0</v>
      </c>
      <c r="U4780">
        <v>0</v>
      </c>
      <c r="V4780">
        <v>37</v>
      </c>
      <c r="W4780">
        <v>1</v>
      </c>
      <c r="X4780">
        <v>2</v>
      </c>
      <c r="Z4780">
        <v>0</v>
      </c>
      <c r="AA4780">
        <v>40.686353</v>
      </c>
      <c r="AB4780">
        <v>-73.785404</v>
      </c>
      <c r="AD4780" t="s">
        <v>10839</v>
      </c>
      <c r="AG4780" t="s">
        <v>10858</v>
      </c>
      <c r="AH4780" t="s">
        <v>10862</v>
      </c>
      <c r="AI4780">
        <v>237</v>
      </c>
      <c r="AJ4780" t="s">
        <v>10212</v>
      </c>
      <c r="AL4780">
        <v>2.4</v>
      </c>
      <c r="AR4780" t="s">
        <v>11267</v>
      </c>
      <c r="AS4780" t="s">
        <v>11594</v>
      </c>
      <c r="AX4780" t="s">
        <v>10838</v>
      </c>
      <c r="BA4780" t="s">
        <v>11742</v>
      </c>
      <c r="BB4780">
        <v>0</v>
      </c>
      <c r="BC4780">
        <v>0</v>
      </c>
      <c r="BD4780">
        <v>0</v>
      </c>
      <c r="BE4780">
        <v>0</v>
      </c>
      <c r="BF4780">
        <v>7</v>
      </c>
      <c r="BG4780">
        <v>0</v>
      </c>
    </row>
    <row r="4781" spans="1:59">
      <c r="A4781" s="1">
        <f>HYPERLINK("https://lsnyc.legalserver.org/matter/dynamic-profile/view/1908985","19-1908985")</f>
        <v>0</v>
      </c>
      <c r="B4781" t="s">
        <v>3846</v>
      </c>
      <c r="C4781" t="s">
        <v>7272</v>
      </c>
      <c r="D4781" t="s">
        <v>9938</v>
      </c>
      <c r="E4781" t="s">
        <v>10075</v>
      </c>
      <c r="F4781">
        <v>11434</v>
      </c>
      <c r="G4781" t="s">
        <v>10092</v>
      </c>
      <c r="H4781" t="s">
        <v>10100</v>
      </c>
      <c r="I4781" t="s">
        <v>10168</v>
      </c>
      <c r="J4781" t="s">
        <v>10212</v>
      </c>
      <c r="K4781" t="s">
        <v>10217</v>
      </c>
      <c r="M4781" t="s">
        <v>10423</v>
      </c>
      <c r="N4781" t="s">
        <v>10709</v>
      </c>
      <c r="P4781" t="s">
        <v>10754</v>
      </c>
      <c r="Q4781" t="s">
        <v>10766</v>
      </c>
      <c r="R4781" t="s">
        <v>10823</v>
      </c>
      <c r="T4781">
        <v>0</v>
      </c>
      <c r="U4781">
        <v>0</v>
      </c>
      <c r="V4781">
        <v>30</v>
      </c>
      <c r="W4781">
        <v>1</v>
      </c>
      <c r="X4781">
        <v>3</v>
      </c>
      <c r="Z4781">
        <v>0</v>
      </c>
      <c r="AA4781">
        <v>40.687342</v>
      </c>
      <c r="AB4781">
        <v>-73.78917800000001</v>
      </c>
      <c r="AC4781" t="s">
        <v>10837</v>
      </c>
      <c r="AD4781" t="s">
        <v>10839</v>
      </c>
      <c r="AF4781" t="s">
        <v>10845</v>
      </c>
      <c r="AG4781" t="s">
        <v>10859</v>
      </c>
      <c r="AH4781" t="s">
        <v>10865</v>
      </c>
      <c r="AI4781">
        <v>237</v>
      </c>
      <c r="AJ4781" t="s">
        <v>10212</v>
      </c>
      <c r="AK4781" t="s">
        <v>10837</v>
      </c>
      <c r="AL4781">
        <v>14.5</v>
      </c>
      <c r="AM4781" t="s">
        <v>10892</v>
      </c>
      <c r="AN4781" t="s">
        <v>10951</v>
      </c>
      <c r="AO4781" t="s">
        <v>11017</v>
      </c>
      <c r="AP4781" t="s">
        <v>11070</v>
      </c>
      <c r="AQ4781" t="s">
        <v>11175</v>
      </c>
      <c r="AR4781" t="s">
        <v>11267</v>
      </c>
      <c r="AS4781" t="s">
        <v>11594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</row>
    <row r="4782" spans="1:59">
      <c r="A4782" s="1">
        <f>HYPERLINK("https://lsnyc.legalserver.org/matter/dynamic-profile/view/1908986","19-1908986")</f>
        <v>0</v>
      </c>
      <c r="B4782" t="s">
        <v>3847</v>
      </c>
      <c r="C4782" t="s">
        <v>8670</v>
      </c>
      <c r="D4782" t="s">
        <v>9926</v>
      </c>
      <c r="E4782" t="s">
        <v>10075</v>
      </c>
      <c r="F4782">
        <v>10467</v>
      </c>
      <c r="G4782" t="s">
        <v>10090</v>
      </c>
      <c r="H4782" t="s">
        <v>10100</v>
      </c>
      <c r="I4782" t="s">
        <v>10190</v>
      </c>
      <c r="J4782" t="s">
        <v>10210</v>
      </c>
      <c r="K4782" t="s">
        <v>10217</v>
      </c>
      <c r="M4782" t="s">
        <v>10362</v>
      </c>
      <c r="N4782" t="s">
        <v>10651</v>
      </c>
      <c r="P4782" t="s">
        <v>10749</v>
      </c>
      <c r="Q4782" t="s">
        <v>10765</v>
      </c>
      <c r="R4782" t="s">
        <v>10821</v>
      </c>
      <c r="T4782">
        <v>39600</v>
      </c>
      <c r="U4782">
        <v>3300</v>
      </c>
      <c r="V4782">
        <v>43</v>
      </c>
      <c r="W4782">
        <v>2</v>
      </c>
      <c r="X4782">
        <v>2</v>
      </c>
      <c r="Z4782">
        <v>153.79</v>
      </c>
      <c r="AA4782">
        <v>40.877721</v>
      </c>
      <c r="AB4782">
        <v>-73.873125</v>
      </c>
      <c r="AD4782" t="s">
        <v>10840</v>
      </c>
      <c r="AF4782" t="s">
        <v>10843</v>
      </c>
      <c r="AG4782" t="s">
        <v>10859</v>
      </c>
      <c r="AH4782" t="s">
        <v>10861</v>
      </c>
      <c r="AI4782">
        <v>230</v>
      </c>
      <c r="AJ4782" t="s">
        <v>10210</v>
      </c>
      <c r="AL4782">
        <v>1</v>
      </c>
      <c r="AM4782" t="s">
        <v>10887</v>
      </c>
      <c r="AN4782" t="s">
        <v>10938</v>
      </c>
      <c r="AO4782" t="s">
        <v>11010</v>
      </c>
      <c r="AP4782" t="s">
        <v>11057</v>
      </c>
      <c r="AR4782" t="s">
        <v>11257</v>
      </c>
      <c r="AS4782" t="s">
        <v>9926</v>
      </c>
      <c r="AT4782" t="s">
        <v>11642</v>
      </c>
      <c r="AX4782" t="s">
        <v>10838</v>
      </c>
      <c r="BA4782" t="s">
        <v>11738</v>
      </c>
      <c r="BB4782">
        <v>0</v>
      </c>
      <c r="BC4782">
        <v>0</v>
      </c>
      <c r="BD4782">
        <v>0</v>
      </c>
      <c r="BE4782">
        <v>0</v>
      </c>
      <c r="BF4782">
        <v>5</v>
      </c>
      <c r="BG4782">
        <v>0</v>
      </c>
    </row>
    <row r="4783" spans="1:59">
      <c r="A4783" s="1">
        <f>HYPERLINK("https://lsnyc.legalserver.org/matter/dynamic-profile/view/1908987","19-1908987")</f>
        <v>0</v>
      </c>
      <c r="B4783" t="s">
        <v>3848</v>
      </c>
      <c r="C4783" t="s">
        <v>8671</v>
      </c>
      <c r="D4783" t="s">
        <v>9926</v>
      </c>
      <c r="E4783" t="s">
        <v>10075</v>
      </c>
      <c r="F4783">
        <v>10458</v>
      </c>
      <c r="G4783" t="s">
        <v>10090</v>
      </c>
      <c r="H4783" t="s">
        <v>10100</v>
      </c>
      <c r="I4783" t="s">
        <v>10169</v>
      </c>
      <c r="J4783" t="s">
        <v>10210</v>
      </c>
      <c r="K4783" t="s">
        <v>10218</v>
      </c>
      <c r="L4783" t="s">
        <v>10136</v>
      </c>
      <c r="M4783" t="s">
        <v>10262</v>
      </c>
      <c r="N4783" t="s">
        <v>10666</v>
      </c>
      <c r="P4783" t="s">
        <v>10749</v>
      </c>
      <c r="Q4783" t="s">
        <v>10765</v>
      </c>
      <c r="R4783" t="s">
        <v>10821</v>
      </c>
      <c r="T4783">
        <v>0</v>
      </c>
      <c r="U4783">
        <v>0</v>
      </c>
      <c r="V4783">
        <v>30</v>
      </c>
      <c r="W4783">
        <v>1</v>
      </c>
      <c r="X4783">
        <v>3</v>
      </c>
      <c r="Y4783" t="s">
        <v>10829</v>
      </c>
      <c r="Z4783">
        <v>0</v>
      </c>
      <c r="AA4783">
        <v>40.87014</v>
      </c>
      <c r="AB4783">
        <v>-73.882182</v>
      </c>
      <c r="AD4783" t="s">
        <v>10839</v>
      </c>
      <c r="AF4783" t="s">
        <v>10843</v>
      </c>
      <c r="AG4783" t="s">
        <v>10859</v>
      </c>
      <c r="AH4783" t="s">
        <v>10861</v>
      </c>
      <c r="AI4783">
        <v>230</v>
      </c>
      <c r="AJ4783" t="s">
        <v>10210</v>
      </c>
      <c r="AK4783" t="s">
        <v>10882</v>
      </c>
      <c r="AL4783">
        <v>0.5</v>
      </c>
      <c r="AM4783" t="s">
        <v>10887</v>
      </c>
      <c r="AN4783" t="s">
        <v>10907</v>
      </c>
      <c r="AO4783" t="s">
        <v>11010</v>
      </c>
      <c r="AP4783" t="s">
        <v>11057</v>
      </c>
      <c r="AR4783" t="s">
        <v>11279</v>
      </c>
      <c r="AS4783" t="s">
        <v>9926</v>
      </c>
      <c r="AT4783" t="s">
        <v>11641</v>
      </c>
      <c r="AX4783" t="s">
        <v>10838</v>
      </c>
      <c r="AY4783" t="s">
        <v>10829</v>
      </c>
      <c r="AZ4783" t="s">
        <v>11681</v>
      </c>
      <c r="BA4783" t="s">
        <v>11741</v>
      </c>
      <c r="BB4783">
        <v>0</v>
      </c>
      <c r="BC4783">
        <v>0</v>
      </c>
      <c r="BD4783">
        <v>0</v>
      </c>
      <c r="BE4783">
        <v>0</v>
      </c>
      <c r="BF4783">
        <v>1</v>
      </c>
      <c r="BG4783">
        <v>0</v>
      </c>
    </row>
    <row r="4784" spans="1:59">
      <c r="A4784" s="1">
        <f>HYPERLINK("https://lsnyc.legalserver.org/matter/dynamic-profile/view/1908988","19-1908988")</f>
        <v>0</v>
      </c>
      <c r="B4784" t="s">
        <v>3849</v>
      </c>
      <c r="C4784" t="s">
        <v>8672</v>
      </c>
      <c r="D4784" t="s">
        <v>9943</v>
      </c>
      <c r="E4784" t="s">
        <v>10075</v>
      </c>
      <c r="F4784">
        <v>11372</v>
      </c>
      <c r="G4784" t="s">
        <v>10092</v>
      </c>
      <c r="H4784" t="s">
        <v>10100</v>
      </c>
      <c r="I4784" t="s">
        <v>10168</v>
      </c>
      <c r="J4784" t="s">
        <v>10212</v>
      </c>
      <c r="K4784" t="s">
        <v>10217</v>
      </c>
      <c r="M4784" t="s">
        <v>10331</v>
      </c>
      <c r="N4784" t="s">
        <v>10665</v>
      </c>
      <c r="P4784" t="s">
        <v>10751</v>
      </c>
      <c r="Q4784" t="s">
        <v>10773</v>
      </c>
      <c r="R4784" t="s">
        <v>10821</v>
      </c>
      <c r="T4784">
        <v>0</v>
      </c>
      <c r="U4784">
        <v>0</v>
      </c>
      <c r="V4784">
        <v>51</v>
      </c>
      <c r="W4784">
        <v>1</v>
      </c>
      <c r="X4784">
        <v>0</v>
      </c>
      <c r="Z4784">
        <v>0</v>
      </c>
      <c r="AA4784">
        <v>0</v>
      </c>
      <c r="AB4784">
        <v>0</v>
      </c>
      <c r="AC4784" t="s">
        <v>10837</v>
      </c>
      <c r="AD4784" t="s">
        <v>10840</v>
      </c>
      <c r="AG4784" t="s">
        <v>10858</v>
      </c>
      <c r="AH4784" t="s">
        <v>10876</v>
      </c>
      <c r="AI4784">
        <v>237</v>
      </c>
      <c r="AJ4784" t="s">
        <v>10212</v>
      </c>
      <c r="AL4784">
        <v>4</v>
      </c>
      <c r="AR4784" t="s">
        <v>11267</v>
      </c>
      <c r="AS4784" t="s">
        <v>11594</v>
      </c>
      <c r="AT4784" t="s">
        <v>11642</v>
      </c>
      <c r="AX4784" t="s">
        <v>10838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</row>
    <row r="4785" spans="1:59">
      <c r="A4785" s="1">
        <f>HYPERLINK("https://lsnyc.legalserver.org/matter/dynamic-profile/view/1908989","19-1908989")</f>
        <v>0</v>
      </c>
      <c r="B4785" t="s">
        <v>3847</v>
      </c>
      <c r="C4785" t="s">
        <v>8670</v>
      </c>
      <c r="D4785" t="s">
        <v>9926</v>
      </c>
      <c r="E4785" t="s">
        <v>10075</v>
      </c>
      <c r="F4785">
        <v>10467</v>
      </c>
      <c r="G4785" t="s">
        <v>10090</v>
      </c>
      <c r="H4785" t="s">
        <v>10100</v>
      </c>
      <c r="I4785" t="s">
        <v>10190</v>
      </c>
      <c r="J4785" t="s">
        <v>10210</v>
      </c>
      <c r="K4785" t="s">
        <v>10217</v>
      </c>
      <c r="M4785" t="s">
        <v>10367</v>
      </c>
      <c r="N4785" t="s">
        <v>10671</v>
      </c>
      <c r="P4785" t="s">
        <v>10751</v>
      </c>
      <c r="Q4785" t="s">
        <v>10761</v>
      </c>
      <c r="R4785" t="s">
        <v>10821</v>
      </c>
      <c r="T4785">
        <v>39600</v>
      </c>
      <c r="U4785">
        <v>3300</v>
      </c>
      <c r="V4785">
        <v>43</v>
      </c>
      <c r="W4785">
        <v>2</v>
      </c>
      <c r="X4785">
        <v>2</v>
      </c>
      <c r="Z4785">
        <v>153.79</v>
      </c>
      <c r="AA4785">
        <v>40.877721</v>
      </c>
      <c r="AB4785">
        <v>-73.873125</v>
      </c>
      <c r="AD4785" t="s">
        <v>10840</v>
      </c>
      <c r="AF4785" t="s">
        <v>10843</v>
      </c>
      <c r="AG4785" t="s">
        <v>10859</v>
      </c>
      <c r="AH4785" t="s">
        <v>10861</v>
      </c>
      <c r="AI4785">
        <v>230</v>
      </c>
      <c r="AJ4785" t="s">
        <v>10210</v>
      </c>
      <c r="AL4785">
        <v>0</v>
      </c>
      <c r="AM4785" t="s">
        <v>10887</v>
      </c>
      <c r="AN4785" t="s">
        <v>10938</v>
      </c>
      <c r="AO4785" t="s">
        <v>11010</v>
      </c>
      <c r="AP4785" t="s">
        <v>11057</v>
      </c>
      <c r="AR4785" t="s">
        <v>11257</v>
      </c>
      <c r="AS4785" t="s">
        <v>9926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</row>
    <row r="4786" spans="1:59">
      <c r="A4786" s="1">
        <f>HYPERLINK("https://lsnyc.legalserver.org/matter/dynamic-profile/view/1908990","19-1908990")</f>
        <v>0</v>
      </c>
      <c r="B4786" t="s">
        <v>1050</v>
      </c>
      <c r="C4786" t="s">
        <v>5919</v>
      </c>
      <c r="D4786" t="s">
        <v>9927</v>
      </c>
      <c r="E4786" t="s">
        <v>10075</v>
      </c>
      <c r="F4786">
        <v>11377</v>
      </c>
      <c r="G4786" t="s">
        <v>10092</v>
      </c>
      <c r="H4786" t="s">
        <v>10100</v>
      </c>
      <c r="I4786" t="s">
        <v>10168</v>
      </c>
      <c r="J4786" t="s">
        <v>10212</v>
      </c>
      <c r="K4786" t="s">
        <v>10217</v>
      </c>
      <c r="M4786" t="s">
        <v>10518</v>
      </c>
      <c r="N4786" t="s">
        <v>10709</v>
      </c>
      <c r="P4786" t="s">
        <v>10754</v>
      </c>
      <c r="Q4786" t="s">
        <v>10766</v>
      </c>
      <c r="R4786" t="s">
        <v>10824</v>
      </c>
      <c r="T4786">
        <v>26592</v>
      </c>
      <c r="U4786">
        <v>2216</v>
      </c>
      <c r="V4786">
        <v>38</v>
      </c>
      <c r="W4786">
        <v>1</v>
      </c>
      <c r="X4786">
        <v>2</v>
      </c>
      <c r="Z4786">
        <v>124.67</v>
      </c>
      <c r="AA4786">
        <v>40.756846</v>
      </c>
      <c r="AB4786">
        <v>-73.908225</v>
      </c>
      <c r="AD4786" t="s">
        <v>10839</v>
      </c>
      <c r="AG4786" t="s">
        <v>10858</v>
      </c>
      <c r="AH4786" t="s">
        <v>10865</v>
      </c>
      <c r="AI4786">
        <v>237</v>
      </c>
      <c r="AJ4786" t="s">
        <v>10212</v>
      </c>
      <c r="AL4786">
        <v>1.25</v>
      </c>
      <c r="AM4786" t="s">
        <v>10885</v>
      </c>
      <c r="AN4786" t="s">
        <v>10935</v>
      </c>
      <c r="AO4786" t="s">
        <v>11014</v>
      </c>
      <c r="AP4786" t="s">
        <v>11047</v>
      </c>
      <c r="AR4786" t="s">
        <v>11263</v>
      </c>
      <c r="AS4786" t="s">
        <v>11594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</row>
    <row r="4787" spans="1:59">
      <c r="A4787" s="1">
        <f>HYPERLINK("https://lsnyc.legalserver.org/matter/dynamic-profile/view/1908991","19-1908991")</f>
        <v>0</v>
      </c>
      <c r="B4787" t="s">
        <v>3850</v>
      </c>
      <c r="C4787" t="s">
        <v>8673</v>
      </c>
      <c r="D4787" t="s">
        <v>9928</v>
      </c>
      <c r="E4787" t="s">
        <v>10075</v>
      </c>
      <c r="F4787">
        <v>11238</v>
      </c>
      <c r="G4787" t="s">
        <v>10093</v>
      </c>
      <c r="H4787" t="s">
        <v>10100</v>
      </c>
      <c r="J4787" t="s">
        <v>10213</v>
      </c>
      <c r="K4787" t="s">
        <v>10218</v>
      </c>
      <c r="L4787" t="s">
        <v>10152</v>
      </c>
      <c r="M4787" t="s">
        <v>10317</v>
      </c>
      <c r="N4787" t="s">
        <v>10657</v>
      </c>
      <c r="P4787" t="s">
        <v>10749</v>
      </c>
      <c r="Q4787" t="s">
        <v>10765</v>
      </c>
      <c r="R4787" t="s">
        <v>10820</v>
      </c>
      <c r="T4787">
        <v>80000</v>
      </c>
      <c r="U4787">
        <v>6666.67</v>
      </c>
      <c r="V4787">
        <v>30</v>
      </c>
      <c r="W4787">
        <v>1</v>
      </c>
      <c r="X4787">
        <v>0</v>
      </c>
      <c r="Y4787" t="s">
        <v>10829</v>
      </c>
      <c r="Z4787">
        <v>640.51</v>
      </c>
      <c r="AA4787">
        <v>40.688114</v>
      </c>
      <c r="AB4787">
        <v>-73.96160399999999</v>
      </c>
      <c r="AD4787" t="s">
        <v>10839</v>
      </c>
      <c r="AG4787" t="s">
        <v>10858</v>
      </c>
      <c r="AH4787" t="s">
        <v>10874</v>
      </c>
      <c r="AI4787">
        <v>239</v>
      </c>
      <c r="AJ4787" t="s">
        <v>10213</v>
      </c>
      <c r="AK4787" t="s">
        <v>10838</v>
      </c>
      <c r="AL4787">
        <v>1.1</v>
      </c>
      <c r="AM4787" t="s">
        <v>10889</v>
      </c>
      <c r="AN4787" t="s">
        <v>10923</v>
      </c>
      <c r="AO4787" t="s">
        <v>11007</v>
      </c>
      <c r="AP4787" t="s">
        <v>11061</v>
      </c>
      <c r="AR4787" t="s">
        <v>11257</v>
      </c>
      <c r="AS4787" t="s">
        <v>11595</v>
      </c>
      <c r="AY4787" t="s">
        <v>10829</v>
      </c>
      <c r="AZ4787" t="s">
        <v>11681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</row>
    <row r="4788" spans="1:59">
      <c r="A4788" s="1">
        <f>HYPERLINK("https://lsnyc.legalserver.org/matter/dynamic-profile/view/1908992","19-1908992")</f>
        <v>0</v>
      </c>
      <c r="B4788" t="s">
        <v>3851</v>
      </c>
      <c r="C4788" t="s">
        <v>8674</v>
      </c>
      <c r="D4788" t="s">
        <v>9926</v>
      </c>
      <c r="E4788" t="s">
        <v>10075</v>
      </c>
      <c r="F4788">
        <v>10457</v>
      </c>
      <c r="G4788" t="s">
        <v>10090</v>
      </c>
      <c r="H4788" t="s">
        <v>10100</v>
      </c>
      <c r="I4788" t="s">
        <v>10169</v>
      </c>
      <c r="J4788" t="s">
        <v>10210</v>
      </c>
      <c r="K4788" t="s">
        <v>10217</v>
      </c>
      <c r="M4788" t="s">
        <v>10590</v>
      </c>
      <c r="N4788" t="s">
        <v>10650</v>
      </c>
      <c r="P4788" t="s">
        <v>10749</v>
      </c>
      <c r="Q4788" t="s">
        <v>10765</v>
      </c>
      <c r="R4788" t="s">
        <v>10821</v>
      </c>
      <c r="T4788">
        <v>11172</v>
      </c>
      <c r="U4788">
        <v>931</v>
      </c>
      <c r="V4788">
        <v>63</v>
      </c>
      <c r="W4788">
        <v>1</v>
      </c>
      <c r="X4788">
        <v>0</v>
      </c>
      <c r="Z4788">
        <v>89.45</v>
      </c>
      <c r="AA4788">
        <v>40.855623</v>
      </c>
      <c r="AB4788">
        <v>-73.895585</v>
      </c>
      <c r="AD4788" t="s">
        <v>10840</v>
      </c>
      <c r="AG4788" t="s">
        <v>10858</v>
      </c>
      <c r="AH4788" t="s">
        <v>10862</v>
      </c>
      <c r="AI4788">
        <v>230</v>
      </c>
      <c r="AJ4788" t="s">
        <v>10210</v>
      </c>
      <c r="AL4788">
        <v>3.2</v>
      </c>
      <c r="AM4788" t="s">
        <v>10884</v>
      </c>
      <c r="AN4788" t="s">
        <v>10931</v>
      </c>
      <c r="AO4788" t="s">
        <v>11000</v>
      </c>
      <c r="AP4788" t="s">
        <v>11056</v>
      </c>
      <c r="AR4788" t="s">
        <v>11268</v>
      </c>
      <c r="AS4788" t="s">
        <v>9926</v>
      </c>
      <c r="BA4788" t="s">
        <v>11740</v>
      </c>
      <c r="BB4788">
        <v>0</v>
      </c>
      <c r="BC4788">
        <v>0</v>
      </c>
      <c r="BD4788">
        <v>0</v>
      </c>
      <c r="BE4788">
        <v>0</v>
      </c>
      <c r="BF4788">
        <v>2</v>
      </c>
      <c r="BG4788">
        <v>0</v>
      </c>
    </row>
    <row r="4789" spans="1:59">
      <c r="A4789" s="1">
        <f>HYPERLINK("https://lsnyc.legalserver.org/matter/dynamic-profile/view/1908993","19-1908993")</f>
        <v>0</v>
      </c>
      <c r="B4789" t="s">
        <v>2709</v>
      </c>
      <c r="C4789" t="s">
        <v>8034</v>
      </c>
      <c r="D4789" t="s">
        <v>9925</v>
      </c>
      <c r="E4789" t="s">
        <v>10075</v>
      </c>
      <c r="F4789">
        <v>10009</v>
      </c>
      <c r="G4789" t="s">
        <v>10089</v>
      </c>
      <c r="H4789" t="s">
        <v>10152</v>
      </c>
      <c r="I4789" t="s">
        <v>10169</v>
      </c>
      <c r="J4789" t="s">
        <v>10209</v>
      </c>
      <c r="K4789" t="s">
        <v>10217</v>
      </c>
      <c r="M4789" t="s">
        <v>10278</v>
      </c>
      <c r="N4789" t="s">
        <v>10649</v>
      </c>
      <c r="P4789" t="s">
        <v>10753</v>
      </c>
      <c r="Q4789" t="s">
        <v>10763</v>
      </c>
      <c r="R4789" t="s">
        <v>10823</v>
      </c>
      <c r="T4789">
        <v>9000</v>
      </c>
      <c r="U4789">
        <v>750</v>
      </c>
      <c r="V4789">
        <v>56</v>
      </c>
      <c r="W4789">
        <v>2</v>
      </c>
      <c r="X4789">
        <v>2</v>
      </c>
      <c r="Z4789">
        <v>34.95</v>
      </c>
      <c r="AA4789">
        <v>40.721481</v>
      </c>
      <c r="AB4789">
        <v>-73.97701600000001</v>
      </c>
      <c r="AC4789" t="s">
        <v>10838</v>
      </c>
      <c r="AD4789" t="s">
        <v>10839</v>
      </c>
      <c r="AG4789" t="s">
        <v>10858</v>
      </c>
      <c r="AH4789" t="s">
        <v>10864</v>
      </c>
      <c r="AI4789">
        <v>236</v>
      </c>
      <c r="AJ4789" t="s">
        <v>10209</v>
      </c>
      <c r="AL4789">
        <v>1</v>
      </c>
      <c r="AM4789" t="s">
        <v>10886</v>
      </c>
      <c r="AN4789" t="s">
        <v>10910</v>
      </c>
      <c r="AO4789" t="s">
        <v>11004</v>
      </c>
      <c r="AP4789" t="s">
        <v>11048</v>
      </c>
      <c r="AQ4789" t="s">
        <v>11161</v>
      </c>
      <c r="AR4789" t="s">
        <v>11263</v>
      </c>
      <c r="AS4789" t="s">
        <v>9925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</row>
    <row r="4790" spans="1:59">
      <c r="A4790" s="1">
        <f>HYPERLINK("https://lsnyc.legalserver.org/matter/dynamic-profile/view/1908994","19-1908994")</f>
        <v>0</v>
      </c>
      <c r="B4790" t="s">
        <v>3852</v>
      </c>
      <c r="C4790" t="s">
        <v>8675</v>
      </c>
      <c r="D4790" t="s">
        <v>9925</v>
      </c>
      <c r="E4790" t="s">
        <v>10075</v>
      </c>
      <c r="F4790">
        <v>10019</v>
      </c>
      <c r="G4790" t="s">
        <v>10089</v>
      </c>
      <c r="H4790" t="s">
        <v>10152</v>
      </c>
      <c r="I4790" t="s">
        <v>10168</v>
      </c>
      <c r="J4790" t="s">
        <v>10209</v>
      </c>
      <c r="K4790" t="s">
        <v>10217</v>
      </c>
      <c r="M4790" t="s">
        <v>10391</v>
      </c>
      <c r="N4790" t="s">
        <v>10703</v>
      </c>
      <c r="P4790" t="s">
        <v>10749</v>
      </c>
      <c r="Q4790" t="s">
        <v>10765</v>
      </c>
      <c r="R4790" t="s">
        <v>10820</v>
      </c>
      <c r="T4790">
        <v>8000</v>
      </c>
      <c r="U4790">
        <v>666.67</v>
      </c>
      <c r="V4790">
        <v>59</v>
      </c>
      <c r="W4790">
        <v>1</v>
      </c>
      <c r="X4790">
        <v>0</v>
      </c>
      <c r="Z4790">
        <v>64.05</v>
      </c>
      <c r="AA4790">
        <v>40.764393</v>
      </c>
      <c r="AB4790">
        <v>-73.989599</v>
      </c>
      <c r="AD4790" t="s">
        <v>10839</v>
      </c>
      <c r="AG4790" t="s">
        <v>10858</v>
      </c>
      <c r="AH4790" t="s">
        <v>10862</v>
      </c>
      <c r="AI4790">
        <v>236</v>
      </c>
      <c r="AJ4790" t="s">
        <v>10209</v>
      </c>
      <c r="AL4790">
        <v>0</v>
      </c>
      <c r="AM4790" t="s">
        <v>10894</v>
      </c>
      <c r="AN4790" t="s">
        <v>10966</v>
      </c>
      <c r="AO4790" t="s">
        <v>11021</v>
      </c>
      <c r="AP4790" t="s">
        <v>11090</v>
      </c>
      <c r="AR4790" t="s">
        <v>11257</v>
      </c>
      <c r="AS4790" t="s">
        <v>9925</v>
      </c>
      <c r="AT4790" t="s">
        <v>11641</v>
      </c>
      <c r="AX4790" t="s">
        <v>10838</v>
      </c>
      <c r="BA4790" t="s">
        <v>11742</v>
      </c>
      <c r="BB4790">
        <v>0</v>
      </c>
      <c r="BC4790">
        <v>0</v>
      </c>
      <c r="BD4790">
        <v>0</v>
      </c>
      <c r="BE4790">
        <v>0</v>
      </c>
      <c r="BF4790">
        <v>7</v>
      </c>
      <c r="BG4790">
        <v>0</v>
      </c>
    </row>
    <row r="4791" spans="1:59">
      <c r="A4791" s="1">
        <f>HYPERLINK("https://lsnyc.legalserver.org/matter/dynamic-profile/view/1908995","19-1908995")</f>
        <v>0</v>
      </c>
      <c r="B4791" t="s">
        <v>2386</v>
      </c>
      <c r="C4791" t="s">
        <v>8676</v>
      </c>
      <c r="D4791" t="s">
        <v>9925</v>
      </c>
      <c r="E4791" t="s">
        <v>10075</v>
      </c>
      <c r="F4791">
        <v>10002</v>
      </c>
      <c r="G4791" t="s">
        <v>10089</v>
      </c>
      <c r="H4791" t="s">
        <v>10152</v>
      </c>
      <c r="I4791" t="s">
        <v>10168</v>
      </c>
      <c r="J4791" t="s">
        <v>10209</v>
      </c>
      <c r="K4791" t="s">
        <v>10217</v>
      </c>
      <c r="M4791" t="s">
        <v>10388</v>
      </c>
      <c r="N4791" t="s">
        <v>10703</v>
      </c>
      <c r="P4791" t="s">
        <v>10749</v>
      </c>
      <c r="Q4791" t="s">
        <v>10767</v>
      </c>
      <c r="R4791" t="s">
        <v>10824</v>
      </c>
      <c r="T4791">
        <v>52000</v>
      </c>
      <c r="U4791">
        <v>4333.33</v>
      </c>
      <c r="V4791">
        <v>44</v>
      </c>
      <c r="W4791">
        <v>5</v>
      </c>
      <c r="X4791">
        <v>0</v>
      </c>
      <c r="Z4791">
        <v>172.36</v>
      </c>
      <c r="AA4791">
        <v>40.716946</v>
      </c>
      <c r="AB4791">
        <v>-73.985237</v>
      </c>
      <c r="AD4791" t="s">
        <v>10839</v>
      </c>
      <c r="AG4791" t="s">
        <v>10858</v>
      </c>
      <c r="AH4791" t="s">
        <v>10862</v>
      </c>
      <c r="AI4791">
        <v>236</v>
      </c>
      <c r="AJ4791" t="s">
        <v>10209</v>
      </c>
      <c r="AL4791">
        <v>0.1</v>
      </c>
      <c r="AM4791" t="s">
        <v>10891</v>
      </c>
      <c r="AN4791" t="s">
        <v>10963</v>
      </c>
      <c r="AO4791" t="s">
        <v>11004</v>
      </c>
      <c r="AP4791" t="s">
        <v>11093</v>
      </c>
      <c r="AR4791" t="s">
        <v>11297</v>
      </c>
      <c r="AS4791" t="s">
        <v>9925</v>
      </c>
      <c r="BA4791" t="s">
        <v>11742</v>
      </c>
      <c r="BB4791">
        <v>0</v>
      </c>
      <c r="BC4791">
        <v>0</v>
      </c>
      <c r="BD4791">
        <v>0</v>
      </c>
      <c r="BE4791">
        <v>0</v>
      </c>
      <c r="BF4791">
        <v>7</v>
      </c>
      <c r="BG4791">
        <v>0</v>
      </c>
    </row>
    <row r="4792" spans="1:59">
      <c r="A4792" s="1">
        <f>HYPERLINK("https://lsnyc.legalserver.org/matter/dynamic-profile/view/1908996","19-1908996")</f>
        <v>0</v>
      </c>
      <c r="B4792" t="s">
        <v>3853</v>
      </c>
      <c r="C4792" t="s">
        <v>8677</v>
      </c>
      <c r="D4792" t="s">
        <v>9925</v>
      </c>
      <c r="E4792" t="s">
        <v>10075</v>
      </c>
      <c r="F4792">
        <v>10035</v>
      </c>
      <c r="G4792" t="s">
        <v>10089</v>
      </c>
      <c r="H4792" t="s">
        <v>10152</v>
      </c>
      <c r="I4792" t="s">
        <v>10168</v>
      </c>
      <c r="J4792" t="s">
        <v>10209</v>
      </c>
      <c r="K4792" t="s">
        <v>10217</v>
      </c>
      <c r="M4792" t="s">
        <v>10379</v>
      </c>
      <c r="N4792" t="s">
        <v>10703</v>
      </c>
      <c r="P4792" t="s">
        <v>10749</v>
      </c>
      <c r="Q4792" t="s">
        <v>10765</v>
      </c>
      <c r="R4792" t="s">
        <v>10821</v>
      </c>
      <c r="T4792">
        <v>10320</v>
      </c>
      <c r="U4792">
        <v>860</v>
      </c>
      <c r="V4792">
        <v>52</v>
      </c>
      <c r="W4792">
        <v>1</v>
      </c>
      <c r="X4792">
        <v>0</v>
      </c>
      <c r="Z4792">
        <v>82.63</v>
      </c>
      <c r="AA4792">
        <v>40.802</v>
      </c>
      <c r="AB4792">
        <v>-73.93657899999999</v>
      </c>
      <c r="AD4792" t="s">
        <v>10840</v>
      </c>
      <c r="AG4792" t="s">
        <v>10858</v>
      </c>
      <c r="AH4792" t="s">
        <v>10862</v>
      </c>
      <c r="AI4792">
        <v>236</v>
      </c>
      <c r="AJ4792" t="s">
        <v>10209</v>
      </c>
      <c r="AL4792">
        <v>0.1</v>
      </c>
      <c r="AM4792" t="s">
        <v>10887</v>
      </c>
      <c r="AN4792" t="s">
        <v>10926</v>
      </c>
      <c r="AO4792" t="s">
        <v>11016</v>
      </c>
      <c r="AP4792" t="s">
        <v>11066</v>
      </c>
      <c r="AR4792" t="s">
        <v>11296</v>
      </c>
      <c r="AS4792" t="s">
        <v>9925</v>
      </c>
      <c r="AT4792" t="s">
        <v>11642</v>
      </c>
      <c r="AX4792" t="s">
        <v>10838</v>
      </c>
      <c r="BA4792" t="s">
        <v>11742</v>
      </c>
      <c r="BB4792">
        <v>0</v>
      </c>
      <c r="BC4792">
        <v>0</v>
      </c>
      <c r="BD4792">
        <v>0</v>
      </c>
      <c r="BE4792">
        <v>0</v>
      </c>
      <c r="BF4792">
        <v>7</v>
      </c>
      <c r="BG4792">
        <v>0</v>
      </c>
    </row>
    <row r="4793" spans="1:59">
      <c r="A4793" s="1">
        <f>HYPERLINK("https://lsnyc.legalserver.org/matter/dynamic-profile/view/1908997","19-1908997")</f>
        <v>0</v>
      </c>
      <c r="B4793" t="s">
        <v>3854</v>
      </c>
      <c r="C4793" t="s">
        <v>6158</v>
      </c>
      <c r="D4793" t="s">
        <v>9928</v>
      </c>
      <c r="E4793" t="s">
        <v>10075</v>
      </c>
      <c r="F4793">
        <v>11233</v>
      </c>
      <c r="G4793" t="s">
        <v>10093</v>
      </c>
      <c r="H4793" t="s">
        <v>10152</v>
      </c>
      <c r="I4793" t="s">
        <v>10168</v>
      </c>
      <c r="J4793" t="s">
        <v>10213</v>
      </c>
      <c r="K4793" t="s">
        <v>10217</v>
      </c>
      <c r="M4793" t="s">
        <v>10291</v>
      </c>
      <c r="N4793" t="s">
        <v>10664</v>
      </c>
      <c r="P4793" t="s">
        <v>10749</v>
      </c>
      <c r="Q4793" t="s">
        <v>10765</v>
      </c>
      <c r="R4793" t="s">
        <v>10824</v>
      </c>
      <c r="T4793">
        <v>9252</v>
      </c>
      <c r="U4793">
        <v>771</v>
      </c>
      <c r="V4793">
        <v>68</v>
      </c>
      <c r="W4793">
        <v>1</v>
      </c>
      <c r="X4793">
        <v>2</v>
      </c>
      <c r="Z4793">
        <v>43.38</v>
      </c>
      <c r="AA4793">
        <v>40.6725</v>
      </c>
      <c r="AB4793">
        <v>-73.918916</v>
      </c>
      <c r="AD4793" t="s">
        <v>10839</v>
      </c>
      <c r="AG4793" t="s">
        <v>10858</v>
      </c>
      <c r="AH4793" t="s">
        <v>10862</v>
      </c>
      <c r="AI4793">
        <v>239</v>
      </c>
      <c r="AJ4793" t="s">
        <v>10213</v>
      </c>
      <c r="AL4793">
        <v>2.7</v>
      </c>
      <c r="AM4793" t="s">
        <v>10888</v>
      </c>
      <c r="AN4793" t="s">
        <v>10922</v>
      </c>
      <c r="AO4793" t="s">
        <v>11007</v>
      </c>
      <c r="AP4793" t="s">
        <v>11064</v>
      </c>
      <c r="AQ4793" t="s">
        <v>11101</v>
      </c>
      <c r="AR4793" t="s">
        <v>11263</v>
      </c>
      <c r="AS4793" t="s">
        <v>11595</v>
      </c>
      <c r="AT4793" t="s">
        <v>11641</v>
      </c>
      <c r="AX4793" t="s">
        <v>10838</v>
      </c>
      <c r="BA4793" t="s">
        <v>11738</v>
      </c>
      <c r="BB4793">
        <v>0</v>
      </c>
      <c r="BC4793">
        <v>0</v>
      </c>
      <c r="BD4793">
        <v>0</v>
      </c>
      <c r="BE4793">
        <v>0</v>
      </c>
      <c r="BF4793">
        <v>5</v>
      </c>
      <c r="BG4793">
        <v>0</v>
      </c>
    </row>
    <row r="4794" spans="1:59">
      <c r="A4794" s="1">
        <f>HYPERLINK("https://lsnyc.legalserver.org/matter/dynamic-profile/view/1908998","19-1908998")</f>
        <v>0</v>
      </c>
      <c r="B4794" t="s">
        <v>1068</v>
      </c>
      <c r="C4794" t="s">
        <v>5934</v>
      </c>
      <c r="D4794" t="s">
        <v>9925</v>
      </c>
      <c r="E4794" t="s">
        <v>10075</v>
      </c>
      <c r="F4794">
        <v>10029</v>
      </c>
      <c r="G4794" t="s">
        <v>10089</v>
      </c>
      <c r="H4794" t="s">
        <v>10152</v>
      </c>
      <c r="I4794" t="s">
        <v>10168</v>
      </c>
      <c r="J4794" t="s">
        <v>10209</v>
      </c>
      <c r="K4794" t="s">
        <v>10217</v>
      </c>
      <c r="M4794" t="s">
        <v>10379</v>
      </c>
      <c r="N4794" t="s">
        <v>10703</v>
      </c>
      <c r="P4794" t="s">
        <v>10749</v>
      </c>
      <c r="Q4794" t="s">
        <v>10765</v>
      </c>
      <c r="R4794" t="s">
        <v>10824</v>
      </c>
      <c r="T4794">
        <v>15976.8</v>
      </c>
      <c r="U4794">
        <v>1331.4</v>
      </c>
      <c r="V4794">
        <v>64</v>
      </c>
      <c r="W4794">
        <v>1</v>
      </c>
      <c r="X4794">
        <v>0</v>
      </c>
      <c r="Z4794">
        <v>127.92</v>
      </c>
      <c r="AA4794">
        <v>40.795617</v>
      </c>
      <c r="AB4794">
        <v>-73.948875</v>
      </c>
      <c r="AD4794" t="s">
        <v>10839</v>
      </c>
      <c r="AG4794" t="s">
        <v>10858</v>
      </c>
      <c r="AH4794" t="s">
        <v>10862</v>
      </c>
      <c r="AI4794">
        <v>236</v>
      </c>
      <c r="AJ4794" t="s">
        <v>10209</v>
      </c>
      <c r="AL4794">
        <v>0.9</v>
      </c>
      <c r="AM4794" t="s">
        <v>10887</v>
      </c>
      <c r="AN4794" t="s">
        <v>10926</v>
      </c>
      <c r="AO4794" t="s">
        <v>11016</v>
      </c>
      <c r="AP4794" t="s">
        <v>11076</v>
      </c>
      <c r="AR4794" t="s">
        <v>11298</v>
      </c>
      <c r="AS4794" t="s">
        <v>9925</v>
      </c>
      <c r="AT4794" t="s">
        <v>11641</v>
      </c>
      <c r="AX4794" t="s">
        <v>10838</v>
      </c>
      <c r="BA4794" t="s">
        <v>11742</v>
      </c>
      <c r="BB4794">
        <v>0</v>
      </c>
      <c r="BC4794">
        <v>0</v>
      </c>
      <c r="BD4794">
        <v>0</v>
      </c>
      <c r="BE4794">
        <v>0</v>
      </c>
      <c r="BF4794">
        <v>7</v>
      </c>
      <c r="BG4794">
        <v>0</v>
      </c>
    </row>
    <row r="4795" spans="1:59">
      <c r="A4795" s="1">
        <f>HYPERLINK("https://lsnyc.legalserver.org/matter/dynamic-profile/view/1908999","19-1908999")</f>
        <v>0</v>
      </c>
      <c r="B4795" t="s">
        <v>3855</v>
      </c>
      <c r="C4795" t="s">
        <v>8678</v>
      </c>
      <c r="D4795" t="s">
        <v>9925</v>
      </c>
      <c r="E4795" t="s">
        <v>10075</v>
      </c>
      <c r="F4795">
        <v>10035</v>
      </c>
      <c r="G4795" t="s">
        <v>10089</v>
      </c>
      <c r="H4795" t="s">
        <v>10152</v>
      </c>
      <c r="I4795" t="s">
        <v>10168</v>
      </c>
      <c r="J4795" t="s">
        <v>10209</v>
      </c>
      <c r="K4795" t="s">
        <v>10217</v>
      </c>
      <c r="M4795" t="s">
        <v>10391</v>
      </c>
      <c r="N4795" t="s">
        <v>10703</v>
      </c>
      <c r="P4795" t="s">
        <v>10749</v>
      </c>
      <c r="Q4795" t="s">
        <v>10767</v>
      </c>
      <c r="R4795" t="s">
        <v>10824</v>
      </c>
      <c r="T4795">
        <v>7752</v>
      </c>
      <c r="U4795">
        <v>646</v>
      </c>
      <c r="V4795">
        <v>57</v>
      </c>
      <c r="W4795">
        <v>2</v>
      </c>
      <c r="X4795">
        <v>0</v>
      </c>
      <c r="Z4795">
        <v>45.84</v>
      </c>
      <c r="AA4795">
        <v>40.800296</v>
      </c>
      <c r="AB4795">
        <v>-73.933333</v>
      </c>
      <c r="AD4795" t="s">
        <v>10839</v>
      </c>
      <c r="AG4795" t="s">
        <v>10858</v>
      </c>
      <c r="AH4795" t="s">
        <v>10862</v>
      </c>
      <c r="AI4795">
        <v>236</v>
      </c>
      <c r="AJ4795" t="s">
        <v>10209</v>
      </c>
      <c r="AL4795">
        <v>0.1</v>
      </c>
      <c r="AM4795" t="s">
        <v>10887</v>
      </c>
      <c r="AN4795" t="s">
        <v>10926</v>
      </c>
      <c r="AO4795" t="s">
        <v>11016</v>
      </c>
      <c r="AP4795" t="s">
        <v>11066</v>
      </c>
      <c r="AR4795" t="s">
        <v>11253</v>
      </c>
      <c r="AS4795" t="s">
        <v>9925</v>
      </c>
      <c r="BA4795" t="s">
        <v>11742</v>
      </c>
      <c r="BB4795">
        <v>0</v>
      </c>
      <c r="BC4795">
        <v>0</v>
      </c>
      <c r="BD4795">
        <v>0</v>
      </c>
      <c r="BE4795">
        <v>0</v>
      </c>
      <c r="BF4795">
        <v>7</v>
      </c>
      <c r="BG4795">
        <v>0</v>
      </c>
    </row>
    <row r="4796" spans="1:59">
      <c r="A4796" s="1">
        <f>HYPERLINK("https://lsnyc.legalserver.org/matter/dynamic-profile/view/1909000","19-1909000")</f>
        <v>0</v>
      </c>
      <c r="B4796" t="s">
        <v>3856</v>
      </c>
      <c r="C4796" t="s">
        <v>8679</v>
      </c>
      <c r="D4796" t="s">
        <v>9928</v>
      </c>
      <c r="E4796" t="s">
        <v>10075</v>
      </c>
      <c r="F4796">
        <v>11221</v>
      </c>
      <c r="G4796" t="s">
        <v>10093</v>
      </c>
      <c r="H4796" t="s">
        <v>10152</v>
      </c>
      <c r="I4796" t="s">
        <v>10168</v>
      </c>
      <c r="J4796" t="s">
        <v>10213</v>
      </c>
      <c r="K4796" t="s">
        <v>10217</v>
      </c>
      <c r="M4796" t="s">
        <v>10531</v>
      </c>
      <c r="N4796" t="s">
        <v>10667</v>
      </c>
      <c r="P4796" t="s">
        <v>10749</v>
      </c>
      <c r="Q4796" t="s">
        <v>10765</v>
      </c>
      <c r="R4796" t="s">
        <v>10824</v>
      </c>
      <c r="T4796">
        <v>14892</v>
      </c>
      <c r="U4796">
        <v>1241</v>
      </c>
      <c r="V4796">
        <v>68</v>
      </c>
      <c r="W4796">
        <v>1</v>
      </c>
      <c r="X4796">
        <v>0</v>
      </c>
      <c r="Z4796">
        <v>119.23</v>
      </c>
      <c r="AA4796">
        <v>40.687461</v>
      </c>
      <c r="AB4796">
        <v>-73.92515</v>
      </c>
      <c r="AC4796" t="s">
        <v>10837</v>
      </c>
      <c r="AD4796" t="s">
        <v>10840</v>
      </c>
      <c r="AG4796" t="s">
        <v>10858</v>
      </c>
      <c r="AH4796" t="s">
        <v>10862</v>
      </c>
      <c r="AI4796">
        <v>239</v>
      </c>
      <c r="AJ4796" t="s">
        <v>10213</v>
      </c>
      <c r="AL4796">
        <v>5.2</v>
      </c>
      <c r="AM4796" t="s">
        <v>10889</v>
      </c>
      <c r="AN4796" t="s">
        <v>10914</v>
      </c>
      <c r="AO4796" t="s">
        <v>11007</v>
      </c>
      <c r="AP4796" t="s">
        <v>11064</v>
      </c>
      <c r="AQ4796" t="s">
        <v>11101</v>
      </c>
      <c r="AR4796" t="s">
        <v>11521</v>
      </c>
      <c r="AS4796" t="s">
        <v>11595</v>
      </c>
      <c r="BA4796" t="s">
        <v>11738</v>
      </c>
      <c r="BB4796">
        <v>0</v>
      </c>
      <c r="BC4796">
        <v>0</v>
      </c>
      <c r="BD4796">
        <v>0</v>
      </c>
      <c r="BE4796">
        <v>0</v>
      </c>
      <c r="BF4796">
        <v>5</v>
      </c>
      <c r="BG4796">
        <v>0</v>
      </c>
    </row>
    <row r="4797" spans="1:59">
      <c r="A4797" s="1">
        <f>HYPERLINK("https://lsnyc.legalserver.org/matter/dynamic-profile/view/1909001","19-1909001")</f>
        <v>0</v>
      </c>
      <c r="B4797" t="s">
        <v>3857</v>
      </c>
      <c r="C4797" t="s">
        <v>8680</v>
      </c>
      <c r="D4797" t="s">
        <v>9928</v>
      </c>
      <c r="E4797" t="s">
        <v>10075</v>
      </c>
      <c r="F4797">
        <v>11233</v>
      </c>
      <c r="G4797" t="s">
        <v>10093</v>
      </c>
      <c r="H4797" t="s">
        <v>10152</v>
      </c>
      <c r="I4797" t="s">
        <v>10168</v>
      </c>
      <c r="J4797" t="s">
        <v>10213</v>
      </c>
      <c r="K4797" t="s">
        <v>10218</v>
      </c>
      <c r="L4797" t="s">
        <v>10135</v>
      </c>
      <c r="M4797" t="s">
        <v>10317</v>
      </c>
      <c r="N4797" t="s">
        <v>10646</v>
      </c>
      <c r="P4797" t="s">
        <v>10751</v>
      </c>
      <c r="Q4797" t="s">
        <v>10786</v>
      </c>
      <c r="R4797" t="s">
        <v>10824</v>
      </c>
      <c r="T4797">
        <v>36000</v>
      </c>
      <c r="U4797">
        <v>3000</v>
      </c>
      <c r="V4797">
        <v>50</v>
      </c>
      <c r="W4797">
        <v>1</v>
      </c>
      <c r="X4797">
        <v>0</v>
      </c>
      <c r="Y4797" t="s">
        <v>10830</v>
      </c>
      <c r="Z4797">
        <v>288.23</v>
      </c>
      <c r="AA4797">
        <v>40.675515</v>
      </c>
      <c r="AB4797">
        <v>-73.911641</v>
      </c>
      <c r="AC4797" t="s">
        <v>10837</v>
      </c>
      <c r="AD4797" t="s">
        <v>10839</v>
      </c>
      <c r="AG4797" t="s">
        <v>10858</v>
      </c>
      <c r="AH4797" t="s">
        <v>10861</v>
      </c>
      <c r="AI4797">
        <v>234</v>
      </c>
      <c r="AJ4797" t="s">
        <v>10214</v>
      </c>
      <c r="AK4797" t="s">
        <v>10838</v>
      </c>
      <c r="AL4797">
        <v>3.55</v>
      </c>
      <c r="AM4797" t="s">
        <v>10889</v>
      </c>
      <c r="AN4797" t="s">
        <v>10922</v>
      </c>
      <c r="AO4797" t="s">
        <v>11007</v>
      </c>
      <c r="AP4797" t="s">
        <v>11064</v>
      </c>
      <c r="AR4797" t="s">
        <v>11303</v>
      </c>
      <c r="AS4797" t="s">
        <v>11595</v>
      </c>
      <c r="AT4797" t="s">
        <v>11641</v>
      </c>
      <c r="AX4797" t="s">
        <v>10838</v>
      </c>
      <c r="AY4797" t="s">
        <v>10830</v>
      </c>
      <c r="AZ4797" t="s">
        <v>11735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</row>
    <row r="4798" spans="1:59">
      <c r="A4798" s="1">
        <f>HYPERLINK("https://lsnyc.legalserver.org/matter/dynamic-profile/view/1909003","19-1909003")</f>
        <v>0</v>
      </c>
      <c r="B4798" t="s">
        <v>3858</v>
      </c>
      <c r="C4798" t="s">
        <v>7687</v>
      </c>
      <c r="D4798" t="s">
        <v>9983</v>
      </c>
      <c r="E4798" t="s">
        <v>10075</v>
      </c>
      <c r="F4798">
        <v>11694</v>
      </c>
      <c r="G4798" t="s">
        <v>10092</v>
      </c>
      <c r="H4798" t="s">
        <v>10152</v>
      </c>
      <c r="I4798" t="s">
        <v>10168</v>
      </c>
      <c r="J4798" t="s">
        <v>10212</v>
      </c>
      <c r="K4798" t="s">
        <v>10217</v>
      </c>
      <c r="M4798" t="s">
        <v>10331</v>
      </c>
      <c r="N4798" t="s">
        <v>10675</v>
      </c>
      <c r="P4798" t="s">
        <v>10749</v>
      </c>
      <c r="Q4798" t="s">
        <v>10765</v>
      </c>
      <c r="R4798" t="s">
        <v>10820</v>
      </c>
      <c r="T4798">
        <v>13000</v>
      </c>
      <c r="U4798">
        <v>1083.33</v>
      </c>
      <c r="V4798">
        <v>34</v>
      </c>
      <c r="W4798">
        <v>1</v>
      </c>
      <c r="X4798">
        <v>1</v>
      </c>
      <c r="Z4798">
        <v>76.88</v>
      </c>
      <c r="AA4798">
        <v>40.582424</v>
      </c>
      <c r="AB4798">
        <v>-73.82294899999999</v>
      </c>
      <c r="AC4798" t="s">
        <v>10837</v>
      </c>
      <c r="AD4798" t="s">
        <v>10839</v>
      </c>
      <c r="AG4798" t="s">
        <v>10858</v>
      </c>
      <c r="AH4798" t="s">
        <v>10861</v>
      </c>
      <c r="AI4798">
        <v>234</v>
      </c>
      <c r="AJ4798" t="s">
        <v>10214</v>
      </c>
      <c r="AL4798">
        <v>0.6</v>
      </c>
      <c r="AM4798" t="s">
        <v>10892</v>
      </c>
      <c r="AN4798" t="s">
        <v>10958</v>
      </c>
      <c r="AO4798" t="s">
        <v>11024</v>
      </c>
      <c r="AP4798" t="s">
        <v>11088</v>
      </c>
      <c r="AR4798" t="s">
        <v>11297</v>
      </c>
      <c r="AS4798" t="s">
        <v>11594</v>
      </c>
      <c r="AT4798" t="s">
        <v>11641</v>
      </c>
      <c r="AX4798" t="s">
        <v>10838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</row>
    <row r="4799" spans="1:59">
      <c r="A4799" s="1">
        <f>HYPERLINK("https://lsnyc.legalserver.org/matter/dynamic-profile/view/1909004","19-1909004")</f>
        <v>0</v>
      </c>
      <c r="B4799" t="s">
        <v>3859</v>
      </c>
      <c r="C4799" t="s">
        <v>8681</v>
      </c>
      <c r="D4799" t="s">
        <v>9925</v>
      </c>
      <c r="E4799" t="s">
        <v>10075</v>
      </c>
      <c r="F4799">
        <v>10032</v>
      </c>
      <c r="G4799" t="s">
        <v>10089</v>
      </c>
      <c r="H4799" t="s">
        <v>10152</v>
      </c>
      <c r="I4799" t="s">
        <v>10168</v>
      </c>
      <c r="J4799" t="s">
        <v>10209</v>
      </c>
      <c r="K4799" t="s">
        <v>10217</v>
      </c>
      <c r="M4799" t="s">
        <v>10379</v>
      </c>
      <c r="N4799" t="s">
        <v>10703</v>
      </c>
      <c r="P4799" t="s">
        <v>10749</v>
      </c>
      <c r="Q4799" t="s">
        <v>10765</v>
      </c>
      <c r="R4799" t="s">
        <v>10821</v>
      </c>
      <c r="T4799">
        <v>81860</v>
      </c>
      <c r="U4799">
        <v>6821.67</v>
      </c>
      <c r="V4799">
        <v>58</v>
      </c>
      <c r="W4799">
        <v>2</v>
      </c>
      <c r="X4799">
        <v>0</v>
      </c>
      <c r="Z4799">
        <v>484.09</v>
      </c>
      <c r="AA4799">
        <v>40.833955</v>
      </c>
      <c r="AB4799">
        <v>-73.943215</v>
      </c>
      <c r="AD4799" t="s">
        <v>10839</v>
      </c>
      <c r="AG4799" t="s">
        <v>10858</v>
      </c>
      <c r="AH4799" t="s">
        <v>10862</v>
      </c>
      <c r="AI4799">
        <v>236</v>
      </c>
      <c r="AJ4799" t="s">
        <v>10209</v>
      </c>
      <c r="AL4799">
        <v>0.5</v>
      </c>
      <c r="AM4799" t="s">
        <v>10887</v>
      </c>
      <c r="AN4799" t="s">
        <v>10943</v>
      </c>
      <c r="AO4799" t="s">
        <v>11019</v>
      </c>
      <c r="AP4799" t="s">
        <v>11073</v>
      </c>
      <c r="AR4799" t="s">
        <v>11257</v>
      </c>
      <c r="AS4799" t="s">
        <v>9925</v>
      </c>
      <c r="BA4799" t="s">
        <v>11742</v>
      </c>
      <c r="BB4799">
        <v>0</v>
      </c>
      <c r="BC4799">
        <v>0</v>
      </c>
      <c r="BD4799">
        <v>0</v>
      </c>
      <c r="BE4799">
        <v>0</v>
      </c>
      <c r="BF4799">
        <v>7</v>
      </c>
      <c r="BG4799">
        <v>0</v>
      </c>
    </row>
    <row r="4800" spans="1:59">
      <c r="A4800" s="1">
        <f>HYPERLINK("https://lsnyc.legalserver.org/matter/dynamic-profile/view/1909005","19-1909005")</f>
        <v>0</v>
      </c>
      <c r="B4800" t="s">
        <v>3856</v>
      </c>
      <c r="C4800" t="s">
        <v>8679</v>
      </c>
      <c r="D4800" t="s">
        <v>9928</v>
      </c>
      <c r="E4800" t="s">
        <v>10075</v>
      </c>
      <c r="F4800">
        <v>11221</v>
      </c>
      <c r="G4800" t="s">
        <v>10093</v>
      </c>
      <c r="H4800" t="s">
        <v>10152</v>
      </c>
      <c r="I4800" t="s">
        <v>10168</v>
      </c>
      <c r="J4800" t="s">
        <v>10213</v>
      </c>
      <c r="K4800" t="s">
        <v>10217</v>
      </c>
      <c r="M4800" t="s">
        <v>10426</v>
      </c>
      <c r="N4800" t="s">
        <v>10668</v>
      </c>
      <c r="P4800" t="s">
        <v>10751</v>
      </c>
      <c r="Q4800" t="s">
        <v>10761</v>
      </c>
      <c r="R4800" t="s">
        <v>10824</v>
      </c>
      <c r="T4800">
        <v>14892</v>
      </c>
      <c r="U4800">
        <v>1241</v>
      </c>
      <c r="V4800">
        <v>68</v>
      </c>
      <c r="W4800">
        <v>1</v>
      </c>
      <c r="X4800">
        <v>0</v>
      </c>
      <c r="Z4800">
        <v>119.23</v>
      </c>
      <c r="AA4800">
        <v>40.687461</v>
      </c>
      <c r="AB4800">
        <v>-73.92515</v>
      </c>
      <c r="AC4800" t="s">
        <v>10837</v>
      </c>
      <c r="AD4800" t="s">
        <v>10840</v>
      </c>
      <c r="AG4800" t="s">
        <v>10858</v>
      </c>
      <c r="AH4800" t="s">
        <v>10862</v>
      </c>
      <c r="AI4800">
        <v>239</v>
      </c>
      <c r="AJ4800" t="s">
        <v>10213</v>
      </c>
      <c r="AL4800">
        <v>2.9</v>
      </c>
      <c r="AM4800" t="s">
        <v>10889</v>
      </c>
      <c r="AN4800" t="s">
        <v>10914</v>
      </c>
      <c r="AO4800" t="s">
        <v>11007</v>
      </c>
      <c r="AP4800" t="s">
        <v>11064</v>
      </c>
      <c r="AR4800" t="s">
        <v>11521</v>
      </c>
      <c r="AS4800" t="s">
        <v>11595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</row>
    <row r="4801" spans="1:59">
      <c r="A4801" s="1">
        <f>HYPERLINK("https://lsnyc.legalserver.org/matter/dynamic-profile/view/1909006","19-1909006")</f>
        <v>0</v>
      </c>
      <c r="B4801" t="s">
        <v>3860</v>
      </c>
      <c r="C4801" t="s">
        <v>8682</v>
      </c>
      <c r="D4801" t="s">
        <v>9925</v>
      </c>
      <c r="E4801" t="s">
        <v>10075</v>
      </c>
      <c r="F4801">
        <v>10039</v>
      </c>
      <c r="G4801" t="s">
        <v>10089</v>
      </c>
      <c r="H4801" t="s">
        <v>10152</v>
      </c>
      <c r="I4801" t="s">
        <v>10168</v>
      </c>
      <c r="J4801" t="s">
        <v>10209</v>
      </c>
      <c r="K4801" t="s">
        <v>10217</v>
      </c>
      <c r="M4801" t="s">
        <v>10379</v>
      </c>
      <c r="N4801" t="s">
        <v>10703</v>
      </c>
      <c r="P4801" t="s">
        <v>10749</v>
      </c>
      <c r="Q4801" t="s">
        <v>10765</v>
      </c>
      <c r="R4801" t="s">
        <v>10824</v>
      </c>
      <c r="T4801">
        <v>11340</v>
      </c>
      <c r="U4801">
        <v>945</v>
      </c>
      <c r="V4801">
        <v>42</v>
      </c>
      <c r="W4801">
        <v>1</v>
      </c>
      <c r="X4801">
        <v>0</v>
      </c>
      <c r="Z4801">
        <v>90.79000000000001</v>
      </c>
      <c r="AA4801">
        <v>40.826385</v>
      </c>
      <c r="AB4801">
        <v>-73.939036</v>
      </c>
      <c r="AD4801" t="s">
        <v>10839</v>
      </c>
      <c r="AG4801" t="s">
        <v>10858</v>
      </c>
      <c r="AH4801" t="s">
        <v>10862</v>
      </c>
      <c r="AI4801">
        <v>236</v>
      </c>
      <c r="AJ4801" t="s">
        <v>10209</v>
      </c>
      <c r="AL4801">
        <v>0.1</v>
      </c>
      <c r="AM4801" t="s">
        <v>10887</v>
      </c>
      <c r="AN4801" t="s">
        <v>10943</v>
      </c>
      <c r="AO4801" t="s">
        <v>11016</v>
      </c>
      <c r="AP4801" t="s">
        <v>11076</v>
      </c>
      <c r="AR4801" t="s">
        <v>11298</v>
      </c>
      <c r="AS4801" t="s">
        <v>9925</v>
      </c>
      <c r="AT4801" t="s">
        <v>11641</v>
      </c>
      <c r="AX4801" t="s">
        <v>10838</v>
      </c>
      <c r="BA4801" t="s">
        <v>11742</v>
      </c>
      <c r="BB4801">
        <v>0</v>
      </c>
      <c r="BC4801">
        <v>0</v>
      </c>
      <c r="BD4801">
        <v>0</v>
      </c>
      <c r="BE4801">
        <v>0</v>
      </c>
      <c r="BF4801">
        <v>7</v>
      </c>
      <c r="BG4801">
        <v>0</v>
      </c>
    </row>
    <row r="4802" spans="1:59">
      <c r="A4802" s="1">
        <f>HYPERLINK("https://lsnyc.legalserver.org/matter/dynamic-profile/view/1909007","19-1909007")</f>
        <v>0</v>
      </c>
      <c r="B4802" t="s">
        <v>3861</v>
      </c>
      <c r="C4802" t="s">
        <v>8683</v>
      </c>
      <c r="D4802" t="s">
        <v>9928</v>
      </c>
      <c r="E4802" t="s">
        <v>10075</v>
      </c>
      <c r="F4802">
        <v>11234</v>
      </c>
      <c r="G4802" t="s">
        <v>10093</v>
      </c>
      <c r="H4802" t="s">
        <v>10152</v>
      </c>
      <c r="I4802" t="s">
        <v>10168</v>
      </c>
      <c r="J4802" t="s">
        <v>10213</v>
      </c>
      <c r="K4802" t="s">
        <v>10217</v>
      </c>
      <c r="M4802" t="s">
        <v>10565</v>
      </c>
      <c r="N4802" t="s">
        <v>10664</v>
      </c>
      <c r="P4802" t="s">
        <v>10749</v>
      </c>
      <c r="Q4802" t="s">
        <v>10765</v>
      </c>
      <c r="R4802" t="s">
        <v>10824</v>
      </c>
      <c r="T4802">
        <v>33000</v>
      </c>
      <c r="U4802">
        <v>2750</v>
      </c>
      <c r="V4802">
        <v>33</v>
      </c>
      <c r="W4802">
        <v>1</v>
      </c>
      <c r="X4802">
        <v>1</v>
      </c>
      <c r="Z4802">
        <v>195.15</v>
      </c>
      <c r="AA4802">
        <v>40.624444</v>
      </c>
      <c r="AB4802">
        <v>-73.931608</v>
      </c>
      <c r="AD4802" t="s">
        <v>10839</v>
      </c>
      <c r="AG4802" t="s">
        <v>10858</v>
      </c>
      <c r="AH4802" t="s">
        <v>10862</v>
      </c>
      <c r="AI4802">
        <v>239</v>
      </c>
      <c r="AJ4802" t="s">
        <v>10213</v>
      </c>
      <c r="AL4802">
        <v>0</v>
      </c>
      <c r="AM4802" t="s">
        <v>10889</v>
      </c>
      <c r="AN4802" t="s">
        <v>10957</v>
      </c>
      <c r="AO4802" t="s">
        <v>11008</v>
      </c>
      <c r="AP4802" t="s">
        <v>11065</v>
      </c>
      <c r="AR4802" t="s">
        <v>11257</v>
      </c>
      <c r="AS4802" t="s">
        <v>11595</v>
      </c>
      <c r="AT4802" t="s">
        <v>11641</v>
      </c>
      <c r="BA4802" t="s">
        <v>11741</v>
      </c>
      <c r="BB4802">
        <v>0</v>
      </c>
      <c r="BC4802">
        <v>0</v>
      </c>
      <c r="BD4802">
        <v>0</v>
      </c>
      <c r="BE4802">
        <v>0</v>
      </c>
      <c r="BF4802">
        <v>1</v>
      </c>
      <c r="BG4802">
        <v>0</v>
      </c>
    </row>
    <row r="4803" spans="1:59">
      <c r="A4803" s="1">
        <f>HYPERLINK("https://lsnyc.legalserver.org/matter/dynamic-profile/view/1909008","19-1909008")</f>
        <v>0</v>
      </c>
      <c r="B4803" t="s">
        <v>3862</v>
      </c>
      <c r="C4803" t="s">
        <v>5877</v>
      </c>
      <c r="D4803" t="s">
        <v>9926</v>
      </c>
      <c r="E4803" t="s">
        <v>10075</v>
      </c>
      <c r="F4803">
        <v>10459</v>
      </c>
      <c r="G4803" t="s">
        <v>10089</v>
      </c>
      <c r="H4803" t="s">
        <v>10152</v>
      </c>
      <c r="I4803" t="s">
        <v>10168</v>
      </c>
      <c r="J4803" t="s">
        <v>10209</v>
      </c>
      <c r="K4803" t="s">
        <v>10217</v>
      </c>
      <c r="M4803" t="s">
        <v>10301</v>
      </c>
      <c r="N4803" t="s">
        <v>10665</v>
      </c>
      <c r="P4803" t="s">
        <v>10751</v>
      </c>
      <c r="Q4803" t="s">
        <v>10773</v>
      </c>
      <c r="R4803" t="s">
        <v>10824</v>
      </c>
      <c r="T4803">
        <v>0</v>
      </c>
      <c r="U4803">
        <v>0</v>
      </c>
      <c r="V4803">
        <v>57</v>
      </c>
      <c r="W4803">
        <v>1</v>
      </c>
      <c r="X4803">
        <v>0</v>
      </c>
      <c r="Z4803">
        <v>0</v>
      </c>
      <c r="AA4803">
        <v>40.831061</v>
      </c>
      <c r="AB4803">
        <v>-73.892725</v>
      </c>
      <c r="AD4803" t="s">
        <v>10839</v>
      </c>
      <c r="AG4803" t="s">
        <v>10858</v>
      </c>
      <c r="AH4803" t="s">
        <v>10861</v>
      </c>
      <c r="AI4803">
        <v>234</v>
      </c>
      <c r="AJ4803" t="s">
        <v>10214</v>
      </c>
      <c r="AL4803">
        <v>1.5</v>
      </c>
      <c r="AM4803" t="s">
        <v>10884</v>
      </c>
      <c r="AN4803" t="s">
        <v>10918</v>
      </c>
      <c r="AO4803" t="s">
        <v>11001</v>
      </c>
      <c r="AP4803" t="s">
        <v>11062</v>
      </c>
      <c r="AQ4803" t="s">
        <v>11115</v>
      </c>
      <c r="AR4803" t="s">
        <v>11267</v>
      </c>
      <c r="AS4803" t="s">
        <v>9926</v>
      </c>
      <c r="AT4803" t="s">
        <v>11641</v>
      </c>
      <c r="AX4803" t="s">
        <v>10838</v>
      </c>
      <c r="BA4803" t="s">
        <v>11741</v>
      </c>
      <c r="BB4803">
        <v>0</v>
      </c>
      <c r="BC4803">
        <v>0</v>
      </c>
      <c r="BD4803">
        <v>0</v>
      </c>
      <c r="BE4803">
        <v>0</v>
      </c>
      <c r="BF4803">
        <v>1</v>
      </c>
      <c r="BG4803">
        <v>0</v>
      </c>
    </row>
    <row r="4804" spans="1:59">
      <c r="A4804" s="1">
        <f>HYPERLINK("https://lsnyc.legalserver.org/matter/dynamic-profile/view/1909009","19-1909009")</f>
        <v>0</v>
      </c>
      <c r="B4804" t="s">
        <v>3863</v>
      </c>
      <c r="C4804" t="s">
        <v>5063</v>
      </c>
      <c r="D4804" t="s">
        <v>9925</v>
      </c>
      <c r="E4804" t="s">
        <v>10075</v>
      </c>
      <c r="F4804">
        <v>10009</v>
      </c>
      <c r="G4804" t="s">
        <v>10089</v>
      </c>
      <c r="H4804" t="s">
        <v>10152</v>
      </c>
      <c r="I4804" t="s">
        <v>10168</v>
      </c>
      <c r="J4804" t="s">
        <v>10209</v>
      </c>
      <c r="K4804" t="s">
        <v>10217</v>
      </c>
      <c r="M4804" t="s">
        <v>10332</v>
      </c>
      <c r="N4804" t="s">
        <v>10690</v>
      </c>
      <c r="P4804" t="s">
        <v>10752</v>
      </c>
      <c r="Q4804" t="s">
        <v>10805</v>
      </c>
      <c r="R4804" t="s">
        <v>10822</v>
      </c>
      <c r="T4804">
        <v>20400</v>
      </c>
      <c r="U4804">
        <v>1700</v>
      </c>
      <c r="V4804">
        <v>60</v>
      </c>
      <c r="W4804">
        <v>2</v>
      </c>
      <c r="X4804">
        <v>0</v>
      </c>
      <c r="Z4804">
        <v>120.64</v>
      </c>
      <c r="AA4804">
        <v>40.722119</v>
      </c>
      <c r="AB4804">
        <v>-73.981284</v>
      </c>
      <c r="AC4804" t="s">
        <v>10837</v>
      </c>
      <c r="AD4804" t="s">
        <v>10840</v>
      </c>
      <c r="AG4804" t="s">
        <v>10858</v>
      </c>
      <c r="AH4804" t="s">
        <v>10864</v>
      </c>
      <c r="AI4804">
        <v>236</v>
      </c>
      <c r="AJ4804" t="s">
        <v>10209</v>
      </c>
      <c r="AK4804" t="s">
        <v>10838</v>
      </c>
      <c r="AL4804">
        <v>2.2</v>
      </c>
      <c r="AM4804" t="s">
        <v>10891</v>
      </c>
      <c r="AN4804" t="s">
        <v>10910</v>
      </c>
      <c r="AO4804" t="s">
        <v>11004</v>
      </c>
      <c r="AP4804" t="s">
        <v>11048</v>
      </c>
      <c r="AR4804" t="s">
        <v>11379</v>
      </c>
      <c r="AS4804" t="s">
        <v>9925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</row>
    <row r="4805" spans="1:59">
      <c r="A4805" s="1">
        <f>HYPERLINK("https://lsnyc.legalserver.org/matter/dynamic-profile/view/1909010","19-1909010")</f>
        <v>0</v>
      </c>
      <c r="B4805" t="s">
        <v>3864</v>
      </c>
      <c r="C4805" t="s">
        <v>8684</v>
      </c>
      <c r="D4805" t="s">
        <v>9935</v>
      </c>
      <c r="E4805" t="s">
        <v>10075</v>
      </c>
      <c r="F4805">
        <v>11369</v>
      </c>
      <c r="G4805" t="s">
        <v>10092</v>
      </c>
      <c r="H4805" t="s">
        <v>10152</v>
      </c>
      <c r="I4805" t="s">
        <v>10168</v>
      </c>
      <c r="J4805" t="s">
        <v>10212</v>
      </c>
      <c r="K4805" t="s">
        <v>10218</v>
      </c>
      <c r="L4805" t="s">
        <v>10115</v>
      </c>
      <c r="M4805" t="s">
        <v>10340</v>
      </c>
      <c r="N4805" t="s">
        <v>10694</v>
      </c>
      <c r="P4805" t="s">
        <v>10751</v>
      </c>
      <c r="Q4805" t="s">
        <v>10780</v>
      </c>
      <c r="R4805" t="s">
        <v>10820</v>
      </c>
      <c r="T4805">
        <v>0</v>
      </c>
      <c r="U4805">
        <v>0</v>
      </c>
      <c r="V4805">
        <v>30</v>
      </c>
      <c r="W4805">
        <v>1</v>
      </c>
      <c r="X4805">
        <v>0</v>
      </c>
      <c r="Y4805" t="s">
        <v>10829</v>
      </c>
      <c r="Z4805">
        <v>0</v>
      </c>
      <c r="AA4805">
        <v>40.758822</v>
      </c>
      <c r="AB4805">
        <v>-73.870025</v>
      </c>
      <c r="AD4805" t="s">
        <v>10839</v>
      </c>
      <c r="AG4805" t="s">
        <v>10858</v>
      </c>
      <c r="AH4805" t="s">
        <v>10861</v>
      </c>
      <c r="AI4805">
        <v>237</v>
      </c>
      <c r="AJ4805" t="s">
        <v>10212</v>
      </c>
      <c r="AK4805" t="s">
        <v>10838</v>
      </c>
      <c r="AL4805">
        <v>2.4</v>
      </c>
      <c r="AM4805" t="s">
        <v>10885</v>
      </c>
      <c r="AN4805" t="s">
        <v>10916</v>
      </c>
      <c r="AO4805" t="s">
        <v>11014</v>
      </c>
      <c r="AP4805" t="s">
        <v>11068</v>
      </c>
      <c r="AR4805" t="s">
        <v>11267</v>
      </c>
      <c r="AS4805" t="s">
        <v>11594</v>
      </c>
      <c r="AY4805" t="s">
        <v>10829</v>
      </c>
      <c r="AZ4805" t="s">
        <v>11682</v>
      </c>
      <c r="BA4805" t="s">
        <v>11741</v>
      </c>
      <c r="BB4805">
        <v>0</v>
      </c>
      <c r="BC4805">
        <v>0</v>
      </c>
      <c r="BD4805">
        <v>0</v>
      </c>
      <c r="BE4805">
        <v>0</v>
      </c>
      <c r="BF4805">
        <v>1</v>
      </c>
      <c r="BG4805">
        <v>0</v>
      </c>
    </row>
    <row r="4806" spans="1:59">
      <c r="A4806" s="1">
        <f>HYPERLINK("https://lsnyc.legalserver.org/matter/dynamic-profile/view/1909011","19-1909011")</f>
        <v>0</v>
      </c>
      <c r="B4806" t="s">
        <v>2186</v>
      </c>
      <c r="C4806" t="s">
        <v>8685</v>
      </c>
      <c r="D4806" t="s">
        <v>9933</v>
      </c>
      <c r="E4806" t="s">
        <v>10075</v>
      </c>
      <c r="F4806">
        <v>11420</v>
      </c>
      <c r="G4806" t="s">
        <v>10092</v>
      </c>
      <c r="H4806" t="s">
        <v>10152</v>
      </c>
      <c r="I4806" t="s">
        <v>10168</v>
      </c>
      <c r="J4806" t="s">
        <v>10212</v>
      </c>
      <c r="K4806" t="s">
        <v>10217</v>
      </c>
      <c r="M4806" t="s">
        <v>10340</v>
      </c>
      <c r="N4806" t="s">
        <v>10671</v>
      </c>
      <c r="P4806" t="s">
        <v>10751</v>
      </c>
      <c r="Q4806" t="s">
        <v>10768</v>
      </c>
      <c r="R4806" t="s">
        <v>10827</v>
      </c>
      <c r="T4806">
        <v>2160</v>
      </c>
      <c r="U4806">
        <v>180</v>
      </c>
      <c r="V4806">
        <v>55</v>
      </c>
      <c r="W4806">
        <v>1</v>
      </c>
      <c r="X4806">
        <v>0</v>
      </c>
      <c r="Z4806">
        <v>17.29</v>
      </c>
      <c r="AA4806">
        <v>40.683786</v>
      </c>
      <c r="AB4806">
        <v>-73.817632</v>
      </c>
      <c r="AD4806" t="s">
        <v>10839</v>
      </c>
      <c r="AG4806" t="s">
        <v>10858</v>
      </c>
      <c r="AH4806" t="s">
        <v>10871</v>
      </c>
      <c r="AI4806">
        <v>234</v>
      </c>
      <c r="AJ4806" t="s">
        <v>10214</v>
      </c>
      <c r="AL4806">
        <v>3.8</v>
      </c>
      <c r="AM4806" t="s">
        <v>10892</v>
      </c>
      <c r="AN4806" t="s">
        <v>10930</v>
      </c>
      <c r="AO4806" t="s">
        <v>11017</v>
      </c>
      <c r="AP4806" t="s">
        <v>11070</v>
      </c>
      <c r="AR4806" t="s">
        <v>11311</v>
      </c>
      <c r="AS4806" t="s">
        <v>11594</v>
      </c>
      <c r="AT4806" t="s">
        <v>11641</v>
      </c>
      <c r="AX4806" t="s">
        <v>10838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</row>
    <row r="4807" spans="1:59">
      <c r="A4807" s="1">
        <f>HYPERLINK("https://lsnyc.legalserver.org/matter/dynamic-profile/view/1909012","19-1909012")</f>
        <v>0</v>
      </c>
      <c r="B4807" t="s">
        <v>3865</v>
      </c>
      <c r="C4807" t="s">
        <v>8686</v>
      </c>
      <c r="D4807" t="s">
        <v>9931</v>
      </c>
      <c r="E4807" t="s">
        <v>10075</v>
      </c>
      <c r="F4807">
        <v>11355</v>
      </c>
      <c r="G4807" t="s">
        <v>10092</v>
      </c>
      <c r="H4807" t="s">
        <v>10152</v>
      </c>
      <c r="I4807" t="s">
        <v>10182</v>
      </c>
      <c r="J4807" t="s">
        <v>10212</v>
      </c>
      <c r="K4807" t="s">
        <v>10217</v>
      </c>
      <c r="M4807" t="s">
        <v>10491</v>
      </c>
      <c r="N4807" t="s">
        <v>10693</v>
      </c>
      <c r="P4807" t="s">
        <v>10749</v>
      </c>
      <c r="Q4807" t="s">
        <v>10765</v>
      </c>
      <c r="R4807" t="s">
        <v>10827</v>
      </c>
      <c r="T4807">
        <v>10000</v>
      </c>
      <c r="U4807">
        <v>833.33</v>
      </c>
      <c r="V4807">
        <v>66</v>
      </c>
      <c r="W4807">
        <v>1</v>
      </c>
      <c r="X4807">
        <v>0</v>
      </c>
      <c r="Z4807">
        <v>80.06</v>
      </c>
      <c r="AA4807">
        <v>40.755729</v>
      </c>
      <c r="AB4807">
        <v>-73.82245399999999</v>
      </c>
      <c r="AD4807" t="s">
        <v>10840</v>
      </c>
      <c r="AG4807" t="s">
        <v>10858</v>
      </c>
      <c r="AH4807" t="s">
        <v>10862</v>
      </c>
      <c r="AI4807">
        <v>237</v>
      </c>
      <c r="AJ4807" t="s">
        <v>10212</v>
      </c>
      <c r="AL4807">
        <v>5.6</v>
      </c>
      <c r="AM4807" t="s">
        <v>10890</v>
      </c>
      <c r="AN4807" t="s">
        <v>10927</v>
      </c>
      <c r="AO4807" t="s">
        <v>11009</v>
      </c>
      <c r="AP4807" t="s">
        <v>11067</v>
      </c>
      <c r="AR4807" t="s">
        <v>11300</v>
      </c>
      <c r="AS4807" t="s">
        <v>11594</v>
      </c>
      <c r="BA4807" t="s">
        <v>11741</v>
      </c>
      <c r="BB4807">
        <v>0</v>
      </c>
      <c r="BC4807">
        <v>0</v>
      </c>
      <c r="BD4807">
        <v>0</v>
      </c>
      <c r="BE4807">
        <v>0</v>
      </c>
      <c r="BF4807">
        <v>1</v>
      </c>
      <c r="BG4807">
        <v>0</v>
      </c>
    </row>
    <row r="4808" spans="1:59">
      <c r="A4808" s="1">
        <f>HYPERLINK("https://lsnyc.legalserver.org/matter/dynamic-profile/view/1909013","19-1909013")</f>
        <v>0</v>
      </c>
      <c r="B4808" t="s">
        <v>3866</v>
      </c>
      <c r="C4808" t="s">
        <v>8636</v>
      </c>
      <c r="D4808" t="s">
        <v>9925</v>
      </c>
      <c r="E4808" t="s">
        <v>10075</v>
      </c>
      <c r="F4808">
        <v>10040</v>
      </c>
      <c r="G4808" t="s">
        <v>10089</v>
      </c>
      <c r="H4808" t="s">
        <v>10152</v>
      </c>
      <c r="I4808" t="s">
        <v>10168</v>
      </c>
      <c r="J4808" t="s">
        <v>10209</v>
      </c>
      <c r="K4808" t="s">
        <v>10217</v>
      </c>
      <c r="M4808" t="s">
        <v>10451</v>
      </c>
      <c r="N4808" t="s">
        <v>10650</v>
      </c>
      <c r="P4808" t="s">
        <v>10749</v>
      </c>
      <c r="Q4808" t="s">
        <v>10765</v>
      </c>
      <c r="R4808" t="s">
        <v>10820</v>
      </c>
      <c r="T4808">
        <v>62000</v>
      </c>
      <c r="U4808">
        <v>5166.67</v>
      </c>
      <c r="V4808">
        <v>28</v>
      </c>
      <c r="W4808">
        <v>2</v>
      </c>
      <c r="X4808">
        <v>0</v>
      </c>
      <c r="Z4808">
        <v>366.65</v>
      </c>
      <c r="AA4808">
        <v>40.857158</v>
      </c>
      <c r="AB4808">
        <v>-73.932643</v>
      </c>
      <c r="AD4808" t="s">
        <v>10839</v>
      </c>
      <c r="AG4808" t="s">
        <v>10858</v>
      </c>
      <c r="AH4808" t="s">
        <v>10862</v>
      </c>
      <c r="AI4808">
        <v>236</v>
      </c>
      <c r="AJ4808" t="s">
        <v>10209</v>
      </c>
      <c r="AL4808">
        <v>0</v>
      </c>
      <c r="AM4808" t="s">
        <v>10887</v>
      </c>
      <c r="AN4808" t="s">
        <v>10937</v>
      </c>
      <c r="AO4808" t="s">
        <v>11019</v>
      </c>
      <c r="AP4808" t="s">
        <v>11074</v>
      </c>
      <c r="AR4808" t="s">
        <v>11257</v>
      </c>
      <c r="AS4808" t="s">
        <v>9925</v>
      </c>
      <c r="AT4808" t="s">
        <v>11641</v>
      </c>
      <c r="AX4808" t="s">
        <v>10838</v>
      </c>
      <c r="BA4808" t="s">
        <v>11738</v>
      </c>
      <c r="BB4808">
        <v>0</v>
      </c>
      <c r="BC4808">
        <v>0</v>
      </c>
      <c r="BD4808">
        <v>0</v>
      </c>
      <c r="BE4808">
        <v>0</v>
      </c>
      <c r="BF4808">
        <v>5</v>
      </c>
      <c r="BG4808">
        <v>0</v>
      </c>
    </row>
    <row r="4809" spans="1:59">
      <c r="A4809" s="1">
        <f>HYPERLINK("https://lsnyc.legalserver.org/matter/dynamic-profile/view/1909014","19-1909014")</f>
        <v>0</v>
      </c>
      <c r="B4809" t="s">
        <v>3867</v>
      </c>
      <c r="C4809" t="s">
        <v>8687</v>
      </c>
      <c r="D4809" t="s">
        <v>9926</v>
      </c>
      <c r="E4809" t="s">
        <v>10075</v>
      </c>
      <c r="F4809">
        <v>10457</v>
      </c>
      <c r="G4809" t="s">
        <v>10090</v>
      </c>
      <c r="H4809" t="s">
        <v>10152</v>
      </c>
      <c r="I4809" t="s">
        <v>10169</v>
      </c>
      <c r="J4809" t="s">
        <v>10210</v>
      </c>
      <c r="K4809" t="s">
        <v>10217</v>
      </c>
      <c r="M4809" t="s">
        <v>10498</v>
      </c>
      <c r="N4809" t="s">
        <v>10650</v>
      </c>
      <c r="P4809" t="s">
        <v>10749</v>
      </c>
      <c r="Q4809" t="s">
        <v>10765</v>
      </c>
      <c r="R4809" t="s">
        <v>10821</v>
      </c>
      <c r="T4809">
        <v>7560</v>
      </c>
      <c r="U4809">
        <v>630</v>
      </c>
      <c r="V4809">
        <v>62</v>
      </c>
      <c r="W4809">
        <v>1</v>
      </c>
      <c r="X4809">
        <v>0</v>
      </c>
      <c r="Z4809">
        <v>60.53</v>
      </c>
      <c r="AA4809">
        <v>40.84788</v>
      </c>
      <c r="AB4809">
        <v>-73.90646599999999</v>
      </c>
      <c r="AD4809" t="s">
        <v>10839</v>
      </c>
      <c r="AG4809" t="s">
        <v>10858</v>
      </c>
      <c r="AH4809" t="s">
        <v>10862</v>
      </c>
      <c r="AI4809">
        <v>230</v>
      </c>
      <c r="AJ4809" t="s">
        <v>10210</v>
      </c>
      <c r="AL4809">
        <v>0.35</v>
      </c>
      <c r="AM4809" t="s">
        <v>10884</v>
      </c>
      <c r="AN4809" t="s">
        <v>10931</v>
      </c>
      <c r="AO4809" t="s">
        <v>11000</v>
      </c>
      <c r="AP4809" t="s">
        <v>11056</v>
      </c>
      <c r="AR4809" t="s">
        <v>11270</v>
      </c>
      <c r="AS4809" t="s">
        <v>9926</v>
      </c>
      <c r="BA4809" t="s">
        <v>11740</v>
      </c>
      <c r="BB4809">
        <v>0</v>
      </c>
      <c r="BC4809">
        <v>0</v>
      </c>
      <c r="BD4809">
        <v>0</v>
      </c>
      <c r="BE4809">
        <v>0</v>
      </c>
      <c r="BF4809">
        <v>2</v>
      </c>
      <c r="BG4809">
        <v>0</v>
      </c>
    </row>
    <row r="4810" spans="1:59">
      <c r="A4810" s="1">
        <f>HYPERLINK("https://lsnyc.legalserver.org/matter/dynamic-profile/view/1909015","19-1909015")</f>
        <v>0</v>
      </c>
      <c r="B4810" t="s">
        <v>3868</v>
      </c>
      <c r="C4810" t="s">
        <v>8676</v>
      </c>
      <c r="D4810" t="s">
        <v>9925</v>
      </c>
      <c r="E4810" t="s">
        <v>10075</v>
      </c>
      <c r="F4810">
        <v>10002</v>
      </c>
      <c r="G4810" t="s">
        <v>10089</v>
      </c>
      <c r="H4810" t="s">
        <v>10152</v>
      </c>
      <c r="I4810" t="s">
        <v>10168</v>
      </c>
      <c r="J4810" t="s">
        <v>10209</v>
      </c>
      <c r="K4810" t="s">
        <v>10217</v>
      </c>
      <c r="M4810" t="s">
        <v>10301</v>
      </c>
      <c r="N4810" t="s">
        <v>10665</v>
      </c>
      <c r="P4810" t="s">
        <v>10751</v>
      </c>
      <c r="Q4810" t="s">
        <v>10773</v>
      </c>
      <c r="R4810" t="s">
        <v>10824</v>
      </c>
      <c r="T4810">
        <v>0</v>
      </c>
      <c r="U4810">
        <v>0</v>
      </c>
      <c r="V4810">
        <v>57</v>
      </c>
      <c r="W4810">
        <v>1</v>
      </c>
      <c r="X4810">
        <v>0</v>
      </c>
      <c r="Z4810">
        <v>0</v>
      </c>
      <c r="AA4810">
        <v>40.716946</v>
      </c>
      <c r="AB4810">
        <v>-73.985237</v>
      </c>
      <c r="AD4810" t="s">
        <v>10840</v>
      </c>
      <c r="AG4810" t="s">
        <v>10858</v>
      </c>
      <c r="AH4810" t="s">
        <v>10861</v>
      </c>
      <c r="AI4810">
        <v>234</v>
      </c>
      <c r="AJ4810" t="s">
        <v>10214</v>
      </c>
      <c r="AL4810">
        <v>4.25</v>
      </c>
      <c r="AM4810" t="s">
        <v>10891</v>
      </c>
      <c r="AN4810" t="s">
        <v>10963</v>
      </c>
      <c r="AO4810" t="s">
        <v>11004</v>
      </c>
      <c r="AP4810" t="s">
        <v>11093</v>
      </c>
      <c r="AQ4810" t="s">
        <v>11115</v>
      </c>
      <c r="AR4810" t="s">
        <v>11267</v>
      </c>
      <c r="AS4810" t="s">
        <v>9925</v>
      </c>
      <c r="AT4810" t="s">
        <v>11642</v>
      </c>
      <c r="AX4810" t="s">
        <v>10838</v>
      </c>
      <c r="BA4810" t="s">
        <v>11740</v>
      </c>
      <c r="BB4810">
        <v>0</v>
      </c>
      <c r="BC4810">
        <v>0</v>
      </c>
      <c r="BD4810">
        <v>0</v>
      </c>
      <c r="BE4810">
        <v>0</v>
      </c>
      <c r="BF4810">
        <v>2</v>
      </c>
      <c r="BG4810">
        <v>0</v>
      </c>
    </row>
    <row r="4811" spans="1:59">
      <c r="A4811" s="1">
        <f>HYPERLINK("https://lsnyc.legalserver.org/matter/dynamic-profile/view/1909016","19-1909016")</f>
        <v>0</v>
      </c>
      <c r="B4811" t="s">
        <v>3422</v>
      </c>
      <c r="C4811" t="s">
        <v>8210</v>
      </c>
      <c r="D4811" t="s">
        <v>9936</v>
      </c>
      <c r="E4811" t="s">
        <v>10075</v>
      </c>
      <c r="F4811">
        <v>11103</v>
      </c>
      <c r="G4811" t="s">
        <v>10092</v>
      </c>
      <c r="H4811" t="s">
        <v>10152</v>
      </c>
      <c r="J4811" t="s">
        <v>10212</v>
      </c>
      <c r="K4811" t="s">
        <v>10217</v>
      </c>
      <c r="M4811" t="s">
        <v>10423</v>
      </c>
      <c r="N4811" t="s">
        <v>10709</v>
      </c>
      <c r="P4811" t="s">
        <v>10754</v>
      </c>
      <c r="Q4811" t="s">
        <v>10766</v>
      </c>
      <c r="R4811" t="s">
        <v>10821</v>
      </c>
      <c r="T4811">
        <v>20800</v>
      </c>
      <c r="U4811">
        <v>1733.33</v>
      </c>
      <c r="V4811">
        <v>29</v>
      </c>
      <c r="W4811">
        <v>1</v>
      </c>
      <c r="X4811">
        <v>1</v>
      </c>
      <c r="Z4811">
        <v>123</v>
      </c>
      <c r="AA4811">
        <v>40.767561</v>
      </c>
      <c r="AB4811">
        <v>-73.91274799999999</v>
      </c>
      <c r="AD4811" t="s">
        <v>10839</v>
      </c>
      <c r="AG4811" t="s">
        <v>10858</v>
      </c>
      <c r="AH4811" t="s">
        <v>10865</v>
      </c>
      <c r="AI4811">
        <v>237</v>
      </c>
      <c r="AJ4811" t="s">
        <v>10212</v>
      </c>
      <c r="AK4811" t="s">
        <v>10837</v>
      </c>
      <c r="AL4811">
        <v>3.75</v>
      </c>
      <c r="AM4811" t="s">
        <v>10891</v>
      </c>
      <c r="AN4811" t="s">
        <v>10954</v>
      </c>
      <c r="AO4811" t="s">
        <v>11003</v>
      </c>
      <c r="AP4811" t="s">
        <v>11084</v>
      </c>
      <c r="AR4811" t="s">
        <v>11257</v>
      </c>
      <c r="AS4811" t="s">
        <v>11594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</row>
    <row r="4812" spans="1:59">
      <c r="A4812" s="1">
        <f>HYPERLINK("https://lsnyc.legalserver.org/matter/dynamic-profile/view/1909017","19-1909017")</f>
        <v>0</v>
      </c>
      <c r="B4812" t="s">
        <v>3869</v>
      </c>
      <c r="C4812" t="s">
        <v>8688</v>
      </c>
      <c r="D4812" t="s">
        <v>9926</v>
      </c>
      <c r="E4812" t="s">
        <v>10075</v>
      </c>
      <c r="F4812">
        <v>10468</v>
      </c>
      <c r="G4812" t="s">
        <v>10090</v>
      </c>
      <c r="H4812" t="s">
        <v>10152</v>
      </c>
      <c r="I4812" t="s">
        <v>10169</v>
      </c>
      <c r="J4812" t="s">
        <v>10210</v>
      </c>
      <c r="K4812" t="s">
        <v>10217</v>
      </c>
      <c r="M4812" t="s">
        <v>10306</v>
      </c>
      <c r="N4812" t="s">
        <v>10651</v>
      </c>
      <c r="P4812" t="s">
        <v>10749</v>
      </c>
      <c r="Q4812" t="s">
        <v>10765</v>
      </c>
      <c r="R4812" t="s">
        <v>10821</v>
      </c>
      <c r="T4812">
        <v>24540</v>
      </c>
      <c r="U4812">
        <v>2045</v>
      </c>
      <c r="V4812">
        <v>57</v>
      </c>
      <c r="W4812">
        <v>4</v>
      </c>
      <c r="X4812">
        <v>1</v>
      </c>
      <c r="Z4812">
        <v>81.34</v>
      </c>
      <c r="AA4812">
        <v>40.863086</v>
      </c>
      <c r="AB4812">
        <v>-73.904529</v>
      </c>
      <c r="AD4812" t="s">
        <v>10839</v>
      </c>
      <c r="AG4812" t="s">
        <v>10858</v>
      </c>
      <c r="AH4812" t="s">
        <v>10861</v>
      </c>
      <c r="AI4812">
        <v>230</v>
      </c>
      <c r="AJ4812" t="s">
        <v>10210</v>
      </c>
      <c r="AL4812">
        <v>4.5</v>
      </c>
      <c r="AM4812" t="s">
        <v>10887</v>
      </c>
      <c r="AN4812" t="s">
        <v>10907</v>
      </c>
      <c r="AO4812" t="s">
        <v>11000</v>
      </c>
      <c r="AP4812" t="s">
        <v>11045</v>
      </c>
      <c r="AR4812" t="s">
        <v>11257</v>
      </c>
      <c r="AS4812" t="s">
        <v>9926</v>
      </c>
      <c r="AT4812" t="s">
        <v>11641</v>
      </c>
      <c r="AX4812" t="s">
        <v>10838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</row>
    <row r="4813" spans="1:59">
      <c r="A4813" s="1">
        <f>HYPERLINK("https://lsnyc.legalserver.org/matter/dynamic-profile/view/1909018","19-1909018")</f>
        <v>0</v>
      </c>
      <c r="B4813" t="s">
        <v>3870</v>
      </c>
      <c r="C4813" t="s">
        <v>8689</v>
      </c>
      <c r="D4813" t="s">
        <v>9926</v>
      </c>
      <c r="E4813" t="s">
        <v>10075</v>
      </c>
      <c r="F4813">
        <v>10467</v>
      </c>
      <c r="G4813" t="s">
        <v>10091</v>
      </c>
      <c r="H4813" t="s">
        <v>10152</v>
      </c>
      <c r="I4813" t="s">
        <v>10168</v>
      </c>
      <c r="J4813" t="s">
        <v>10214</v>
      </c>
      <c r="K4813" t="s">
        <v>10217</v>
      </c>
      <c r="M4813" t="s">
        <v>10537</v>
      </c>
      <c r="N4813" t="s">
        <v>10671</v>
      </c>
      <c r="P4813" t="s">
        <v>10753</v>
      </c>
      <c r="Q4813" t="s">
        <v>10763</v>
      </c>
      <c r="R4813" t="s">
        <v>10821</v>
      </c>
      <c r="T4813">
        <v>7180</v>
      </c>
      <c r="U4813">
        <v>598.33</v>
      </c>
      <c r="V4813">
        <v>42</v>
      </c>
      <c r="W4813">
        <v>2</v>
      </c>
      <c r="X4813">
        <v>4</v>
      </c>
      <c r="Z4813">
        <v>20.76</v>
      </c>
      <c r="AA4813">
        <v>40.875813</v>
      </c>
      <c r="AB4813">
        <v>-73.878086</v>
      </c>
      <c r="AD4813" t="s">
        <v>10839</v>
      </c>
      <c r="AF4813" t="s">
        <v>10843</v>
      </c>
      <c r="AG4813" t="s">
        <v>10859</v>
      </c>
      <c r="AH4813" t="s">
        <v>10861</v>
      </c>
      <c r="AI4813">
        <v>234</v>
      </c>
      <c r="AJ4813" t="s">
        <v>10214</v>
      </c>
      <c r="AL4813">
        <v>0.8</v>
      </c>
      <c r="AM4813" t="s">
        <v>10887</v>
      </c>
      <c r="AN4813" t="s">
        <v>10919</v>
      </c>
      <c r="AO4813" t="s">
        <v>11010</v>
      </c>
      <c r="AP4813" t="s">
        <v>11057</v>
      </c>
      <c r="AR4813" t="s">
        <v>11381</v>
      </c>
      <c r="AS4813" t="s">
        <v>9926</v>
      </c>
      <c r="AT4813" t="s">
        <v>11641</v>
      </c>
      <c r="AX4813" t="s">
        <v>10838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</row>
    <row r="4814" spans="1:59">
      <c r="A4814" s="1">
        <f>HYPERLINK("https://lsnyc.legalserver.org/matter/dynamic-profile/view/1909019","19-1909019")</f>
        <v>0</v>
      </c>
      <c r="B4814" t="s">
        <v>3871</v>
      </c>
      <c r="C4814" t="s">
        <v>8690</v>
      </c>
      <c r="D4814" t="s">
        <v>9925</v>
      </c>
      <c r="E4814" t="s">
        <v>10075</v>
      </c>
      <c r="F4814">
        <v>10032</v>
      </c>
      <c r="G4814" t="s">
        <v>10089</v>
      </c>
      <c r="H4814" t="s">
        <v>10152</v>
      </c>
      <c r="I4814" t="s">
        <v>10168</v>
      </c>
      <c r="J4814" t="s">
        <v>10209</v>
      </c>
      <c r="K4814" t="s">
        <v>10217</v>
      </c>
      <c r="M4814" t="s">
        <v>10388</v>
      </c>
      <c r="N4814" t="s">
        <v>10703</v>
      </c>
      <c r="P4814" t="s">
        <v>10749</v>
      </c>
      <c r="Q4814" t="s">
        <v>10765</v>
      </c>
      <c r="R4814" t="s">
        <v>10824</v>
      </c>
      <c r="T4814">
        <v>11232</v>
      </c>
      <c r="U4814">
        <v>936</v>
      </c>
      <c r="V4814">
        <v>45</v>
      </c>
      <c r="W4814">
        <v>2</v>
      </c>
      <c r="X4814">
        <v>0</v>
      </c>
      <c r="Z4814">
        <v>66.42</v>
      </c>
      <c r="AA4814">
        <v>40.834633</v>
      </c>
      <c r="AB4814">
        <v>-73.94174599999999</v>
      </c>
      <c r="AD4814" t="s">
        <v>10839</v>
      </c>
      <c r="AG4814" t="s">
        <v>10858</v>
      </c>
      <c r="AH4814" t="s">
        <v>10861</v>
      </c>
      <c r="AI4814">
        <v>236</v>
      </c>
      <c r="AJ4814" t="s">
        <v>10209</v>
      </c>
      <c r="AL4814">
        <v>0</v>
      </c>
      <c r="AM4814" t="s">
        <v>10887</v>
      </c>
      <c r="AN4814" t="s">
        <v>10943</v>
      </c>
      <c r="AO4814" t="s">
        <v>11019</v>
      </c>
      <c r="AP4814" t="s">
        <v>11073</v>
      </c>
      <c r="AR4814" t="s">
        <v>11262</v>
      </c>
      <c r="AS4814" t="s">
        <v>9925</v>
      </c>
      <c r="BA4814" t="s">
        <v>11742</v>
      </c>
      <c r="BB4814">
        <v>0</v>
      </c>
      <c r="BC4814">
        <v>0</v>
      </c>
      <c r="BD4814">
        <v>0</v>
      </c>
      <c r="BE4814">
        <v>0</v>
      </c>
      <c r="BF4814">
        <v>7</v>
      </c>
      <c r="BG4814">
        <v>0</v>
      </c>
    </row>
    <row r="4815" spans="1:59">
      <c r="A4815" s="1">
        <f>HYPERLINK("https://lsnyc.legalserver.org/matter/dynamic-profile/view/1909020","19-1909020")</f>
        <v>0</v>
      </c>
      <c r="B4815" t="s">
        <v>3872</v>
      </c>
      <c r="C4815" t="s">
        <v>8691</v>
      </c>
      <c r="D4815" t="s">
        <v>9925</v>
      </c>
      <c r="E4815" t="s">
        <v>10075</v>
      </c>
      <c r="F4815">
        <v>10009</v>
      </c>
      <c r="G4815" t="s">
        <v>10089</v>
      </c>
      <c r="H4815" t="s">
        <v>10152</v>
      </c>
      <c r="I4815" t="s">
        <v>10168</v>
      </c>
      <c r="J4815" t="s">
        <v>10209</v>
      </c>
      <c r="K4815" t="s">
        <v>10217</v>
      </c>
      <c r="M4815" t="s">
        <v>10278</v>
      </c>
      <c r="N4815" t="s">
        <v>10702</v>
      </c>
      <c r="P4815" t="s">
        <v>10749</v>
      </c>
      <c r="Q4815" t="s">
        <v>10767</v>
      </c>
      <c r="R4815" t="s">
        <v>10821</v>
      </c>
      <c r="T4815">
        <v>3000</v>
      </c>
      <c r="U4815">
        <v>250</v>
      </c>
      <c r="V4815">
        <v>53</v>
      </c>
      <c r="W4815">
        <v>2</v>
      </c>
      <c r="X4815">
        <v>3</v>
      </c>
      <c r="Z4815">
        <v>9.94</v>
      </c>
      <c r="AA4815">
        <v>40.725542</v>
      </c>
      <c r="AB4815">
        <v>-73.974194</v>
      </c>
      <c r="AD4815" t="s">
        <v>10839</v>
      </c>
      <c r="AG4815" t="s">
        <v>10858</v>
      </c>
      <c r="AH4815" t="s">
        <v>10862</v>
      </c>
      <c r="AI4815">
        <v>236</v>
      </c>
      <c r="AJ4815" t="s">
        <v>10209</v>
      </c>
      <c r="AL4815">
        <v>2.25</v>
      </c>
      <c r="AM4815" t="s">
        <v>10886</v>
      </c>
      <c r="AN4815" t="s">
        <v>10910</v>
      </c>
      <c r="AO4815" t="s">
        <v>11021</v>
      </c>
      <c r="AP4815" t="s">
        <v>11048</v>
      </c>
      <c r="AR4815" t="s">
        <v>11273</v>
      </c>
      <c r="AS4815" t="s">
        <v>9925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</row>
    <row r="4816" spans="1:59">
      <c r="A4816" s="1">
        <f>HYPERLINK("https://lsnyc.legalserver.org/matter/dynamic-profile/view/1909021","19-1909021")</f>
        <v>0</v>
      </c>
      <c r="B4816" t="s">
        <v>3873</v>
      </c>
      <c r="C4816" t="s">
        <v>8692</v>
      </c>
      <c r="D4816" t="s">
        <v>9925</v>
      </c>
      <c r="E4816" t="s">
        <v>10075</v>
      </c>
      <c r="F4816">
        <v>10034</v>
      </c>
      <c r="G4816" t="s">
        <v>10089</v>
      </c>
      <c r="H4816" t="s">
        <v>10152</v>
      </c>
      <c r="I4816" t="s">
        <v>10168</v>
      </c>
      <c r="J4816" t="s">
        <v>10209</v>
      </c>
      <c r="K4816" t="s">
        <v>10217</v>
      </c>
      <c r="M4816" t="s">
        <v>10388</v>
      </c>
      <c r="N4816" t="s">
        <v>10703</v>
      </c>
      <c r="P4816" t="s">
        <v>10749</v>
      </c>
      <c r="Q4816" t="s">
        <v>10765</v>
      </c>
      <c r="R4816" t="s">
        <v>10820</v>
      </c>
      <c r="T4816">
        <v>2392</v>
      </c>
      <c r="U4816">
        <v>199.33</v>
      </c>
      <c r="V4816">
        <v>59</v>
      </c>
      <c r="W4816">
        <v>1</v>
      </c>
      <c r="X4816">
        <v>0</v>
      </c>
      <c r="Z4816">
        <v>19.15</v>
      </c>
      <c r="AA4816">
        <v>40.871845</v>
      </c>
      <c r="AB4816">
        <v>-73.91897</v>
      </c>
      <c r="AD4816" t="s">
        <v>10839</v>
      </c>
      <c r="AG4816" t="s">
        <v>10858</v>
      </c>
      <c r="AH4816" t="s">
        <v>10862</v>
      </c>
      <c r="AI4816">
        <v>236</v>
      </c>
      <c r="AJ4816" t="s">
        <v>10209</v>
      </c>
      <c r="AL4816">
        <v>0</v>
      </c>
      <c r="AM4816" t="s">
        <v>10887</v>
      </c>
      <c r="AN4816" t="s">
        <v>10937</v>
      </c>
      <c r="AO4816" t="s">
        <v>11019</v>
      </c>
      <c r="AP4816" t="s">
        <v>11074</v>
      </c>
      <c r="AR4816" t="s">
        <v>11255</v>
      </c>
      <c r="AS4816" t="s">
        <v>9925</v>
      </c>
      <c r="AT4816" t="s">
        <v>11641</v>
      </c>
      <c r="AX4816" t="s">
        <v>10838</v>
      </c>
      <c r="BA4816" t="s">
        <v>11742</v>
      </c>
      <c r="BB4816">
        <v>0</v>
      </c>
      <c r="BC4816">
        <v>0</v>
      </c>
      <c r="BD4816">
        <v>0</v>
      </c>
      <c r="BE4816">
        <v>0</v>
      </c>
      <c r="BF4816">
        <v>7</v>
      </c>
      <c r="BG4816">
        <v>0</v>
      </c>
    </row>
    <row r="4817" spans="1:59">
      <c r="A4817" s="1">
        <f>HYPERLINK("https://lsnyc.legalserver.org/matter/dynamic-profile/view/1909022","19-1909022")</f>
        <v>0</v>
      </c>
      <c r="B4817" t="s">
        <v>3874</v>
      </c>
      <c r="C4817" t="s">
        <v>8693</v>
      </c>
      <c r="D4817" t="s">
        <v>9928</v>
      </c>
      <c r="E4817" t="s">
        <v>10075</v>
      </c>
      <c r="F4817">
        <v>11235</v>
      </c>
      <c r="G4817" t="s">
        <v>10093</v>
      </c>
      <c r="H4817" t="s">
        <v>10152</v>
      </c>
      <c r="I4817" t="s">
        <v>10171</v>
      </c>
      <c r="J4817" t="s">
        <v>10213</v>
      </c>
      <c r="K4817" t="s">
        <v>10218</v>
      </c>
      <c r="L4817" t="s">
        <v>4843</v>
      </c>
      <c r="M4817" t="s">
        <v>10390</v>
      </c>
      <c r="N4817" t="s">
        <v>10644</v>
      </c>
      <c r="P4817" t="s">
        <v>10754</v>
      </c>
      <c r="Q4817" t="s">
        <v>10775</v>
      </c>
      <c r="R4817" t="s">
        <v>10820</v>
      </c>
      <c r="T4817">
        <v>6600</v>
      </c>
      <c r="U4817">
        <v>550</v>
      </c>
      <c r="V4817">
        <v>59</v>
      </c>
      <c r="W4817">
        <v>1</v>
      </c>
      <c r="X4817">
        <v>0</v>
      </c>
      <c r="Y4817" t="s">
        <v>10829</v>
      </c>
      <c r="Z4817">
        <v>52.84</v>
      </c>
      <c r="AA4817">
        <v>40.58096</v>
      </c>
      <c r="AB4817">
        <v>-73.94671700000001</v>
      </c>
      <c r="AD4817" t="s">
        <v>10840</v>
      </c>
      <c r="AG4817" t="s">
        <v>10858</v>
      </c>
      <c r="AH4817" t="s">
        <v>10869</v>
      </c>
      <c r="AI4817">
        <v>239</v>
      </c>
      <c r="AJ4817" t="s">
        <v>10213</v>
      </c>
      <c r="AK4817" t="s">
        <v>10838</v>
      </c>
      <c r="AL4817">
        <v>2</v>
      </c>
      <c r="AM4817" t="s">
        <v>10889</v>
      </c>
      <c r="AN4817" t="s">
        <v>10965</v>
      </c>
      <c r="AO4817" t="s">
        <v>11023</v>
      </c>
      <c r="AP4817" t="s">
        <v>11092</v>
      </c>
      <c r="AQ4817" t="s">
        <v>11244</v>
      </c>
      <c r="AR4817" t="s">
        <v>11268</v>
      </c>
      <c r="AS4817" t="s">
        <v>11595</v>
      </c>
      <c r="AY4817" t="s">
        <v>10829</v>
      </c>
      <c r="AZ4817" t="s">
        <v>11683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</row>
    <row r="4818" spans="1:59">
      <c r="A4818" s="1">
        <f>HYPERLINK("https://lsnyc.legalserver.org/matter/dynamic-profile/view/1909023","19-1909023")</f>
        <v>0</v>
      </c>
      <c r="B4818" t="s">
        <v>3083</v>
      </c>
      <c r="C4818" t="s">
        <v>7868</v>
      </c>
      <c r="D4818" t="s">
        <v>9926</v>
      </c>
      <c r="E4818" t="s">
        <v>10075</v>
      </c>
      <c r="F4818">
        <v>10453</v>
      </c>
      <c r="G4818" t="s">
        <v>10090</v>
      </c>
      <c r="H4818" t="s">
        <v>10152</v>
      </c>
      <c r="I4818" t="s">
        <v>10168</v>
      </c>
      <c r="J4818" t="s">
        <v>10210</v>
      </c>
      <c r="K4818" t="s">
        <v>10217</v>
      </c>
      <c r="M4818" t="s">
        <v>10498</v>
      </c>
      <c r="N4818" t="s">
        <v>10650</v>
      </c>
      <c r="P4818" t="s">
        <v>10749</v>
      </c>
      <c r="Q4818" t="s">
        <v>10765</v>
      </c>
      <c r="R4818" t="s">
        <v>10821</v>
      </c>
      <c r="T4818">
        <v>15392</v>
      </c>
      <c r="U4818">
        <v>1282.67</v>
      </c>
      <c r="V4818">
        <v>41</v>
      </c>
      <c r="W4818">
        <v>2</v>
      </c>
      <c r="X4818">
        <v>0</v>
      </c>
      <c r="Z4818">
        <v>91.02</v>
      </c>
      <c r="AA4818">
        <v>40.855618</v>
      </c>
      <c r="AB4818">
        <v>-73.913935</v>
      </c>
      <c r="AD4818" t="s">
        <v>10839</v>
      </c>
      <c r="AG4818" t="s">
        <v>10858</v>
      </c>
      <c r="AH4818" t="s">
        <v>10861</v>
      </c>
      <c r="AI4818">
        <v>230</v>
      </c>
      <c r="AJ4818" t="s">
        <v>10210</v>
      </c>
      <c r="AL4818">
        <v>0.6</v>
      </c>
      <c r="AM4818" t="s">
        <v>10884</v>
      </c>
      <c r="AN4818" t="s">
        <v>10931</v>
      </c>
      <c r="AO4818" t="s">
        <v>11000</v>
      </c>
      <c r="AP4818" t="s">
        <v>11045</v>
      </c>
      <c r="AR4818" t="s">
        <v>11401</v>
      </c>
      <c r="AS4818" t="s">
        <v>9926</v>
      </c>
      <c r="BA4818" t="s">
        <v>11740</v>
      </c>
      <c r="BB4818">
        <v>0</v>
      </c>
      <c r="BC4818">
        <v>0</v>
      </c>
      <c r="BD4818">
        <v>0</v>
      </c>
      <c r="BE4818">
        <v>0</v>
      </c>
      <c r="BF4818">
        <v>2</v>
      </c>
      <c r="BG4818">
        <v>0</v>
      </c>
    </row>
    <row r="4819" spans="1:59">
      <c r="A4819" s="1">
        <f>HYPERLINK("https://lsnyc.legalserver.org/matter/dynamic-profile/view/1909024","19-1909024")</f>
        <v>0</v>
      </c>
      <c r="B4819" t="s">
        <v>3875</v>
      </c>
      <c r="C4819" t="s">
        <v>6421</v>
      </c>
      <c r="D4819" t="s">
        <v>9935</v>
      </c>
      <c r="E4819" t="s">
        <v>10075</v>
      </c>
      <c r="F4819">
        <v>11369</v>
      </c>
      <c r="G4819" t="s">
        <v>10090</v>
      </c>
      <c r="H4819" t="s">
        <v>10152</v>
      </c>
      <c r="I4819" t="s">
        <v>10169</v>
      </c>
      <c r="J4819" t="s">
        <v>10210</v>
      </c>
      <c r="K4819" t="s">
        <v>10217</v>
      </c>
      <c r="M4819" t="s">
        <v>10445</v>
      </c>
      <c r="N4819" t="s">
        <v>10712</v>
      </c>
      <c r="P4819" t="s">
        <v>10754</v>
      </c>
      <c r="Q4819" t="s">
        <v>10777</v>
      </c>
      <c r="R4819" t="s">
        <v>10821</v>
      </c>
      <c r="T4819">
        <v>10800</v>
      </c>
      <c r="U4819">
        <v>900</v>
      </c>
      <c r="V4819">
        <v>30</v>
      </c>
      <c r="W4819">
        <v>1</v>
      </c>
      <c r="X4819">
        <v>2</v>
      </c>
      <c r="Z4819">
        <v>50.63</v>
      </c>
      <c r="AA4819">
        <v>40.769008</v>
      </c>
      <c r="AB4819">
        <v>-73.87590400000001</v>
      </c>
      <c r="AD4819" t="s">
        <v>10839</v>
      </c>
      <c r="AF4819" t="s">
        <v>10842</v>
      </c>
      <c r="AG4819" t="s">
        <v>10859</v>
      </c>
      <c r="AH4819" t="s">
        <v>10875</v>
      </c>
      <c r="AI4819">
        <v>230</v>
      </c>
      <c r="AJ4819" t="s">
        <v>10210</v>
      </c>
      <c r="AL4819">
        <v>0</v>
      </c>
      <c r="AM4819" t="s">
        <v>10885</v>
      </c>
      <c r="AN4819" t="s">
        <v>10916</v>
      </c>
      <c r="AO4819" t="s">
        <v>11014</v>
      </c>
      <c r="AP4819" t="s">
        <v>11068</v>
      </c>
      <c r="AQ4819" t="s">
        <v>11128</v>
      </c>
      <c r="AR4819" t="s">
        <v>11257</v>
      </c>
      <c r="AS4819" t="s">
        <v>11594</v>
      </c>
      <c r="AT4819" t="s">
        <v>11641</v>
      </c>
      <c r="AX4819" t="s">
        <v>10838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</row>
    <row r="4820" spans="1:59">
      <c r="A4820" s="1">
        <f>HYPERLINK("https://lsnyc.legalserver.org/matter/dynamic-profile/view/1909025","19-1909025")</f>
        <v>0</v>
      </c>
      <c r="B4820" t="s">
        <v>455</v>
      </c>
      <c r="C4820" t="s">
        <v>8694</v>
      </c>
      <c r="D4820" t="s">
        <v>9955</v>
      </c>
      <c r="E4820" t="s">
        <v>10075</v>
      </c>
      <c r="F4820">
        <v>11692</v>
      </c>
      <c r="G4820" t="s">
        <v>10092</v>
      </c>
      <c r="H4820" t="s">
        <v>10152</v>
      </c>
      <c r="I4820" t="s">
        <v>10168</v>
      </c>
      <c r="J4820" t="s">
        <v>10212</v>
      </c>
      <c r="K4820" t="s">
        <v>10218</v>
      </c>
      <c r="L4820" t="s">
        <v>10135</v>
      </c>
      <c r="M4820" t="s">
        <v>10258</v>
      </c>
      <c r="N4820" t="s">
        <v>10650</v>
      </c>
      <c r="P4820" t="s">
        <v>10749</v>
      </c>
      <c r="Q4820" t="s">
        <v>10765</v>
      </c>
      <c r="R4820" t="s">
        <v>10824</v>
      </c>
      <c r="T4820">
        <v>24084</v>
      </c>
      <c r="U4820">
        <v>2007</v>
      </c>
      <c r="V4820">
        <v>52</v>
      </c>
      <c r="W4820">
        <v>2</v>
      </c>
      <c r="X4820">
        <v>0</v>
      </c>
      <c r="Y4820" t="s">
        <v>10829</v>
      </c>
      <c r="Z4820">
        <v>142.42</v>
      </c>
      <c r="AA4820">
        <v>40.584645</v>
      </c>
      <c r="AB4820">
        <v>-73.811995</v>
      </c>
      <c r="AD4820" t="s">
        <v>10839</v>
      </c>
      <c r="AG4820" t="s">
        <v>10858</v>
      </c>
      <c r="AH4820" t="s">
        <v>10861</v>
      </c>
      <c r="AI4820">
        <v>234</v>
      </c>
      <c r="AJ4820" t="s">
        <v>10214</v>
      </c>
      <c r="AK4820" t="s">
        <v>10838</v>
      </c>
      <c r="AL4820">
        <v>2.95</v>
      </c>
      <c r="AM4820" t="s">
        <v>10892</v>
      </c>
      <c r="AN4820" t="s">
        <v>10958</v>
      </c>
      <c r="AO4820" t="s">
        <v>11024</v>
      </c>
      <c r="AP4820" t="s">
        <v>11088</v>
      </c>
      <c r="AR4820" t="s">
        <v>11328</v>
      </c>
      <c r="AS4820" t="s">
        <v>11594</v>
      </c>
      <c r="AT4820" t="s">
        <v>11641</v>
      </c>
      <c r="AX4820" t="s">
        <v>10838</v>
      </c>
      <c r="AY4820" t="s">
        <v>10829</v>
      </c>
      <c r="AZ4820" t="s">
        <v>11681</v>
      </c>
      <c r="BA4820" t="s">
        <v>11741</v>
      </c>
      <c r="BB4820">
        <v>0</v>
      </c>
      <c r="BC4820">
        <v>0</v>
      </c>
      <c r="BD4820">
        <v>0</v>
      </c>
      <c r="BE4820">
        <v>0</v>
      </c>
      <c r="BF4820">
        <v>1</v>
      </c>
      <c r="BG4820">
        <v>0</v>
      </c>
    </row>
    <row r="4821" spans="1:59">
      <c r="A4821" s="1">
        <f>HYPERLINK("https://lsnyc.legalserver.org/matter/dynamic-profile/view/1909026","19-1909026")</f>
        <v>0</v>
      </c>
      <c r="B4821" t="s">
        <v>3220</v>
      </c>
      <c r="C4821" t="s">
        <v>8009</v>
      </c>
      <c r="D4821" t="s">
        <v>9926</v>
      </c>
      <c r="E4821" t="s">
        <v>10075</v>
      </c>
      <c r="F4821">
        <v>10467</v>
      </c>
      <c r="G4821" t="s">
        <v>10090</v>
      </c>
      <c r="H4821" t="s">
        <v>10152</v>
      </c>
      <c r="I4821" t="s">
        <v>10168</v>
      </c>
      <c r="J4821" t="s">
        <v>10210</v>
      </c>
      <c r="K4821" t="s">
        <v>10217</v>
      </c>
      <c r="M4821" t="s">
        <v>10469</v>
      </c>
      <c r="N4821" t="s">
        <v>10650</v>
      </c>
      <c r="P4821" t="s">
        <v>10749</v>
      </c>
      <c r="Q4821" t="s">
        <v>10791</v>
      </c>
      <c r="R4821" t="s">
        <v>10825</v>
      </c>
      <c r="T4821">
        <v>13992</v>
      </c>
      <c r="U4821">
        <v>1166</v>
      </c>
      <c r="V4821">
        <v>63</v>
      </c>
      <c r="W4821">
        <v>4</v>
      </c>
      <c r="X4821">
        <v>0</v>
      </c>
      <c r="Z4821">
        <v>54.34</v>
      </c>
      <c r="AA4821">
        <v>40.882468</v>
      </c>
      <c r="AB4821">
        <v>-73.88374399999999</v>
      </c>
      <c r="AD4821" t="s">
        <v>10839</v>
      </c>
      <c r="AG4821" t="s">
        <v>10858</v>
      </c>
      <c r="AH4821" t="s">
        <v>10862</v>
      </c>
      <c r="AI4821">
        <v>230</v>
      </c>
      <c r="AJ4821" t="s">
        <v>10210</v>
      </c>
      <c r="AL4821">
        <v>0.75</v>
      </c>
      <c r="AR4821" t="s">
        <v>11400</v>
      </c>
      <c r="AS4821" t="s">
        <v>9926</v>
      </c>
      <c r="BA4821" t="s">
        <v>11737</v>
      </c>
      <c r="BB4821">
        <v>0</v>
      </c>
      <c r="BC4821">
        <v>0</v>
      </c>
      <c r="BD4821">
        <v>0</v>
      </c>
      <c r="BE4821">
        <v>0</v>
      </c>
      <c r="BF4821">
        <v>3</v>
      </c>
      <c r="BG4821">
        <v>0</v>
      </c>
    </row>
    <row r="4822" spans="1:59">
      <c r="A4822" s="1">
        <f>HYPERLINK("https://lsnyc.legalserver.org/matter/dynamic-profile/view/1909027","19-1909027")</f>
        <v>0</v>
      </c>
      <c r="B4822" t="s">
        <v>3876</v>
      </c>
      <c r="C4822" t="s">
        <v>5900</v>
      </c>
      <c r="D4822" t="s">
        <v>9925</v>
      </c>
      <c r="E4822" t="s">
        <v>10075</v>
      </c>
      <c r="F4822">
        <v>10033</v>
      </c>
      <c r="G4822" t="s">
        <v>10089</v>
      </c>
      <c r="H4822" t="s">
        <v>10152</v>
      </c>
      <c r="I4822" t="s">
        <v>10169</v>
      </c>
      <c r="J4822" t="s">
        <v>10209</v>
      </c>
      <c r="K4822" t="s">
        <v>10217</v>
      </c>
      <c r="M4822" t="s">
        <v>10483</v>
      </c>
      <c r="N4822" t="s">
        <v>10650</v>
      </c>
      <c r="P4822" t="s">
        <v>10749</v>
      </c>
      <c r="Q4822" t="s">
        <v>10765</v>
      </c>
      <c r="R4822" t="s">
        <v>10823</v>
      </c>
      <c r="T4822">
        <v>15648</v>
      </c>
      <c r="U4822">
        <v>1304</v>
      </c>
      <c r="V4822">
        <v>64</v>
      </c>
      <c r="W4822">
        <v>2</v>
      </c>
      <c r="X4822">
        <v>0</v>
      </c>
      <c r="Z4822">
        <v>92.54000000000001</v>
      </c>
      <c r="AA4822">
        <v>40.850001</v>
      </c>
      <c r="AB4822">
        <v>-73.937383</v>
      </c>
      <c r="AD4822" t="s">
        <v>10839</v>
      </c>
      <c r="AG4822" t="s">
        <v>10858</v>
      </c>
      <c r="AH4822" t="s">
        <v>10862</v>
      </c>
      <c r="AI4822">
        <v>236</v>
      </c>
      <c r="AJ4822" t="s">
        <v>10209</v>
      </c>
      <c r="AL4822">
        <v>0</v>
      </c>
      <c r="AM4822" t="s">
        <v>10887</v>
      </c>
      <c r="AN4822" t="s">
        <v>10943</v>
      </c>
      <c r="AO4822" t="s">
        <v>11019</v>
      </c>
      <c r="AP4822" t="s">
        <v>11074</v>
      </c>
      <c r="AR4822" t="s">
        <v>11270</v>
      </c>
      <c r="AS4822" t="s">
        <v>9925</v>
      </c>
      <c r="AT4822" t="s">
        <v>11641</v>
      </c>
      <c r="AX4822" t="s">
        <v>10838</v>
      </c>
      <c r="BA4822" t="s">
        <v>11742</v>
      </c>
      <c r="BB4822">
        <v>0</v>
      </c>
      <c r="BC4822">
        <v>0</v>
      </c>
      <c r="BD4822">
        <v>0</v>
      </c>
      <c r="BE4822">
        <v>0</v>
      </c>
      <c r="BF4822">
        <v>7</v>
      </c>
      <c r="BG4822">
        <v>0</v>
      </c>
    </row>
    <row r="4823" spans="1:59">
      <c r="A4823" s="1">
        <f>HYPERLINK("https://lsnyc.legalserver.org/matter/dynamic-profile/view/1909028","19-1909028")</f>
        <v>0</v>
      </c>
      <c r="B4823" t="s">
        <v>3877</v>
      </c>
      <c r="C4823" t="s">
        <v>8695</v>
      </c>
      <c r="D4823" t="s">
        <v>9928</v>
      </c>
      <c r="E4823" t="s">
        <v>10075</v>
      </c>
      <c r="F4823">
        <v>11213</v>
      </c>
      <c r="G4823" t="s">
        <v>10093</v>
      </c>
      <c r="H4823" t="s">
        <v>10152</v>
      </c>
      <c r="I4823" t="s">
        <v>10168</v>
      </c>
      <c r="J4823" t="s">
        <v>10213</v>
      </c>
      <c r="K4823" t="s">
        <v>10217</v>
      </c>
      <c r="M4823" t="s">
        <v>10565</v>
      </c>
      <c r="N4823" t="s">
        <v>10664</v>
      </c>
      <c r="P4823" t="s">
        <v>10749</v>
      </c>
      <c r="Q4823" t="s">
        <v>10765</v>
      </c>
      <c r="R4823" t="s">
        <v>10824</v>
      </c>
      <c r="T4823">
        <v>4608</v>
      </c>
      <c r="U4823">
        <v>384</v>
      </c>
      <c r="V4823">
        <v>32</v>
      </c>
      <c r="W4823">
        <v>4</v>
      </c>
      <c r="X4823">
        <v>0</v>
      </c>
      <c r="Z4823">
        <v>17.9</v>
      </c>
      <c r="AA4823">
        <v>40.676669</v>
      </c>
      <c r="AB4823">
        <v>-73.933646</v>
      </c>
      <c r="AD4823" t="s">
        <v>10840</v>
      </c>
      <c r="AG4823" t="s">
        <v>10858</v>
      </c>
      <c r="AH4823" t="s">
        <v>10861</v>
      </c>
      <c r="AI4823">
        <v>239</v>
      </c>
      <c r="AJ4823" t="s">
        <v>10213</v>
      </c>
      <c r="AL4823">
        <v>0</v>
      </c>
      <c r="AM4823" t="s">
        <v>10889</v>
      </c>
      <c r="AN4823" t="s">
        <v>10914</v>
      </c>
      <c r="AO4823" t="s">
        <v>11007</v>
      </c>
      <c r="AP4823" t="s">
        <v>11052</v>
      </c>
      <c r="AR4823" t="s">
        <v>11279</v>
      </c>
      <c r="AS4823" t="s">
        <v>11595</v>
      </c>
      <c r="BA4823" t="s">
        <v>11741</v>
      </c>
      <c r="BB4823">
        <v>0</v>
      </c>
      <c r="BC4823">
        <v>0</v>
      </c>
      <c r="BD4823">
        <v>0</v>
      </c>
      <c r="BE4823">
        <v>0</v>
      </c>
      <c r="BF4823">
        <v>1</v>
      </c>
      <c r="BG4823">
        <v>0</v>
      </c>
    </row>
    <row r="4824" spans="1:59">
      <c r="A4824" s="1">
        <f>HYPERLINK("https://lsnyc.legalserver.org/matter/dynamic-profile/view/1909029","19-1909029")</f>
        <v>0</v>
      </c>
      <c r="B4824" t="s">
        <v>3878</v>
      </c>
      <c r="C4824" t="s">
        <v>5750</v>
      </c>
      <c r="D4824" t="s">
        <v>9926</v>
      </c>
      <c r="E4824" t="s">
        <v>10075</v>
      </c>
      <c r="F4824">
        <v>10463</v>
      </c>
      <c r="G4824" t="s">
        <v>10089</v>
      </c>
      <c r="H4824" t="s">
        <v>10152</v>
      </c>
      <c r="I4824" t="s">
        <v>10168</v>
      </c>
      <c r="J4824" t="s">
        <v>10209</v>
      </c>
      <c r="K4824" t="s">
        <v>10217</v>
      </c>
      <c r="M4824" t="s">
        <v>10391</v>
      </c>
      <c r="N4824" t="s">
        <v>10703</v>
      </c>
      <c r="P4824" t="s">
        <v>10749</v>
      </c>
      <c r="Q4824" t="s">
        <v>10765</v>
      </c>
      <c r="R4824" t="s">
        <v>10825</v>
      </c>
      <c r="T4824">
        <v>13800</v>
      </c>
      <c r="U4824">
        <v>1150</v>
      </c>
      <c r="V4824">
        <v>53</v>
      </c>
      <c r="W4824">
        <v>1</v>
      </c>
      <c r="X4824">
        <v>0</v>
      </c>
      <c r="Z4824">
        <v>110.49</v>
      </c>
      <c r="AA4824">
        <v>40.87543</v>
      </c>
      <c r="AB4824">
        <v>-73.91206200000001</v>
      </c>
      <c r="AD4824" t="s">
        <v>10840</v>
      </c>
      <c r="AG4824" t="s">
        <v>10858</v>
      </c>
      <c r="AH4824" t="s">
        <v>10862</v>
      </c>
      <c r="AI4824">
        <v>236</v>
      </c>
      <c r="AJ4824" t="s">
        <v>10209</v>
      </c>
      <c r="AL4824">
        <v>2.9</v>
      </c>
      <c r="AM4824" t="s">
        <v>10887</v>
      </c>
      <c r="AN4824" t="s">
        <v>10937</v>
      </c>
      <c r="AO4824" t="s">
        <v>11019</v>
      </c>
      <c r="AP4824" t="s">
        <v>11074</v>
      </c>
      <c r="AR4824" t="s">
        <v>11298</v>
      </c>
      <c r="AS4824" t="s">
        <v>9926</v>
      </c>
      <c r="BA4824" t="s">
        <v>11742</v>
      </c>
      <c r="BB4824">
        <v>0</v>
      </c>
      <c r="BC4824">
        <v>0</v>
      </c>
      <c r="BD4824">
        <v>0</v>
      </c>
      <c r="BE4824">
        <v>0</v>
      </c>
      <c r="BF4824">
        <v>7</v>
      </c>
      <c r="BG4824">
        <v>0</v>
      </c>
    </row>
    <row r="4825" spans="1:59">
      <c r="A4825" s="1">
        <f>HYPERLINK("https://lsnyc.legalserver.org/matter/dynamic-profile/view/1909030","19-1909030")</f>
        <v>0</v>
      </c>
      <c r="B4825" t="s">
        <v>3879</v>
      </c>
      <c r="C4825" t="s">
        <v>8696</v>
      </c>
      <c r="D4825" t="s">
        <v>9929</v>
      </c>
      <c r="E4825" t="s">
        <v>10075</v>
      </c>
      <c r="F4825">
        <v>10314</v>
      </c>
      <c r="G4825" t="s">
        <v>10091</v>
      </c>
      <c r="H4825" t="s">
        <v>10152</v>
      </c>
      <c r="I4825" t="s">
        <v>10168</v>
      </c>
      <c r="J4825" t="s">
        <v>10214</v>
      </c>
      <c r="K4825" t="s">
        <v>10217</v>
      </c>
      <c r="M4825" t="s">
        <v>10323</v>
      </c>
      <c r="N4825" t="s">
        <v>10671</v>
      </c>
      <c r="P4825" t="s">
        <v>10756</v>
      </c>
      <c r="Q4825" t="s">
        <v>10802</v>
      </c>
      <c r="R4825" t="s">
        <v>10825</v>
      </c>
      <c r="T4825">
        <v>10536</v>
      </c>
      <c r="U4825">
        <v>878</v>
      </c>
      <c r="V4825">
        <v>74</v>
      </c>
      <c r="W4825">
        <v>1</v>
      </c>
      <c r="X4825">
        <v>0</v>
      </c>
      <c r="Z4825">
        <v>84.36</v>
      </c>
      <c r="AA4825">
        <v>40.594635</v>
      </c>
      <c r="AB4825">
        <v>-74.131435</v>
      </c>
      <c r="AD4825" t="s">
        <v>10840</v>
      </c>
      <c r="AG4825" t="s">
        <v>10858</v>
      </c>
      <c r="AH4825" t="s">
        <v>10861</v>
      </c>
      <c r="AI4825">
        <v>234</v>
      </c>
      <c r="AJ4825" t="s">
        <v>10214</v>
      </c>
      <c r="AL4825">
        <v>0.7</v>
      </c>
      <c r="AM4825" t="s">
        <v>10883</v>
      </c>
      <c r="AN4825" t="s">
        <v>10928</v>
      </c>
      <c r="AO4825" t="s">
        <v>10999</v>
      </c>
      <c r="AP4825" t="s">
        <v>11063</v>
      </c>
      <c r="AR4825" t="s">
        <v>11556</v>
      </c>
      <c r="AS4825" t="s">
        <v>11593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</row>
    <row r="4826" spans="1:59">
      <c r="A4826" s="1">
        <f>HYPERLINK("https://lsnyc.legalserver.org/matter/dynamic-profile/view/1909031","19-1909031")</f>
        <v>0</v>
      </c>
      <c r="B4826" t="s">
        <v>3880</v>
      </c>
      <c r="C4826" t="s">
        <v>8697</v>
      </c>
      <c r="D4826" t="s">
        <v>9926</v>
      </c>
      <c r="E4826" t="s">
        <v>10075</v>
      </c>
      <c r="F4826">
        <v>10452</v>
      </c>
      <c r="G4826" t="s">
        <v>10090</v>
      </c>
      <c r="H4826" t="s">
        <v>10152</v>
      </c>
      <c r="I4826" t="s">
        <v>10169</v>
      </c>
      <c r="J4826" t="s">
        <v>10210</v>
      </c>
      <c r="K4826" t="s">
        <v>10217</v>
      </c>
      <c r="M4826" t="s">
        <v>10234</v>
      </c>
      <c r="N4826" t="s">
        <v>10650</v>
      </c>
      <c r="P4826" t="s">
        <v>10749</v>
      </c>
      <c r="Q4826" t="s">
        <v>10765</v>
      </c>
      <c r="R4826" t="s">
        <v>10821</v>
      </c>
      <c r="T4826">
        <v>11604</v>
      </c>
      <c r="U4826">
        <v>967</v>
      </c>
      <c r="V4826">
        <v>65</v>
      </c>
      <c r="W4826">
        <v>1</v>
      </c>
      <c r="X4826">
        <v>0</v>
      </c>
      <c r="Z4826">
        <v>92.91</v>
      </c>
      <c r="AA4826">
        <v>40.837376</v>
      </c>
      <c r="AB4826">
        <v>-73.924087</v>
      </c>
      <c r="AD4826" t="s">
        <v>10840</v>
      </c>
      <c r="AG4826" t="s">
        <v>10858</v>
      </c>
      <c r="AH4826" t="s">
        <v>10862</v>
      </c>
      <c r="AI4826">
        <v>230</v>
      </c>
      <c r="AJ4826" t="s">
        <v>10210</v>
      </c>
      <c r="AL4826">
        <v>1.25</v>
      </c>
      <c r="AM4826" t="s">
        <v>10884</v>
      </c>
      <c r="AN4826" t="s">
        <v>10929</v>
      </c>
      <c r="AO4826" t="s">
        <v>11013</v>
      </c>
      <c r="AP4826" t="s">
        <v>11055</v>
      </c>
      <c r="AQ4826" t="s">
        <v>11120</v>
      </c>
      <c r="AR4826" t="s">
        <v>11257</v>
      </c>
      <c r="AS4826" t="s">
        <v>9926</v>
      </c>
      <c r="BA4826" t="s">
        <v>11738</v>
      </c>
      <c r="BB4826">
        <v>0</v>
      </c>
      <c r="BC4826">
        <v>0</v>
      </c>
      <c r="BD4826">
        <v>0</v>
      </c>
      <c r="BE4826">
        <v>0</v>
      </c>
      <c r="BF4826">
        <v>5</v>
      </c>
      <c r="BG4826">
        <v>0</v>
      </c>
    </row>
    <row r="4827" spans="1:59">
      <c r="A4827" s="1">
        <f>HYPERLINK("https://lsnyc.legalserver.org/matter/dynamic-profile/view/1909032","19-1909032")</f>
        <v>0</v>
      </c>
      <c r="B4827" t="s">
        <v>1458</v>
      </c>
      <c r="C4827" t="s">
        <v>8698</v>
      </c>
      <c r="D4827" t="s">
        <v>9926</v>
      </c>
      <c r="E4827" t="s">
        <v>10075</v>
      </c>
      <c r="F4827">
        <v>10459</v>
      </c>
      <c r="G4827" t="s">
        <v>10090</v>
      </c>
      <c r="H4827" t="s">
        <v>10152</v>
      </c>
      <c r="I4827" t="s">
        <v>10168</v>
      </c>
      <c r="J4827" t="s">
        <v>10210</v>
      </c>
      <c r="K4827" t="s">
        <v>10217</v>
      </c>
      <c r="M4827" t="s">
        <v>10438</v>
      </c>
      <c r="N4827" t="s">
        <v>10665</v>
      </c>
      <c r="P4827" t="s">
        <v>10750</v>
      </c>
      <c r="Q4827" t="s">
        <v>10779</v>
      </c>
      <c r="R4827" t="s">
        <v>10821</v>
      </c>
      <c r="T4827">
        <v>23400</v>
      </c>
      <c r="U4827">
        <v>1950</v>
      </c>
      <c r="V4827">
        <v>26</v>
      </c>
      <c r="W4827">
        <v>1</v>
      </c>
      <c r="X4827">
        <v>0</v>
      </c>
      <c r="Z4827">
        <v>187.35</v>
      </c>
      <c r="AA4827">
        <v>40.822683</v>
      </c>
      <c r="AB4827">
        <v>-73.89896899999999</v>
      </c>
      <c r="AD4827" t="s">
        <v>10839</v>
      </c>
      <c r="AG4827" t="s">
        <v>10858</v>
      </c>
      <c r="AH4827" t="s">
        <v>10861</v>
      </c>
      <c r="AI4827">
        <v>234</v>
      </c>
      <c r="AJ4827" t="s">
        <v>10214</v>
      </c>
      <c r="AL4827">
        <v>2.2</v>
      </c>
      <c r="AM4827" t="s">
        <v>10884</v>
      </c>
      <c r="AN4827" t="s">
        <v>10918</v>
      </c>
      <c r="AO4827" t="s">
        <v>11001</v>
      </c>
      <c r="AP4827" t="s">
        <v>11062</v>
      </c>
      <c r="AR4827" t="s">
        <v>11275</v>
      </c>
      <c r="AS4827" t="s">
        <v>9926</v>
      </c>
      <c r="AT4827" t="s">
        <v>11641</v>
      </c>
      <c r="AX4827" t="s">
        <v>10838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</row>
    <row r="4828" spans="1:59">
      <c r="A4828" s="1">
        <f>HYPERLINK("https://lsnyc.legalserver.org/matter/dynamic-profile/view/1909033","19-1909033")</f>
        <v>0</v>
      </c>
      <c r="B4828" t="s">
        <v>145</v>
      </c>
      <c r="C4828" t="s">
        <v>8699</v>
      </c>
      <c r="D4828" t="s">
        <v>9925</v>
      </c>
      <c r="E4828" t="s">
        <v>10075</v>
      </c>
      <c r="F4828">
        <v>10024</v>
      </c>
      <c r="G4828" t="s">
        <v>10089</v>
      </c>
      <c r="H4828" t="s">
        <v>10152</v>
      </c>
      <c r="I4828" t="s">
        <v>10168</v>
      </c>
      <c r="J4828" t="s">
        <v>10209</v>
      </c>
      <c r="K4828" t="s">
        <v>10217</v>
      </c>
      <c r="M4828" t="s">
        <v>10388</v>
      </c>
      <c r="N4828" t="s">
        <v>10703</v>
      </c>
      <c r="P4828" t="s">
        <v>10749</v>
      </c>
      <c r="Q4828" t="s">
        <v>10765</v>
      </c>
      <c r="R4828" t="s">
        <v>10820</v>
      </c>
      <c r="T4828">
        <v>20000</v>
      </c>
      <c r="U4828">
        <v>1666.67</v>
      </c>
      <c r="V4828">
        <v>42</v>
      </c>
      <c r="W4828">
        <v>1</v>
      </c>
      <c r="X4828">
        <v>0</v>
      </c>
      <c r="Z4828">
        <v>160.13</v>
      </c>
      <c r="AA4828">
        <v>40.782934</v>
      </c>
      <c r="AB4828">
        <v>-73.977011</v>
      </c>
      <c r="AD4828" t="s">
        <v>10840</v>
      </c>
      <c r="AG4828" t="s">
        <v>10858</v>
      </c>
      <c r="AH4828" t="s">
        <v>10862</v>
      </c>
      <c r="AI4828">
        <v>236</v>
      </c>
      <c r="AJ4828" t="s">
        <v>10209</v>
      </c>
      <c r="AL4828">
        <v>0</v>
      </c>
      <c r="AM4828" t="s">
        <v>10894</v>
      </c>
      <c r="AN4828" t="s">
        <v>10964</v>
      </c>
      <c r="AO4828" t="s">
        <v>11013</v>
      </c>
      <c r="AP4828" t="s">
        <v>11089</v>
      </c>
      <c r="AR4828" t="s">
        <v>11276</v>
      </c>
      <c r="AS4828" t="s">
        <v>9925</v>
      </c>
      <c r="AT4828" t="s">
        <v>11642</v>
      </c>
      <c r="AX4828" t="s">
        <v>10838</v>
      </c>
      <c r="BA4828" t="s">
        <v>11742</v>
      </c>
      <c r="BB4828">
        <v>0</v>
      </c>
      <c r="BC4828">
        <v>0</v>
      </c>
      <c r="BD4828">
        <v>0</v>
      </c>
      <c r="BE4828">
        <v>0</v>
      </c>
      <c r="BF4828">
        <v>7</v>
      </c>
      <c r="BG4828">
        <v>0</v>
      </c>
    </row>
    <row r="4829" spans="1:59">
      <c r="A4829" s="1">
        <f>HYPERLINK("https://lsnyc.legalserver.org/matter/dynamic-profile/view/1909034","19-1909034")</f>
        <v>0</v>
      </c>
      <c r="B4829" t="s">
        <v>965</v>
      </c>
      <c r="C4829" t="s">
        <v>8645</v>
      </c>
      <c r="D4829" t="s">
        <v>9925</v>
      </c>
      <c r="E4829" t="s">
        <v>10075</v>
      </c>
      <c r="F4829">
        <v>10026</v>
      </c>
      <c r="G4829" t="s">
        <v>10089</v>
      </c>
      <c r="H4829" t="s">
        <v>10151</v>
      </c>
      <c r="I4829" t="s">
        <v>10168</v>
      </c>
      <c r="J4829" t="s">
        <v>10209</v>
      </c>
      <c r="K4829" t="s">
        <v>10217</v>
      </c>
      <c r="M4829" t="s">
        <v>10509</v>
      </c>
      <c r="N4829" t="s">
        <v>10722</v>
      </c>
      <c r="P4829" t="s">
        <v>10749</v>
      </c>
      <c r="Q4829" t="s">
        <v>10791</v>
      </c>
      <c r="R4829" t="s">
        <v>10824</v>
      </c>
      <c r="T4829">
        <v>17520</v>
      </c>
      <c r="U4829">
        <v>1460</v>
      </c>
      <c r="V4829">
        <v>59</v>
      </c>
      <c r="W4829">
        <v>1</v>
      </c>
      <c r="X4829">
        <v>0</v>
      </c>
      <c r="Z4829">
        <v>140.27</v>
      </c>
      <c r="AA4829">
        <v>40.801601</v>
      </c>
      <c r="AB4829">
        <v>-73.958918</v>
      </c>
      <c r="AD4829" t="s">
        <v>10839</v>
      </c>
      <c r="AG4829" t="s">
        <v>10858</v>
      </c>
      <c r="AH4829" t="s">
        <v>10862</v>
      </c>
      <c r="AI4829">
        <v>236</v>
      </c>
      <c r="AJ4829" t="s">
        <v>10209</v>
      </c>
      <c r="AL4829">
        <v>0</v>
      </c>
      <c r="AM4829" t="s">
        <v>10887</v>
      </c>
      <c r="AN4829" t="s">
        <v>10953</v>
      </c>
      <c r="AO4829" t="s">
        <v>11016</v>
      </c>
      <c r="AP4829" t="s">
        <v>11076</v>
      </c>
      <c r="AQ4829" t="s">
        <v>11133</v>
      </c>
      <c r="AR4829" t="s">
        <v>11557</v>
      </c>
      <c r="AS4829" t="s">
        <v>9925</v>
      </c>
      <c r="AT4829" t="s">
        <v>11641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</row>
    <row r="4830" spans="1:59">
      <c r="A4830" s="1">
        <f>HYPERLINK("https://lsnyc.legalserver.org/matter/dynamic-profile/view/1909035","19-1909035")</f>
        <v>0</v>
      </c>
      <c r="B4830" t="s">
        <v>3881</v>
      </c>
      <c r="C4830" t="s">
        <v>8700</v>
      </c>
      <c r="D4830" t="s">
        <v>9926</v>
      </c>
      <c r="E4830" t="s">
        <v>10075</v>
      </c>
      <c r="F4830">
        <v>10452</v>
      </c>
      <c r="G4830" t="s">
        <v>10090</v>
      </c>
      <c r="H4830" t="s">
        <v>10152</v>
      </c>
      <c r="I4830" t="s">
        <v>10168</v>
      </c>
      <c r="J4830" t="s">
        <v>10210</v>
      </c>
      <c r="K4830" t="s">
        <v>10217</v>
      </c>
      <c r="M4830" t="s">
        <v>10375</v>
      </c>
      <c r="N4830" t="s">
        <v>10671</v>
      </c>
      <c r="P4830" t="s">
        <v>10751</v>
      </c>
      <c r="Q4830" t="s">
        <v>10761</v>
      </c>
      <c r="R4830" t="s">
        <v>10824</v>
      </c>
      <c r="T4830">
        <v>13548</v>
      </c>
      <c r="U4830">
        <v>1129</v>
      </c>
      <c r="V4830">
        <v>41</v>
      </c>
      <c r="W4830">
        <v>1</v>
      </c>
      <c r="X4830">
        <v>0</v>
      </c>
      <c r="Z4830">
        <v>108.47</v>
      </c>
      <c r="AA4830">
        <v>40.837475</v>
      </c>
      <c r="AB4830">
        <v>-73.916725</v>
      </c>
      <c r="AD4830" t="s">
        <v>10839</v>
      </c>
      <c r="AG4830" t="s">
        <v>10858</v>
      </c>
      <c r="AH4830" t="s">
        <v>10861</v>
      </c>
      <c r="AI4830">
        <v>234</v>
      </c>
      <c r="AJ4830" t="s">
        <v>10214</v>
      </c>
      <c r="AL4830">
        <v>0.6</v>
      </c>
      <c r="AM4830" t="s">
        <v>10884</v>
      </c>
      <c r="AN4830" t="s">
        <v>10924</v>
      </c>
      <c r="AO4830" t="s">
        <v>11013</v>
      </c>
      <c r="AP4830" t="s">
        <v>11055</v>
      </c>
      <c r="AR4830" t="s">
        <v>11298</v>
      </c>
      <c r="AS4830" t="s">
        <v>9926</v>
      </c>
      <c r="AT4830" t="s">
        <v>11642</v>
      </c>
      <c r="AX4830" t="s">
        <v>10838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</row>
    <row r="4831" spans="1:59">
      <c r="A4831" s="1">
        <f>HYPERLINK("https://lsnyc.legalserver.org/matter/dynamic-profile/view/1909036","19-1909036")</f>
        <v>0</v>
      </c>
      <c r="B4831" t="s">
        <v>3882</v>
      </c>
      <c r="C4831" t="s">
        <v>8701</v>
      </c>
      <c r="D4831" t="s">
        <v>9926</v>
      </c>
      <c r="E4831" t="s">
        <v>10075</v>
      </c>
      <c r="F4831">
        <v>10473</v>
      </c>
      <c r="G4831" t="s">
        <v>10090</v>
      </c>
      <c r="H4831" t="s">
        <v>10152</v>
      </c>
      <c r="I4831" t="s">
        <v>10168</v>
      </c>
      <c r="J4831" t="s">
        <v>10210</v>
      </c>
      <c r="K4831" t="s">
        <v>10217</v>
      </c>
      <c r="M4831" t="s">
        <v>10262</v>
      </c>
      <c r="N4831" t="s">
        <v>10666</v>
      </c>
      <c r="P4831" t="s">
        <v>10749</v>
      </c>
      <c r="Q4831" t="s">
        <v>10765</v>
      </c>
      <c r="R4831" t="s">
        <v>10824</v>
      </c>
      <c r="T4831">
        <v>0</v>
      </c>
      <c r="U4831">
        <v>0</v>
      </c>
      <c r="V4831">
        <v>58</v>
      </c>
      <c r="W4831">
        <v>3</v>
      </c>
      <c r="X4831">
        <v>1</v>
      </c>
      <c r="Z4831">
        <v>0</v>
      </c>
      <c r="AA4831">
        <v>40.820833</v>
      </c>
      <c r="AB4831">
        <v>-73.858373</v>
      </c>
      <c r="AD4831" t="s">
        <v>10840</v>
      </c>
      <c r="AG4831" t="s">
        <v>10858</v>
      </c>
      <c r="AH4831" t="s">
        <v>10861</v>
      </c>
      <c r="AI4831">
        <v>230</v>
      </c>
      <c r="AJ4831" t="s">
        <v>10210</v>
      </c>
      <c r="AL4831">
        <v>0.2</v>
      </c>
      <c r="AM4831" t="s">
        <v>10884</v>
      </c>
      <c r="AN4831" t="s">
        <v>10908</v>
      </c>
      <c r="AO4831" t="s">
        <v>11001</v>
      </c>
      <c r="AP4831" t="s">
        <v>11046</v>
      </c>
      <c r="AR4831" t="s">
        <v>11267</v>
      </c>
      <c r="AS4831" t="s">
        <v>9926</v>
      </c>
      <c r="AT4831" t="s">
        <v>11642</v>
      </c>
      <c r="AX4831" t="s">
        <v>10838</v>
      </c>
      <c r="BA4831" t="s">
        <v>11741</v>
      </c>
      <c r="BB4831">
        <v>0</v>
      </c>
      <c r="BC4831">
        <v>0</v>
      </c>
      <c r="BD4831">
        <v>0</v>
      </c>
      <c r="BE4831">
        <v>0</v>
      </c>
      <c r="BF4831">
        <v>1</v>
      </c>
      <c r="BG4831">
        <v>0</v>
      </c>
    </row>
    <row r="4832" spans="1:59">
      <c r="A4832" s="1">
        <f>HYPERLINK("https://lsnyc.legalserver.org/matter/dynamic-profile/view/1909037","19-1909037")</f>
        <v>0</v>
      </c>
      <c r="B4832" t="s">
        <v>2071</v>
      </c>
      <c r="C4832" t="s">
        <v>6864</v>
      </c>
      <c r="D4832" t="s">
        <v>9929</v>
      </c>
      <c r="E4832" t="s">
        <v>10075</v>
      </c>
      <c r="F4832">
        <v>10312</v>
      </c>
      <c r="G4832" t="s">
        <v>10088</v>
      </c>
      <c r="H4832" t="s">
        <v>10163</v>
      </c>
      <c r="I4832" t="s">
        <v>10168</v>
      </c>
      <c r="J4832" t="s">
        <v>10208</v>
      </c>
      <c r="K4832" t="s">
        <v>10217</v>
      </c>
      <c r="M4832" t="s">
        <v>10251</v>
      </c>
      <c r="N4832" t="s">
        <v>10742</v>
      </c>
      <c r="P4832" t="s">
        <v>10749</v>
      </c>
      <c r="Q4832" t="s">
        <v>10759</v>
      </c>
      <c r="R4832" t="s">
        <v>10820</v>
      </c>
      <c r="T4832">
        <v>52344</v>
      </c>
      <c r="U4832">
        <v>4362</v>
      </c>
      <c r="V4832">
        <v>42</v>
      </c>
      <c r="W4832">
        <v>1</v>
      </c>
      <c r="X4832">
        <v>3</v>
      </c>
      <c r="Z4832">
        <v>203.28</v>
      </c>
      <c r="AA4832">
        <v>40.551999</v>
      </c>
      <c r="AB4832">
        <v>-74.199648</v>
      </c>
      <c r="AD4832" t="s">
        <v>10839</v>
      </c>
      <c r="AG4832" t="s">
        <v>10858</v>
      </c>
      <c r="AH4832" t="s">
        <v>10860</v>
      </c>
      <c r="AI4832">
        <v>285</v>
      </c>
      <c r="AJ4832" t="s">
        <v>10208</v>
      </c>
      <c r="AL4832">
        <v>3.8</v>
      </c>
      <c r="AM4832" t="s">
        <v>10883</v>
      </c>
      <c r="AN4832" t="s">
        <v>10928</v>
      </c>
      <c r="AO4832" t="s">
        <v>10999</v>
      </c>
      <c r="AP4832" t="s">
        <v>11044</v>
      </c>
      <c r="AR4832" t="s">
        <v>11335</v>
      </c>
      <c r="AS4832" t="s">
        <v>11593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</row>
    <row r="4833" spans="1:59">
      <c r="A4833" s="1">
        <f>HYPERLINK("https://lsnyc.legalserver.org/matter/dynamic-profile/view/1909038","19-1909038")</f>
        <v>0</v>
      </c>
      <c r="B4833" t="s">
        <v>3883</v>
      </c>
      <c r="C4833" t="s">
        <v>8702</v>
      </c>
      <c r="D4833" t="s">
        <v>10052</v>
      </c>
      <c r="E4833" t="s">
        <v>10076</v>
      </c>
      <c r="F4833">
        <v>8618</v>
      </c>
      <c r="G4833" t="s">
        <v>10093</v>
      </c>
      <c r="H4833" t="s">
        <v>10152</v>
      </c>
      <c r="I4833" t="s">
        <v>10168</v>
      </c>
      <c r="J4833" t="s">
        <v>10213</v>
      </c>
      <c r="K4833" t="s">
        <v>10218</v>
      </c>
      <c r="L4833" t="s">
        <v>10166</v>
      </c>
      <c r="M4833" t="s">
        <v>10436</v>
      </c>
      <c r="N4833" t="s">
        <v>10710</v>
      </c>
      <c r="P4833" t="s">
        <v>10750</v>
      </c>
      <c r="Q4833" t="s">
        <v>10760</v>
      </c>
      <c r="R4833" t="s">
        <v>10824</v>
      </c>
      <c r="T4833">
        <v>25152</v>
      </c>
      <c r="U4833">
        <v>2096</v>
      </c>
      <c r="V4833">
        <v>57</v>
      </c>
      <c r="W4833">
        <v>1</v>
      </c>
      <c r="X4833">
        <v>0</v>
      </c>
      <c r="Y4833" t="s">
        <v>10829</v>
      </c>
      <c r="Z4833">
        <v>201.38</v>
      </c>
      <c r="AA4833">
        <v>40.237684</v>
      </c>
      <c r="AB4833">
        <v>-74.783715</v>
      </c>
      <c r="AD4833" t="s">
        <v>10840</v>
      </c>
      <c r="AG4833" t="s">
        <v>10858</v>
      </c>
      <c r="AH4833" t="s">
        <v>10861</v>
      </c>
      <c r="AI4833">
        <v>234</v>
      </c>
      <c r="AJ4833" t="s">
        <v>10214</v>
      </c>
      <c r="AK4833" t="s">
        <v>10838</v>
      </c>
      <c r="AL4833">
        <v>1</v>
      </c>
      <c r="AR4833" t="s">
        <v>11270</v>
      </c>
      <c r="AS4833" t="s">
        <v>11634</v>
      </c>
      <c r="AT4833" t="s">
        <v>11642</v>
      </c>
      <c r="AX4833" t="s">
        <v>10838</v>
      </c>
      <c r="AY4833" t="s">
        <v>10829</v>
      </c>
      <c r="AZ4833" t="s">
        <v>11679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</row>
    <row r="4834" spans="1:59">
      <c r="A4834" s="1">
        <f>HYPERLINK("https://lsnyc.legalserver.org/matter/dynamic-profile/view/1909039","19-1909039")</f>
        <v>0</v>
      </c>
      <c r="B4834" t="s">
        <v>3884</v>
      </c>
      <c r="C4834" t="s">
        <v>8703</v>
      </c>
      <c r="D4834" t="s">
        <v>9928</v>
      </c>
      <c r="E4834" t="s">
        <v>10075</v>
      </c>
      <c r="F4834">
        <v>11234</v>
      </c>
      <c r="G4834" t="s">
        <v>10093</v>
      </c>
      <c r="H4834" t="s">
        <v>10152</v>
      </c>
      <c r="I4834" t="s">
        <v>10168</v>
      </c>
      <c r="J4834" t="s">
        <v>10213</v>
      </c>
      <c r="K4834" t="s">
        <v>10217</v>
      </c>
      <c r="M4834" t="s">
        <v>10390</v>
      </c>
      <c r="N4834" t="s">
        <v>10682</v>
      </c>
      <c r="P4834" t="s">
        <v>10749</v>
      </c>
      <c r="Q4834" t="s">
        <v>10791</v>
      </c>
      <c r="R4834" t="s">
        <v>10820</v>
      </c>
      <c r="T4834">
        <v>5400</v>
      </c>
      <c r="U4834">
        <v>450</v>
      </c>
      <c r="V4834">
        <v>57</v>
      </c>
      <c r="W4834">
        <v>1</v>
      </c>
      <c r="X4834">
        <v>0</v>
      </c>
      <c r="Z4834">
        <v>43.23</v>
      </c>
      <c r="AA4834">
        <v>40.621239</v>
      </c>
      <c r="AB4834">
        <v>-73.916704</v>
      </c>
      <c r="AD4834" t="s">
        <v>10839</v>
      </c>
      <c r="AG4834" t="s">
        <v>10858</v>
      </c>
      <c r="AH4834" t="s">
        <v>10869</v>
      </c>
      <c r="AI4834">
        <v>239</v>
      </c>
      <c r="AJ4834" t="s">
        <v>10213</v>
      </c>
      <c r="AL4834">
        <v>1.25</v>
      </c>
      <c r="AM4834" t="s">
        <v>10889</v>
      </c>
      <c r="AN4834" t="s">
        <v>10959</v>
      </c>
      <c r="AO4834" t="s">
        <v>11012</v>
      </c>
      <c r="AP4834" t="s">
        <v>11072</v>
      </c>
      <c r="AQ4834" t="s">
        <v>11133</v>
      </c>
      <c r="AR4834" t="s">
        <v>11268</v>
      </c>
      <c r="AS4834" t="s">
        <v>11595</v>
      </c>
      <c r="BA4834" t="s">
        <v>11741</v>
      </c>
      <c r="BB4834">
        <v>0</v>
      </c>
      <c r="BC4834">
        <v>0</v>
      </c>
      <c r="BD4834">
        <v>0</v>
      </c>
      <c r="BE4834">
        <v>0</v>
      </c>
      <c r="BF4834">
        <v>1</v>
      </c>
      <c r="BG4834">
        <v>0</v>
      </c>
    </row>
    <row r="4835" spans="1:59">
      <c r="A4835" s="1">
        <f>HYPERLINK("https://lsnyc.legalserver.org/matter/dynamic-profile/view/1909040","19-1909040")</f>
        <v>0</v>
      </c>
      <c r="B4835" t="s">
        <v>3885</v>
      </c>
      <c r="C4835" t="s">
        <v>5900</v>
      </c>
      <c r="D4835" t="s">
        <v>9925</v>
      </c>
      <c r="E4835" t="s">
        <v>10075</v>
      </c>
      <c r="F4835">
        <v>10033</v>
      </c>
      <c r="G4835" t="s">
        <v>10089</v>
      </c>
      <c r="H4835" t="s">
        <v>10152</v>
      </c>
      <c r="I4835" t="s">
        <v>10169</v>
      </c>
      <c r="J4835" t="s">
        <v>10209</v>
      </c>
      <c r="K4835" t="s">
        <v>10217</v>
      </c>
      <c r="M4835" t="s">
        <v>10483</v>
      </c>
      <c r="N4835" t="s">
        <v>10650</v>
      </c>
      <c r="P4835" t="s">
        <v>10749</v>
      </c>
      <c r="Q4835" t="s">
        <v>10765</v>
      </c>
      <c r="R4835" t="s">
        <v>10823</v>
      </c>
      <c r="T4835">
        <v>8000</v>
      </c>
      <c r="U4835">
        <v>666.67</v>
      </c>
      <c r="V4835">
        <v>71</v>
      </c>
      <c r="W4835">
        <v>1</v>
      </c>
      <c r="X4835">
        <v>0</v>
      </c>
      <c r="Z4835">
        <v>64.05</v>
      </c>
      <c r="AA4835">
        <v>40.850001</v>
      </c>
      <c r="AB4835">
        <v>-73.937383</v>
      </c>
      <c r="AD4835" t="s">
        <v>10839</v>
      </c>
      <c r="AG4835" t="s">
        <v>10858</v>
      </c>
      <c r="AH4835" t="s">
        <v>10862</v>
      </c>
      <c r="AI4835">
        <v>236</v>
      </c>
      <c r="AJ4835" t="s">
        <v>10209</v>
      </c>
      <c r="AL4835">
        <v>0.3</v>
      </c>
      <c r="AM4835" t="s">
        <v>10887</v>
      </c>
      <c r="AN4835" t="s">
        <v>10943</v>
      </c>
      <c r="AO4835" t="s">
        <v>11019</v>
      </c>
      <c r="AP4835" t="s">
        <v>11074</v>
      </c>
      <c r="AR4835" t="s">
        <v>11257</v>
      </c>
      <c r="AS4835" t="s">
        <v>9925</v>
      </c>
      <c r="AT4835" t="s">
        <v>11641</v>
      </c>
      <c r="AX4835" t="s">
        <v>10838</v>
      </c>
      <c r="BA4835" t="s">
        <v>11738</v>
      </c>
      <c r="BB4835">
        <v>0</v>
      </c>
      <c r="BC4835">
        <v>0</v>
      </c>
      <c r="BD4835">
        <v>0</v>
      </c>
      <c r="BE4835">
        <v>0</v>
      </c>
      <c r="BF4835">
        <v>5</v>
      </c>
      <c r="BG4835">
        <v>0</v>
      </c>
    </row>
    <row r="4836" spans="1:59">
      <c r="A4836" s="1">
        <f>HYPERLINK("https://lsnyc.legalserver.org/matter/dynamic-profile/view/1909041","19-1909041")</f>
        <v>0</v>
      </c>
      <c r="B4836" t="s">
        <v>3886</v>
      </c>
      <c r="C4836" t="s">
        <v>8704</v>
      </c>
      <c r="D4836" t="s">
        <v>9925</v>
      </c>
      <c r="E4836" t="s">
        <v>10075</v>
      </c>
      <c r="F4836">
        <v>10002</v>
      </c>
      <c r="G4836" t="s">
        <v>10089</v>
      </c>
      <c r="H4836" t="s">
        <v>10152</v>
      </c>
      <c r="I4836" t="s">
        <v>10168</v>
      </c>
      <c r="J4836" t="s">
        <v>10209</v>
      </c>
      <c r="K4836" t="s">
        <v>10217</v>
      </c>
      <c r="M4836" t="s">
        <v>10379</v>
      </c>
      <c r="N4836" t="s">
        <v>10703</v>
      </c>
      <c r="P4836" t="s">
        <v>10749</v>
      </c>
      <c r="Q4836" t="s">
        <v>10765</v>
      </c>
      <c r="R4836" t="s">
        <v>10821</v>
      </c>
      <c r="T4836">
        <v>21972</v>
      </c>
      <c r="U4836">
        <v>1831</v>
      </c>
      <c r="V4836">
        <v>73</v>
      </c>
      <c r="W4836">
        <v>1</v>
      </c>
      <c r="X4836">
        <v>0</v>
      </c>
      <c r="Z4836">
        <v>175.92</v>
      </c>
      <c r="AA4836">
        <v>40.719893</v>
      </c>
      <c r="AB4836">
        <v>-73.98908900000001</v>
      </c>
      <c r="AD4836" t="s">
        <v>10840</v>
      </c>
      <c r="AG4836" t="s">
        <v>10858</v>
      </c>
      <c r="AH4836" t="s">
        <v>10862</v>
      </c>
      <c r="AI4836">
        <v>236</v>
      </c>
      <c r="AJ4836" t="s">
        <v>10209</v>
      </c>
      <c r="AL4836">
        <v>2</v>
      </c>
      <c r="AM4836" t="s">
        <v>10891</v>
      </c>
      <c r="AN4836" t="s">
        <v>10963</v>
      </c>
      <c r="AO4836" t="s">
        <v>11004</v>
      </c>
      <c r="AP4836" t="s">
        <v>11093</v>
      </c>
      <c r="AR4836" t="s">
        <v>11300</v>
      </c>
      <c r="AS4836" t="s">
        <v>9925</v>
      </c>
      <c r="BA4836" t="s">
        <v>11738</v>
      </c>
      <c r="BB4836">
        <v>0</v>
      </c>
      <c r="BC4836">
        <v>0</v>
      </c>
      <c r="BD4836">
        <v>0</v>
      </c>
      <c r="BE4836">
        <v>0</v>
      </c>
      <c r="BF4836">
        <v>5</v>
      </c>
      <c r="BG4836">
        <v>0</v>
      </c>
    </row>
    <row r="4837" spans="1:59">
      <c r="A4837" s="1">
        <f>HYPERLINK("https://lsnyc.legalserver.org/matter/dynamic-profile/view/1909042","19-1909042")</f>
        <v>0</v>
      </c>
      <c r="B4837" t="s">
        <v>3887</v>
      </c>
      <c r="C4837" t="s">
        <v>8705</v>
      </c>
      <c r="D4837" t="s">
        <v>9925</v>
      </c>
      <c r="E4837" t="s">
        <v>10075</v>
      </c>
      <c r="F4837">
        <v>10029</v>
      </c>
      <c r="G4837" t="s">
        <v>10089</v>
      </c>
      <c r="H4837" t="s">
        <v>10152</v>
      </c>
      <c r="I4837" t="s">
        <v>10168</v>
      </c>
      <c r="J4837" t="s">
        <v>10209</v>
      </c>
      <c r="K4837" t="s">
        <v>10217</v>
      </c>
      <c r="M4837" t="s">
        <v>10379</v>
      </c>
      <c r="N4837" t="s">
        <v>10703</v>
      </c>
      <c r="P4837" t="s">
        <v>10749</v>
      </c>
      <c r="Q4837" t="s">
        <v>10767</v>
      </c>
      <c r="R4837" t="s">
        <v>10823</v>
      </c>
      <c r="T4837">
        <v>31352</v>
      </c>
      <c r="U4837">
        <v>2612.67</v>
      </c>
      <c r="V4837">
        <v>49</v>
      </c>
      <c r="W4837">
        <v>2</v>
      </c>
      <c r="X4837">
        <v>0</v>
      </c>
      <c r="Z4837">
        <v>185.41</v>
      </c>
      <c r="AA4837">
        <v>40.793033</v>
      </c>
      <c r="AB4837">
        <v>-73.94864</v>
      </c>
      <c r="AD4837" t="s">
        <v>10839</v>
      </c>
      <c r="AG4837" t="s">
        <v>10858</v>
      </c>
      <c r="AH4837" t="s">
        <v>10862</v>
      </c>
      <c r="AI4837">
        <v>236</v>
      </c>
      <c r="AJ4837" t="s">
        <v>10209</v>
      </c>
      <c r="AL4837">
        <v>0</v>
      </c>
      <c r="AM4837" t="s">
        <v>10887</v>
      </c>
      <c r="AN4837" t="s">
        <v>10926</v>
      </c>
      <c r="AO4837" t="s">
        <v>11016</v>
      </c>
      <c r="AP4837" t="s">
        <v>11066</v>
      </c>
      <c r="AR4837" t="s">
        <v>11295</v>
      </c>
      <c r="AS4837" t="s">
        <v>9925</v>
      </c>
      <c r="AT4837" t="s">
        <v>11641</v>
      </c>
      <c r="AX4837" t="s">
        <v>10838</v>
      </c>
      <c r="BA4837" t="s">
        <v>11742</v>
      </c>
      <c r="BB4837">
        <v>0</v>
      </c>
      <c r="BC4837">
        <v>0</v>
      </c>
      <c r="BD4837">
        <v>0</v>
      </c>
      <c r="BE4837">
        <v>0</v>
      </c>
      <c r="BF4837">
        <v>7</v>
      </c>
      <c r="BG4837">
        <v>0</v>
      </c>
    </row>
    <row r="4838" spans="1:59">
      <c r="A4838" s="1">
        <f>HYPERLINK("https://lsnyc.legalserver.org/matter/dynamic-profile/view/1909043","19-1909043")</f>
        <v>0</v>
      </c>
      <c r="B4838" t="s">
        <v>178</v>
      </c>
      <c r="C4838" t="s">
        <v>5116</v>
      </c>
      <c r="D4838" t="s">
        <v>9925</v>
      </c>
      <c r="E4838" t="s">
        <v>10075</v>
      </c>
      <c r="F4838">
        <v>10027</v>
      </c>
      <c r="G4838" t="s">
        <v>10089</v>
      </c>
      <c r="H4838" t="s">
        <v>10152</v>
      </c>
      <c r="I4838" t="s">
        <v>10168</v>
      </c>
      <c r="J4838" t="s">
        <v>10209</v>
      </c>
      <c r="K4838" t="s">
        <v>10217</v>
      </c>
      <c r="M4838" t="s">
        <v>10305</v>
      </c>
      <c r="N4838" t="s">
        <v>10650</v>
      </c>
      <c r="P4838" t="s">
        <v>10752</v>
      </c>
      <c r="Q4838" t="s">
        <v>10783</v>
      </c>
      <c r="R4838" t="s">
        <v>10824</v>
      </c>
      <c r="T4838">
        <v>62000</v>
      </c>
      <c r="U4838">
        <v>5166.67</v>
      </c>
      <c r="V4838">
        <v>56</v>
      </c>
      <c r="W4838">
        <v>7</v>
      </c>
      <c r="X4838">
        <v>1</v>
      </c>
      <c r="Z4838">
        <v>142.76</v>
      </c>
      <c r="AA4838">
        <v>40.808676</v>
      </c>
      <c r="AB4838">
        <v>-73.955083</v>
      </c>
      <c r="AD4838" t="s">
        <v>10839</v>
      </c>
      <c r="AG4838" t="s">
        <v>10858</v>
      </c>
      <c r="AH4838" t="s">
        <v>10863</v>
      </c>
      <c r="AI4838">
        <v>236</v>
      </c>
      <c r="AJ4838" t="s">
        <v>10209</v>
      </c>
      <c r="AL4838">
        <v>1.5</v>
      </c>
      <c r="AM4838" t="s">
        <v>10887</v>
      </c>
      <c r="AN4838" t="s">
        <v>10936</v>
      </c>
      <c r="AO4838" t="s">
        <v>11016</v>
      </c>
      <c r="AP4838" t="s">
        <v>11076</v>
      </c>
      <c r="AQ4838" t="s">
        <v>11245</v>
      </c>
      <c r="AR4838" t="s">
        <v>11270</v>
      </c>
      <c r="AS4838" t="s">
        <v>9925</v>
      </c>
      <c r="AT4838" t="s">
        <v>11641</v>
      </c>
      <c r="AV4838" t="s">
        <v>11641</v>
      </c>
      <c r="AW4838" t="s">
        <v>11667</v>
      </c>
      <c r="AX4838" t="s">
        <v>11678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</row>
    <row r="4839" spans="1:59">
      <c r="A4839" s="1">
        <f>HYPERLINK("https://lsnyc.legalserver.org/matter/dynamic-profile/view/1909044","19-1909044")</f>
        <v>0</v>
      </c>
      <c r="B4839" t="s">
        <v>3888</v>
      </c>
      <c r="C4839" t="s">
        <v>8706</v>
      </c>
      <c r="D4839" t="s">
        <v>9928</v>
      </c>
      <c r="E4839" t="s">
        <v>10075</v>
      </c>
      <c r="F4839">
        <v>11221</v>
      </c>
      <c r="G4839" t="s">
        <v>10093</v>
      </c>
      <c r="H4839" t="s">
        <v>10152</v>
      </c>
      <c r="I4839" t="s">
        <v>10168</v>
      </c>
      <c r="J4839" t="s">
        <v>10213</v>
      </c>
      <c r="K4839" t="s">
        <v>10217</v>
      </c>
      <c r="M4839" t="s">
        <v>10494</v>
      </c>
      <c r="N4839" t="s">
        <v>10667</v>
      </c>
      <c r="P4839" t="s">
        <v>10749</v>
      </c>
      <c r="Q4839" t="s">
        <v>10765</v>
      </c>
      <c r="R4839" t="s">
        <v>10824</v>
      </c>
      <c r="T4839">
        <v>2366</v>
      </c>
      <c r="U4839">
        <v>197.17</v>
      </c>
      <c r="V4839">
        <v>54</v>
      </c>
      <c r="W4839">
        <v>1</v>
      </c>
      <c r="X4839">
        <v>0</v>
      </c>
      <c r="Z4839">
        <v>18.94</v>
      </c>
      <c r="AA4839">
        <v>40.687476</v>
      </c>
      <c r="AB4839">
        <v>-73.938309</v>
      </c>
      <c r="AD4839" t="s">
        <v>10840</v>
      </c>
      <c r="AG4839" t="s">
        <v>10858</v>
      </c>
      <c r="AH4839" t="s">
        <v>10862</v>
      </c>
      <c r="AI4839">
        <v>239</v>
      </c>
      <c r="AJ4839" t="s">
        <v>10213</v>
      </c>
      <c r="AL4839">
        <v>2.5</v>
      </c>
      <c r="AM4839" t="s">
        <v>10889</v>
      </c>
      <c r="AN4839" t="s">
        <v>10914</v>
      </c>
      <c r="AO4839" t="s">
        <v>11007</v>
      </c>
      <c r="AP4839" t="s">
        <v>11052</v>
      </c>
      <c r="AQ4839" t="s">
        <v>11101</v>
      </c>
      <c r="AR4839" t="s">
        <v>11255</v>
      </c>
      <c r="AS4839" t="s">
        <v>11595</v>
      </c>
      <c r="BA4839" t="s">
        <v>11738</v>
      </c>
      <c r="BB4839">
        <v>0</v>
      </c>
      <c r="BC4839">
        <v>0</v>
      </c>
      <c r="BD4839">
        <v>0</v>
      </c>
      <c r="BE4839">
        <v>0</v>
      </c>
      <c r="BF4839">
        <v>5</v>
      </c>
      <c r="BG4839">
        <v>0</v>
      </c>
    </row>
    <row r="4840" spans="1:59">
      <c r="A4840" s="1">
        <f>HYPERLINK("https://lsnyc.legalserver.org/matter/dynamic-profile/view/1909045","19-1909045")</f>
        <v>0</v>
      </c>
      <c r="B4840" t="s">
        <v>592</v>
      </c>
      <c r="C4840" t="s">
        <v>8707</v>
      </c>
      <c r="D4840" t="s">
        <v>9928</v>
      </c>
      <c r="E4840" t="s">
        <v>10075</v>
      </c>
      <c r="F4840">
        <v>11214</v>
      </c>
      <c r="G4840" t="s">
        <v>10093</v>
      </c>
      <c r="H4840" t="s">
        <v>10152</v>
      </c>
      <c r="I4840" t="s">
        <v>10171</v>
      </c>
      <c r="J4840" t="s">
        <v>10213</v>
      </c>
      <c r="K4840" t="s">
        <v>10217</v>
      </c>
      <c r="M4840" t="s">
        <v>10245</v>
      </c>
      <c r="N4840" t="s">
        <v>10657</v>
      </c>
      <c r="P4840" t="s">
        <v>10749</v>
      </c>
      <c r="Q4840" t="s">
        <v>10765</v>
      </c>
      <c r="R4840" t="s">
        <v>10820</v>
      </c>
      <c r="T4840">
        <v>12000</v>
      </c>
      <c r="U4840">
        <v>1000</v>
      </c>
      <c r="V4840">
        <v>48</v>
      </c>
      <c r="W4840">
        <v>2</v>
      </c>
      <c r="X4840">
        <v>0</v>
      </c>
      <c r="Z4840">
        <v>70.95999999999999</v>
      </c>
      <c r="AA4840">
        <v>40.600654</v>
      </c>
      <c r="AB4840">
        <v>-74.002791</v>
      </c>
      <c r="AD4840" t="s">
        <v>10839</v>
      </c>
      <c r="AG4840" t="s">
        <v>10858</v>
      </c>
      <c r="AH4840" t="s">
        <v>10862</v>
      </c>
      <c r="AI4840">
        <v>239</v>
      </c>
      <c r="AJ4840" t="s">
        <v>10213</v>
      </c>
      <c r="AL4840">
        <v>1.25</v>
      </c>
      <c r="AM4840" t="s">
        <v>10883</v>
      </c>
      <c r="AN4840" t="s">
        <v>10969</v>
      </c>
      <c r="AO4840" t="s">
        <v>11006</v>
      </c>
      <c r="AP4840" t="s">
        <v>11086</v>
      </c>
      <c r="AR4840" t="s">
        <v>11257</v>
      </c>
      <c r="AS4840" t="s">
        <v>11595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</row>
    <row r="4841" spans="1:59">
      <c r="A4841" s="1">
        <f>HYPERLINK("https://lsnyc.legalserver.org/matter/dynamic-profile/view/1909046","19-1909046")</f>
        <v>0</v>
      </c>
      <c r="B4841" t="s">
        <v>3869</v>
      </c>
      <c r="C4841" t="s">
        <v>8688</v>
      </c>
      <c r="D4841" t="s">
        <v>9926</v>
      </c>
      <c r="E4841" t="s">
        <v>10075</v>
      </c>
      <c r="F4841">
        <v>10468</v>
      </c>
      <c r="G4841" t="s">
        <v>10090</v>
      </c>
      <c r="H4841" t="s">
        <v>10152</v>
      </c>
      <c r="I4841" t="s">
        <v>10169</v>
      </c>
      <c r="J4841" t="s">
        <v>10210</v>
      </c>
      <c r="K4841" t="s">
        <v>10217</v>
      </c>
      <c r="M4841" t="s">
        <v>10303</v>
      </c>
      <c r="N4841" t="s">
        <v>10671</v>
      </c>
      <c r="P4841" t="s">
        <v>10751</v>
      </c>
      <c r="Q4841" t="s">
        <v>10761</v>
      </c>
      <c r="R4841" t="s">
        <v>10821</v>
      </c>
      <c r="T4841">
        <v>24540</v>
      </c>
      <c r="U4841">
        <v>2045</v>
      </c>
      <c r="V4841">
        <v>57</v>
      </c>
      <c r="W4841">
        <v>4</v>
      </c>
      <c r="X4841">
        <v>1</v>
      </c>
      <c r="Z4841">
        <v>81.34</v>
      </c>
      <c r="AA4841">
        <v>40.863086</v>
      </c>
      <c r="AB4841">
        <v>-73.904529</v>
      </c>
      <c r="AD4841" t="s">
        <v>10839</v>
      </c>
      <c r="AG4841" t="s">
        <v>10858</v>
      </c>
      <c r="AH4841" t="s">
        <v>10861</v>
      </c>
      <c r="AI4841">
        <v>230</v>
      </c>
      <c r="AJ4841" t="s">
        <v>10210</v>
      </c>
      <c r="AL4841">
        <v>0</v>
      </c>
      <c r="AM4841" t="s">
        <v>10887</v>
      </c>
      <c r="AN4841" t="s">
        <v>10907</v>
      </c>
      <c r="AO4841" t="s">
        <v>11000</v>
      </c>
      <c r="AP4841" t="s">
        <v>11045</v>
      </c>
      <c r="AR4841" t="s">
        <v>11257</v>
      </c>
      <c r="AS4841" t="s">
        <v>9926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</row>
    <row r="4842" spans="1:59">
      <c r="A4842" s="1">
        <f>HYPERLINK("https://lsnyc.legalserver.org/matter/dynamic-profile/view/1909047","19-1909047")</f>
        <v>0</v>
      </c>
      <c r="B4842" t="s">
        <v>3889</v>
      </c>
      <c r="C4842" t="s">
        <v>8708</v>
      </c>
      <c r="D4842" t="s">
        <v>9929</v>
      </c>
      <c r="E4842" t="s">
        <v>10075</v>
      </c>
      <c r="F4842">
        <v>10314</v>
      </c>
      <c r="G4842" t="s">
        <v>10093</v>
      </c>
      <c r="H4842" t="s">
        <v>10152</v>
      </c>
      <c r="I4842" t="s">
        <v>10168</v>
      </c>
      <c r="J4842" t="s">
        <v>10213</v>
      </c>
      <c r="K4842" t="s">
        <v>10218</v>
      </c>
      <c r="L4842" t="s">
        <v>10162</v>
      </c>
      <c r="M4842" t="s">
        <v>10436</v>
      </c>
      <c r="N4842" t="s">
        <v>10710</v>
      </c>
      <c r="P4842" t="s">
        <v>10750</v>
      </c>
      <c r="Q4842" t="s">
        <v>10760</v>
      </c>
      <c r="R4842" t="s">
        <v>10824</v>
      </c>
      <c r="T4842">
        <v>103200</v>
      </c>
      <c r="U4842">
        <v>8600</v>
      </c>
      <c r="V4842">
        <v>55</v>
      </c>
      <c r="W4842">
        <v>2</v>
      </c>
      <c r="X4842">
        <v>0</v>
      </c>
      <c r="Y4842" t="s">
        <v>10829</v>
      </c>
      <c r="Z4842">
        <v>610.29</v>
      </c>
      <c r="AA4842">
        <v>40.593096</v>
      </c>
      <c r="AB4842">
        <v>-74.16010900000001</v>
      </c>
      <c r="AD4842" t="s">
        <v>10840</v>
      </c>
      <c r="AG4842" t="s">
        <v>10858</v>
      </c>
      <c r="AH4842" t="s">
        <v>10861</v>
      </c>
      <c r="AI4842">
        <v>234</v>
      </c>
      <c r="AJ4842" t="s">
        <v>10214</v>
      </c>
      <c r="AK4842" t="s">
        <v>10838</v>
      </c>
      <c r="AL4842">
        <v>1.5</v>
      </c>
      <c r="AM4842" t="s">
        <v>10883</v>
      </c>
      <c r="AN4842" t="s">
        <v>10928</v>
      </c>
      <c r="AO4842" t="s">
        <v>10999</v>
      </c>
      <c r="AP4842" t="s">
        <v>11044</v>
      </c>
      <c r="AR4842" t="s">
        <v>11257</v>
      </c>
      <c r="AS4842" t="s">
        <v>11593</v>
      </c>
      <c r="AT4842" t="s">
        <v>11642</v>
      </c>
      <c r="AX4842" t="s">
        <v>10838</v>
      </c>
      <c r="AY4842" t="s">
        <v>10829</v>
      </c>
      <c r="AZ4842" t="s">
        <v>11679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</row>
    <row r="4843" spans="1:59">
      <c r="A4843" s="1">
        <f>HYPERLINK("https://lsnyc.legalserver.org/matter/dynamic-profile/view/1909048","19-1909048")</f>
        <v>0</v>
      </c>
      <c r="B4843" t="s">
        <v>3890</v>
      </c>
      <c r="C4843" t="s">
        <v>8709</v>
      </c>
      <c r="D4843" t="s">
        <v>9965</v>
      </c>
      <c r="E4843" t="s">
        <v>10075</v>
      </c>
      <c r="F4843">
        <v>11101</v>
      </c>
      <c r="G4843" t="s">
        <v>10092</v>
      </c>
      <c r="H4843" t="s">
        <v>10152</v>
      </c>
      <c r="I4843" t="s">
        <v>10168</v>
      </c>
      <c r="J4843" t="s">
        <v>10212</v>
      </c>
      <c r="K4843" t="s">
        <v>10217</v>
      </c>
      <c r="M4843" t="s">
        <v>10340</v>
      </c>
      <c r="N4843" t="s">
        <v>10671</v>
      </c>
      <c r="P4843" t="s">
        <v>10751</v>
      </c>
      <c r="Q4843" t="s">
        <v>10768</v>
      </c>
      <c r="R4843" t="s">
        <v>10825</v>
      </c>
      <c r="T4843">
        <v>2574</v>
      </c>
      <c r="U4843">
        <v>214.5</v>
      </c>
      <c r="V4843">
        <v>47</v>
      </c>
      <c r="W4843">
        <v>1</v>
      </c>
      <c r="X4843">
        <v>0</v>
      </c>
      <c r="Z4843">
        <v>20.61</v>
      </c>
      <c r="AA4843">
        <v>40.752087</v>
      </c>
      <c r="AB4843">
        <v>-73.93548199999999</v>
      </c>
      <c r="AD4843" t="s">
        <v>10839</v>
      </c>
      <c r="AG4843" t="s">
        <v>10858</v>
      </c>
      <c r="AH4843" t="s">
        <v>10861</v>
      </c>
      <c r="AI4843">
        <v>234</v>
      </c>
      <c r="AJ4843" t="s">
        <v>10214</v>
      </c>
      <c r="AL4843">
        <v>2.7</v>
      </c>
      <c r="AR4843" t="s">
        <v>11255</v>
      </c>
      <c r="AS4843" t="s">
        <v>11594</v>
      </c>
      <c r="AT4843" t="s">
        <v>11641</v>
      </c>
      <c r="AX4843" t="s">
        <v>10838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</row>
    <row r="4844" spans="1:59">
      <c r="A4844" s="1">
        <f>HYPERLINK("https://lsnyc.legalserver.org/matter/dynamic-profile/view/1909049","19-1909049")</f>
        <v>0</v>
      </c>
      <c r="B4844" t="s">
        <v>3891</v>
      </c>
      <c r="C4844" t="s">
        <v>5900</v>
      </c>
      <c r="D4844" t="s">
        <v>9925</v>
      </c>
      <c r="E4844" t="s">
        <v>10075</v>
      </c>
      <c r="F4844">
        <v>10033</v>
      </c>
      <c r="G4844" t="s">
        <v>10089</v>
      </c>
      <c r="H4844" t="s">
        <v>10152</v>
      </c>
      <c r="I4844" t="s">
        <v>10169</v>
      </c>
      <c r="J4844" t="s">
        <v>10209</v>
      </c>
      <c r="K4844" t="s">
        <v>10217</v>
      </c>
      <c r="M4844" t="s">
        <v>10483</v>
      </c>
      <c r="N4844" t="s">
        <v>10650</v>
      </c>
      <c r="P4844" t="s">
        <v>10749</v>
      </c>
      <c r="Q4844" t="s">
        <v>10765</v>
      </c>
      <c r="R4844" t="s">
        <v>10821</v>
      </c>
      <c r="T4844">
        <v>16248</v>
      </c>
      <c r="U4844">
        <v>1354</v>
      </c>
      <c r="V4844">
        <v>73</v>
      </c>
      <c r="W4844">
        <v>4</v>
      </c>
      <c r="X4844">
        <v>1</v>
      </c>
      <c r="Z4844">
        <v>53.85</v>
      </c>
      <c r="AA4844">
        <v>40.850001</v>
      </c>
      <c r="AB4844">
        <v>-73.937383</v>
      </c>
      <c r="AD4844" t="s">
        <v>10839</v>
      </c>
      <c r="AG4844" t="s">
        <v>10858</v>
      </c>
      <c r="AH4844" t="s">
        <v>10862</v>
      </c>
      <c r="AI4844">
        <v>236</v>
      </c>
      <c r="AJ4844" t="s">
        <v>10209</v>
      </c>
      <c r="AL4844">
        <v>0</v>
      </c>
      <c r="AM4844" t="s">
        <v>10887</v>
      </c>
      <c r="AN4844" t="s">
        <v>10943</v>
      </c>
      <c r="AO4844" t="s">
        <v>11019</v>
      </c>
      <c r="AP4844" t="s">
        <v>11074</v>
      </c>
      <c r="AR4844" t="s">
        <v>11288</v>
      </c>
      <c r="AS4844" t="s">
        <v>9925</v>
      </c>
      <c r="AT4844" t="s">
        <v>11641</v>
      </c>
      <c r="AX4844" t="s">
        <v>10838</v>
      </c>
      <c r="BA4844" t="s">
        <v>11738</v>
      </c>
      <c r="BB4844">
        <v>0</v>
      </c>
      <c r="BC4844">
        <v>0</v>
      </c>
      <c r="BD4844">
        <v>0</v>
      </c>
      <c r="BE4844">
        <v>0</v>
      </c>
      <c r="BF4844">
        <v>5</v>
      </c>
      <c r="BG4844">
        <v>0</v>
      </c>
    </row>
    <row r="4845" spans="1:59">
      <c r="A4845" s="1">
        <f>HYPERLINK("https://lsnyc.legalserver.org/matter/dynamic-profile/view/1909050","19-1909050")</f>
        <v>0</v>
      </c>
      <c r="B4845" t="s">
        <v>3892</v>
      </c>
      <c r="C4845" t="s">
        <v>8710</v>
      </c>
      <c r="D4845" t="s">
        <v>9925</v>
      </c>
      <c r="E4845" t="s">
        <v>10075</v>
      </c>
      <c r="F4845">
        <v>10027</v>
      </c>
      <c r="G4845" t="s">
        <v>10089</v>
      </c>
      <c r="H4845" t="s">
        <v>10152</v>
      </c>
      <c r="I4845" t="s">
        <v>10168</v>
      </c>
      <c r="J4845" t="s">
        <v>10209</v>
      </c>
      <c r="K4845" t="s">
        <v>10217</v>
      </c>
      <c r="M4845" t="s">
        <v>10391</v>
      </c>
      <c r="N4845" t="s">
        <v>10703</v>
      </c>
      <c r="P4845" t="s">
        <v>10749</v>
      </c>
      <c r="Q4845" t="s">
        <v>10774</v>
      </c>
      <c r="R4845" t="s">
        <v>10824</v>
      </c>
      <c r="T4845">
        <v>9120</v>
      </c>
      <c r="U4845">
        <v>760</v>
      </c>
      <c r="V4845">
        <v>67</v>
      </c>
      <c r="W4845">
        <v>1</v>
      </c>
      <c r="X4845">
        <v>0</v>
      </c>
      <c r="Z4845">
        <v>73.02</v>
      </c>
      <c r="AA4845">
        <v>40.813013</v>
      </c>
      <c r="AB4845">
        <v>-73.943732</v>
      </c>
      <c r="AD4845" t="s">
        <v>10840</v>
      </c>
      <c r="AG4845" t="s">
        <v>10858</v>
      </c>
      <c r="AH4845" t="s">
        <v>10862</v>
      </c>
      <c r="AI4845">
        <v>236</v>
      </c>
      <c r="AJ4845" t="s">
        <v>10209</v>
      </c>
      <c r="AL4845">
        <v>0</v>
      </c>
      <c r="AM4845" t="s">
        <v>10887</v>
      </c>
      <c r="AN4845" t="s">
        <v>10936</v>
      </c>
      <c r="AO4845" t="s">
        <v>11016</v>
      </c>
      <c r="AP4845" t="s">
        <v>11076</v>
      </c>
      <c r="AR4845" t="s">
        <v>11274</v>
      </c>
      <c r="AS4845" t="s">
        <v>9925</v>
      </c>
      <c r="BA4845" t="s">
        <v>11742</v>
      </c>
      <c r="BB4845">
        <v>0</v>
      </c>
      <c r="BC4845">
        <v>0</v>
      </c>
      <c r="BD4845">
        <v>0</v>
      </c>
      <c r="BE4845">
        <v>0</v>
      </c>
      <c r="BF4845">
        <v>7</v>
      </c>
      <c r="BG4845">
        <v>0</v>
      </c>
    </row>
    <row r="4846" spans="1:59">
      <c r="A4846" s="1">
        <f>HYPERLINK("https://lsnyc.legalserver.org/matter/dynamic-profile/view/1909051","19-1909051")</f>
        <v>0</v>
      </c>
      <c r="B4846" t="s">
        <v>3893</v>
      </c>
      <c r="C4846" t="s">
        <v>8711</v>
      </c>
      <c r="D4846" t="s">
        <v>9926</v>
      </c>
      <c r="E4846" t="s">
        <v>10075</v>
      </c>
      <c r="F4846">
        <v>10465</v>
      </c>
      <c r="G4846" t="s">
        <v>10090</v>
      </c>
      <c r="H4846" t="s">
        <v>10152</v>
      </c>
      <c r="I4846" t="s">
        <v>10168</v>
      </c>
      <c r="J4846" t="s">
        <v>10210</v>
      </c>
      <c r="K4846" t="s">
        <v>10217</v>
      </c>
      <c r="M4846" t="s">
        <v>10336</v>
      </c>
      <c r="N4846" t="s">
        <v>10671</v>
      </c>
      <c r="P4846" t="s">
        <v>10758</v>
      </c>
      <c r="Q4846" t="s">
        <v>10793</v>
      </c>
      <c r="R4846" t="s">
        <v>10825</v>
      </c>
      <c r="T4846">
        <v>0</v>
      </c>
      <c r="U4846">
        <v>0</v>
      </c>
      <c r="V4846">
        <v>32</v>
      </c>
      <c r="W4846">
        <v>1</v>
      </c>
      <c r="X4846">
        <v>2</v>
      </c>
      <c r="Z4846">
        <v>0</v>
      </c>
      <c r="AA4846">
        <v>40.828112</v>
      </c>
      <c r="AB4846">
        <v>-73.82235900000001</v>
      </c>
      <c r="AD4846" t="s">
        <v>10839</v>
      </c>
      <c r="AG4846" t="s">
        <v>10858</v>
      </c>
      <c r="AH4846" t="s">
        <v>10861</v>
      </c>
      <c r="AI4846">
        <v>234</v>
      </c>
      <c r="AJ4846" t="s">
        <v>10214</v>
      </c>
      <c r="AL4846">
        <v>2.8</v>
      </c>
      <c r="AM4846" t="s">
        <v>10885</v>
      </c>
      <c r="AN4846" t="s">
        <v>10911</v>
      </c>
      <c r="AO4846" t="s">
        <v>11002</v>
      </c>
      <c r="AP4846" t="s">
        <v>11049</v>
      </c>
      <c r="AR4846" t="s">
        <v>11279</v>
      </c>
      <c r="AS4846" t="s">
        <v>9926</v>
      </c>
      <c r="AT4846" t="s">
        <v>11641</v>
      </c>
      <c r="AX4846" t="s">
        <v>10838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</row>
    <row r="4847" spans="1:59">
      <c r="A4847" s="1">
        <f>HYPERLINK("https://lsnyc.legalserver.org/matter/dynamic-profile/view/1909052","19-1909052")</f>
        <v>0</v>
      </c>
      <c r="B4847" t="s">
        <v>3894</v>
      </c>
      <c r="C4847" t="s">
        <v>5207</v>
      </c>
      <c r="D4847" t="s">
        <v>9928</v>
      </c>
      <c r="E4847" t="s">
        <v>10075</v>
      </c>
      <c r="F4847">
        <v>11224</v>
      </c>
      <c r="G4847" t="s">
        <v>10093</v>
      </c>
      <c r="H4847" t="s">
        <v>10152</v>
      </c>
      <c r="I4847" t="s">
        <v>10171</v>
      </c>
      <c r="J4847" t="s">
        <v>10213</v>
      </c>
      <c r="K4847" t="s">
        <v>10217</v>
      </c>
      <c r="M4847" t="s">
        <v>10565</v>
      </c>
      <c r="N4847" t="s">
        <v>10664</v>
      </c>
      <c r="P4847" t="s">
        <v>10749</v>
      </c>
      <c r="Q4847" t="s">
        <v>10767</v>
      </c>
      <c r="R4847" t="s">
        <v>10820</v>
      </c>
      <c r="T4847">
        <v>11310</v>
      </c>
      <c r="U4847">
        <v>942.5</v>
      </c>
      <c r="V4847">
        <v>73</v>
      </c>
      <c r="W4847">
        <v>1</v>
      </c>
      <c r="X4847">
        <v>0</v>
      </c>
      <c r="Z4847">
        <v>90.55</v>
      </c>
      <c r="AA4847">
        <v>40.577365</v>
      </c>
      <c r="AB4847">
        <v>-73.99082900000001</v>
      </c>
      <c r="AD4847" t="s">
        <v>10839</v>
      </c>
      <c r="AG4847" t="s">
        <v>10858</v>
      </c>
      <c r="AH4847" t="s">
        <v>10862</v>
      </c>
      <c r="AI4847">
        <v>239</v>
      </c>
      <c r="AJ4847" t="s">
        <v>10213</v>
      </c>
      <c r="AL4847">
        <v>0</v>
      </c>
      <c r="AM4847" t="s">
        <v>10889</v>
      </c>
      <c r="AN4847" t="s">
        <v>10960</v>
      </c>
      <c r="AO4847" t="s">
        <v>11006</v>
      </c>
      <c r="AP4847" t="s">
        <v>11087</v>
      </c>
      <c r="AR4847" t="s">
        <v>11296</v>
      </c>
      <c r="AS4847" t="s">
        <v>11595</v>
      </c>
      <c r="AT4847" t="s">
        <v>11641</v>
      </c>
      <c r="BA4847" t="s">
        <v>11741</v>
      </c>
      <c r="BB4847">
        <v>0</v>
      </c>
      <c r="BC4847">
        <v>0</v>
      </c>
      <c r="BD4847">
        <v>0</v>
      </c>
      <c r="BE4847">
        <v>0</v>
      </c>
      <c r="BF4847">
        <v>1</v>
      </c>
      <c r="BG4847">
        <v>0</v>
      </c>
    </row>
    <row r="4848" spans="1:59">
      <c r="A4848" s="1">
        <f>HYPERLINK("https://lsnyc.legalserver.org/matter/dynamic-profile/view/1909053","19-1909053")</f>
        <v>0</v>
      </c>
      <c r="B4848" t="s">
        <v>2431</v>
      </c>
      <c r="C4848" t="s">
        <v>8712</v>
      </c>
      <c r="D4848" t="s">
        <v>9926</v>
      </c>
      <c r="E4848" t="s">
        <v>10075</v>
      </c>
      <c r="F4848">
        <v>10458</v>
      </c>
      <c r="G4848" t="s">
        <v>10090</v>
      </c>
      <c r="H4848" t="s">
        <v>10152</v>
      </c>
      <c r="I4848" t="s">
        <v>10169</v>
      </c>
      <c r="J4848" t="s">
        <v>10210</v>
      </c>
      <c r="K4848" t="s">
        <v>10218</v>
      </c>
      <c r="L4848" t="s">
        <v>10220</v>
      </c>
      <c r="M4848" t="s">
        <v>10438</v>
      </c>
      <c r="N4848" t="s">
        <v>10694</v>
      </c>
      <c r="P4848" t="s">
        <v>10751</v>
      </c>
      <c r="Q4848" t="s">
        <v>10773</v>
      </c>
      <c r="R4848" t="s">
        <v>10823</v>
      </c>
      <c r="T4848">
        <v>19344</v>
      </c>
      <c r="U4848">
        <v>1612</v>
      </c>
      <c r="V4848">
        <v>59</v>
      </c>
      <c r="W4848">
        <v>1</v>
      </c>
      <c r="X4848">
        <v>0</v>
      </c>
      <c r="Y4848" t="s">
        <v>10829</v>
      </c>
      <c r="Z4848">
        <v>154.88</v>
      </c>
      <c r="AA4848">
        <v>40.863931</v>
      </c>
      <c r="AB4848">
        <v>-73.893131</v>
      </c>
      <c r="AD4848" t="s">
        <v>10840</v>
      </c>
      <c r="AF4848" t="s">
        <v>10843</v>
      </c>
      <c r="AG4848" t="s">
        <v>10859</v>
      </c>
      <c r="AH4848" t="s">
        <v>10861</v>
      </c>
      <c r="AI4848">
        <v>234</v>
      </c>
      <c r="AJ4848" t="s">
        <v>10214</v>
      </c>
      <c r="AK4848" t="s">
        <v>10838</v>
      </c>
      <c r="AL4848">
        <v>3.25</v>
      </c>
      <c r="AM4848" t="s">
        <v>10887</v>
      </c>
      <c r="AN4848" t="s">
        <v>10907</v>
      </c>
      <c r="AO4848" t="s">
        <v>11000</v>
      </c>
      <c r="AP4848" t="s">
        <v>11056</v>
      </c>
      <c r="AR4848" t="s">
        <v>11257</v>
      </c>
      <c r="AS4848" t="s">
        <v>9926</v>
      </c>
      <c r="AT4848" t="s">
        <v>11642</v>
      </c>
      <c r="AX4848" t="s">
        <v>10838</v>
      </c>
      <c r="AY4848" t="s">
        <v>10829</v>
      </c>
      <c r="AZ4848" t="s">
        <v>11682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</row>
    <row r="4849" spans="1:59">
      <c r="A4849" s="1">
        <f>HYPERLINK("https://lsnyc.legalserver.org/matter/dynamic-profile/view/1909054","19-1909054")</f>
        <v>0</v>
      </c>
      <c r="B4849" t="s">
        <v>3895</v>
      </c>
      <c r="C4849" t="s">
        <v>8679</v>
      </c>
      <c r="D4849" t="s">
        <v>9928</v>
      </c>
      <c r="E4849" t="s">
        <v>10075</v>
      </c>
      <c r="F4849">
        <v>11221</v>
      </c>
      <c r="G4849" t="s">
        <v>10093</v>
      </c>
      <c r="H4849" t="s">
        <v>10152</v>
      </c>
      <c r="I4849" t="s">
        <v>10168</v>
      </c>
      <c r="J4849" t="s">
        <v>10213</v>
      </c>
      <c r="K4849" t="s">
        <v>10217</v>
      </c>
      <c r="M4849" t="s">
        <v>10315</v>
      </c>
      <c r="N4849" t="s">
        <v>10686</v>
      </c>
      <c r="P4849" t="s">
        <v>10750</v>
      </c>
      <c r="Q4849" t="s">
        <v>10778</v>
      </c>
      <c r="R4849" t="s">
        <v>10820</v>
      </c>
      <c r="T4849">
        <v>3708</v>
      </c>
      <c r="U4849">
        <v>309</v>
      </c>
      <c r="V4849">
        <v>57</v>
      </c>
      <c r="W4849">
        <v>1</v>
      </c>
      <c r="X4849">
        <v>0</v>
      </c>
      <c r="Z4849">
        <v>29.69</v>
      </c>
      <c r="AA4849">
        <v>40.687461</v>
      </c>
      <c r="AB4849">
        <v>-73.92515</v>
      </c>
      <c r="AC4849" t="s">
        <v>10837</v>
      </c>
      <c r="AD4849" t="s">
        <v>10840</v>
      </c>
      <c r="AG4849" t="s">
        <v>10858</v>
      </c>
      <c r="AH4849" t="s">
        <v>10861</v>
      </c>
      <c r="AI4849">
        <v>234</v>
      </c>
      <c r="AJ4849" t="s">
        <v>10214</v>
      </c>
      <c r="AL4849">
        <v>4.15</v>
      </c>
      <c r="AM4849" t="s">
        <v>10889</v>
      </c>
      <c r="AN4849" t="s">
        <v>10914</v>
      </c>
      <c r="AO4849" t="s">
        <v>11007</v>
      </c>
      <c r="AP4849" t="s">
        <v>11064</v>
      </c>
      <c r="AR4849" t="s">
        <v>11344</v>
      </c>
      <c r="AS4849" t="s">
        <v>11595</v>
      </c>
      <c r="AT4849" t="s">
        <v>11642</v>
      </c>
      <c r="AX4849" t="s">
        <v>10838</v>
      </c>
      <c r="BA4849" t="s">
        <v>11742</v>
      </c>
      <c r="BB4849">
        <v>0</v>
      </c>
      <c r="BC4849">
        <v>0</v>
      </c>
      <c r="BD4849">
        <v>0</v>
      </c>
      <c r="BE4849">
        <v>0</v>
      </c>
      <c r="BF4849">
        <v>7</v>
      </c>
      <c r="BG4849">
        <v>0</v>
      </c>
    </row>
    <row r="4850" spans="1:59">
      <c r="A4850" s="1">
        <f>HYPERLINK("https://lsnyc.legalserver.org/matter/dynamic-profile/view/1909056","19-1909056")</f>
        <v>0</v>
      </c>
      <c r="B4850" t="s">
        <v>2948</v>
      </c>
      <c r="C4850" t="s">
        <v>8713</v>
      </c>
      <c r="D4850" t="s">
        <v>9931</v>
      </c>
      <c r="E4850" t="s">
        <v>10075</v>
      </c>
      <c r="F4850">
        <v>11355</v>
      </c>
      <c r="G4850" t="s">
        <v>10092</v>
      </c>
      <c r="H4850" t="s">
        <v>10152</v>
      </c>
      <c r="I4850" t="s">
        <v>10182</v>
      </c>
      <c r="J4850" t="s">
        <v>10212</v>
      </c>
      <c r="K4850" t="s">
        <v>10217</v>
      </c>
      <c r="M4850" t="s">
        <v>10491</v>
      </c>
      <c r="N4850" t="s">
        <v>10693</v>
      </c>
      <c r="P4850" t="s">
        <v>10749</v>
      </c>
      <c r="Q4850" t="s">
        <v>10765</v>
      </c>
      <c r="R4850" t="s">
        <v>10827</v>
      </c>
      <c r="T4850">
        <v>7680</v>
      </c>
      <c r="U4850">
        <v>640</v>
      </c>
      <c r="V4850">
        <v>63</v>
      </c>
      <c r="W4850">
        <v>1</v>
      </c>
      <c r="X4850">
        <v>0</v>
      </c>
      <c r="Z4850">
        <v>61.49</v>
      </c>
      <c r="AA4850">
        <v>40.755677</v>
      </c>
      <c r="AB4850">
        <v>-73.831373</v>
      </c>
      <c r="AD4850" t="s">
        <v>10839</v>
      </c>
      <c r="AF4850" t="s">
        <v>10843</v>
      </c>
      <c r="AG4850" t="s">
        <v>10859</v>
      </c>
      <c r="AH4850" t="s">
        <v>10862</v>
      </c>
      <c r="AI4850">
        <v>237</v>
      </c>
      <c r="AJ4850" t="s">
        <v>10212</v>
      </c>
      <c r="AL4850">
        <v>1</v>
      </c>
      <c r="AM4850" t="s">
        <v>10890</v>
      </c>
      <c r="AN4850" t="s">
        <v>10927</v>
      </c>
      <c r="AO4850" t="s">
        <v>11009</v>
      </c>
      <c r="AP4850" t="s">
        <v>11067</v>
      </c>
      <c r="AR4850" t="s">
        <v>11300</v>
      </c>
      <c r="AS4850" t="s">
        <v>11594</v>
      </c>
      <c r="BA4850" t="s">
        <v>11741</v>
      </c>
      <c r="BB4850">
        <v>0</v>
      </c>
      <c r="BC4850">
        <v>0</v>
      </c>
      <c r="BD4850">
        <v>0</v>
      </c>
      <c r="BE4850">
        <v>0</v>
      </c>
      <c r="BF4850">
        <v>1</v>
      </c>
      <c r="BG4850">
        <v>0</v>
      </c>
    </row>
    <row r="4851" spans="1:59">
      <c r="A4851" s="1">
        <f>HYPERLINK("https://lsnyc.legalserver.org/matter/dynamic-profile/view/1909057","19-1909057")</f>
        <v>0</v>
      </c>
      <c r="B4851" t="s">
        <v>67</v>
      </c>
      <c r="C4851" t="s">
        <v>5008</v>
      </c>
      <c r="D4851" t="s">
        <v>9926</v>
      </c>
      <c r="E4851" t="s">
        <v>10075</v>
      </c>
      <c r="F4851">
        <v>10468</v>
      </c>
      <c r="G4851" t="s">
        <v>10090</v>
      </c>
      <c r="H4851" t="s">
        <v>10152</v>
      </c>
      <c r="I4851" t="s">
        <v>10169</v>
      </c>
      <c r="J4851" t="s">
        <v>10210</v>
      </c>
      <c r="K4851" t="s">
        <v>10217</v>
      </c>
      <c r="M4851" t="s">
        <v>10334</v>
      </c>
      <c r="N4851" t="s">
        <v>10671</v>
      </c>
      <c r="P4851" t="s">
        <v>10751</v>
      </c>
      <c r="Q4851" t="s">
        <v>10761</v>
      </c>
      <c r="R4851" t="s">
        <v>10821</v>
      </c>
      <c r="T4851">
        <v>21500</v>
      </c>
      <c r="U4851">
        <v>1791.67</v>
      </c>
      <c r="V4851">
        <v>33</v>
      </c>
      <c r="W4851">
        <v>2</v>
      </c>
      <c r="X4851">
        <v>1</v>
      </c>
      <c r="Z4851">
        <v>100.8</v>
      </c>
      <c r="AA4851">
        <v>40.868879</v>
      </c>
      <c r="AB4851">
        <v>-73.892877</v>
      </c>
      <c r="AD4851" t="s">
        <v>10840</v>
      </c>
      <c r="AF4851" t="s">
        <v>10844</v>
      </c>
      <c r="AG4851" t="s">
        <v>10859</v>
      </c>
      <c r="AH4851" t="s">
        <v>10874</v>
      </c>
      <c r="AI4851">
        <v>230</v>
      </c>
      <c r="AJ4851" t="s">
        <v>10210</v>
      </c>
      <c r="AL4851">
        <v>0.75</v>
      </c>
      <c r="AM4851" t="s">
        <v>10887</v>
      </c>
      <c r="AN4851" t="s">
        <v>10907</v>
      </c>
      <c r="AO4851" t="s">
        <v>11000</v>
      </c>
      <c r="AP4851" t="s">
        <v>11045</v>
      </c>
      <c r="AR4851" t="s">
        <v>11257</v>
      </c>
      <c r="AS4851" t="s">
        <v>9926</v>
      </c>
      <c r="AT4851" t="s">
        <v>11642</v>
      </c>
      <c r="BA4851" t="s">
        <v>11742</v>
      </c>
      <c r="BB4851">
        <v>0</v>
      </c>
      <c r="BC4851">
        <v>0</v>
      </c>
      <c r="BD4851">
        <v>0</v>
      </c>
      <c r="BE4851">
        <v>0</v>
      </c>
      <c r="BF4851">
        <v>7</v>
      </c>
      <c r="BG4851">
        <v>0</v>
      </c>
    </row>
    <row r="4852" spans="1:59">
      <c r="A4852" s="1">
        <f>HYPERLINK("https://lsnyc.legalserver.org/matter/dynamic-profile/view/1909058","19-1909058")</f>
        <v>0</v>
      </c>
      <c r="B4852" t="s">
        <v>3888</v>
      </c>
      <c r="C4852" t="s">
        <v>8706</v>
      </c>
      <c r="D4852" t="s">
        <v>9928</v>
      </c>
      <c r="E4852" t="s">
        <v>10075</v>
      </c>
      <c r="F4852">
        <v>11221</v>
      </c>
      <c r="G4852" t="s">
        <v>10093</v>
      </c>
      <c r="H4852" t="s">
        <v>10152</v>
      </c>
      <c r="I4852" t="s">
        <v>10168</v>
      </c>
      <c r="J4852" t="s">
        <v>10213</v>
      </c>
      <c r="K4852" t="s">
        <v>10217</v>
      </c>
      <c r="M4852" t="s">
        <v>10400</v>
      </c>
      <c r="N4852" t="s">
        <v>10668</v>
      </c>
      <c r="P4852" t="s">
        <v>10751</v>
      </c>
      <c r="Q4852" t="s">
        <v>10761</v>
      </c>
      <c r="R4852" t="s">
        <v>10824</v>
      </c>
      <c r="T4852">
        <v>2366</v>
      </c>
      <c r="U4852">
        <v>197.17</v>
      </c>
      <c r="V4852">
        <v>54</v>
      </c>
      <c r="W4852">
        <v>1</v>
      </c>
      <c r="X4852">
        <v>0</v>
      </c>
      <c r="Z4852">
        <v>18.94</v>
      </c>
      <c r="AA4852">
        <v>40.687476</v>
      </c>
      <c r="AB4852">
        <v>-73.938309</v>
      </c>
      <c r="AD4852" t="s">
        <v>10840</v>
      </c>
      <c r="AG4852" t="s">
        <v>10858</v>
      </c>
      <c r="AH4852" t="s">
        <v>10862</v>
      </c>
      <c r="AI4852">
        <v>239</v>
      </c>
      <c r="AJ4852" t="s">
        <v>10213</v>
      </c>
      <c r="AL4852">
        <v>1.8</v>
      </c>
      <c r="AM4852" t="s">
        <v>10889</v>
      </c>
      <c r="AN4852" t="s">
        <v>10914</v>
      </c>
      <c r="AO4852" t="s">
        <v>11007</v>
      </c>
      <c r="AP4852" t="s">
        <v>11052</v>
      </c>
      <c r="AR4852" t="s">
        <v>11255</v>
      </c>
      <c r="AS4852" t="s">
        <v>11595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</row>
    <row r="4853" spans="1:59">
      <c r="A4853" s="1">
        <f>HYPERLINK("https://lsnyc.legalserver.org/matter/dynamic-profile/view/1909059","19-1909059")</f>
        <v>0</v>
      </c>
      <c r="B4853" t="s">
        <v>3896</v>
      </c>
      <c r="C4853" t="s">
        <v>8714</v>
      </c>
      <c r="D4853" t="s">
        <v>9931</v>
      </c>
      <c r="E4853" t="s">
        <v>10075</v>
      </c>
      <c r="F4853">
        <v>11369</v>
      </c>
      <c r="G4853" t="s">
        <v>10092</v>
      </c>
      <c r="H4853" t="s">
        <v>10152</v>
      </c>
      <c r="I4853" t="s">
        <v>10169</v>
      </c>
      <c r="J4853" t="s">
        <v>10212</v>
      </c>
      <c r="K4853" t="s">
        <v>10217</v>
      </c>
      <c r="M4853" t="s">
        <v>10523</v>
      </c>
      <c r="N4853" t="s">
        <v>10714</v>
      </c>
      <c r="P4853" t="s">
        <v>10753</v>
      </c>
      <c r="Q4853" t="s">
        <v>10763</v>
      </c>
      <c r="R4853" t="s">
        <v>10823</v>
      </c>
      <c r="T4853">
        <v>14400</v>
      </c>
      <c r="U4853">
        <v>1200</v>
      </c>
      <c r="V4853">
        <v>34</v>
      </c>
      <c r="W4853">
        <v>2</v>
      </c>
      <c r="X4853">
        <v>1</v>
      </c>
      <c r="Z4853">
        <v>67.51000000000001</v>
      </c>
      <c r="AA4853">
        <v>40.757131</v>
      </c>
      <c r="AB4853">
        <v>-73.88118799999999</v>
      </c>
      <c r="AD4853" t="s">
        <v>10839</v>
      </c>
      <c r="AF4853" t="s">
        <v>10842</v>
      </c>
      <c r="AG4853" t="s">
        <v>10859</v>
      </c>
      <c r="AH4853" t="s">
        <v>10864</v>
      </c>
      <c r="AI4853">
        <v>237</v>
      </c>
      <c r="AJ4853" t="s">
        <v>10212</v>
      </c>
      <c r="AL4853">
        <v>7.5</v>
      </c>
      <c r="AM4853" t="s">
        <v>10885</v>
      </c>
      <c r="AN4853" t="s">
        <v>10909</v>
      </c>
      <c r="AO4853" t="s">
        <v>11014</v>
      </c>
      <c r="AP4853" t="s">
        <v>11053</v>
      </c>
      <c r="AQ4853" t="s">
        <v>11109</v>
      </c>
      <c r="AR4853" t="s">
        <v>11257</v>
      </c>
      <c r="AS4853" t="s">
        <v>11594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</row>
    <row r="4854" spans="1:59">
      <c r="A4854" s="1">
        <f>HYPERLINK("https://lsnyc.legalserver.org/matter/dynamic-profile/view/1909060","19-1909060")</f>
        <v>0</v>
      </c>
      <c r="B4854" t="s">
        <v>3897</v>
      </c>
      <c r="C4854" t="s">
        <v>8715</v>
      </c>
      <c r="D4854" t="s">
        <v>9928</v>
      </c>
      <c r="E4854" t="s">
        <v>10075</v>
      </c>
      <c r="F4854">
        <v>11232</v>
      </c>
      <c r="G4854" t="s">
        <v>10093</v>
      </c>
      <c r="H4854" t="s">
        <v>10152</v>
      </c>
      <c r="I4854" t="s">
        <v>10169</v>
      </c>
      <c r="J4854" t="s">
        <v>10213</v>
      </c>
      <c r="K4854" t="s">
        <v>10217</v>
      </c>
      <c r="M4854" t="s">
        <v>10621</v>
      </c>
      <c r="N4854" t="s">
        <v>10657</v>
      </c>
      <c r="P4854" t="s">
        <v>10749</v>
      </c>
      <c r="Q4854" t="s">
        <v>10774</v>
      </c>
      <c r="R4854" t="s">
        <v>10823</v>
      </c>
      <c r="T4854">
        <v>15828</v>
      </c>
      <c r="U4854">
        <v>1319</v>
      </c>
      <c r="V4854">
        <v>70</v>
      </c>
      <c r="W4854">
        <v>2</v>
      </c>
      <c r="X4854">
        <v>0</v>
      </c>
      <c r="Z4854">
        <v>93.59999999999999</v>
      </c>
      <c r="AA4854">
        <v>40.649774</v>
      </c>
      <c r="AB4854">
        <v>-74.003319</v>
      </c>
      <c r="AD4854" t="s">
        <v>10839</v>
      </c>
      <c r="AF4854" t="s">
        <v>10843</v>
      </c>
      <c r="AG4854" t="s">
        <v>10859</v>
      </c>
      <c r="AH4854" t="s">
        <v>10862</v>
      </c>
      <c r="AI4854">
        <v>239</v>
      </c>
      <c r="AJ4854" t="s">
        <v>10213</v>
      </c>
      <c r="AL4854">
        <v>2.65</v>
      </c>
      <c r="AM4854" t="s">
        <v>10886</v>
      </c>
      <c r="AN4854" t="s">
        <v>10921</v>
      </c>
      <c r="AO4854" t="s">
        <v>11015</v>
      </c>
      <c r="AP4854" t="s">
        <v>11069</v>
      </c>
      <c r="AQ4854" t="s">
        <v>11136</v>
      </c>
      <c r="AR4854" t="s">
        <v>11346</v>
      </c>
      <c r="AS4854" t="s">
        <v>11595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</row>
    <row r="4855" spans="1:59">
      <c r="A4855" s="1">
        <f>HYPERLINK("https://lsnyc.legalserver.org/matter/dynamic-profile/view/1909061","19-1909061")</f>
        <v>0</v>
      </c>
      <c r="B4855" t="s">
        <v>3898</v>
      </c>
      <c r="C4855" t="s">
        <v>8716</v>
      </c>
      <c r="D4855" t="s">
        <v>9938</v>
      </c>
      <c r="E4855" t="s">
        <v>10075</v>
      </c>
      <c r="F4855">
        <v>11432</v>
      </c>
      <c r="G4855" t="s">
        <v>10092</v>
      </c>
      <c r="H4855" t="s">
        <v>10152</v>
      </c>
      <c r="I4855" t="s">
        <v>10168</v>
      </c>
      <c r="J4855" t="s">
        <v>10212</v>
      </c>
      <c r="K4855" t="s">
        <v>10217</v>
      </c>
      <c r="M4855" t="s">
        <v>10273</v>
      </c>
      <c r="N4855" t="s">
        <v>10672</v>
      </c>
      <c r="P4855" t="s">
        <v>10750</v>
      </c>
      <c r="Q4855" t="s">
        <v>10778</v>
      </c>
      <c r="R4855" t="s">
        <v>10821</v>
      </c>
      <c r="T4855">
        <v>0</v>
      </c>
      <c r="U4855">
        <v>0</v>
      </c>
      <c r="V4855">
        <v>47</v>
      </c>
      <c r="W4855">
        <v>1</v>
      </c>
      <c r="X4855">
        <v>0</v>
      </c>
      <c r="Z4855">
        <v>0</v>
      </c>
      <c r="AA4855">
        <v>40.709069</v>
      </c>
      <c r="AB4855">
        <v>-73.790266</v>
      </c>
      <c r="AD4855" t="s">
        <v>10839</v>
      </c>
      <c r="AG4855" t="s">
        <v>10858</v>
      </c>
      <c r="AH4855" t="s">
        <v>10870</v>
      </c>
      <c r="AI4855">
        <v>237</v>
      </c>
      <c r="AJ4855" t="s">
        <v>10212</v>
      </c>
      <c r="AL4855">
        <v>31.5</v>
      </c>
      <c r="AM4855" t="s">
        <v>10892</v>
      </c>
      <c r="AN4855" t="s">
        <v>10955</v>
      </c>
      <c r="AO4855" t="s">
        <v>11022</v>
      </c>
      <c r="AP4855" t="s">
        <v>11075</v>
      </c>
      <c r="AR4855" t="s">
        <v>11267</v>
      </c>
      <c r="AS4855" t="s">
        <v>11594</v>
      </c>
      <c r="AX4855" t="s">
        <v>10838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</row>
    <row r="4856" spans="1:59">
      <c r="A4856" s="1">
        <f>HYPERLINK("https://lsnyc.legalserver.org/matter/dynamic-profile/view/1909062","19-1909062")</f>
        <v>0</v>
      </c>
      <c r="B4856" t="s">
        <v>3899</v>
      </c>
      <c r="C4856" t="s">
        <v>8717</v>
      </c>
      <c r="D4856" t="s">
        <v>9925</v>
      </c>
      <c r="E4856" t="s">
        <v>10075</v>
      </c>
      <c r="F4856">
        <v>10009</v>
      </c>
      <c r="G4856" t="s">
        <v>10089</v>
      </c>
      <c r="H4856" t="s">
        <v>10152</v>
      </c>
      <c r="I4856" t="s">
        <v>10168</v>
      </c>
      <c r="J4856" t="s">
        <v>10209</v>
      </c>
      <c r="K4856" t="s">
        <v>10217</v>
      </c>
      <c r="M4856" t="s">
        <v>10379</v>
      </c>
      <c r="N4856" t="s">
        <v>10703</v>
      </c>
      <c r="P4856" t="s">
        <v>10749</v>
      </c>
      <c r="Q4856" t="s">
        <v>10765</v>
      </c>
      <c r="R4856" t="s">
        <v>10820</v>
      </c>
      <c r="T4856">
        <v>14400</v>
      </c>
      <c r="U4856">
        <v>1200</v>
      </c>
      <c r="V4856">
        <v>84</v>
      </c>
      <c r="W4856">
        <v>1</v>
      </c>
      <c r="X4856">
        <v>0</v>
      </c>
      <c r="Z4856">
        <v>115.29</v>
      </c>
      <c r="AA4856">
        <v>40.723563</v>
      </c>
      <c r="AB4856">
        <v>-73.98752500000001</v>
      </c>
      <c r="AD4856" t="s">
        <v>10840</v>
      </c>
      <c r="AG4856" t="s">
        <v>10858</v>
      </c>
      <c r="AH4856" t="s">
        <v>10862</v>
      </c>
      <c r="AI4856">
        <v>236</v>
      </c>
      <c r="AJ4856" t="s">
        <v>10209</v>
      </c>
      <c r="AL4856">
        <v>0</v>
      </c>
      <c r="AM4856" t="s">
        <v>10891</v>
      </c>
      <c r="AN4856" t="s">
        <v>10963</v>
      </c>
      <c r="AO4856" t="s">
        <v>11004</v>
      </c>
      <c r="AP4856" t="s">
        <v>11048</v>
      </c>
      <c r="AR4856" t="s">
        <v>11296</v>
      </c>
      <c r="AS4856" t="s">
        <v>9925</v>
      </c>
      <c r="AT4856" t="s">
        <v>11642</v>
      </c>
      <c r="AX4856" t="s">
        <v>10838</v>
      </c>
      <c r="BA4856" t="s">
        <v>11742</v>
      </c>
      <c r="BB4856">
        <v>0</v>
      </c>
      <c r="BC4856">
        <v>0</v>
      </c>
      <c r="BD4856">
        <v>0</v>
      </c>
      <c r="BE4856">
        <v>0</v>
      </c>
      <c r="BF4856">
        <v>7</v>
      </c>
      <c r="BG4856">
        <v>0</v>
      </c>
    </row>
    <row r="4857" spans="1:59">
      <c r="A4857" s="1">
        <f>HYPERLINK("https://lsnyc.legalserver.org/matter/dynamic-profile/view/1909063","19-1909063")</f>
        <v>0</v>
      </c>
      <c r="B4857" t="s">
        <v>3900</v>
      </c>
      <c r="C4857" t="s">
        <v>8718</v>
      </c>
      <c r="D4857" t="s">
        <v>9926</v>
      </c>
      <c r="E4857" t="s">
        <v>10075</v>
      </c>
      <c r="F4857">
        <v>10457</v>
      </c>
      <c r="G4857" t="s">
        <v>10089</v>
      </c>
      <c r="H4857" t="s">
        <v>10152</v>
      </c>
      <c r="I4857" t="s">
        <v>10168</v>
      </c>
      <c r="J4857" t="s">
        <v>10209</v>
      </c>
      <c r="K4857" t="s">
        <v>10217</v>
      </c>
      <c r="M4857" t="s">
        <v>10301</v>
      </c>
      <c r="N4857" t="s">
        <v>10665</v>
      </c>
      <c r="P4857" t="s">
        <v>10751</v>
      </c>
      <c r="Q4857" t="s">
        <v>10773</v>
      </c>
      <c r="R4857" t="s">
        <v>10822</v>
      </c>
      <c r="T4857">
        <v>10088</v>
      </c>
      <c r="U4857">
        <v>840.67</v>
      </c>
      <c r="V4857">
        <v>32</v>
      </c>
      <c r="W4857">
        <v>1</v>
      </c>
      <c r="X4857">
        <v>0</v>
      </c>
      <c r="Z4857">
        <v>80.77</v>
      </c>
      <c r="AA4857">
        <v>40.855376</v>
      </c>
      <c r="AB4857">
        <v>-73.90066299999999</v>
      </c>
      <c r="AD4857" t="s">
        <v>10839</v>
      </c>
      <c r="AG4857" t="s">
        <v>10858</v>
      </c>
      <c r="AH4857" t="s">
        <v>10861</v>
      </c>
      <c r="AI4857">
        <v>234</v>
      </c>
      <c r="AJ4857" t="s">
        <v>10214</v>
      </c>
      <c r="AL4857">
        <v>3.2</v>
      </c>
      <c r="AM4857" t="s">
        <v>10884</v>
      </c>
      <c r="AN4857" t="s">
        <v>10931</v>
      </c>
      <c r="AO4857" t="s">
        <v>11000</v>
      </c>
      <c r="AP4857" t="s">
        <v>11056</v>
      </c>
      <c r="AQ4857" t="s">
        <v>11115</v>
      </c>
      <c r="AR4857" t="s">
        <v>11293</v>
      </c>
      <c r="AS4857" t="s">
        <v>9926</v>
      </c>
      <c r="AT4857" t="s">
        <v>11641</v>
      </c>
      <c r="AX4857" t="s">
        <v>11678</v>
      </c>
      <c r="BA4857" t="s">
        <v>11741</v>
      </c>
      <c r="BB4857">
        <v>0</v>
      </c>
      <c r="BC4857">
        <v>0</v>
      </c>
      <c r="BD4857">
        <v>0</v>
      </c>
      <c r="BE4857">
        <v>0</v>
      </c>
      <c r="BF4857">
        <v>1</v>
      </c>
      <c r="BG4857">
        <v>0</v>
      </c>
    </row>
    <row r="4858" spans="1:59">
      <c r="A4858" s="1">
        <f>HYPERLINK("https://lsnyc.legalserver.org/matter/dynamic-profile/view/1909064","19-1909064")</f>
        <v>0</v>
      </c>
      <c r="B4858" t="s">
        <v>3901</v>
      </c>
      <c r="C4858" t="s">
        <v>8719</v>
      </c>
      <c r="D4858" t="s">
        <v>9965</v>
      </c>
      <c r="E4858" t="s">
        <v>10075</v>
      </c>
      <c r="F4858">
        <v>11101</v>
      </c>
      <c r="G4858" t="s">
        <v>10092</v>
      </c>
      <c r="H4858" t="s">
        <v>10152</v>
      </c>
      <c r="I4858" t="s">
        <v>10168</v>
      </c>
      <c r="J4858" t="s">
        <v>10212</v>
      </c>
      <c r="K4858" t="s">
        <v>10217</v>
      </c>
      <c r="M4858" t="s">
        <v>10331</v>
      </c>
      <c r="N4858" t="s">
        <v>10675</v>
      </c>
      <c r="P4858" t="s">
        <v>10749</v>
      </c>
      <c r="Q4858" t="s">
        <v>10765</v>
      </c>
      <c r="R4858" t="s">
        <v>10820</v>
      </c>
      <c r="T4858">
        <v>49200</v>
      </c>
      <c r="U4858">
        <v>4100</v>
      </c>
      <c r="V4858">
        <v>44</v>
      </c>
      <c r="W4858">
        <v>1</v>
      </c>
      <c r="X4858">
        <v>0</v>
      </c>
      <c r="Z4858">
        <v>393.92</v>
      </c>
      <c r="AA4858">
        <v>40.747529</v>
      </c>
      <c r="AB4858">
        <v>-73.945331</v>
      </c>
      <c r="AC4858" t="s">
        <v>10837</v>
      </c>
      <c r="AD4858" t="s">
        <v>10839</v>
      </c>
      <c r="AG4858" t="s">
        <v>10858</v>
      </c>
      <c r="AH4858" t="s">
        <v>10861</v>
      </c>
      <c r="AI4858">
        <v>234</v>
      </c>
      <c r="AJ4858" t="s">
        <v>10214</v>
      </c>
      <c r="AL4858">
        <v>0.75</v>
      </c>
      <c r="AM4858" t="s">
        <v>10891</v>
      </c>
      <c r="AN4858" t="s">
        <v>10961</v>
      </c>
      <c r="AO4858" t="s">
        <v>11003</v>
      </c>
      <c r="AP4858" t="s">
        <v>11047</v>
      </c>
      <c r="AR4858" t="s">
        <v>11505</v>
      </c>
      <c r="AS4858" t="s">
        <v>11594</v>
      </c>
      <c r="AT4858" t="s">
        <v>11641</v>
      </c>
      <c r="AX4858" t="s">
        <v>10838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</row>
    <row r="4859" spans="1:59">
      <c r="A4859" s="1">
        <f>HYPERLINK("https://lsnyc.legalserver.org/matter/dynamic-profile/view/1909065","19-1909065")</f>
        <v>0</v>
      </c>
      <c r="B4859" t="s">
        <v>3902</v>
      </c>
      <c r="C4859" t="s">
        <v>8720</v>
      </c>
      <c r="D4859" t="s">
        <v>9928</v>
      </c>
      <c r="E4859" t="s">
        <v>10075</v>
      </c>
      <c r="F4859">
        <v>11235</v>
      </c>
      <c r="G4859" t="s">
        <v>10093</v>
      </c>
      <c r="H4859" t="s">
        <v>10152</v>
      </c>
      <c r="I4859" t="s">
        <v>10171</v>
      </c>
      <c r="J4859" t="s">
        <v>10213</v>
      </c>
      <c r="K4859" t="s">
        <v>10218</v>
      </c>
      <c r="L4859" t="s">
        <v>10159</v>
      </c>
      <c r="M4859" t="s">
        <v>10390</v>
      </c>
      <c r="N4859" t="s">
        <v>10644</v>
      </c>
      <c r="P4859" t="s">
        <v>10751</v>
      </c>
      <c r="Q4859" t="s">
        <v>10780</v>
      </c>
      <c r="R4859" t="s">
        <v>10820</v>
      </c>
      <c r="T4859">
        <v>6168</v>
      </c>
      <c r="U4859">
        <v>514</v>
      </c>
      <c r="V4859">
        <v>74</v>
      </c>
      <c r="W4859">
        <v>1</v>
      </c>
      <c r="X4859">
        <v>0</v>
      </c>
      <c r="Y4859" t="s">
        <v>10829</v>
      </c>
      <c r="Z4859">
        <v>49.38</v>
      </c>
      <c r="AA4859">
        <v>40.576295</v>
      </c>
      <c r="AB4859">
        <v>-73.96376100000001</v>
      </c>
      <c r="AD4859" t="s">
        <v>10840</v>
      </c>
      <c r="AG4859" t="s">
        <v>10858</v>
      </c>
      <c r="AH4859" t="s">
        <v>10869</v>
      </c>
      <c r="AI4859">
        <v>239</v>
      </c>
      <c r="AJ4859" t="s">
        <v>10213</v>
      </c>
      <c r="AK4859" t="s">
        <v>10838</v>
      </c>
      <c r="AL4859">
        <v>1.5</v>
      </c>
      <c r="AM4859" t="s">
        <v>10889</v>
      </c>
      <c r="AN4859" t="s">
        <v>10960</v>
      </c>
      <c r="AO4859" t="s">
        <v>11006</v>
      </c>
      <c r="AP4859" t="s">
        <v>11092</v>
      </c>
      <c r="AQ4859" t="s">
        <v>11191</v>
      </c>
      <c r="AR4859" t="s">
        <v>11263</v>
      </c>
      <c r="AS4859" t="s">
        <v>11595</v>
      </c>
      <c r="AY4859" t="s">
        <v>10829</v>
      </c>
      <c r="AZ4859" t="s">
        <v>11682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</row>
    <row r="4860" spans="1:59">
      <c r="A4860" s="1">
        <f>HYPERLINK("https://lsnyc.legalserver.org/matter/dynamic-profile/view/1909066","19-1909066")</f>
        <v>0</v>
      </c>
      <c r="B4860" t="s">
        <v>3903</v>
      </c>
      <c r="C4860" t="s">
        <v>8721</v>
      </c>
      <c r="D4860" t="s">
        <v>9925</v>
      </c>
      <c r="E4860" t="s">
        <v>10075</v>
      </c>
      <c r="F4860">
        <v>10019</v>
      </c>
      <c r="G4860" t="s">
        <v>10089</v>
      </c>
      <c r="H4860" t="s">
        <v>10152</v>
      </c>
      <c r="I4860" t="s">
        <v>10168</v>
      </c>
      <c r="J4860" t="s">
        <v>10209</v>
      </c>
      <c r="K4860" t="s">
        <v>10217</v>
      </c>
      <c r="M4860" t="s">
        <v>10391</v>
      </c>
      <c r="N4860" t="s">
        <v>10703</v>
      </c>
      <c r="P4860" t="s">
        <v>10749</v>
      </c>
      <c r="Q4860" t="s">
        <v>10765</v>
      </c>
      <c r="R4860" t="s">
        <v>10820</v>
      </c>
      <c r="T4860">
        <v>22000</v>
      </c>
      <c r="U4860">
        <v>1833.33</v>
      </c>
      <c r="V4860">
        <v>60</v>
      </c>
      <c r="W4860">
        <v>1</v>
      </c>
      <c r="X4860">
        <v>0</v>
      </c>
      <c r="Z4860">
        <v>176.14</v>
      </c>
      <c r="AA4860">
        <v>40.769473</v>
      </c>
      <c r="AB4860">
        <v>-73.985606</v>
      </c>
      <c r="AD4860" t="s">
        <v>10840</v>
      </c>
      <c r="AG4860" t="s">
        <v>10858</v>
      </c>
      <c r="AH4860" t="s">
        <v>10862</v>
      </c>
      <c r="AI4860">
        <v>236</v>
      </c>
      <c r="AJ4860" t="s">
        <v>10209</v>
      </c>
      <c r="AL4860">
        <v>0</v>
      </c>
      <c r="AM4860" t="s">
        <v>10894</v>
      </c>
      <c r="AN4860" t="s">
        <v>10964</v>
      </c>
      <c r="AO4860" t="s">
        <v>11021</v>
      </c>
      <c r="AP4860" t="s">
        <v>11090</v>
      </c>
      <c r="AR4860" t="s">
        <v>11297</v>
      </c>
      <c r="AS4860" t="s">
        <v>9925</v>
      </c>
      <c r="BA4860" t="s">
        <v>11742</v>
      </c>
      <c r="BB4860">
        <v>0</v>
      </c>
      <c r="BC4860">
        <v>0</v>
      </c>
      <c r="BD4860">
        <v>0</v>
      </c>
      <c r="BE4860">
        <v>0</v>
      </c>
      <c r="BF4860">
        <v>7</v>
      </c>
      <c r="BG4860">
        <v>0</v>
      </c>
    </row>
    <row r="4861" spans="1:59">
      <c r="A4861" s="1">
        <f>HYPERLINK("https://lsnyc.legalserver.org/matter/dynamic-profile/view/1909067","19-1909067")</f>
        <v>0</v>
      </c>
      <c r="B4861" t="s">
        <v>3904</v>
      </c>
      <c r="C4861" t="s">
        <v>8722</v>
      </c>
      <c r="D4861" t="s">
        <v>9928</v>
      </c>
      <c r="E4861" t="s">
        <v>10075</v>
      </c>
      <c r="F4861">
        <v>11239</v>
      </c>
      <c r="G4861" t="s">
        <v>10093</v>
      </c>
      <c r="H4861" t="s">
        <v>10111</v>
      </c>
      <c r="J4861" t="s">
        <v>10213</v>
      </c>
      <c r="K4861" t="s">
        <v>10217</v>
      </c>
      <c r="M4861" t="s">
        <v>10429</v>
      </c>
      <c r="N4861" t="s">
        <v>10657</v>
      </c>
      <c r="P4861" t="s">
        <v>10749</v>
      </c>
      <c r="Q4861" t="s">
        <v>10765</v>
      </c>
      <c r="R4861" t="s">
        <v>10824</v>
      </c>
      <c r="T4861">
        <v>10056</v>
      </c>
      <c r="U4861">
        <v>838</v>
      </c>
      <c r="V4861">
        <v>48</v>
      </c>
      <c r="W4861">
        <v>1</v>
      </c>
      <c r="X4861">
        <v>0</v>
      </c>
      <c r="Z4861">
        <v>80.51000000000001</v>
      </c>
      <c r="AA4861">
        <v>40.645071</v>
      </c>
      <c r="AB4861">
        <v>-73.879893</v>
      </c>
      <c r="AD4861" t="s">
        <v>10840</v>
      </c>
      <c r="AG4861" t="s">
        <v>10858</v>
      </c>
      <c r="AH4861" t="s">
        <v>10862</v>
      </c>
      <c r="AI4861">
        <v>239</v>
      </c>
      <c r="AJ4861" t="s">
        <v>10213</v>
      </c>
      <c r="AL4861">
        <v>13.1</v>
      </c>
      <c r="AM4861" t="s">
        <v>10889</v>
      </c>
      <c r="AN4861" t="s">
        <v>10946</v>
      </c>
      <c r="AO4861" t="s">
        <v>11012</v>
      </c>
      <c r="AP4861" t="s">
        <v>11060</v>
      </c>
      <c r="AQ4861" t="s">
        <v>11101</v>
      </c>
      <c r="AR4861" t="s">
        <v>11263</v>
      </c>
      <c r="AS4861" t="s">
        <v>11595</v>
      </c>
      <c r="BA4861" t="s">
        <v>11738</v>
      </c>
      <c r="BB4861">
        <v>0</v>
      </c>
      <c r="BC4861">
        <v>0</v>
      </c>
      <c r="BD4861">
        <v>0</v>
      </c>
      <c r="BE4861">
        <v>0</v>
      </c>
      <c r="BF4861">
        <v>5</v>
      </c>
      <c r="BG4861">
        <v>0</v>
      </c>
    </row>
    <row r="4862" spans="1:59">
      <c r="A4862" s="1">
        <f>HYPERLINK("https://lsnyc.legalserver.org/matter/dynamic-profile/view/1909068","19-1909068")</f>
        <v>0</v>
      </c>
      <c r="B4862" t="s">
        <v>3067</v>
      </c>
      <c r="C4862" t="s">
        <v>8067</v>
      </c>
      <c r="D4862" t="s">
        <v>9926</v>
      </c>
      <c r="E4862" t="s">
        <v>10075</v>
      </c>
      <c r="F4862">
        <v>10457</v>
      </c>
      <c r="G4862" t="s">
        <v>10090</v>
      </c>
      <c r="H4862" t="s">
        <v>10152</v>
      </c>
      <c r="I4862" t="s">
        <v>10169</v>
      </c>
      <c r="J4862" t="s">
        <v>10210</v>
      </c>
      <c r="K4862" t="s">
        <v>10218</v>
      </c>
      <c r="L4862" t="s">
        <v>10166</v>
      </c>
      <c r="M4862" t="s">
        <v>10336</v>
      </c>
      <c r="N4862" t="s">
        <v>10671</v>
      </c>
      <c r="P4862" t="s">
        <v>10754</v>
      </c>
      <c r="Q4862" t="s">
        <v>10771</v>
      </c>
      <c r="R4862" t="s">
        <v>10823</v>
      </c>
      <c r="T4862">
        <v>20800</v>
      </c>
      <c r="U4862">
        <v>1733.33</v>
      </c>
      <c r="V4862">
        <v>26</v>
      </c>
      <c r="W4862">
        <v>2</v>
      </c>
      <c r="X4862">
        <v>0</v>
      </c>
      <c r="Y4862" t="s">
        <v>10829</v>
      </c>
      <c r="Z4862">
        <v>123</v>
      </c>
      <c r="AA4862">
        <v>40.837007</v>
      </c>
      <c r="AB4862">
        <v>-73.902531</v>
      </c>
      <c r="AD4862" t="s">
        <v>10839</v>
      </c>
      <c r="AG4862" t="s">
        <v>10858</v>
      </c>
      <c r="AH4862" t="s">
        <v>10861</v>
      </c>
      <c r="AI4862">
        <v>234</v>
      </c>
      <c r="AJ4862" t="s">
        <v>10214</v>
      </c>
      <c r="AK4862" t="s">
        <v>10882</v>
      </c>
      <c r="AL4862">
        <v>0.95</v>
      </c>
      <c r="AM4862" t="s">
        <v>10884</v>
      </c>
      <c r="AN4862" t="s">
        <v>10918</v>
      </c>
      <c r="AO4862" t="s">
        <v>11000</v>
      </c>
      <c r="AP4862" t="s">
        <v>11055</v>
      </c>
      <c r="AR4862" t="s">
        <v>11257</v>
      </c>
      <c r="AS4862" t="s">
        <v>9926</v>
      </c>
      <c r="AT4862" t="s">
        <v>11641</v>
      </c>
      <c r="AX4862" t="s">
        <v>10838</v>
      </c>
      <c r="AY4862" t="s">
        <v>10829</v>
      </c>
      <c r="AZ4862" t="s">
        <v>11683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</row>
    <row r="4863" spans="1:59">
      <c r="A4863" s="1">
        <f>HYPERLINK("https://lsnyc.legalserver.org/matter/dynamic-profile/view/1909069","19-1909069")</f>
        <v>0</v>
      </c>
      <c r="B4863" t="s">
        <v>3905</v>
      </c>
      <c r="C4863" t="s">
        <v>7660</v>
      </c>
      <c r="D4863" t="s">
        <v>9928</v>
      </c>
      <c r="E4863" t="s">
        <v>10075</v>
      </c>
      <c r="F4863">
        <v>11207</v>
      </c>
      <c r="G4863" t="s">
        <v>10093</v>
      </c>
      <c r="H4863" t="s">
        <v>10152</v>
      </c>
      <c r="I4863" t="s">
        <v>10168</v>
      </c>
      <c r="J4863" t="s">
        <v>10213</v>
      </c>
      <c r="K4863" t="s">
        <v>10217</v>
      </c>
      <c r="M4863" t="s">
        <v>10583</v>
      </c>
      <c r="N4863" t="s">
        <v>10646</v>
      </c>
      <c r="P4863" t="s">
        <v>10751</v>
      </c>
      <c r="Q4863" t="s">
        <v>10761</v>
      </c>
      <c r="R4863" t="s">
        <v>10822</v>
      </c>
      <c r="T4863">
        <v>41000</v>
      </c>
      <c r="U4863">
        <v>3416.67</v>
      </c>
      <c r="V4863">
        <v>73</v>
      </c>
      <c r="W4863">
        <v>1</v>
      </c>
      <c r="X4863">
        <v>0</v>
      </c>
      <c r="Z4863">
        <v>328.26</v>
      </c>
      <c r="AA4863">
        <v>40.657376</v>
      </c>
      <c r="AB4863">
        <v>-73.88715000000001</v>
      </c>
      <c r="AD4863" t="s">
        <v>10839</v>
      </c>
      <c r="AG4863" t="s">
        <v>10858</v>
      </c>
      <c r="AH4863" t="s">
        <v>10861</v>
      </c>
      <c r="AI4863">
        <v>234</v>
      </c>
      <c r="AJ4863" t="s">
        <v>10214</v>
      </c>
      <c r="AL4863">
        <v>1</v>
      </c>
      <c r="AM4863" t="s">
        <v>10889</v>
      </c>
      <c r="AN4863" t="s">
        <v>10946</v>
      </c>
      <c r="AO4863" t="s">
        <v>11012</v>
      </c>
      <c r="AP4863" t="s">
        <v>11060</v>
      </c>
      <c r="AR4863" t="s">
        <v>11379</v>
      </c>
      <c r="AS4863" t="s">
        <v>11595</v>
      </c>
      <c r="AT4863" t="s">
        <v>11641</v>
      </c>
      <c r="AX4863" t="s">
        <v>10838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</row>
    <row r="4864" spans="1:59">
      <c r="A4864" s="1">
        <f>HYPERLINK("https://lsnyc.legalserver.org/matter/dynamic-profile/view/1909070","19-1909070")</f>
        <v>0</v>
      </c>
      <c r="B4864" t="s">
        <v>3906</v>
      </c>
      <c r="C4864" t="s">
        <v>8723</v>
      </c>
      <c r="D4864" t="s">
        <v>9926</v>
      </c>
      <c r="E4864" t="s">
        <v>10075</v>
      </c>
      <c r="F4864">
        <v>10457</v>
      </c>
      <c r="G4864" t="s">
        <v>10091</v>
      </c>
      <c r="H4864" t="s">
        <v>10152</v>
      </c>
      <c r="I4864" t="s">
        <v>10168</v>
      </c>
      <c r="J4864" t="s">
        <v>10214</v>
      </c>
      <c r="K4864" t="s">
        <v>10217</v>
      </c>
      <c r="M4864" t="s">
        <v>10286</v>
      </c>
      <c r="N4864" t="s">
        <v>10671</v>
      </c>
      <c r="P4864" t="s">
        <v>10752</v>
      </c>
      <c r="Q4864" t="s">
        <v>10762</v>
      </c>
      <c r="R4864" t="s">
        <v>10823</v>
      </c>
      <c r="T4864">
        <v>17520</v>
      </c>
      <c r="U4864">
        <v>1460</v>
      </c>
      <c r="V4864">
        <v>38</v>
      </c>
      <c r="W4864">
        <v>1</v>
      </c>
      <c r="X4864">
        <v>1</v>
      </c>
      <c r="Z4864">
        <v>103.61</v>
      </c>
      <c r="AA4864">
        <v>40.844429</v>
      </c>
      <c r="AB4864">
        <v>-73.891677</v>
      </c>
      <c r="AD4864" t="s">
        <v>10839</v>
      </c>
      <c r="AG4864" t="s">
        <v>10858</v>
      </c>
      <c r="AH4864" t="s">
        <v>10861</v>
      </c>
      <c r="AI4864">
        <v>234</v>
      </c>
      <c r="AJ4864" t="s">
        <v>10214</v>
      </c>
      <c r="AL4864">
        <v>0.3</v>
      </c>
      <c r="AM4864" t="s">
        <v>10884</v>
      </c>
      <c r="AN4864" t="s">
        <v>10918</v>
      </c>
      <c r="AO4864" t="s">
        <v>11000</v>
      </c>
      <c r="AP4864" t="s">
        <v>11062</v>
      </c>
      <c r="AR4864" t="s">
        <v>11318</v>
      </c>
      <c r="AS4864" t="s">
        <v>9926</v>
      </c>
      <c r="AT4864" t="s">
        <v>11641</v>
      </c>
      <c r="AX4864" t="s">
        <v>10838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</row>
    <row r="4865" spans="1:59">
      <c r="A4865" s="1">
        <f>HYPERLINK("https://lsnyc.legalserver.org/matter/dynamic-profile/view/1909071","19-1909071")</f>
        <v>0</v>
      </c>
      <c r="B4865" t="s">
        <v>3893</v>
      </c>
      <c r="C4865" t="s">
        <v>8711</v>
      </c>
      <c r="D4865" t="s">
        <v>9926</v>
      </c>
      <c r="E4865" t="s">
        <v>10075</v>
      </c>
      <c r="F4865">
        <v>10465</v>
      </c>
      <c r="G4865" t="s">
        <v>10090</v>
      </c>
      <c r="H4865" t="s">
        <v>10152</v>
      </c>
      <c r="I4865" t="s">
        <v>10168</v>
      </c>
      <c r="J4865" t="s">
        <v>10210</v>
      </c>
      <c r="K4865" t="s">
        <v>10217</v>
      </c>
      <c r="M4865" t="s">
        <v>10407</v>
      </c>
      <c r="N4865" t="s">
        <v>10671</v>
      </c>
      <c r="P4865" t="s">
        <v>10755</v>
      </c>
      <c r="Q4865" t="s">
        <v>10772</v>
      </c>
      <c r="R4865" t="s">
        <v>10825</v>
      </c>
      <c r="T4865">
        <v>0</v>
      </c>
      <c r="U4865">
        <v>0</v>
      </c>
      <c r="V4865">
        <v>32</v>
      </c>
      <c r="W4865">
        <v>1</v>
      </c>
      <c r="X4865">
        <v>2</v>
      </c>
      <c r="Z4865">
        <v>0</v>
      </c>
      <c r="AA4865">
        <v>40.828112</v>
      </c>
      <c r="AB4865">
        <v>-73.82235900000001</v>
      </c>
      <c r="AD4865" t="s">
        <v>10839</v>
      </c>
      <c r="AG4865" t="s">
        <v>10858</v>
      </c>
      <c r="AH4865" t="s">
        <v>10861</v>
      </c>
      <c r="AI4865">
        <v>234</v>
      </c>
      <c r="AJ4865" t="s">
        <v>10214</v>
      </c>
      <c r="AL4865">
        <v>0.8</v>
      </c>
      <c r="AR4865" t="s">
        <v>11279</v>
      </c>
      <c r="AS4865" t="s">
        <v>9926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</row>
    <row r="4866" spans="1:59">
      <c r="A4866" s="1">
        <f>HYPERLINK("https://lsnyc.legalserver.org/matter/dynamic-profile/view/1909072","19-1909072")</f>
        <v>0</v>
      </c>
      <c r="B4866" t="s">
        <v>3907</v>
      </c>
      <c r="C4866" t="s">
        <v>6279</v>
      </c>
      <c r="D4866" t="s">
        <v>9928</v>
      </c>
      <c r="E4866" t="s">
        <v>10075</v>
      </c>
      <c r="F4866">
        <v>11205</v>
      </c>
      <c r="G4866" t="s">
        <v>10093</v>
      </c>
      <c r="H4866" t="s">
        <v>10152</v>
      </c>
      <c r="I4866" t="s">
        <v>10168</v>
      </c>
      <c r="J4866" t="s">
        <v>10213</v>
      </c>
      <c r="K4866" t="s">
        <v>10217</v>
      </c>
      <c r="M4866" t="s">
        <v>10565</v>
      </c>
      <c r="N4866" t="s">
        <v>10664</v>
      </c>
      <c r="P4866" t="s">
        <v>10749</v>
      </c>
      <c r="Q4866" t="s">
        <v>10767</v>
      </c>
      <c r="R4866" t="s">
        <v>10822</v>
      </c>
      <c r="T4866">
        <v>864</v>
      </c>
      <c r="U4866">
        <v>72</v>
      </c>
      <c r="V4866">
        <v>5</v>
      </c>
      <c r="W4866">
        <v>1</v>
      </c>
      <c r="X4866">
        <v>0</v>
      </c>
      <c r="Z4866">
        <v>6.92</v>
      </c>
      <c r="AA4866">
        <v>40.693982</v>
      </c>
      <c r="AB4866">
        <v>-73.974119</v>
      </c>
      <c r="AD4866" t="s">
        <v>10839</v>
      </c>
      <c r="AF4866" t="s">
        <v>10848</v>
      </c>
      <c r="AG4866" t="s">
        <v>10859</v>
      </c>
      <c r="AH4866" t="s">
        <v>10861</v>
      </c>
      <c r="AI4866">
        <v>239</v>
      </c>
      <c r="AJ4866" t="s">
        <v>10213</v>
      </c>
      <c r="AL4866">
        <v>0</v>
      </c>
      <c r="AM4866" t="s">
        <v>10889</v>
      </c>
      <c r="AN4866" t="s">
        <v>10923</v>
      </c>
      <c r="AO4866" t="s">
        <v>11007</v>
      </c>
      <c r="AP4866" t="s">
        <v>11061</v>
      </c>
      <c r="AR4866" t="s">
        <v>11279</v>
      </c>
      <c r="AS4866" t="s">
        <v>11595</v>
      </c>
      <c r="BA4866" t="s">
        <v>11741</v>
      </c>
      <c r="BB4866">
        <v>0</v>
      </c>
      <c r="BC4866">
        <v>0</v>
      </c>
      <c r="BD4866">
        <v>0</v>
      </c>
      <c r="BE4866">
        <v>0</v>
      </c>
      <c r="BF4866">
        <v>1</v>
      </c>
      <c r="BG4866">
        <v>0</v>
      </c>
    </row>
    <row r="4867" spans="1:59">
      <c r="A4867" s="1">
        <f>HYPERLINK("https://lsnyc.legalserver.org/matter/dynamic-profile/view/1909073","19-1909073")</f>
        <v>0</v>
      </c>
      <c r="B4867" t="s">
        <v>3896</v>
      </c>
      <c r="C4867" t="s">
        <v>8714</v>
      </c>
      <c r="D4867" t="s">
        <v>9931</v>
      </c>
      <c r="E4867" t="s">
        <v>10075</v>
      </c>
      <c r="F4867">
        <v>11369</v>
      </c>
      <c r="G4867" t="s">
        <v>10092</v>
      </c>
      <c r="H4867" t="s">
        <v>10152</v>
      </c>
      <c r="I4867" t="s">
        <v>10169</v>
      </c>
      <c r="J4867" t="s">
        <v>10212</v>
      </c>
      <c r="K4867" t="s">
        <v>10217</v>
      </c>
      <c r="M4867" t="s">
        <v>10523</v>
      </c>
      <c r="N4867" t="s">
        <v>10714</v>
      </c>
      <c r="P4867" t="s">
        <v>10753</v>
      </c>
      <c r="Q4867" t="s">
        <v>10763</v>
      </c>
      <c r="R4867" t="s">
        <v>10823</v>
      </c>
      <c r="T4867">
        <v>14400</v>
      </c>
      <c r="U4867">
        <v>1200</v>
      </c>
      <c r="V4867">
        <v>34</v>
      </c>
      <c r="W4867">
        <v>2</v>
      </c>
      <c r="X4867">
        <v>1</v>
      </c>
      <c r="Z4867">
        <v>67.51000000000001</v>
      </c>
      <c r="AA4867">
        <v>40.757131</v>
      </c>
      <c r="AB4867">
        <v>-73.88118799999999</v>
      </c>
      <c r="AD4867" t="s">
        <v>10839</v>
      </c>
      <c r="AF4867" t="s">
        <v>10842</v>
      </c>
      <c r="AG4867" t="s">
        <v>10859</v>
      </c>
      <c r="AH4867" t="s">
        <v>10864</v>
      </c>
      <c r="AI4867">
        <v>237</v>
      </c>
      <c r="AJ4867" t="s">
        <v>10212</v>
      </c>
      <c r="AL4867">
        <v>3.5</v>
      </c>
      <c r="AM4867" t="s">
        <v>10885</v>
      </c>
      <c r="AN4867" t="s">
        <v>10909</v>
      </c>
      <c r="AO4867" t="s">
        <v>11014</v>
      </c>
      <c r="AP4867" t="s">
        <v>11053</v>
      </c>
      <c r="AQ4867" t="s">
        <v>11104</v>
      </c>
      <c r="AR4867" t="s">
        <v>11257</v>
      </c>
      <c r="AS4867" t="s">
        <v>11594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</row>
    <row r="4868" spans="1:59">
      <c r="A4868" s="1">
        <f>HYPERLINK("https://lsnyc.legalserver.org/matter/dynamic-profile/view/1909075","19-1909075")</f>
        <v>0</v>
      </c>
      <c r="B4868" t="s">
        <v>3908</v>
      </c>
      <c r="C4868" t="s">
        <v>7995</v>
      </c>
      <c r="D4868" t="s">
        <v>9928</v>
      </c>
      <c r="E4868" t="s">
        <v>10075</v>
      </c>
      <c r="F4868">
        <v>11232</v>
      </c>
      <c r="G4868" t="s">
        <v>10093</v>
      </c>
      <c r="H4868" t="s">
        <v>10100</v>
      </c>
      <c r="I4868" t="s">
        <v>10169</v>
      </c>
      <c r="J4868" t="s">
        <v>10213</v>
      </c>
      <c r="K4868" t="s">
        <v>10217</v>
      </c>
      <c r="M4868" t="s">
        <v>10420</v>
      </c>
      <c r="N4868" t="s">
        <v>10673</v>
      </c>
      <c r="P4868" t="s">
        <v>10753</v>
      </c>
      <c r="Q4868" t="s">
        <v>10763</v>
      </c>
      <c r="R4868" t="s">
        <v>10823</v>
      </c>
      <c r="T4868">
        <v>0</v>
      </c>
      <c r="U4868">
        <v>0</v>
      </c>
      <c r="V4868">
        <v>44</v>
      </c>
      <c r="W4868">
        <v>1</v>
      </c>
      <c r="X4868">
        <v>2</v>
      </c>
      <c r="Z4868">
        <v>0</v>
      </c>
      <c r="AA4868">
        <v>40.649435</v>
      </c>
      <c r="AB4868">
        <v>-74.003441</v>
      </c>
      <c r="AD4868" t="s">
        <v>10822</v>
      </c>
      <c r="AF4868" t="s">
        <v>10842</v>
      </c>
      <c r="AG4868" t="s">
        <v>10859</v>
      </c>
      <c r="AH4868" t="s">
        <v>10864</v>
      </c>
      <c r="AI4868">
        <v>239</v>
      </c>
      <c r="AJ4868" t="s">
        <v>10213</v>
      </c>
      <c r="AL4868">
        <v>16.5</v>
      </c>
      <c r="AM4868" t="s">
        <v>10886</v>
      </c>
      <c r="AN4868" t="s">
        <v>10921</v>
      </c>
      <c r="AO4868" t="s">
        <v>11015</v>
      </c>
      <c r="AP4868" t="s">
        <v>11069</v>
      </c>
      <c r="AQ4868" t="s">
        <v>11119</v>
      </c>
      <c r="AR4868" t="s">
        <v>11267</v>
      </c>
      <c r="AS4868" t="s">
        <v>11595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</row>
    <row r="4869" spans="1:59">
      <c r="A4869" s="1">
        <f>HYPERLINK("https://lsnyc.legalserver.org/matter/dynamic-profile/view/1909076","19-1909076")</f>
        <v>0</v>
      </c>
      <c r="B4869" t="s">
        <v>3909</v>
      </c>
      <c r="C4869" t="s">
        <v>8724</v>
      </c>
      <c r="D4869" t="s">
        <v>10053</v>
      </c>
      <c r="E4869" t="s">
        <v>10076</v>
      </c>
      <c r="F4869">
        <v>7712</v>
      </c>
      <c r="G4869" t="s">
        <v>10092</v>
      </c>
      <c r="H4869" t="s">
        <v>10152</v>
      </c>
      <c r="I4869" t="s">
        <v>10168</v>
      </c>
      <c r="J4869" t="s">
        <v>10212</v>
      </c>
      <c r="K4869" t="s">
        <v>10217</v>
      </c>
      <c r="M4869" t="s">
        <v>10260</v>
      </c>
      <c r="N4869" t="s">
        <v>10665</v>
      </c>
      <c r="P4869" t="s">
        <v>10751</v>
      </c>
      <c r="Q4869" t="s">
        <v>10773</v>
      </c>
      <c r="R4869" t="s">
        <v>10825</v>
      </c>
      <c r="T4869">
        <v>0</v>
      </c>
      <c r="U4869">
        <v>0</v>
      </c>
      <c r="V4869">
        <v>34</v>
      </c>
      <c r="W4869">
        <v>1</v>
      </c>
      <c r="X4869">
        <v>0</v>
      </c>
      <c r="Z4869">
        <v>0</v>
      </c>
      <c r="AA4869">
        <v>40.226955</v>
      </c>
      <c r="AB4869">
        <v>-74.00533799999999</v>
      </c>
      <c r="AD4869" t="s">
        <v>10839</v>
      </c>
      <c r="AF4869" t="s">
        <v>10843</v>
      </c>
      <c r="AG4869" t="s">
        <v>10859</v>
      </c>
      <c r="AH4869" t="s">
        <v>10861</v>
      </c>
      <c r="AI4869">
        <v>234</v>
      </c>
      <c r="AJ4869" t="s">
        <v>10214</v>
      </c>
      <c r="AL4869">
        <v>1.85</v>
      </c>
      <c r="AR4869" t="s">
        <v>11267</v>
      </c>
      <c r="AS4869" t="s">
        <v>11621</v>
      </c>
      <c r="AT4869" t="s">
        <v>11641</v>
      </c>
      <c r="AX4869" t="s">
        <v>10838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</row>
    <row r="4870" spans="1:59">
      <c r="A4870" s="1">
        <f>HYPERLINK("https://lsnyc.legalserver.org/matter/dynamic-profile/view/1909077","19-1909077")</f>
        <v>0</v>
      </c>
      <c r="B4870" t="s">
        <v>3525</v>
      </c>
      <c r="C4870" t="s">
        <v>8725</v>
      </c>
      <c r="D4870" t="s">
        <v>9951</v>
      </c>
      <c r="E4870" t="s">
        <v>10075</v>
      </c>
      <c r="F4870">
        <v>11416</v>
      </c>
      <c r="G4870" t="s">
        <v>10092</v>
      </c>
      <c r="H4870" t="s">
        <v>10152</v>
      </c>
      <c r="I4870" t="s">
        <v>10198</v>
      </c>
      <c r="J4870" t="s">
        <v>10212</v>
      </c>
      <c r="K4870" t="s">
        <v>10217</v>
      </c>
      <c r="M4870" t="s">
        <v>10282</v>
      </c>
      <c r="N4870" t="s">
        <v>10674</v>
      </c>
      <c r="P4870" t="s">
        <v>10753</v>
      </c>
      <c r="Q4870" t="s">
        <v>10763</v>
      </c>
      <c r="R4870" t="s">
        <v>10827</v>
      </c>
      <c r="T4870">
        <v>0</v>
      </c>
      <c r="U4870">
        <v>0</v>
      </c>
      <c r="V4870">
        <v>28</v>
      </c>
      <c r="W4870">
        <v>1</v>
      </c>
      <c r="X4870">
        <v>1</v>
      </c>
      <c r="Z4870">
        <v>0</v>
      </c>
      <c r="AA4870">
        <v>40.686373</v>
      </c>
      <c r="AB4870">
        <v>-73.837594</v>
      </c>
      <c r="AD4870" t="s">
        <v>10839</v>
      </c>
      <c r="AF4870" t="s">
        <v>10842</v>
      </c>
      <c r="AG4870" t="s">
        <v>10859</v>
      </c>
      <c r="AH4870" t="s">
        <v>10865</v>
      </c>
      <c r="AI4870">
        <v>237</v>
      </c>
      <c r="AJ4870" t="s">
        <v>10212</v>
      </c>
      <c r="AL4870">
        <v>2.25</v>
      </c>
      <c r="AM4870" t="s">
        <v>10892</v>
      </c>
      <c r="AN4870" t="s">
        <v>10945</v>
      </c>
      <c r="AO4870" t="s">
        <v>11017</v>
      </c>
      <c r="AP4870" t="s">
        <v>11070</v>
      </c>
      <c r="AQ4870" t="s">
        <v>11096</v>
      </c>
      <c r="AR4870" t="s">
        <v>11267</v>
      </c>
      <c r="AS4870" t="s">
        <v>11594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</row>
    <row r="4871" spans="1:59">
      <c r="A4871" s="1">
        <f>HYPERLINK("https://lsnyc.legalserver.org/matter/dynamic-profile/view/1909078","19-1909078")</f>
        <v>0</v>
      </c>
      <c r="B4871" t="s">
        <v>514</v>
      </c>
      <c r="C4871" t="s">
        <v>6650</v>
      </c>
      <c r="D4871" t="s">
        <v>9928</v>
      </c>
      <c r="E4871" t="s">
        <v>10075</v>
      </c>
      <c r="F4871">
        <v>11226</v>
      </c>
      <c r="G4871" t="s">
        <v>10093</v>
      </c>
      <c r="H4871" t="s">
        <v>10115</v>
      </c>
      <c r="J4871" t="s">
        <v>10213</v>
      </c>
      <c r="K4871" t="s">
        <v>10217</v>
      </c>
      <c r="M4871" t="s">
        <v>10457</v>
      </c>
      <c r="N4871" t="s">
        <v>10698</v>
      </c>
      <c r="P4871" t="s">
        <v>10749</v>
      </c>
      <c r="Q4871" t="s">
        <v>10765</v>
      </c>
      <c r="R4871" t="s">
        <v>10824</v>
      </c>
      <c r="T4871">
        <v>9600</v>
      </c>
      <c r="U4871">
        <v>800</v>
      </c>
      <c r="V4871">
        <v>58</v>
      </c>
      <c r="W4871">
        <v>1</v>
      </c>
      <c r="X4871">
        <v>0</v>
      </c>
      <c r="Z4871">
        <v>76.86</v>
      </c>
      <c r="AA4871">
        <v>40.642073</v>
      </c>
      <c r="AB4871">
        <v>-73.961009</v>
      </c>
      <c r="AD4871" t="s">
        <v>10839</v>
      </c>
      <c r="AG4871" t="s">
        <v>10858</v>
      </c>
      <c r="AH4871" t="s">
        <v>10868</v>
      </c>
      <c r="AI4871">
        <v>239</v>
      </c>
      <c r="AJ4871" t="s">
        <v>10213</v>
      </c>
      <c r="AL4871">
        <v>4</v>
      </c>
      <c r="AM4871" t="s">
        <v>10888</v>
      </c>
      <c r="AN4871" t="s">
        <v>10932</v>
      </c>
      <c r="AO4871" t="s">
        <v>11008</v>
      </c>
      <c r="AP4871" t="s">
        <v>11050</v>
      </c>
      <c r="AR4871" t="s">
        <v>11274</v>
      </c>
      <c r="AS4871" t="s">
        <v>11595</v>
      </c>
      <c r="AT4871" t="s">
        <v>11641</v>
      </c>
      <c r="AX4871" t="s">
        <v>10837</v>
      </c>
      <c r="BA4871" t="s">
        <v>11742</v>
      </c>
      <c r="BB4871">
        <v>0</v>
      </c>
      <c r="BC4871">
        <v>0</v>
      </c>
      <c r="BD4871">
        <v>0</v>
      </c>
      <c r="BE4871">
        <v>0</v>
      </c>
      <c r="BF4871">
        <v>7</v>
      </c>
      <c r="BG4871">
        <v>0</v>
      </c>
    </row>
    <row r="4872" spans="1:59">
      <c r="A4872" s="1">
        <f>HYPERLINK("https://lsnyc.legalserver.org/matter/dynamic-profile/view/1909079","19-1909079")</f>
        <v>0</v>
      </c>
      <c r="B4872" t="s">
        <v>3910</v>
      </c>
      <c r="C4872" t="s">
        <v>8636</v>
      </c>
      <c r="D4872" t="s">
        <v>9925</v>
      </c>
      <c r="E4872" t="s">
        <v>10075</v>
      </c>
      <c r="F4872">
        <v>10040</v>
      </c>
      <c r="G4872" t="s">
        <v>10089</v>
      </c>
      <c r="H4872" t="s">
        <v>10152</v>
      </c>
      <c r="I4872" t="s">
        <v>10168</v>
      </c>
      <c r="J4872" t="s">
        <v>10209</v>
      </c>
      <c r="K4872" t="s">
        <v>10217</v>
      </c>
      <c r="M4872" t="s">
        <v>10451</v>
      </c>
      <c r="N4872" t="s">
        <v>10650</v>
      </c>
      <c r="P4872" t="s">
        <v>10749</v>
      </c>
      <c r="Q4872" t="s">
        <v>10765</v>
      </c>
      <c r="R4872" t="s">
        <v>10820</v>
      </c>
      <c r="T4872">
        <v>25000</v>
      </c>
      <c r="U4872">
        <v>2083.33</v>
      </c>
      <c r="V4872">
        <v>29</v>
      </c>
      <c r="W4872">
        <v>2</v>
      </c>
      <c r="X4872">
        <v>0</v>
      </c>
      <c r="Z4872">
        <v>147.84</v>
      </c>
      <c r="AA4872">
        <v>40.857158</v>
      </c>
      <c r="AB4872">
        <v>-73.932643</v>
      </c>
      <c r="AD4872" t="s">
        <v>10839</v>
      </c>
      <c r="AG4872" t="s">
        <v>10858</v>
      </c>
      <c r="AH4872" t="s">
        <v>10862</v>
      </c>
      <c r="AI4872">
        <v>236</v>
      </c>
      <c r="AJ4872" t="s">
        <v>10209</v>
      </c>
      <c r="AL4872">
        <v>0</v>
      </c>
      <c r="AM4872" t="s">
        <v>10887</v>
      </c>
      <c r="AN4872" t="s">
        <v>10937</v>
      </c>
      <c r="AO4872" t="s">
        <v>11019</v>
      </c>
      <c r="AP4872" t="s">
        <v>11074</v>
      </c>
      <c r="AR4872" t="s">
        <v>11257</v>
      </c>
      <c r="AS4872" t="s">
        <v>9925</v>
      </c>
      <c r="AT4872" t="s">
        <v>11641</v>
      </c>
      <c r="AX4872" t="s">
        <v>10838</v>
      </c>
      <c r="BA4872" t="s">
        <v>11742</v>
      </c>
      <c r="BB4872">
        <v>0</v>
      </c>
      <c r="BC4872">
        <v>0</v>
      </c>
      <c r="BD4872">
        <v>0</v>
      </c>
      <c r="BE4872">
        <v>0</v>
      </c>
      <c r="BF4872">
        <v>7</v>
      </c>
      <c r="BG4872">
        <v>0</v>
      </c>
    </row>
    <row r="4873" spans="1:59">
      <c r="A4873" s="1">
        <f>HYPERLINK("https://lsnyc.legalserver.org/matter/dynamic-profile/view/1909081","19-1909081")</f>
        <v>0</v>
      </c>
      <c r="B4873" t="s">
        <v>3911</v>
      </c>
      <c r="C4873" t="s">
        <v>8726</v>
      </c>
      <c r="D4873" t="s">
        <v>9928</v>
      </c>
      <c r="E4873" t="s">
        <v>10075</v>
      </c>
      <c r="F4873">
        <v>11220</v>
      </c>
      <c r="G4873" t="s">
        <v>10093</v>
      </c>
      <c r="H4873" t="s">
        <v>10152</v>
      </c>
      <c r="I4873" t="s">
        <v>10168</v>
      </c>
      <c r="J4873" t="s">
        <v>10213</v>
      </c>
      <c r="K4873" t="s">
        <v>10217</v>
      </c>
      <c r="M4873" t="s">
        <v>10494</v>
      </c>
      <c r="N4873" t="s">
        <v>10664</v>
      </c>
      <c r="P4873" t="s">
        <v>10749</v>
      </c>
      <c r="Q4873" t="s">
        <v>10765</v>
      </c>
      <c r="R4873" t="s">
        <v>10822</v>
      </c>
      <c r="T4873">
        <v>6204</v>
      </c>
      <c r="U4873">
        <v>517</v>
      </c>
      <c r="V4873">
        <v>67</v>
      </c>
      <c r="W4873">
        <v>3</v>
      </c>
      <c r="X4873">
        <v>2</v>
      </c>
      <c r="Z4873">
        <v>20.56</v>
      </c>
      <c r="AA4873">
        <v>40.632481</v>
      </c>
      <c r="AB4873">
        <v>-74.018204</v>
      </c>
      <c r="AD4873" t="s">
        <v>10840</v>
      </c>
      <c r="AG4873" t="s">
        <v>10858</v>
      </c>
      <c r="AH4873" t="s">
        <v>10861</v>
      </c>
      <c r="AI4873">
        <v>239</v>
      </c>
      <c r="AJ4873" t="s">
        <v>10213</v>
      </c>
      <c r="AL4873">
        <v>2.6</v>
      </c>
      <c r="AM4873" t="s">
        <v>10894</v>
      </c>
      <c r="AN4873" t="s">
        <v>10915</v>
      </c>
      <c r="AO4873" t="s">
        <v>11006</v>
      </c>
      <c r="AP4873" t="s">
        <v>11086</v>
      </c>
      <c r="AR4873" t="s">
        <v>11296</v>
      </c>
      <c r="AS4873" t="s">
        <v>11595</v>
      </c>
      <c r="BA4873" t="s">
        <v>11742</v>
      </c>
      <c r="BB4873">
        <v>0</v>
      </c>
      <c r="BC4873">
        <v>0</v>
      </c>
      <c r="BD4873">
        <v>0</v>
      </c>
      <c r="BE4873">
        <v>0</v>
      </c>
      <c r="BF4873">
        <v>7</v>
      </c>
      <c r="BG4873">
        <v>0</v>
      </c>
    </row>
    <row r="4874" spans="1:59">
      <c r="A4874" s="1">
        <f>HYPERLINK("https://lsnyc.legalserver.org/matter/dynamic-profile/view/1909082","19-1909082")</f>
        <v>0</v>
      </c>
      <c r="B4874" t="s">
        <v>3912</v>
      </c>
      <c r="C4874" t="s">
        <v>8727</v>
      </c>
      <c r="D4874" t="s">
        <v>9928</v>
      </c>
      <c r="E4874" t="s">
        <v>10075</v>
      </c>
      <c r="F4874">
        <v>11204</v>
      </c>
      <c r="G4874" t="s">
        <v>10093</v>
      </c>
      <c r="H4874" t="s">
        <v>10100</v>
      </c>
      <c r="I4874" t="s">
        <v>10200</v>
      </c>
      <c r="J4874" t="s">
        <v>10213</v>
      </c>
      <c r="K4874" t="s">
        <v>10217</v>
      </c>
      <c r="M4874" t="s">
        <v>10293</v>
      </c>
      <c r="N4874" t="s">
        <v>10644</v>
      </c>
      <c r="P4874" t="s">
        <v>10749</v>
      </c>
      <c r="Q4874" t="s">
        <v>10765</v>
      </c>
      <c r="R4874" t="s">
        <v>10820</v>
      </c>
      <c r="T4874">
        <v>0</v>
      </c>
      <c r="U4874">
        <v>0</v>
      </c>
      <c r="V4874">
        <v>96</v>
      </c>
      <c r="W4874">
        <v>1</v>
      </c>
      <c r="X4874">
        <v>0</v>
      </c>
      <c r="Z4874">
        <v>0</v>
      </c>
      <c r="AA4874">
        <v>40.62674</v>
      </c>
      <c r="AB4874">
        <v>-73.987247</v>
      </c>
      <c r="AD4874" t="s">
        <v>10840</v>
      </c>
      <c r="AG4874" t="s">
        <v>10858</v>
      </c>
      <c r="AH4874" t="s">
        <v>10867</v>
      </c>
      <c r="AI4874">
        <v>239</v>
      </c>
      <c r="AJ4874" t="s">
        <v>10213</v>
      </c>
      <c r="AL4874">
        <v>14</v>
      </c>
      <c r="AM4874" t="s">
        <v>10894</v>
      </c>
      <c r="AN4874" t="s">
        <v>10947</v>
      </c>
      <c r="AO4874" t="s">
        <v>11015</v>
      </c>
      <c r="AP4874" t="s">
        <v>11079</v>
      </c>
      <c r="AR4874" t="s">
        <v>11266</v>
      </c>
      <c r="AS4874" t="s">
        <v>11595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</row>
    <row r="4875" spans="1:59">
      <c r="A4875" s="1">
        <f>HYPERLINK("https://lsnyc.legalserver.org/matter/dynamic-profile/view/1909083","19-1909083")</f>
        <v>0</v>
      </c>
      <c r="B4875" t="s">
        <v>3913</v>
      </c>
      <c r="C4875" t="s">
        <v>6945</v>
      </c>
      <c r="D4875" t="s">
        <v>9928</v>
      </c>
      <c r="E4875" t="s">
        <v>10075</v>
      </c>
      <c r="F4875">
        <v>11225</v>
      </c>
      <c r="G4875" t="s">
        <v>10093</v>
      </c>
      <c r="H4875" t="s">
        <v>10152</v>
      </c>
      <c r="I4875" t="s">
        <v>10168</v>
      </c>
      <c r="J4875" t="s">
        <v>10213</v>
      </c>
      <c r="K4875" t="s">
        <v>10217</v>
      </c>
      <c r="M4875" t="s">
        <v>10359</v>
      </c>
      <c r="N4875" t="s">
        <v>10667</v>
      </c>
      <c r="P4875" t="s">
        <v>10749</v>
      </c>
      <c r="Q4875" t="s">
        <v>10765</v>
      </c>
      <c r="R4875" t="s">
        <v>10824</v>
      </c>
      <c r="T4875">
        <v>0</v>
      </c>
      <c r="U4875">
        <v>0</v>
      </c>
      <c r="V4875">
        <v>41</v>
      </c>
      <c r="W4875">
        <v>1</v>
      </c>
      <c r="X4875">
        <v>3</v>
      </c>
      <c r="Z4875">
        <v>0</v>
      </c>
      <c r="AA4875">
        <v>40.655566</v>
      </c>
      <c r="AB4875">
        <v>-73.961805</v>
      </c>
      <c r="AD4875" t="s">
        <v>10839</v>
      </c>
      <c r="AF4875" t="s">
        <v>10843</v>
      </c>
      <c r="AG4875" t="s">
        <v>10858</v>
      </c>
      <c r="AH4875" t="s">
        <v>10862</v>
      </c>
      <c r="AI4875">
        <v>239</v>
      </c>
      <c r="AJ4875" t="s">
        <v>10213</v>
      </c>
      <c r="AL4875">
        <v>0.2</v>
      </c>
      <c r="AM4875" t="s">
        <v>10888</v>
      </c>
      <c r="AN4875" t="s">
        <v>10912</v>
      </c>
      <c r="AO4875" t="s">
        <v>11008</v>
      </c>
      <c r="AP4875" t="s">
        <v>11050</v>
      </c>
      <c r="AR4875" t="s">
        <v>11267</v>
      </c>
      <c r="AS4875" t="s">
        <v>11595</v>
      </c>
      <c r="BA4875" t="s">
        <v>11738</v>
      </c>
      <c r="BB4875">
        <v>0</v>
      </c>
      <c r="BC4875">
        <v>0</v>
      </c>
      <c r="BD4875">
        <v>0</v>
      </c>
      <c r="BE4875">
        <v>0</v>
      </c>
      <c r="BF4875">
        <v>5</v>
      </c>
      <c r="BG4875">
        <v>0</v>
      </c>
    </row>
    <row r="4876" spans="1:59">
      <c r="A4876" s="1">
        <f>HYPERLINK("https://lsnyc.legalserver.org/matter/dynamic-profile/view/1909085","19-1909085")</f>
        <v>0</v>
      </c>
      <c r="B4876" t="s">
        <v>3914</v>
      </c>
      <c r="C4876" t="s">
        <v>8680</v>
      </c>
      <c r="D4876" t="s">
        <v>9928</v>
      </c>
      <c r="E4876" t="s">
        <v>10075</v>
      </c>
      <c r="F4876">
        <v>11233</v>
      </c>
      <c r="G4876" t="s">
        <v>10093</v>
      </c>
      <c r="H4876" t="s">
        <v>10152</v>
      </c>
      <c r="I4876" t="s">
        <v>10168</v>
      </c>
      <c r="J4876" t="s">
        <v>10213</v>
      </c>
      <c r="K4876" t="s">
        <v>10217</v>
      </c>
      <c r="M4876" t="s">
        <v>10456</v>
      </c>
      <c r="N4876" t="s">
        <v>10650</v>
      </c>
      <c r="P4876" t="s">
        <v>10749</v>
      </c>
      <c r="Q4876" t="s">
        <v>10765</v>
      </c>
      <c r="R4876" t="s">
        <v>10822</v>
      </c>
      <c r="T4876">
        <v>6000</v>
      </c>
      <c r="U4876">
        <v>500</v>
      </c>
      <c r="V4876">
        <v>64</v>
      </c>
      <c r="W4876">
        <v>2</v>
      </c>
      <c r="X4876">
        <v>0</v>
      </c>
      <c r="Z4876">
        <v>35.48</v>
      </c>
      <c r="AA4876">
        <v>40.675515</v>
      </c>
      <c r="AB4876">
        <v>-73.911641</v>
      </c>
      <c r="AD4876" t="s">
        <v>10822</v>
      </c>
      <c r="AG4876" t="s">
        <v>10858</v>
      </c>
      <c r="AH4876" t="s">
        <v>10862</v>
      </c>
      <c r="AI4876">
        <v>239</v>
      </c>
      <c r="AJ4876" t="s">
        <v>10213</v>
      </c>
      <c r="AL4876">
        <v>0</v>
      </c>
      <c r="AM4876" t="s">
        <v>10889</v>
      </c>
      <c r="AN4876" t="s">
        <v>10922</v>
      </c>
      <c r="AO4876" t="s">
        <v>11007</v>
      </c>
      <c r="AP4876" t="s">
        <v>11064</v>
      </c>
      <c r="AR4876" t="s">
        <v>10180</v>
      </c>
      <c r="AS4876" t="s">
        <v>11595</v>
      </c>
      <c r="BA4876" t="s">
        <v>11739</v>
      </c>
      <c r="BB4876">
        <v>0</v>
      </c>
      <c r="BC4876">
        <v>0</v>
      </c>
      <c r="BD4876">
        <v>0</v>
      </c>
      <c r="BE4876">
        <v>0</v>
      </c>
      <c r="BF4876">
        <v>4</v>
      </c>
      <c r="BG4876">
        <v>0</v>
      </c>
    </row>
    <row r="4877" spans="1:59">
      <c r="A4877" s="1">
        <f>HYPERLINK("https://lsnyc.legalserver.org/matter/dynamic-profile/view/1909086","19-1909086")</f>
        <v>0</v>
      </c>
      <c r="B4877" t="s">
        <v>3915</v>
      </c>
      <c r="C4877" t="s">
        <v>5877</v>
      </c>
      <c r="D4877" t="s">
        <v>9926</v>
      </c>
      <c r="E4877" t="s">
        <v>10075</v>
      </c>
      <c r="F4877">
        <v>10459</v>
      </c>
      <c r="G4877" t="s">
        <v>10090</v>
      </c>
      <c r="H4877" t="s">
        <v>10152</v>
      </c>
      <c r="I4877" t="s">
        <v>10168</v>
      </c>
      <c r="J4877" t="s">
        <v>10210</v>
      </c>
      <c r="K4877" t="s">
        <v>10218</v>
      </c>
      <c r="L4877" t="s">
        <v>10136</v>
      </c>
      <c r="M4877" t="s">
        <v>10262</v>
      </c>
      <c r="N4877" t="s">
        <v>10666</v>
      </c>
      <c r="P4877" t="s">
        <v>10749</v>
      </c>
      <c r="Q4877" t="s">
        <v>10765</v>
      </c>
      <c r="R4877" t="s">
        <v>10824</v>
      </c>
      <c r="T4877">
        <v>10296</v>
      </c>
      <c r="U4877">
        <v>858</v>
      </c>
      <c r="V4877">
        <v>61</v>
      </c>
      <c r="W4877">
        <v>1</v>
      </c>
      <c r="X4877">
        <v>0</v>
      </c>
      <c r="Y4877" t="s">
        <v>10829</v>
      </c>
      <c r="Z4877">
        <v>82.43000000000001</v>
      </c>
      <c r="AA4877">
        <v>40.831061</v>
      </c>
      <c r="AB4877">
        <v>-73.892725</v>
      </c>
      <c r="AD4877" t="s">
        <v>10839</v>
      </c>
      <c r="AG4877" t="s">
        <v>10858</v>
      </c>
      <c r="AH4877" t="s">
        <v>10861</v>
      </c>
      <c r="AI4877">
        <v>230</v>
      </c>
      <c r="AJ4877" t="s">
        <v>10210</v>
      </c>
      <c r="AK4877" t="s">
        <v>10838</v>
      </c>
      <c r="AL4877">
        <v>0.5</v>
      </c>
      <c r="AM4877" t="s">
        <v>10884</v>
      </c>
      <c r="AN4877" t="s">
        <v>10918</v>
      </c>
      <c r="AO4877" t="s">
        <v>11001</v>
      </c>
      <c r="AP4877" t="s">
        <v>11062</v>
      </c>
      <c r="AR4877" t="s">
        <v>11263</v>
      </c>
      <c r="AS4877" t="s">
        <v>9926</v>
      </c>
      <c r="AT4877" t="s">
        <v>11641</v>
      </c>
      <c r="AX4877" t="s">
        <v>10838</v>
      </c>
      <c r="AY4877" t="s">
        <v>10829</v>
      </c>
      <c r="AZ4877" t="s">
        <v>11681</v>
      </c>
      <c r="BA4877" t="s">
        <v>11741</v>
      </c>
      <c r="BB4877">
        <v>0</v>
      </c>
      <c r="BC4877">
        <v>0</v>
      </c>
      <c r="BD4877">
        <v>0</v>
      </c>
      <c r="BE4877">
        <v>0</v>
      </c>
      <c r="BF4877">
        <v>1</v>
      </c>
      <c r="BG4877">
        <v>0</v>
      </c>
    </row>
    <row r="4878" spans="1:59">
      <c r="A4878" s="1">
        <f>HYPERLINK("https://lsnyc.legalserver.org/matter/dynamic-profile/view/1909087","19-1909087")</f>
        <v>0</v>
      </c>
      <c r="B4878" t="s">
        <v>3916</v>
      </c>
      <c r="C4878" t="s">
        <v>8728</v>
      </c>
      <c r="D4878" t="s">
        <v>9928</v>
      </c>
      <c r="E4878" t="s">
        <v>10075</v>
      </c>
      <c r="F4878">
        <v>11233</v>
      </c>
      <c r="G4878" t="s">
        <v>10093</v>
      </c>
      <c r="H4878" t="s">
        <v>10152</v>
      </c>
      <c r="I4878" t="s">
        <v>10168</v>
      </c>
      <c r="J4878" t="s">
        <v>10213</v>
      </c>
      <c r="K4878" t="s">
        <v>10217</v>
      </c>
      <c r="M4878" t="s">
        <v>10456</v>
      </c>
      <c r="N4878" t="s">
        <v>10650</v>
      </c>
      <c r="P4878" t="s">
        <v>10749</v>
      </c>
      <c r="Q4878" t="s">
        <v>10765</v>
      </c>
      <c r="R4878" t="s">
        <v>10822</v>
      </c>
      <c r="T4878">
        <v>43000</v>
      </c>
      <c r="U4878">
        <v>3583.33</v>
      </c>
      <c r="V4878">
        <v>45</v>
      </c>
      <c r="W4878">
        <v>2</v>
      </c>
      <c r="X4878">
        <v>1</v>
      </c>
      <c r="Z4878">
        <v>201.59</v>
      </c>
      <c r="AA4878">
        <v>40.675538</v>
      </c>
      <c r="AB4878">
        <v>-73.913156</v>
      </c>
      <c r="AD4878" t="s">
        <v>10822</v>
      </c>
      <c r="AG4878" t="s">
        <v>10858</v>
      </c>
      <c r="AH4878" t="s">
        <v>10862</v>
      </c>
      <c r="AI4878">
        <v>239</v>
      </c>
      <c r="AJ4878" t="s">
        <v>10213</v>
      </c>
      <c r="AL4878">
        <v>0</v>
      </c>
      <c r="AM4878" t="s">
        <v>10889</v>
      </c>
      <c r="AN4878" t="s">
        <v>10922</v>
      </c>
      <c r="AO4878" t="s">
        <v>11007</v>
      </c>
      <c r="AP4878" t="s">
        <v>11064</v>
      </c>
      <c r="AR4878" t="s">
        <v>10180</v>
      </c>
      <c r="AS4878" t="s">
        <v>11595</v>
      </c>
      <c r="BA4878" t="s">
        <v>11739</v>
      </c>
      <c r="BB4878">
        <v>0</v>
      </c>
      <c r="BC4878">
        <v>0</v>
      </c>
      <c r="BD4878">
        <v>0</v>
      </c>
      <c r="BE4878">
        <v>0</v>
      </c>
      <c r="BF4878">
        <v>4</v>
      </c>
      <c r="BG4878">
        <v>0</v>
      </c>
    </row>
    <row r="4879" spans="1:59">
      <c r="A4879" s="1">
        <f>HYPERLINK("https://lsnyc.legalserver.org/matter/dynamic-profile/view/1909088","19-1909088")</f>
        <v>0</v>
      </c>
      <c r="B4879" t="s">
        <v>3917</v>
      </c>
      <c r="C4879" t="s">
        <v>8729</v>
      </c>
      <c r="D4879" t="s">
        <v>9925</v>
      </c>
      <c r="E4879" t="s">
        <v>10075</v>
      </c>
      <c r="F4879">
        <v>10014</v>
      </c>
      <c r="G4879" t="s">
        <v>10089</v>
      </c>
      <c r="H4879" t="s">
        <v>10160</v>
      </c>
      <c r="J4879" t="s">
        <v>10209</v>
      </c>
      <c r="K4879" t="s">
        <v>10217</v>
      </c>
      <c r="M4879" t="s">
        <v>10447</v>
      </c>
      <c r="N4879" t="s">
        <v>10707</v>
      </c>
      <c r="P4879" t="s">
        <v>10751</v>
      </c>
      <c r="Q4879" t="s">
        <v>10780</v>
      </c>
      <c r="R4879" t="s">
        <v>10821</v>
      </c>
      <c r="T4879">
        <v>8400</v>
      </c>
      <c r="U4879">
        <v>700</v>
      </c>
      <c r="V4879">
        <v>58</v>
      </c>
      <c r="W4879">
        <v>1</v>
      </c>
      <c r="X4879">
        <v>0</v>
      </c>
      <c r="Z4879">
        <v>67.25</v>
      </c>
      <c r="AA4879">
        <v>40.732742</v>
      </c>
      <c r="AB4879">
        <v>-74.005115</v>
      </c>
      <c r="AD4879" t="s">
        <v>10841</v>
      </c>
      <c r="AG4879" t="s">
        <v>10858</v>
      </c>
      <c r="AH4879" t="s">
        <v>10868</v>
      </c>
      <c r="AI4879">
        <v>236</v>
      </c>
      <c r="AJ4879" t="s">
        <v>10209</v>
      </c>
      <c r="AL4879">
        <v>14</v>
      </c>
      <c r="AM4879" t="s">
        <v>10894</v>
      </c>
      <c r="AN4879" t="s">
        <v>10950</v>
      </c>
      <c r="AO4879" t="s">
        <v>11021</v>
      </c>
      <c r="AP4879" t="s">
        <v>11090</v>
      </c>
      <c r="AQ4879" t="s">
        <v>11191</v>
      </c>
      <c r="AR4879" t="s">
        <v>11387</v>
      </c>
      <c r="AS4879" t="s">
        <v>9925</v>
      </c>
      <c r="AT4879" t="s">
        <v>11642</v>
      </c>
      <c r="AX4879" t="s">
        <v>10837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</row>
    <row r="4880" spans="1:59">
      <c r="A4880" s="1">
        <f>HYPERLINK("https://lsnyc.legalserver.org/matter/dynamic-profile/view/1909089","19-1909089")</f>
        <v>0</v>
      </c>
      <c r="B4880" t="s">
        <v>3918</v>
      </c>
      <c r="C4880" t="s">
        <v>5499</v>
      </c>
      <c r="D4880" t="s">
        <v>9928</v>
      </c>
      <c r="E4880" t="s">
        <v>10075</v>
      </c>
      <c r="F4880">
        <v>11233</v>
      </c>
      <c r="G4880" t="s">
        <v>10093</v>
      </c>
      <c r="H4880" t="s">
        <v>10152</v>
      </c>
      <c r="I4880" t="s">
        <v>10168</v>
      </c>
      <c r="J4880" t="s">
        <v>10213</v>
      </c>
      <c r="K4880" t="s">
        <v>10217</v>
      </c>
      <c r="M4880" t="s">
        <v>10456</v>
      </c>
      <c r="N4880" t="s">
        <v>10650</v>
      </c>
      <c r="P4880" t="s">
        <v>10749</v>
      </c>
      <c r="Q4880" t="s">
        <v>10765</v>
      </c>
      <c r="R4880" t="s">
        <v>10822</v>
      </c>
      <c r="T4880">
        <v>20000</v>
      </c>
      <c r="U4880">
        <v>1666.67</v>
      </c>
      <c r="V4880">
        <v>72</v>
      </c>
      <c r="W4880">
        <v>1</v>
      </c>
      <c r="X4880">
        <v>0</v>
      </c>
      <c r="Z4880">
        <v>160.13</v>
      </c>
      <c r="AA4880">
        <v>40.675538</v>
      </c>
      <c r="AB4880">
        <v>-73.913156</v>
      </c>
      <c r="AD4880" t="s">
        <v>10822</v>
      </c>
      <c r="AG4880" t="s">
        <v>10858</v>
      </c>
      <c r="AH4880" t="s">
        <v>10862</v>
      </c>
      <c r="AI4880">
        <v>239</v>
      </c>
      <c r="AJ4880" t="s">
        <v>10213</v>
      </c>
      <c r="AL4880">
        <v>0</v>
      </c>
      <c r="AM4880" t="s">
        <v>10889</v>
      </c>
      <c r="AN4880" t="s">
        <v>10922</v>
      </c>
      <c r="AO4880" t="s">
        <v>11007</v>
      </c>
      <c r="AP4880" t="s">
        <v>11064</v>
      </c>
      <c r="AR4880" t="s">
        <v>10180</v>
      </c>
      <c r="AS4880" t="s">
        <v>11595</v>
      </c>
      <c r="BA4880" t="s">
        <v>11739</v>
      </c>
      <c r="BB4880">
        <v>0</v>
      </c>
      <c r="BC4880">
        <v>0</v>
      </c>
      <c r="BD4880">
        <v>0</v>
      </c>
      <c r="BE4880">
        <v>0</v>
      </c>
      <c r="BF4880">
        <v>4</v>
      </c>
      <c r="BG4880">
        <v>0</v>
      </c>
    </row>
    <row r="4881" spans="1:59">
      <c r="A4881" s="1">
        <f>HYPERLINK("https://lsnyc.legalserver.org/matter/dynamic-profile/view/1909090","19-1909090")</f>
        <v>0</v>
      </c>
      <c r="B4881" t="s">
        <v>3919</v>
      </c>
      <c r="C4881" t="s">
        <v>8730</v>
      </c>
      <c r="D4881" t="s">
        <v>9925</v>
      </c>
      <c r="E4881" t="s">
        <v>10075</v>
      </c>
      <c r="F4881">
        <v>10009</v>
      </c>
      <c r="G4881" t="s">
        <v>10089</v>
      </c>
      <c r="H4881" t="s">
        <v>10147</v>
      </c>
      <c r="I4881" t="s">
        <v>10168</v>
      </c>
      <c r="J4881" t="s">
        <v>10209</v>
      </c>
      <c r="K4881" t="s">
        <v>10217</v>
      </c>
      <c r="M4881" t="s">
        <v>10421</v>
      </c>
      <c r="N4881" t="s">
        <v>10646</v>
      </c>
      <c r="P4881" t="s">
        <v>10754</v>
      </c>
      <c r="Q4881" t="s">
        <v>10770</v>
      </c>
      <c r="R4881" t="s">
        <v>10821</v>
      </c>
      <c r="T4881">
        <v>26400</v>
      </c>
      <c r="U4881">
        <v>2200</v>
      </c>
      <c r="V4881">
        <v>44</v>
      </c>
      <c r="W4881">
        <v>1</v>
      </c>
      <c r="X4881">
        <v>0</v>
      </c>
      <c r="Z4881">
        <v>211.37</v>
      </c>
      <c r="AA4881">
        <v>40.728067</v>
      </c>
      <c r="AB4881">
        <v>-73.976623</v>
      </c>
      <c r="AD4881" t="s">
        <v>10840</v>
      </c>
      <c r="AG4881" t="s">
        <v>10858</v>
      </c>
      <c r="AH4881" t="s">
        <v>10875</v>
      </c>
      <c r="AI4881">
        <v>236</v>
      </c>
      <c r="AJ4881" t="s">
        <v>10209</v>
      </c>
      <c r="AL4881">
        <v>4.5</v>
      </c>
      <c r="AM4881" t="s">
        <v>10891</v>
      </c>
      <c r="AN4881" t="s">
        <v>10910</v>
      </c>
      <c r="AO4881" t="s">
        <v>11021</v>
      </c>
      <c r="AP4881" t="s">
        <v>11048</v>
      </c>
      <c r="AQ4881" t="s">
        <v>11152</v>
      </c>
      <c r="AR4881" t="s">
        <v>11270</v>
      </c>
      <c r="AS4881" t="s">
        <v>9925</v>
      </c>
      <c r="AT4881" t="s">
        <v>11642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</row>
    <row r="4882" spans="1:59">
      <c r="A4882" s="1">
        <f>HYPERLINK("https://lsnyc.legalserver.org/matter/dynamic-profile/view/1909091","19-1909091")</f>
        <v>0</v>
      </c>
      <c r="B4882" t="s">
        <v>3286</v>
      </c>
      <c r="C4882" t="s">
        <v>8731</v>
      </c>
      <c r="D4882" t="s">
        <v>9959</v>
      </c>
      <c r="E4882" t="s">
        <v>10075</v>
      </c>
      <c r="F4882">
        <v>11356</v>
      </c>
      <c r="G4882" t="s">
        <v>10092</v>
      </c>
      <c r="H4882" t="s">
        <v>10152</v>
      </c>
      <c r="I4882" t="s">
        <v>10182</v>
      </c>
      <c r="J4882" t="s">
        <v>10212</v>
      </c>
      <c r="K4882" t="s">
        <v>10217</v>
      </c>
      <c r="M4882" t="s">
        <v>10295</v>
      </c>
      <c r="N4882" t="s">
        <v>10674</v>
      </c>
      <c r="P4882" t="s">
        <v>10754</v>
      </c>
      <c r="Q4882" t="s">
        <v>10777</v>
      </c>
      <c r="R4882" t="s">
        <v>10827</v>
      </c>
      <c r="T4882">
        <v>4000</v>
      </c>
      <c r="U4882">
        <v>333.33</v>
      </c>
      <c r="V4882">
        <v>34</v>
      </c>
      <c r="W4882">
        <v>1</v>
      </c>
      <c r="X4882">
        <v>2</v>
      </c>
      <c r="Z4882">
        <v>18.75</v>
      </c>
      <c r="AA4882">
        <v>40.77985</v>
      </c>
      <c r="AB4882">
        <v>-73.843565</v>
      </c>
      <c r="AD4882" t="s">
        <v>10839</v>
      </c>
      <c r="AF4882" t="s">
        <v>10843</v>
      </c>
      <c r="AG4882" t="s">
        <v>10859</v>
      </c>
      <c r="AH4882" t="s">
        <v>10865</v>
      </c>
      <c r="AI4882">
        <v>237</v>
      </c>
      <c r="AJ4882" t="s">
        <v>10212</v>
      </c>
      <c r="AL4882">
        <v>11.6</v>
      </c>
      <c r="AM4882" t="s">
        <v>10885</v>
      </c>
      <c r="AN4882" t="s">
        <v>10962</v>
      </c>
      <c r="AO4882" t="s">
        <v>11022</v>
      </c>
      <c r="AP4882" t="s">
        <v>11080</v>
      </c>
      <c r="AR4882" t="s">
        <v>11262</v>
      </c>
      <c r="AS4882" t="s">
        <v>11594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</row>
    <row r="4883" spans="1:59">
      <c r="A4883" s="1">
        <f>HYPERLINK("https://lsnyc.legalserver.org/matter/dynamic-profile/view/1909092","19-1909092")</f>
        <v>0</v>
      </c>
      <c r="B4883" t="s">
        <v>3920</v>
      </c>
      <c r="C4883" t="s">
        <v>8728</v>
      </c>
      <c r="D4883" t="s">
        <v>9928</v>
      </c>
      <c r="E4883" t="s">
        <v>10075</v>
      </c>
      <c r="F4883">
        <v>11233</v>
      </c>
      <c r="G4883" t="s">
        <v>10093</v>
      </c>
      <c r="H4883" t="s">
        <v>10152</v>
      </c>
      <c r="I4883" t="s">
        <v>10168</v>
      </c>
      <c r="J4883" t="s">
        <v>10213</v>
      </c>
      <c r="K4883" t="s">
        <v>10217</v>
      </c>
      <c r="M4883" t="s">
        <v>10456</v>
      </c>
      <c r="N4883" t="s">
        <v>10650</v>
      </c>
      <c r="P4883" t="s">
        <v>10749</v>
      </c>
      <c r="Q4883" t="s">
        <v>10765</v>
      </c>
      <c r="R4883" t="s">
        <v>10822</v>
      </c>
      <c r="T4883">
        <v>31000</v>
      </c>
      <c r="U4883">
        <v>2583.33</v>
      </c>
      <c r="V4883">
        <v>69</v>
      </c>
      <c r="W4883">
        <v>2</v>
      </c>
      <c r="X4883">
        <v>2</v>
      </c>
      <c r="Z4883">
        <v>120.39</v>
      </c>
      <c r="AA4883">
        <v>40.675538</v>
      </c>
      <c r="AB4883">
        <v>-73.913156</v>
      </c>
      <c r="AD4883" t="s">
        <v>10822</v>
      </c>
      <c r="AG4883" t="s">
        <v>10858</v>
      </c>
      <c r="AH4883" t="s">
        <v>10862</v>
      </c>
      <c r="AI4883">
        <v>239</v>
      </c>
      <c r="AJ4883" t="s">
        <v>10213</v>
      </c>
      <c r="AL4883">
        <v>0</v>
      </c>
      <c r="AM4883" t="s">
        <v>10889</v>
      </c>
      <c r="AN4883" t="s">
        <v>10922</v>
      </c>
      <c r="AO4883" t="s">
        <v>11007</v>
      </c>
      <c r="AP4883" t="s">
        <v>11064</v>
      </c>
      <c r="AR4883" t="s">
        <v>10180</v>
      </c>
      <c r="AS4883" t="s">
        <v>11595</v>
      </c>
      <c r="BA4883" t="s">
        <v>11739</v>
      </c>
      <c r="BB4883">
        <v>0</v>
      </c>
      <c r="BC4883">
        <v>0</v>
      </c>
      <c r="BD4883">
        <v>0</v>
      </c>
      <c r="BE4883">
        <v>0</v>
      </c>
      <c r="BF4883">
        <v>4</v>
      </c>
      <c r="BG4883">
        <v>0</v>
      </c>
    </row>
    <row r="4884" spans="1:59">
      <c r="A4884" s="1">
        <f>HYPERLINK("https://lsnyc.legalserver.org/matter/dynamic-profile/view/1909094","19-1909094")</f>
        <v>0</v>
      </c>
      <c r="B4884" t="s">
        <v>3921</v>
      </c>
      <c r="C4884" t="s">
        <v>8732</v>
      </c>
      <c r="D4884" t="s">
        <v>9929</v>
      </c>
      <c r="E4884" t="s">
        <v>10075</v>
      </c>
      <c r="F4884">
        <v>10304</v>
      </c>
      <c r="G4884" t="s">
        <v>10093</v>
      </c>
      <c r="H4884" t="s">
        <v>10152</v>
      </c>
      <c r="I4884" t="s">
        <v>10169</v>
      </c>
      <c r="J4884" t="s">
        <v>10213</v>
      </c>
      <c r="K4884" t="s">
        <v>10217</v>
      </c>
      <c r="M4884" t="s">
        <v>10420</v>
      </c>
      <c r="N4884" t="s">
        <v>10679</v>
      </c>
      <c r="P4884" t="s">
        <v>10753</v>
      </c>
      <c r="Q4884" t="s">
        <v>10763</v>
      </c>
      <c r="R4884" t="s">
        <v>10823</v>
      </c>
      <c r="T4884">
        <v>0</v>
      </c>
      <c r="U4884">
        <v>0</v>
      </c>
      <c r="V4884">
        <v>19</v>
      </c>
      <c r="W4884">
        <v>2</v>
      </c>
      <c r="X4884">
        <v>2</v>
      </c>
      <c r="Z4884">
        <v>0</v>
      </c>
      <c r="AA4884">
        <v>40.615985</v>
      </c>
      <c r="AB4884">
        <v>-74.07919699999999</v>
      </c>
      <c r="AD4884" t="s">
        <v>10840</v>
      </c>
      <c r="AF4884" t="s">
        <v>10842</v>
      </c>
      <c r="AG4884" t="s">
        <v>10859</v>
      </c>
      <c r="AH4884" t="s">
        <v>10864</v>
      </c>
      <c r="AI4884">
        <v>239</v>
      </c>
      <c r="AJ4884" t="s">
        <v>10213</v>
      </c>
      <c r="AL4884">
        <v>9</v>
      </c>
      <c r="AM4884" t="s">
        <v>10883</v>
      </c>
      <c r="AN4884" t="s">
        <v>10913</v>
      </c>
      <c r="AO4884" t="s">
        <v>11006</v>
      </c>
      <c r="AP4884" t="s">
        <v>11051</v>
      </c>
      <c r="AQ4884" t="s">
        <v>11119</v>
      </c>
      <c r="AR4884" t="s">
        <v>11267</v>
      </c>
      <c r="AS4884" t="s">
        <v>11593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</row>
    <row r="4885" spans="1:59">
      <c r="A4885" s="1">
        <f>HYPERLINK("https://lsnyc.legalserver.org/matter/dynamic-profile/view/1909095","19-1909095")</f>
        <v>0</v>
      </c>
      <c r="B4885" t="s">
        <v>3922</v>
      </c>
      <c r="C4885" t="s">
        <v>8733</v>
      </c>
      <c r="D4885" t="s">
        <v>9925</v>
      </c>
      <c r="E4885" t="s">
        <v>10075</v>
      </c>
      <c r="F4885">
        <v>10009</v>
      </c>
      <c r="G4885" t="s">
        <v>10089</v>
      </c>
      <c r="H4885" t="s">
        <v>10147</v>
      </c>
      <c r="I4885" t="s">
        <v>10168</v>
      </c>
      <c r="J4885" t="s">
        <v>10209</v>
      </c>
      <c r="K4885" t="s">
        <v>10217</v>
      </c>
      <c r="M4885" t="s">
        <v>10421</v>
      </c>
      <c r="N4885" t="s">
        <v>10688</v>
      </c>
      <c r="P4885" t="s">
        <v>10754</v>
      </c>
      <c r="Q4885" t="s">
        <v>10777</v>
      </c>
      <c r="R4885" t="s">
        <v>10821</v>
      </c>
      <c r="T4885">
        <v>18000</v>
      </c>
      <c r="U4885">
        <v>1500</v>
      </c>
      <c r="V4885">
        <v>48</v>
      </c>
      <c r="W4885">
        <v>1</v>
      </c>
      <c r="X4885">
        <v>2</v>
      </c>
      <c r="Z4885">
        <v>84.39</v>
      </c>
      <c r="AA4885">
        <v>40.725215</v>
      </c>
      <c r="AB4885">
        <v>-73.973327</v>
      </c>
      <c r="AD4885" t="s">
        <v>10839</v>
      </c>
      <c r="AG4885" t="s">
        <v>10858</v>
      </c>
      <c r="AH4885" t="s">
        <v>10875</v>
      </c>
      <c r="AI4885">
        <v>236</v>
      </c>
      <c r="AJ4885" t="s">
        <v>10209</v>
      </c>
      <c r="AL4885">
        <v>4.5</v>
      </c>
      <c r="AM4885" t="s">
        <v>10886</v>
      </c>
      <c r="AN4885" t="s">
        <v>10910</v>
      </c>
      <c r="AO4885" t="s">
        <v>11021</v>
      </c>
      <c r="AP4885" t="s">
        <v>11048</v>
      </c>
      <c r="AQ4885" t="s">
        <v>11128</v>
      </c>
      <c r="AR4885" t="s">
        <v>11257</v>
      </c>
      <c r="AS4885" t="s">
        <v>9925</v>
      </c>
      <c r="AT4885" t="s">
        <v>11641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</row>
    <row r="4886" spans="1:59">
      <c r="A4886" s="1">
        <f>HYPERLINK("https://lsnyc.legalserver.org/matter/dynamic-profile/view/1909096","19-1909096")</f>
        <v>0</v>
      </c>
      <c r="B4886" t="s">
        <v>1310</v>
      </c>
      <c r="C4886" t="s">
        <v>8734</v>
      </c>
      <c r="D4886" t="s">
        <v>9926</v>
      </c>
      <c r="E4886" t="s">
        <v>10075</v>
      </c>
      <c r="F4886">
        <v>10453</v>
      </c>
      <c r="G4886" t="s">
        <v>10090</v>
      </c>
      <c r="H4886" t="s">
        <v>10152</v>
      </c>
      <c r="I4886" t="s">
        <v>10168</v>
      </c>
      <c r="J4886" t="s">
        <v>10210</v>
      </c>
      <c r="K4886" t="s">
        <v>10218</v>
      </c>
      <c r="L4886" t="s">
        <v>10136</v>
      </c>
      <c r="M4886" t="s">
        <v>10262</v>
      </c>
      <c r="N4886" t="s">
        <v>10666</v>
      </c>
      <c r="P4886" t="s">
        <v>10749</v>
      </c>
      <c r="Q4886" t="s">
        <v>10765</v>
      </c>
      <c r="R4886" t="s">
        <v>10824</v>
      </c>
      <c r="T4886">
        <v>0</v>
      </c>
      <c r="U4886">
        <v>0</v>
      </c>
      <c r="V4886">
        <v>43</v>
      </c>
      <c r="W4886">
        <v>1</v>
      </c>
      <c r="X4886">
        <v>0</v>
      </c>
      <c r="Y4886" t="s">
        <v>10829</v>
      </c>
      <c r="Z4886">
        <v>0</v>
      </c>
      <c r="AA4886">
        <v>40.846846</v>
      </c>
      <c r="AB4886">
        <v>-73.914924</v>
      </c>
      <c r="AD4886" t="s">
        <v>10840</v>
      </c>
      <c r="AF4886" t="s">
        <v>10843</v>
      </c>
      <c r="AG4886" t="s">
        <v>10859</v>
      </c>
      <c r="AH4886" t="s">
        <v>10861</v>
      </c>
      <c r="AI4886">
        <v>230</v>
      </c>
      <c r="AJ4886" t="s">
        <v>10210</v>
      </c>
      <c r="AK4886" t="s">
        <v>10882</v>
      </c>
      <c r="AL4886">
        <v>0.5</v>
      </c>
      <c r="AM4886" t="s">
        <v>10884</v>
      </c>
      <c r="AN4886" t="s">
        <v>10929</v>
      </c>
      <c r="AO4886" t="s">
        <v>11013</v>
      </c>
      <c r="AP4886" t="s">
        <v>11045</v>
      </c>
      <c r="AR4886" t="s">
        <v>11267</v>
      </c>
      <c r="AS4886" t="s">
        <v>9926</v>
      </c>
      <c r="AT4886" t="s">
        <v>11642</v>
      </c>
      <c r="AX4886" t="s">
        <v>10838</v>
      </c>
      <c r="AY4886" t="s">
        <v>10829</v>
      </c>
      <c r="AZ4886" t="s">
        <v>11681</v>
      </c>
      <c r="BA4886" t="s">
        <v>11741</v>
      </c>
      <c r="BB4886">
        <v>0</v>
      </c>
      <c r="BC4886">
        <v>0</v>
      </c>
      <c r="BD4886">
        <v>0</v>
      </c>
      <c r="BE4886">
        <v>0</v>
      </c>
      <c r="BF4886">
        <v>1</v>
      </c>
      <c r="BG4886">
        <v>0</v>
      </c>
    </row>
    <row r="4887" spans="1:59">
      <c r="A4887" s="1">
        <f>HYPERLINK("https://lsnyc.legalserver.org/matter/dynamic-profile/view/1909097","19-1909097")</f>
        <v>0</v>
      </c>
      <c r="B4887" t="s">
        <v>3923</v>
      </c>
      <c r="C4887" t="s">
        <v>8735</v>
      </c>
      <c r="D4887" t="s">
        <v>9926</v>
      </c>
      <c r="E4887" t="s">
        <v>10075</v>
      </c>
      <c r="F4887">
        <v>10458</v>
      </c>
      <c r="G4887" t="s">
        <v>10090</v>
      </c>
      <c r="H4887" t="s">
        <v>10152</v>
      </c>
      <c r="I4887" t="s">
        <v>10168</v>
      </c>
      <c r="J4887" t="s">
        <v>10210</v>
      </c>
      <c r="K4887" t="s">
        <v>10218</v>
      </c>
      <c r="L4887" t="s">
        <v>10152</v>
      </c>
      <c r="M4887" t="s">
        <v>10262</v>
      </c>
      <c r="N4887" t="s">
        <v>10646</v>
      </c>
      <c r="P4887" t="s">
        <v>10749</v>
      </c>
      <c r="Q4887" t="s">
        <v>10765</v>
      </c>
      <c r="R4887" t="s">
        <v>10824</v>
      </c>
      <c r="T4887">
        <v>75200</v>
      </c>
      <c r="U4887">
        <v>6266.67</v>
      </c>
      <c r="V4887">
        <v>31</v>
      </c>
      <c r="W4887">
        <v>1</v>
      </c>
      <c r="X4887">
        <v>1</v>
      </c>
      <c r="Y4887" t="s">
        <v>10829</v>
      </c>
      <c r="Z4887">
        <v>444.71</v>
      </c>
      <c r="AA4887">
        <v>40.851849</v>
      </c>
      <c r="AB4887">
        <v>-73.883867</v>
      </c>
      <c r="AD4887" t="s">
        <v>10839</v>
      </c>
      <c r="AG4887" t="s">
        <v>10858</v>
      </c>
      <c r="AH4887" t="s">
        <v>10862</v>
      </c>
      <c r="AI4887">
        <v>230</v>
      </c>
      <c r="AJ4887" t="s">
        <v>10210</v>
      </c>
      <c r="AK4887" t="s">
        <v>10838</v>
      </c>
      <c r="AL4887">
        <v>1.5</v>
      </c>
      <c r="AM4887" t="s">
        <v>10884</v>
      </c>
      <c r="AN4887" t="s">
        <v>10907</v>
      </c>
      <c r="AO4887" t="s">
        <v>11000</v>
      </c>
      <c r="AP4887" t="s">
        <v>11056</v>
      </c>
      <c r="AR4887" t="s">
        <v>11257</v>
      </c>
      <c r="AS4887" t="s">
        <v>9926</v>
      </c>
      <c r="AT4887" t="s">
        <v>11641</v>
      </c>
      <c r="AX4887" t="s">
        <v>10838</v>
      </c>
      <c r="AY4887" t="s">
        <v>10829</v>
      </c>
      <c r="AZ4887" t="s">
        <v>11681</v>
      </c>
      <c r="BA4887" t="s">
        <v>11741</v>
      </c>
      <c r="BB4887">
        <v>0</v>
      </c>
      <c r="BC4887">
        <v>0</v>
      </c>
      <c r="BD4887">
        <v>0</v>
      </c>
      <c r="BE4887">
        <v>0</v>
      </c>
      <c r="BF4887">
        <v>1</v>
      </c>
      <c r="BG4887">
        <v>0</v>
      </c>
    </row>
    <row r="4888" spans="1:59">
      <c r="A4888" s="1">
        <f>HYPERLINK("https://lsnyc.legalserver.org/matter/dynamic-profile/view/1909098","19-1909098")</f>
        <v>0</v>
      </c>
      <c r="B4888" t="s">
        <v>3924</v>
      </c>
      <c r="C4888" t="s">
        <v>8736</v>
      </c>
      <c r="D4888" t="s">
        <v>9929</v>
      </c>
      <c r="E4888" t="s">
        <v>10075</v>
      </c>
      <c r="F4888">
        <v>10310</v>
      </c>
      <c r="G4888" t="s">
        <v>10088</v>
      </c>
      <c r="H4888" t="s">
        <v>10152</v>
      </c>
      <c r="I4888" t="s">
        <v>10169</v>
      </c>
      <c r="J4888" t="s">
        <v>10208</v>
      </c>
      <c r="K4888" t="s">
        <v>10217</v>
      </c>
      <c r="M4888" t="s">
        <v>10409</v>
      </c>
      <c r="N4888" t="s">
        <v>10649</v>
      </c>
      <c r="P4888" t="s">
        <v>10753</v>
      </c>
      <c r="Q4888" t="s">
        <v>10763</v>
      </c>
      <c r="R4888" t="s">
        <v>10821</v>
      </c>
      <c r="T4888">
        <v>0</v>
      </c>
      <c r="U4888">
        <v>0</v>
      </c>
      <c r="V4888">
        <v>43</v>
      </c>
      <c r="W4888">
        <v>3</v>
      </c>
      <c r="X4888">
        <v>3</v>
      </c>
      <c r="Z4888">
        <v>0</v>
      </c>
      <c r="AA4888">
        <v>40.634257</v>
      </c>
      <c r="AB4888">
        <v>-74.122597</v>
      </c>
      <c r="AD4888" t="s">
        <v>10840</v>
      </c>
      <c r="AF4888" t="s">
        <v>10844</v>
      </c>
      <c r="AG4888" t="s">
        <v>10859</v>
      </c>
      <c r="AH4888" t="s">
        <v>10861</v>
      </c>
      <c r="AI4888">
        <v>285</v>
      </c>
      <c r="AJ4888" t="s">
        <v>10208</v>
      </c>
      <c r="AL4888">
        <v>3.5</v>
      </c>
      <c r="AM4888" t="s">
        <v>10883</v>
      </c>
      <c r="AN4888" t="s">
        <v>10913</v>
      </c>
      <c r="AO4888" t="s">
        <v>11006</v>
      </c>
      <c r="AP4888" t="s">
        <v>11051</v>
      </c>
      <c r="AR4888" t="s">
        <v>11267</v>
      </c>
      <c r="AS4888" t="s">
        <v>11593</v>
      </c>
      <c r="AT4888" t="s">
        <v>11642</v>
      </c>
      <c r="AX4888" t="s">
        <v>10838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</row>
    <row r="4889" spans="1:59">
      <c r="A4889" s="1">
        <f>HYPERLINK("https://lsnyc.legalserver.org/matter/dynamic-profile/view/1909099","19-1909099")</f>
        <v>0</v>
      </c>
      <c r="B4889" t="s">
        <v>3925</v>
      </c>
      <c r="C4889" t="s">
        <v>7469</v>
      </c>
      <c r="D4889" t="s">
        <v>9925</v>
      </c>
      <c r="E4889" t="s">
        <v>10075</v>
      </c>
      <c r="F4889">
        <v>10027</v>
      </c>
      <c r="G4889" t="s">
        <v>10089</v>
      </c>
      <c r="H4889" t="s">
        <v>10147</v>
      </c>
      <c r="I4889" t="s">
        <v>10168</v>
      </c>
      <c r="J4889" t="s">
        <v>10209</v>
      </c>
      <c r="K4889" t="s">
        <v>10217</v>
      </c>
      <c r="M4889" t="s">
        <v>10421</v>
      </c>
      <c r="N4889" t="s">
        <v>10716</v>
      </c>
      <c r="P4889" t="s">
        <v>10754</v>
      </c>
      <c r="Q4889" t="s">
        <v>10777</v>
      </c>
      <c r="R4889" t="s">
        <v>10824</v>
      </c>
      <c r="T4889">
        <v>0</v>
      </c>
      <c r="U4889">
        <v>0</v>
      </c>
      <c r="V4889">
        <v>50</v>
      </c>
      <c r="W4889">
        <v>1</v>
      </c>
      <c r="X4889">
        <v>2</v>
      </c>
      <c r="Z4889">
        <v>0</v>
      </c>
      <c r="AA4889">
        <v>40.807858</v>
      </c>
      <c r="AB4889">
        <v>-73.943054</v>
      </c>
      <c r="AD4889" t="s">
        <v>10839</v>
      </c>
      <c r="AG4889" t="s">
        <v>10858</v>
      </c>
      <c r="AH4889" t="s">
        <v>10865</v>
      </c>
      <c r="AI4889">
        <v>236</v>
      </c>
      <c r="AJ4889" t="s">
        <v>10209</v>
      </c>
      <c r="AK4889" t="s">
        <v>10837</v>
      </c>
      <c r="AL4889">
        <v>5.5</v>
      </c>
      <c r="AQ4889" t="s">
        <v>11128</v>
      </c>
      <c r="AR4889" t="s">
        <v>11267</v>
      </c>
      <c r="AS4889" t="s">
        <v>9925</v>
      </c>
      <c r="AT4889" t="s">
        <v>11641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</row>
    <row r="4890" spans="1:59">
      <c r="A4890" s="1">
        <f>HYPERLINK("https://lsnyc.legalserver.org/matter/dynamic-profile/view/1909100","19-1909100")</f>
        <v>0</v>
      </c>
      <c r="B4890" t="s">
        <v>3926</v>
      </c>
      <c r="C4890" t="s">
        <v>8737</v>
      </c>
      <c r="D4890" t="s">
        <v>9928</v>
      </c>
      <c r="E4890" t="s">
        <v>10075</v>
      </c>
      <c r="F4890">
        <v>11210</v>
      </c>
      <c r="G4890" t="s">
        <v>10088</v>
      </c>
      <c r="H4890" t="s">
        <v>10152</v>
      </c>
      <c r="I4890" t="s">
        <v>10168</v>
      </c>
      <c r="J4890" t="s">
        <v>10208</v>
      </c>
      <c r="K4890" t="s">
        <v>10217</v>
      </c>
      <c r="M4890" t="s">
        <v>10466</v>
      </c>
      <c r="N4890" t="s">
        <v>10673</v>
      </c>
      <c r="P4890" t="s">
        <v>10753</v>
      </c>
      <c r="Q4890" t="s">
        <v>10763</v>
      </c>
      <c r="R4890" t="s">
        <v>10824</v>
      </c>
      <c r="T4890">
        <v>0</v>
      </c>
      <c r="U4890">
        <v>0</v>
      </c>
      <c r="V4890">
        <v>26</v>
      </c>
      <c r="W4890">
        <v>1</v>
      </c>
      <c r="X4890">
        <v>0</v>
      </c>
      <c r="Z4890">
        <v>0</v>
      </c>
      <c r="AA4890">
        <v>40.637329</v>
      </c>
      <c r="AB4890">
        <v>-73.94552299999999</v>
      </c>
      <c r="AD4890" t="s">
        <v>10840</v>
      </c>
      <c r="AF4890" t="s">
        <v>10842</v>
      </c>
      <c r="AG4890" t="s">
        <v>10859</v>
      </c>
      <c r="AH4890" t="s">
        <v>10864</v>
      </c>
      <c r="AI4890">
        <v>285</v>
      </c>
      <c r="AJ4890" t="s">
        <v>10208</v>
      </c>
      <c r="AL4890">
        <v>1.25</v>
      </c>
      <c r="AM4890" t="s">
        <v>10888</v>
      </c>
      <c r="AN4890" t="s">
        <v>10925</v>
      </c>
      <c r="AO4890" t="s">
        <v>11008</v>
      </c>
      <c r="AP4890" t="s">
        <v>11065</v>
      </c>
      <c r="AR4890" t="s">
        <v>11267</v>
      </c>
      <c r="AS4890" t="s">
        <v>11593</v>
      </c>
      <c r="AT4890" t="s">
        <v>11642</v>
      </c>
      <c r="AX4890" t="s">
        <v>10837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</row>
    <row r="4891" spans="1:59">
      <c r="A4891" s="1">
        <f>HYPERLINK("https://lsnyc.legalserver.org/matter/dynamic-profile/view/1909101","19-1909101")</f>
        <v>0</v>
      </c>
      <c r="B4891" t="s">
        <v>3927</v>
      </c>
      <c r="C4891" t="s">
        <v>8738</v>
      </c>
      <c r="D4891" t="s">
        <v>9929</v>
      </c>
      <c r="E4891" t="s">
        <v>10075</v>
      </c>
      <c r="F4891">
        <v>10310</v>
      </c>
      <c r="G4891" t="s">
        <v>10088</v>
      </c>
      <c r="H4891" t="s">
        <v>10152</v>
      </c>
      <c r="I4891" t="s">
        <v>10168</v>
      </c>
      <c r="J4891" t="s">
        <v>10208</v>
      </c>
      <c r="K4891" t="s">
        <v>10217</v>
      </c>
      <c r="M4891" t="s">
        <v>10466</v>
      </c>
      <c r="N4891" t="s">
        <v>10673</v>
      </c>
      <c r="P4891" t="s">
        <v>10753</v>
      </c>
      <c r="Q4891" t="s">
        <v>10763</v>
      </c>
      <c r="R4891" t="s">
        <v>10827</v>
      </c>
      <c r="T4891">
        <v>31200</v>
      </c>
      <c r="U4891">
        <v>2600</v>
      </c>
      <c r="V4891">
        <v>28</v>
      </c>
      <c r="W4891">
        <v>2</v>
      </c>
      <c r="X4891">
        <v>0</v>
      </c>
      <c r="Z4891">
        <v>184.51</v>
      </c>
      <c r="AA4891">
        <v>40.630914</v>
      </c>
      <c r="AB4891">
        <v>-74.113891</v>
      </c>
      <c r="AD4891" t="s">
        <v>10840</v>
      </c>
      <c r="AF4891" t="s">
        <v>10845</v>
      </c>
      <c r="AG4891" t="s">
        <v>10859</v>
      </c>
      <c r="AH4891" t="s">
        <v>10861</v>
      </c>
      <c r="AI4891">
        <v>285</v>
      </c>
      <c r="AJ4891" t="s">
        <v>10208</v>
      </c>
      <c r="AL4891">
        <v>1.5</v>
      </c>
      <c r="AM4891" t="s">
        <v>10883</v>
      </c>
      <c r="AN4891" t="s">
        <v>10913</v>
      </c>
      <c r="AO4891" t="s">
        <v>11006</v>
      </c>
      <c r="AP4891" t="s">
        <v>11051</v>
      </c>
      <c r="AR4891" t="s">
        <v>11257</v>
      </c>
      <c r="AS4891" t="s">
        <v>11593</v>
      </c>
      <c r="AX4891" t="s">
        <v>10837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</row>
    <row r="4892" spans="1:59">
      <c r="A4892" s="1">
        <f>HYPERLINK("https://lsnyc.legalserver.org/matter/dynamic-profile/view/1909102","19-1909102")</f>
        <v>0</v>
      </c>
      <c r="C4892" t="s">
        <v>8739</v>
      </c>
      <c r="D4892" t="s">
        <v>9925</v>
      </c>
      <c r="E4892" t="s">
        <v>10075</v>
      </c>
      <c r="F4892">
        <v>10002</v>
      </c>
      <c r="G4892" t="s">
        <v>10093</v>
      </c>
      <c r="H4892" t="s">
        <v>10100</v>
      </c>
      <c r="J4892" t="s">
        <v>10213</v>
      </c>
      <c r="K4892" t="s">
        <v>10217</v>
      </c>
      <c r="M4892" t="s">
        <v>10382</v>
      </c>
      <c r="N4892" t="s">
        <v>10682</v>
      </c>
      <c r="T4892">
        <v>0</v>
      </c>
      <c r="U4892">
        <v>0</v>
      </c>
      <c r="V4892">
        <v>0</v>
      </c>
      <c r="W4892">
        <v>0</v>
      </c>
      <c r="X4892">
        <v>0</v>
      </c>
      <c r="Z4892">
        <v>0</v>
      </c>
      <c r="AA4892">
        <v>40.713101</v>
      </c>
      <c r="AB4892">
        <v>-73.99072099999999</v>
      </c>
      <c r="AH4892" t="s">
        <v>10879</v>
      </c>
      <c r="AI4892">
        <v>239</v>
      </c>
      <c r="AJ4892" t="s">
        <v>10213</v>
      </c>
      <c r="AL4892">
        <v>8.5</v>
      </c>
      <c r="AM4892" t="s">
        <v>10886</v>
      </c>
      <c r="AN4892" t="s">
        <v>10963</v>
      </c>
      <c r="AO4892" t="s">
        <v>11004</v>
      </c>
      <c r="AP4892" t="s">
        <v>11093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</row>
    <row r="4893" spans="1:59">
      <c r="A4893" s="1">
        <f>HYPERLINK("https://lsnyc.legalserver.org/matter/dynamic-profile/view/1909104","19-1909104")</f>
        <v>0</v>
      </c>
      <c r="B4893" t="s">
        <v>2053</v>
      </c>
      <c r="C4893" t="s">
        <v>8740</v>
      </c>
      <c r="D4893" t="s">
        <v>9926</v>
      </c>
      <c r="E4893" t="s">
        <v>10075</v>
      </c>
      <c r="F4893">
        <v>10468</v>
      </c>
      <c r="G4893" t="s">
        <v>10090</v>
      </c>
      <c r="H4893" t="s">
        <v>10152</v>
      </c>
      <c r="I4893" t="s">
        <v>10169</v>
      </c>
      <c r="J4893" t="s">
        <v>10210</v>
      </c>
      <c r="K4893" t="s">
        <v>10217</v>
      </c>
      <c r="M4893" t="s">
        <v>10375</v>
      </c>
      <c r="N4893" t="s">
        <v>10677</v>
      </c>
      <c r="P4893" t="s">
        <v>10751</v>
      </c>
      <c r="Q4893" t="s">
        <v>10786</v>
      </c>
      <c r="R4893" t="s">
        <v>10821</v>
      </c>
      <c r="T4893">
        <v>22836.32</v>
      </c>
      <c r="U4893">
        <v>1903.03</v>
      </c>
      <c r="V4893">
        <v>63</v>
      </c>
      <c r="W4893">
        <v>1</v>
      </c>
      <c r="X4893">
        <v>2</v>
      </c>
      <c r="Z4893">
        <v>107.06</v>
      </c>
      <c r="AA4893">
        <v>40.863201</v>
      </c>
      <c r="AB4893">
        <v>-73.902248</v>
      </c>
      <c r="AD4893" t="s">
        <v>10839</v>
      </c>
      <c r="AG4893" t="s">
        <v>10858</v>
      </c>
      <c r="AH4893" t="s">
        <v>10861</v>
      </c>
      <c r="AI4893">
        <v>230</v>
      </c>
      <c r="AJ4893" t="s">
        <v>10210</v>
      </c>
      <c r="AL4893">
        <v>5.75</v>
      </c>
      <c r="AM4893" t="s">
        <v>10887</v>
      </c>
      <c r="AN4893" t="s">
        <v>10907</v>
      </c>
      <c r="AO4893" t="s">
        <v>11000</v>
      </c>
      <c r="AP4893" t="s">
        <v>11045</v>
      </c>
      <c r="AR4893" t="s">
        <v>11257</v>
      </c>
      <c r="AS4893" t="s">
        <v>9926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</row>
    <row r="4894" spans="1:59">
      <c r="A4894" s="1">
        <f>HYPERLINK("https://lsnyc.legalserver.org/matter/dynamic-profile/view/1909105","19-1909105")</f>
        <v>0</v>
      </c>
      <c r="B4894" t="s">
        <v>3928</v>
      </c>
      <c r="C4894" t="s">
        <v>8741</v>
      </c>
      <c r="D4894" t="s">
        <v>9926</v>
      </c>
      <c r="E4894" t="s">
        <v>10075</v>
      </c>
      <c r="F4894">
        <v>10453</v>
      </c>
      <c r="G4894" t="s">
        <v>10090</v>
      </c>
      <c r="H4894" t="s">
        <v>10152</v>
      </c>
      <c r="I4894" t="s">
        <v>10168</v>
      </c>
      <c r="J4894" t="s">
        <v>10210</v>
      </c>
      <c r="K4894" t="s">
        <v>10217</v>
      </c>
      <c r="M4894" t="s">
        <v>10615</v>
      </c>
      <c r="N4894" t="s">
        <v>10656</v>
      </c>
      <c r="P4894" t="s">
        <v>10751</v>
      </c>
      <c r="Q4894" t="s">
        <v>10768</v>
      </c>
      <c r="R4894" t="s">
        <v>10824</v>
      </c>
      <c r="T4894">
        <v>0</v>
      </c>
      <c r="U4894">
        <v>0</v>
      </c>
      <c r="V4894">
        <v>35</v>
      </c>
      <c r="W4894">
        <v>1</v>
      </c>
      <c r="X4894">
        <v>0</v>
      </c>
      <c r="Z4894">
        <v>0</v>
      </c>
      <c r="AA4894">
        <v>40.855307</v>
      </c>
      <c r="AB4894">
        <v>-73.91098700000001</v>
      </c>
      <c r="AD4894" t="s">
        <v>10840</v>
      </c>
      <c r="AG4894" t="s">
        <v>10858</v>
      </c>
      <c r="AH4894" t="s">
        <v>10866</v>
      </c>
      <c r="AI4894">
        <v>230</v>
      </c>
      <c r="AJ4894" t="s">
        <v>10210</v>
      </c>
      <c r="AL4894">
        <v>24.15</v>
      </c>
      <c r="AM4894" t="s">
        <v>10884</v>
      </c>
      <c r="AN4894" t="s">
        <v>10931</v>
      </c>
      <c r="AO4894" t="s">
        <v>11000</v>
      </c>
      <c r="AP4894" t="s">
        <v>11045</v>
      </c>
      <c r="AR4894" t="s">
        <v>11267</v>
      </c>
      <c r="AS4894" t="s">
        <v>9926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</row>
    <row r="4895" spans="1:59">
      <c r="A4895" s="1">
        <f>HYPERLINK("https://lsnyc.legalserver.org/matter/dynamic-profile/view/1909106","19-1909106")</f>
        <v>0</v>
      </c>
      <c r="B4895" t="s">
        <v>3929</v>
      </c>
      <c r="C4895" t="s">
        <v>8742</v>
      </c>
      <c r="D4895" t="s">
        <v>9926</v>
      </c>
      <c r="E4895" t="s">
        <v>10075</v>
      </c>
      <c r="F4895">
        <v>10473</v>
      </c>
      <c r="G4895" t="s">
        <v>10090</v>
      </c>
      <c r="H4895" t="s">
        <v>10152</v>
      </c>
      <c r="I4895" t="s">
        <v>10168</v>
      </c>
      <c r="J4895" t="s">
        <v>10210</v>
      </c>
      <c r="K4895" t="s">
        <v>10217</v>
      </c>
      <c r="M4895" t="s">
        <v>10615</v>
      </c>
      <c r="N4895" t="s">
        <v>10694</v>
      </c>
      <c r="P4895" t="s">
        <v>10751</v>
      </c>
      <c r="Q4895" t="s">
        <v>10780</v>
      </c>
      <c r="R4895" t="s">
        <v>10825</v>
      </c>
      <c r="T4895">
        <v>0</v>
      </c>
      <c r="U4895">
        <v>0</v>
      </c>
      <c r="V4895">
        <v>11</v>
      </c>
      <c r="W4895">
        <v>1</v>
      </c>
      <c r="X4895">
        <v>2</v>
      </c>
      <c r="Z4895">
        <v>0</v>
      </c>
      <c r="AA4895">
        <v>40.822858</v>
      </c>
      <c r="AB4895">
        <v>-73.86441000000001</v>
      </c>
      <c r="AD4895" t="s">
        <v>10840</v>
      </c>
      <c r="AG4895" t="s">
        <v>10858</v>
      </c>
      <c r="AH4895" t="s">
        <v>10866</v>
      </c>
      <c r="AI4895">
        <v>230</v>
      </c>
      <c r="AJ4895" t="s">
        <v>10210</v>
      </c>
      <c r="AL4895">
        <v>1.45</v>
      </c>
      <c r="AM4895" t="s">
        <v>10884</v>
      </c>
      <c r="AN4895" t="s">
        <v>10968</v>
      </c>
      <c r="AO4895" t="s">
        <v>11001</v>
      </c>
      <c r="AP4895" t="s">
        <v>11046</v>
      </c>
      <c r="AQ4895" t="s">
        <v>11118</v>
      </c>
      <c r="AR4895" t="s">
        <v>11267</v>
      </c>
      <c r="AS4895" t="s">
        <v>9926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</row>
    <row r="4896" spans="1:59">
      <c r="A4896" s="1">
        <f>HYPERLINK("https://lsnyc.legalserver.org/matter/dynamic-profile/view/1909107","19-1909107")</f>
        <v>0</v>
      </c>
      <c r="B4896" t="s">
        <v>3930</v>
      </c>
      <c r="C4896" t="s">
        <v>8743</v>
      </c>
      <c r="D4896" t="s">
        <v>9926</v>
      </c>
      <c r="E4896" t="s">
        <v>10075</v>
      </c>
      <c r="F4896">
        <v>10453</v>
      </c>
      <c r="G4896" t="s">
        <v>10090</v>
      </c>
      <c r="H4896" t="s">
        <v>10164</v>
      </c>
      <c r="I4896" t="s">
        <v>10168</v>
      </c>
      <c r="J4896" t="s">
        <v>10210</v>
      </c>
      <c r="K4896" t="s">
        <v>10217</v>
      </c>
      <c r="M4896" t="s">
        <v>10334</v>
      </c>
      <c r="N4896" t="s">
        <v>10671</v>
      </c>
      <c r="P4896" t="s">
        <v>10751</v>
      </c>
      <c r="Q4896" t="s">
        <v>10796</v>
      </c>
      <c r="R4896" t="s">
        <v>10825</v>
      </c>
      <c r="T4896">
        <v>27512.04</v>
      </c>
      <c r="U4896">
        <v>2292.67</v>
      </c>
      <c r="V4896">
        <v>37</v>
      </c>
      <c r="W4896">
        <v>1</v>
      </c>
      <c r="X4896">
        <v>2</v>
      </c>
      <c r="Z4896">
        <v>128.98</v>
      </c>
      <c r="AA4896">
        <v>40.855561</v>
      </c>
      <c r="AB4896">
        <v>-73.913056</v>
      </c>
      <c r="AD4896" t="s">
        <v>10839</v>
      </c>
      <c r="AG4896" t="s">
        <v>10858</v>
      </c>
      <c r="AH4896" t="s">
        <v>10862</v>
      </c>
      <c r="AI4896">
        <v>230</v>
      </c>
      <c r="AJ4896" t="s">
        <v>10210</v>
      </c>
      <c r="AL4896">
        <v>0.5</v>
      </c>
      <c r="AM4896" t="s">
        <v>10884</v>
      </c>
      <c r="AN4896" t="s">
        <v>10931</v>
      </c>
      <c r="AO4896" t="s">
        <v>11000</v>
      </c>
      <c r="AP4896" t="s">
        <v>11045</v>
      </c>
      <c r="AR4896" t="s">
        <v>11359</v>
      </c>
      <c r="AS4896" t="s">
        <v>9926</v>
      </c>
      <c r="AT4896" t="s">
        <v>11641</v>
      </c>
      <c r="AX4896" t="s">
        <v>10838</v>
      </c>
      <c r="BA4896" t="s">
        <v>11740</v>
      </c>
      <c r="BB4896">
        <v>0</v>
      </c>
      <c r="BC4896">
        <v>0</v>
      </c>
      <c r="BD4896">
        <v>0</v>
      </c>
      <c r="BE4896">
        <v>0</v>
      </c>
      <c r="BF4896">
        <v>2</v>
      </c>
      <c r="BG4896">
        <v>0</v>
      </c>
    </row>
    <row r="4897" spans="1:59">
      <c r="A4897" s="1">
        <f>HYPERLINK("https://lsnyc.legalserver.org/matter/dynamic-profile/view/1909108","19-1909108")</f>
        <v>0</v>
      </c>
      <c r="B4897" t="s">
        <v>3930</v>
      </c>
      <c r="C4897" t="s">
        <v>8743</v>
      </c>
      <c r="D4897" t="s">
        <v>9926</v>
      </c>
      <c r="E4897" t="s">
        <v>10075</v>
      </c>
      <c r="F4897">
        <v>10453</v>
      </c>
      <c r="G4897" t="s">
        <v>10090</v>
      </c>
      <c r="H4897" t="s">
        <v>10164</v>
      </c>
      <c r="I4897" t="s">
        <v>10168</v>
      </c>
      <c r="J4897" t="s">
        <v>10210</v>
      </c>
      <c r="K4897" t="s">
        <v>10217</v>
      </c>
      <c r="M4897" t="s">
        <v>10334</v>
      </c>
      <c r="N4897" t="s">
        <v>10671</v>
      </c>
      <c r="P4897" t="s">
        <v>10751</v>
      </c>
      <c r="Q4897" t="s">
        <v>10761</v>
      </c>
      <c r="R4897" t="s">
        <v>10825</v>
      </c>
      <c r="T4897">
        <v>27512.04</v>
      </c>
      <c r="U4897">
        <v>2292.67</v>
      </c>
      <c r="V4897">
        <v>37</v>
      </c>
      <c r="W4897">
        <v>1</v>
      </c>
      <c r="X4897">
        <v>2</v>
      </c>
      <c r="Z4897">
        <v>128.98</v>
      </c>
      <c r="AA4897">
        <v>40.855561</v>
      </c>
      <c r="AB4897">
        <v>-73.913056</v>
      </c>
      <c r="AD4897" t="s">
        <v>10839</v>
      </c>
      <c r="AG4897" t="s">
        <v>10858</v>
      </c>
      <c r="AH4897" t="s">
        <v>10862</v>
      </c>
      <c r="AI4897">
        <v>230</v>
      </c>
      <c r="AJ4897" t="s">
        <v>10210</v>
      </c>
      <c r="AL4897">
        <v>0.5</v>
      </c>
      <c r="AM4897" t="s">
        <v>10884</v>
      </c>
      <c r="AN4897" t="s">
        <v>10931</v>
      </c>
      <c r="AO4897" t="s">
        <v>11000</v>
      </c>
      <c r="AP4897" t="s">
        <v>11045</v>
      </c>
      <c r="AQ4897" t="s">
        <v>11135</v>
      </c>
      <c r="AR4897" t="s">
        <v>11359</v>
      </c>
      <c r="AS4897" t="s">
        <v>9926</v>
      </c>
      <c r="AT4897" t="s">
        <v>11641</v>
      </c>
      <c r="AX4897" t="s">
        <v>10838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</row>
    <row r="4898" spans="1:59">
      <c r="A4898" s="1">
        <f>HYPERLINK("https://lsnyc.legalserver.org/matter/dynamic-profile/view/1909109","19-1909109")</f>
        <v>0</v>
      </c>
      <c r="B4898" t="s">
        <v>3931</v>
      </c>
      <c r="C4898" t="s">
        <v>8744</v>
      </c>
      <c r="D4898" t="s">
        <v>9926</v>
      </c>
      <c r="E4898" t="s">
        <v>10075</v>
      </c>
      <c r="F4898">
        <v>10463</v>
      </c>
      <c r="G4898" t="s">
        <v>10090</v>
      </c>
      <c r="H4898" t="s">
        <v>10164</v>
      </c>
      <c r="I4898" t="s">
        <v>10168</v>
      </c>
      <c r="J4898" t="s">
        <v>10210</v>
      </c>
      <c r="K4898" t="s">
        <v>10217</v>
      </c>
      <c r="M4898" t="s">
        <v>10334</v>
      </c>
      <c r="N4898" t="s">
        <v>10666</v>
      </c>
      <c r="P4898" t="s">
        <v>10749</v>
      </c>
      <c r="Q4898" t="s">
        <v>10765</v>
      </c>
      <c r="R4898" t="s">
        <v>10824</v>
      </c>
      <c r="T4898">
        <v>52800</v>
      </c>
      <c r="U4898">
        <v>4400</v>
      </c>
      <c r="V4898">
        <v>73</v>
      </c>
      <c r="W4898">
        <v>1</v>
      </c>
      <c r="X4898">
        <v>0</v>
      </c>
      <c r="Z4898">
        <v>422.74</v>
      </c>
      <c r="AA4898">
        <v>40.884192</v>
      </c>
      <c r="AB4898">
        <v>-73.89643700000001</v>
      </c>
      <c r="AC4898" t="s">
        <v>10837</v>
      </c>
      <c r="AD4898" t="s">
        <v>10840</v>
      </c>
      <c r="AG4898" t="s">
        <v>10858</v>
      </c>
      <c r="AH4898" t="s">
        <v>10862</v>
      </c>
      <c r="AI4898">
        <v>230</v>
      </c>
      <c r="AJ4898" t="s">
        <v>10210</v>
      </c>
      <c r="AL4898">
        <v>1.25</v>
      </c>
      <c r="AM4898" t="s">
        <v>10887</v>
      </c>
      <c r="AN4898" t="s">
        <v>10919</v>
      </c>
      <c r="AO4898" t="s">
        <v>11002</v>
      </c>
      <c r="AP4898" t="s">
        <v>11057</v>
      </c>
      <c r="AR4898" t="s">
        <v>11287</v>
      </c>
      <c r="AS4898" t="s">
        <v>9926</v>
      </c>
      <c r="AT4898" t="s">
        <v>11642</v>
      </c>
      <c r="AX4898" t="s">
        <v>10838</v>
      </c>
      <c r="BA4898" t="s">
        <v>11738</v>
      </c>
      <c r="BB4898">
        <v>0</v>
      </c>
      <c r="BC4898">
        <v>0</v>
      </c>
      <c r="BD4898">
        <v>0</v>
      </c>
      <c r="BE4898">
        <v>0</v>
      </c>
      <c r="BF4898">
        <v>5</v>
      </c>
      <c r="BG4898">
        <v>0</v>
      </c>
    </row>
    <row r="4899" spans="1:59">
      <c r="A4899" s="1">
        <f>HYPERLINK("https://lsnyc.legalserver.org/matter/dynamic-profile/view/1909110","19-1909110")</f>
        <v>0</v>
      </c>
      <c r="B4899" t="s">
        <v>3932</v>
      </c>
      <c r="C4899" t="s">
        <v>8745</v>
      </c>
      <c r="D4899" t="s">
        <v>9926</v>
      </c>
      <c r="E4899" t="s">
        <v>10075</v>
      </c>
      <c r="F4899">
        <v>10463</v>
      </c>
      <c r="G4899" t="s">
        <v>10090</v>
      </c>
      <c r="H4899" t="s">
        <v>10115</v>
      </c>
      <c r="I4899" t="s">
        <v>10169</v>
      </c>
      <c r="J4899" t="s">
        <v>10210</v>
      </c>
      <c r="K4899" t="s">
        <v>10217</v>
      </c>
      <c r="M4899" t="s">
        <v>10418</v>
      </c>
      <c r="N4899" t="s">
        <v>10666</v>
      </c>
      <c r="P4899" t="s">
        <v>10749</v>
      </c>
      <c r="Q4899" t="s">
        <v>10765</v>
      </c>
      <c r="R4899" t="s">
        <v>10823</v>
      </c>
      <c r="T4899">
        <v>0</v>
      </c>
      <c r="U4899">
        <v>0</v>
      </c>
      <c r="V4899">
        <v>38</v>
      </c>
      <c r="W4899">
        <v>1</v>
      </c>
      <c r="X4899">
        <v>2</v>
      </c>
      <c r="Z4899">
        <v>0</v>
      </c>
      <c r="AA4899">
        <v>40.872895</v>
      </c>
      <c r="AB4899">
        <v>-73.90277500000001</v>
      </c>
      <c r="AD4899" t="s">
        <v>10839</v>
      </c>
      <c r="AF4899" t="s">
        <v>10843</v>
      </c>
      <c r="AG4899" t="s">
        <v>10859</v>
      </c>
      <c r="AH4899" t="s">
        <v>10862</v>
      </c>
      <c r="AI4899">
        <v>230</v>
      </c>
      <c r="AJ4899" t="s">
        <v>10210</v>
      </c>
      <c r="AL4899">
        <v>3.9</v>
      </c>
      <c r="AM4899" t="s">
        <v>10887</v>
      </c>
      <c r="AN4899" t="s">
        <v>10907</v>
      </c>
      <c r="AO4899" t="s">
        <v>11000</v>
      </c>
      <c r="AP4899" t="s">
        <v>11045</v>
      </c>
      <c r="AR4899" t="s">
        <v>11279</v>
      </c>
      <c r="AS4899" t="s">
        <v>9926</v>
      </c>
      <c r="AT4899" t="s">
        <v>11641</v>
      </c>
      <c r="AX4899" t="s">
        <v>10838</v>
      </c>
      <c r="BA4899" t="s">
        <v>11738</v>
      </c>
      <c r="BB4899">
        <v>0</v>
      </c>
      <c r="BC4899">
        <v>0</v>
      </c>
      <c r="BD4899">
        <v>0</v>
      </c>
      <c r="BE4899">
        <v>0</v>
      </c>
      <c r="BF4899">
        <v>5</v>
      </c>
      <c r="BG4899">
        <v>0</v>
      </c>
    </row>
    <row r="4900" spans="1:59">
      <c r="A4900" s="1">
        <f>HYPERLINK("https://lsnyc.legalserver.org/matter/dynamic-profile/view/1909111","19-1909111")</f>
        <v>0</v>
      </c>
      <c r="B4900" t="s">
        <v>2424</v>
      </c>
      <c r="C4900" t="s">
        <v>7205</v>
      </c>
      <c r="D4900" t="s">
        <v>9955</v>
      </c>
      <c r="E4900" t="s">
        <v>10075</v>
      </c>
      <c r="F4900">
        <v>11692</v>
      </c>
      <c r="G4900" t="s">
        <v>10092</v>
      </c>
      <c r="H4900" t="s">
        <v>10147</v>
      </c>
      <c r="I4900" t="s">
        <v>10168</v>
      </c>
      <c r="J4900" t="s">
        <v>10212</v>
      </c>
      <c r="K4900" t="s">
        <v>10217</v>
      </c>
      <c r="M4900" t="s">
        <v>10232</v>
      </c>
      <c r="N4900" t="s">
        <v>10648</v>
      </c>
      <c r="P4900" t="s">
        <v>10753</v>
      </c>
      <c r="Q4900" t="s">
        <v>10763</v>
      </c>
      <c r="R4900" t="s">
        <v>10824</v>
      </c>
      <c r="T4900">
        <v>0</v>
      </c>
      <c r="U4900">
        <v>0</v>
      </c>
      <c r="V4900">
        <v>48</v>
      </c>
      <c r="W4900">
        <v>1</v>
      </c>
      <c r="X4900">
        <v>2</v>
      </c>
      <c r="Z4900">
        <v>0</v>
      </c>
      <c r="AA4900">
        <v>40.598359</v>
      </c>
      <c r="AB4900">
        <v>-73.794566</v>
      </c>
      <c r="AD4900" t="s">
        <v>10839</v>
      </c>
      <c r="AF4900" t="s">
        <v>10842</v>
      </c>
      <c r="AG4900" t="s">
        <v>10859</v>
      </c>
      <c r="AH4900" t="s">
        <v>10864</v>
      </c>
      <c r="AI4900">
        <v>237</v>
      </c>
      <c r="AJ4900" t="s">
        <v>10212</v>
      </c>
      <c r="AL4900">
        <v>1.6</v>
      </c>
      <c r="AM4900" t="s">
        <v>10892</v>
      </c>
      <c r="AN4900" t="s">
        <v>10930</v>
      </c>
      <c r="AO4900" t="s">
        <v>11017</v>
      </c>
      <c r="AP4900" t="s">
        <v>11082</v>
      </c>
      <c r="AQ4900" t="s">
        <v>11140</v>
      </c>
      <c r="AR4900" t="s">
        <v>11267</v>
      </c>
      <c r="AS4900" t="s">
        <v>11594</v>
      </c>
      <c r="AT4900" t="s">
        <v>11641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</row>
    <row r="4901" spans="1:59">
      <c r="A4901" s="1">
        <f>HYPERLINK("https://lsnyc.legalserver.org/matter/dynamic-profile/view/1909112","19-1909112")</f>
        <v>0</v>
      </c>
      <c r="B4901" t="s">
        <v>3932</v>
      </c>
      <c r="C4901" t="s">
        <v>8745</v>
      </c>
      <c r="D4901" t="s">
        <v>9926</v>
      </c>
      <c r="E4901" t="s">
        <v>10075</v>
      </c>
      <c r="F4901">
        <v>10463</v>
      </c>
      <c r="G4901" t="s">
        <v>10090</v>
      </c>
      <c r="H4901" t="s">
        <v>10115</v>
      </c>
      <c r="I4901" t="s">
        <v>10169</v>
      </c>
      <c r="J4901" t="s">
        <v>10210</v>
      </c>
      <c r="K4901" t="s">
        <v>10217</v>
      </c>
      <c r="M4901" t="s">
        <v>10418</v>
      </c>
      <c r="N4901" t="s">
        <v>10671</v>
      </c>
      <c r="P4901" t="s">
        <v>10751</v>
      </c>
      <c r="Q4901" t="s">
        <v>10761</v>
      </c>
      <c r="R4901" t="s">
        <v>10823</v>
      </c>
      <c r="T4901">
        <v>0</v>
      </c>
      <c r="U4901">
        <v>0</v>
      </c>
      <c r="V4901">
        <v>38</v>
      </c>
      <c r="W4901">
        <v>1</v>
      </c>
      <c r="X4901">
        <v>2</v>
      </c>
      <c r="Z4901">
        <v>0</v>
      </c>
      <c r="AA4901">
        <v>40.872895</v>
      </c>
      <c r="AB4901">
        <v>-73.90277500000001</v>
      </c>
      <c r="AD4901" t="s">
        <v>10839</v>
      </c>
      <c r="AF4901" t="s">
        <v>10843</v>
      </c>
      <c r="AG4901" t="s">
        <v>10859</v>
      </c>
      <c r="AH4901" t="s">
        <v>10862</v>
      </c>
      <c r="AI4901">
        <v>230</v>
      </c>
      <c r="AJ4901" t="s">
        <v>10210</v>
      </c>
      <c r="AL4901">
        <v>0.5</v>
      </c>
      <c r="AR4901" t="s">
        <v>11279</v>
      </c>
      <c r="AS4901" t="s">
        <v>9926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</row>
    <row r="4902" spans="1:59">
      <c r="A4902" s="1">
        <f>HYPERLINK("https://lsnyc.legalserver.org/matter/dynamic-profile/view/1909113","19-1909113")</f>
        <v>0</v>
      </c>
      <c r="B4902" t="s">
        <v>3933</v>
      </c>
      <c r="C4902" t="s">
        <v>8746</v>
      </c>
      <c r="D4902" t="s">
        <v>9926</v>
      </c>
      <c r="E4902" t="s">
        <v>10075</v>
      </c>
      <c r="F4902">
        <v>10453</v>
      </c>
      <c r="G4902" t="s">
        <v>10090</v>
      </c>
      <c r="H4902" t="s">
        <v>10115</v>
      </c>
      <c r="I4902" t="s">
        <v>10169</v>
      </c>
      <c r="J4902" t="s">
        <v>10210</v>
      </c>
      <c r="K4902" t="s">
        <v>10218</v>
      </c>
      <c r="L4902" t="s">
        <v>10157</v>
      </c>
      <c r="M4902" t="s">
        <v>10262</v>
      </c>
      <c r="N4902" t="s">
        <v>10666</v>
      </c>
      <c r="P4902" t="s">
        <v>10749</v>
      </c>
      <c r="Q4902" t="s">
        <v>10765</v>
      </c>
      <c r="R4902" t="s">
        <v>10821</v>
      </c>
      <c r="T4902">
        <v>9624</v>
      </c>
      <c r="U4902">
        <v>802</v>
      </c>
      <c r="V4902">
        <v>72</v>
      </c>
      <c r="W4902">
        <v>1</v>
      </c>
      <c r="X4902">
        <v>0</v>
      </c>
      <c r="Y4902" t="s">
        <v>10829</v>
      </c>
      <c r="Z4902">
        <v>77.05</v>
      </c>
      <c r="AA4902">
        <v>40.852324</v>
      </c>
      <c r="AB4902">
        <v>-73.922595</v>
      </c>
      <c r="AD4902" t="s">
        <v>10839</v>
      </c>
      <c r="AG4902" t="s">
        <v>10858</v>
      </c>
      <c r="AH4902" t="s">
        <v>10861</v>
      </c>
      <c r="AI4902">
        <v>230</v>
      </c>
      <c r="AJ4902" t="s">
        <v>10210</v>
      </c>
      <c r="AK4902" t="s">
        <v>10882</v>
      </c>
      <c r="AL4902">
        <v>0.5</v>
      </c>
      <c r="AM4902" t="s">
        <v>10887</v>
      </c>
      <c r="AN4902" t="s">
        <v>10929</v>
      </c>
      <c r="AO4902" t="s">
        <v>11013</v>
      </c>
      <c r="AP4902" t="s">
        <v>11055</v>
      </c>
      <c r="AR4902" t="s">
        <v>11263</v>
      </c>
      <c r="AS4902" t="s">
        <v>9926</v>
      </c>
      <c r="AT4902" t="s">
        <v>11641</v>
      </c>
      <c r="AX4902" t="s">
        <v>10838</v>
      </c>
      <c r="AY4902" t="s">
        <v>10829</v>
      </c>
      <c r="AZ4902" t="s">
        <v>11681</v>
      </c>
      <c r="BA4902" t="s">
        <v>11741</v>
      </c>
      <c r="BB4902">
        <v>0</v>
      </c>
      <c r="BC4902">
        <v>0</v>
      </c>
      <c r="BD4902">
        <v>0</v>
      </c>
      <c r="BE4902">
        <v>0</v>
      </c>
      <c r="BF4902">
        <v>1</v>
      </c>
      <c r="BG4902">
        <v>0</v>
      </c>
    </row>
    <row r="4903" spans="1:59">
      <c r="A4903" s="1">
        <f>HYPERLINK("https://lsnyc.legalserver.org/matter/dynamic-profile/view/1909114","19-1909114")</f>
        <v>0</v>
      </c>
      <c r="B4903" t="s">
        <v>3934</v>
      </c>
      <c r="C4903" t="s">
        <v>8747</v>
      </c>
      <c r="D4903" t="s">
        <v>9928</v>
      </c>
      <c r="E4903" t="s">
        <v>10075</v>
      </c>
      <c r="F4903">
        <v>11205</v>
      </c>
      <c r="G4903" t="s">
        <v>10093</v>
      </c>
      <c r="H4903" t="s">
        <v>10115</v>
      </c>
      <c r="I4903" t="s">
        <v>10168</v>
      </c>
      <c r="J4903" t="s">
        <v>10213</v>
      </c>
      <c r="K4903" t="s">
        <v>10217</v>
      </c>
      <c r="M4903" t="s">
        <v>10494</v>
      </c>
      <c r="N4903" t="s">
        <v>10664</v>
      </c>
      <c r="P4903" t="s">
        <v>10749</v>
      </c>
      <c r="Q4903" t="s">
        <v>10765</v>
      </c>
      <c r="R4903" t="s">
        <v>10824</v>
      </c>
      <c r="T4903">
        <v>9000</v>
      </c>
      <c r="U4903">
        <v>750</v>
      </c>
      <c r="V4903">
        <v>61</v>
      </c>
      <c r="W4903">
        <v>1</v>
      </c>
      <c r="X4903">
        <v>1</v>
      </c>
      <c r="Z4903">
        <v>53.22</v>
      </c>
      <c r="AA4903">
        <v>40.692827</v>
      </c>
      <c r="AB4903">
        <v>-73.96824599999999</v>
      </c>
      <c r="AD4903" t="s">
        <v>10839</v>
      </c>
      <c r="AG4903" t="s">
        <v>10858</v>
      </c>
      <c r="AH4903" t="s">
        <v>10861</v>
      </c>
      <c r="AI4903">
        <v>239</v>
      </c>
      <c r="AJ4903" t="s">
        <v>10213</v>
      </c>
      <c r="AL4903">
        <v>2.2</v>
      </c>
      <c r="AM4903" t="s">
        <v>10889</v>
      </c>
      <c r="AN4903" t="s">
        <v>10923</v>
      </c>
      <c r="AO4903" t="s">
        <v>11007</v>
      </c>
      <c r="AP4903" t="s">
        <v>11061</v>
      </c>
      <c r="AR4903" t="s">
        <v>11279</v>
      </c>
      <c r="AS4903" t="s">
        <v>11595</v>
      </c>
      <c r="BA4903" t="s">
        <v>11742</v>
      </c>
      <c r="BB4903">
        <v>0</v>
      </c>
      <c r="BC4903">
        <v>0</v>
      </c>
      <c r="BD4903">
        <v>0</v>
      </c>
      <c r="BE4903">
        <v>0</v>
      </c>
      <c r="BF4903">
        <v>7</v>
      </c>
      <c r="BG4903">
        <v>0</v>
      </c>
    </row>
    <row r="4904" spans="1:59">
      <c r="A4904" s="1">
        <f>HYPERLINK("https://lsnyc.legalserver.org/matter/dynamic-profile/view/1909115","19-1909115")</f>
        <v>0</v>
      </c>
      <c r="B4904" t="s">
        <v>3096</v>
      </c>
      <c r="C4904" t="s">
        <v>7885</v>
      </c>
      <c r="D4904" t="s">
        <v>9926</v>
      </c>
      <c r="E4904" t="s">
        <v>10075</v>
      </c>
      <c r="F4904">
        <v>10460</v>
      </c>
      <c r="G4904" t="s">
        <v>10090</v>
      </c>
      <c r="H4904" t="s">
        <v>10115</v>
      </c>
      <c r="I4904" t="s">
        <v>10169</v>
      </c>
      <c r="J4904" t="s">
        <v>10210</v>
      </c>
      <c r="K4904" t="s">
        <v>10217</v>
      </c>
      <c r="M4904" t="s">
        <v>10596</v>
      </c>
      <c r="N4904" t="s">
        <v>10677</v>
      </c>
      <c r="P4904" t="s">
        <v>10757</v>
      </c>
      <c r="Q4904" t="s">
        <v>10789</v>
      </c>
      <c r="R4904" t="s">
        <v>10823</v>
      </c>
      <c r="T4904">
        <v>4800</v>
      </c>
      <c r="U4904">
        <v>400</v>
      </c>
      <c r="V4904">
        <v>75</v>
      </c>
      <c r="W4904">
        <v>2</v>
      </c>
      <c r="X4904">
        <v>0</v>
      </c>
      <c r="Z4904">
        <v>53.22</v>
      </c>
      <c r="AA4904">
        <v>40.836324</v>
      </c>
      <c r="AB4904">
        <v>-73.865476</v>
      </c>
      <c r="AD4904" t="s">
        <v>10840</v>
      </c>
      <c r="AF4904" t="s">
        <v>10843</v>
      </c>
      <c r="AG4904" t="s">
        <v>10859</v>
      </c>
      <c r="AH4904" t="s">
        <v>10869</v>
      </c>
      <c r="AI4904">
        <v>230</v>
      </c>
      <c r="AJ4904" t="s">
        <v>10210</v>
      </c>
      <c r="AL4904">
        <v>0.75</v>
      </c>
      <c r="AR4904" t="s">
        <v>11268</v>
      </c>
      <c r="AS4904" t="s">
        <v>9926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</row>
    <row r="4905" spans="1:59">
      <c r="A4905" s="1">
        <f>HYPERLINK("https://lsnyc.legalserver.org/matter/dynamic-profile/view/1909116","19-1909116")</f>
        <v>0</v>
      </c>
      <c r="B4905" t="s">
        <v>3935</v>
      </c>
      <c r="C4905" t="s">
        <v>8748</v>
      </c>
      <c r="D4905" t="s">
        <v>9928</v>
      </c>
      <c r="E4905" t="s">
        <v>10075</v>
      </c>
      <c r="F4905">
        <v>11226</v>
      </c>
      <c r="G4905" t="s">
        <v>10093</v>
      </c>
      <c r="H4905" t="s">
        <v>10115</v>
      </c>
      <c r="I4905" t="s">
        <v>10168</v>
      </c>
      <c r="J4905" t="s">
        <v>10213</v>
      </c>
      <c r="K4905" t="s">
        <v>10217</v>
      </c>
      <c r="M4905" t="s">
        <v>10327</v>
      </c>
      <c r="N4905" t="s">
        <v>10646</v>
      </c>
      <c r="P4905" t="s">
        <v>10749</v>
      </c>
      <c r="Q4905" t="s">
        <v>10765</v>
      </c>
      <c r="R4905" t="s">
        <v>10824</v>
      </c>
      <c r="T4905">
        <v>49056</v>
      </c>
      <c r="U4905">
        <v>4088</v>
      </c>
      <c r="V4905">
        <v>30</v>
      </c>
      <c r="W4905">
        <v>1</v>
      </c>
      <c r="X4905">
        <v>0</v>
      </c>
      <c r="Z4905">
        <v>392.76</v>
      </c>
      <c r="AA4905">
        <v>40.648191</v>
      </c>
      <c r="AB4905">
        <v>-73.96256200000001</v>
      </c>
      <c r="AC4905" t="s">
        <v>10837</v>
      </c>
      <c r="AD4905" t="s">
        <v>10840</v>
      </c>
      <c r="AG4905" t="s">
        <v>10858</v>
      </c>
      <c r="AH4905" t="s">
        <v>10862</v>
      </c>
      <c r="AI4905">
        <v>239</v>
      </c>
      <c r="AJ4905" t="s">
        <v>10213</v>
      </c>
      <c r="AL4905">
        <v>6.86</v>
      </c>
      <c r="AM4905" t="s">
        <v>10888</v>
      </c>
      <c r="AN4905" t="s">
        <v>10932</v>
      </c>
      <c r="AO4905" t="s">
        <v>11008</v>
      </c>
      <c r="AP4905" t="s">
        <v>11050</v>
      </c>
      <c r="AR4905" t="s">
        <v>10180</v>
      </c>
      <c r="AS4905" t="s">
        <v>11595</v>
      </c>
      <c r="BA4905" t="s">
        <v>11742</v>
      </c>
      <c r="BB4905">
        <v>0</v>
      </c>
      <c r="BC4905">
        <v>0</v>
      </c>
      <c r="BD4905">
        <v>0</v>
      </c>
      <c r="BE4905">
        <v>0</v>
      </c>
      <c r="BF4905">
        <v>7</v>
      </c>
      <c r="BG4905">
        <v>0</v>
      </c>
    </row>
    <row r="4906" spans="1:59">
      <c r="A4906" s="1">
        <f>HYPERLINK("https://lsnyc.legalserver.org/matter/dynamic-profile/view/1909117","19-1909117")</f>
        <v>0</v>
      </c>
      <c r="B4906" t="s">
        <v>3936</v>
      </c>
      <c r="C4906" t="s">
        <v>8749</v>
      </c>
      <c r="D4906" t="s">
        <v>9928</v>
      </c>
      <c r="E4906" t="s">
        <v>10075</v>
      </c>
      <c r="F4906">
        <v>11215</v>
      </c>
      <c r="G4906" t="s">
        <v>10093</v>
      </c>
      <c r="H4906" t="s">
        <v>10115</v>
      </c>
      <c r="I4906" t="s">
        <v>10168</v>
      </c>
      <c r="J4906" t="s">
        <v>10213</v>
      </c>
      <c r="K4906" t="s">
        <v>10217</v>
      </c>
      <c r="M4906" t="s">
        <v>10426</v>
      </c>
      <c r="N4906" t="s">
        <v>10671</v>
      </c>
      <c r="P4906" t="s">
        <v>10751</v>
      </c>
      <c r="Q4906" t="s">
        <v>10761</v>
      </c>
      <c r="R4906" t="s">
        <v>10823</v>
      </c>
      <c r="T4906">
        <v>20000.04</v>
      </c>
      <c r="U4906">
        <v>1666.67</v>
      </c>
      <c r="V4906">
        <v>33</v>
      </c>
      <c r="W4906">
        <v>2</v>
      </c>
      <c r="X4906">
        <v>0</v>
      </c>
      <c r="Z4906">
        <v>118.27</v>
      </c>
      <c r="AA4906">
        <v>40.666673</v>
      </c>
      <c r="AB4906">
        <v>-73.98683699999999</v>
      </c>
      <c r="AD4906" t="s">
        <v>10840</v>
      </c>
      <c r="AG4906" t="s">
        <v>10858</v>
      </c>
      <c r="AH4906" t="s">
        <v>10862</v>
      </c>
      <c r="AI4906">
        <v>239</v>
      </c>
      <c r="AJ4906" t="s">
        <v>10213</v>
      </c>
      <c r="AL4906">
        <v>1</v>
      </c>
      <c r="AM4906" t="s">
        <v>10886</v>
      </c>
      <c r="AN4906" t="s">
        <v>10917</v>
      </c>
      <c r="AO4906" t="s">
        <v>11008</v>
      </c>
      <c r="AP4906" t="s">
        <v>11059</v>
      </c>
      <c r="AR4906" t="s">
        <v>11257</v>
      </c>
      <c r="AS4906" t="s">
        <v>11595</v>
      </c>
      <c r="BA4906" t="s">
        <v>11742</v>
      </c>
      <c r="BB4906">
        <v>0</v>
      </c>
      <c r="BC4906">
        <v>0</v>
      </c>
      <c r="BD4906">
        <v>0</v>
      </c>
      <c r="BE4906">
        <v>0</v>
      </c>
      <c r="BF4906">
        <v>7</v>
      </c>
      <c r="BG4906">
        <v>0</v>
      </c>
    </row>
    <row r="4907" spans="1:59">
      <c r="A4907" s="1">
        <f>HYPERLINK("https://lsnyc.legalserver.org/matter/dynamic-profile/view/1909118","19-1909118")</f>
        <v>0</v>
      </c>
      <c r="B4907" t="s">
        <v>1707</v>
      </c>
      <c r="C4907" t="s">
        <v>6506</v>
      </c>
      <c r="D4907" t="s">
        <v>9926</v>
      </c>
      <c r="E4907" t="s">
        <v>10075</v>
      </c>
      <c r="F4907">
        <v>10456</v>
      </c>
      <c r="G4907" t="s">
        <v>10090</v>
      </c>
      <c r="H4907" t="s">
        <v>10115</v>
      </c>
      <c r="I4907" t="s">
        <v>10168</v>
      </c>
      <c r="J4907" t="s">
        <v>10210</v>
      </c>
      <c r="K4907" t="s">
        <v>10217</v>
      </c>
      <c r="M4907" t="s">
        <v>10234</v>
      </c>
      <c r="N4907" t="s">
        <v>10650</v>
      </c>
      <c r="P4907" t="s">
        <v>10749</v>
      </c>
      <c r="Q4907" t="s">
        <v>10765</v>
      </c>
      <c r="R4907" t="s">
        <v>10824</v>
      </c>
      <c r="T4907">
        <v>23400</v>
      </c>
      <c r="U4907">
        <v>1950</v>
      </c>
      <c r="V4907">
        <v>38</v>
      </c>
      <c r="W4907">
        <v>1</v>
      </c>
      <c r="X4907">
        <v>1</v>
      </c>
      <c r="Z4907">
        <v>138.38</v>
      </c>
      <c r="AA4907">
        <v>40.830909</v>
      </c>
      <c r="AB4907">
        <v>-73.918323</v>
      </c>
      <c r="AD4907" t="s">
        <v>10839</v>
      </c>
      <c r="AG4907" t="s">
        <v>10858</v>
      </c>
      <c r="AH4907" t="s">
        <v>10862</v>
      </c>
      <c r="AI4907">
        <v>230</v>
      </c>
      <c r="AJ4907" t="s">
        <v>10210</v>
      </c>
      <c r="AL4907">
        <v>13.3</v>
      </c>
      <c r="AM4907" t="s">
        <v>10884</v>
      </c>
      <c r="AN4907" t="s">
        <v>10929</v>
      </c>
      <c r="AO4907" t="s">
        <v>11001</v>
      </c>
      <c r="AP4907" t="s">
        <v>11055</v>
      </c>
      <c r="AR4907" t="s">
        <v>11257</v>
      </c>
      <c r="AS4907" t="s">
        <v>9926</v>
      </c>
      <c r="BA4907" t="s">
        <v>11738</v>
      </c>
      <c r="BB4907">
        <v>0</v>
      </c>
      <c r="BC4907">
        <v>0</v>
      </c>
      <c r="BD4907">
        <v>0</v>
      </c>
      <c r="BE4907">
        <v>0</v>
      </c>
      <c r="BF4907">
        <v>5</v>
      </c>
      <c r="BG4907">
        <v>0</v>
      </c>
    </row>
    <row r="4908" spans="1:59">
      <c r="A4908" s="1">
        <f>HYPERLINK("https://lsnyc.legalserver.org/matter/dynamic-profile/view/1909119","19-1909119")</f>
        <v>0</v>
      </c>
      <c r="B4908" t="s">
        <v>3937</v>
      </c>
      <c r="C4908" t="s">
        <v>8750</v>
      </c>
      <c r="D4908" t="s">
        <v>9928</v>
      </c>
      <c r="E4908" t="s">
        <v>10075</v>
      </c>
      <c r="F4908">
        <v>11209</v>
      </c>
      <c r="G4908" t="s">
        <v>10093</v>
      </c>
      <c r="H4908" t="s">
        <v>10115</v>
      </c>
      <c r="I4908" t="s">
        <v>10168</v>
      </c>
      <c r="J4908" t="s">
        <v>10213</v>
      </c>
      <c r="K4908" t="s">
        <v>10217</v>
      </c>
      <c r="M4908" t="s">
        <v>10414</v>
      </c>
      <c r="N4908" t="s">
        <v>10746</v>
      </c>
      <c r="P4908" t="s">
        <v>10749</v>
      </c>
      <c r="Q4908" t="s">
        <v>10791</v>
      </c>
      <c r="R4908" t="s">
        <v>10820</v>
      </c>
      <c r="T4908">
        <v>24000</v>
      </c>
      <c r="U4908">
        <v>2000</v>
      </c>
      <c r="V4908">
        <v>73</v>
      </c>
      <c r="W4908">
        <v>1</v>
      </c>
      <c r="X4908">
        <v>0</v>
      </c>
      <c r="Z4908">
        <v>192.15</v>
      </c>
      <c r="AA4908">
        <v>40.62523</v>
      </c>
      <c r="AB4908">
        <v>-74.040651</v>
      </c>
      <c r="AC4908" t="s">
        <v>10837</v>
      </c>
      <c r="AD4908" t="s">
        <v>10840</v>
      </c>
      <c r="AG4908" t="s">
        <v>10858</v>
      </c>
      <c r="AH4908" t="s">
        <v>10862</v>
      </c>
      <c r="AI4908">
        <v>239</v>
      </c>
      <c r="AJ4908" t="s">
        <v>10213</v>
      </c>
      <c r="AL4908">
        <v>3</v>
      </c>
      <c r="AQ4908" t="s">
        <v>11133</v>
      </c>
      <c r="AR4908" t="s">
        <v>11268</v>
      </c>
      <c r="AS4908" t="s">
        <v>11595</v>
      </c>
      <c r="BA4908" t="s">
        <v>11741</v>
      </c>
      <c r="BB4908">
        <v>0</v>
      </c>
      <c r="BC4908">
        <v>0</v>
      </c>
      <c r="BD4908">
        <v>0</v>
      </c>
      <c r="BE4908">
        <v>0</v>
      </c>
      <c r="BF4908">
        <v>1</v>
      </c>
      <c r="BG4908">
        <v>0</v>
      </c>
    </row>
    <row r="4909" spans="1:59">
      <c r="A4909" s="1">
        <f>HYPERLINK("https://lsnyc.legalserver.org/matter/dynamic-profile/view/1909120","19-1909120")</f>
        <v>0</v>
      </c>
      <c r="B4909" t="s">
        <v>1734</v>
      </c>
      <c r="C4909" t="s">
        <v>7383</v>
      </c>
      <c r="D4909" t="s">
        <v>9926</v>
      </c>
      <c r="E4909" t="s">
        <v>10075</v>
      </c>
      <c r="F4909">
        <v>10460</v>
      </c>
      <c r="G4909" t="s">
        <v>10090</v>
      </c>
      <c r="H4909" t="s">
        <v>10115</v>
      </c>
      <c r="I4909" t="s">
        <v>10168</v>
      </c>
      <c r="J4909" t="s">
        <v>10210</v>
      </c>
      <c r="K4909" t="s">
        <v>10217</v>
      </c>
      <c r="M4909" t="s">
        <v>10357</v>
      </c>
      <c r="N4909" t="s">
        <v>10666</v>
      </c>
      <c r="P4909" t="s">
        <v>10749</v>
      </c>
      <c r="Q4909" t="s">
        <v>10765</v>
      </c>
      <c r="R4909" t="s">
        <v>10824</v>
      </c>
      <c r="T4909">
        <v>20800</v>
      </c>
      <c r="U4909">
        <v>1733.33</v>
      </c>
      <c r="V4909">
        <v>34</v>
      </c>
      <c r="W4909">
        <v>2</v>
      </c>
      <c r="X4909">
        <v>3</v>
      </c>
      <c r="Z4909">
        <v>68.94</v>
      </c>
      <c r="AA4909">
        <v>40.846276</v>
      </c>
      <c r="AB4909">
        <v>-73.885425</v>
      </c>
      <c r="AD4909" t="s">
        <v>10839</v>
      </c>
      <c r="AG4909" t="s">
        <v>10858</v>
      </c>
      <c r="AH4909" t="s">
        <v>10861</v>
      </c>
      <c r="AI4909">
        <v>230</v>
      </c>
      <c r="AJ4909" t="s">
        <v>10210</v>
      </c>
      <c r="AL4909">
        <v>2.8</v>
      </c>
      <c r="AM4909" t="s">
        <v>10884</v>
      </c>
      <c r="AN4909" t="s">
        <v>10918</v>
      </c>
      <c r="AO4909" t="s">
        <v>11000</v>
      </c>
      <c r="AP4909" t="s">
        <v>11056</v>
      </c>
      <c r="AR4909" t="s">
        <v>11257</v>
      </c>
      <c r="AS4909" t="s">
        <v>9926</v>
      </c>
      <c r="AT4909" t="s">
        <v>11641</v>
      </c>
      <c r="AX4909" t="s">
        <v>10838</v>
      </c>
      <c r="BA4909" t="s">
        <v>11738</v>
      </c>
      <c r="BB4909">
        <v>0</v>
      </c>
      <c r="BC4909">
        <v>0</v>
      </c>
      <c r="BD4909">
        <v>0</v>
      </c>
      <c r="BE4909">
        <v>0</v>
      </c>
      <c r="BF4909">
        <v>5</v>
      </c>
      <c r="BG4909">
        <v>0</v>
      </c>
    </row>
    <row r="4910" spans="1:59">
      <c r="A4910" s="1">
        <f>HYPERLINK("https://lsnyc.legalserver.org/matter/dynamic-profile/view/1909121","19-1909121")</f>
        <v>0</v>
      </c>
      <c r="B4910" t="s">
        <v>3938</v>
      </c>
      <c r="C4910" t="s">
        <v>8751</v>
      </c>
      <c r="D4910" t="s">
        <v>9926</v>
      </c>
      <c r="E4910" t="s">
        <v>10075</v>
      </c>
      <c r="F4910">
        <v>10458</v>
      </c>
      <c r="G4910" t="s">
        <v>10090</v>
      </c>
      <c r="H4910" t="s">
        <v>10115</v>
      </c>
      <c r="I4910" t="s">
        <v>10169</v>
      </c>
      <c r="J4910" t="s">
        <v>10210</v>
      </c>
      <c r="K4910" t="s">
        <v>10217</v>
      </c>
      <c r="M4910" t="s">
        <v>10336</v>
      </c>
      <c r="N4910" t="s">
        <v>10671</v>
      </c>
      <c r="P4910" t="s">
        <v>10754</v>
      </c>
      <c r="Q4910" t="s">
        <v>10770</v>
      </c>
      <c r="R4910" t="s">
        <v>10821</v>
      </c>
      <c r="T4910">
        <v>23400</v>
      </c>
      <c r="U4910">
        <v>1950</v>
      </c>
      <c r="V4910">
        <v>54</v>
      </c>
      <c r="W4910">
        <v>1</v>
      </c>
      <c r="X4910">
        <v>0</v>
      </c>
      <c r="Z4910">
        <v>187.35</v>
      </c>
      <c r="AA4910">
        <v>40.8604</v>
      </c>
      <c r="AB4910">
        <v>-73.896967</v>
      </c>
      <c r="AD4910" t="s">
        <v>10840</v>
      </c>
      <c r="AF4910" t="s">
        <v>10843</v>
      </c>
      <c r="AG4910" t="s">
        <v>10859</v>
      </c>
      <c r="AH4910" t="s">
        <v>10861</v>
      </c>
      <c r="AI4910">
        <v>234</v>
      </c>
      <c r="AJ4910" t="s">
        <v>10214</v>
      </c>
      <c r="AL4910">
        <v>0.7</v>
      </c>
      <c r="AM4910" t="s">
        <v>10884</v>
      </c>
      <c r="AN4910" t="s">
        <v>10931</v>
      </c>
      <c r="AO4910" t="s">
        <v>11000</v>
      </c>
      <c r="AP4910" t="s">
        <v>11056</v>
      </c>
      <c r="AR4910" t="s">
        <v>11257</v>
      </c>
      <c r="AS4910" t="s">
        <v>9926</v>
      </c>
      <c r="AT4910" t="s">
        <v>11642</v>
      </c>
      <c r="AX4910" t="s">
        <v>10838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</row>
    <row r="4911" spans="1:59">
      <c r="A4911" s="1">
        <f>HYPERLINK("https://lsnyc.legalserver.org/matter/dynamic-profile/view/1909122","19-1909122")</f>
        <v>0</v>
      </c>
      <c r="B4911" t="s">
        <v>3939</v>
      </c>
      <c r="C4911" t="s">
        <v>8752</v>
      </c>
      <c r="D4911" t="s">
        <v>9928</v>
      </c>
      <c r="E4911" t="s">
        <v>10075</v>
      </c>
      <c r="F4911">
        <v>11220</v>
      </c>
      <c r="G4911" t="s">
        <v>10093</v>
      </c>
      <c r="H4911" t="s">
        <v>10115</v>
      </c>
      <c r="I4911" t="s">
        <v>10182</v>
      </c>
      <c r="J4911" t="s">
        <v>10213</v>
      </c>
      <c r="K4911" t="s">
        <v>10217</v>
      </c>
      <c r="M4911" t="s">
        <v>10528</v>
      </c>
      <c r="N4911" t="s">
        <v>10657</v>
      </c>
      <c r="O4911" t="s">
        <v>10657</v>
      </c>
      <c r="P4911" t="s">
        <v>10749</v>
      </c>
      <c r="Q4911" t="s">
        <v>10791</v>
      </c>
      <c r="R4911" t="s">
        <v>10827</v>
      </c>
      <c r="T4911">
        <v>0</v>
      </c>
      <c r="U4911">
        <v>0</v>
      </c>
      <c r="V4911">
        <v>44</v>
      </c>
      <c r="W4911">
        <v>2</v>
      </c>
      <c r="X4911">
        <v>3</v>
      </c>
      <c r="Z4911">
        <v>0</v>
      </c>
      <c r="AA4911">
        <v>40.63959</v>
      </c>
      <c r="AB4911">
        <v>-74.009792</v>
      </c>
      <c r="AD4911" t="s">
        <v>10839</v>
      </c>
      <c r="AF4911" t="s">
        <v>10843</v>
      </c>
      <c r="AG4911" t="s">
        <v>10859</v>
      </c>
      <c r="AH4911" t="s">
        <v>10862</v>
      </c>
      <c r="AI4911">
        <v>239</v>
      </c>
      <c r="AJ4911" t="s">
        <v>10213</v>
      </c>
      <c r="AL4911">
        <v>1</v>
      </c>
      <c r="AM4911" t="s">
        <v>10886</v>
      </c>
      <c r="AN4911" t="s">
        <v>10974</v>
      </c>
      <c r="AO4911" t="s">
        <v>11005</v>
      </c>
      <c r="AP4911" t="s">
        <v>11069</v>
      </c>
      <c r="AR4911" t="s">
        <v>11267</v>
      </c>
      <c r="AS4911" t="s">
        <v>11595</v>
      </c>
      <c r="BA4911" t="s">
        <v>11742</v>
      </c>
      <c r="BB4911">
        <v>0</v>
      </c>
      <c r="BC4911">
        <v>0</v>
      </c>
      <c r="BD4911">
        <v>0</v>
      </c>
      <c r="BE4911">
        <v>0</v>
      </c>
      <c r="BF4911">
        <v>7</v>
      </c>
      <c r="BG4911">
        <v>0</v>
      </c>
    </row>
    <row r="4912" spans="1:59">
      <c r="A4912" s="1">
        <f>HYPERLINK("https://lsnyc.legalserver.org/matter/dynamic-profile/view/1909123","19-1909123")</f>
        <v>0</v>
      </c>
      <c r="B4912" t="s">
        <v>3940</v>
      </c>
      <c r="C4912" t="s">
        <v>5064</v>
      </c>
      <c r="D4912" t="s">
        <v>9925</v>
      </c>
      <c r="E4912" t="s">
        <v>10075</v>
      </c>
      <c r="F4912">
        <v>10035</v>
      </c>
      <c r="G4912" t="s">
        <v>10089</v>
      </c>
      <c r="H4912" t="s">
        <v>10115</v>
      </c>
      <c r="I4912" t="s">
        <v>10168</v>
      </c>
      <c r="J4912" t="s">
        <v>10209</v>
      </c>
      <c r="K4912" t="s">
        <v>10217</v>
      </c>
      <c r="M4912" t="s">
        <v>10589</v>
      </c>
      <c r="N4912" t="s">
        <v>10650</v>
      </c>
      <c r="P4912" t="s">
        <v>10749</v>
      </c>
      <c r="Q4912" t="s">
        <v>10765</v>
      </c>
      <c r="R4912" t="s">
        <v>10820</v>
      </c>
      <c r="T4912">
        <v>59000</v>
      </c>
      <c r="U4912">
        <v>4916.67</v>
      </c>
      <c r="V4912">
        <v>58</v>
      </c>
      <c r="W4912">
        <v>3</v>
      </c>
      <c r="X4912">
        <v>1</v>
      </c>
      <c r="Z4912">
        <v>229.13</v>
      </c>
      <c r="AA4912">
        <v>40.799429</v>
      </c>
      <c r="AB4912">
        <v>-73.94181399999999</v>
      </c>
      <c r="AD4912" t="s">
        <v>10839</v>
      </c>
      <c r="AG4912" t="s">
        <v>10858</v>
      </c>
      <c r="AH4912" t="s">
        <v>10862</v>
      </c>
      <c r="AI4912">
        <v>236</v>
      </c>
      <c r="AJ4912" t="s">
        <v>10209</v>
      </c>
      <c r="AL4912">
        <v>0</v>
      </c>
      <c r="AM4912" t="s">
        <v>10887</v>
      </c>
      <c r="AN4912" t="s">
        <v>10926</v>
      </c>
      <c r="AO4912" t="s">
        <v>11016</v>
      </c>
      <c r="AP4912" t="s">
        <v>11066</v>
      </c>
      <c r="AR4912" t="s">
        <v>11257</v>
      </c>
      <c r="AS4912" t="s">
        <v>9925</v>
      </c>
      <c r="AT4912" t="s">
        <v>11641</v>
      </c>
      <c r="AX4912" t="s">
        <v>10838</v>
      </c>
      <c r="BA4912" t="s">
        <v>11742</v>
      </c>
      <c r="BB4912">
        <v>0</v>
      </c>
      <c r="BC4912">
        <v>0</v>
      </c>
      <c r="BD4912">
        <v>0</v>
      </c>
      <c r="BE4912">
        <v>0</v>
      </c>
      <c r="BF4912">
        <v>7</v>
      </c>
      <c r="BG4912">
        <v>0</v>
      </c>
    </row>
    <row r="4913" spans="1:59">
      <c r="A4913" s="1">
        <f>HYPERLINK("https://lsnyc.legalserver.org/matter/dynamic-profile/view/1909124","19-1909124")</f>
        <v>0</v>
      </c>
      <c r="B4913" t="s">
        <v>1707</v>
      </c>
      <c r="C4913" t="s">
        <v>6506</v>
      </c>
      <c r="D4913" t="s">
        <v>9926</v>
      </c>
      <c r="E4913" t="s">
        <v>10075</v>
      </c>
      <c r="F4913">
        <v>10456</v>
      </c>
      <c r="G4913" t="s">
        <v>10090</v>
      </c>
      <c r="H4913" t="s">
        <v>10115</v>
      </c>
      <c r="I4913" t="s">
        <v>10168</v>
      </c>
      <c r="J4913" t="s">
        <v>10210</v>
      </c>
      <c r="K4913" t="s">
        <v>10217</v>
      </c>
      <c r="M4913" t="s">
        <v>10234</v>
      </c>
      <c r="N4913" t="s">
        <v>10650</v>
      </c>
      <c r="P4913" t="s">
        <v>10749</v>
      </c>
      <c r="Q4913" t="s">
        <v>10765</v>
      </c>
      <c r="R4913" t="s">
        <v>10824</v>
      </c>
      <c r="T4913">
        <v>23400</v>
      </c>
      <c r="U4913">
        <v>1950</v>
      </c>
      <c r="V4913">
        <v>38</v>
      </c>
      <c r="W4913">
        <v>1</v>
      </c>
      <c r="X4913">
        <v>1</v>
      </c>
      <c r="Z4913">
        <v>138.38</v>
      </c>
      <c r="AA4913">
        <v>40.830909</v>
      </c>
      <c r="AB4913">
        <v>-73.918323</v>
      </c>
      <c r="AD4913" t="s">
        <v>10839</v>
      </c>
      <c r="AG4913" t="s">
        <v>10858</v>
      </c>
      <c r="AH4913" t="s">
        <v>10862</v>
      </c>
      <c r="AI4913">
        <v>230</v>
      </c>
      <c r="AJ4913" t="s">
        <v>10210</v>
      </c>
      <c r="AL4913">
        <v>1</v>
      </c>
      <c r="AM4913" t="s">
        <v>10884</v>
      </c>
      <c r="AN4913" t="s">
        <v>10929</v>
      </c>
      <c r="AO4913" t="s">
        <v>11001</v>
      </c>
      <c r="AP4913" t="s">
        <v>11055</v>
      </c>
      <c r="AR4913" t="s">
        <v>11257</v>
      </c>
      <c r="AS4913" t="s">
        <v>9926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</row>
    <row r="4914" spans="1:59">
      <c r="A4914" s="1">
        <f>HYPERLINK("https://lsnyc.legalserver.org/matter/dynamic-profile/view/1909125","19-1909125")</f>
        <v>0</v>
      </c>
      <c r="B4914" t="s">
        <v>3941</v>
      </c>
      <c r="C4914" t="s">
        <v>8753</v>
      </c>
      <c r="D4914" t="s">
        <v>9956</v>
      </c>
      <c r="E4914" t="s">
        <v>10075</v>
      </c>
      <c r="F4914">
        <v>11366</v>
      </c>
      <c r="G4914" t="s">
        <v>10090</v>
      </c>
      <c r="H4914" t="s">
        <v>10115</v>
      </c>
      <c r="I4914" t="s">
        <v>10168</v>
      </c>
      <c r="J4914" t="s">
        <v>10210</v>
      </c>
      <c r="K4914" t="s">
        <v>10217</v>
      </c>
      <c r="M4914" t="s">
        <v>10336</v>
      </c>
      <c r="N4914" t="s">
        <v>10671</v>
      </c>
      <c r="P4914" t="s">
        <v>10758</v>
      </c>
      <c r="Q4914" t="s">
        <v>10793</v>
      </c>
      <c r="R4914" t="s">
        <v>10825</v>
      </c>
      <c r="T4914">
        <v>0</v>
      </c>
      <c r="U4914">
        <v>0</v>
      </c>
      <c r="V4914">
        <v>42</v>
      </c>
      <c r="W4914">
        <v>2</v>
      </c>
      <c r="X4914">
        <v>2</v>
      </c>
      <c r="Z4914">
        <v>0</v>
      </c>
      <c r="AA4914">
        <v>40.726178</v>
      </c>
      <c r="AB4914">
        <v>-73.792281</v>
      </c>
      <c r="AD4914" t="s">
        <v>10839</v>
      </c>
      <c r="AG4914" t="s">
        <v>10858</v>
      </c>
      <c r="AH4914" t="s">
        <v>10861</v>
      </c>
      <c r="AI4914">
        <v>234</v>
      </c>
      <c r="AJ4914" t="s">
        <v>10214</v>
      </c>
      <c r="AL4914">
        <v>3.95</v>
      </c>
      <c r="AM4914" t="s">
        <v>10890</v>
      </c>
      <c r="AN4914" t="s">
        <v>10934</v>
      </c>
      <c r="AO4914" t="s">
        <v>11020</v>
      </c>
      <c r="AP4914" t="s">
        <v>11081</v>
      </c>
      <c r="AR4914" t="s">
        <v>11267</v>
      </c>
      <c r="AS4914" t="s">
        <v>11594</v>
      </c>
      <c r="AT4914" t="s">
        <v>11641</v>
      </c>
      <c r="AX4914" t="s">
        <v>10838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</row>
    <row r="4915" spans="1:59">
      <c r="A4915" s="1">
        <f>HYPERLINK("https://lsnyc.legalserver.org/matter/dynamic-profile/view/1909126","19-1909126")</f>
        <v>0</v>
      </c>
      <c r="B4915" t="s">
        <v>3942</v>
      </c>
      <c r="C4915" t="s">
        <v>8754</v>
      </c>
      <c r="D4915" t="s">
        <v>9926</v>
      </c>
      <c r="E4915" t="s">
        <v>10075</v>
      </c>
      <c r="F4915">
        <v>10460</v>
      </c>
      <c r="G4915" t="s">
        <v>10090</v>
      </c>
      <c r="H4915" t="s">
        <v>10115</v>
      </c>
      <c r="I4915" t="s">
        <v>10168</v>
      </c>
      <c r="J4915" t="s">
        <v>10210</v>
      </c>
      <c r="K4915" t="s">
        <v>10217</v>
      </c>
      <c r="M4915" t="s">
        <v>10569</v>
      </c>
      <c r="N4915" t="s">
        <v>10656</v>
      </c>
      <c r="P4915" t="s">
        <v>10751</v>
      </c>
      <c r="Q4915" t="s">
        <v>10768</v>
      </c>
      <c r="R4915" t="s">
        <v>10821</v>
      </c>
      <c r="T4915">
        <v>11148</v>
      </c>
      <c r="U4915">
        <v>929</v>
      </c>
      <c r="V4915">
        <v>20</v>
      </c>
      <c r="W4915">
        <v>2</v>
      </c>
      <c r="X4915">
        <v>0</v>
      </c>
      <c r="Z4915">
        <v>65.93000000000001</v>
      </c>
      <c r="AA4915">
        <v>40.840296</v>
      </c>
      <c r="AB4915">
        <v>-73.88934</v>
      </c>
      <c r="AD4915" t="s">
        <v>10840</v>
      </c>
      <c r="AG4915" t="s">
        <v>10858</v>
      </c>
      <c r="AH4915" t="s">
        <v>10871</v>
      </c>
      <c r="AI4915">
        <v>234</v>
      </c>
      <c r="AJ4915" t="s">
        <v>10214</v>
      </c>
      <c r="AL4915">
        <v>6.9</v>
      </c>
      <c r="AM4915" t="s">
        <v>10884</v>
      </c>
      <c r="AN4915" t="s">
        <v>10918</v>
      </c>
      <c r="AO4915" t="s">
        <v>11001</v>
      </c>
      <c r="AP4915" t="s">
        <v>11062</v>
      </c>
      <c r="AR4915" t="s">
        <v>11323</v>
      </c>
      <c r="AS4915" t="s">
        <v>9926</v>
      </c>
      <c r="AT4915" t="s">
        <v>11642</v>
      </c>
      <c r="AX4915" t="s">
        <v>10838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</row>
    <row r="4916" spans="1:59">
      <c r="A4916" s="1">
        <f>HYPERLINK("https://lsnyc.legalserver.org/matter/dynamic-profile/view/1909127","19-1909127")</f>
        <v>0</v>
      </c>
      <c r="B4916" t="s">
        <v>3943</v>
      </c>
      <c r="C4916" t="s">
        <v>5064</v>
      </c>
      <c r="D4916" t="s">
        <v>9925</v>
      </c>
      <c r="E4916" t="s">
        <v>10075</v>
      </c>
      <c r="F4916">
        <v>10035</v>
      </c>
      <c r="G4916" t="s">
        <v>10089</v>
      </c>
      <c r="H4916" t="s">
        <v>10115</v>
      </c>
      <c r="I4916" t="s">
        <v>10168</v>
      </c>
      <c r="J4916" t="s">
        <v>10209</v>
      </c>
      <c r="K4916" t="s">
        <v>10217</v>
      </c>
      <c r="M4916" t="s">
        <v>10589</v>
      </c>
      <c r="N4916" t="s">
        <v>10650</v>
      </c>
      <c r="P4916" t="s">
        <v>10749</v>
      </c>
      <c r="Q4916" t="s">
        <v>10765</v>
      </c>
      <c r="R4916" t="s">
        <v>10820</v>
      </c>
      <c r="T4916">
        <v>70000</v>
      </c>
      <c r="U4916">
        <v>5833.33</v>
      </c>
      <c r="V4916">
        <v>31</v>
      </c>
      <c r="W4916">
        <v>2</v>
      </c>
      <c r="X4916">
        <v>0</v>
      </c>
      <c r="Z4916">
        <v>413.96</v>
      </c>
      <c r="AA4916">
        <v>40.799429</v>
      </c>
      <c r="AB4916">
        <v>-73.94181399999999</v>
      </c>
      <c r="AD4916" t="s">
        <v>10840</v>
      </c>
      <c r="AG4916" t="s">
        <v>10858</v>
      </c>
      <c r="AH4916" t="s">
        <v>10862</v>
      </c>
      <c r="AI4916">
        <v>236</v>
      </c>
      <c r="AJ4916" t="s">
        <v>10209</v>
      </c>
      <c r="AL4916">
        <v>1.5</v>
      </c>
      <c r="AM4916" t="s">
        <v>10887</v>
      </c>
      <c r="AN4916" t="s">
        <v>10926</v>
      </c>
      <c r="AO4916" t="s">
        <v>11016</v>
      </c>
      <c r="AP4916" t="s">
        <v>11066</v>
      </c>
      <c r="AR4916" t="s">
        <v>11257</v>
      </c>
      <c r="AS4916" t="s">
        <v>9925</v>
      </c>
      <c r="AT4916" t="s">
        <v>11642</v>
      </c>
      <c r="AX4916" t="s">
        <v>10838</v>
      </c>
      <c r="BA4916" t="s">
        <v>11742</v>
      </c>
      <c r="BB4916">
        <v>0</v>
      </c>
      <c r="BC4916">
        <v>0</v>
      </c>
      <c r="BD4916">
        <v>0</v>
      </c>
      <c r="BE4916">
        <v>0</v>
      </c>
      <c r="BF4916">
        <v>7</v>
      </c>
      <c r="BG4916">
        <v>0</v>
      </c>
    </row>
    <row r="4917" spans="1:59">
      <c r="A4917" s="1">
        <f>HYPERLINK("https://lsnyc.legalserver.org/matter/dynamic-profile/view/1909128","19-1909128")</f>
        <v>0</v>
      </c>
      <c r="B4917" t="s">
        <v>3944</v>
      </c>
      <c r="C4917" t="s">
        <v>8755</v>
      </c>
      <c r="D4917" t="s">
        <v>9938</v>
      </c>
      <c r="E4917" t="s">
        <v>10075</v>
      </c>
      <c r="F4917">
        <v>11434</v>
      </c>
      <c r="G4917" t="s">
        <v>10092</v>
      </c>
      <c r="H4917" t="s">
        <v>10115</v>
      </c>
      <c r="I4917" t="s">
        <v>10168</v>
      </c>
      <c r="J4917" t="s">
        <v>10212</v>
      </c>
      <c r="K4917" t="s">
        <v>10217</v>
      </c>
      <c r="M4917" t="s">
        <v>10335</v>
      </c>
      <c r="N4917" t="s">
        <v>10693</v>
      </c>
      <c r="P4917" t="s">
        <v>10749</v>
      </c>
      <c r="Q4917" t="s">
        <v>10765</v>
      </c>
      <c r="R4917" t="s">
        <v>10821</v>
      </c>
      <c r="T4917">
        <v>40000</v>
      </c>
      <c r="U4917">
        <v>3333.33</v>
      </c>
      <c r="V4917">
        <v>44</v>
      </c>
      <c r="W4917">
        <v>3</v>
      </c>
      <c r="X4917">
        <v>1</v>
      </c>
      <c r="Z4917">
        <v>155.34</v>
      </c>
      <c r="AA4917">
        <v>40.678125</v>
      </c>
      <c r="AB4917">
        <v>-73.773876</v>
      </c>
      <c r="AD4917" t="s">
        <v>10839</v>
      </c>
      <c r="AG4917" t="s">
        <v>10858</v>
      </c>
      <c r="AH4917" t="s">
        <v>10862</v>
      </c>
      <c r="AI4917">
        <v>237</v>
      </c>
      <c r="AJ4917" t="s">
        <v>10212</v>
      </c>
      <c r="AL4917">
        <v>7.2</v>
      </c>
      <c r="AM4917" t="s">
        <v>10892</v>
      </c>
      <c r="AN4917" t="s">
        <v>10951</v>
      </c>
      <c r="AO4917" t="s">
        <v>11017</v>
      </c>
      <c r="AP4917" t="s">
        <v>11070</v>
      </c>
      <c r="AR4917" t="s">
        <v>11257</v>
      </c>
      <c r="AS4917" t="s">
        <v>11594</v>
      </c>
      <c r="BA4917" t="s">
        <v>11738</v>
      </c>
      <c r="BB4917">
        <v>0</v>
      </c>
      <c r="BC4917">
        <v>0</v>
      </c>
      <c r="BD4917">
        <v>0</v>
      </c>
      <c r="BE4917">
        <v>0</v>
      </c>
      <c r="BF4917">
        <v>5</v>
      </c>
      <c r="BG4917">
        <v>0</v>
      </c>
    </row>
    <row r="4918" spans="1:59">
      <c r="A4918" s="1">
        <f>HYPERLINK("https://lsnyc.legalserver.org/matter/dynamic-profile/view/1909129","19-1909129")</f>
        <v>0</v>
      </c>
      <c r="B4918" t="s">
        <v>2297</v>
      </c>
      <c r="C4918" t="s">
        <v>8756</v>
      </c>
      <c r="D4918" t="s">
        <v>9926</v>
      </c>
      <c r="E4918" t="s">
        <v>10075</v>
      </c>
      <c r="F4918">
        <v>10452</v>
      </c>
      <c r="G4918" t="s">
        <v>10090</v>
      </c>
      <c r="H4918" t="s">
        <v>10115</v>
      </c>
      <c r="I4918" t="s">
        <v>10168</v>
      </c>
      <c r="J4918" t="s">
        <v>10210</v>
      </c>
      <c r="K4918" t="s">
        <v>10217</v>
      </c>
      <c r="M4918" t="s">
        <v>10590</v>
      </c>
      <c r="N4918" t="s">
        <v>10650</v>
      </c>
      <c r="P4918" t="s">
        <v>10749</v>
      </c>
      <c r="Q4918" t="s">
        <v>10765</v>
      </c>
      <c r="R4918" t="s">
        <v>10823</v>
      </c>
      <c r="T4918">
        <v>0</v>
      </c>
      <c r="U4918">
        <v>0</v>
      </c>
      <c r="V4918">
        <v>34</v>
      </c>
      <c r="W4918">
        <v>2</v>
      </c>
      <c r="X4918">
        <v>0</v>
      </c>
      <c r="Z4918">
        <v>0</v>
      </c>
      <c r="AA4918">
        <v>40.834105</v>
      </c>
      <c r="AB4918">
        <v>-73.925465</v>
      </c>
      <c r="AD4918" t="s">
        <v>10839</v>
      </c>
      <c r="AG4918" t="s">
        <v>10858</v>
      </c>
      <c r="AH4918" t="s">
        <v>10862</v>
      </c>
      <c r="AI4918">
        <v>230</v>
      </c>
      <c r="AJ4918" t="s">
        <v>10210</v>
      </c>
      <c r="AL4918">
        <v>2</v>
      </c>
      <c r="AM4918" t="s">
        <v>10884</v>
      </c>
      <c r="AN4918" t="s">
        <v>10929</v>
      </c>
      <c r="AO4918" t="s">
        <v>11013</v>
      </c>
      <c r="AP4918" t="s">
        <v>11066</v>
      </c>
      <c r="AR4918" t="s">
        <v>11267</v>
      </c>
      <c r="AS4918" t="s">
        <v>9926</v>
      </c>
      <c r="BA4918" t="s">
        <v>11740</v>
      </c>
      <c r="BB4918">
        <v>0</v>
      </c>
      <c r="BC4918">
        <v>0</v>
      </c>
      <c r="BD4918">
        <v>0</v>
      </c>
      <c r="BE4918">
        <v>0</v>
      </c>
      <c r="BF4918">
        <v>2</v>
      </c>
      <c r="BG4918">
        <v>0</v>
      </c>
    </row>
    <row r="4919" spans="1:59">
      <c r="A4919" s="1">
        <f>HYPERLINK("https://lsnyc.legalserver.org/matter/dynamic-profile/view/1909131","19-1909131")</f>
        <v>0</v>
      </c>
      <c r="B4919" t="s">
        <v>3945</v>
      </c>
      <c r="C4919" t="s">
        <v>5250</v>
      </c>
      <c r="D4919" t="s">
        <v>9926</v>
      </c>
      <c r="E4919" t="s">
        <v>10075</v>
      </c>
      <c r="F4919">
        <v>10467</v>
      </c>
      <c r="G4919" t="s">
        <v>10090</v>
      </c>
      <c r="H4919" t="s">
        <v>10115</v>
      </c>
      <c r="I4919" t="s">
        <v>10168</v>
      </c>
      <c r="J4919" t="s">
        <v>10210</v>
      </c>
      <c r="K4919" t="s">
        <v>10217</v>
      </c>
      <c r="M4919" t="s">
        <v>10407</v>
      </c>
      <c r="N4919" t="s">
        <v>10688</v>
      </c>
      <c r="P4919" t="s">
        <v>10755</v>
      </c>
      <c r="Q4919" t="s">
        <v>10817</v>
      </c>
      <c r="R4919" t="s">
        <v>10821</v>
      </c>
      <c r="T4919">
        <v>7896</v>
      </c>
      <c r="U4919">
        <v>658</v>
      </c>
      <c r="V4919">
        <v>14</v>
      </c>
      <c r="W4919">
        <v>1</v>
      </c>
      <c r="X4919">
        <v>3</v>
      </c>
      <c r="Z4919">
        <v>30.66</v>
      </c>
      <c r="AA4919">
        <v>40.87541</v>
      </c>
      <c r="AB4919">
        <v>-73.865426</v>
      </c>
      <c r="AD4919" t="s">
        <v>10840</v>
      </c>
      <c r="AG4919" t="s">
        <v>10858</v>
      </c>
      <c r="AH4919" t="s">
        <v>10877</v>
      </c>
      <c r="AI4919">
        <v>230</v>
      </c>
      <c r="AJ4919" t="s">
        <v>10210</v>
      </c>
      <c r="AL4919">
        <v>1</v>
      </c>
      <c r="AM4919" t="s">
        <v>10893</v>
      </c>
      <c r="AN4919" t="s">
        <v>10956</v>
      </c>
      <c r="AO4919" t="s">
        <v>11010</v>
      </c>
      <c r="AP4919" t="s">
        <v>11085</v>
      </c>
      <c r="AR4919" t="s">
        <v>11306</v>
      </c>
      <c r="AS4919" t="s">
        <v>9926</v>
      </c>
      <c r="AT4919" t="s">
        <v>11642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</row>
    <row r="4920" spans="1:59">
      <c r="A4920" s="1">
        <f>HYPERLINK("https://lsnyc.legalserver.org/matter/dynamic-profile/view/1909132","19-1909132")</f>
        <v>0</v>
      </c>
      <c r="B4920" t="s">
        <v>2715</v>
      </c>
      <c r="C4920" t="s">
        <v>5227</v>
      </c>
      <c r="D4920" t="s">
        <v>9926</v>
      </c>
      <c r="E4920" t="s">
        <v>10075</v>
      </c>
      <c r="F4920">
        <v>10468</v>
      </c>
      <c r="G4920" t="s">
        <v>10090</v>
      </c>
      <c r="H4920" t="s">
        <v>10161</v>
      </c>
      <c r="I4920" t="s">
        <v>10169</v>
      </c>
      <c r="J4920" t="s">
        <v>10210</v>
      </c>
      <c r="K4920" t="s">
        <v>10217</v>
      </c>
      <c r="M4920" t="s">
        <v>10434</v>
      </c>
      <c r="N4920" t="s">
        <v>10651</v>
      </c>
      <c r="P4920" t="s">
        <v>10749</v>
      </c>
      <c r="Q4920" t="s">
        <v>10765</v>
      </c>
      <c r="R4920" t="s">
        <v>10823</v>
      </c>
      <c r="T4920">
        <v>55000</v>
      </c>
      <c r="U4920">
        <v>4583.33</v>
      </c>
      <c r="V4920">
        <v>51</v>
      </c>
      <c r="W4920">
        <v>3</v>
      </c>
      <c r="X4920">
        <v>1</v>
      </c>
      <c r="Z4920">
        <v>213.59</v>
      </c>
      <c r="AA4920">
        <v>40.864048</v>
      </c>
      <c r="AB4920">
        <v>-73.902592</v>
      </c>
      <c r="AD4920" t="s">
        <v>10839</v>
      </c>
      <c r="AG4920" t="s">
        <v>10858</v>
      </c>
      <c r="AH4920" t="s">
        <v>10862</v>
      </c>
      <c r="AI4920">
        <v>230</v>
      </c>
      <c r="AJ4920" t="s">
        <v>10210</v>
      </c>
      <c r="AL4920">
        <v>1.7</v>
      </c>
      <c r="AM4920" t="s">
        <v>10887</v>
      </c>
      <c r="AN4920" t="s">
        <v>10907</v>
      </c>
      <c r="AO4920" t="s">
        <v>11000</v>
      </c>
      <c r="AP4920" t="s">
        <v>11045</v>
      </c>
      <c r="AR4920" t="s">
        <v>11257</v>
      </c>
      <c r="AS4920" t="s">
        <v>9926</v>
      </c>
      <c r="AT4920" t="s">
        <v>11641</v>
      </c>
      <c r="AX4920" t="s">
        <v>10838</v>
      </c>
      <c r="BA4920" t="s">
        <v>11738</v>
      </c>
      <c r="BB4920">
        <v>0</v>
      </c>
      <c r="BC4920">
        <v>0</v>
      </c>
      <c r="BD4920">
        <v>0</v>
      </c>
      <c r="BE4920">
        <v>0</v>
      </c>
      <c r="BF4920">
        <v>5</v>
      </c>
      <c r="BG4920">
        <v>0</v>
      </c>
    </row>
    <row r="4921" spans="1:59">
      <c r="A4921" s="1">
        <f>HYPERLINK("https://lsnyc.legalserver.org/matter/dynamic-profile/view/1909134","19-1909134")</f>
        <v>0</v>
      </c>
      <c r="B4921" t="s">
        <v>2133</v>
      </c>
      <c r="C4921" t="s">
        <v>8757</v>
      </c>
      <c r="D4921" t="s">
        <v>9928</v>
      </c>
      <c r="E4921" t="s">
        <v>10075</v>
      </c>
      <c r="F4921">
        <v>11226</v>
      </c>
      <c r="G4921" t="s">
        <v>10093</v>
      </c>
      <c r="H4921" t="s">
        <v>10115</v>
      </c>
      <c r="I4921" t="s">
        <v>10168</v>
      </c>
      <c r="J4921" t="s">
        <v>10213</v>
      </c>
      <c r="K4921" t="s">
        <v>10217</v>
      </c>
      <c r="M4921" t="s">
        <v>10592</v>
      </c>
      <c r="N4921" t="s">
        <v>10667</v>
      </c>
      <c r="P4921" t="s">
        <v>10749</v>
      </c>
      <c r="Q4921" t="s">
        <v>10765</v>
      </c>
      <c r="R4921" t="s">
        <v>10824</v>
      </c>
      <c r="T4921">
        <v>55588</v>
      </c>
      <c r="U4921">
        <v>4632.33</v>
      </c>
      <c r="V4921">
        <v>32</v>
      </c>
      <c r="W4921">
        <v>1</v>
      </c>
      <c r="X4921">
        <v>2</v>
      </c>
      <c r="Z4921">
        <v>260.61</v>
      </c>
      <c r="AA4921">
        <v>40.639547</v>
      </c>
      <c r="AB4921">
        <v>-73.955614</v>
      </c>
      <c r="AD4921" t="s">
        <v>10839</v>
      </c>
      <c r="AG4921" t="s">
        <v>10858</v>
      </c>
      <c r="AH4921" t="s">
        <v>10862</v>
      </c>
      <c r="AI4921">
        <v>239</v>
      </c>
      <c r="AJ4921" t="s">
        <v>10213</v>
      </c>
      <c r="AL4921">
        <v>2.75</v>
      </c>
      <c r="AM4921" t="s">
        <v>10888</v>
      </c>
      <c r="AN4921" t="s">
        <v>10932</v>
      </c>
      <c r="AO4921" t="s">
        <v>11008</v>
      </c>
      <c r="AP4921" t="s">
        <v>11050</v>
      </c>
      <c r="AR4921" t="s">
        <v>11257</v>
      </c>
      <c r="AS4921" t="s">
        <v>11595</v>
      </c>
      <c r="BA4921" t="s">
        <v>11742</v>
      </c>
      <c r="BB4921">
        <v>0</v>
      </c>
      <c r="BC4921">
        <v>0</v>
      </c>
      <c r="BD4921">
        <v>0</v>
      </c>
      <c r="BE4921">
        <v>0</v>
      </c>
      <c r="BF4921">
        <v>7</v>
      </c>
      <c r="BG4921">
        <v>0</v>
      </c>
    </row>
    <row r="4922" spans="1:59">
      <c r="A4922" s="1">
        <f>HYPERLINK("https://lsnyc.legalserver.org/matter/dynamic-profile/view/1909136","19-1909136")</f>
        <v>0</v>
      </c>
      <c r="B4922" t="s">
        <v>3946</v>
      </c>
      <c r="C4922" t="s">
        <v>6534</v>
      </c>
      <c r="D4922" t="s">
        <v>9928</v>
      </c>
      <c r="E4922" t="s">
        <v>10075</v>
      </c>
      <c r="F4922">
        <v>11225</v>
      </c>
      <c r="G4922" t="s">
        <v>10093</v>
      </c>
      <c r="H4922" t="s">
        <v>10115</v>
      </c>
      <c r="I4922" t="s">
        <v>10168</v>
      </c>
      <c r="J4922" t="s">
        <v>10213</v>
      </c>
      <c r="K4922" t="s">
        <v>10217</v>
      </c>
      <c r="M4922" t="s">
        <v>10618</v>
      </c>
      <c r="N4922" t="s">
        <v>10667</v>
      </c>
      <c r="P4922" t="s">
        <v>10749</v>
      </c>
      <c r="Q4922" t="s">
        <v>10765</v>
      </c>
      <c r="R4922" t="s">
        <v>10821</v>
      </c>
      <c r="T4922">
        <v>2580</v>
      </c>
      <c r="U4922">
        <v>215</v>
      </c>
      <c r="V4922">
        <v>59</v>
      </c>
      <c r="W4922">
        <v>1</v>
      </c>
      <c r="X4922">
        <v>0</v>
      </c>
      <c r="Z4922">
        <v>20.66</v>
      </c>
      <c r="AA4922">
        <v>40.662403</v>
      </c>
      <c r="AB4922">
        <v>-73.956762</v>
      </c>
      <c r="AD4922" t="s">
        <v>10840</v>
      </c>
      <c r="AG4922" t="s">
        <v>10858</v>
      </c>
      <c r="AH4922" t="s">
        <v>10861</v>
      </c>
      <c r="AI4922">
        <v>239</v>
      </c>
      <c r="AJ4922" t="s">
        <v>10213</v>
      </c>
      <c r="AL4922">
        <v>0.1</v>
      </c>
      <c r="AM4922" t="s">
        <v>10888</v>
      </c>
      <c r="AN4922" t="s">
        <v>10912</v>
      </c>
      <c r="AO4922" t="s">
        <v>11005</v>
      </c>
      <c r="AP4922" t="s">
        <v>11050</v>
      </c>
      <c r="AR4922" t="s">
        <v>11344</v>
      </c>
      <c r="AS4922" t="s">
        <v>11595</v>
      </c>
      <c r="BA4922" t="s">
        <v>11738</v>
      </c>
      <c r="BB4922">
        <v>0</v>
      </c>
      <c r="BC4922">
        <v>0</v>
      </c>
      <c r="BD4922">
        <v>0</v>
      </c>
      <c r="BE4922">
        <v>0</v>
      </c>
      <c r="BF4922">
        <v>5</v>
      </c>
      <c r="BG4922">
        <v>0</v>
      </c>
    </row>
    <row r="4923" spans="1:59">
      <c r="A4923" s="1">
        <f>HYPERLINK("https://lsnyc.legalserver.org/matter/dynamic-profile/view/1909137","19-1909137")</f>
        <v>0</v>
      </c>
      <c r="B4923" t="s">
        <v>3947</v>
      </c>
      <c r="C4923" t="s">
        <v>8758</v>
      </c>
      <c r="D4923" t="s">
        <v>9928</v>
      </c>
      <c r="E4923" t="s">
        <v>10075</v>
      </c>
      <c r="F4923">
        <v>11215</v>
      </c>
      <c r="G4923" t="s">
        <v>10093</v>
      </c>
      <c r="H4923" t="s">
        <v>10115</v>
      </c>
      <c r="I4923" t="s">
        <v>10168</v>
      </c>
      <c r="J4923" t="s">
        <v>10213</v>
      </c>
      <c r="K4923" t="s">
        <v>10217</v>
      </c>
      <c r="M4923" t="s">
        <v>10528</v>
      </c>
      <c r="N4923" t="s">
        <v>10657</v>
      </c>
      <c r="P4923" t="s">
        <v>10749</v>
      </c>
      <c r="Q4923" t="s">
        <v>10765</v>
      </c>
      <c r="R4923" t="s">
        <v>10821</v>
      </c>
      <c r="T4923">
        <v>80000</v>
      </c>
      <c r="U4923">
        <v>6666.67</v>
      </c>
      <c r="V4923">
        <v>33</v>
      </c>
      <c r="W4923">
        <v>3</v>
      </c>
      <c r="X4923">
        <v>2</v>
      </c>
      <c r="Z4923">
        <v>265.16</v>
      </c>
      <c r="AA4923">
        <v>40.665574</v>
      </c>
      <c r="AB4923">
        <v>-73.98807600000001</v>
      </c>
      <c r="AD4923" t="s">
        <v>10839</v>
      </c>
      <c r="AG4923" t="s">
        <v>10858</v>
      </c>
      <c r="AH4923" t="s">
        <v>10862</v>
      </c>
      <c r="AI4923">
        <v>239</v>
      </c>
      <c r="AJ4923" t="s">
        <v>10213</v>
      </c>
      <c r="AL4923">
        <v>0</v>
      </c>
      <c r="AM4923" t="s">
        <v>10886</v>
      </c>
      <c r="AN4923" t="s">
        <v>10917</v>
      </c>
      <c r="AO4923" t="s">
        <v>11008</v>
      </c>
      <c r="AP4923" t="s">
        <v>11059</v>
      </c>
      <c r="AR4923" t="s">
        <v>11257</v>
      </c>
      <c r="AS4923" t="s">
        <v>11595</v>
      </c>
      <c r="AT4923" t="s">
        <v>11641</v>
      </c>
      <c r="AV4923" t="s">
        <v>11656</v>
      </c>
      <c r="AW4923" t="s">
        <v>11656</v>
      </c>
      <c r="AX4923" t="s">
        <v>10838</v>
      </c>
      <c r="BA4923" t="s">
        <v>11742</v>
      </c>
      <c r="BB4923">
        <v>0</v>
      </c>
      <c r="BC4923">
        <v>0</v>
      </c>
      <c r="BD4923">
        <v>0</v>
      </c>
      <c r="BE4923">
        <v>0</v>
      </c>
      <c r="BF4923">
        <v>7</v>
      </c>
      <c r="BG4923">
        <v>0</v>
      </c>
    </row>
    <row r="4924" spans="1:59">
      <c r="A4924" s="1">
        <f>HYPERLINK("https://lsnyc.legalserver.org/matter/dynamic-profile/view/1909138","19-1909138")</f>
        <v>0</v>
      </c>
      <c r="B4924" t="s">
        <v>3772</v>
      </c>
      <c r="C4924" t="s">
        <v>8759</v>
      </c>
      <c r="D4924" t="s">
        <v>9926</v>
      </c>
      <c r="E4924" t="s">
        <v>10075</v>
      </c>
      <c r="F4924">
        <v>10467</v>
      </c>
      <c r="G4924" t="s">
        <v>10090</v>
      </c>
      <c r="H4924" t="s">
        <v>10115</v>
      </c>
      <c r="I4924" t="s">
        <v>10168</v>
      </c>
      <c r="J4924" t="s">
        <v>10210</v>
      </c>
      <c r="K4924" t="s">
        <v>10217</v>
      </c>
      <c r="M4924" t="s">
        <v>10511</v>
      </c>
      <c r="N4924" t="s">
        <v>10651</v>
      </c>
      <c r="P4924" t="s">
        <v>10749</v>
      </c>
      <c r="Q4924" t="s">
        <v>10765</v>
      </c>
      <c r="R4924" t="s">
        <v>10821</v>
      </c>
      <c r="T4924">
        <v>20800</v>
      </c>
      <c r="U4924">
        <v>1733.33</v>
      </c>
      <c r="V4924">
        <v>25</v>
      </c>
      <c r="W4924">
        <v>1</v>
      </c>
      <c r="X4924">
        <v>1</v>
      </c>
      <c r="Z4924">
        <v>123</v>
      </c>
      <c r="AA4924">
        <v>40.878561</v>
      </c>
      <c r="AB4924">
        <v>-73.8623</v>
      </c>
      <c r="AD4924" t="s">
        <v>10839</v>
      </c>
      <c r="AG4924" t="s">
        <v>10858</v>
      </c>
      <c r="AH4924" t="s">
        <v>10861</v>
      </c>
      <c r="AI4924">
        <v>230</v>
      </c>
      <c r="AJ4924" t="s">
        <v>10210</v>
      </c>
      <c r="AL4924">
        <v>4.5</v>
      </c>
      <c r="AM4924" t="s">
        <v>10893</v>
      </c>
      <c r="AN4924" t="s">
        <v>10956</v>
      </c>
      <c r="AO4924" t="s">
        <v>11010</v>
      </c>
      <c r="AP4924" t="s">
        <v>11085</v>
      </c>
      <c r="AR4924" t="s">
        <v>11262</v>
      </c>
      <c r="AS4924" t="s">
        <v>9926</v>
      </c>
      <c r="AT4924" t="s">
        <v>11641</v>
      </c>
      <c r="AX4924" t="s">
        <v>10838</v>
      </c>
      <c r="BA4924" t="s">
        <v>11738</v>
      </c>
      <c r="BB4924">
        <v>0</v>
      </c>
      <c r="BC4924">
        <v>0</v>
      </c>
      <c r="BD4924">
        <v>0</v>
      </c>
      <c r="BE4924">
        <v>0</v>
      </c>
      <c r="BF4924">
        <v>5</v>
      </c>
      <c r="BG4924">
        <v>0</v>
      </c>
    </row>
    <row r="4925" spans="1:59">
      <c r="A4925" s="1">
        <f>HYPERLINK("https://lsnyc.legalserver.org/matter/dynamic-profile/view/1909139","19-1909139")</f>
        <v>0</v>
      </c>
      <c r="B4925" t="s">
        <v>3948</v>
      </c>
      <c r="C4925" t="s">
        <v>6506</v>
      </c>
      <c r="D4925" t="s">
        <v>9926</v>
      </c>
      <c r="E4925" t="s">
        <v>10075</v>
      </c>
      <c r="F4925">
        <v>10456</v>
      </c>
      <c r="G4925" t="s">
        <v>10090</v>
      </c>
      <c r="H4925" t="s">
        <v>10115</v>
      </c>
      <c r="I4925" t="s">
        <v>10168</v>
      </c>
      <c r="J4925" t="s">
        <v>10210</v>
      </c>
      <c r="K4925" t="s">
        <v>10217</v>
      </c>
      <c r="M4925" t="s">
        <v>10234</v>
      </c>
      <c r="N4925" t="s">
        <v>10650</v>
      </c>
      <c r="P4925" t="s">
        <v>10749</v>
      </c>
      <c r="Q4925" t="s">
        <v>10765</v>
      </c>
      <c r="R4925" t="s">
        <v>10824</v>
      </c>
      <c r="T4925">
        <v>60000</v>
      </c>
      <c r="U4925">
        <v>5000</v>
      </c>
      <c r="V4925">
        <v>64</v>
      </c>
      <c r="W4925">
        <v>1</v>
      </c>
      <c r="X4925">
        <v>0</v>
      </c>
      <c r="Z4925">
        <v>480.38</v>
      </c>
      <c r="AA4925">
        <v>40.830909</v>
      </c>
      <c r="AB4925">
        <v>-73.918323</v>
      </c>
      <c r="AD4925" t="s">
        <v>10839</v>
      </c>
      <c r="AG4925" t="s">
        <v>10858</v>
      </c>
      <c r="AH4925" t="s">
        <v>10862</v>
      </c>
      <c r="AI4925">
        <v>230</v>
      </c>
      <c r="AJ4925" t="s">
        <v>10210</v>
      </c>
      <c r="AL4925">
        <v>0</v>
      </c>
      <c r="AM4925" t="s">
        <v>10884</v>
      </c>
      <c r="AN4925" t="s">
        <v>10929</v>
      </c>
      <c r="AO4925" t="s">
        <v>11001</v>
      </c>
      <c r="AP4925" t="s">
        <v>11055</v>
      </c>
      <c r="AR4925" t="s">
        <v>11270</v>
      </c>
      <c r="AS4925" t="s">
        <v>9926</v>
      </c>
      <c r="AT4925" t="s">
        <v>11641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</row>
    <row r="4926" spans="1:59">
      <c r="A4926" s="1">
        <f>HYPERLINK("https://lsnyc.legalserver.org/matter/dynamic-profile/view/1909140","19-1909140")</f>
        <v>0</v>
      </c>
      <c r="B4926" t="s">
        <v>3948</v>
      </c>
      <c r="C4926" t="s">
        <v>6506</v>
      </c>
      <c r="D4926" t="s">
        <v>9926</v>
      </c>
      <c r="E4926" t="s">
        <v>10075</v>
      </c>
      <c r="F4926">
        <v>10456</v>
      </c>
      <c r="G4926" t="s">
        <v>10090</v>
      </c>
      <c r="H4926" t="s">
        <v>10115</v>
      </c>
      <c r="I4926" t="s">
        <v>10168</v>
      </c>
      <c r="J4926" t="s">
        <v>10210</v>
      </c>
      <c r="K4926" t="s">
        <v>10217</v>
      </c>
      <c r="M4926" t="s">
        <v>10234</v>
      </c>
      <c r="N4926" t="s">
        <v>10650</v>
      </c>
      <c r="P4926" t="s">
        <v>10749</v>
      </c>
      <c r="Q4926" t="s">
        <v>10765</v>
      </c>
      <c r="R4926" t="s">
        <v>10824</v>
      </c>
      <c r="T4926">
        <v>60000</v>
      </c>
      <c r="U4926">
        <v>5000</v>
      </c>
      <c r="V4926">
        <v>64</v>
      </c>
      <c r="W4926">
        <v>1</v>
      </c>
      <c r="X4926">
        <v>0</v>
      </c>
      <c r="Z4926">
        <v>480.38</v>
      </c>
      <c r="AA4926">
        <v>40.830909</v>
      </c>
      <c r="AB4926">
        <v>-73.918323</v>
      </c>
      <c r="AD4926" t="s">
        <v>10839</v>
      </c>
      <c r="AG4926" t="s">
        <v>10858</v>
      </c>
      <c r="AH4926" t="s">
        <v>10862</v>
      </c>
      <c r="AI4926">
        <v>230</v>
      </c>
      <c r="AJ4926" t="s">
        <v>10210</v>
      </c>
      <c r="AL4926">
        <v>0</v>
      </c>
      <c r="AM4926" t="s">
        <v>10884</v>
      </c>
      <c r="AN4926" t="s">
        <v>10929</v>
      </c>
      <c r="AO4926" t="s">
        <v>11001</v>
      </c>
      <c r="AP4926" t="s">
        <v>11055</v>
      </c>
      <c r="AR4926" t="s">
        <v>11270</v>
      </c>
      <c r="AS4926" t="s">
        <v>9926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</row>
    <row r="4927" spans="1:59">
      <c r="A4927" s="1">
        <f>HYPERLINK("https://lsnyc.legalserver.org/matter/dynamic-profile/view/1909141","19-1909141")</f>
        <v>0</v>
      </c>
      <c r="B4927" t="s">
        <v>3949</v>
      </c>
      <c r="C4927" t="s">
        <v>8760</v>
      </c>
      <c r="D4927" t="s">
        <v>9928</v>
      </c>
      <c r="E4927" t="s">
        <v>10075</v>
      </c>
      <c r="F4927">
        <v>11232</v>
      </c>
      <c r="G4927" t="s">
        <v>10093</v>
      </c>
      <c r="H4927" t="s">
        <v>10115</v>
      </c>
      <c r="I4927" t="s">
        <v>10169</v>
      </c>
      <c r="J4927" t="s">
        <v>10213</v>
      </c>
      <c r="K4927" t="s">
        <v>10217</v>
      </c>
      <c r="M4927" t="s">
        <v>10435</v>
      </c>
      <c r="N4927" t="s">
        <v>10671</v>
      </c>
      <c r="P4927" t="s">
        <v>10750</v>
      </c>
      <c r="Q4927" t="s">
        <v>10779</v>
      </c>
      <c r="R4927" t="s">
        <v>10824</v>
      </c>
      <c r="T4927">
        <v>0</v>
      </c>
      <c r="U4927">
        <v>0</v>
      </c>
      <c r="V4927">
        <v>50</v>
      </c>
      <c r="W4927">
        <v>1</v>
      </c>
      <c r="X4927">
        <v>0</v>
      </c>
      <c r="Z4927">
        <v>0</v>
      </c>
      <c r="AA4927">
        <v>40.646349</v>
      </c>
      <c r="AB4927">
        <v>-73.99684600000001</v>
      </c>
      <c r="AD4927" t="s">
        <v>10839</v>
      </c>
      <c r="AF4927" t="s">
        <v>10842</v>
      </c>
      <c r="AG4927" t="s">
        <v>10859</v>
      </c>
      <c r="AH4927" t="s">
        <v>10861</v>
      </c>
      <c r="AI4927">
        <v>234</v>
      </c>
      <c r="AJ4927" t="s">
        <v>10214</v>
      </c>
      <c r="AL4927">
        <v>1.5</v>
      </c>
      <c r="AM4927" t="s">
        <v>10886</v>
      </c>
      <c r="AN4927" t="s">
        <v>10921</v>
      </c>
      <c r="AO4927" t="s">
        <v>11015</v>
      </c>
      <c r="AP4927" t="s">
        <v>11069</v>
      </c>
      <c r="AR4927" t="s">
        <v>11267</v>
      </c>
      <c r="AS4927" t="s">
        <v>11595</v>
      </c>
      <c r="AT4927" t="s">
        <v>11641</v>
      </c>
      <c r="AX4927" t="s">
        <v>10838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</row>
    <row r="4928" spans="1:59">
      <c r="A4928" s="1">
        <f>HYPERLINK("https://lsnyc.legalserver.org/matter/dynamic-profile/view/1909143","19-1909143")</f>
        <v>0</v>
      </c>
      <c r="B4928" t="s">
        <v>1734</v>
      </c>
      <c r="C4928" t="s">
        <v>7383</v>
      </c>
      <c r="D4928" t="s">
        <v>9926</v>
      </c>
      <c r="E4928" t="s">
        <v>10075</v>
      </c>
      <c r="F4928">
        <v>10460</v>
      </c>
      <c r="G4928" t="s">
        <v>10090</v>
      </c>
      <c r="H4928" t="s">
        <v>10115</v>
      </c>
      <c r="I4928" t="s">
        <v>10168</v>
      </c>
      <c r="J4928" t="s">
        <v>10210</v>
      </c>
      <c r="K4928" t="s">
        <v>10217</v>
      </c>
      <c r="M4928" t="s">
        <v>10303</v>
      </c>
      <c r="N4928" t="s">
        <v>10671</v>
      </c>
      <c r="P4928" t="s">
        <v>10751</v>
      </c>
      <c r="Q4928" t="s">
        <v>10761</v>
      </c>
      <c r="R4928" t="s">
        <v>10824</v>
      </c>
      <c r="T4928">
        <v>20800</v>
      </c>
      <c r="U4928">
        <v>1733.33</v>
      </c>
      <c r="V4928">
        <v>34</v>
      </c>
      <c r="W4928">
        <v>2</v>
      </c>
      <c r="X4928">
        <v>3</v>
      </c>
      <c r="Z4928">
        <v>68.94</v>
      </c>
      <c r="AA4928">
        <v>40.846276</v>
      </c>
      <c r="AB4928">
        <v>-73.885425</v>
      </c>
      <c r="AD4928" t="s">
        <v>10839</v>
      </c>
      <c r="AG4928" t="s">
        <v>10858</v>
      </c>
      <c r="AH4928" t="s">
        <v>10861</v>
      </c>
      <c r="AI4928">
        <v>230</v>
      </c>
      <c r="AJ4928" t="s">
        <v>10210</v>
      </c>
      <c r="AL4928">
        <v>0</v>
      </c>
      <c r="AM4928" t="s">
        <v>10884</v>
      </c>
      <c r="AN4928" t="s">
        <v>10918</v>
      </c>
      <c r="AO4928" t="s">
        <v>11000</v>
      </c>
      <c r="AP4928" t="s">
        <v>11056</v>
      </c>
      <c r="AR4928" t="s">
        <v>11257</v>
      </c>
      <c r="AS4928" t="s">
        <v>9926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</row>
    <row r="4929" spans="1:59">
      <c r="A4929" s="1">
        <f>HYPERLINK("https://lsnyc.legalserver.org/matter/dynamic-profile/view/1909145","19-1909145")</f>
        <v>0</v>
      </c>
      <c r="B4929" t="s">
        <v>2217</v>
      </c>
      <c r="C4929" t="s">
        <v>8761</v>
      </c>
      <c r="D4929" t="s">
        <v>9928</v>
      </c>
      <c r="E4929" t="s">
        <v>10075</v>
      </c>
      <c r="F4929">
        <v>11201</v>
      </c>
      <c r="G4929" t="s">
        <v>10093</v>
      </c>
      <c r="H4929" t="s">
        <v>10115</v>
      </c>
      <c r="I4929" t="s">
        <v>10168</v>
      </c>
      <c r="J4929" t="s">
        <v>10213</v>
      </c>
      <c r="K4929" t="s">
        <v>10217</v>
      </c>
      <c r="M4929" t="s">
        <v>10528</v>
      </c>
      <c r="N4929" t="s">
        <v>10657</v>
      </c>
      <c r="P4929" t="s">
        <v>10749</v>
      </c>
      <c r="Q4929" t="s">
        <v>10765</v>
      </c>
      <c r="R4929" t="s">
        <v>10820</v>
      </c>
      <c r="T4929">
        <v>0</v>
      </c>
      <c r="U4929">
        <v>0</v>
      </c>
      <c r="V4929">
        <v>42</v>
      </c>
      <c r="W4929">
        <v>1</v>
      </c>
      <c r="X4929">
        <v>1</v>
      </c>
      <c r="Z4929">
        <v>0</v>
      </c>
      <c r="AA4929">
        <v>40.684526</v>
      </c>
      <c r="AB4929">
        <v>-73.98954500000001</v>
      </c>
      <c r="AD4929" t="s">
        <v>10839</v>
      </c>
      <c r="AG4929" t="s">
        <v>10858</v>
      </c>
      <c r="AH4929" t="s">
        <v>10862</v>
      </c>
      <c r="AI4929">
        <v>239</v>
      </c>
      <c r="AJ4929" t="s">
        <v>10213</v>
      </c>
      <c r="AL4929">
        <v>1</v>
      </c>
      <c r="AM4929" t="s">
        <v>10886</v>
      </c>
      <c r="AN4929" t="s">
        <v>10917</v>
      </c>
      <c r="AO4929" t="s">
        <v>11007</v>
      </c>
      <c r="AP4929" t="s">
        <v>11054</v>
      </c>
      <c r="AR4929" t="s">
        <v>11267</v>
      </c>
      <c r="AS4929" t="s">
        <v>11595</v>
      </c>
      <c r="BA4929" t="s">
        <v>11742</v>
      </c>
      <c r="BB4929">
        <v>0</v>
      </c>
      <c r="BC4929">
        <v>0</v>
      </c>
      <c r="BD4929">
        <v>0</v>
      </c>
      <c r="BE4929">
        <v>0</v>
      </c>
      <c r="BF4929">
        <v>7</v>
      </c>
      <c r="BG4929">
        <v>0</v>
      </c>
    </row>
    <row r="4930" spans="1:59">
      <c r="A4930" s="1">
        <f>HYPERLINK("https://lsnyc.legalserver.org/matter/dynamic-profile/view/1909146","19-1909146")</f>
        <v>0</v>
      </c>
      <c r="B4930" t="s">
        <v>3772</v>
      </c>
      <c r="C4930" t="s">
        <v>8759</v>
      </c>
      <c r="D4930" t="s">
        <v>9926</v>
      </c>
      <c r="E4930" t="s">
        <v>10075</v>
      </c>
      <c r="F4930">
        <v>10467</v>
      </c>
      <c r="G4930" t="s">
        <v>10090</v>
      </c>
      <c r="H4930" t="s">
        <v>10115</v>
      </c>
      <c r="I4930" t="s">
        <v>10168</v>
      </c>
      <c r="J4930" t="s">
        <v>10210</v>
      </c>
      <c r="K4930" t="s">
        <v>10217</v>
      </c>
      <c r="M4930" t="s">
        <v>10511</v>
      </c>
      <c r="N4930" t="s">
        <v>10688</v>
      </c>
      <c r="P4930" t="s">
        <v>10751</v>
      </c>
      <c r="Q4930" t="s">
        <v>10761</v>
      </c>
      <c r="R4930" t="s">
        <v>10821</v>
      </c>
      <c r="T4930">
        <v>20800</v>
      </c>
      <c r="U4930">
        <v>1733.33</v>
      </c>
      <c r="V4930">
        <v>25</v>
      </c>
      <c r="W4930">
        <v>1</v>
      </c>
      <c r="X4930">
        <v>1</v>
      </c>
      <c r="Z4930">
        <v>123</v>
      </c>
      <c r="AA4930">
        <v>40.878561</v>
      </c>
      <c r="AB4930">
        <v>-73.8623</v>
      </c>
      <c r="AD4930" t="s">
        <v>10839</v>
      </c>
      <c r="AG4930" t="s">
        <v>10858</v>
      </c>
      <c r="AH4930" t="s">
        <v>10861</v>
      </c>
      <c r="AI4930">
        <v>230</v>
      </c>
      <c r="AJ4930" t="s">
        <v>10210</v>
      </c>
      <c r="AL4930">
        <v>0</v>
      </c>
      <c r="AR4930" t="s">
        <v>11262</v>
      </c>
      <c r="AS4930" t="s">
        <v>9926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</row>
    <row r="4931" spans="1:59">
      <c r="A4931" s="1">
        <f>HYPERLINK("https://lsnyc.legalserver.org/matter/dynamic-profile/view/1909147","19-1909147")</f>
        <v>0</v>
      </c>
      <c r="B4931" t="s">
        <v>3893</v>
      </c>
      <c r="C4931" t="s">
        <v>8711</v>
      </c>
      <c r="D4931" t="s">
        <v>9926</v>
      </c>
      <c r="E4931" t="s">
        <v>10075</v>
      </c>
      <c r="F4931">
        <v>10465</v>
      </c>
      <c r="G4931" t="s">
        <v>10090</v>
      </c>
      <c r="H4931" t="s">
        <v>10115</v>
      </c>
      <c r="I4931" t="s">
        <v>10168</v>
      </c>
      <c r="J4931" t="s">
        <v>10210</v>
      </c>
      <c r="K4931" t="s">
        <v>10217</v>
      </c>
      <c r="M4931" t="s">
        <v>10385</v>
      </c>
      <c r="N4931" t="s">
        <v>10666</v>
      </c>
      <c r="P4931" t="s">
        <v>10749</v>
      </c>
      <c r="Q4931" t="s">
        <v>10765</v>
      </c>
      <c r="R4931" t="s">
        <v>10825</v>
      </c>
      <c r="T4931">
        <v>0</v>
      </c>
      <c r="U4931">
        <v>0</v>
      </c>
      <c r="V4931">
        <v>32</v>
      </c>
      <c r="W4931">
        <v>1</v>
      </c>
      <c r="X4931">
        <v>2</v>
      </c>
      <c r="Z4931">
        <v>0</v>
      </c>
      <c r="AA4931">
        <v>40.828112</v>
      </c>
      <c r="AB4931">
        <v>-73.82235900000001</v>
      </c>
      <c r="AD4931" t="s">
        <v>10839</v>
      </c>
      <c r="AG4931" t="s">
        <v>10858</v>
      </c>
      <c r="AH4931" t="s">
        <v>10861</v>
      </c>
      <c r="AI4931">
        <v>230</v>
      </c>
      <c r="AJ4931" t="s">
        <v>10210</v>
      </c>
      <c r="AL4931">
        <v>4</v>
      </c>
      <c r="AM4931" t="s">
        <v>10885</v>
      </c>
      <c r="AN4931" t="s">
        <v>10911</v>
      </c>
      <c r="AO4931" t="s">
        <v>11002</v>
      </c>
      <c r="AP4931" t="s">
        <v>11049</v>
      </c>
      <c r="AR4931" t="s">
        <v>11267</v>
      </c>
      <c r="AS4931" t="s">
        <v>9926</v>
      </c>
      <c r="AT4931" t="s">
        <v>11641</v>
      </c>
      <c r="AX4931" t="s">
        <v>10838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</row>
    <row r="4932" spans="1:59">
      <c r="A4932" s="1">
        <f>HYPERLINK("https://lsnyc.legalserver.org/matter/dynamic-profile/view/1909149","19-1909149")</f>
        <v>0</v>
      </c>
      <c r="B4932" t="s">
        <v>2098</v>
      </c>
      <c r="C4932" t="s">
        <v>8762</v>
      </c>
      <c r="D4932" t="s">
        <v>9928</v>
      </c>
      <c r="E4932" t="s">
        <v>10075</v>
      </c>
      <c r="F4932">
        <v>11205</v>
      </c>
      <c r="G4932" t="s">
        <v>10093</v>
      </c>
      <c r="H4932" t="s">
        <v>10115</v>
      </c>
      <c r="I4932" t="s">
        <v>10168</v>
      </c>
      <c r="J4932" t="s">
        <v>10213</v>
      </c>
      <c r="K4932" t="s">
        <v>10217</v>
      </c>
      <c r="M4932" t="s">
        <v>10528</v>
      </c>
      <c r="N4932" t="s">
        <v>10657</v>
      </c>
      <c r="P4932" t="s">
        <v>10749</v>
      </c>
      <c r="Q4932" t="s">
        <v>10767</v>
      </c>
      <c r="R4932" t="s">
        <v>10824</v>
      </c>
      <c r="T4932">
        <v>34736</v>
      </c>
      <c r="U4932">
        <v>2894.67</v>
      </c>
      <c r="V4932">
        <v>48</v>
      </c>
      <c r="W4932">
        <v>2</v>
      </c>
      <c r="X4932">
        <v>1</v>
      </c>
      <c r="Z4932">
        <v>162.85</v>
      </c>
      <c r="AA4932">
        <v>40.69395</v>
      </c>
      <c r="AB4932">
        <v>-73.978921</v>
      </c>
      <c r="AD4932" t="s">
        <v>10839</v>
      </c>
      <c r="AG4932" t="s">
        <v>10858</v>
      </c>
      <c r="AH4932" t="s">
        <v>10862</v>
      </c>
      <c r="AI4932">
        <v>239</v>
      </c>
      <c r="AJ4932" t="s">
        <v>10213</v>
      </c>
      <c r="AL4932">
        <v>0.5</v>
      </c>
      <c r="AM4932" t="s">
        <v>10889</v>
      </c>
      <c r="AN4932" t="s">
        <v>10923</v>
      </c>
      <c r="AO4932" t="s">
        <v>11007</v>
      </c>
      <c r="AP4932" t="s">
        <v>11061</v>
      </c>
      <c r="AR4932" t="s">
        <v>11354</v>
      </c>
      <c r="AS4932" t="s">
        <v>11595</v>
      </c>
      <c r="BA4932" t="s">
        <v>11742</v>
      </c>
      <c r="BB4932">
        <v>0</v>
      </c>
      <c r="BC4932">
        <v>0</v>
      </c>
      <c r="BD4932">
        <v>0</v>
      </c>
      <c r="BE4932">
        <v>0</v>
      </c>
      <c r="BF4932">
        <v>7</v>
      </c>
      <c r="BG4932">
        <v>0</v>
      </c>
    </row>
    <row r="4933" spans="1:59">
      <c r="A4933" s="1">
        <f>HYPERLINK("https://lsnyc.legalserver.org/matter/dynamic-profile/view/1909150","19-1909150")</f>
        <v>0</v>
      </c>
      <c r="B4933" t="s">
        <v>3950</v>
      </c>
      <c r="C4933" t="s">
        <v>8763</v>
      </c>
      <c r="D4933" t="s">
        <v>9926</v>
      </c>
      <c r="E4933" t="s">
        <v>10075</v>
      </c>
      <c r="F4933">
        <v>10467</v>
      </c>
      <c r="G4933" t="s">
        <v>10090</v>
      </c>
      <c r="H4933" t="s">
        <v>10115</v>
      </c>
      <c r="I4933" t="s">
        <v>10168</v>
      </c>
      <c r="J4933" t="s">
        <v>10210</v>
      </c>
      <c r="K4933" t="s">
        <v>10217</v>
      </c>
      <c r="M4933" t="s">
        <v>10615</v>
      </c>
      <c r="N4933" t="s">
        <v>10656</v>
      </c>
      <c r="P4933" t="s">
        <v>10751</v>
      </c>
      <c r="Q4933" t="s">
        <v>10780</v>
      </c>
      <c r="R4933" t="s">
        <v>10821</v>
      </c>
      <c r="T4933">
        <v>12432</v>
      </c>
      <c r="U4933">
        <v>1036</v>
      </c>
      <c r="V4933">
        <v>54</v>
      </c>
      <c r="W4933">
        <v>2</v>
      </c>
      <c r="X4933">
        <v>0</v>
      </c>
      <c r="Z4933">
        <v>73.52</v>
      </c>
      <c r="AA4933">
        <v>40.876917</v>
      </c>
      <c r="AB4933">
        <v>-73.866027</v>
      </c>
      <c r="AD4933" t="s">
        <v>10839</v>
      </c>
      <c r="AG4933" t="s">
        <v>10858</v>
      </c>
      <c r="AH4933" t="s">
        <v>10861</v>
      </c>
      <c r="AI4933">
        <v>234</v>
      </c>
      <c r="AJ4933" t="s">
        <v>10214</v>
      </c>
      <c r="AL4933">
        <v>3.65</v>
      </c>
      <c r="AM4933" t="s">
        <v>10893</v>
      </c>
      <c r="AN4933" t="s">
        <v>10956</v>
      </c>
      <c r="AO4933" t="s">
        <v>11010</v>
      </c>
      <c r="AP4933" t="s">
        <v>11085</v>
      </c>
      <c r="AR4933" t="s">
        <v>11452</v>
      </c>
      <c r="AS4933" t="s">
        <v>9926</v>
      </c>
      <c r="AT4933" t="s">
        <v>11641</v>
      </c>
      <c r="AX4933" t="s">
        <v>10838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</row>
    <row r="4934" spans="1:59">
      <c r="A4934" s="1">
        <f>HYPERLINK("https://lsnyc.legalserver.org/matter/dynamic-profile/view/1909151","19-1909151")</f>
        <v>0</v>
      </c>
      <c r="B4934" t="s">
        <v>3951</v>
      </c>
      <c r="C4934" t="s">
        <v>8764</v>
      </c>
      <c r="D4934" t="s">
        <v>9926</v>
      </c>
      <c r="E4934" t="s">
        <v>10075</v>
      </c>
      <c r="F4934">
        <v>10457</v>
      </c>
      <c r="G4934" t="s">
        <v>10090</v>
      </c>
      <c r="H4934" t="s">
        <v>10115</v>
      </c>
      <c r="I4934" t="s">
        <v>10168</v>
      </c>
      <c r="J4934" t="s">
        <v>10210</v>
      </c>
      <c r="K4934" t="s">
        <v>10217</v>
      </c>
      <c r="M4934" t="s">
        <v>10418</v>
      </c>
      <c r="N4934" t="s">
        <v>10651</v>
      </c>
      <c r="P4934" t="s">
        <v>10749</v>
      </c>
      <c r="Q4934" t="s">
        <v>10765</v>
      </c>
      <c r="R4934" t="s">
        <v>10824</v>
      </c>
      <c r="T4934">
        <v>24000</v>
      </c>
      <c r="U4934">
        <v>2000</v>
      </c>
      <c r="V4934">
        <v>30</v>
      </c>
      <c r="W4934">
        <v>1</v>
      </c>
      <c r="X4934">
        <v>1</v>
      </c>
      <c r="Z4934">
        <v>141.93</v>
      </c>
      <c r="AA4934">
        <v>40.856159</v>
      </c>
      <c r="AB4934">
        <v>-73.89778699999999</v>
      </c>
      <c r="AD4934" t="s">
        <v>10839</v>
      </c>
      <c r="AG4934" t="s">
        <v>10858</v>
      </c>
      <c r="AH4934" t="s">
        <v>10862</v>
      </c>
      <c r="AI4934">
        <v>230</v>
      </c>
      <c r="AJ4934" t="s">
        <v>10210</v>
      </c>
      <c r="AL4934">
        <v>2.7</v>
      </c>
      <c r="AM4934" t="s">
        <v>10884</v>
      </c>
      <c r="AN4934" t="s">
        <v>10931</v>
      </c>
      <c r="AO4934" t="s">
        <v>11000</v>
      </c>
      <c r="AP4934" t="s">
        <v>11056</v>
      </c>
      <c r="AR4934" t="s">
        <v>11257</v>
      </c>
      <c r="AS4934" t="s">
        <v>9926</v>
      </c>
      <c r="AT4934" t="s">
        <v>11641</v>
      </c>
      <c r="AX4934" t="s">
        <v>11678</v>
      </c>
      <c r="BA4934" t="s">
        <v>11738</v>
      </c>
      <c r="BB4934">
        <v>0</v>
      </c>
      <c r="BC4934">
        <v>0</v>
      </c>
      <c r="BD4934">
        <v>0</v>
      </c>
      <c r="BE4934">
        <v>0</v>
      </c>
      <c r="BF4934">
        <v>5</v>
      </c>
      <c r="BG4934">
        <v>0</v>
      </c>
    </row>
    <row r="4935" spans="1:59">
      <c r="A4935" s="1">
        <f>HYPERLINK("https://lsnyc.legalserver.org/matter/dynamic-profile/view/1909152","19-1909152")</f>
        <v>0</v>
      </c>
      <c r="B4935" t="s">
        <v>3952</v>
      </c>
      <c r="C4935" t="s">
        <v>6506</v>
      </c>
      <c r="D4935" t="s">
        <v>9926</v>
      </c>
      <c r="E4935" t="s">
        <v>10075</v>
      </c>
      <c r="F4935">
        <v>10456</v>
      </c>
      <c r="G4935" t="s">
        <v>10090</v>
      </c>
      <c r="H4935" t="s">
        <v>10115</v>
      </c>
      <c r="I4935" t="s">
        <v>10168</v>
      </c>
      <c r="J4935" t="s">
        <v>10210</v>
      </c>
      <c r="K4935" t="s">
        <v>10217</v>
      </c>
      <c r="M4935" t="s">
        <v>10234</v>
      </c>
      <c r="N4935" t="s">
        <v>10650</v>
      </c>
      <c r="P4935" t="s">
        <v>10749</v>
      </c>
      <c r="Q4935" t="s">
        <v>10765</v>
      </c>
      <c r="R4935" t="s">
        <v>10824</v>
      </c>
      <c r="T4935">
        <v>80000</v>
      </c>
      <c r="U4935">
        <v>6666.67</v>
      </c>
      <c r="V4935">
        <v>63</v>
      </c>
      <c r="W4935">
        <v>2</v>
      </c>
      <c r="X4935">
        <v>0</v>
      </c>
      <c r="Z4935">
        <v>473.09</v>
      </c>
      <c r="AA4935">
        <v>40.830909</v>
      </c>
      <c r="AB4935">
        <v>-73.918323</v>
      </c>
      <c r="AC4935" t="s">
        <v>10837</v>
      </c>
      <c r="AD4935" t="s">
        <v>10840</v>
      </c>
      <c r="AG4935" t="s">
        <v>10858</v>
      </c>
      <c r="AH4935" t="s">
        <v>10862</v>
      </c>
      <c r="AI4935">
        <v>230</v>
      </c>
      <c r="AJ4935" t="s">
        <v>10210</v>
      </c>
      <c r="AL4935">
        <v>0</v>
      </c>
      <c r="AM4935" t="s">
        <v>10884</v>
      </c>
      <c r="AN4935" t="s">
        <v>10929</v>
      </c>
      <c r="AO4935" t="s">
        <v>11001</v>
      </c>
      <c r="AP4935" t="s">
        <v>11055</v>
      </c>
      <c r="AR4935" t="s">
        <v>11257</v>
      </c>
      <c r="AS4935" t="s">
        <v>9926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</row>
    <row r="4936" spans="1:59">
      <c r="A4936" s="1">
        <f>HYPERLINK("https://lsnyc.legalserver.org/matter/dynamic-profile/view/1909153","19-1909153")</f>
        <v>0</v>
      </c>
      <c r="B4936" t="s">
        <v>3953</v>
      </c>
      <c r="C4936" t="s">
        <v>8765</v>
      </c>
      <c r="D4936" t="s">
        <v>9926</v>
      </c>
      <c r="E4936" t="s">
        <v>10075</v>
      </c>
      <c r="F4936">
        <v>10452</v>
      </c>
      <c r="G4936" t="s">
        <v>10090</v>
      </c>
      <c r="H4936" t="s">
        <v>10115</v>
      </c>
      <c r="I4936" t="s">
        <v>10168</v>
      </c>
      <c r="J4936" t="s">
        <v>10210</v>
      </c>
      <c r="K4936" t="s">
        <v>10218</v>
      </c>
      <c r="L4936" t="s">
        <v>10159</v>
      </c>
      <c r="M4936" t="s">
        <v>10579</v>
      </c>
      <c r="N4936" t="s">
        <v>10650</v>
      </c>
      <c r="P4936" t="s">
        <v>10749</v>
      </c>
      <c r="Q4936" t="s">
        <v>10765</v>
      </c>
      <c r="R4936" t="s">
        <v>10822</v>
      </c>
      <c r="T4936">
        <v>7200</v>
      </c>
      <c r="U4936">
        <v>600</v>
      </c>
      <c r="V4936">
        <v>39</v>
      </c>
      <c r="W4936">
        <v>1</v>
      </c>
      <c r="X4936">
        <v>0</v>
      </c>
      <c r="Y4936" t="s">
        <v>10829</v>
      </c>
      <c r="Z4936">
        <v>57.65</v>
      </c>
      <c r="AA4936">
        <v>40.843712</v>
      </c>
      <c r="AB4936">
        <v>-73.92339800000001</v>
      </c>
      <c r="AD4936" t="s">
        <v>10840</v>
      </c>
      <c r="AG4936" t="s">
        <v>10858</v>
      </c>
      <c r="AH4936" t="s">
        <v>10862</v>
      </c>
      <c r="AI4936">
        <v>230</v>
      </c>
      <c r="AJ4936" t="s">
        <v>10210</v>
      </c>
      <c r="AK4936" t="s">
        <v>10838</v>
      </c>
      <c r="AL4936">
        <v>1</v>
      </c>
      <c r="AM4936" t="s">
        <v>10884</v>
      </c>
      <c r="AN4936" t="s">
        <v>10929</v>
      </c>
      <c r="AO4936" t="s">
        <v>11013</v>
      </c>
      <c r="AP4936" t="s">
        <v>11055</v>
      </c>
      <c r="AR4936" t="s">
        <v>11387</v>
      </c>
      <c r="AS4936" t="s">
        <v>9926</v>
      </c>
      <c r="AX4936" t="s">
        <v>10838</v>
      </c>
      <c r="AY4936" t="s">
        <v>10829</v>
      </c>
      <c r="AZ4936" t="s">
        <v>11681</v>
      </c>
      <c r="BA4936" t="s">
        <v>11741</v>
      </c>
      <c r="BB4936">
        <v>0</v>
      </c>
      <c r="BC4936">
        <v>0</v>
      </c>
      <c r="BD4936">
        <v>0</v>
      </c>
      <c r="BE4936">
        <v>0</v>
      </c>
      <c r="BF4936">
        <v>1</v>
      </c>
      <c r="BG4936">
        <v>0</v>
      </c>
    </row>
    <row r="4937" spans="1:59">
      <c r="A4937" s="1">
        <f>HYPERLINK("https://lsnyc.legalserver.org/matter/dynamic-profile/view/1909154","19-1909154")</f>
        <v>0</v>
      </c>
      <c r="B4937" t="s">
        <v>3954</v>
      </c>
      <c r="C4937" t="s">
        <v>8766</v>
      </c>
      <c r="D4937" t="s">
        <v>9926</v>
      </c>
      <c r="E4937" t="s">
        <v>10075</v>
      </c>
      <c r="F4937">
        <v>10472</v>
      </c>
      <c r="G4937" t="s">
        <v>10091</v>
      </c>
      <c r="H4937" t="s">
        <v>10115</v>
      </c>
      <c r="I4937" t="s">
        <v>10168</v>
      </c>
      <c r="J4937" t="s">
        <v>10214</v>
      </c>
      <c r="K4937" t="s">
        <v>10217</v>
      </c>
      <c r="M4937" t="s">
        <v>10537</v>
      </c>
      <c r="N4937" t="s">
        <v>10673</v>
      </c>
      <c r="P4937" t="s">
        <v>10753</v>
      </c>
      <c r="Q4937" t="s">
        <v>10763</v>
      </c>
      <c r="R4937" t="s">
        <v>10824</v>
      </c>
      <c r="T4937">
        <v>0</v>
      </c>
      <c r="U4937">
        <v>0</v>
      </c>
      <c r="V4937">
        <v>30</v>
      </c>
      <c r="W4937">
        <v>1</v>
      </c>
      <c r="X4937">
        <v>0</v>
      </c>
      <c r="Z4937">
        <v>0</v>
      </c>
      <c r="AA4937">
        <v>40.832427</v>
      </c>
      <c r="AB4937">
        <v>-73.868126</v>
      </c>
      <c r="AD4937" t="s">
        <v>10840</v>
      </c>
      <c r="AF4937" t="s">
        <v>10842</v>
      </c>
      <c r="AG4937" t="s">
        <v>10859</v>
      </c>
      <c r="AH4937" t="s">
        <v>10861</v>
      </c>
      <c r="AI4937">
        <v>234</v>
      </c>
      <c r="AJ4937" t="s">
        <v>10214</v>
      </c>
      <c r="AL4937">
        <v>1</v>
      </c>
      <c r="AM4937" t="s">
        <v>10884</v>
      </c>
      <c r="AN4937" t="s">
        <v>10908</v>
      </c>
      <c r="AO4937" t="s">
        <v>11001</v>
      </c>
      <c r="AP4937" t="s">
        <v>11046</v>
      </c>
      <c r="AR4937" t="s">
        <v>11267</v>
      </c>
      <c r="AS4937" t="s">
        <v>9926</v>
      </c>
      <c r="AT4937" t="s">
        <v>11642</v>
      </c>
      <c r="AX4937" t="s">
        <v>10837</v>
      </c>
      <c r="BA4937" t="s">
        <v>11742</v>
      </c>
      <c r="BB4937">
        <v>0</v>
      </c>
      <c r="BC4937">
        <v>0</v>
      </c>
      <c r="BD4937">
        <v>0</v>
      </c>
      <c r="BE4937">
        <v>0</v>
      </c>
      <c r="BF4937">
        <v>7</v>
      </c>
      <c r="BG4937">
        <v>0</v>
      </c>
    </row>
    <row r="4938" spans="1:59">
      <c r="A4938" s="1">
        <f>HYPERLINK("https://lsnyc.legalserver.org/matter/dynamic-profile/view/1909155","19-1909155")</f>
        <v>0</v>
      </c>
      <c r="B4938" t="s">
        <v>3952</v>
      </c>
      <c r="C4938" t="s">
        <v>6506</v>
      </c>
      <c r="D4938" t="s">
        <v>9926</v>
      </c>
      <c r="E4938" t="s">
        <v>10075</v>
      </c>
      <c r="F4938">
        <v>10456</v>
      </c>
      <c r="G4938" t="s">
        <v>10090</v>
      </c>
      <c r="H4938" t="s">
        <v>10115</v>
      </c>
      <c r="I4938" t="s">
        <v>10168</v>
      </c>
      <c r="J4938" t="s">
        <v>10210</v>
      </c>
      <c r="K4938" t="s">
        <v>10217</v>
      </c>
      <c r="M4938" t="s">
        <v>10234</v>
      </c>
      <c r="N4938" t="s">
        <v>10650</v>
      </c>
      <c r="P4938" t="s">
        <v>10749</v>
      </c>
      <c r="Q4938" t="s">
        <v>10765</v>
      </c>
      <c r="R4938" t="s">
        <v>10824</v>
      </c>
      <c r="T4938">
        <v>80000</v>
      </c>
      <c r="U4938">
        <v>6666.67</v>
      </c>
      <c r="V4938">
        <v>63</v>
      </c>
      <c r="W4938">
        <v>2</v>
      </c>
      <c r="X4938">
        <v>0</v>
      </c>
      <c r="Z4938">
        <v>473.09</v>
      </c>
      <c r="AA4938">
        <v>40.830909</v>
      </c>
      <c r="AB4938">
        <v>-73.918323</v>
      </c>
      <c r="AC4938" t="s">
        <v>10837</v>
      </c>
      <c r="AD4938" t="s">
        <v>10840</v>
      </c>
      <c r="AG4938" t="s">
        <v>10858</v>
      </c>
      <c r="AH4938" t="s">
        <v>10862</v>
      </c>
      <c r="AI4938">
        <v>230</v>
      </c>
      <c r="AJ4938" t="s">
        <v>10210</v>
      </c>
      <c r="AL4938">
        <v>0</v>
      </c>
      <c r="AM4938" t="s">
        <v>10884</v>
      </c>
      <c r="AN4938" t="s">
        <v>10929</v>
      </c>
      <c r="AO4938" t="s">
        <v>11001</v>
      </c>
      <c r="AP4938" t="s">
        <v>11055</v>
      </c>
      <c r="AR4938" t="s">
        <v>11257</v>
      </c>
      <c r="AS4938" t="s">
        <v>9926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</row>
    <row r="4939" spans="1:59">
      <c r="A4939" s="1">
        <f>HYPERLINK("https://lsnyc.legalserver.org/matter/dynamic-profile/view/1909156","19-1909156")</f>
        <v>0</v>
      </c>
      <c r="B4939" t="s">
        <v>3955</v>
      </c>
      <c r="C4939" t="s">
        <v>8767</v>
      </c>
      <c r="D4939" t="s">
        <v>10054</v>
      </c>
      <c r="E4939" t="s">
        <v>10075</v>
      </c>
      <c r="F4939">
        <v>11040</v>
      </c>
      <c r="G4939" t="s">
        <v>10093</v>
      </c>
      <c r="H4939" t="s">
        <v>10115</v>
      </c>
      <c r="I4939" t="s">
        <v>10169</v>
      </c>
      <c r="J4939" t="s">
        <v>10213</v>
      </c>
      <c r="K4939" t="s">
        <v>10217</v>
      </c>
      <c r="M4939" t="s">
        <v>10528</v>
      </c>
      <c r="N4939" t="s">
        <v>10657</v>
      </c>
      <c r="P4939" t="s">
        <v>10749</v>
      </c>
      <c r="Q4939" t="s">
        <v>10765</v>
      </c>
      <c r="R4939" t="s">
        <v>10823</v>
      </c>
      <c r="T4939">
        <v>23400</v>
      </c>
      <c r="U4939">
        <v>1950</v>
      </c>
      <c r="V4939">
        <v>65</v>
      </c>
      <c r="W4939">
        <v>1</v>
      </c>
      <c r="X4939">
        <v>0</v>
      </c>
      <c r="Z4939">
        <v>187.35</v>
      </c>
      <c r="AA4939">
        <v>40.737471</v>
      </c>
      <c r="AB4939">
        <v>-73.69449</v>
      </c>
      <c r="AD4939" t="s">
        <v>10839</v>
      </c>
      <c r="AG4939" t="s">
        <v>10858</v>
      </c>
      <c r="AH4939" t="s">
        <v>10862</v>
      </c>
      <c r="AI4939">
        <v>239</v>
      </c>
      <c r="AJ4939" t="s">
        <v>10213</v>
      </c>
      <c r="AL4939">
        <v>0</v>
      </c>
      <c r="AM4939" t="s">
        <v>10900</v>
      </c>
      <c r="AN4939" t="s">
        <v>10994</v>
      </c>
      <c r="AO4939" t="s">
        <v>11035</v>
      </c>
      <c r="AR4939" t="s">
        <v>11295</v>
      </c>
      <c r="AS4939" t="s">
        <v>11594</v>
      </c>
      <c r="AT4939" t="s">
        <v>11641</v>
      </c>
      <c r="AV4939" t="s">
        <v>11656</v>
      </c>
      <c r="AW4939" t="s">
        <v>11645</v>
      </c>
      <c r="AX4939" t="s">
        <v>10838</v>
      </c>
      <c r="BA4939" t="s">
        <v>11741</v>
      </c>
      <c r="BB4939">
        <v>0</v>
      </c>
      <c r="BC4939">
        <v>0</v>
      </c>
      <c r="BD4939">
        <v>0</v>
      </c>
      <c r="BE4939">
        <v>0</v>
      </c>
      <c r="BF4939">
        <v>1</v>
      </c>
      <c r="BG4939">
        <v>0</v>
      </c>
    </row>
    <row r="4940" spans="1:59">
      <c r="A4940" s="1">
        <f>HYPERLINK("https://lsnyc.legalserver.org/matter/dynamic-profile/view/1909157","19-1909157")</f>
        <v>0</v>
      </c>
      <c r="B4940" t="s">
        <v>3956</v>
      </c>
      <c r="C4940" t="s">
        <v>8768</v>
      </c>
      <c r="D4940" t="s">
        <v>10055</v>
      </c>
      <c r="E4940" t="s">
        <v>10078</v>
      </c>
      <c r="F4940">
        <v>33966</v>
      </c>
      <c r="G4940" t="s">
        <v>10089</v>
      </c>
      <c r="H4940" t="s">
        <v>10115</v>
      </c>
      <c r="I4940" t="s">
        <v>10168</v>
      </c>
      <c r="J4940" t="s">
        <v>10209</v>
      </c>
      <c r="K4940" t="s">
        <v>10217</v>
      </c>
      <c r="M4940" t="s">
        <v>10332</v>
      </c>
      <c r="N4940" t="s">
        <v>10671</v>
      </c>
      <c r="P4940" t="s">
        <v>10754</v>
      </c>
      <c r="Q4940" t="s">
        <v>10770</v>
      </c>
      <c r="R4940" t="s">
        <v>10821</v>
      </c>
      <c r="T4940">
        <v>36000</v>
      </c>
      <c r="U4940">
        <v>3000</v>
      </c>
      <c r="V4940">
        <v>66</v>
      </c>
      <c r="W4940">
        <v>2</v>
      </c>
      <c r="X4940">
        <v>3</v>
      </c>
      <c r="Z4940">
        <v>119.32</v>
      </c>
      <c r="AA4940">
        <v>26.599295</v>
      </c>
      <c r="AB4940">
        <v>-81.81222</v>
      </c>
      <c r="AC4940" t="s">
        <v>10837</v>
      </c>
      <c r="AD4940" t="s">
        <v>10840</v>
      </c>
      <c r="AG4940" t="s">
        <v>10858</v>
      </c>
      <c r="AH4940" t="s">
        <v>10861</v>
      </c>
      <c r="AI4940">
        <v>234</v>
      </c>
      <c r="AJ4940" t="s">
        <v>10214</v>
      </c>
      <c r="AL4940">
        <v>1.4</v>
      </c>
      <c r="AR4940" t="s">
        <v>11300</v>
      </c>
      <c r="AS4940" t="s">
        <v>11628</v>
      </c>
      <c r="AT4940" t="s">
        <v>11642</v>
      </c>
      <c r="AX4940" t="s">
        <v>10838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</row>
    <row r="4941" spans="1:59">
      <c r="A4941" s="1">
        <f>HYPERLINK("https://lsnyc.legalserver.org/matter/dynamic-profile/view/1909158","19-1909158")</f>
        <v>0</v>
      </c>
      <c r="B4941" t="s">
        <v>3957</v>
      </c>
      <c r="C4941" t="s">
        <v>8769</v>
      </c>
      <c r="D4941" t="s">
        <v>9945</v>
      </c>
      <c r="E4941" t="s">
        <v>10075</v>
      </c>
      <c r="F4941">
        <v>11422</v>
      </c>
      <c r="G4941" t="s">
        <v>10091</v>
      </c>
      <c r="H4941" t="s">
        <v>10115</v>
      </c>
      <c r="I4941" t="s">
        <v>10168</v>
      </c>
      <c r="J4941" t="s">
        <v>10214</v>
      </c>
      <c r="K4941" t="s">
        <v>10217</v>
      </c>
      <c r="M4941" t="s">
        <v>10286</v>
      </c>
      <c r="N4941" t="s">
        <v>10671</v>
      </c>
      <c r="P4941" t="s">
        <v>10751</v>
      </c>
      <c r="Q4941" t="s">
        <v>10768</v>
      </c>
      <c r="R4941" t="s">
        <v>10824</v>
      </c>
      <c r="T4941">
        <v>7080</v>
      </c>
      <c r="U4941">
        <v>590</v>
      </c>
      <c r="V4941">
        <v>52</v>
      </c>
      <c r="W4941">
        <v>1</v>
      </c>
      <c r="X4941">
        <v>0</v>
      </c>
      <c r="Z4941">
        <v>56.69</v>
      </c>
      <c r="AA4941">
        <v>40.65519</v>
      </c>
      <c r="AB4941">
        <v>-73.743787</v>
      </c>
      <c r="AD4941" t="s">
        <v>10839</v>
      </c>
      <c r="AG4941" t="s">
        <v>10858</v>
      </c>
      <c r="AH4941" t="s">
        <v>10871</v>
      </c>
      <c r="AI4941">
        <v>234</v>
      </c>
      <c r="AJ4941" t="s">
        <v>10214</v>
      </c>
      <c r="AL4941">
        <v>1</v>
      </c>
      <c r="AM4941" t="s">
        <v>10892</v>
      </c>
      <c r="AN4941" t="s">
        <v>10930</v>
      </c>
      <c r="AO4941" t="s">
        <v>11017</v>
      </c>
      <c r="AP4941" t="s">
        <v>11082</v>
      </c>
      <c r="AR4941" t="s">
        <v>11319</v>
      </c>
      <c r="AS4941" t="s">
        <v>11594</v>
      </c>
      <c r="AT4941" t="s">
        <v>11641</v>
      </c>
      <c r="AX4941" t="s">
        <v>10838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</row>
    <row r="4942" spans="1:59">
      <c r="A4942" s="1">
        <f>HYPERLINK("https://lsnyc.legalserver.org/matter/dynamic-profile/view/1909159","19-1909159")</f>
        <v>0</v>
      </c>
      <c r="B4942" t="s">
        <v>3958</v>
      </c>
      <c r="C4942" t="s">
        <v>8770</v>
      </c>
      <c r="D4942" t="s">
        <v>9928</v>
      </c>
      <c r="E4942" t="s">
        <v>10075</v>
      </c>
      <c r="F4942">
        <v>11235</v>
      </c>
      <c r="G4942" t="s">
        <v>10093</v>
      </c>
      <c r="H4942" t="s">
        <v>10115</v>
      </c>
      <c r="I4942" t="s">
        <v>10168</v>
      </c>
      <c r="J4942" t="s">
        <v>10213</v>
      </c>
      <c r="K4942" t="s">
        <v>10217</v>
      </c>
      <c r="M4942" t="s">
        <v>10327</v>
      </c>
      <c r="N4942" t="s">
        <v>10664</v>
      </c>
      <c r="P4942" t="s">
        <v>10749</v>
      </c>
      <c r="Q4942" t="s">
        <v>10765</v>
      </c>
      <c r="R4942" t="s">
        <v>10824</v>
      </c>
      <c r="T4942">
        <v>15432</v>
      </c>
      <c r="U4942">
        <v>1286</v>
      </c>
      <c r="V4942">
        <v>54</v>
      </c>
      <c r="W4942">
        <v>1</v>
      </c>
      <c r="X4942">
        <v>0</v>
      </c>
      <c r="Z4942">
        <v>123.55</v>
      </c>
      <c r="AA4942">
        <v>40.592835</v>
      </c>
      <c r="AB4942">
        <v>-73.934387</v>
      </c>
      <c r="AC4942" t="s">
        <v>10837</v>
      </c>
      <c r="AD4942" t="s">
        <v>10840</v>
      </c>
      <c r="AG4942" t="s">
        <v>10858</v>
      </c>
      <c r="AH4942" t="s">
        <v>10861</v>
      </c>
      <c r="AI4942">
        <v>239</v>
      </c>
      <c r="AJ4942" t="s">
        <v>10213</v>
      </c>
      <c r="AL4942">
        <v>20.1</v>
      </c>
      <c r="AM4942" t="s">
        <v>10888</v>
      </c>
      <c r="AN4942" t="s">
        <v>10957</v>
      </c>
      <c r="AO4942" t="s">
        <v>11012</v>
      </c>
      <c r="AP4942" t="s">
        <v>11092</v>
      </c>
      <c r="AR4942" t="s">
        <v>11296</v>
      </c>
      <c r="AS4942" t="s">
        <v>11595</v>
      </c>
      <c r="BA4942" t="s">
        <v>11738</v>
      </c>
      <c r="BB4942">
        <v>0</v>
      </c>
      <c r="BC4942">
        <v>0</v>
      </c>
      <c r="BD4942">
        <v>0</v>
      </c>
      <c r="BE4942">
        <v>0</v>
      </c>
      <c r="BF4942">
        <v>5</v>
      </c>
      <c r="BG4942">
        <v>0</v>
      </c>
    </row>
    <row r="4943" spans="1:59">
      <c r="A4943" s="1">
        <f>HYPERLINK("https://lsnyc.legalserver.org/matter/dynamic-profile/view/1909160","19-1909160")</f>
        <v>0</v>
      </c>
      <c r="B4943" t="s">
        <v>3951</v>
      </c>
      <c r="C4943" t="s">
        <v>8764</v>
      </c>
      <c r="D4943" t="s">
        <v>9926</v>
      </c>
      <c r="E4943" t="s">
        <v>10075</v>
      </c>
      <c r="F4943">
        <v>10457</v>
      </c>
      <c r="G4943" t="s">
        <v>10090</v>
      </c>
      <c r="H4943" t="s">
        <v>10115</v>
      </c>
      <c r="I4943" t="s">
        <v>10168</v>
      </c>
      <c r="J4943" t="s">
        <v>10210</v>
      </c>
      <c r="K4943" t="s">
        <v>10217</v>
      </c>
      <c r="M4943" t="s">
        <v>10418</v>
      </c>
      <c r="N4943" t="s">
        <v>10671</v>
      </c>
      <c r="P4943" t="s">
        <v>10751</v>
      </c>
      <c r="Q4943" t="s">
        <v>10761</v>
      </c>
      <c r="R4943" t="s">
        <v>10824</v>
      </c>
      <c r="T4943">
        <v>24000</v>
      </c>
      <c r="U4943">
        <v>2000</v>
      </c>
      <c r="V4943">
        <v>30</v>
      </c>
      <c r="W4943">
        <v>1</v>
      </c>
      <c r="X4943">
        <v>1</v>
      </c>
      <c r="Z4943">
        <v>141.93</v>
      </c>
      <c r="AA4943">
        <v>40.856159</v>
      </c>
      <c r="AB4943">
        <v>-73.89778699999999</v>
      </c>
      <c r="AD4943" t="s">
        <v>10839</v>
      </c>
      <c r="AG4943" t="s">
        <v>10858</v>
      </c>
      <c r="AH4943" t="s">
        <v>10862</v>
      </c>
      <c r="AI4943">
        <v>230</v>
      </c>
      <c r="AJ4943" t="s">
        <v>10210</v>
      </c>
      <c r="AL4943">
        <v>0.75</v>
      </c>
      <c r="AR4943" t="s">
        <v>11257</v>
      </c>
      <c r="AS4943" t="s">
        <v>9926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</row>
    <row r="4944" spans="1:59">
      <c r="A4944" s="1">
        <f>HYPERLINK("https://lsnyc.legalserver.org/matter/dynamic-profile/view/1909161","19-1909161")</f>
        <v>0</v>
      </c>
      <c r="B4944" t="s">
        <v>3959</v>
      </c>
      <c r="C4944" t="s">
        <v>8771</v>
      </c>
      <c r="D4944" t="s">
        <v>9935</v>
      </c>
      <c r="E4944" t="s">
        <v>10075</v>
      </c>
      <c r="F4944">
        <v>11369</v>
      </c>
      <c r="G4944" t="s">
        <v>10092</v>
      </c>
      <c r="H4944" t="s">
        <v>10115</v>
      </c>
      <c r="I4944" t="s">
        <v>10168</v>
      </c>
      <c r="J4944" t="s">
        <v>10212</v>
      </c>
      <c r="K4944" t="s">
        <v>10217</v>
      </c>
      <c r="M4944" t="s">
        <v>10416</v>
      </c>
      <c r="N4944" t="s">
        <v>10646</v>
      </c>
      <c r="P4944" t="s">
        <v>10749</v>
      </c>
      <c r="Q4944" t="s">
        <v>10769</v>
      </c>
      <c r="R4944" t="s">
        <v>10824</v>
      </c>
      <c r="T4944">
        <v>29000</v>
      </c>
      <c r="U4944">
        <v>2416.67</v>
      </c>
      <c r="V4944">
        <v>64</v>
      </c>
      <c r="W4944">
        <v>1</v>
      </c>
      <c r="X4944">
        <v>0</v>
      </c>
      <c r="Z4944">
        <v>232.19</v>
      </c>
      <c r="AA4944">
        <v>40.766581</v>
      </c>
      <c r="AB4944">
        <v>-73.869185</v>
      </c>
      <c r="AD4944" t="s">
        <v>10839</v>
      </c>
      <c r="AG4944" t="s">
        <v>10858</v>
      </c>
      <c r="AH4944" t="s">
        <v>10861</v>
      </c>
      <c r="AI4944">
        <v>234</v>
      </c>
      <c r="AJ4944" t="s">
        <v>10214</v>
      </c>
      <c r="AL4944">
        <v>0.95</v>
      </c>
      <c r="AM4944" t="s">
        <v>10885</v>
      </c>
      <c r="AN4944" t="s">
        <v>10916</v>
      </c>
      <c r="AO4944" t="s">
        <v>11014</v>
      </c>
      <c r="AP4944" t="s">
        <v>11068</v>
      </c>
      <c r="AR4944" t="s">
        <v>11257</v>
      </c>
      <c r="AS4944" t="s">
        <v>11594</v>
      </c>
      <c r="AT4944" t="s">
        <v>11641</v>
      </c>
      <c r="AX4944" t="s">
        <v>10838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</row>
    <row r="4945" spans="1:59">
      <c r="A4945" s="1">
        <f>HYPERLINK("https://lsnyc.legalserver.org/matter/dynamic-profile/view/1909162","19-1909162")</f>
        <v>0</v>
      </c>
      <c r="B4945" t="s">
        <v>3960</v>
      </c>
      <c r="C4945" t="s">
        <v>8772</v>
      </c>
      <c r="D4945" t="s">
        <v>9926</v>
      </c>
      <c r="E4945" t="s">
        <v>10075</v>
      </c>
      <c r="F4945">
        <v>10463</v>
      </c>
      <c r="G4945" t="s">
        <v>10091</v>
      </c>
      <c r="H4945" t="s">
        <v>10115</v>
      </c>
      <c r="I4945" t="s">
        <v>10168</v>
      </c>
      <c r="J4945" t="s">
        <v>10214</v>
      </c>
      <c r="K4945" t="s">
        <v>10217</v>
      </c>
      <c r="M4945" t="s">
        <v>10286</v>
      </c>
      <c r="N4945" t="s">
        <v>10671</v>
      </c>
      <c r="P4945" t="s">
        <v>10749</v>
      </c>
      <c r="Q4945" t="s">
        <v>10765</v>
      </c>
      <c r="R4945" t="s">
        <v>10821</v>
      </c>
      <c r="T4945">
        <v>3146</v>
      </c>
      <c r="U4945">
        <v>262.17</v>
      </c>
      <c r="V4945">
        <v>35</v>
      </c>
      <c r="W4945">
        <v>1</v>
      </c>
      <c r="X4945">
        <v>0</v>
      </c>
      <c r="Z4945">
        <v>25.19</v>
      </c>
      <c r="AA4945">
        <v>40.885346</v>
      </c>
      <c r="AB4945">
        <v>-73.899159</v>
      </c>
      <c r="AD4945" t="s">
        <v>10839</v>
      </c>
      <c r="AG4945" t="s">
        <v>10858</v>
      </c>
      <c r="AH4945" t="s">
        <v>10871</v>
      </c>
      <c r="AI4945">
        <v>234</v>
      </c>
      <c r="AJ4945" t="s">
        <v>10214</v>
      </c>
      <c r="AL4945">
        <v>1</v>
      </c>
      <c r="AM4945" t="s">
        <v>10887</v>
      </c>
      <c r="AN4945" t="s">
        <v>10919</v>
      </c>
      <c r="AO4945" t="s">
        <v>11002</v>
      </c>
      <c r="AP4945" t="s">
        <v>11057</v>
      </c>
      <c r="AR4945" t="s">
        <v>11311</v>
      </c>
      <c r="AS4945" t="s">
        <v>9926</v>
      </c>
      <c r="AT4945" t="s">
        <v>11641</v>
      </c>
      <c r="AX4945" t="s">
        <v>10838</v>
      </c>
      <c r="BA4945" t="s">
        <v>11741</v>
      </c>
      <c r="BB4945">
        <v>0</v>
      </c>
      <c r="BC4945">
        <v>0</v>
      </c>
      <c r="BD4945">
        <v>0</v>
      </c>
      <c r="BE4945">
        <v>0</v>
      </c>
      <c r="BF4945">
        <v>1</v>
      </c>
      <c r="BG4945">
        <v>0</v>
      </c>
    </row>
    <row r="4946" spans="1:59">
      <c r="A4946" s="1">
        <f>HYPERLINK("https://lsnyc.legalserver.org/matter/dynamic-profile/view/1909163","19-1909163")</f>
        <v>0</v>
      </c>
      <c r="B4946" t="s">
        <v>3961</v>
      </c>
      <c r="C4946" t="s">
        <v>8773</v>
      </c>
      <c r="D4946" t="s">
        <v>9928</v>
      </c>
      <c r="E4946" t="s">
        <v>10075</v>
      </c>
      <c r="F4946">
        <v>11216</v>
      </c>
      <c r="G4946" t="s">
        <v>10093</v>
      </c>
      <c r="H4946" t="s">
        <v>10115</v>
      </c>
      <c r="I4946" t="s">
        <v>10168</v>
      </c>
      <c r="J4946" t="s">
        <v>10213</v>
      </c>
      <c r="K4946" t="s">
        <v>10217</v>
      </c>
      <c r="M4946" t="s">
        <v>10280</v>
      </c>
      <c r="N4946" t="s">
        <v>10671</v>
      </c>
      <c r="P4946" t="s">
        <v>10751</v>
      </c>
      <c r="Q4946" t="s">
        <v>10780</v>
      </c>
      <c r="R4946" t="s">
        <v>10824</v>
      </c>
      <c r="T4946">
        <v>3948</v>
      </c>
      <c r="U4946">
        <v>329</v>
      </c>
      <c r="V4946">
        <v>35</v>
      </c>
      <c r="W4946">
        <v>1</v>
      </c>
      <c r="X4946">
        <v>0</v>
      </c>
      <c r="Z4946">
        <v>31.61</v>
      </c>
      <c r="AA4946">
        <v>40.686536</v>
      </c>
      <c r="AB4946">
        <v>-73.945798</v>
      </c>
      <c r="AD4946" t="s">
        <v>10839</v>
      </c>
      <c r="AG4946" t="s">
        <v>10858</v>
      </c>
      <c r="AH4946" t="s">
        <v>10861</v>
      </c>
      <c r="AI4946">
        <v>234</v>
      </c>
      <c r="AJ4946" t="s">
        <v>10214</v>
      </c>
      <c r="AL4946">
        <v>1</v>
      </c>
      <c r="AM4946" t="s">
        <v>10889</v>
      </c>
      <c r="AN4946" t="s">
        <v>10914</v>
      </c>
      <c r="AO4946" t="s">
        <v>11007</v>
      </c>
      <c r="AP4946" t="s">
        <v>11052</v>
      </c>
      <c r="AR4946" t="s">
        <v>11255</v>
      </c>
      <c r="AS4946" t="s">
        <v>11595</v>
      </c>
      <c r="AT4946" t="s">
        <v>11641</v>
      </c>
      <c r="AX4946" t="s">
        <v>10838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</row>
    <row r="4947" spans="1:59">
      <c r="A4947" s="1">
        <f>HYPERLINK("https://lsnyc.legalserver.org/matter/dynamic-profile/view/1909164","19-1909164")</f>
        <v>0</v>
      </c>
      <c r="B4947" t="s">
        <v>3962</v>
      </c>
      <c r="C4947" t="s">
        <v>8774</v>
      </c>
      <c r="D4947" t="s">
        <v>9926</v>
      </c>
      <c r="E4947" t="s">
        <v>10075</v>
      </c>
      <c r="F4947">
        <v>10466</v>
      </c>
      <c r="G4947" t="s">
        <v>10090</v>
      </c>
      <c r="H4947" t="s">
        <v>10115</v>
      </c>
      <c r="I4947" t="s">
        <v>10168</v>
      </c>
      <c r="J4947" t="s">
        <v>10210</v>
      </c>
      <c r="K4947" t="s">
        <v>10217</v>
      </c>
      <c r="M4947" t="s">
        <v>10395</v>
      </c>
      <c r="N4947" t="s">
        <v>10671</v>
      </c>
      <c r="P4947" t="s">
        <v>10755</v>
      </c>
      <c r="Q4947" t="s">
        <v>10772</v>
      </c>
      <c r="R4947" t="s">
        <v>10823</v>
      </c>
      <c r="T4947">
        <v>55156</v>
      </c>
      <c r="U4947">
        <v>4596.33</v>
      </c>
      <c r="V4947">
        <v>12</v>
      </c>
      <c r="W4947">
        <v>2</v>
      </c>
      <c r="X4947">
        <v>4</v>
      </c>
      <c r="Z4947">
        <v>159.46</v>
      </c>
      <c r="AA4947">
        <v>40.892205</v>
      </c>
      <c r="AB4947">
        <v>-73.83256799999999</v>
      </c>
      <c r="AD4947" t="s">
        <v>10840</v>
      </c>
      <c r="AG4947" t="s">
        <v>10858</v>
      </c>
      <c r="AH4947" t="s">
        <v>10861</v>
      </c>
      <c r="AI4947">
        <v>234</v>
      </c>
      <c r="AJ4947" t="s">
        <v>10214</v>
      </c>
      <c r="AL4947">
        <v>5.44</v>
      </c>
      <c r="AM4947" t="s">
        <v>10893</v>
      </c>
      <c r="AN4947" t="s">
        <v>10956</v>
      </c>
      <c r="AO4947" t="s">
        <v>11010</v>
      </c>
      <c r="AP4947" t="s">
        <v>11085</v>
      </c>
      <c r="AR4947" t="s">
        <v>11295</v>
      </c>
      <c r="AS4947" t="s">
        <v>9926</v>
      </c>
      <c r="AT4947" t="s">
        <v>11642</v>
      </c>
      <c r="AX4947" t="s">
        <v>10838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</row>
    <row r="4948" spans="1:59">
      <c r="A4948" s="1">
        <f>HYPERLINK("https://lsnyc.legalserver.org/matter/dynamic-profile/view/1909165","19-1909165")</f>
        <v>0</v>
      </c>
      <c r="B4948" t="s">
        <v>3834</v>
      </c>
      <c r="C4948" t="s">
        <v>8775</v>
      </c>
      <c r="D4948" t="s">
        <v>9926</v>
      </c>
      <c r="E4948" t="s">
        <v>10075</v>
      </c>
      <c r="F4948">
        <v>10468</v>
      </c>
      <c r="G4948" t="s">
        <v>10090</v>
      </c>
      <c r="H4948" t="s">
        <v>10115</v>
      </c>
      <c r="I4948" t="s">
        <v>10169</v>
      </c>
      <c r="J4948" t="s">
        <v>10210</v>
      </c>
      <c r="K4948" t="s">
        <v>10217</v>
      </c>
      <c r="M4948" t="s">
        <v>10511</v>
      </c>
      <c r="N4948" t="s">
        <v>10651</v>
      </c>
      <c r="P4948" t="s">
        <v>10749</v>
      </c>
      <c r="Q4948" t="s">
        <v>10765</v>
      </c>
      <c r="R4948" t="s">
        <v>10823</v>
      </c>
      <c r="T4948">
        <v>3328</v>
      </c>
      <c r="U4948">
        <v>277.33</v>
      </c>
      <c r="V4948">
        <v>26</v>
      </c>
      <c r="W4948">
        <v>1</v>
      </c>
      <c r="X4948">
        <v>2</v>
      </c>
      <c r="Z4948">
        <v>15.6</v>
      </c>
      <c r="AA4948">
        <v>40.86118</v>
      </c>
      <c r="AB4948">
        <v>-73.900847</v>
      </c>
      <c r="AD4948" t="s">
        <v>10839</v>
      </c>
      <c r="AF4948" t="s">
        <v>10843</v>
      </c>
      <c r="AG4948" t="s">
        <v>10859</v>
      </c>
      <c r="AH4948" t="s">
        <v>10861</v>
      </c>
      <c r="AI4948">
        <v>230</v>
      </c>
      <c r="AJ4948" t="s">
        <v>10210</v>
      </c>
      <c r="AL4948">
        <v>2</v>
      </c>
      <c r="AM4948" t="s">
        <v>10884</v>
      </c>
      <c r="AN4948" t="s">
        <v>10931</v>
      </c>
      <c r="AO4948" t="s">
        <v>11000</v>
      </c>
      <c r="AP4948" t="s">
        <v>11045</v>
      </c>
      <c r="AR4948" t="s">
        <v>11262</v>
      </c>
      <c r="AS4948" t="s">
        <v>9926</v>
      </c>
      <c r="AT4948" t="s">
        <v>11641</v>
      </c>
      <c r="AX4948" t="s">
        <v>10838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</row>
    <row r="4949" spans="1:59">
      <c r="A4949" s="1">
        <f>HYPERLINK("https://lsnyc.legalserver.org/matter/dynamic-profile/view/1909167","19-1909167")</f>
        <v>0</v>
      </c>
      <c r="B4949" t="s">
        <v>3919</v>
      </c>
      <c r="C4949" t="s">
        <v>8776</v>
      </c>
      <c r="D4949" t="s">
        <v>9938</v>
      </c>
      <c r="E4949" t="s">
        <v>10075</v>
      </c>
      <c r="F4949">
        <v>11434</v>
      </c>
      <c r="G4949" t="s">
        <v>10092</v>
      </c>
      <c r="H4949" t="s">
        <v>10115</v>
      </c>
      <c r="J4949" t="s">
        <v>10212</v>
      </c>
      <c r="K4949" t="s">
        <v>10218</v>
      </c>
      <c r="L4949" t="s">
        <v>10137</v>
      </c>
      <c r="M4949" t="s">
        <v>10350</v>
      </c>
      <c r="N4949" t="s">
        <v>10692</v>
      </c>
      <c r="P4949" t="s">
        <v>10754</v>
      </c>
      <c r="Q4949" t="s">
        <v>10775</v>
      </c>
      <c r="R4949" t="s">
        <v>10822</v>
      </c>
      <c r="T4949">
        <v>80000</v>
      </c>
      <c r="U4949">
        <v>6666.67</v>
      </c>
      <c r="V4949">
        <v>44</v>
      </c>
      <c r="W4949">
        <v>1</v>
      </c>
      <c r="X4949">
        <v>1</v>
      </c>
      <c r="Y4949" t="s">
        <v>10829</v>
      </c>
      <c r="Z4949">
        <v>473.09</v>
      </c>
      <c r="AA4949">
        <v>40.663962</v>
      </c>
      <c r="AB4949">
        <v>-73.765486</v>
      </c>
      <c r="AD4949" t="s">
        <v>10839</v>
      </c>
      <c r="AG4949" t="s">
        <v>10858</v>
      </c>
      <c r="AH4949" t="s">
        <v>10865</v>
      </c>
      <c r="AI4949">
        <v>237</v>
      </c>
      <c r="AJ4949" t="s">
        <v>10212</v>
      </c>
      <c r="AK4949" t="s">
        <v>10837</v>
      </c>
      <c r="AL4949">
        <v>1</v>
      </c>
      <c r="AM4949" t="s">
        <v>10892</v>
      </c>
      <c r="AN4949" t="s">
        <v>10930</v>
      </c>
      <c r="AO4949" t="s">
        <v>11017</v>
      </c>
      <c r="AP4949" t="s">
        <v>11082</v>
      </c>
      <c r="AR4949" t="s">
        <v>11257</v>
      </c>
      <c r="AS4949" t="s">
        <v>11594</v>
      </c>
      <c r="AY4949" t="s">
        <v>10829</v>
      </c>
      <c r="AZ4949" t="s">
        <v>11683</v>
      </c>
      <c r="BA4949" t="s">
        <v>11741</v>
      </c>
      <c r="BB4949">
        <v>0</v>
      </c>
      <c r="BC4949">
        <v>0</v>
      </c>
      <c r="BD4949">
        <v>0</v>
      </c>
      <c r="BE4949">
        <v>0</v>
      </c>
      <c r="BF4949">
        <v>1</v>
      </c>
      <c r="BG4949">
        <v>0</v>
      </c>
    </row>
    <row r="4950" spans="1:59">
      <c r="A4950" s="1">
        <f>HYPERLINK("https://lsnyc.legalserver.org/matter/dynamic-profile/view/1909168","19-1909168")</f>
        <v>0</v>
      </c>
      <c r="B4950" t="s">
        <v>3963</v>
      </c>
      <c r="C4950" t="s">
        <v>8777</v>
      </c>
      <c r="D4950" t="s">
        <v>9930</v>
      </c>
      <c r="E4950" t="s">
        <v>10075</v>
      </c>
      <c r="F4950">
        <v>11373</v>
      </c>
      <c r="G4950" t="s">
        <v>10091</v>
      </c>
      <c r="H4950" t="s">
        <v>10115</v>
      </c>
      <c r="I4950" t="s">
        <v>10168</v>
      </c>
      <c r="J4950" t="s">
        <v>10211</v>
      </c>
      <c r="K4950" t="s">
        <v>10217</v>
      </c>
      <c r="M4950" t="s">
        <v>10231</v>
      </c>
      <c r="N4950" t="s">
        <v>10647</v>
      </c>
      <c r="P4950" t="s">
        <v>10752</v>
      </c>
      <c r="Q4950" t="s">
        <v>10762</v>
      </c>
      <c r="R4950" t="s">
        <v>10824</v>
      </c>
      <c r="T4950">
        <v>3708</v>
      </c>
      <c r="U4950">
        <v>309</v>
      </c>
      <c r="V4950">
        <v>30</v>
      </c>
      <c r="W4950">
        <v>1</v>
      </c>
      <c r="X4950">
        <v>0</v>
      </c>
      <c r="Z4950">
        <v>29.69</v>
      </c>
      <c r="AA4950">
        <v>40.739188</v>
      </c>
      <c r="AB4950">
        <v>-73.887928</v>
      </c>
      <c r="AD4950" t="s">
        <v>10840</v>
      </c>
      <c r="AG4950" t="s">
        <v>10858</v>
      </c>
      <c r="AH4950" t="s">
        <v>10871</v>
      </c>
      <c r="AI4950">
        <v>234</v>
      </c>
      <c r="AJ4950" t="s">
        <v>10214</v>
      </c>
      <c r="AL4950">
        <v>1.4</v>
      </c>
      <c r="AM4950" t="s">
        <v>10890</v>
      </c>
      <c r="AN4950" t="s">
        <v>10949</v>
      </c>
      <c r="AO4950" t="s">
        <v>11009</v>
      </c>
      <c r="AP4950" t="s">
        <v>11053</v>
      </c>
      <c r="AR4950" t="s">
        <v>11311</v>
      </c>
      <c r="AS4950" t="s">
        <v>11594</v>
      </c>
      <c r="AT4950" t="s">
        <v>11642</v>
      </c>
      <c r="AX4950" t="s">
        <v>10838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</row>
    <row r="4951" spans="1:59">
      <c r="A4951" s="1">
        <f>HYPERLINK("https://lsnyc.legalserver.org/matter/dynamic-profile/view/1909169","19-1909169")</f>
        <v>0</v>
      </c>
      <c r="B4951" t="s">
        <v>1447</v>
      </c>
      <c r="C4951" t="s">
        <v>8778</v>
      </c>
      <c r="D4951" t="s">
        <v>9926</v>
      </c>
      <c r="E4951" t="s">
        <v>10075</v>
      </c>
      <c r="F4951">
        <v>10468</v>
      </c>
      <c r="G4951" t="s">
        <v>10090</v>
      </c>
      <c r="H4951" t="s">
        <v>10115</v>
      </c>
      <c r="I4951" t="s">
        <v>10168</v>
      </c>
      <c r="J4951" t="s">
        <v>10210</v>
      </c>
      <c r="K4951" t="s">
        <v>10217</v>
      </c>
      <c r="M4951" t="s">
        <v>10419</v>
      </c>
      <c r="N4951" t="s">
        <v>10651</v>
      </c>
      <c r="P4951" t="s">
        <v>10749</v>
      </c>
      <c r="Q4951" t="s">
        <v>10765</v>
      </c>
      <c r="R4951" t="s">
        <v>10821</v>
      </c>
      <c r="T4951">
        <v>0</v>
      </c>
      <c r="U4951">
        <v>0</v>
      </c>
      <c r="V4951">
        <v>29</v>
      </c>
      <c r="W4951">
        <v>1</v>
      </c>
      <c r="X4951">
        <v>2</v>
      </c>
      <c r="Z4951">
        <v>0</v>
      </c>
      <c r="AA4951">
        <v>40.87135</v>
      </c>
      <c r="AB4951">
        <v>-73.90256599999999</v>
      </c>
      <c r="AD4951" t="s">
        <v>10839</v>
      </c>
      <c r="AG4951" t="s">
        <v>10858</v>
      </c>
      <c r="AH4951" t="s">
        <v>10862</v>
      </c>
      <c r="AI4951">
        <v>230</v>
      </c>
      <c r="AJ4951" t="s">
        <v>10210</v>
      </c>
      <c r="AL4951">
        <v>0</v>
      </c>
      <c r="AM4951" t="s">
        <v>10887</v>
      </c>
      <c r="AN4951" t="s">
        <v>10907</v>
      </c>
      <c r="AO4951" t="s">
        <v>11000</v>
      </c>
      <c r="AP4951" t="s">
        <v>11045</v>
      </c>
      <c r="AR4951" t="s">
        <v>11279</v>
      </c>
      <c r="AS4951" t="s">
        <v>9926</v>
      </c>
      <c r="AT4951" t="s">
        <v>11641</v>
      </c>
      <c r="AV4951" t="s">
        <v>11656</v>
      </c>
      <c r="AW4951" t="s">
        <v>11645</v>
      </c>
      <c r="AX4951" t="s">
        <v>10838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</row>
    <row r="4952" spans="1:59">
      <c r="A4952" s="1">
        <f>HYPERLINK("https://lsnyc.legalserver.org/matter/dynamic-profile/view/1909170","19-1909170")</f>
        <v>0</v>
      </c>
      <c r="B4952" t="s">
        <v>3834</v>
      </c>
      <c r="C4952" t="s">
        <v>8775</v>
      </c>
      <c r="D4952" t="s">
        <v>9926</v>
      </c>
      <c r="E4952" t="s">
        <v>10075</v>
      </c>
      <c r="F4952">
        <v>10468</v>
      </c>
      <c r="G4952" t="s">
        <v>10090</v>
      </c>
      <c r="H4952" t="s">
        <v>10115</v>
      </c>
      <c r="I4952" t="s">
        <v>10169</v>
      </c>
      <c r="J4952" t="s">
        <v>10210</v>
      </c>
      <c r="K4952" t="s">
        <v>10217</v>
      </c>
      <c r="M4952" t="s">
        <v>10511</v>
      </c>
      <c r="N4952" t="s">
        <v>10688</v>
      </c>
      <c r="P4952" t="s">
        <v>10751</v>
      </c>
      <c r="Q4952" t="s">
        <v>10761</v>
      </c>
      <c r="R4952" t="s">
        <v>10823</v>
      </c>
      <c r="T4952">
        <v>3328</v>
      </c>
      <c r="U4952">
        <v>277.33</v>
      </c>
      <c r="V4952">
        <v>26</v>
      </c>
      <c r="W4952">
        <v>1</v>
      </c>
      <c r="X4952">
        <v>2</v>
      </c>
      <c r="Z4952">
        <v>15.6</v>
      </c>
      <c r="AA4952">
        <v>40.86118</v>
      </c>
      <c r="AB4952">
        <v>-73.900847</v>
      </c>
      <c r="AD4952" t="s">
        <v>10839</v>
      </c>
      <c r="AF4952" t="s">
        <v>10843</v>
      </c>
      <c r="AG4952" t="s">
        <v>10859</v>
      </c>
      <c r="AH4952" t="s">
        <v>10861</v>
      </c>
      <c r="AI4952">
        <v>230</v>
      </c>
      <c r="AJ4952" t="s">
        <v>10210</v>
      </c>
      <c r="AL4952">
        <v>0</v>
      </c>
      <c r="AR4952" t="s">
        <v>11262</v>
      </c>
      <c r="AS4952" t="s">
        <v>9926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</row>
    <row r="4953" spans="1:59">
      <c r="A4953" s="1">
        <f>HYPERLINK("https://lsnyc.legalserver.org/matter/dynamic-profile/view/1909171","19-1909171")</f>
        <v>0</v>
      </c>
      <c r="B4953" t="s">
        <v>818</v>
      </c>
      <c r="C4953" t="s">
        <v>8779</v>
      </c>
      <c r="D4953" t="s">
        <v>9928</v>
      </c>
      <c r="E4953" t="s">
        <v>10075</v>
      </c>
      <c r="F4953">
        <v>11209</v>
      </c>
      <c r="G4953" t="s">
        <v>10091</v>
      </c>
      <c r="H4953" t="s">
        <v>10115</v>
      </c>
      <c r="I4953" t="s">
        <v>10168</v>
      </c>
      <c r="J4953" t="s">
        <v>10211</v>
      </c>
      <c r="K4953" t="s">
        <v>10217</v>
      </c>
      <c r="M4953" t="s">
        <v>10231</v>
      </c>
      <c r="N4953" t="s">
        <v>10647</v>
      </c>
      <c r="P4953" t="s">
        <v>10752</v>
      </c>
      <c r="Q4953" t="s">
        <v>10762</v>
      </c>
      <c r="R4953" t="s">
        <v>10820</v>
      </c>
      <c r="T4953">
        <v>0</v>
      </c>
      <c r="U4953">
        <v>0</v>
      </c>
      <c r="V4953">
        <v>57</v>
      </c>
      <c r="W4953">
        <v>1</v>
      </c>
      <c r="X4953">
        <v>0</v>
      </c>
      <c r="Z4953">
        <v>0</v>
      </c>
      <c r="AA4953">
        <v>40.617646</v>
      </c>
      <c r="AB4953">
        <v>-74.038157</v>
      </c>
      <c r="AD4953" t="s">
        <v>10839</v>
      </c>
      <c r="AG4953" t="s">
        <v>10858</v>
      </c>
      <c r="AH4953" t="s">
        <v>10861</v>
      </c>
      <c r="AI4953">
        <v>234</v>
      </c>
      <c r="AJ4953" t="s">
        <v>10214</v>
      </c>
      <c r="AL4953">
        <v>1.4</v>
      </c>
      <c r="AM4953" t="s">
        <v>10883</v>
      </c>
      <c r="AN4953" t="s">
        <v>10960</v>
      </c>
      <c r="AO4953" t="s">
        <v>11023</v>
      </c>
      <c r="AP4953" t="s">
        <v>11086</v>
      </c>
      <c r="AR4953" t="s">
        <v>11279</v>
      </c>
      <c r="AS4953" t="s">
        <v>11595</v>
      </c>
      <c r="AT4953" t="s">
        <v>11641</v>
      </c>
      <c r="AX4953" t="s">
        <v>10838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</row>
    <row r="4954" spans="1:59">
      <c r="A4954" s="1">
        <f>HYPERLINK("https://lsnyc.legalserver.org/matter/dynamic-profile/view/1909172","19-1909172")</f>
        <v>0</v>
      </c>
      <c r="B4954" t="s">
        <v>3964</v>
      </c>
      <c r="C4954" t="s">
        <v>8780</v>
      </c>
      <c r="D4954" t="s">
        <v>9938</v>
      </c>
      <c r="E4954" t="s">
        <v>10075</v>
      </c>
      <c r="F4954">
        <v>11435</v>
      </c>
      <c r="G4954" t="s">
        <v>10092</v>
      </c>
      <c r="H4954" t="s">
        <v>10115</v>
      </c>
      <c r="I4954" t="s">
        <v>10169</v>
      </c>
      <c r="J4954" t="s">
        <v>10212</v>
      </c>
      <c r="K4954" t="s">
        <v>10217</v>
      </c>
      <c r="M4954" t="s">
        <v>10311</v>
      </c>
      <c r="N4954" t="s">
        <v>10684</v>
      </c>
      <c r="P4954" t="s">
        <v>10751</v>
      </c>
      <c r="Q4954" t="s">
        <v>10786</v>
      </c>
      <c r="R4954" t="s">
        <v>10821</v>
      </c>
      <c r="T4954">
        <v>1908</v>
      </c>
      <c r="U4954">
        <v>159</v>
      </c>
      <c r="V4954">
        <v>67</v>
      </c>
      <c r="W4954">
        <v>1</v>
      </c>
      <c r="X4954">
        <v>0</v>
      </c>
      <c r="Z4954">
        <v>15.28</v>
      </c>
      <c r="AA4954">
        <v>40.706565</v>
      </c>
      <c r="AB4954">
        <v>-73.80779699999999</v>
      </c>
      <c r="AD4954" t="s">
        <v>10839</v>
      </c>
      <c r="AF4954" t="s">
        <v>10843</v>
      </c>
      <c r="AG4954" t="s">
        <v>10859</v>
      </c>
      <c r="AH4954" t="s">
        <v>10873</v>
      </c>
      <c r="AI4954">
        <v>237</v>
      </c>
      <c r="AJ4954" t="s">
        <v>10212</v>
      </c>
      <c r="AL4954">
        <v>2</v>
      </c>
      <c r="AM4954" t="s">
        <v>10890</v>
      </c>
      <c r="AN4954" t="s">
        <v>10944</v>
      </c>
      <c r="AO4954" t="s">
        <v>11022</v>
      </c>
      <c r="AP4954" t="s">
        <v>11081</v>
      </c>
      <c r="AR4954" t="s">
        <v>11268</v>
      </c>
      <c r="AS4954" t="s">
        <v>11594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</row>
    <row r="4955" spans="1:59">
      <c r="A4955" s="1">
        <f>HYPERLINK("https://lsnyc.legalserver.org/matter/dynamic-profile/view/1909173","19-1909173")</f>
        <v>0</v>
      </c>
      <c r="B4955" t="s">
        <v>3965</v>
      </c>
      <c r="C4955" t="s">
        <v>8781</v>
      </c>
      <c r="D4955" t="s">
        <v>9928</v>
      </c>
      <c r="E4955" t="s">
        <v>10075</v>
      </c>
      <c r="F4955">
        <v>11226</v>
      </c>
      <c r="G4955" t="s">
        <v>10093</v>
      </c>
      <c r="H4955" t="s">
        <v>10115</v>
      </c>
      <c r="I4955" t="s">
        <v>10168</v>
      </c>
      <c r="J4955" t="s">
        <v>10213</v>
      </c>
      <c r="K4955" t="s">
        <v>10217</v>
      </c>
      <c r="M4955" t="s">
        <v>10592</v>
      </c>
      <c r="N4955" t="s">
        <v>10646</v>
      </c>
      <c r="P4955" t="s">
        <v>10749</v>
      </c>
      <c r="Q4955" t="s">
        <v>10765</v>
      </c>
      <c r="R4955" t="s">
        <v>10824</v>
      </c>
      <c r="T4955">
        <v>25968</v>
      </c>
      <c r="U4955">
        <v>2164</v>
      </c>
      <c r="V4955">
        <v>68</v>
      </c>
      <c r="W4955">
        <v>1</v>
      </c>
      <c r="X4955">
        <v>0</v>
      </c>
      <c r="Z4955">
        <v>207.91</v>
      </c>
      <c r="AA4955">
        <v>40.646442</v>
      </c>
      <c r="AB4955">
        <v>-73.961285</v>
      </c>
      <c r="AD4955" t="s">
        <v>10839</v>
      </c>
      <c r="AG4955" t="s">
        <v>10858</v>
      </c>
      <c r="AH4955" t="s">
        <v>10862</v>
      </c>
      <c r="AI4955">
        <v>239</v>
      </c>
      <c r="AJ4955" t="s">
        <v>10213</v>
      </c>
      <c r="AL4955">
        <v>7.1</v>
      </c>
      <c r="AM4955" t="s">
        <v>10888</v>
      </c>
      <c r="AN4955" t="s">
        <v>10932</v>
      </c>
      <c r="AO4955" t="s">
        <v>11008</v>
      </c>
      <c r="AP4955" t="s">
        <v>11050</v>
      </c>
      <c r="AR4955" t="s">
        <v>11379</v>
      </c>
      <c r="AS4955" t="s">
        <v>11595</v>
      </c>
      <c r="BA4955" t="s">
        <v>11742</v>
      </c>
      <c r="BB4955">
        <v>0</v>
      </c>
      <c r="BC4955">
        <v>0</v>
      </c>
      <c r="BD4955">
        <v>0</v>
      </c>
      <c r="BE4955">
        <v>0</v>
      </c>
      <c r="BF4955">
        <v>7</v>
      </c>
      <c r="BG4955">
        <v>0</v>
      </c>
    </row>
    <row r="4956" spans="1:59">
      <c r="A4956" s="1">
        <f>HYPERLINK("https://lsnyc.legalserver.org/matter/dynamic-profile/view/1909174","19-1909174")</f>
        <v>0</v>
      </c>
      <c r="B4956" t="s">
        <v>1447</v>
      </c>
      <c r="C4956" t="s">
        <v>8778</v>
      </c>
      <c r="D4956" t="s">
        <v>9926</v>
      </c>
      <c r="E4956" t="s">
        <v>10075</v>
      </c>
      <c r="F4956">
        <v>10468</v>
      </c>
      <c r="G4956" t="s">
        <v>10090</v>
      </c>
      <c r="H4956" t="s">
        <v>10115</v>
      </c>
      <c r="I4956" t="s">
        <v>10168</v>
      </c>
      <c r="J4956" t="s">
        <v>10210</v>
      </c>
      <c r="K4956" t="s">
        <v>10217</v>
      </c>
      <c r="M4956" t="s">
        <v>10283</v>
      </c>
      <c r="N4956" t="s">
        <v>10688</v>
      </c>
      <c r="P4956" t="s">
        <v>10751</v>
      </c>
      <c r="Q4956" t="s">
        <v>10761</v>
      </c>
      <c r="R4956" t="s">
        <v>10821</v>
      </c>
      <c r="T4956">
        <v>0</v>
      </c>
      <c r="U4956">
        <v>0</v>
      </c>
      <c r="V4956">
        <v>29</v>
      </c>
      <c r="W4956">
        <v>1</v>
      </c>
      <c r="X4956">
        <v>2</v>
      </c>
      <c r="Z4956">
        <v>0</v>
      </c>
      <c r="AA4956">
        <v>40.87135</v>
      </c>
      <c r="AB4956">
        <v>-73.90256599999999</v>
      </c>
      <c r="AD4956" t="s">
        <v>10839</v>
      </c>
      <c r="AG4956" t="s">
        <v>10858</v>
      </c>
      <c r="AH4956" t="s">
        <v>10862</v>
      </c>
      <c r="AI4956">
        <v>230</v>
      </c>
      <c r="AJ4956" t="s">
        <v>10210</v>
      </c>
      <c r="AL4956">
        <v>0</v>
      </c>
      <c r="AR4956" t="s">
        <v>11279</v>
      </c>
      <c r="AS4956" t="s">
        <v>9926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</row>
    <row r="4957" spans="1:59">
      <c r="A4957" s="1">
        <f>HYPERLINK("https://lsnyc.legalserver.org/matter/dynamic-profile/view/1909175","19-1909175")</f>
        <v>0</v>
      </c>
      <c r="B4957" t="s">
        <v>3966</v>
      </c>
      <c r="C4957" t="s">
        <v>8782</v>
      </c>
      <c r="D4957" t="s">
        <v>9926</v>
      </c>
      <c r="E4957" t="s">
        <v>10075</v>
      </c>
      <c r="F4957">
        <v>10460</v>
      </c>
      <c r="G4957" t="s">
        <v>10090</v>
      </c>
      <c r="H4957" t="s">
        <v>10115</v>
      </c>
      <c r="I4957" t="s">
        <v>10168</v>
      </c>
      <c r="J4957" t="s">
        <v>10210</v>
      </c>
      <c r="K4957" t="s">
        <v>10218</v>
      </c>
      <c r="L4957" t="s">
        <v>10137</v>
      </c>
      <c r="M4957" t="s">
        <v>10262</v>
      </c>
      <c r="N4957" t="s">
        <v>10666</v>
      </c>
      <c r="P4957" t="s">
        <v>10749</v>
      </c>
      <c r="Q4957" t="s">
        <v>10765</v>
      </c>
      <c r="R4957" t="s">
        <v>10824</v>
      </c>
      <c r="T4957">
        <v>9000</v>
      </c>
      <c r="U4957">
        <v>750</v>
      </c>
      <c r="V4957">
        <v>62</v>
      </c>
      <c r="W4957">
        <v>1</v>
      </c>
      <c r="X4957">
        <v>0</v>
      </c>
      <c r="Y4957" t="s">
        <v>10829</v>
      </c>
      <c r="Z4957">
        <v>72.06</v>
      </c>
      <c r="AA4957">
        <v>40.844696</v>
      </c>
      <c r="AB4957">
        <v>-73.878817</v>
      </c>
      <c r="AD4957" t="s">
        <v>10840</v>
      </c>
      <c r="AG4957" t="s">
        <v>10858</v>
      </c>
      <c r="AH4957" t="s">
        <v>10861</v>
      </c>
      <c r="AI4957">
        <v>230</v>
      </c>
      <c r="AJ4957" t="s">
        <v>10210</v>
      </c>
      <c r="AK4957" t="s">
        <v>10838</v>
      </c>
      <c r="AL4957">
        <v>1</v>
      </c>
      <c r="AM4957" t="s">
        <v>10884</v>
      </c>
      <c r="AN4957" t="s">
        <v>10908</v>
      </c>
      <c r="AO4957" t="s">
        <v>11001</v>
      </c>
      <c r="AP4957" t="s">
        <v>11056</v>
      </c>
      <c r="AR4957" t="s">
        <v>11263</v>
      </c>
      <c r="AS4957" t="s">
        <v>9926</v>
      </c>
      <c r="AT4957" t="s">
        <v>11642</v>
      </c>
      <c r="AX4957" t="s">
        <v>10838</v>
      </c>
      <c r="AY4957" t="s">
        <v>10829</v>
      </c>
      <c r="AZ4957" t="s">
        <v>11681</v>
      </c>
      <c r="BA4957" t="s">
        <v>11741</v>
      </c>
      <c r="BB4957">
        <v>0</v>
      </c>
      <c r="BC4957">
        <v>0</v>
      </c>
      <c r="BD4957">
        <v>0</v>
      </c>
      <c r="BE4957">
        <v>0</v>
      </c>
      <c r="BF4957">
        <v>1</v>
      </c>
      <c r="BG4957">
        <v>0</v>
      </c>
    </row>
    <row r="4958" spans="1:59">
      <c r="A4958" s="1">
        <f>HYPERLINK("https://lsnyc.legalserver.org/matter/dynamic-profile/view/1909176","19-1909176")</f>
        <v>0</v>
      </c>
      <c r="B4958" t="s">
        <v>3967</v>
      </c>
      <c r="C4958" t="s">
        <v>8783</v>
      </c>
      <c r="D4958" t="s">
        <v>9928</v>
      </c>
      <c r="E4958" t="s">
        <v>10075</v>
      </c>
      <c r="F4958">
        <v>11203</v>
      </c>
      <c r="G4958" t="s">
        <v>10093</v>
      </c>
      <c r="H4958" t="s">
        <v>10115</v>
      </c>
      <c r="J4958" t="s">
        <v>10213</v>
      </c>
      <c r="K4958" t="s">
        <v>10217</v>
      </c>
      <c r="M4958" t="s">
        <v>10378</v>
      </c>
      <c r="N4958" t="s">
        <v>10698</v>
      </c>
      <c r="P4958" t="s">
        <v>10751</v>
      </c>
      <c r="Q4958" t="s">
        <v>10761</v>
      </c>
      <c r="R4958" t="s">
        <v>10824</v>
      </c>
      <c r="T4958">
        <v>3900</v>
      </c>
      <c r="U4958">
        <v>325</v>
      </c>
      <c r="V4958">
        <v>41</v>
      </c>
      <c r="W4958">
        <v>1</v>
      </c>
      <c r="X4958">
        <v>0</v>
      </c>
      <c r="Z4958">
        <v>31.22</v>
      </c>
      <c r="AA4958">
        <v>40.650773</v>
      </c>
      <c r="AB4958">
        <v>-73.945579</v>
      </c>
      <c r="AD4958" t="s">
        <v>10840</v>
      </c>
      <c r="AF4958" t="s">
        <v>10842</v>
      </c>
      <c r="AG4958" t="s">
        <v>10859</v>
      </c>
      <c r="AH4958" t="s">
        <v>10868</v>
      </c>
      <c r="AI4958">
        <v>239</v>
      </c>
      <c r="AJ4958" t="s">
        <v>10213</v>
      </c>
      <c r="AL4958">
        <v>7.75</v>
      </c>
      <c r="AM4958" t="s">
        <v>10888</v>
      </c>
      <c r="AN4958" t="s">
        <v>10932</v>
      </c>
      <c r="AO4958" t="s">
        <v>11008</v>
      </c>
      <c r="AP4958" t="s">
        <v>11065</v>
      </c>
      <c r="AR4958" t="s">
        <v>11321</v>
      </c>
      <c r="AS4958" t="s">
        <v>11595</v>
      </c>
      <c r="AT4958" t="s">
        <v>11642</v>
      </c>
      <c r="AX4958" t="s">
        <v>10837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</row>
    <row r="4959" spans="1:59">
      <c r="A4959" s="1">
        <f>HYPERLINK("https://lsnyc.legalserver.org/matter/dynamic-profile/view/1909177","19-1909177")</f>
        <v>0</v>
      </c>
      <c r="B4959" t="s">
        <v>2715</v>
      </c>
      <c r="C4959" t="s">
        <v>5227</v>
      </c>
      <c r="D4959" t="s">
        <v>9926</v>
      </c>
      <c r="E4959" t="s">
        <v>10075</v>
      </c>
      <c r="F4959">
        <v>10468</v>
      </c>
      <c r="G4959" t="s">
        <v>10090</v>
      </c>
      <c r="H4959" t="s">
        <v>10161</v>
      </c>
      <c r="I4959" t="s">
        <v>10169</v>
      </c>
      <c r="J4959" t="s">
        <v>10210</v>
      </c>
      <c r="K4959" t="s">
        <v>10217</v>
      </c>
      <c r="M4959" t="s">
        <v>10287</v>
      </c>
      <c r="N4959" t="s">
        <v>10646</v>
      </c>
      <c r="P4959" t="s">
        <v>10751</v>
      </c>
      <c r="Q4959" t="s">
        <v>10761</v>
      </c>
      <c r="R4959" t="s">
        <v>10823</v>
      </c>
      <c r="T4959">
        <v>55000</v>
      </c>
      <c r="U4959">
        <v>4583.33</v>
      </c>
      <c r="V4959">
        <v>51</v>
      </c>
      <c r="W4959">
        <v>3</v>
      </c>
      <c r="X4959">
        <v>1</v>
      </c>
      <c r="Z4959">
        <v>213.59</v>
      </c>
      <c r="AA4959">
        <v>40.864048</v>
      </c>
      <c r="AB4959">
        <v>-73.902592</v>
      </c>
      <c r="AD4959" t="s">
        <v>10839</v>
      </c>
      <c r="AG4959" t="s">
        <v>10858</v>
      </c>
      <c r="AH4959" t="s">
        <v>10862</v>
      </c>
      <c r="AI4959">
        <v>230</v>
      </c>
      <c r="AJ4959" t="s">
        <v>10210</v>
      </c>
      <c r="AL4959">
        <v>0.25</v>
      </c>
      <c r="AM4959" t="s">
        <v>10887</v>
      </c>
      <c r="AN4959" t="s">
        <v>10907</v>
      </c>
      <c r="AO4959" t="s">
        <v>11000</v>
      </c>
      <c r="AP4959" t="s">
        <v>11045</v>
      </c>
      <c r="AR4959" t="s">
        <v>11257</v>
      </c>
      <c r="AS4959" t="s">
        <v>9926</v>
      </c>
      <c r="AT4959" t="s">
        <v>11641</v>
      </c>
      <c r="AX4959" t="s">
        <v>10838</v>
      </c>
      <c r="BA4959" t="s">
        <v>11742</v>
      </c>
      <c r="BB4959">
        <v>0</v>
      </c>
      <c r="BC4959">
        <v>0</v>
      </c>
      <c r="BD4959">
        <v>0</v>
      </c>
      <c r="BE4959">
        <v>0</v>
      </c>
      <c r="BF4959">
        <v>7</v>
      </c>
      <c r="BG4959">
        <v>0</v>
      </c>
    </row>
    <row r="4960" spans="1:59">
      <c r="A4960" s="1">
        <f>HYPERLINK("https://lsnyc.legalserver.org/matter/dynamic-profile/view/1909178","19-1909178")</f>
        <v>0</v>
      </c>
      <c r="B4960" t="s">
        <v>3968</v>
      </c>
      <c r="C4960" t="s">
        <v>8784</v>
      </c>
      <c r="D4960" t="s">
        <v>9929</v>
      </c>
      <c r="E4960" t="s">
        <v>10075</v>
      </c>
      <c r="F4960">
        <v>10303</v>
      </c>
      <c r="G4960" t="s">
        <v>10091</v>
      </c>
      <c r="H4960" t="s">
        <v>10115</v>
      </c>
      <c r="I4960" t="s">
        <v>10168</v>
      </c>
      <c r="J4960" t="s">
        <v>10214</v>
      </c>
      <c r="K4960" t="s">
        <v>10217</v>
      </c>
      <c r="M4960" t="s">
        <v>10537</v>
      </c>
      <c r="N4960" t="s">
        <v>10671</v>
      </c>
      <c r="P4960" t="s">
        <v>10753</v>
      </c>
      <c r="Q4960" t="s">
        <v>10763</v>
      </c>
      <c r="R4960" t="s">
        <v>10821</v>
      </c>
      <c r="T4960">
        <v>3120</v>
      </c>
      <c r="U4960">
        <v>260</v>
      </c>
      <c r="V4960">
        <v>27</v>
      </c>
      <c r="W4960">
        <v>1</v>
      </c>
      <c r="X4960">
        <v>0</v>
      </c>
      <c r="Z4960">
        <v>24.98</v>
      </c>
      <c r="AA4960">
        <v>40.628522</v>
      </c>
      <c r="AB4960">
        <v>-74.148578</v>
      </c>
      <c r="AD4960" t="s">
        <v>10839</v>
      </c>
      <c r="AF4960" t="s">
        <v>10843</v>
      </c>
      <c r="AG4960" t="s">
        <v>10859</v>
      </c>
      <c r="AH4960" t="s">
        <v>10871</v>
      </c>
      <c r="AI4960">
        <v>234</v>
      </c>
      <c r="AJ4960" t="s">
        <v>10214</v>
      </c>
      <c r="AL4960">
        <v>1.05</v>
      </c>
      <c r="AM4960" t="s">
        <v>10883</v>
      </c>
      <c r="AN4960" t="s">
        <v>10913</v>
      </c>
      <c r="AO4960" t="s">
        <v>11006</v>
      </c>
      <c r="AP4960" t="s">
        <v>11051</v>
      </c>
      <c r="AR4960" t="s">
        <v>11257</v>
      </c>
      <c r="AS4960" t="s">
        <v>11593</v>
      </c>
      <c r="AT4960" t="s">
        <v>11641</v>
      </c>
      <c r="AX4960" t="s">
        <v>10838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</row>
    <row r="4961" spans="1:59">
      <c r="A4961" s="1">
        <f>HYPERLINK("https://lsnyc.legalserver.org/matter/dynamic-profile/view/1909179","19-1909179")</f>
        <v>0</v>
      </c>
      <c r="B4961" t="s">
        <v>533</v>
      </c>
      <c r="C4961" t="s">
        <v>8785</v>
      </c>
      <c r="D4961" t="s">
        <v>9938</v>
      </c>
      <c r="E4961" t="s">
        <v>10075</v>
      </c>
      <c r="F4961">
        <v>11434</v>
      </c>
      <c r="G4961" t="s">
        <v>10093</v>
      </c>
      <c r="H4961" t="s">
        <v>10115</v>
      </c>
      <c r="I4961" t="s">
        <v>10168</v>
      </c>
      <c r="J4961" t="s">
        <v>10213</v>
      </c>
      <c r="K4961" t="s">
        <v>10217</v>
      </c>
      <c r="M4961" t="s">
        <v>10356</v>
      </c>
      <c r="N4961" t="s">
        <v>10673</v>
      </c>
      <c r="P4961" t="s">
        <v>10753</v>
      </c>
      <c r="Q4961" t="s">
        <v>10763</v>
      </c>
      <c r="R4961" t="s">
        <v>10824</v>
      </c>
      <c r="T4961">
        <v>0</v>
      </c>
      <c r="U4961">
        <v>0</v>
      </c>
      <c r="V4961">
        <v>39</v>
      </c>
      <c r="W4961">
        <v>1</v>
      </c>
      <c r="X4961">
        <v>0</v>
      </c>
      <c r="Z4961">
        <v>0</v>
      </c>
      <c r="AA4961">
        <v>40.672797</v>
      </c>
      <c r="AB4961">
        <v>-73.77077800000001</v>
      </c>
      <c r="AD4961" t="s">
        <v>10840</v>
      </c>
      <c r="AF4961" t="s">
        <v>10844</v>
      </c>
      <c r="AG4961" t="s">
        <v>10859</v>
      </c>
      <c r="AH4961" t="s">
        <v>10864</v>
      </c>
      <c r="AI4961">
        <v>239</v>
      </c>
      <c r="AJ4961" t="s">
        <v>10213</v>
      </c>
      <c r="AL4961">
        <v>1</v>
      </c>
      <c r="AQ4961" t="s">
        <v>11230</v>
      </c>
      <c r="AR4961" t="s">
        <v>11267</v>
      </c>
      <c r="AS4961" t="s">
        <v>11594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</row>
    <row r="4962" spans="1:59">
      <c r="A4962" s="1">
        <f>HYPERLINK("https://lsnyc.legalserver.org/matter/dynamic-profile/view/1909180","19-1909180")</f>
        <v>0</v>
      </c>
      <c r="B4962" t="s">
        <v>3969</v>
      </c>
      <c r="C4962" t="s">
        <v>8786</v>
      </c>
      <c r="D4962" t="s">
        <v>9929</v>
      </c>
      <c r="E4962" t="s">
        <v>10075</v>
      </c>
      <c r="F4962">
        <v>10305</v>
      </c>
      <c r="G4962" t="s">
        <v>10090</v>
      </c>
      <c r="H4962" t="s">
        <v>10115</v>
      </c>
      <c r="I4962" t="s">
        <v>10168</v>
      </c>
      <c r="J4962" t="s">
        <v>10210</v>
      </c>
      <c r="K4962" t="s">
        <v>10217</v>
      </c>
      <c r="M4962" t="s">
        <v>10407</v>
      </c>
      <c r="N4962" t="s">
        <v>10671</v>
      </c>
      <c r="P4962" t="s">
        <v>10754</v>
      </c>
      <c r="Q4962" t="s">
        <v>10775</v>
      </c>
      <c r="R4962" t="s">
        <v>10824</v>
      </c>
      <c r="T4962">
        <v>0</v>
      </c>
      <c r="U4962">
        <v>0</v>
      </c>
      <c r="V4962">
        <v>41</v>
      </c>
      <c r="W4962">
        <v>1</v>
      </c>
      <c r="X4962">
        <v>2</v>
      </c>
      <c r="Z4962">
        <v>0</v>
      </c>
      <c r="AA4962">
        <v>40.600836</v>
      </c>
      <c r="AB4962">
        <v>-74.056349</v>
      </c>
      <c r="AC4962" t="s">
        <v>10837</v>
      </c>
      <c r="AD4962" t="s">
        <v>10839</v>
      </c>
      <c r="AG4962" t="s">
        <v>10858</v>
      </c>
      <c r="AH4962" t="s">
        <v>10861</v>
      </c>
      <c r="AI4962">
        <v>234</v>
      </c>
      <c r="AJ4962" t="s">
        <v>10214</v>
      </c>
      <c r="AL4962">
        <v>0.6</v>
      </c>
      <c r="AM4962" t="s">
        <v>10883</v>
      </c>
      <c r="AN4962" t="s">
        <v>10915</v>
      </c>
      <c r="AO4962" t="s">
        <v>11006</v>
      </c>
      <c r="AP4962" t="s">
        <v>11063</v>
      </c>
      <c r="AR4962" t="s">
        <v>11267</v>
      </c>
      <c r="AS4962" t="s">
        <v>11593</v>
      </c>
      <c r="AT4962" t="s">
        <v>11641</v>
      </c>
      <c r="AX4962" t="s">
        <v>10838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</row>
    <row r="4963" spans="1:59">
      <c r="A4963" s="1">
        <f>HYPERLINK("https://lsnyc.legalserver.org/matter/dynamic-profile/view/1909181","19-1909181")</f>
        <v>0</v>
      </c>
      <c r="B4963" t="s">
        <v>1749</v>
      </c>
      <c r="C4963" t="s">
        <v>8787</v>
      </c>
      <c r="D4963" t="s">
        <v>9926</v>
      </c>
      <c r="E4963" t="s">
        <v>10075</v>
      </c>
      <c r="F4963">
        <v>10467</v>
      </c>
      <c r="G4963" t="s">
        <v>10090</v>
      </c>
      <c r="H4963" t="s">
        <v>10115</v>
      </c>
      <c r="I4963" t="s">
        <v>10169</v>
      </c>
      <c r="J4963" t="s">
        <v>10210</v>
      </c>
      <c r="K4963" t="s">
        <v>10217</v>
      </c>
      <c r="M4963" t="s">
        <v>10419</v>
      </c>
      <c r="N4963" t="s">
        <v>10651</v>
      </c>
      <c r="P4963" t="s">
        <v>10749</v>
      </c>
      <c r="Q4963" t="s">
        <v>10765</v>
      </c>
      <c r="R4963" t="s">
        <v>10821</v>
      </c>
      <c r="T4963">
        <v>23360</v>
      </c>
      <c r="U4963">
        <v>1946.67</v>
      </c>
      <c r="V4963">
        <v>62</v>
      </c>
      <c r="W4963">
        <v>3</v>
      </c>
      <c r="X4963">
        <v>0</v>
      </c>
      <c r="Z4963">
        <v>109.52</v>
      </c>
      <c r="AA4963">
        <v>40.879466</v>
      </c>
      <c r="AB4963">
        <v>-73.871999</v>
      </c>
      <c r="AD4963" t="s">
        <v>10839</v>
      </c>
      <c r="AG4963" t="s">
        <v>10858</v>
      </c>
      <c r="AH4963" t="s">
        <v>10862</v>
      </c>
      <c r="AI4963">
        <v>230</v>
      </c>
      <c r="AJ4963" t="s">
        <v>10210</v>
      </c>
      <c r="AL4963">
        <v>1</v>
      </c>
      <c r="AM4963" t="s">
        <v>10887</v>
      </c>
      <c r="AN4963" t="s">
        <v>10938</v>
      </c>
      <c r="AO4963" t="s">
        <v>11010</v>
      </c>
      <c r="AP4963" t="s">
        <v>11057</v>
      </c>
      <c r="AR4963" t="s">
        <v>11295</v>
      </c>
      <c r="AS4963" t="s">
        <v>9926</v>
      </c>
      <c r="AT4963" t="s">
        <v>11641</v>
      </c>
      <c r="AV4963" t="s">
        <v>11656</v>
      </c>
      <c r="AW4963" t="s">
        <v>11645</v>
      </c>
      <c r="AX4963" t="s">
        <v>10838</v>
      </c>
      <c r="BA4963" t="s">
        <v>11738</v>
      </c>
      <c r="BB4963">
        <v>0</v>
      </c>
      <c r="BC4963">
        <v>0</v>
      </c>
      <c r="BD4963">
        <v>0</v>
      </c>
      <c r="BE4963">
        <v>0</v>
      </c>
      <c r="BF4963">
        <v>5</v>
      </c>
      <c r="BG4963">
        <v>0</v>
      </c>
    </row>
    <row r="4964" spans="1:59">
      <c r="A4964" s="1">
        <f>HYPERLINK("https://lsnyc.legalserver.org/matter/dynamic-profile/view/1909182","19-1909182")</f>
        <v>0</v>
      </c>
      <c r="B4964" t="s">
        <v>3970</v>
      </c>
      <c r="C4964" t="s">
        <v>5828</v>
      </c>
      <c r="D4964" t="s">
        <v>9928</v>
      </c>
      <c r="E4964" t="s">
        <v>10075</v>
      </c>
      <c r="F4964">
        <v>11225</v>
      </c>
      <c r="G4964" t="s">
        <v>10093</v>
      </c>
      <c r="H4964" t="s">
        <v>10115</v>
      </c>
      <c r="I4964" t="s">
        <v>10168</v>
      </c>
      <c r="J4964" t="s">
        <v>10213</v>
      </c>
      <c r="K4964" t="s">
        <v>10217</v>
      </c>
      <c r="M4964" t="s">
        <v>10467</v>
      </c>
      <c r="N4964" t="s">
        <v>10646</v>
      </c>
      <c r="P4964" t="s">
        <v>10749</v>
      </c>
      <c r="Q4964" t="s">
        <v>10765</v>
      </c>
      <c r="R4964" t="s">
        <v>10824</v>
      </c>
      <c r="T4964">
        <v>51350</v>
      </c>
      <c r="U4964">
        <v>4279.17</v>
      </c>
      <c r="V4964">
        <v>46</v>
      </c>
      <c r="W4964">
        <v>2</v>
      </c>
      <c r="X4964">
        <v>1</v>
      </c>
      <c r="Z4964">
        <v>240.74</v>
      </c>
      <c r="AA4964">
        <v>40.656844</v>
      </c>
      <c r="AB4964">
        <v>-73.961072</v>
      </c>
      <c r="AD4964" t="s">
        <v>10839</v>
      </c>
      <c r="AG4964" t="s">
        <v>10858</v>
      </c>
      <c r="AH4964" t="s">
        <v>10862</v>
      </c>
      <c r="AI4964">
        <v>239</v>
      </c>
      <c r="AJ4964" t="s">
        <v>10213</v>
      </c>
      <c r="AL4964">
        <v>0.1</v>
      </c>
      <c r="AM4964" t="s">
        <v>10888</v>
      </c>
      <c r="AN4964" t="s">
        <v>10912</v>
      </c>
      <c r="AO4964" t="s">
        <v>11008</v>
      </c>
      <c r="AP4964" t="s">
        <v>11050</v>
      </c>
      <c r="AR4964" t="s">
        <v>11257</v>
      </c>
      <c r="AS4964" t="s">
        <v>11595</v>
      </c>
      <c r="BA4964" t="s">
        <v>11742</v>
      </c>
      <c r="BB4964">
        <v>0</v>
      </c>
      <c r="BC4964">
        <v>0</v>
      </c>
      <c r="BD4964">
        <v>0</v>
      </c>
      <c r="BE4964">
        <v>0</v>
      </c>
      <c r="BF4964">
        <v>7</v>
      </c>
      <c r="BG4964">
        <v>0</v>
      </c>
    </row>
    <row r="4965" spans="1:59">
      <c r="A4965" s="1">
        <f>HYPERLINK("https://lsnyc.legalserver.org/matter/dynamic-profile/view/1909183","19-1909183")</f>
        <v>0</v>
      </c>
      <c r="B4965" t="s">
        <v>3971</v>
      </c>
      <c r="C4965" t="s">
        <v>8788</v>
      </c>
      <c r="D4965" t="s">
        <v>9928</v>
      </c>
      <c r="E4965" t="s">
        <v>10075</v>
      </c>
      <c r="F4965">
        <v>11212</v>
      </c>
      <c r="G4965" t="s">
        <v>10093</v>
      </c>
      <c r="H4965" t="s">
        <v>10115</v>
      </c>
      <c r="I4965" t="s">
        <v>10168</v>
      </c>
      <c r="J4965" t="s">
        <v>10213</v>
      </c>
      <c r="K4965" t="s">
        <v>10217</v>
      </c>
      <c r="M4965" t="s">
        <v>10435</v>
      </c>
      <c r="N4965" t="s">
        <v>10671</v>
      </c>
      <c r="P4965" t="s">
        <v>10750</v>
      </c>
      <c r="Q4965" t="s">
        <v>10779</v>
      </c>
      <c r="R4965" t="s">
        <v>10824</v>
      </c>
      <c r="T4965">
        <v>10860</v>
      </c>
      <c r="U4965">
        <v>905</v>
      </c>
      <c r="V4965">
        <v>26</v>
      </c>
      <c r="W4965">
        <v>1</v>
      </c>
      <c r="X4965">
        <v>0</v>
      </c>
      <c r="Z4965">
        <v>86.95</v>
      </c>
      <c r="AA4965">
        <v>40.667738</v>
      </c>
      <c r="AB4965">
        <v>-73.908828</v>
      </c>
      <c r="AD4965" t="s">
        <v>10839</v>
      </c>
      <c r="AG4965" t="s">
        <v>10858</v>
      </c>
      <c r="AH4965" t="s">
        <v>10861</v>
      </c>
      <c r="AI4965">
        <v>234</v>
      </c>
      <c r="AJ4965" t="s">
        <v>10214</v>
      </c>
      <c r="AL4965">
        <v>1.25</v>
      </c>
      <c r="AM4965" t="s">
        <v>10888</v>
      </c>
      <c r="AN4965" t="s">
        <v>10922</v>
      </c>
      <c r="AO4965" t="s">
        <v>11005</v>
      </c>
      <c r="AP4965" t="s">
        <v>11064</v>
      </c>
      <c r="AR4965" t="s">
        <v>11295</v>
      </c>
      <c r="AS4965" t="s">
        <v>11595</v>
      </c>
      <c r="AT4965" t="s">
        <v>11641</v>
      </c>
      <c r="AX4965" t="s">
        <v>10838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</row>
    <row r="4966" spans="1:59">
      <c r="A4966" s="1">
        <f>HYPERLINK("https://lsnyc.legalserver.org/matter/dynamic-profile/view/1909184","19-1909184")</f>
        <v>0</v>
      </c>
      <c r="B4966" t="s">
        <v>3972</v>
      </c>
      <c r="C4966" t="s">
        <v>8789</v>
      </c>
      <c r="D4966" t="s">
        <v>9932</v>
      </c>
      <c r="E4966" t="s">
        <v>10075</v>
      </c>
      <c r="F4966">
        <v>11368</v>
      </c>
      <c r="G4966" t="s">
        <v>10092</v>
      </c>
      <c r="H4966" t="s">
        <v>10115</v>
      </c>
      <c r="I4966" t="s">
        <v>10169</v>
      </c>
      <c r="J4966" t="s">
        <v>10212</v>
      </c>
      <c r="K4966" t="s">
        <v>10217</v>
      </c>
      <c r="M4966" t="s">
        <v>10311</v>
      </c>
      <c r="N4966" t="s">
        <v>10684</v>
      </c>
      <c r="P4966" t="s">
        <v>10751</v>
      </c>
      <c r="Q4966" t="s">
        <v>10786</v>
      </c>
      <c r="R4966" t="s">
        <v>10821</v>
      </c>
      <c r="T4966">
        <v>20800</v>
      </c>
      <c r="U4966">
        <v>1733.33</v>
      </c>
      <c r="V4966">
        <v>36</v>
      </c>
      <c r="W4966">
        <v>1</v>
      </c>
      <c r="X4966">
        <v>2</v>
      </c>
      <c r="Z4966">
        <v>97.52</v>
      </c>
      <c r="AA4966">
        <v>40.756293</v>
      </c>
      <c r="AB4966">
        <v>-73.87088300000001</v>
      </c>
      <c r="AD4966" t="s">
        <v>10839</v>
      </c>
      <c r="AF4966" t="s">
        <v>10843</v>
      </c>
      <c r="AG4966" t="s">
        <v>10859</v>
      </c>
      <c r="AH4966" t="s">
        <v>10873</v>
      </c>
      <c r="AI4966">
        <v>237</v>
      </c>
      <c r="AJ4966" t="s">
        <v>10212</v>
      </c>
      <c r="AL4966">
        <v>2.75</v>
      </c>
      <c r="AM4966" t="s">
        <v>10885</v>
      </c>
      <c r="AN4966" t="s">
        <v>10916</v>
      </c>
      <c r="AO4966" t="s">
        <v>11014</v>
      </c>
      <c r="AP4966" t="s">
        <v>11068</v>
      </c>
      <c r="AR4966" t="s">
        <v>11335</v>
      </c>
      <c r="AS4966" t="s">
        <v>11594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</row>
    <row r="4967" spans="1:59">
      <c r="A4967" s="1">
        <f>HYPERLINK("https://lsnyc.legalserver.org/matter/dynamic-profile/view/1909185","19-1909185")</f>
        <v>0</v>
      </c>
      <c r="B4967" t="s">
        <v>1749</v>
      </c>
      <c r="C4967" t="s">
        <v>8787</v>
      </c>
      <c r="D4967" t="s">
        <v>9926</v>
      </c>
      <c r="E4967" t="s">
        <v>10075</v>
      </c>
      <c r="F4967">
        <v>10467</v>
      </c>
      <c r="G4967" t="s">
        <v>10090</v>
      </c>
      <c r="H4967" t="s">
        <v>10115</v>
      </c>
      <c r="I4967" t="s">
        <v>10169</v>
      </c>
      <c r="J4967" t="s">
        <v>10210</v>
      </c>
      <c r="K4967" t="s">
        <v>10217</v>
      </c>
      <c r="M4967" t="s">
        <v>10283</v>
      </c>
      <c r="N4967" t="s">
        <v>10688</v>
      </c>
      <c r="P4967" t="s">
        <v>10751</v>
      </c>
      <c r="Q4967" t="s">
        <v>10761</v>
      </c>
      <c r="R4967" t="s">
        <v>10821</v>
      </c>
      <c r="T4967">
        <v>23360</v>
      </c>
      <c r="U4967">
        <v>1946.67</v>
      </c>
      <c r="V4967">
        <v>62</v>
      </c>
      <c r="W4967">
        <v>3</v>
      </c>
      <c r="X4967">
        <v>0</v>
      </c>
      <c r="Z4967">
        <v>109.52</v>
      </c>
      <c r="AA4967">
        <v>40.879466</v>
      </c>
      <c r="AB4967">
        <v>-73.871999</v>
      </c>
      <c r="AD4967" t="s">
        <v>10839</v>
      </c>
      <c r="AG4967" t="s">
        <v>10858</v>
      </c>
      <c r="AH4967" t="s">
        <v>10862</v>
      </c>
      <c r="AI4967">
        <v>230</v>
      </c>
      <c r="AJ4967" t="s">
        <v>10210</v>
      </c>
      <c r="AL4967">
        <v>0</v>
      </c>
      <c r="AR4967" t="s">
        <v>11295</v>
      </c>
      <c r="AS4967" t="s">
        <v>9926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</row>
    <row r="4968" spans="1:59">
      <c r="A4968" s="1">
        <f>HYPERLINK("https://lsnyc.legalserver.org/matter/dynamic-profile/view/1909186","19-1909186")</f>
        <v>0</v>
      </c>
      <c r="B4968" t="s">
        <v>3973</v>
      </c>
      <c r="C4968" t="s">
        <v>5814</v>
      </c>
      <c r="D4968" t="s">
        <v>9926</v>
      </c>
      <c r="E4968" t="s">
        <v>10075</v>
      </c>
      <c r="F4968">
        <v>10475</v>
      </c>
      <c r="G4968" t="s">
        <v>10090</v>
      </c>
      <c r="H4968" t="s">
        <v>10115</v>
      </c>
      <c r="I4968" t="s">
        <v>10168</v>
      </c>
      <c r="J4968" t="s">
        <v>10210</v>
      </c>
      <c r="K4968" t="s">
        <v>10217</v>
      </c>
      <c r="M4968" t="s">
        <v>10353</v>
      </c>
      <c r="N4968" t="s">
        <v>10677</v>
      </c>
      <c r="P4968" t="s">
        <v>10757</v>
      </c>
      <c r="Q4968" t="s">
        <v>10789</v>
      </c>
      <c r="R4968" t="s">
        <v>10820</v>
      </c>
      <c r="T4968">
        <v>8400</v>
      </c>
      <c r="U4968">
        <v>700</v>
      </c>
      <c r="V4968">
        <v>91</v>
      </c>
      <c r="W4968">
        <v>1</v>
      </c>
      <c r="X4968">
        <v>0</v>
      </c>
      <c r="Z4968">
        <v>67.25</v>
      </c>
      <c r="AA4968">
        <v>40.874928</v>
      </c>
      <c r="AB4968">
        <v>-73.829466</v>
      </c>
      <c r="AC4968" t="s">
        <v>10837</v>
      </c>
      <c r="AD4968" t="s">
        <v>10840</v>
      </c>
      <c r="AG4968" t="s">
        <v>10858</v>
      </c>
      <c r="AH4968" t="s">
        <v>10869</v>
      </c>
      <c r="AI4968">
        <v>230</v>
      </c>
      <c r="AJ4968" t="s">
        <v>10210</v>
      </c>
      <c r="AL4968">
        <v>1.6</v>
      </c>
      <c r="AM4968" t="s">
        <v>10893</v>
      </c>
      <c r="AN4968" t="s">
        <v>10911</v>
      </c>
      <c r="AO4968" t="s">
        <v>11010</v>
      </c>
      <c r="AP4968" t="s">
        <v>11085</v>
      </c>
      <c r="AQ4968" t="s">
        <v>11196</v>
      </c>
      <c r="AR4968" t="s">
        <v>11268</v>
      </c>
      <c r="AS4968" t="s">
        <v>9926</v>
      </c>
      <c r="AT4968" t="s">
        <v>11642</v>
      </c>
      <c r="AX4968" t="s">
        <v>10838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</row>
    <row r="4969" spans="1:59">
      <c r="A4969" s="1">
        <f>HYPERLINK("https://lsnyc.legalserver.org/matter/dynamic-profile/view/1909187","19-1909187")</f>
        <v>0</v>
      </c>
      <c r="B4969" t="s">
        <v>639</v>
      </c>
      <c r="C4969" t="s">
        <v>8790</v>
      </c>
      <c r="D4969" t="s">
        <v>9928</v>
      </c>
      <c r="E4969" t="s">
        <v>10075</v>
      </c>
      <c r="F4969">
        <v>11230</v>
      </c>
      <c r="G4969" t="s">
        <v>10093</v>
      </c>
      <c r="H4969" t="s">
        <v>10115</v>
      </c>
      <c r="I4969" t="s">
        <v>10168</v>
      </c>
      <c r="J4969" t="s">
        <v>10213</v>
      </c>
      <c r="K4969" t="s">
        <v>10218</v>
      </c>
      <c r="L4969" t="s">
        <v>10157</v>
      </c>
      <c r="M4969" t="s">
        <v>10583</v>
      </c>
      <c r="N4969" t="s">
        <v>10736</v>
      </c>
      <c r="P4969" t="s">
        <v>10749</v>
      </c>
      <c r="Q4969" t="s">
        <v>10765</v>
      </c>
      <c r="R4969" t="s">
        <v>10821</v>
      </c>
      <c r="T4969">
        <v>43000</v>
      </c>
      <c r="U4969">
        <v>3583.33</v>
      </c>
      <c r="V4969">
        <v>36</v>
      </c>
      <c r="W4969">
        <v>1</v>
      </c>
      <c r="X4969">
        <v>0</v>
      </c>
      <c r="Y4969" t="s">
        <v>10829</v>
      </c>
      <c r="Z4969">
        <v>344.28</v>
      </c>
      <c r="AA4969">
        <v>40.634648</v>
      </c>
      <c r="AB4969">
        <v>-73.964545</v>
      </c>
      <c r="AC4969" t="s">
        <v>10837</v>
      </c>
      <c r="AD4969" t="s">
        <v>10839</v>
      </c>
      <c r="AG4969" t="s">
        <v>10858</v>
      </c>
      <c r="AH4969" t="s">
        <v>10872</v>
      </c>
      <c r="AI4969">
        <v>234</v>
      </c>
      <c r="AJ4969" t="s">
        <v>10214</v>
      </c>
      <c r="AK4969" t="s">
        <v>10882</v>
      </c>
      <c r="AL4969">
        <v>0.1</v>
      </c>
      <c r="AM4969" t="s">
        <v>10888</v>
      </c>
      <c r="AN4969" t="s">
        <v>10941</v>
      </c>
      <c r="AO4969" t="s">
        <v>11008</v>
      </c>
      <c r="AP4969" t="s">
        <v>11050</v>
      </c>
      <c r="AR4969" t="s">
        <v>11257</v>
      </c>
      <c r="AS4969" t="s">
        <v>11595</v>
      </c>
      <c r="AY4969" t="s">
        <v>10829</v>
      </c>
      <c r="AZ4969" t="s">
        <v>11681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</row>
    <row r="4970" spans="1:59">
      <c r="A4970" s="1">
        <f>HYPERLINK("https://lsnyc.legalserver.org/matter/dynamic-profile/view/1909188","19-1909188")</f>
        <v>0</v>
      </c>
      <c r="B4970" t="s">
        <v>3974</v>
      </c>
      <c r="C4970" t="s">
        <v>8791</v>
      </c>
      <c r="D4970" t="s">
        <v>9928</v>
      </c>
      <c r="E4970" t="s">
        <v>10075</v>
      </c>
      <c r="F4970">
        <v>11211</v>
      </c>
      <c r="G4970" t="s">
        <v>10093</v>
      </c>
      <c r="H4970" t="s">
        <v>10115</v>
      </c>
      <c r="I4970" t="s">
        <v>10169</v>
      </c>
      <c r="J4970" t="s">
        <v>10213</v>
      </c>
      <c r="K4970" t="s">
        <v>10217</v>
      </c>
      <c r="M4970" t="s">
        <v>10293</v>
      </c>
      <c r="N4970" t="s">
        <v>10644</v>
      </c>
      <c r="P4970" t="s">
        <v>10749</v>
      </c>
      <c r="Q4970" t="s">
        <v>10765</v>
      </c>
      <c r="R4970" t="s">
        <v>10821</v>
      </c>
      <c r="T4970">
        <v>7332</v>
      </c>
      <c r="U4970">
        <v>611</v>
      </c>
      <c r="V4970">
        <v>79</v>
      </c>
      <c r="W4970">
        <v>2</v>
      </c>
      <c r="X4970">
        <v>0</v>
      </c>
      <c r="Z4970">
        <v>43.36</v>
      </c>
      <c r="AA4970">
        <v>40.710998</v>
      </c>
      <c r="AB4970">
        <v>-73.95675</v>
      </c>
      <c r="AD4970" t="s">
        <v>10839</v>
      </c>
      <c r="AG4970" t="s">
        <v>10858</v>
      </c>
      <c r="AH4970" t="s">
        <v>10862</v>
      </c>
      <c r="AI4970">
        <v>239</v>
      </c>
      <c r="AJ4970" t="s">
        <v>10213</v>
      </c>
      <c r="AL4970">
        <v>5.5</v>
      </c>
      <c r="AM4970" t="s">
        <v>10886</v>
      </c>
      <c r="AN4970" t="s">
        <v>10942</v>
      </c>
      <c r="AO4970" t="s">
        <v>11011</v>
      </c>
      <c r="AP4970" t="s">
        <v>11071</v>
      </c>
      <c r="AR4970" t="s">
        <v>11338</v>
      </c>
      <c r="AS4970" t="s">
        <v>11595</v>
      </c>
      <c r="AT4970" t="s">
        <v>11641</v>
      </c>
      <c r="AV4970" t="s">
        <v>11656</v>
      </c>
      <c r="AW4970" t="s">
        <v>11645</v>
      </c>
      <c r="AX4970" t="s">
        <v>10838</v>
      </c>
      <c r="BA4970" t="s">
        <v>11741</v>
      </c>
      <c r="BB4970">
        <v>0</v>
      </c>
      <c r="BC4970">
        <v>0</v>
      </c>
      <c r="BD4970">
        <v>0</v>
      </c>
      <c r="BE4970">
        <v>0</v>
      </c>
      <c r="BF4970">
        <v>1</v>
      </c>
      <c r="BG4970">
        <v>0</v>
      </c>
    </row>
    <row r="4971" spans="1:59">
      <c r="A4971" s="1">
        <f>HYPERLINK("https://lsnyc.legalserver.org/matter/dynamic-profile/view/1909189","19-1909189")</f>
        <v>0</v>
      </c>
      <c r="B4971" t="s">
        <v>3975</v>
      </c>
      <c r="C4971" t="s">
        <v>6225</v>
      </c>
      <c r="D4971" t="s">
        <v>9926</v>
      </c>
      <c r="E4971" t="s">
        <v>10075</v>
      </c>
      <c r="F4971">
        <v>10457</v>
      </c>
      <c r="G4971" t="s">
        <v>10090</v>
      </c>
      <c r="H4971" t="s">
        <v>10115</v>
      </c>
      <c r="I4971" t="s">
        <v>10168</v>
      </c>
      <c r="J4971" t="s">
        <v>10210</v>
      </c>
      <c r="K4971" t="s">
        <v>10217</v>
      </c>
      <c r="M4971" t="s">
        <v>10419</v>
      </c>
      <c r="N4971" t="s">
        <v>10651</v>
      </c>
      <c r="P4971" t="s">
        <v>10749</v>
      </c>
      <c r="Q4971" t="s">
        <v>10765</v>
      </c>
      <c r="R4971" t="s">
        <v>10824</v>
      </c>
      <c r="T4971">
        <v>8328</v>
      </c>
      <c r="U4971">
        <v>694</v>
      </c>
      <c r="V4971">
        <v>34</v>
      </c>
      <c r="W4971">
        <v>1</v>
      </c>
      <c r="X4971">
        <v>0</v>
      </c>
      <c r="Z4971">
        <v>66.68000000000001</v>
      </c>
      <c r="AA4971">
        <v>40.850423</v>
      </c>
      <c r="AB4971">
        <v>-73.90041600000001</v>
      </c>
      <c r="AD4971" t="s">
        <v>10840</v>
      </c>
      <c r="AG4971" t="s">
        <v>10858</v>
      </c>
      <c r="AH4971" t="s">
        <v>10862</v>
      </c>
      <c r="AI4971">
        <v>230</v>
      </c>
      <c r="AJ4971" t="s">
        <v>10210</v>
      </c>
      <c r="AL4971">
        <v>0</v>
      </c>
      <c r="AM4971" t="s">
        <v>10884</v>
      </c>
      <c r="AN4971" t="s">
        <v>10931</v>
      </c>
      <c r="AO4971" t="s">
        <v>11000</v>
      </c>
      <c r="AP4971" t="s">
        <v>11056</v>
      </c>
      <c r="AR4971" t="s">
        <v>11274</v>
      </c>
      <c r="AS4971" t="s">
        <v>9926</v>
      </c>
      <c r="AT4971" t="s">
        <v>11642</v>
      </c>
      <c r="AV4971" t="s">
        <v>11655</v>
      </c>
      <c r="AW4971" t="s">
        <v>11666</v>
      </c>
      <c r="AX4971" t="s">
        <v>10838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</row>
    <row r="4972" spans="1:59">
      <c r="A4972" s="1">
        <f>HYPERLINK("https://lsnyc.legalserver.org/matter/dynamic-profile/view/1909190","19-1909190")</f>
        <v>0</v>
      </c>
      <c r="B4972" t="s">
        <v>3975</v>
      </c>
      <c r="C4972" t="s">
        <v>6225</v>
      </c>
      <c r="D4972" t="s">
        <v>9926</v>
      </c>
      <c r="E4972" t="s">
        <v>10075</v>
      </c>
      <c r="F4972">
        <v>10457</v>
      </c>
      <c r="G4972" t="s">
        <v>10090</v>
      </c>
      <c r="H4972" t="s">
        <v>10115</v>
      </c>
      <c r="I4972" t="s">
        <v>10168</v>
      </c>
      <c r="J4972" t="s">
        <v>10210</v>
      </c>
      <c r="K4972" t="s">
        <v>10217</v>
      </c>
      <c r="M4972" t="s">
        <v>10283</v>
      </c>
      <c r="N4972" t="s">
        <v>10688</v>
      </c>
      <c r="P4972" t="s">
        <v>10751</v>
      </c>
      <c r="Q4972" t="s">
        <v>10761</v>
      </c>
      <c r="R4972" t="s">
        <v>10824</v>
      </c>
      <c r="T4972">
        <v>8328</v>
      </c>
      <c r="U4972">
        <v>694</v>
      </c>
      <c r="V4972">
        <v>34</v>
      </c>
      <c r="W4972">
        <v>1</v>
      </c>
      <c r="X4972">
        <v>0</v>
      </c>
      <c r="Z4972">
        <v>66.68000000000001</v>
      </c>
      <c r="AA4972">
        <v>40.850423</v>
      </c>
      <c r="AB4972">
        <v>-73.90041600000001</v>
      </c>
      <c r="AD4972" t="s">
        <v>10840</v>
      </c>
      <c r="AG4972" t="s">
        <v>10858</v>
      </c>
      <c r="AH4972" t="s">
        <v>10862</v>
      </c>
      <c r="AI4972">
        <v>230</v>
      </c>
      <c r="AJ4972" t="s">
        <v>10210</v>
      </c>
      <c r="AL4972">
        <v>0</v>
      </c>
      <c r="AR4972" t="s">
        <v>11274</v>
      </c>
      <c r="AS4972" t="s">
        <v>9926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</row>
    <row r="4973" spans="1:59">
      <c r="A4973" s="1">
        <f>HYPERLINK("https://lsnyc.legalserver.org/matter/dynamic-profile/view/1909191","19-1909191")</f>
        <v>0</v>
      </c>
      <c r="B4973" t="s">
        <v>3976</v>
      </c>
      <c r="C4973" t="s">
        <v>8792</v>
      </c>
      <c r="D4973" t="s">
        <v>9925</v>
      </c>
      <c r="E4973" t="s">
        <v>10075</v>
      </c>
      <c r="F4973">
        <v>10011</v>
      </c>
      <c r="G4973" t="s">
        <v>10089</v>
      </c>
      <c r="H4973" t="s">
        <v>10115</v>
      </c>
      <c r="I4973" t="s">
        <v>10168</v>
      </c>
      <c r="J4973" t="s">
        <v>10209</v>
      </c>
      <c r="K4973" t="s">
        <v>10218</v>
      </c>
      <c r="L4973" t="s">
        <v>10157</v>
      </c>
      <c r="M4973" t="s">
        <v>10332</v>
      </c>
      <c r="N4973" t="s">
        <v>10736</v>
      </c>
      <c r="P4973" t="s">
        <v>10749</v>
      </c>
      <c r="Q4973" t="s">
        <v>10765</v>
      </c>
      <c r="R4973" t="s">
        <v>10821</v>
      </c>
      <c r="T4973">
        <v>0</v>
      </c>
      <c r="U4973">
        <v>0</v>
      </c>
      <c r="V4973">
        <v>37</v>
      </c>
      <c r="W4973">
        <v>1</v>
      </c>
      <c r="X4973">
        <v>0</v>
      </c>
      <c r="Y4973" t="s">
        <v>10829</v>
      </c>
      <c r="Z4973">
        <v>0</v>
      </c>
      <c r="AA4973">
        <v>40.742209</v>
      </c>
      <c r="AB4973">
        <v>-74.002944</v>
      </c>
      <c r="AC4973" t="s">
        <v>10837</v>
      </c>
      <c r="AD4973" t="s">
        <v>10839</v>
      </c>
      <c r="AG4973" t="s">
        <v>10858</v>
      </c>
      <c r="AH4973" t="s">
        <v>10872</v>
      </c>
      <c r="AI4973">
        <v>234</v>
      </c>
      <c r="AJ4973" t="s">
        <v>10214</v>
      </c>
      <c r="AK4973" t="s">
        <v>10882</v>
      </c>
      <c r="AL4973">
        <v>0.1</v>
      </c>
      <c r="AM4973" t="s">
        <v>10894</v>
      </c>
      <c r="AN4973" t="s">
        <v>10966</v>
      </c>
      <c r="AO4973" t="s">
        <v>11021</v>
      </c>
      <c r="AP4973" t="s">
        <v>11090</v>
      </c>
      <c r="AR4973" t="s">
        <v>11267</v>
      </c>
      <c r="AS4973" t="s">
        <v>9925</v>
      </c>
      <c r="AY4973" t="s">
        <v>10829</v>
      </c>
      <c r="AZ4973" t="s">
        <v>11681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</row>
    <row r="4974" spans="1:59">
      <c r="A4974" s="1">
        <f>HYPERLINK("https://lsnyc.legalserver.org/matter/dynamic-profile/view/1909192","19-1909192")</f>
        <v>0</v>
      </c>
      <c r="B4974" t="s">
        <v>2732</v>
      </c>
      <c r="C4974" t="s">
        <v>7516</v>
      </c>
      <c r="D4974" t="s">
        <v>9926</v>
      </c>
      <c r="E4974" t="s">
        <v>10075</v>
      </c>
      <c r="F4974">
        <v>10456</v>
      </c>
      <c r="G4974" t="s">
        <v>10090</v>
      </c>
      <c r="H4974" t="s">
        <v>10115</v>
      </c>
      <c r="I4974" t="s">
        <v>10168</v>
      </c>
      <c r="J4974" t="s">
        <v>10215</v>
      </c>
      <c r="K4974" t="s">
        <v>10217</v>
      </c>
      <c r="M4974" t="s">
        <v>10297</v>
      </c>
      <c r="N4974" t="s">
        <v>10666</v>
      </c>
      <c r="P4974" t="s">
        <v>10749</v>
      </c>
      <c r="Q4974" t="s">
        <v>10767</v>
      </c>
      <c r="R4974" t="s">
        <v>10822</v>
      </c>
      <c r="T4974">
        <v>14868</v>
      </c>
      <c r="U4974">
        <v>1239</v>
      </c>
      <c r="V4974">
        <v>61</v>
      </c>
      <c r="W4974">
        <v>1</v>
      </c>
      <c r="X4974">
        <v>0</v>
      </c>
      <c r="Z4974">
        <v>119.04</v>
      </c>
      <c r="AA4974">
        <v>40.833336</v>
      </c>
      <c r="AB4974">
        <v>-73.907951</v>
      </c>
      <c r="AD4974" t="s">
        <v>10822</v>
      </c>
      <c r="AG4974" t="s">
        <v>10858</v>
      </c>
      <c r="AH4974" t="s">
        <v>10862</v>
      </c>
      <c r="AI4974">
        <v>231</v>
      </c>
      <c r="AJ4974" t="s">
        <v>10215</v>
      </c>
      <c r="AL4974">
        <v>0.3</v>
      </c>
      <c r="AM4974" t="s">
        <v>10884</v>
      </c>
      <c r="AN4974" t="s">
        <v>10918</v>
      </c>
      <c r="AO4974" t="s">
        <v>11001</v>
      </c>
      <c r="AP4974" t="s">
        <v>11055</v>
      </c>
      <c r="AR4974" t="s">
        <v>11296</v>
      </c>
      <c r="AS4974" t="s">
        <v>9926</v>
      </c>
      <c r="BA4974" t="s">
        <v>11739</v>
      </c>
      <c r="BB4974">
        <v>0</v>
      </c>
      <c r="BC4974">
        <v>0</v>
      </c>
      <c r="BD4974">
        <v>0</v>
      </c>
      <c r="BE4974">
        <v>0</v>
      </c>
      <c r="BF4974">
        <v>4</v>
      </c>
      <c r="BG4974">
        <v>0</v>
      </c>
    </row>
    <row r="4975" spans="1:59">
      <c r="A4975" s="1">
        <f>HYPERLINK("https://lsnyc.legalserver.org/matter/dynamic-profile/view/1909193","19-1909193")</f>
        <v>0</v>
      </c>
      <c r="B4975" t="s">
        <v>3977</v>
      </c>
      <c r="C4975" t="s">
        <v>8793</v>
      </c>
      <c r="D4975" t="s">
        <v>9928</v>
      </c>
      <c r="E4975" t="s">
        <v>10075</v>
      </c>
      <c r="F4975">
        <v>11206</v>
      </c>
      <c r="G4975" t="s">
        <v>10093</v>
      </c>
      <c r="H4975" t="s">
        <v>10115</v>
      </c>
      <c r="I4975" t="s">
        <v>10168</v>
      </c>
      <c r="J4975" t="s">
        <v>10213</v>
      </c>
      <c r="K4975" t="s">
        <v>10217</v>
      </c>
      <c r="M4975" t="s">
        <v>10443</v>
      </c>
      <c r="N4975" t="s">
        <v>10644</v>
      </c>
      <c r="P4975" t="s">
        <v>10749</v>
      </c>
      <c r="Q4975" t="s">
        <v>10767</v>
      </c>
      <c r="R4975" t="s">
        <v>10821</v>
      </c>
      <c r="T4975">
        <v>36816</v>
      </c>
      <c r="U4975">
        <v>3068</v>
      </c>
      <c r="V4975">
        <v>87</v>
      </c>
      <c r="W4975">
        <v>2</v>
      </c>
      <c r="X4975">
        <v>0</v>
      </c>
      <c r="Z4975">
        <v>217.72</v>
      </c>
      <c r="AA4975">
        <v>40.703483</v>
      </c>
      <c r="AB4975">
        <v>-73.943376</v>
      </c>
      <c r="AD4975" t="s">
        <v>10839</v>
      </c>
      <c r="AG4975" t="s">
        <v>10858</v>
      </c>
      <c r="AH4975" t="s">
        <v>10869</v>
      </c>
      <c r="AI4975">
        <v>239</v>
      </c>
      <c r="AJ4975" t="s">
        <v>10213</v>
      </c>
      <c r="AL4975">
        <v>1.45</v>
      </c>
      <c r="AM4975" t="s">
        <v>10886</v>
      </c>
      <c r="AN4975" t="s">
        <v>10942</v>
      </c>
      <c r="AO4975" t="s">
        <v>11011</v>
      </c>
      <c r="AP4975" t="s">
        <v>11071</v>
      </c>
      <c r="AR4975" t="s">
        <v>11437</v>
      </c>
      <c r="AS4975" t="s">
        <v>11595</v>
      </c>
      <c r="AT4975" t="s">
        <v>11641</v>
      </c>
      <c r="AV4975" t="s">
        <v>11656</v>
      </c>
      <c r="AW4975" t="s">
        <v>11645</v>
      </c>
      <c r="AX4975" t="s">
        <v>10838</v>
      </c>
      <c r="BA4975" t="s">
        <v>11742</v>
      </c>
      <c r="BB4975">
        <v>0</v>
      </c>
      <c r="BC4975">
        <v>0</v>
      </c>
      <c r="BD4975">
        <v>0</v>
      </c>
      <c r="BE4975">
        <v>0</v>
      </c>
      <c r="BF4975">
        <v>7</v>
      </c>
      <c r="BG4975">
        <v>0</v>
      </c>
    </row>
    <row r="4976" spans="1:59">
      <c r="A4976" s="1">
        <f>HYPERLINK("https://lsnyc.legalserver.org/matter/dynamic-profile/view/1909194","19-1909194")</f>
        <v>0</v>
      </c>
      <c r="B4976" t="s">
        <v>2666</v>
      </c>
      <c r="C4976" t="s">
        <v>5863</v>
      </c>
      <c r="D4976" t="s">
        <v>9926</v>
      </c>
      <c r="E4976" t="s">
        <v>10075</v>
      </c>
      <c r="F4976">
        <v>10467</v>
      </c>
      <c r="G4976" t="s">
        <v>10090</v>
      </c>
      <c r="H4976" t="s">
        <v>10161</v>
      </c>
      <c r="I4976" t="s">
        <v>10168</v>
      </c>
      <c r="J4976" t="s">
        <v>10210</v>
      </c>
      <c r="K4976" t="s">
        <v>10217</v>
      </c>
      <c r="M4976" t="s">
        <v>10557</v>
      </c>
      <c r="N4976" t="s">
        <v>10651</v>
      </c>
      <c r="P4976" t="s">
        <v>10749</v>
      </c>
      <c r="Q4976" t="s">
        <v>10765</v>
      </c>
      <c r="R4976" t="s">
        <v>10824</v>
      </c>
      <c r="T4976">
        <v>30000</v>
      </c>
      <c r="U4976">
        <v>2500</v>
      </c>
      <c r="V4976">
        <v>35</v>
      </c>
      <c r="W4976">
        <v>1</v>
      </c>
      <c r="X4976">
        <v>3</v>
      </c>
      <c r="Z4976">
        <v>116.5</v>
      </c>
      <c r="AA4976">
        <v>40.870429</v>
      </c>
      <c r="AB4976">
        <v>-73.867497</v>
      </c>
      <c r="AD4976" t="s">
        <v>10839</v>
      </c>
      <c r="AG4976" t="s">
        <v>10858</v>
      </c>
      <c r="AH4976" t="s">
        <v>10862</v>
      </c>
      <c r="AI4976">
        <v>230</v>
      </c>
      <c r="AJ4976" t="s">
        <v>10210</v>
      </c>
      <c r="AL4976">
        <v>1.7</v>
      </c>
      <c r="AM4976" t="s">
        <v>10893</v>
      </c>
      <c r="AN4976" t="s">
        <v>10938</v>
      </c>
      <c r="AO4976" t="s">
        <v>11010</v>
      </c>
      <c r="AP4976" t="s">
        <v>11056</v>
      </c>
      <c r="AR4976" t="s">
        <v>11257</v>
      </c>
      <c r="AS4976" t="s">
        <v>9926</v>
      </c>
      <c r="AT4976" t="s">
        <v>11641</v>
      </c>
      <c r="AX4976" t="s">
        <v>10838</v>
      </c>
      <c r="BA4976" t="s">
        <v>11738</v>
      </c>
      <c r="BB4976">
        <v>0</v>
      </c>
      <c r="BC4976">
        <v>0</v>
      </c>
      <c r="BD4976">
        <v>0</v>
      </c>
      <c r="BE4976">
        <v>0</v>
      </c>
      <c r="BF4976">
        <v>5</v>
      </c>
      <c r="BG4976">
        <v>0</v>
      </c>
    </row>
    <row r="4977" spans="1:59">
      <c r="A4977" s="1">
        <f>HYPERLINK("https://lsnyc.legalserver.org/matter/dynamic-profile/view/1909195","19-1909195")</f>
        <v>0</v>
      </c>
      <c r="B4977" t="s">
        <v>3978</v>
      </c>
      <c r="C4977" t="s">
        <v>8794</v>
      </c>
      <c r="D4977" t="s">
        <v>9928</v>
      </c>
      <c r="E4977" t="s">
        <v>10075</v>
      </c>
      <c r="F4977">
        <v>11226</v>
      </c>
      <c r="G4977" t="s">
        <v>10093</v>
      </c>
      <c r="H4977" t="s">
        <v>10115</v>
      </c>
      <c r="I4977" t="s">
        <v>10168</v>
      </c>
      <c r="J4977" t="s">
        <v>10213</v>
      </c>
      <c r="K4977" t="s">
        <v>10217</v>
      </c>
      <c r="M4977" t="s">
        <v>10293</v>
      </c>
      <c r="N4977" t="s">
        <v>10644</v>
      </c>
      <c r="P4977" t="s">
        <v>10756</v>
      </c>
      <c r="Q4977" t="s">
        <v>10787</v>
      </c>
      <c r="R4977" t="s">
        <v>10824</v>
      </c>
      <c r="T4977">
        <v>31352</v>
      </c>
      <c r="U4977">
        <v>2612.67</v>
      </c>
      <c r="V4977">
        <v>66</v>
      </c>
      <c r="W4977">
        <v>2</v>
      </c>
      <c r="X4977">
        <v>0</v>
      </c>
      <c r="Z4977">
        <v>185.41</v>
      </c>
      <c r="AA4977">
        <v>40.649478</v>
      </c>
      <c r="AB4977">
        <v>-73.949989</v>
      </c>
      <c r="AD4977" t="s">
        <v>10839</v>
      </c>
      <c r="AG4977" t="s">
        <v>10858</v>
      </c>
      <c r="AH4977" t="s">
        <v>10869</v>
      </c>
      <c r="AI4977">
        <v>239</v>
      </c>
      <c r="AJ4977" t="s">
        <v>10213</v>
      </c>
      <c r="AL4977">
        <v>1.25</v>
      </c>
      <c r="AR4977" t="s">
        <v>11287</v>
      </c>
      <c r="AS4977" t="s">
        <v>11595</v>
      </c>
      <c r="AT4977" t="s">
        <v>11641</v>
      </c>
      <c r="AV4977" t="s">
        <v>11656</v>
      </c>
      <c r="AW4977" t="s">
        <v>11645</v>
      </c>
      <c r="AX4977" t="s">
        <v>10838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</row>
    <row r="4978" spans="1:59">
      <c r="A4978" s="1">
        <f>HYPERLINK("https://lsnyc.legalserver.org/matter/dynamic-profile/view/1909196","19-1909196")</f>
        <v>0</v>
      </c>
      <c r="B4978" t="s">
        <v>2923</v>
      </c>
      <c r="C4978" t="s">
        <v>8795</v>
      </c>
      <c r="D4978" t="s">
        <v>9926</v>
      </c>
      <c r="E4978" t="s">
        <v>10075</v>
      </c>
      <c r="F4978">
        <v>10466</v>
      </c>
      <c r="G4978" t="s">
        <v>10090</v>
      </c>
      <c r="H4978" t="s">
        <v>10115</v>
      </c>
      <c r="I4978" t="s">
        <v>10169</v>
      </c>
      <c r="J4978" t="s">
        <v>10210</v>
      </c>
      <c r="K4978" t="s">
        <v>10218</v>
      </c>
      <c r="L4978" t="s">
        <v>4843</v>
      </c>
      <c r="M4978" t="s">
        <v>10262</v>
      </c>
      <c r="N4978" t="s">
        <v>10666</v>
      </c>
      <c r="P4978" t="s">
        <v>10749</v>
      </c>
      <c r="Q4978" t="s">
        <v>10765</v>
      </c>
      <c r="R4978" t="s">
        <v>10823</v>
      </c>
      <c r="T4978">
        <v>3120</v>
      </c>
      <c r="U4978">
        <v>260</v>
      </c>
      <c r="V4978">
        <v>37</v>
      </c>
      <c r="W4978">
        <v>1</v>
      </c>
      <c r="X4978">
        <v>0</v>
      </c>
      <c r="Y4978" t="s">
        <v>10829</v>
      </c>
      <c r="Z4978">
        <v>24.98</v>
      </c>
      <c r="AA4978">
        <v>40.899199</v>
      </c>
      <c r="AB4978">
        <v>-73.85225</v>
      </c>
      <c r="AD4978" t="s">
        <v>10840</v>
      </c>
      <c r="AF4978" t="s">
        <v>10843</v>
      </c>
      <c r="AG4978" t="s">
        <v>10859</v>
      </c>
      <c r="AH4978" t="s">
        <v>10861</v>
      </c>
      <c r="AI4978">
        <v>230</v>
      </c>
      <c r="AJ4978" t="s">
        <v>10210</v>
      </c>
      <c r="AK4978" t="s">
        <v>10838</v>
      </c>
      <c r="AL4978">
        <v>0.7</v>
      </c>
      <c r="AM4978" t="s">
        <v>10893</v>
      </c>
      <c r="AN4978" t="s">
        <v>10919</v>
      </c>
      <c r="AO4978" t="s">
        <v>11010</v>
      </c>
      <c r="AP4978" t="s">
        <v>11057</v>
      </c>
      <c r="AR4978" t="s">
        <v>11255</v>
      </c>
      <c r="AS4978" t="s">
        <v>9926</v>
      </c>
      <c r="AT4978" t="s">
        <v>11642</v>
      </c>
      <c r="AX4978" t="s">
        <v>10838</v>
      </c>
      <c r="AY4978" t="s">
        <v>10829</v>
      </c>
      <c r="AZ4978" t="s">
        <v>11681</v>
      </c>
      <c r="BA4978" t="s">
        <v>11741</v>
      </c>
      <c r="BB4978">
        <v>0</v>
      </c>
      <c r="BC4978">
        <v>0</v>
      </c>
      <c r="BD4978">
        <v>0</v>
      </c>
      <c r="BE4978">
        <v>0</v>
      </c>
      <c r="BF4978">
        <v>1</v>
      </c>
      <c r="BG4978">
        <v>0</v>
      </c>
    </row>
    <row r="4979" spans="1:59">
      <c r="A4979" s="1">
        <f>HYPERLINK("https://lsnyc.legalserver.org/matter/dynamic-profile/view/1909197","19-1909197")</f>
        <v>0</v>
      </c>
      <c r="B4979" t="s">
        <v>3979</v>
      </c>
      <c r="C4979" t="s">
        <v>8796</v>
      </c>
      <c r="D4979" t="s">
        <v>9928</v>
      </c>
      <c r="E4979" t="s">
        <v>10075</v>
      </c>
      <c r="F4979">
        <v>11213</v>
      </c>
      <c r="G4979" t="s">
        <v>10093</v>
      </c>
      <c r="H4979" t="s">
        <v>10115</v>
      </c>
      <c r="I4979" t="s">
        <v>10168</v>
      </c>
      <c r="J4979" t="s">
        <v>10213</v>
      </c>
      <c r="K4979" t="s">
        <v>10217</v>
      </c>
      <c r="M4979" t="s">
        <v>10256</v>
      </c>
      <c r="N4979" t="s">
        <v>10644</v>
      </c>
      <c r="P4979" t="s">
        <v>10749</v>
      </c>
      <c r="Q4979" t="s">
        <v>10765</v>
      </c>
      <c r="R4979" t="s">
        <v>10824</v>
      </c>
      <c r="T4979">
        <v>8520</v>
      </c>
      <c r="U4979">
        <v>710</v>
      </c>
      <c r="V4979">
        <v>83</v>
      </c>
      <c r="W4979">
        <v>1</v>
      </c>
      <c r="X4979">
        <v>0</v>
      </c>
      <c r="Z4979">
        <v>68.20999999999999</v>
      </c>
      <c r="AA4979">
        <v>40.664791</v>
      </c>
      <c r="AB4979">
        <v>-73.93605100000001</v>
      </c>
      <c r="AD4979" t="s">
        <v>10839</v>
      </c>
      <c r="AG4979" t="s">
        <v>10858</v>
      </c>
      <c r="AH4979" t="s">
        <v>10869</v>
      </c>
      <c r="AI4979">
        <v>239</v>
      </c>
      <c r="AJ4979" t="s">
        <v>10213</v>
      </c>
      <c r="AL4979">
        <v>1.2</v>
      </c>
      <c r="AM4979" t="s">
        <v>10888</v>
      </c>
      <c r="AN4979" t="s">
        <v>10912</v>
      </c>
      <c r="AO4979" t="s">
        <v>11005</v>
      </c>
      <c r="AP4979" t="s">
        <v>11061</v>
      </c>
      <c r="AR4979" t="s">
        <v>11253</v>
      </c>
      <c r="AS4979" t="s">
        <v>11595</v>
      </c>
      <c r="AT4979" t="s">
        <v>11641</v>
      </c>
      <c r="AV4979" t="s">
        <v>11656</v>
      </c>
      <c r="AW4979" t="s">
        <v>11645</v>
      </c>
      <c r="AX4979" t="s">
        <v>10838</v>
      </c>
      <c r="BA4979" t="s">
        <v>11742</v>
      </c>
      <c r="BB4979">
        <v>0</v>
      </c>
      <c r="BC4979">
        <v>0</v>
      </c>
      <c r="BD4979">
        <v>0</v>
      </c>
      <c r="BE4979">
        <v>0</v>
      </c>
      <c r="BF4979">
        <v>7</v>
      </c>
      <c r="BG4979">
        <v>0</v>
      </c>
    </row>
    <row r="4980" spans="1:59">
      <c r="A4980" s="1">
        <f>HYPERLINK("https://lsnyc.legalserver.org/matter/dynamic-profile/view/1909198","19-1909198")</f>
        <v>0</v>
      </c>
      <c r="B4980" t="s">
        <v>1232</v>
      </c>
      <c r="C4980" t="s">
        <v>8797</v>
      </c>
      <c r="D4980" t="s">
        <v>9948</v>
      </c>
      <c r="E4980" t="s">
        <v>10075</v>
      </c>
      <c r="F4980">
        <v>11691</v>
      </c>
      <c r="G4980" t="s">
        <v>10092</v>
      </c>
      <c r="H4980" t="s">
        <v>10115</v>
      </c>
      <c r="I4980" t="s">
        <v>10168</v>
      </c>
      <c r="J4980" t="s">
        <v>10212</v>
      </c>
      <c r="K4980" t="s">
        <v>10217</v>
      </c>
      <c r="M4980" t="s">
        <v>10318</v>
      </c>
      <c r="N4980" t="s">
        <v>10684</v>
      </c>
      <c r="P4980" t="s">
        <v>10751</v>
      </c>
      <c r="Q4980" t="s">
        <v>10786</v>
      </c>
      <c r="R4980" t="s">
        <v>10824</v>
      </c>
      <c r="T4980">
        <v>15625.8</v>
      </c>
      <c r="U4980">
        <v>1302.15</v>
      </c>
      <c r="V4980">
        <v>63</v>
      </c>
      <c r="W4980">
        <v>4</v>
      </c>
      <c r="X4980">
        <v>1</v>
      </c>
      <c r="Z4980">
        <v>51.79</v>
      </c>
      <c r="AA4980">
        <v>40.599655</v>
      </c>
      <c r="AB4980">
        <v>-73.775564</v>
      </c>
      <c r="AC4980" t="s">
        <v>10837</v>
      </c>
      <c r="AD4980" t="s">
        <v>10840</v>
      </c>
      <c r="AG4980" t="s">
        <v>10858</v>
      </c>
      <c r="AH4980" t="s">
        <v>10871</v>
      </c>
      <c r="AI4980">
        <v>234</v>
      </c>
      <c r="AJ4980" t="s">
        <v>10214</v>
      </c>
      <c r="AL4980">
        <v>1.5</v>
      </c>
      <c r="AM4980" t="s">
        <v>10892</v>
      </c>
      <c r="AN4980" t="s">
        <v>10930</v>
      </c>
      <c r="AO4980" t="s">
        <v>11017</v>
      </c>
      <c r="AP4980" t="s">
        <v>11082</v>
      </c>
      <c r="AR4980" t="s">
        <v>11312</v>
      </c>
      <c r="AS4980" t="s">
        <v>11594</v>
      </c>
      <c r="AT4980" t="s">
        <v>11642</v>
      </c>
      <c r="AX4980" t="s">
        <v>10838</v>
      </c>
      <c r="BA4980" t="s">
        <v>11741</v>
      </c>
      <c r="BB4980">
        <v>0</v>
      </c>
      <c r="BC4980">
        <v>0</v>
      </c>
      <c r="BD4980">
        <v>0</v>
      </c>
      <c r="BE4980">
        <v>0</v>
      </c>
      <c r="BF4980">
        <v>1</v>
      </c>
      <c r="BG4980">
        <v>0</v>
      </c>
    </row>
    <row r="4981" spans="1:59">
      <c r="A4981" s="1">
        <f>HYPERLINK("https://lsnyc.legalserver.org/matter/dynamic-profile/view/1909200","19-1909200")</f>
        <v>0</v>
      </c>
      <c r="B4981" t="s">
        <v>1994</v>
      </c>
      <c r="C4981" t="s">
        <v>8798</v>
      </c>
      <c r="D4981" t="s">
        <v>9959</v>
      </c>
      <c r="E4981" t="s">
        <v>10075</v>
      </c>
      <c r="F4981">
        <v>11356</v>
      </c>
      <c r="G4981" t="s">
        <v>10092</v>
      </c>
      <c r="H4981" t="s">
        <v>10115</v>
      </c>
      <c r="I4981" t="s">
        <v>10168</v>
      </c>
      <c r="J4981" t="s">
        <v>10212</v>
      </c>
      <c r="K4981" t="s">
        <v>10217</v>
      </c>
      <c r="M4981" t="s">
        <v>10408</v>
      </c>
      <c r="N4981" t="s">
        <v>10695</v>
      </c>
      <c r="P4981" t="s">
        <v>10749</v>
      </c>
      <c r="Q4981" t="s">
        <v>10765</v>
      </c>
      <c r="R4981" t="s">
        <v>10823</v>
      </c>
      <c r="T4981">
        <v>15660</v>
      </c>
      <c r="U4981">
        <v>1305</v>
      </c>
      <c r="V4981">
        <v>65</v>
      </c>
      <c r="W4981">
        <v>4</v>
      </c>
      <c r="X4981">
        <v>0</v>
      </c>
      <c r="Z4981">
        <v>60.82</v>
      </c>
      <c r="AA4981">
        <v>40.791161</v>
      </c>
      <c r="AB4981">
        <v>-73.842984</v>
      </c>
      <c r="AD4981" t="s">
        <v>10840</v>
      </c>
      <c r="AG4981" t="s">
        <v>10858</v>
      </c>
      <c r="AH4981" t="s">
        <v>10862</v>
      </c>
      <c r="AI4981">
        <v>237</v>
      </c>
      <c r="AJ4981" t="s">
        <v>10212</v>
      </c>
      <c r="AL4981">
        <v>1.1</v>
      </c>
      <c r="AM4981" t="s">
        <v>10885</v>
      </c>
      <c r="AN4981" t="s">
        <v>10962</v>
      </c>
      <c r="AO4981" t="s">
        <v>11022</v>
      </c>
      <c r="AP4981" t="s">
        <v>11080</v>
      </c>
      <c r="AR4981" t="s">
        <v>11421</v>
      </c>
      <c r="AS4981" t="s">
        <v>11594</v>
      </c>
      <c r="BA4981" t="s">
        <v>11742</v>
      </c>
      <c r="BB4981">
        <v>0</v>
      </c>
      <c r="BC4981">
        <v>0</v>
      </c>
      <c r="BD4981">
        <v>0</v>
      </c>
      <c r="BE4981">
        <v>0</v>
      </c>
      <c r="BF4981">
        <v>7</v>
      </c>
      <c r="BG4981">
        <v>0</v>
      </c>
    </row>
    <row r="4982" spans="1:59">
      <c r="A4982" s="1">
        <f>HYPERLINK("https://lsnyc.legalserver.org/matter/dynamic-profile/view/1909201","19-1909201")</f>
        <v>0</v>
      </c>
      <c r="B4982" t="s">
        <v>3980</v>
      </c>
      <c r="C4982" t="s">
        <v>8799</v>
      </c>
      <c r="D4982" t="s">
        <v>9925</v>
      </c>
      <c r="E4982" t="s">
        <v>10075</v>
      </c>
      <c r="F4982">
        <v>10029</v>
      </c>
      <c r="G4982" t="s">
        <v>10089</v>
      </c>
      <c r="H4982" t="s">
        <v>10115</v>
      </c>
      <c r="I4982" t="s">
        <v>10168</v>
      </c>
      <c r="J4982" t="s">
        <v>10209</v>
      </c>
      <c r="K4982" t="s">
        <v>10217</v>
      </c>
      <c r="M4982" t="s">
        <v>10442</v>
      </c>
      <c r="N4982" t="s">
        <v>10671</v>
      </c>
      <c r="P4982" t="s">
        <v>10749</v>
      </c>
      <c r="Q4982" t="s">
        <v>10765</v>
      </c>
      <c r="R4982" t="s">
        <v>10827</v>
      </c>
      <c r="T4982">
        <v>10764</v>
      </c>
      <c r="U4982">
        <v>897</v>
      </c>
      <c r="V4982">
        <v>49</v>
      </c>
      <c r="W4982">
        <v>1</v>
      </c>
      <c r="X4982">
        <v>0</v>
      </c>
      <c r="Z4982">
        <v>86.18000000000001</v>
      </c>
      <c r="AA4982">
        <v>40.788768</v>
      </c>
      <c r="AB4982">
        <v>-73.941011</v>
      </c>
      <c r="AD4982" t="s">
        <v>10840</v>
      </c>
      <c r="AF4982" t="s">
        <v>10843</v>
      </c>
      <c r="AG4982" t="s">
        <v>10859</v>
      </c>
      <c r="AH4982" t="s">
        <v>10861</v>
      </c>
      <c r="AI4982">
        <v>234</v>
      </c>
      <c r="AJ4982" t="s">
        <v>10214</v>
      </c>
      <c r="AL4982">
        <v>1</v>
      </c>
      <c r="AM4982" t="s">
        <v>10887</v>
      </c>
      <c r="AN4982" t="s">
        <v>10926</v>
      </c>
      <c r="AO4982" t="s">
        <v>11013</v>
      </c>
      <c r="AP4982" t="s">
        <v>11066</v>
      </c>
      <c r="AR4982" t="s">
        <v>11263</v>
      </c>
      <c r="AS4982" t="s">
        <v>9925</v>
      </c>
      <c r="AT4982" t="s">
        <v>11642</v>
      </c>
      <c r="AX4982" t="s">
        <v>10838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</row>
    <row r="4983" spans="1:59">
      <c r="A4983" s="1">
        <f>HYPERLINK("https://lsnyc.legalserver.org/matter/dynamic-profile/view/1909202","19-1909202")</f>
        <v>0</v>
      </c>
      <c r="B4983" t="s">
        <v>3981</v>
      </c>
      <c r="C4983" t="s">
        <v>8800</v>
      </c>
      <c r="D4983" t="s">
        <v>9938</v>
      </c>
      <c r="E4983" t="s">
        <v>10075</v>
      </c>
      <c r="F4983">
        <v>11432</v>
      </c>
      <c r="G4983" t="s">
        <v>10092</v>
      </c>
      <c r="H4983" t="s">
        <v>10115</v>
      </c>
      <c r="I4983" t="s">
        <v>10179</v>
      </c>
      <c r="J4983" t="s">
        <v>10212</v>
      </c>
      <c r="K4983" t="s">
        <v>10217</v>
      </c>
      <c r="M4983" t="s">
        <v>10473</v>
      </c>
      <c r="N4983" t="s">
        <v>10646</v>
      </c>
      <c r="P4983" t="s">
        <v>10749</v>
      </c>
      <c r="Q4983" t="s">
        <v>10769</v>
      </c>
      <c r="R4983" t="s">
        <v>10828</v>
      </c>
      <c r="T4983">
        <v>120000</v>
      </c>
      <c r="U4983">
        <v>10000</v>
      </c>
      <c r="V4983">
        <v>41</v>
      </c>
      <c r="W4983">
        <v>2</v>
      </c>
      <c r="X4983">
        <v>0</v>
      </c>
      <c r="Z4983">
        <v>709.64</v>
      </c>
      <c r="AA4983">
        <v>40.711295</v>
      </c>
      <c r="AB4983">
        <v>-73.80749400000001</v>
      </c>
      <c r="AD4983" t="s">
        <v>10839</v>
      </c>
      <c r="AG4983" t="s">
        <v>10858</v>
      </c>
      <c r="AH4983" t="s">
        <v>10860</v>
      </c>
      <c r="AI4983">
        <v>237</v>
      </c>
      <c r="AJ4983" t="s">
        <v>10212</v>
      </c>
      <c r="AL4983">
        <v>1.3</v>
      </c>
      <c r="AM4983" t="s">
        <v>10890</v>
      </c>
      <c r="AN4983" t="s">
        <v>10944</v>
      </c>
      <c r="AO4983" t="s">
        <v>11022</v>
      </c>
      <c r="AP4983" t="s">
        <v>11081</v>
      </c>
      <c r="AR4983" t="s">
        <v>11257</v>
      </c>
      <c r="AS4983" t="s">
        <v>11594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</row>
    <row r="4984" spans="1:59">
      <c r="A4984" s="1">
        <f>HYPERLINK("https://lsnyc.legalserver.org/matter/dynamic-profile/view/1909203","19-1909203")</f>
        <v>0</v>
      </c>
      <c r="B4984" t="s">
        <v>3982</v>
      </c>
      <c r="C4984" t="s">
        <v>6326</v>
      </c>
      <c r="D4984" t="s">
        <v>9926</v>
      </c>
      <c r="E4984" t="s">
        <v>10075</v>
      </c>
      <c r="F4984">
        <v>10451</v>
      </c>
      <c r="G4984" t="s">
        <v>10091</v>
      </c>
      <c r="H4984" t="s">
        <v>10115</v>
      </c>
      <c r="I4984" t="s">
        <v>10168</v>
      </c>
      <c r="J4984" t="s">
        <v>10211</v>
      </c>
      <c r="K4984" t="s">
        <v>10217</v>
      </c>
      <c r="M4984" t="s">
        <v>10231</v>
      </c>
      <c r="N4984" t="s">
        <v>10647</v>
      </c>
      <c r="P4984" t="s">
        <v>10752</v>
      </c>
      <c r="Q4984" t="s">
        <v>10762</v>
      </c>
      <c r="R4984" t="s">
        <v>10824</v>
      </c>
      <c r="T4984">
        <v>24960</v>
      </c>
      <c r="U4984">
        <v>2080</v>
      </c>
      <c r="V4984">
        <v>29</v>
      </c>
      <c r="W4984">
        <v>1</v>
      </c>
      <c r="X4984">
        <v>0</v>
      </c>
      <c r="Z4984">
        <v>199.84</v>
      </c>
      <c r="AA4984">
        <v>40.82366</v>
      </c>
      <c r="AB4984">
        <v>-73.9224</v>
      </c>
      <c r="AD4984" t="s">
        <v>10840</v>
      </c>
      <c r="AG4984" t="s">
        <v>10858</v>
      </c>
      <c r="AH4984" t="s">
        <v>10861</v>
      </c>
      <c r="AI4984">
        <v>234</v>
      </c>
      <c r="AJ4984" t="s">
        <v>10214</v>
      </c>
      <c r="AL4984">
        <v>1.5</v>
      </c>
      <c r="AM4984" t="s">
        <v>10884</v>
      </c>
      <c r="AN4984" t="s">
        <v>10918</v>
      </c>
      <c r="AO4984" t="s">
        <v>11001</v>
      </c>
      <c r="AP4984" t="s">
        <v>11055</v>
      </c>
      <c r="AR4984" t="s">
        <v>11257</v>
      </c>
      <c r="AS4984" t="s">
        <v>9926</v>
      </c>
      <c r="AT4984" t="s">
        <v>11642</v>
      </c>
      <c r="AX4984" t="s">
        <v>10838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</row>
    <row r="4985" spans="1:59">
      <c r="A4985" s="1">
        <f>HYPERLINK("https://lsnyc.legalserver.org/matter/dynamic-profile/view/1909204","19-1909204")</f>
        <v>0</v>
      </c>
      <c r="B4985" t="s">
        <v>3983</v>
      </c>
      <c r="C4985" t="s">
        <v>8801</v>
      </c>
      <c r="D4985" t="s">
        <v>9928</v>
      </c>
      <c r="E4985" t="s">
        <v>10075</v>
      </c>
      <c r="F4985">
        <v>11216</v>
      </c>
      <c r="G4985" t="s">
        <v>10093</v>
      </c>
      <c r="H4985" t="s">
        <v>10115</v>
      </c>
      <c r="I4985" t="s">
        <v>10168</v>
      </c>
      <c r="J4985" t="s">
        <v>10213</v>
      </c>
      <c r="K4985" t="s">
        <v>10217</v>
      </c>
      <c r="M4985" t="s">
        <v>10293</v>
      </c>
      <c r="N4985" t="s">
        <v>10644</v>
      </c>
      <c r="P4985" t="s">
        <v>10749</v>
      </c>
      <c r="Q4985" t="s">
        <v>10791</v>
      </c>
      <c r="R4985" t="s">
        <v>10824</v>
      </c>
      <c r="T4985">
        <v>35292</v>
      </c>
      <c r="U4985">
        <v>2941</v>
      </c>
      <c r="V4985">
        <v>67</v>
      </c>
      <c r="W4985">
        <v>1</v>
      </c>
      <c r="X4985">
        <v>0</v>
      </c>
      <c r="Z4985">
        <v>282.56</v>
      </c>
      <c r="AA4985">
        <v>40.680788</v>
      </c>
      <c r="AB4985">
        <v>-73.954787</v>
      </c>
      <c r="AD4985" t="s">
        <v>10839</v>
      </c>
      <c r="AG4985" t="s">
        <v>10858</v>
      </c>
      <c r="AH4985" t="s">
        <v>10869</v>
      </c>
      <c r="AI4985">
        <v>239</v>
      </c>
      <c r="AJ4985" t="s">
        <v>10213</v>
      </c>
      <c r="AL4985">
        <v>1</v>
      </c>
      <c r="AM4985" t="s">
        <v>10889</v>
      </c>
      <c r="AN4985" t="s">
        <v>10923</v>
      </c>
      <c r="AO4985" t="s">
        <v>11007</v>
      </c>
      <c r="AP4985" t="s">
        <v>11052</v>
      </c>
      <c r="AR4985" t="s">
        <v>11558</v>
      </c>
      <c r="AS4985" t="s">
        <v>11595</v>
      </c>
      <c r="AT4985" t="s">
        <v>11641</v>
      </c>
      <c r="AV4985" t="s">
        <v>11656</v>
      </c>
      <c r="AW4985" t="s">
        <v>11645</v>
      </c>
      <c r="AX4985" t="s">
        <v>10838</v>
      </c>
      <c r="BA4985" t="s">
        <v>11742</v>
      </c>
      <c r="BB4985">
        <v>0</v>
      </c>
      <c r="BC4985">
        <v>0</v>
      </c>
      <c r="BD4985">
        <v>0</v>
      </c>
      <c r="BE4985">
        <v>0</v>
      </c>
      <c r="BF4985">
        <v>7</v>
      </c>
      <c r="BG4985">
        <v>0</v>
      </c>
    </row>
    <row r="4986" spans="1:59">
      <c r="A4986" s="1">
        <f>HYPERLINK("https://lsnyc.legalserver.org/matter/dynamic-profile/view/1909205","19-1909205")</f>
        <v>0</v>
      </c>
      <c r="B4986" t="s">
        <v>3984</v>
      </c>
      <c r="C4986" t="s">
        <v>8802</v>
      </c>
      <c r="D4986" t="s">
        <v>9928</v>
      </c>
      <c r="E4986" t="s">
        <v>10075</v>
      </c>
      <c r="F4986">
        <v>11214</v>
      </c>
      <c r="G4986" t="s">
        <v>10093</v>
      </c>
      <c r="H4986" t="s">
        <v>10115</v>
      </c>
      <c r="I4986" t="s">
        <v>10171</v>
      </c>
      <c r="J4986" t="s">
        <v>10213</v>
      </c>
      <c r="K4986" t="s">
        <v>10217</v>
      </c>
      <c r="M4986" t="s">
        <v>10390</v>
      </c>
      <c r="N4986" t="s">
        <v>10644</v>
      </c>
      <c r="P4986" t="s">
        <v>10749</v>
      </c>
      <c r="Q4986" t="s">
        <v>10774</v>
      </c>
      <c r="R4986" t="s">
        <v>10820</v>
      </c>
      <c r="T4986">
        <v>10296</v>
      </c>
      <c r="U4986">
        <v>858</v>
      </c>
      <c r="V4986">
        <v>60</v>
      </c>
      <c r="W4986">
        <v>1</v>
      </c>
      <c r="X4986">
        <v>0</v>
      </c>
      <c r="Z4986">
        <v>82.43000000000001</v>
      </c>
      <c r="AA4986">
        <v>40.607871</v>
      </c>
      <c r="AB4986">
        <v>-73.99801600000001</v>
      </c>
      <c r="AD4986" t="s">
        <v>10839</v>
      </c>
      <c r="AG4986" t="s">
        <v>10858</v>
      </c>
      <c r="AH4986" t="s">
        <v>10869</v>
      </c>
      <c r="AI4986">
        <v>239</v>
      </c>
      <c r="AJ4986" t="s">
        <v>10213</v>
      </c>
      <c r="AL4986">
        <v>3.25</v>
      </c>
      <c r="AM4986" t="s">
        <v>10883</v>
      </c>
      <c r="AN4986" t="s">
        <v>10969</v>
      </c>
      <c r="AO4986" t="s">
        <v>11006</v>
      </c>
      <c r="AP4986" t="s">
        <v>11087</v>
      </c>
      <c r="AQ4986" t="s">
        <v>11136</v>
      </c>
      <c r="AR4986" t="s">
        <v>11263</v>
      </c>
      <c r="AS4986" t="s">
        <v>11595</v>
      </c>
      <c r="BA4986" t="s">
        <v>11741</v>
      </c>
      <c r="BB4986">
        <v>0</v>
      </c>
      <c r="BC4986">
        <v>0</v>
      </c>
      <c r="BD4986">
        <v>0</v>
      </c>
      <c r="BE4986">
        <v>0</v>
      </c>
      <c r="BF4986">
        <v>1</v>
      </c>
      <c r="BG4986">
        <v>0</v>
      </c>
    </row>
    <row r="4987" spans="1:59">
      <c r="A4987" s="1">
        <f>HYPERLINK("https://lsnyc.legalserver.org/matter/dynamic-profile/view/1909206","19-1909206")</f>
        <v>0</v>
      </c>
      <c r="B4987" t="s">
        <v>3985</v>
      </c>
      <c r="C4987" t="s">
        <v>8803</v>
      </c>
      <c r="D4987" t="s">
        <v>9932</v>
      </c>
      <c r="E4987" t="s">
        <v>10075</v>
      </c>
      <c r="F4987">
        <v>11368</v>
      </c>
      <c r="G4987" t="s">
        <v>10092</v>
      </c>
      <c r="H4987" t="s">
        <v>10115</v>
      </c>
      <c r="I4987" t="s">
        <v>10169</v>
      </c>
      <c r="J4987" t="s">
        <v>10212</v>
      </c>
      <c r="K4987" t="s">
        <v>10217</v>
      </c>
      <c r="M4987" t="s">
        <v>10340</v>
      </c>
      <c r="N4987" t="s">
        <v>10671</v>
      </c>
      <c r="P4987" t="s">
        <v>10751</v>
      </c>
      <c r="Q4987" t="s">
        <v>10768</v>
      </c>
      <c r="R4987" t="s">
        <v>10821</v>
      </c>
      <c r="T4987">
        <v>3492</v>
      </c>
      <c r="U4987">
        <v>291</v>
      </c>
      <c r="V4987">
        <v>14</v>
      </c>
      <c r="W4987">
        <v>1</v>
      </c>
      <c r="X4987">
        <v>1</v>
      </c>
      <c r="Z4987">
        <v>20.65</v>
      </c>
      <c r="AA4987">
        <v>40.747442</v>
      </c>
      <c r="AB4987">
        <v>-73.861064</v>
      </c>
      <c r="AD4987" t="s">
        <v>10839</v>
      </c>
      <c r="AG4987" t="s">
        <v>10858</v>
      </c>
      <c r="AH4987" t="s">
        <v>10871</v>
      </c>
      <c r="AI4987">
        <v>234</v>
      </c>
      <c r="AJ4987" t="s">
        <v>10214</v>
      </c>
      <c r="AL4987">
        <v>4.5</v>
      </c>
      <c r="AM4987" t="s">
        <v>10885</v>
      </c>
      <c r="AN4987" t="s">
        <v>10949</v>
      </c>
      <c r="AO4987" t="s">
        <v>11014</v>
      </c>
      <c r="AP4987" t="s">
        <v>11068</v>
      </c>
      <c r="AR4987" t="s">
        <v>11311</v>
      </c>
      <c r="AS4987" t="s">
        <v>11594</v>
      </c>
      <c r="AT4987" t="s">
        <v>11641</v>
      </c>
      <c r="AX4987" t="s">
        <v>10838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</row>
    <row r="4988" spans="1:59">
      <c r="A4988" s="1">
        <f>HYPERLINK("https://lsnyc.legalserver.org/matter/dynamic-profile/view/1909207","19-1909207")</f>
        <v>0</v>
      </c>
      <c r="B4988" t="s">
        <v>3986</v>
      </c>
      <c r="C4988" t="s">
        <v>8804</v>
      </c>
      <c r="D4988" t="s">
        <v>9925</v>
      </c>
      <c r="E4988" t="s">
        <v>10075</v>
      </c>
      <c r="F4988">
        <v>10040</v>
      </c>
      <c r="G4988" t="s">
        <v>10089</v>
      </c>
      <c r="H4988" t="s">
        <v>10115</v>
      </c>
      <c r="J4988" t="s">
        <v>10209</v>
      </c>
      <c r="K4988" t="s">
        <v>10217</v>
      </c>
      <c r="M4988" t="s">
        <v>10447</v>
      </c>
      <c r="N4988" t="s">
        <v>10707</v>
      </c>
      <c r="P4988" t="s">
        <v>10751</v>
      </c>
      <c r="Q4988" t="s">
        <v>10776</v>
      </c>
      <c r="R4988" t="s">
        <v>10820</v>
      </c>
      <c r="T4988">
        <v>5096</v>
      </c>
      <c r="U4988">
        <v>424.67</v>
      </c>
      <c r="V4988">
        <v>50</v>
      </c>
      <c r="W4988">
        <v>1</v>
      </c>
      <c r="X4988">
        <v>0</v>
      </c>
      <c r="Z4988">
        <v>40.8</v>
      </c>
      <c r="AA4988">
        <v>40.857512</v>
      </c>
      <c r="AB4988">
        <v>-73.93589</v>
      </c>
      <c r="AC4988" t="s">
        <v>10837</v>
      </c>
      <c r="AD4988" t="s">
        <v>10840</v>
      </c>
      <c r="AG4988" t="s">
        <v>10858</v>
      </c>
      <c r="AH4988" t="s">
        <v>10868</v>
      </c>
      <c r="AI4988">
        <v>236</v>
      </c>
      <c r="AJ4988" t="s">
        <v>10209</v>
      </c>
      <c r="AL4988">
        <v>2.5</v>
      </c>
      <c r="AM4988" t="s">
        <v>10887</v>
      </c>
      <c r="AN4988" t="s">
        <v>10943</v>
      </c>
      <c r="AO4988" t="s">
        <v>11019</v>
      </c>
      <c r="AP4988" t="s">
        <v>11074</v>
      </c>
      <c r="AQ4988" t="s">
        <v>11156</v>
      </c>
      <c r="AR4988" t="s">
        <v>11321</v>
      </c>
      <c r="AS4988" t="s">
        <v>9925</v>
      </c>
      <c r="AT4988" t="s">
        <v>11642</v>
      </c>
      <c r="AX4988" t="s">
        <v>10837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</row>
    <row r="4989" spans="1:59">
      <c r="A4989" s="1">
        <f>HYPERLINK("https://lsnyc.legalserver.org/matter/dynamic-profile/view/1909209","19-1909209")</f>
        <v>0</v>
      </c>
      <c r="B4989" t="s">
        <v>3987</v>
      </c>
      <c r="C4989" t="s">
        <v>8805</v>
      </c>
      <c r="D4989" t="s">
        <v>9928</v>
      </c>
      <c r="E4989" t="s">
        <v>10075</v>
      </c>
      <c r="F4989">
        <v>11226</v>
      </c>
      <c r="G4989" t="s">
        <v>10093</v>
      </c>
      <c r="H4989" t="s">
        <v>10115</v>
      </c>
      <c r="I4989" t="s">
        <v>10168</v>
      </c>
      <c r="J4989" t="s">
        <v>10213</v>
      </c>
      <c r="K4989" t="s">
        <v>10217</v>
      </c>
      <c r="M4989" t="s">
        <v>10467</v>
      </c>
      <c r="N4989" t="s">
        <v>10667</v>
      </c>
      <c r="P4989" t="s">
        <v>10749</v>
      </c>
      <c r="Q4989" t="s">
        <v>10765</v>
      </c>
      <c r="R4989" t="s">
        <v>10824</v>
      </c>
      <c r="T4989">
        <v>26000</v>
      </c>
      <c r="U4989">
        <v>2166.67</v>
      </c>
      <c r="V4989">
        <v>41</v>
      </c>
      <c r="W4989">
        <v>2</v>
      </c>
      <c r="X4989">
        <v>0</v>
      </c>
      <c r="Z4989">
        <v>153.76</v>
      </c>
      <c r="AA4989">
        <v>40.650004</v>
      </c>
      <c r="AB4989">
        <v>-73.94989700000001</v>
      </c>
      <c r="AD4989" t="s">
        <v>10840</v>
      </c>
      <c r="AG4989" t="s">
        <v>10858</v>
      </c>
      <c r="AH4989" t="s">
        <v>10862</v>
      </c>
      <c r="AI4989">
        <v>239</v>
      </c>
      <c r="AJ4989" t="s">
        <v>10213</v>
      </c>
      <c r="AL4989">
        <v>0</v>
      </c>
      <c r="AM4989" t="s">
        <v>10888</v>
      </c>
      <c r="AN4989" t="s">
        <v>10932</v>
      </c>
      <c r="AO4989" t="s">
        <v>11008</v>
      </c>
      <c r="AP4989" t="s">
        <v>11050</v>
      </c>
      <c r="AR4989" t="s">
        <v>11257</v>
      </c>
      <c r="AS4989" t="s">
        <v>11595</v>
      </c>
      <c r="BA4989" t="s">
        <v>11742</v>
      </c>
      <c r="BB4989">
        <v>0</v>
      </c>
      <c r="BC4989">
        <v>0</v>
      </c>
      <c r="BD4989">
        <v>0</v>
      </c>
      <c r="BE4989">
        <v>0</v>
      </c>
      <c r="BF4989">
        <v>7</v>
      </c>
      <c r="BG4989">
        <v>0</v>
      </c>
    </row>
    <row r="4990" spans="1:59">
      <c r="A4990" s="1">
        <f>HYPERLINK("https://lsnyc.legalserver.org/matter/dynamic-profile/view/1909210","19-1909210")</f>
        <v>0</v>
      </c>
      <c r="B4990" t="s">
        <v>3988</v>
      </c>
      <c r="C4990" t="s">
        <v>8806</v>
      </c>
      <c r="D4990" t="s">
        <v>9928</v>
      </c>
      <c r="E4990" t="s">
        <v>10075</v>
      </c>
      <c r="F4990">
        <v>11211</v>
      </c>
      <c r="G4990" t="s">
        <v>10093</v>
      </c>
      <c r="H4990" t="s">
        <v>10115</v>
      </c>
      <c r="I4990" t="s">
        <v>10168</v>
      </c>
      <c r="J4990" t="s">
        <v>10213</v>
      </c>
      <c r="K4990" t="s">
        <v>10217</v>
      </c>
      <c r="M4990" t="s">
        <v>10280</v>
      </c>
      <c r="N4990" t="s">
        <v>10671</v>
      </c>
      <c r="P4990" t="s">
        <v>10751</v>
      </c>
      <c r="Q4990" t="s">
        <v>10780</v>
      </c>
      <c r="R4990" t="s">
        <v>10824</v>
      </c>
      <c r="T4990">
        <v>4656</v>
      </c>
      <c r="U4990">
        <v>388</v>
      </c>
      <c r="V4990">
        <v>28</v>
      </c>
      <c r="W4990">
        <v>1</v>
      </c>
      <c r="X4990">
        <v>2</v>
      </c>
      <c r="Z4990">
        <v>21.83</v>
      </c>
      <c r="AA4990">
        <v>40.711406</v>
      </c>
      <c r="AB4990">
        <v>-73.958804</v>
      </c>
      <c r="AD4990" t="s">
        <v>10839</v>
      </c>
      <c r="AG4990" t="s">
        <v>10858</v>
      </c>
      <c r="AH4990" t="s">
        <v>10861</v>
      </c>
      <c r="AI4990">
        <v>234</v>
      </c>
      <c r="AJ4990" t="s">
        <v>10214</v>
      </c>
      <c r="AL4990">
        <v>0.6</v>
      </c>
      <c r="AM4990" t="s">
        <v>10886</v>
      </c>
      <c r="AN4990" t="s">
        <v>10942</v>
      </c>
      <c r="AO4990" t="s">
        <v>11011</v>
      </c>
      <c r="AP4990" t="s">
        <v>11071</v>
      </c>
      <c r="AR4990" t="s">
        <v>11311</v>
      </c>
      <c r="AS4990" t="s">
        <v>11595</v>
      </c>
      <c r="AT4990" t="s">
        <v>11641</v>
      </c>
      <c r="AX4990" t="s">
        <v>10838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</row>
    <row r="4991" spans="1:59">
      <c r="A4991" s="1">
        <f>HYPERLINK("https://lsnyc.legalserver.org/matter/dynamic-profile/view/1909211","19-1909211")</f>
        <v>0</v>
      </c>
      <c r="B4991" t="s">
        <v>1699</v>
      </c>
      <c r="C4991" t="s">
        <v>7854</v>
      </c>
      <c r="D4991" t="s">
        <v>9925</v>
      </c>
      <c r="E4991" t="s">
        <v>10075</v>
      </c>
      <c r="F4991">
        <v>10025</v>
      </c>
      <c r="G4991" t="s">
        <v>10089</v>
      </c>
      <c r="H4991" t="s">
        <v>10115</v>
      </c>
      <c r="I4991" t="s">
        <v>10168</v>
      </c>
      <c r="J4991" t="s">
        <v>10209</v>
      </c>
      <c r="K4991" t="s">
        <v>10217</v>
      </c>
      <c r="M4991" t="s">
        <v>10394</v>
      </c>
      <c r="N4991" t="s">
        <v>10688</v>
      </c>
      <c r="P4991" t="s">
        <v>10757</v>
      </c>
      <c r="Q4991" t="s">
        <v>10789</v>
      </c>
      <c r="R4991" t="s">
        <v>10820</v>
      </c>
      <c r="T4991">
        <v>9360</v>
      </c>
      <c r="U4991">
        <v>780</v>
      </c>
      <c r="V4991">
        <v>40</v>
      </c>
      <c r="W4991">
        <v>1</v>
      </c>
      <c r="X4991">
        <v>0</v>
      </c>
      <c r="Z4991">
        <v>74.94</v>
      </c>
      <c r="AA4991">
        <v>40.794115</v>
      </c>
      <c r="AB4991">
        <v>-73.975083</v>
      </c>
      <c r="AD4991" t="s">
        <v>10840</v>
      </c>
      <c r="AG4991" t="s">
        <v>10858</v>
      </c>
      <c r="AH4991" t="s">
        <v>10861</v>
      </c>
      <c r="AI4991">
        <v>234</v>
      </c>
      <c r="AJ4991" t="s">
        <v>10214</v>
      </c>
      <c r="AL4991">
        <v>2.9</v>
      </c>
      <c r="AR4991" t="s">
        <v>11257</v>
      </c>
      <c r="AS4991" t="s">
        <v>9925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</row>
    <row r="4992" spans="1:59">
      <c r="A4992" s="1">
        <f>HYPERLINK("https://lsnyc.legalserver.org/matter/dynamic-profile/view/1909212","19-1909212")</f>
        <v>0</v>
      </c>
      <c r="B4992" t="s">
        <v>2600</v>
      </c>
      <c r="C4992" t="s">
        <v>7382</v>
      </c>
      <c r="D4992" t="s">
        <v>9926</v>
      </c>
      <c r="E4992" t="s">
        <v>10075</v>
      </c>
      <c r="F4992">
        <v>10452</v>
      </c>
      <c r="G4992" t="s">
        <v>10090</v>
      </c>
      <c r="H4992" t="s">
        <v>10115</v>
      </c>
      <c r="I4992" t="s">
        <v>10168</v>
      </c>
      <c r="J4992" t="s">
        <v>10210</v>
      </c>
      <c r="K4992" t="s">
        <v>10217</v>
      </c>
      <c r="M4992" t="s">
        <v>10596</v>
      </c>
      <c r="N4992" t="s">
        <v>10688</v>
      </c>
      <c r="P4992" t="s">
        <v>10751</v>
      </c>
      <c r="Q4992" t="s">
        <v>10776</v>
      </c>
      <c r="R4992" t="s">
        <v>10821</v>
      </c>
      <c r="S4992" t="s">
        <v>10821</v>
      </c>
      <c r="T4992">
        <v>19500</v>
      </c>
      <c r="U4992">
        <v>1625</v>
      </c>
      <c r="V4992">
        <v>35</v>
      </c>
      <c r="W4992">
        <v>1</v>
      </c>
      <c r="X4992">
        <v>3</v>
      </c>
      <c r="Z4992">
        <v>75.73</v>
      </c>
      <c r="AA4992">
        <v>40.838447</v>
      </c>
      <c r="AB4992">
        <v>-73.91646299999999</v>
      </c>
      <c r="AD4992" t="s">
        <v>10839</v>
      </c>
      <c r="AG4992" t="s">
        <v>10858</v>
      </c>
      <c r="AH4992" t="s">
        <v>10874</v>
      </c>
      <c r="AI4992">
        <v>234</v>
      </c>
      <c r="AJ4992" t="s">
        <v>10214</v>
      </c>
      <c r="AL4992">
        <v>0.6</v>
      </c>
      <c r="AQ4992" t="s">
        <v>11246</v>
      </c>
      <c r="AR4992" t="s">
        <v>11262</v>
      </c>
      <c r="AS4992" t="s">
        <v>9926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</row>
    <row r="4993" spans="1:59">
      <c r="A4993" s="1">
        <f>HYPERLINK("https://lsnyc.legalserver.org/matter/dynamic-profile/view/1909213","19-1909213")</f>
        <v>0</v>
      </c>
      <c r="B4993" t="s">
        <v>3989</v>
      </c>
      <c r="C4993" t="s">
        <v>8807</v>
      </c>
      <c r="D4993" t="s">
        <v>9928</v>
      </c>
      <c r="E4993" t="s">
        <v>10075</v>
      </c>
      <c r="F4993">
        <v>11221</v>
      </c>
      <c r="G4993" t="s">
        <v>10091</v>
      </c>
      <c r="H4993" t="s">
        <v>10115</v>
      </c>
      <c r="I4993" t="s">
        <v>10168</v>
      </c>
      <c r="J4993" t="s">
        <v>10211</v>
      </c>
      <c r="K4993" t="s">
        <v>10217</v>
      </c>
      <c r="M4993" t="s">
        <v>10307</v>
      </c>
      <c r="N4993" t="s">
        <v>10671</v>
      </c>
      <c r="P4993" t="s">
        <v>10752</v>
      </c>
      <c r="Q4993" t="s">
        <v>10762</v>
      </c>
      <c r="R4993" t="s">
        <v>10823</v>
      </c>
      <c r="T4993">
        <v>23400</v>
      </c>
      <c r="U4993">
        <v>1950</v>
      </c>
      <c r="V4993">
        <v>29</v>
      </c>
      <c r="W4993">
        <v>1</v>
      </c>
      <c r="X4993">
        <v>0</v>
      </c>
      <c r="Z4993">
        <v>187.35</v>
      </c>
      <c r="AA4993">
        <v>40.698689</v>
      </c>
      <c r="AB4993">
        <v>-73.929637</v>
      </c>
      <c r="AD4993" t="s">
        <v>10840</v>
      </c>
      <c r="AG4993" t="s">
        <v>10858</v>
      </c>
      <c r="AH4993" t="s">
        <v>10861</v>
      </c>
      <c r="AI4993">
        <v>234</v>
      </c>
      <c r="AJ4993" t="s">
        <v>10214</v>
      </c>
      <c r="AL4993">
        <v>0</v>
      </c>
      <c r="AM4993" t="s">
        <v>10886</v>
      </c>
      <c r="AN4993" t="s">
        <v>10942</v>
      </c>
      <c r="AO4993" t="s">
        <v>11011</v>
      </c>
      <c r="AP4993" t="s">
        <v>11071</v>
      </c>
      <c r="AR4993" t="s">
        <v>11293</v>
      </c>
      <c r="AS4993" t="s">
        <v>11595</v>
      </c>
      <c r="AT4993" t="s">
        <v>11642</v>
      </c>
      <c r="AX4993" t="s">
        <v>10838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</row>
    <row r="4994" spans="1:59">
      <c r="A4994" s="1">
        <f>HYPERLINK("https://lsnyc.legalserver.org/matter/dynamic-profile/view/1909214","19-1909214")</f>
        <v>0</v>
      </c>
      <c r="B4994" t="s">
        <v>2666</v>
      </c>
      <c r="C4994" t="s">
        <v>5863</v>
      </c>
      <c r="D4994" t="s">
        <v>9926</v>
      </c>
      <c r="E4994" t="s">
        <v>10075</v>
      </c>
      <c r="F4994">
        <v>10467</v>
      </c>
      <c r="G4994" t="s">
        <v>10090</v>
      </c>
      <c r="H4994" t="s">
        <v>10161</v>
      </c>
      <c r="I4994" t="s">
        <v>10168</v>
      </c>
      <c r="J4994" t="s">
        <v>10210</v>
      </c>
      <c r="K4994" t="s">
        <v>10217</v>
      </c>
      <c r="M4994" t="s">
        <v>10287</v>
      </c>
      <c r="N4994" t="s">
        <v>10671</v>
      </c>
      <c r="P4994" t="s">
        <v>10751</v>
      </c>
      <c r="Q4994" t="s">
        <v>10761</v>
      </c>
      <c r="R4994" t="s">
        <v>10824</v>
      </c>
      <c r="T4994">
        <v>30000</v>
      </c>
      <c r="U4994">
        <v>2500</v>
      </c>
      <c r="V4994">
        <v>35</v>
      </c>
      <c r="W4994">
        <v>1</v>
      </c>
      <c r="X4994">
        <v>3</v>
      </c>
      <c r="Z4994">
        <v>116.5</v>
      </c>
      <c r="AA4994">
        <v>40.870429</v>
      </c>
      <c r="AB4994">
        <v>-73.867497</v>
      </c>
      <c r="AD4994" t="s">
        <v>10839</v>
      </c>
      <c r="AG4994" t="s">
        <v>10858</v>
      </c>
      <c r="AH4994" t="s">
        <v>10862</v>
      </c>
      <c r="AI4994">
        <v>230</v>
      </c>
      <c r="AJ4994" t="s">
        <v>10210</v>
      </c>
      <c r="AL4994">
        <v>0.25</v>
      </c>
      <c r="AM4994" t="s">
        <v>10893</v>
      </c>
      <c r="AN4994" t="s">
        <v>10938</v>
      </c>
      <c r="AO4994" t="s">
        <v>11010</v>
      </c>
      <c r="AP4994" t="s">
        <v>11056</v>
      </c>
      <c r="AR4994" t="s">
        <v>11257</v>
      </c>
      <c r="AS4994" t="s">
        <v>9926</v>
      </c>
      <c r="AT4994" t="s">
        <v>11641</v>
      </c>
      <c r="AX4994" t="s">
        <v>10838</v>
      </c>
      <c r="BA4994" t="s">
        <v>11742</v>
      </c>
      <c r="BB4994">
        <v>0</v>
      </c>
      <c r="BC4994">
        <v>0</v>
      </c>
      <c r="BD4994">
        <v>0</v>
      </c>
      <c r="BE4994">
        <v>0</v>
      </c>
      <c r="BF4994">
        <v>7</v>
      </c>
      <c r="BG4994">
        <v>0</v>
      </c>
    </row>
    <row r="4995" spans="1:59">
      <c r="A4995" s="1">
        <f>HYPERLINK("https://lsnyc.legalserver.org/matter/dynamic-profile/view/1909215","19-1909215")</f>
        <v>0</v>
      </c>
      <c r="B4995" t="s">
        <v>1918</v>
      </c>
      <c r="C4995" t="s">
        <v>8808</v>
      </c>
      <c r="D4995" t="s">
        <v>9928</v>
      </c>
      <c r="E4995" t="s">
        <v>10075</v>
      </c>
      <c r="F4995">
        <v>11213</v>
      </c>
      <c r="G4995" t="s">
        <v>10093</v>
      </c>
      <c r="H4995" t="s">
        <v>10115</v>
      </c>
      <c r="I4995" t="s">
        <v>10168</v>
      </c>
      <c r="J4995" t="s">
        <v>10213</v>
      </c>
      <c r="K4995" t="s">
        <v>10217</v>
      </c>
      <c r="M4995" t="s">
        <v>10507</v>
      </c>
      <c r="N4995" t="s">
        <v>10664</v>
      </c>
      <c r="P4995" t="s">
        <v>10749</v>
      </c>
      <c r="Q4995" t="s">
        <v>10765</v>
      </c>
      <c r="R4995" t="s">
        <v>10824</v>
      </c>
      <c r="T4995">
        <v>27240</v>
      </c>
      <c r="U4995">
        <v>2270</v>
      </c>
      <c r="V4995">
        <v>50</v>
      </c>
      <c r="W4995">
        <v>3</v>
      </c>
      <c r="X4995">
        <v>1</v>
      </c>
      <c r="Z4995">
        <v>105.79</v>
      </c>
      <c r="AA4995">
        <v>40.674054</v>
      </c>
      <c r="AB4995">
        <v>-73.940046</v>
      </c>
      <c r="AD4995" t="s">
        <v>10839</v>
      </c>
      <c r="AG4995" t="s">
        <v>10858</v>
      </c>
      <c r="AH4995" t="s">
        <v>10861</v>
      </c>
      <c r="AI4995">
        <v>239</v>
      </c>
      <c r="AJ4995" t="s">
        <v>10213</v>
      </c>
      <c r="AL4995">
        <v>6</v>
      </c>
      <c r="AM4995" t="s">
        <v>10888</v>
      </c>
      <c r="AN4995" t="s">
        <v>10914</v>
      </c>
      <c r="AO4995" t="s">
        <v>11007</v>
      </c>
      <c r="AP4995" t="s">
        <v>11052</v>
      </c>
      <c r="AR4995" t="s">
        <v>11559</v>
      </c>
      <c r="AS4995" t="s">
        <v>11595</v>
      </c>
      <c r="BA4995" t="s">
        <v>11738</v>
      </c>
      <c r="BB4995">
        <v>0</v>
      </c>
      <c r="BC4995">
        <v>0</v>
      </c>
      <c r="BD4995">
        <v>0</v>
      </c>
      <c r="BE4995">
        <v>0</v>
      </c>
      <c r="BF4995">
        <v>5</v>
      </c>
      <c r="BG4995">
        <v>0</v>
      </c>
    </row>
    <row r="4996" spans="1:59">
      <c r="A4996" s="1">
        <f>HYPERLINK("https://lsnyc.legalserver.org/matter/dynamic-profile/view/1909216","19-1909216")</f>
        <v>0</v>
      </c>
      <c r="B4996" t="s">
        <v>3990</v>
      </c>
      <c r="C4996" t="s">
        <v>8809</v>
      </c>
      <c r="D4996" t="s">
        <v>9928</v>
      </c>
      <c r="E4996" t="s">
        <v>10075</v>
      </c>
      <c r="F4996">
        <v>11213</v>
      </c>
      <c r="G4996" t="s">
        <v>10093</v>
      </c>
      <c r="H4996" t="s">
        <v>10115</v>
      </c>
      <c r="I4996" t="s">
        <v>10168</v>
      </c>
      <c r="J4996" t="s">
        <v>10213</v>
      </c>
      <c r="K4996" t="s">
        <v>10217</v>
      </c>
      <c r="M4996" t="s">
        <v>10293</v>
      </c>
      <c r="N4996" t="s">
        <v>10644</v>
      </c>
      <c r="P4996" t="s">
        <v>10749</v>
      </c>
      <c r="Q4996" t="s">
        <v>10765</v>
      </c>
      <c r="R4996" t="s">
        <v>10824</v>
      </c>
      <c r="T4996">
        <v>9252</v>
      </c>
      <c r="U4996">
        <v>771</v>
      </c>
      <c r="V4996">
        <v>61</v>
      </c>
      <c r="W4996">
        <v>1</v>
      </c>
      <c r="X4996">
        <v>0</v>
      </c>
      <c r="Z4996">
        <v>74.08</v>
      </c>
      <c r="AA4996">
        <v>40.668071</v>
      </c>
      <c r="AB4996">
        <v>-73.932354</v>
      </c>
      <c r="AD4996" t="s">
        <v>10839</v>
      </c>
      <c r="AG4996" t="s">
        <v>10858</v>
      </c>
      <c r="AH4996" t="s">
        <v>10861</v>
      </c>
      <c r="AI4996">
        <v>234</v>
      </c>
      <c r="AJ4996" t="s">
        <v>10214</v>
      </c>
      <c r="AL4996">
        <v>4</v>
      </c>
      <c r="AM4996" t="s">
        <v>10888</v>
      </c>
      <c r="AN4996" t="s">
        <v>10912</v>
      </c>
      <c r="AO4996" t="s">
        <v>11005</v>
      </c>
      <c r="AP4996" t="s">
        <v>11061</v>
      </c>
      <c r="AR4996" t="s">
        <v>11274</v>
      </c>
      <c r="AS4996" t="s">
        <v>11595</v>
      </c>
      <c r="AT4996" t="s">
        <v>11641</v>
      </c>
      <c r="AX4996" t="s">
        <v>10838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</row>
    <row r="4997" spans="1:59">
      <c r="A4997" s="1">
        <f>HYPERLINK("https://lsnyc.legalserver.org/matter/dynamic-profile/view/1909217","19-1909217")</f>
        <v>0</v>
      </c>
      <c r="B4997" t="s">
        <v>3991</v>
      </c>
      <c r="C4997" t="s">
        <v>8810</v>
      </c>
      <c r="D4997" t="s">
        <v>9926</v>
      </c>
      <c r="E4997" t="s">
        <v>10075</v>
      </c>
      <c r="F4997">
        <v>10466</v>
      </c>
      <c r="G4997" t="s">
        <v>10090</v>
      </c>
      <c r="H4997" t="s">
        <v>10115</v>
      </c>
      <c r="I4997" t="s">
        <v>10168</v>
      </c>
      <c r="J4997" t="s">
        <v>10210</v>
      </c>
      <c r="K4997" t="s">
        <v>10217</v>
      </c>
      <c r="M4997" t="s">
        <v>10524</v>
      </c>
      <c r="N4997" t="s">
        <v>10690</v>
      </c>
      <c r="P4997" t="s">
        <v>10749</v>
      </c>
      <c r="Q4997" t="s">
        <v>10765</v>
      </c>
      <c r="R4997" t="s">
        <v>10827</v>
      </c>
      <c r="T4997">
        <v>0</v>
      </c>
      <c r="U4997">
        <v>0</v>
      </c>
      <c r="V4997">
        <v>31</v>
      </c>
      <c r="W4997">
        <v>1</v>
      </c>
      <c r="X4997">
        <v>0</v>
      </c>
      <c r="Z4997">
        <v>0</v>
      </c>
      <c r="AA4997">
        <v>40.881292</v>
      </c>
      <c r="AB4997">
        <v>-73.845984</v>
      </c>
      <c r="AC4997" t="s">
        <v>10837</v>
      </c>
      <c r="AD4997" t="s">
        <v>10840</v>
      </c>
      <c r="AG4997" t="s">
        <v>10858</v>
      </c>
      <c r="AH4997" t="s">
        <v>10871</v>
      </c>
      <c r="AI4997">
        <v>234</v>
      </c>
      <c r="AJ4997" t="s">
        <v>10214</v>
      </c>
      <c r="AL4997">
        <v>1.35</v>
      </c>
      <c r="AM4997" t="s">
        <v>10893</v>
      </c>
      <c r="AN4997" t="s">
        <v>10956</v>
      </c>
      <c r="AO4997" t="s">
        <v>11010</v>
      </c>
      <c r="AP4997" t="s">
        <v>11085</v>
      </c>
      <c r="AR4997" t="s">
        <v>11279</v>
      </c>
      <c r="AS4997" t="s">
        <v>9926</v>
      </c>
      <c r="AT4997" t="s">
        <v>11642</v>
      </c>
      <c r="AX4997" t="s">
        <v>10838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</row>
    <row r="4998" spans="1:59">
      <c r="A4998" s="1">
        <f>HYPERLINK("https://lsnyc.legalserver.org/matter/dynamic-profile/view/1909218","19-1909218")</f>
        <v>0</v>
      </c>
      <c r="B4998" t="s">
        <v>3992</v>
      </c>
      <c r="C4998" t="s">
        <v>8811</v>
      </c>
      <c r="D4998" t="s">
        <v>9926</v>
      </c>
      <c r="E4998" t="s">
        <v>10075</v>
      </c>
      <c r="F4998">
        <v>10457</v>
      </c>
      <c r="G4998" t="s">
        <v>10090</v>
      </c>
      <c r="H4998" t="s">
        <v>10115</v>
      </c>
      <c r="I4998" t="s">
        <v>10169</v>
      </c>
      <c r="J4998" t="s">
        <v>10210</v>
      </c>
      <c r="K4998" t="s">
        <v>10217</v>
      </c>
      <c r="M4998" t="s">
        <v>10296</v>
      </c>
      <c r="N4998" t="s">
        <v>10679</v>
      </c>
      <c r="P4998" t="s">
        <v>10753</v>
      </c>
      <c r="Q4998" t="s">
        <v>10763</v>
      </c>
      <c r="R4998" t="s">
        <v>10821</v>
      </c>
      <c r="T4998">
        <v>22672</v>
      </c>
      <c r="U4998">
        <v>1889.33</v>
      </c>
      <c r="V4998">
        <v>18</v>
      </c>
      <c r="W4998">
        <v>1</v>
      </c>
      <c r="X4998">
        <v>1</v>
      </c>
      <c r="Z4998">
        <v>134.07</v>
      </c>
      <c r="AA4998">
        <v>40.848374</v>
      </c>
      <c r="AB4998">
        <v>-73.891131</v>
      </c>
      <c r="AD4998" t="s">
        <v>10839</v>
      </c>
      <c r="AF4998" t="s">
        <v>10850</v>
      </c>
      <c r="AG4998" t="s">
        <v>10859</v>
      </c>
      <c r="AH4998" t="s">
        <v>10871</v>
      </c>
      <c r="AI4998">
        <v>230</v>
      </c>
      <c r="AJ4998" t="s">
        <v>10210</v>
      </c>
      <c r="AL4998">
        <v>1.75</v>
      </c>
      <c r="AM4998" t="s">
        <v>10884</v>
      </c>
      <c r="AN4998" t="s">
        <v>10931</v>
      </c>
      <c r="AO4998" t="s">
        <v>11000</v>
      </c>
      <c r="AP4998" t="s">
        <v>11056</v>
      </c>
      <c r="AQ4998" t="s">
        <v>11109</v>
      </c>
      <c r="AR4998" t="s">
        <v>11262</v>
      </c>
      <c r="AS4998" t="s">
        <v>9926</v>
      </c>
      <c r="AT4998" t="s">
        <v>11641</v>
      </c>
      <c r="AV4998" t="s">
        <v>11656</v>
      </c>
      <c r="AW4998" t="s">
        <v>11645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</row>
    <row r="4999" spans="1:59">
      <c r="A4999" s="1">
        <f>HYPERLINK("https://lsnyc.legalserver.org/matter/dynamic-profile/view/1909219","19-1909219")</f>
        <v>0</v>
      </c>
      <c r="B4999" t="s">
        <v>1241</v>
      </c>
      <c r="C4999" t="s">
        <v>8812</v>
      </c>
      <c r="D4999" t="s">
        <v>9954</v>
      </c>
      <c r="E4999" t="s">
        <v>10075</v>
      </c>
      <c r="F4999">
        <v>11372</v>
      </c>
      <c r="G4999" t="s">
        <v>10092</v>
      </c>
      <c r="H4999" t="s">
        <v>10115</v>
      </c>
      <c r="I4999" t="s">
        <v>10169</v>
      </c>
      <c r="J4999" t="s">
        <v>10212</v>
      </c>
      <c r="K4999" t="s">
        <v>10217</v>
      </c>
      <c r="M4999" t="s">
        <v>10311</v>
      </c>
      <c r="N4999" t="s">
        <v>10684</v>
      </c>
      <c r="P4999" t="s">
        <v>10751</v>
      </c>
      <c r="Q4999" t="s">
        <v>10786</v>
      </c>
      <c r="R4999" t="s">
        <v>10821</v>
      </c>
      <c r="T4999">
        <v>0</v>
      </c>
      <c r="U4999">
        <v>0</v>
      </c>
      <c r="V4999">
        <v>60</v>
      </c>
      <c r="W4999">
        <v>1</v>
      </c>
      <c r="X4999">
        <v>0</v>
      </c>
      <c r="Z4999">
        <v>0</v>
      </c>
      <c r="AA4999">
        <v>40.750339</v>
      </c>
      <c r="AB4999">
        <v>-73.88375000000001</v>
      </c>
      <c r="AD4999" t="s">
        <v>10839</v>
      </c>
      <c r="AG4999" t="s">
        <v>10858</v>
      </c>
      <c r="AH4999" t="s">
        <v>10873</v>
      </c>
      <c r="AI4999">
        <v>237</v>
      </c>
      <c r="AJ4999" t="s">
        <v>10212</v>
      </c>
      <c r="AL4999">
        <v>2.75</v>
      </c>
      <c r="AM4999" t="s">
        <v>10885</v>
      </c>
      <c r="AN4999" t="s">
        <v>10949</v>
      </c>
      <c r="AO4999" t="s">
        <v>11014</v>
      </c>
      <c r="AP4999" t="s">
        <v>11053</v>
      </c>
      <c r="AR4999" t="s">
        <v>11267</v>
      </c>
      <c r="AS4999" t="s">
        <v>11594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</row>
    <row r="5000" spans="1:59">
      <c r="A5000" s="1">
        <f>HYPERLINK("https://lsnyc.legalserver.org/matter/dynamic-profile/view/1909220","19-1909220")</f>
        <v>0</v>
      </c>
      <c r="B5000" t="s">
        <v>3993</v>
      </c>
      <c r="C5000" t="s">
        <v>8813</v>
      </c>
      <c r="D5000" t="s">
        <v>9926</v>
      </c>
      <c r="E5000" t="s">
        <v>10075</v>
      </c>
      <c r="F5000">
        <v>10452</v>
      </c>
      <c r="G5000" t="s">
        <v>10090</v>
      </c>
      <c r="H5000" t="s">
        <v>10115</v>
      </c>
      <c r="I5000" t="s">
        <v>10169</v>
      </c>
      <c r="J5000" t="s">
        <v>10210</v>
      </c>
      <c r="K5000" t="s">
        <v>10217</v>
      </c>
      <c r="M5000" t="s">
        <v>10622</v>
      </c>
      <c r="N5000" t="s">
        <v>10650</v>
      </c>
      <c r="P5000" t="s">
        <v>10749</v>
      </c>
      <c r="Q5000" t="s">
        <v>10765</v>
      </c>
      <c r="R5000" t="s">
        <v>10821</v>
      </c>
      <c r="T5000">
        <v>9000</v>
      </c>
      <c r="U5000">
        <v>750</v>
      </c>
      <c r="V5000">
        <v>71</v>
      </c>
      <c r="W5000">
        <v>1</v>
      </c>
      <c r="X5000">
        <v>0</v>
      </c>
      <c r="Z5000">
        <v>72.06</v>
      </c>
      <c r="AA5000">
        <v>40.835793</v>
      </c>
      <c r="AB5000">
        <v>-73.92198999999999</v>
      </c>
      <c r="AD5000" t="s">
        <v>10840</v>
      </c>
      <c r="AF5000" t="s">
        <v>10843</v>
      </c>
      <c r="AG5000" t="s">
        <v>10859</v>
      </c>
      <c r="AH5000" t="s">
        <v>10871</v>
      </c>
      <c r="AI5000">
        <v>234</v>
      </c>
      <c r="AJ5000" t="s">
        <v>10214</v>
      </c>
      <c r="AL5000">
        <v>1</v>
      </c>
      <c r="AM5000" t="s">
        <v>10884</v>
      </c>
      <c r="AN5000" t="s">
        <v>10924</v>
      </c>
      <c r="AO5000" t="s">
        <v>11013</v>
      </c>
      <c r="AP5000" t="s">
        <v>11055</v>
      </c>
      <c r="AR5000" t="s">
        <v>11268</v>
      </c>
      <c r="AS5000" t="s">
        <v>9926</v>
      </c>
      <c r="AT5000" t="s">
        <v>11642</v>
      </c>
      <c r="AX5000" t="s">
        <v>10838</v>
      </c>
      <c r="BA5000" t="s">
        <v>11741</v>
      </c>
      <c r="BB5000">
        <v>0</v>
      </c>
      <c r="BC5000">
        <v>0</v>
      </c>
      <c r="BD5000">
        <v>0</v>
      </c>
      <c r="BE5000">
        <v>0</v>
      </c>
      <c r="BF5000">
        <v>1</v>
      </c>
      <c r="BG5000">
        <v>0</v>
      </c>
    </row>
    <row r="5001" spans="1:59">
      <c r="A5001" s="1">
        <f>HYPERLINK("https://lsnyc.legalserver.org/matter/dynamic-profile/view/1909221","19-1909221")</f>
        <v>0</v>
      </c>
      <c r="B5001" t="s">
        <v>3994</v>
      </c>
      <c r="C5001" t="s">
        <v>8814</v>
      </c>
      <c r="D5001" t="s">
        <v>9926</v>
      </c>
      <c r="E5001" t="s">
        <v>10075</v>
      </c>
      <c r="F5001">
        <v>10457</v>
      </c>
      <c r="G5001" t="s">
        <v>10090</v>
      </c>
      <c r="H5001" t="s">
        <v>10115</v>
      </c>
      <c r="I5001" t="s">
        <v>10168</v>
      </c>
      <c r="J5001" t="s">
        <v>10210</v>
      </c>
      <c r="K5001" t="s">
        <v>10217</v>
      </c>
      <c r="M5001" t="s">
        <v>10511</v>
      </c>
      <c r="N5001" t="s">
        <v>10651</v>
      </c>
      <c r="P5001" t="s">
        <v>10749</v>
      </c>
      <c r="Q5001" t="s">
        <v>10765</v>
      </c>
      <c r="R5001" t="s">
        <v>10821</v>
      </c>
      <c r="T5001">
        <v>16860</v>
      </c>
      <c r="U5001">
        <v>1405</v>
      </c>
      <c r="V5001">
        <v>43</v>
      </c>
      <c r="W5001">
        <v>2</v>
      </c>
      <c r="X5001">
        <v>1</v>
      </c>
      <c r="Z5001">
        <v>79.04000000000001</v>
      </c>
      <c r="AA5001">
        <v>40.844609</v>
      </c>
      <c r="AB5001">
        <v>-73.908805</v>
      </c>
      <c r="AD5001" t="s">
        <v>10839</v>
      </c>
      <c r="AG5001" t="s">
        <v>10858</v>
      </c>
      <c r="AH5001" t="s">
        <v>10861</v>
      </c>
      <c r="AI5001">
        <v>230</v>
      </c>
      <c r="AJ5001" t="s">
        <v>10210</v>
      </c>
      <c r="AL5001">
        <v>1.5</v>
      </c>
      <c r="AM5001" t="s">
        <v>10884</v>
      </c>
      <c r="AN5001" t="s">
        <v>10931</v>
      </c>
      <c r="AO5001" t="s">
        <v>11000</v>
      </c>
      <c r="AP5001" t="s">
        <v>11056</v>
      </c>
      <c r="AR5001" t="s">
        <v>11410</v>
      </c>
      <c r="AS5001" t="s">
        <v>9926</v>
      </c>
      <c r="AT5001" t="s">
        <v>11641</v>
      </c>
      <c r="AX5001" t="s">
        <v>10837</v>
      </c>
      <c r="BA5001" t="s">
        <v>11738</v>
      </c>
      <c r="BB5001">
        <v>0</v>
      </c>
      <c r="BC5001">
        <v>0</v>
      </c>
      <c r="BD5001">
        <v>0</v>
      </c>
      <c r="BE5001">
        <v>0</v>
      </c>
      <c r="BF5001">
        <v>5</v>
      </c>
      <c r="BG5001">
        <v>0</v>
      </c>
    </row>
    <row r="5002" spans="1:59">
      <c r="A5002" s="1">
        <f>HYPERLINK("https://lsnyc.legalserver.org/matter/dynamic-profile/view/1909223","19-1909223")</f>
        <v>0</v>
      </c>
      <c r="B5002" t="s">
        <v>3995</v>
      </c>
      <c r="C5002" t="s">
        <v>8815</v>
      </c>
      <c r="D5002" t="s">
        <v>9928</v>
      </c>
      <c r="E5002" t="s">
        <v>10075</v>
      </c>
      <c r="F5002">
        <v>11237</v>
      </c>
      <c r="G5002" t="s">
        <v>10091</v>
      </c>
      <c r="H5002" t="s">
        <v>10115</v>
      </c>
      <c r="I5002" t="s">
        <v>10169</v>
      </c>
      <c r="J5002" t="s">
        <v>10214</v>
      </c>
      <c r="K5002" t="s">
        <v>10217</v>
      </c>
      <c r="M5002" t="s">
        <v>10537</v>
      </c>
      <c r="N5002" t="s">
        <v>10671</v>
      </c>
      <c r="P5002" t="s">
        <v>10753</v>
      </c>
      <c r="Q5002" t="s">
        <v>10763</v>
      </c>
      <c r="R5002" t="s">
        <v>10821</v>
      </c>
      <c r="T5002">
        <v>44720</v>
      </c>
      <c r="U5002">
        <v>3726.67</v>
      </c>
      <c r="V5002">
        <v>45</v>
      </c>
      <c r="W5002">
        <v>3</v>
      </c>
      <c r="X5002">
        <v>1</v>
      </c>
      <c r="Z5002">
        <v>173.67</v>
      </c>
      <c r="AA5002">
        <v>40.695822</v>
      </c>
      <c r="AB5002">
        <v>-73.90789700000001</v>
      </c>
      <c r="AD5002" t="s">
        <v>10839</v>
      </c>
      <c r="AF5002" t="s">
        <v>10843</v>
      </c>
      <c r="AG5002" t="s">
        <v>10859</v>
      </c>
      <c r="AH5002" t="s">
        <v>10861</v>
      </c>
      <c r="AI5002">
        <v>234</v>
      </c>
      <c r="AJ5002" t="s">
        <v>10214</v>
      </c>
      <c r="AL5002">
        <v>0.6</v>
      </c>
      <c r="AM5002" t="s">
        <v>10886</v>
      </c>
      <c r="AN5002" t="s">
        <v>10920</v>
      </c>
      <c r="AO5002" t="s">
        <v>11011</v>
      </c>
      <c r="AP5002" t="s">
        <v>11058</v>
      </c>
      <c r="AR5002" t="s">
        <v>11272</v>
      </c>
      <c r="AS5002" t="s">
        <v>11595</v>
      </c>
      <c r="AT5002" t="s">
        <v>11641</v>
      </c>
      <c r="AX5002" t="s">
        <v>10838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</row>
    <row r="5003" spans="1:59">
      <c r="A5003" s="1">
        <f>HYPERLINK("https://lsnyc.legalserver.org/matter/dynamic-profile/view/1909224","19-1909224")</f>
        <v>0</v>
      </c>
      <c r="B5003" t="s">
        <v>3994</v>
      </c>
      <c r="C5003" t="s">
        <v>8814</v>
      </c>
      <c r="D5003" t="s">
        <v>9926</v>
      </c>
      <c r="E5003" t="s">
        <v>10075</v>
      </c>
      <c r="F5003">
        <v>10457</v>
      </c>
      <c r="G5003" t="s">
        <v>10090</v>
      </c>
      <c r="H5003" t="s">
        <v>10115</v>
      </c>
      <c r="I5003" t="s">
        <v>10168</v>
      </c>
      <c r="J5003" t="s">
        <v>10210</v>
      </c>
      <c r="K5003" t="s">
        <v>10217</v>
      </c>
      <c r="M5003" t="s">
        <v>10511</v>
      </c>
      <c r="N5003" t="s">
        <v>10688</v>
      </c>
      <c r="P5003" t="s">
        <v>10751</v>
      </c>
      <c r="Q5003" t="s">
        <v>10761</v>
      </c>
      <c r="R5003" t="s">
        <v>10821</v>
      </c>
      <c r="T5003">
        <v>16860</v>
      </c>
      <c r="U5003">
        <v>1405</v>
      </c>
      <c r="V5003">
        <v>43</v>
      </c>
      <c r="W5003">
        <v>2</v>
      </c>
      <c r="X5003">
        <v>1</v>
      </c>
      <c r="Z5003">
        <v>79.04000000000001</v>
      </c>
      <c r="AA5003">
        <v>40.844609</v>
      </c>
      <c r="AB5003">
        <v>-73.908805</v>
      </c>
      <c r="AD5003" t="s">
        <v>10839</v>
      </c>
      <c r="AG5003" t="s">
        <v>10858</v>
      </c>
      <c r="AH5003" t="s">
        <v>10861</v>
      </c>
      <c r="AI5003">
        <v>230</v>
      </c>
      <c r="AJ5003" t="s">
        <v>10210</v>
      </c>
      <c r="AL5003">
        <v>0</v>
      </c>
      <c r="AR5003" t="s">
        <v>11410</v>
      </c>
      <c r="AS5003" t="s">
        <v>9926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</row>
    <row r="5004" spans="1:59">
      <c r="A5004" s="1">
        <f>HYPERLINK("https://lsnyc.legalserver.org/matter/dynamic-profile/view/1909225","19-1909225")</f>
        <v>0</v>
      </c>
      <c r="B5004" t="s">
        <v>3996</v>
      </c>
      <c r="C5004" t="s">
        <v>8816</v>
      </c>
      <c r="D5004" t="s">
        <v>9926</v>
      </c>
      <c r="E5004" t="s">
        <v>10075</v>
      </c>
      <c r="F5004">
        <v>10459</v>
      </c>
      <c r="G5004" t="s">
        <v>10090</v>
      </c>
      <c r="H5004" t="s">
        <v>10115</v>
      </c>
      <c r="I5004" t="s">
        <v>10169</v>
      </c>
      <c r="J5004" t="s">
        <v>10210</v>
      </c>
      <c r="K5004" t="s">
        <v>10217</v>
      </c>
      <c r="M5004" t="s">
        <v>10372</v>
      </c>
      <c r="N5004" t="s">
        <v>10704</v>
      </c>
      <c r="P5004" t="s">
        <v>10750</v>
      </c>
      <c r="Q5004" t="s">
        <v>10778</v>
      </c>
      <c r="R5004" t="s">
        <v>10823</v>
      </c>
      <c r="T5004">
        <v>0</v>
      </c>
      <c r="U5004">
        <v>0</v>
      </c>
      <c r="V5004">
        <v>26</v>
      </c>
      <c r="W5004">
        <v>1</v>
      </c>
      <c r="X5004">
        <v>1</v>
      </c>
      <c r="Z5004">
        <v>0</v>
      </c>
      <c r="AA5004">
        <v>40.818116</v>
      </c>
      <c r="AB5004">
        <v>-73.89646</v>
      </c>
      <c r="AD5004" t="s">
        <v>10839</v>
      </c>
      <c r="AF5004" t="s">
        <v>10843</v>
      </c>
      <c r="AG5004" t="s">
        <v>10859</v>
      </c>
      <c r="AH5004" t="s">
        <v>10861</v>
      </c>
      <c r="AI5004">
        <v>237</v>
      </c>
      <c r="AJ5004" t="s">
        <v>10212</v>
      </c>
      <c r="AL5004">
        <v>3.8</v>
      </c>
      <c r="AM5004" t="s">
        <v>10884</v>
      </c>
      <c r="AN5004" t="s">
        <v>10968</v>
      </c>
      <c r="AO5004" t="s">
        <v>11001</v>
      </c>
      <c r="AP5004" t="s">
        <v>11062</v>
      </c>
      <c r="AR5004" t="s">
        <v>11267</v>
      </c>
      <c r="AS5004" t="s">
        <v>9926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</row>
    <row r="5005" spans="1:59">
      <c r="A5005" s="1">
        <f>HYPERLINK("https://lsnyc.legalserver.org/matter/dynamic-profile/view/1909226","19-1909226")</f>
        <v>0</v>
      </c>
      <c r="B5005" t="s">
        <v>1970</v>
      </c>
      <c r="C5005" t="s">
        <v>6763</v>
      </c>
      <c r="D5005" t="s">
        <v>9928</v>
      </c>
      <c r="E5005" t="s">
        <v>10075</v>
      </c>
      <c r="F5005">
        <v>11233</v>
      </c>
      <c r="G5005" t="s">
        <v>10093</v>
      </c>
      <c r="H5005" t="s">
        <v>10115</v>
      </c>
      <c r="I5005" t="s">
        <v>10168</v>
      </c>
      <c r="J5005" t="s">
        <v>10213</v>
      </c>
      <c r="K5005" t="s">
        <v>10217</v>
      </c>
      <c r="M5005" t="s">
        <v>10446</v>
      </c>
      <c r="N5005" t="s">
        <v>10650</v>
      </c>
      <c r="P5005" t="s">
        <v>10749</v>
      </c>
      <c r="Q5005" t="s">
        <v>10765</v>
      </c>
      <c r="R5005" t="s">
        <v>10824</v>
      </c>
      <c r="T5005">
        <v>26000</v>
      </c>
      <c r="U5005">
        <v>2166.67</v>
      </c>
      <c r="V5005">
        <v>42</v>
      </c>
      <c r="W5005">
        <v>3</v>
      </c>
      <c r="X5005">
        <v>3</v>
      </c>
      <c r="Z5005">
        <v>75.17</v>
      </c>
      <c r="AA5005">
        <v>40.671715</v>
      </c>
      <c r="AB5005">
        <v>-73.915143</v>
      </c>
      <c r="AD5005" t="s">
        <v>10839</v>
      </c>
      <c r="AG5005" t="s">
        <v>10858</v>
      </c>
      <c r="AH5005" t="s">
        <v>10862</v>
      </c>
      <c r="AI5005">
        <v>239</v>
      </c>
      <c r="AJ5005" t="s">
        <v>10213</v>
      </c>
      <c r="AL5005">
        <v>0.4</v>
      </c>
      <c r="AM5005" t="s">
        <v>10888</v>
      </c>
      <c r="AN5005" t="s">
        <v>10922</v>
      </c>
      <c r="AO5005" t="s">
        <v>11007</v>
      </c>
      <c r="AP5005" t="s">
        <v>11064</v>
      </c>
      <c r="AR5005" t="s">
        <v>11257</v>
      </c>
      <c r="AS5005" t="s">
        <v>11595</v>
      </c>
      <c r="AT5005" t="s">
        <v>11641</v>
      </c>
      <c r="AX5005" t="s">
        <v>10838</v>
      </c>
      <c r="BA5005" t="s">
        <v>11738</v>
      </c>
      <c r="BB5005">
        <v>0</v>
      </c>
      <c r="BC5005">
        <v>0</v>
      </c>
      <c r="BD5005">
        <v>0</v>
      </c>
      <c r="BE5005">
        <v>0</v>
      </c>
      <c r="BF5005">
        <v>5</v>
      </c>
      <c r="BG5005">
        <v>0</v>
      </c>
    </row>
    <row r="5006" spans="1:59">
      <c r="A5006" s="1">
        <f>HYPERLINK("https://lsnyc.legalserver.org/matter/dynamic-profile/view/1909227","19-1909227")</f>
        <v>0</v>
      </c>
      <c r="B5006" t="s">
        <v>3997</v>
      </c>
      <c r="C5006" t="s">
        <v>8817</v>
      </c>
      <c r="D5006" t="s">
        <v>9925</v>
      </c>
      <c r="E5006" t="s">
        <v>10075</v>
      </c>
      <c r="F5006">
        <v>10029</v>
      </c>
      <c r="G5006" t="s">
        <v>10089</v>
      </c>
      <c r="H5006" t="s">
        <v>10115</v>
      </c>
      <c r="I5006" t="s">
        <v>10168</v>
      </c>
      <c r="J5006" t="s">
        <v>10209</v>
      </c>
      <c r="K5006" t="s">
        <v>10217</v>
      </c>
      <c r="M5006" t="s">
        <v>10229</v>
      </c>
      <c r="N5006" t="s">
        <v>10645</v>
      </c>
      <c r="P5006" t="s">
        <v>10758</v>
      </c>
      <c r="Q5006" t="s">
        <v>10793</v>
      </c>
      <c r="R5006" t="s">
        <v>10821</v>
      </c>
      <c r="T5006">
        <v>31000</v>
      </c>
      <c r="U5006">
        <v>2583.33</v>
      </c>
      <c r="V5006">
        <v>29</v>
      </c>
      <c r="W5006">
        <v>1</v>
      </c>
      <c r="X5006">
        <v>2</v>
      </c>
      <c r="Z5006">
        <v>145.34</v>
      </c>
      <c r="AA5006">
        <v>40.793153</v>
      </c>
      <c r="AB5006">
        <v>-73.949269</v>
      </c>
      <c r="AD5006" t="s">
        <v>10839</v>
      </c>
      <c r="AG5006" t="s">
        <v>10858</v>
      </c>
      <c r="AH5006" t="s">
        <v>10861</v>
      </c>
      <c r="AI5006">
        <v>234</v>
      </c>
      <c r="AJ5006" t="s">
        <v>10214</v>
      </c>
      <c r="AL5006">
        <v>1.6</v>
      </c>
      <c r="AM5006" t="s">
        <v>10887</v>
      </c>
      <c r="AN5006" t="s">
        <v>10926</v>
      </c>
      <c r="AO5006" t="s">
        <v>11016</v>
      </c>
      <c r="AP5006" t="s">
        <v>11066</v>
      </c>
      <c r="AR5006" t="s">
        <v>11257</v>
      </c>
      <c r="AS5006" t="s">
        <v>9925</v>
      </c>
      <c r="AT5006" t="s">
        <v>11641</v>
      </c>
      <c r="AX5006" t="s">
        <v>10838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</row>
    <row r="5007" spans="1:59">
      <c r="A5007" s="1">
        <f>HYPERLINK("https://lsnyc.legalserver.org/matter/dynamic-profile/view/1909228","19-1909228")</f>
        <v>0</v>
      </c>
      <c r="B5007" t="s">
        <v>2665</v>
      </c>
      <c r="C5007" t="s">
        <v>8818</v>
      </c>
      <c r="D5007" t="s">
        <v>9926</v>
      </c>
      <c r="E5007" t="s">
        <v>10075</v>
      </c>
      <c r="F5007">
        <v>10469</v>
      </c>
      <c r="G5007" t="s">
        <v>10091</v>
      </c>
      <c r="H5007" t="s">
        <v>10115</v>
      </c>
      <c r="I5007" t="s">
        <v>10168</v>
      </c>
      <c r="J5007" t="s">
        <v>10211</v>
      </c>
      <c r="K5007" t="s">
        <v>10217</v>
      </c>
      <c r="M5007" t="s">
        <v>10231</v>
      </c>
      <c r="N5007" t="s">
        <v>10647</v>
      </c>
      <c r="P5007" t="s">
        <v>10752</v>
      </c>
      <c r="Q5007" t="s">
        <v>10762</v>
      </c>
      <c r="R5007" t="s">
        <v>10824</v>
      </c>
      <c r="T5007">
        <v>23400</v>
      </c>
      <c r="U5007">
        <v>1950</v>
      </c>
      <c r="V5007">
        <v>42</v>
      </c>
      <c r="W5007">
        <v>1</v>
      </c>
      <c r="X5007">
        <v>0</v>
      </c>
      <c r="Z5007">
        <v>187.35</v>
      </c>
      <c r="AA5007">
        <v>40.879164</v>
      </c>
      <c r="AB5007">
        <v>-73.838967</v>
      </c>
      <c r="AD5007" t="s">
        <v>10840</v>
      </c>
      <c r="AG5007" t="s">
        <v>10858</v>
      </c>
      <c r="AH5007" t="s">
        <v>10871</v>
      </c>
      <c r="AI5007">
        <v>234</v>
      </c>
      <c r="AJ5007" t="s">
        <v>10214</v>
      </c>
      <c r="AL5007">
        <v>0.7</v>
      </c>
      <c r="AM5007" t="s">
        <v>10893</v>
      </c>
      <c r="AN5007" t="s">
        <v>10956</v>
      </c>
      <c r="AO5007" t="s">
        <v>11010</v>
      </c>
      <c r="AP5007" t="s">
        <v>11085</v>
      </c>
      <c r="AR5007" t="s">
        <v>11257</v>
      </c>
      <c r="AS5007" t="s">
        <v>9926</v>
      </c>
      <c r="AT5007" t="s">
        <v>11642</v>
      </c>
      <c r="AX5007" t="s">
        <v>10838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</row>
    <row r="5008" spans="1:59">
      <c r="A5008" s="1">
        <f>HYPERLINK("https://lsnyc.legalserver.org/matter/dynamic-profile/view/1909229","19-1909229")</f>
        <v>0</v>
      </c>
      <c r="B5008" t="s">
        <v>3998</v>
      </c>
      <c r="C5008" t="s">
        <v>8819</v>
      </c>
      <c r="D5008" t="s">
        <v>9928</v>
      </c>
      <c r="E5008" t="s">
        <v>10075</v>
      </c>
      <c r="F5008">
        <v>11225</v>
      </c>
      <c r="G5008" t="s">
        <v>10093</v>
      </c>
      <c r="H5008" t="s">
        <v>10115</v>
      </c>
      <c r="I5008" t="s">
        <v>10168</v>
      </c>
      <c r="J5008" t="s">
        <v>10213</v>
      </c>
      <c r="K5008" t="s">
        <v>10217</v>
      </c>
      <c r="M5008" t="s">
        <v>10293</v>
      </c>
      <c r="N5008" t="s">
        <v>10644</v>
      </c>
      <c r="P5008" t="s">
        <v>10749</v>
      </c>
      <c r="Q5008" t="s">
        <v>10765</v>
      </c>
      <c r="R5008" t="s">
        <v>10824</v>
      </c>
      <c r="T5008">
        <v>15600</v>
      </c>
      <c r="U5008">
        <v>1300</v>
      </c>
      <c r="V5008">
        <v>70</v>
      </c>
      <c r="W5008">
        <v>1</v>
      </c>
      <c r="X5008">
        <v>2</v>
      </c>
      <c r="Z5008">
        <v>73.14</v>
      </c>
      <c r="AA5008">
        <v>40.661434</v>
      </c>
      <c r="AB5008">
        <v>-73.95863199999999</v>
      </c>
      <c r="AD5008" t="s">
        <v>10839</v>
      </c>
      <c r="AG5008" t="s">
        <v>10858</v>
      </c>
      <c r="AH5008" t="s">
        <v>10869</v>
      </c>
      <c r="AI5008">
        <v>239</v>
      </c>
      <c r="AJ5008" t="s">
        <v>10213</v>
      </c>
      <c r="AL5008">
        <v>1</v>
      </c>
      <c r="AM5008" t="s">
        <v>10888</v>
      </c>
      <c r="AN5008" t="s">
        <v>10912</v>
      </c>
      <c r="AO5008" t="s">
        <v>11005</v>
      </c>
      <c r="AP5008" t="s">
        <v>11050</v>
      </c>
      <c r="AR5008" t="s">
        <v>11268</v>
      </c>
      <c r="AS5008" t="s">
        <v>11595</v>
      </c>
      <c r="AT5008" t="s">
        <v>11641</v>
      </c>
      <c r="AW5008" t="s">
        <v>11645</v>
      </c>
      <c r="BA5008" t="s">
        <v>11740</v>
      </c>
      <c r="BB5008">
        <v>0</v>
      </c>
      <c r="BC5008">
        <v>0</v>
      </c>
      <c r="BD5008">
        <v>0</v>
      </c>
      <c r="BE5008">
        <v>0</v>
      </c>
      <c r="BF5008">
        <v>2</v>
      </c>
      <c r="BG5008">
        <v>0</v>
      </c>
    </row>
    <row r="5009" spans="1:59">
      <c r="A5009" s="1">
        <f>HYPERLINK("https://lsnyc.legalserver.org/matter/dynamic-profile/view/1909230","19-1909230")</f>
        <v>0</v>
      </c>
      <c r="B5009" t="s">
        <v>3999</v>
      </c>
      <c r="C5009" t="s">
        <v>8820</v>
      </c>
      <c r="D5009" t="s">
        <v>9926</v>
      </c>
      <c r="E5009" t="s">
        <v>10075</v>
      </c>
      <c r="F5009">
        <v>10467</v>
      </c>
      <c r="G5009" t="s">
        <v>10090</v>
      </c>
      <c r="H5009" t="s">
        <v>10115</v>
      </c>
      <c r="I5009" t="s">
        <v>10168</v>
      </c>
      <c r="J5009" t="s">
        <v>10210</v>
      </c>
      <c r="K5009" t="s">
        <v>10217</v>
      </c>
      <c r="M5009" t="s">
        <v>10353</v>
      </c>
      <c r="N5009" t="s">
        <v>10671</v>
      </c>
      <c r="P5009" t="s">
        <v>10751</v>
      </c>
      <c r="Q5009" t="s">
        <v>10761</v>
      </c>
      <c r="R5009" t="s">
        <v>10824</v>
      </c>
      <c r="T5009">
        <v>31200</v>
      </c>
      <c r="U5009">
        <v>2600</v>
      </c>
      <c r="V5009">
        <v>49</v>
      </c>
      <c r="W5009">
        <v>2</v>
      </c>
      <c r="X5009">
        <v>3</v>
      </c>
      <c r="Z5009">
        <v>103.41</v>
      </c>
      <c r="AA5009">
        <v>40.872693</v>
      </c>
      <c r="AB5009">
        <v>-73.863259</v>
      </c>
      <c r="AD5009" t="s">
        <v>10840</v>
      </c>
      <c r="AG5009" t="s">
        <v>10858</v>
      </c>
      <c r="AH5009" t="s">
        <v>10874</v>
      </c>
      <c r="AI5009">
        <v>230</v>
      </c>
      <c r="AJ5009" t="s">
        <v>10210</v>
      </c>
      <c r="AL5009">
        <v>0.25</v>
      </c>
      <c r="AM5009" t="s">
        <v>10893</v>
      </c>
      <c r="AN5009" t="s">
        <v>10956</v>
      </c>
      <c r="AO5009" t="s">
        <v>11010</v>
      </c>
      <c r="AP5009" t="s">
        <v>11085</v>
      </c>
      <c r="AR5009" t="s">
        <v>11257</v>
      </c>
      <c r="AS5009" t="s">
        <v>9926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</row>
    <row r="5010" spans="1:59">
      <c r="A5010" s="1">
        <f>HYPERLINK("https://lsnyc.legalserver.org/matter/dynamic-profile/view/1909231","19-1909231")</f>
        <v>0</v>
      </c>
      <c r="B5010" t="s">
        <v>3995</v>
      </c>
      <c r="C5010" t="s">
        <v>8815</v>
      </c>
      <c r="D5010" t="s">
        <v>9928</v>
      </c>
      <c r="E5010" t="s">
        <v>10075</v>
      </c>
      <c r="F5010">
        <v>11237</v>
      </c>
      <c r="G5010" t="s">
        <v>10093</v>
      </c>
      <c r="H5010" t="s">
        <v>10115</v>
      </c>
      <c r="I5010" t="s">
        <v>10169</v>
      </c>
      <c r="J5010" t="s">
        <v>10213</v>
      </c>
      <c r="K5010" t="s">
        <v>10217</v>
      </c>
      <c r="M5010" t="s">
        <v>10304</v>
      </c>
      <c r="N5010" t="s">
        <v>10671</v>
      </c>
      <c r="P5010" t="s">
        <v>10749</v>
      </c>
      <c r="Q5010" t="s">
        <v>10765</v>
      </c>
      <c r="R5010" t="s">
        <v>10821</v>
      </c>
      <c r="T5010">
        <v>44720</v>
      </c>
      <c r="U5010">
        <v>3726.67</v>
      </c>
      <c r="V5010">
        <v>45</v>
      </c>
      <c r="W5010">
        <v>3</v>
      </c>
      <c r="X5010">
        <v>1</v>
      </c>
      <c r="Z5010">
        <v>173.67</v>
      </c>
      <c r="AA5010">
        <v>40.695822</v>
      </c>
      <c r="AB5010">
        <v>-73.90789700000001</v>
      </c>
      <c r="AD5010" t="s">
        <v>10839</v>
      </c>
      <c r="AF5010" t="s">
        <v>10843</v>
      </c>
      <c r="AG5010" t="s">
        <v>10859</v>
      </c>
      <c r="AH5010" t="s">
        <v>10861</v>
      </c>
      <c r="AI5010">
        <v>234</v>
      </c>
      <c r="AJ5010" t="s">
        <v>10214</v>
      </c>
      <c r="AL5010">
        <v>0.5</v>
      </c>
      <c r="AR5010" t="s">
        <v>11272</v>
      </c>
      <c r="AS5010" t="s">
        <v>11595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</row>
    <row r="5011" spans="1:59">
      <c r="A5011" s="1">
        <f>HYPERLINK("https://lsnyc.legalserver.org/matter/dynamic-profile/view/1909232","19-1909232")</f>
        <v>0</v>
      </c>
      <c r="B5011" t="s">
        <v>4000</v>
      </c>
      <c r="C5011" t="s">
        <v>8821</v>
      </c>
      <c r="D5011" t="s">
        <v>9926</v>
      </c>
      <c r="E5011" t="s">
        <v>10075</v>
      </c>
      <c r="F5011">
        <v>10455</v>
      </c>
      <c r="G5011" t="s">
        <v>10091</v>
      </c>
      <c r="H5011" t="s">
        <v>10115</v>
      </c>
      <c r="I5011" t="s">
        <v>10169</v>
      </c>
      <c r="J5011" t="s">
        <v>10211</v>
      </c>
      <c r="K5011" t="s">
        <v>10217</v>
      </c>
      <c r="M5011" t="s">
        <v>10307</v>
      </c>
      <c r="N5011" t="s">
        <v>10671</v>
      </c>
      <c r="P5011" t="s">
        <v>10752</v>
      </c>
      <c r="Q5011" t="s">
        <v>10762</v>
      </c>
      <c r="R5011" t="s">
        <v>10821</v>
      </c>
      <c r="T5011">
        <v>23400</v>
      </c>
      <c r="U5011">
        <v>1950</v>
      </c>
      <c r="V5011">
        <v>35</v>
      </c>
      <c r="W5011">
        <v>1</v>
      </c>
      <c r="X5011">
        <v>0</v>
      </c>
      <c r="Z5011">
        <v>187.35</v>
      </c>
      <c r="AA5011">
        <v>40.818258</v>
      </c>
      <c r="AB5011">
        <v>-73.917255</v>
      </c>
      <c r="AD5011" t="s">
        <v>10840</v>
      </c>
      <c r="AG5011" t="s">
        <v>10858</v>
      </c>
      <c r="AH5011" t="s">
        <v>10871</v>
      </c>
      <c r="AI5011">
        <v>234</v>
      </c>
      <c r="AJ5011" t="s">
        <v>10214</v>
      </c>
      <c r="AL5011">
        <v>0.5</v>
      </c>
      <c r="AM5011" t="s">
        <v>10884</v>
      </c>
      <c r="AN5011" t="s">
        <v>10924</v>
      </c>
      <c r="AO5011" t="s">
        <v>11001</v>
      </c>
      <c r="AP5011" t="s">
        <v>11062</v>
      </c>
      <c r="AR5011" t="s">
        <v>11257</v>
      </c>
      <c r="AS5011" t="s">
        <v>9926</v>
      </c>
      <c r="AT5011" t="s">
        <v>11642</v>
      </c>
      <c r="AX5011" t="s">
        <v>10838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</row>
    <row r="5012" spans="1:59">
      <c r="A5012" s="1">
        <f>HYPERLINK("https://lsnyc.legalserver.org/matter/dynamic-profile/view/1909233","19-1909233")</f>
        <v>0</v>
      </c>
      <c r="B5012" t="s">
        <v>4001</v>
      </c>
      <c r="C5012" t="s">
        <v>8815</v>
      </c>
      <c r="D5012" t="s">
        <v>9928</v>
      </c>
      <c r="E5012" t="s">
        <v>10075</v>
      </c>
      <c r="F5012">
        <v>11237</v>
      </c>
      <c r="G5012" t="s">
        <v>10091</v>
      </c>
      <c r="H5012" t="s">
        <v>10115</v>
      </c>
      <c r="I5012" t="s">
        <v>10169</v>
      </c>
      <c r="J5012" t="s">
        <v>10214</v>
      </c>
      <c r="K5012" t="s">
        <v>10217</v>
      </c>
      <c r="M5012" t="s">
        <v>10537</v>
      </c>
      <c r="N5012" t="s">
        <v>10671</v>
      </c>
      <c r="P5012" t="s">
        <v>10753</v>
      </c>
      <c r="Q5012" t="s">
        <v>10763</v>
      </c>
      <c r="R5012" t="s">
        <v>10821</v>
      </c>
      <c r="T5012">
        <v>44720</v>
      </c>
      <c r="U5012">
        <v>3726.67</v>
      </c>
      <c r="V5012">
        <v>45</v>
      </c>
      <c r="W5012">
        <v>3</v>
      </c>
      <c r="X5012">
        <v>1</v>
      </c>
      <c r="Z5012">
        <v>173.67</v>
      </c>
      <c r="AA5012">
        <v>40.695822</v>
      </c>
      <c r="AB5012">
        <v>-73.90789700000001</v>
      </c>
      <c r="AC5012" t="s">
        <v>10838</v>
      </c>
      <c r="AD5012" t="s">
        <v>10840</v>
      </c>
      <c r="AF5012" t="s">
        <v>10843</v>
      </c>
      <c r="AG5012" t="s">
        <v>10859</v>
      </c>
      <c r="AH5012" t="s">
        <v>10861</v>
      </c>
      <c r="AI5012">
        <v>234</v>
      </c>
      <c r="AJ5012" t="s">
        <v>10214</v>
      </c>
      <c r="AL5012">
        <v>0.55</v>
      </c>
      <c r="AR5012" t="s">
        <v>11272</v>
      </c>
      <c r="AS5012" t="s">
        <v>11595</v>
      </c>
      <c r="AT5012" t="s">
        <v>11642</v>
      </c>
      <c r="AX5012" t="s">
        <v>10838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</row>
    <row r="5013" spans="1:59">
      <c r="A5013" s="1">
        <f>HYPERLINK("https://lsnyc.legalserver.org/matter/dynamic-profile/view/1909234","19-1909234")</f>
        <v>0</v>
      </c>
      <c r="B5013" t="s">
        <v>4002</v>
      </c>
      <c r="C5013" t="s">
        <v>8822</v>
      </c>
      <c r="D5013" t="s">
        <v>9926</v>
      </c>
      <c r="E5013" t="s">
        <v>10075</v>
      </c>
      <c r="F5013">
        <v>10468</v>
      </c>
      <c r="G5013" t="s">
        <v>10090</v>
      </c>
      <c r="H5013" t="s">
        <v>10115</v>
      </c>
      <c r="I5013" t="s">
        <v>10168</v>
      </c>
      <c r="J5013" t="s">
        <v>10210</v>
      </c>
      <c r="K5013" t="s">
        <v>10217</v>
      </c>
      <c r="M5013" t="s">
        <v>10349</v>
      </c>
      <c r="N5013" t="s">
        <v>10651</v>
      </c>
      <c r="P5013" t="s">
        <v>10749</v>
      </c>
      <c r="Q5013" t="s">
        <v>10765</v>
      </c>
      <c r="R5013" t="s">
        <v>10821</v>
      </c>
      <c r="T5013">
        <v>27560</v>
      </c>
      <c r="U5013">
        <v>2296.67</v>
      </c>
      <c r="V5013">
        <v>38</v>
      </c>
      <c r="W5013">
        <v>2</v>
      </c>
      <c r="X5013">
        <v>3</v>
      </c>
      <c r="Z5013">
        <v>91.34999999999999</v>
      </c>
      <c r="AA5013">
        <v>40.872646</v>
      </c>
      <c r="AB5013">
        <v>-73.90173299999999</v>
      </c>
      <c r="AD5013" t="s">
        <v>10840</v>
      </c>
      <c r="AG5013" t="s">
        <v>10858</v>
      </c>
      <c r="AH5013" t="s">
        <v>10862</v>
      </c>
      <c r="AI5013">
        <v>230</v>
      </c>
      <c r="AJ5013" t="s">
        <v>10210</v>
      </c>
      <c r="AL5013">
        <v>2</v>
      </c>
      <c r="AM5013" t="s">
        <v>10887</v>
      </c>
      <c r="AN5013" t="s">
        <v>10907</v>
      </c>
      <c r="AO5013" t="s">
        <v>11000</v>
      </c>
      <c r="AP5013" t="s">
        <v>11045</v>
      </c>
      <c r="AR5013" t="s">
        <v>11257</v>
      </c>
      <c r="AS5013" t="s">
        <v>9926</v>
      </c>
      <c r="AT5013" t="s">
        <v>11642</v>
      </c>
      <c r="BA5013" t="s">
        <v>11738</v>
      </c>
      <c r="BB5013">
        <v>0</v>
      </c>
      <c r="BC5013">
        <v>0</v>
      </c>
      <c r="BD5013">
        <v>0</v>
      </c>
      <c r="BE5013">
        <v>0</v>
      </c>
      <c r="BF5013">
        <v>5</v>
      </c>
      <c r="BG5013">
        <v>0</v>
      </c>
    </row>
    <row r="5014" spans="1:59">
      <c r="A5014" s="1">
        <f>HYPERLINK("https://lsnyc.legalserver.org/matter/dynamic-profile/view/1909235","19-1909235")</f>
        <v>0</v>
      </c>
      <c r="B5014" t="s">
        <v>4003</v>
      </c>
      <c r="C5014" t="s">
        <v>8172</v>
      </c>
      <c r="D5014" t="s">
        <v>9926</v>
      </c>
      <c r="E5014" t="s">
        <v>10075</v>
      </c>
      <c r="F5014">
        <v>10463</v>
      </c>
      <c r="G5014" t="s">
        <v>10090</v>
      </c>
      <c r="H5014" t="s">
        <v>10115</v>
      </c>
      <c r="I5014" t="s">
        <v>10168</v>
      </c>
      <c r="J5014" t="s">
        <v>10210</v>
      </c>
      <c r="K5014" t="s">
        <v>10217</v>
      </c>
      <c r="M5014" t="s">
        <v>10438</v>
      </c>
      <c r="N5014" t="s">
        <v>10690</v>
      </c>
      <c r="P5014" t="s">
        <v>10750</v>
      </c>
      <c r="Q5014" t="s">
        <v>10779</v>
      </c>
      <c r="R5014" t="s">
        <v>10820</v>
      </c>
      <c r="T5014">
        <v>0</v>
      </c>
      <c r="U5014">
        <v>0</v>
      </c>
      <c r="V5014">
        <v>36</v>
      </c>
      <c r="W5014">
        <v>1</v>
      </c>
      <c r="X5014">
        <v>0</v>
      </c>
      <c r="Z5014">
        <v>0</v>
      </c>
      <c r="AA5014">
        <v>40.870924</v>
      </c>
      <c r="AB5014">
        <v>-73.904089</v>
      </c>
      <c r="AC5014" t="s">
        <v>10837</v>
      </c>
      <c r="AD5014" t="s">
        <v>10840</v>
      </c>
      <c r="AG5014" t="s">
        <v>10858</v>
      </c>
      <c r="AH5014" t="s">
        <v>10861</v>
      </c>
      <c r="AI5014">
        <v>234</v>
      </c>
      <c r="AJ5014" t="s">
        <v>10214</v>
      </c>
      <c r="AL5014">
        <v>2</v>
      </c>
      <c r="AM5014" t="s">
        <v>10887</v>
      </c>
      <c r="AN5014" t="s">
        <v>10907</v>
      </c>
      <c r="AO5014" t="s">
        <v>11000</v>
      </c>
      <c r="AP5014" t="s">
        <v>11045</v>
      </c>
      <c r="AR5014" t="s">
        <v>11267</v>
      </c>
      <c r="AS5014" t="s">
        <v>9926</v>
      </c>
      <c r="AT5014" t="s">
        <v>11642</v>
      </c>
      <c r="AX5014" t="s">
        <v>10837</v>
      </c>
      <c r="BA5014" t="s">
        <v>11742</v>
      </c>
      <c r="BB5014">
        <v>0</v>
      </c>
      <c r="BC5014">
        <v>0</v>
      </c>
      <c r="BD5014">
        <v>0</v>
      </c>
      <c r="BE5014">
        <v>0</v>
      </c>
      <c r="BF5014">
        <v>7</v>
      </c>
      <c r="BG5014">
        <v>0</v>
      </c>
    </row>
    <row r="5015" spans="1:59">
      <c r="A5015" s="1">
        <f>HYPERLINK("https://lsnyc.legalserver.org/matter/dynamic-profile/view/1909236","19-1909236")</f>
        <v>0</v>
      </c>
      <c r="B5015" t="s">
        <v>4004</v>
      </c>
      <c r="C5015" t="s">
        <v>8823</v>
      </c>
      <c r="D5015" t="s">
        <v>9928</v>
      </c>
      <c r="E5015" t="s">
        <v>10075</v>
      </c>
      <c r="F5015">
        <v>11225</v>
      </c>
      <c r="G5015" t="s">
        <v>10093</v>
      </c>
      <c r="H5015" t="s">
        <v>10115</v>
      </c>
      <c r="I5015" t="s">
        <v>10168</v>
      </c>
      <c r="J5015" t="s">
        <v>10213</v>
      </c>
      <c r="K5015" t="s">
        <v>10217</v>
      </c>
      <c r="M5015" t="s">
        <v>10621</v>
      </c>
      <c r="N5015" t="s">
        <v>10667</v>
      </c>
      <c r="P5015" t="s">
        <v>10749</v>
      </c>
      <c r="Q5015" t="s">
        <v>10765</v>
      </c>
      <c r="R5015" t="s">
        <v>10824</v>
      </c>
      <c r="T5015">
        <v>14400</v>
      </c>
      <c r="U5015">
        <v>1200</v>
      </c>
      <c r="V5015">
        <v>27</v>
      </c>
      <c r="W5015">
        <v>1</v>
      </c>
      <c r="X5015">
        <v>1</v>
      </c>
      <c r="Z5015">
        <v>85.16</v>
      </c>
      <c r="AA5015">
        <v>40.662813</v>
      </c>
      <c r="AB5015">
        <v>-73.94727899999999</v>
      </c>
      <c r="AD5015" t="s">
        <v>10839</v>
      </c>
      <c r="AF5015" t="s">
        <v>10843</v>
      </c>
      <c r="AG5015" t="s">
        <v>10859</v>
      </c>
      <c r="AH5015" t="s">
        <v>10871</v>
      </c>
      <c r="AI5015">
        <v>234</v>
      </c>
      <c r="AJ5015" t="s">
        <v>10214</v>
      </c>
      <c r="AL5015">
        <v>8.9</v>
      </c>
      <c r="AM5015" t="s">
        <v>10888</v>
      </c>
      <c r="AN5015" t="s">
        <v>10912</v>
      </c>
      <c r="AO5015" t="s">
        <v>11005</v>
      </c>
      <c r="AP5015" t="s">
        <v>11050</v>
      </c>
      <c r="AR5015" t="s">
        <v>11257</v>
      </c>
      <c r="AS5015" t="s">
        <v>11595</v>
      </c>
      <c r="AT5015" t="s">
        <v>11641</v>
      </c>
      <c r="AX5015" t="s">
        <v>10838</v>
      </c>
      <c r="BA5015" t="s">
        <v>11738</v>
      </c>
      <c r="BB5015">
        <v>0</v>
      </c>
      <c r="BC5015">
        <v>0</v>
      </c>
      <c r="BD5015">
        <v>0</v>
      </c>
      <c r="BE5015">
        <v>0</v>
      </c>
      <c r="BF5015">
        <v>5</v>
      </c>
      <c r="BG5015">
        <v>0</v>
      </c>
    </row>
    <row r="5016" spans="1:59">
      <c r="A5016" s="1">
        <f>HYPERLINK("https://lsnyc.legalserver.org/matter/dynamic-profile/view/1909237","19-1909237")</f>
        <v>0</v>
      </c>
      <c r="B5016" t="s">
        <v>772</v>
      </c>
      <c r="C5016" t="s">
        <v>8824</v>
      </c>
      <c r="D5016" t="s">
        <v>9938</v>
      </c>
      <c r="E5016" t="s">
        <v>10075</v>
      </c>
      <c r="F5016">
        <v>11436</v>
      </c>
      <c r="G5016" t="s">
        <v>10092</v>
      </c>
      <c r="H5016" t="s">
        <v>10115</v>
      </c>
      <c r="I5016" t="s">
        <v>10169</v>
      </c>
      <c r="J5016" t="s">
        <v>10212</v>
      </c>
      <c r="K5016" t="s">
        <v>10217</v>
      </c>
      <c r="M5016" t="s">
        <v>10294</v>
      </c>
      <c r="N5016" t="s">
        <v>10678</v>
      </c>
      <c r="P5016" t="s">
        <v>10749</v>
      </c>
      <c r="Q5016" t="s">
        <v>10769</v>
      </c>
      <c r="R5016" t="s">
        <v>10823</v>
      </c>
      <c r="T5016">
        <v>29724</v>
      </c>
      <c r="U5016">
        <v>2477</v>
      </c>
      <c r="V5016">
        <v>81</v>
      </c>
      <c r="W5016">
        <v>2</v>
      </c>
      <c r="X5016">
        <v>0</v>
      </c>
      <c r="Z5016">
        <v>175.78</v>
      </c>
      <c r="AA5016">
        <v>40.681813</v>
      </c>
      <c r="AB5016">
        <v>-73.801714</v>
      </c>
      <c r="AD5016" t="s">
        <v>10839</v>
      </c>
      <c r="AG5016" t="s">
        <v>10858</v>
      </c>
      <c r="AH5016" t="s">
        <v>10860</v>
      </c>
      <c r="AI5016">
        <v>237</v>
      </c>
      <c r="AJ5016" t="s">
        <v>10212</v>
      </c>
      <c r="AL5016">
        <v>1.9</v>
      </c>
      <c r="AM5016" t="s">
        <v>10892</v>
      </c>
      <c r="AN5016" t="s">
        <v>10951</v>
      </c>
      <c r="AO5016" t="s">
        <v>11017</v>
      </c>
      <c r="AP5016" t="s">
        <v>11070</v>
      </c>
      <c r="AR5016" t="s">
        <v>11370</v>
      </c>
      <c r="AS5016" t="s">
        <v>11594</v>
      </c>
      <c r="AT5016" t="s">
        <v>11641</v>
      </c>
      <c r="AX5016" t="s">
        <v>10838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</row>
    <row r="5017" spans="1:59">
      <c r="A5017" s="1">
        <f>HYPERLINK("https://lsnyc.legalserver.org/matter/dynamic-profile/view/1909238","19-1909238")</f>
        <v>0</v>
      </c>
      <c r="B5017" t="s">
        <v>4002</v>
      </c>
      <c r="C5017" t="s">
        <v>8822</v>
      </c>
      <c r="D5017" t="s">
        <v>9926</v>
      </c>
      <c r="E5017" t="s">
        <v>10075</v>
      </c>
      <c r="F5017">
        <v>10468</v>
      </c>
      <c r="G5017" t="s">
        <v>10090</v>
      </c>
      <c r="H5017" t="s">
        <v>10115</v>
      </c>
      <c r="I5017" t="s">
        <v>10168</v>
      </c>
      <c r="J5017" t="s">
        <v>10210</v>
      </c>
      <c r="K5017" t="s">
        <v>10217</v>
      </c>
      <c r="M5017" t="s">
        <v>10353</v>
      </c>
      <c r="N5017" t="s">
        <v>10671</v>
      </c>
      <c r="P5017" t="s">
        <v>10751</v>
      </c>
      <c r="Q5017" t="s">
        <v>10761</v>
      </c>
      <c r="R5017" t="s">
        <v>10821</v>
      </c>
      <c r="T5017">
        <v>27560</v>
      </c>
      <c r="U5017">
        <v>2296.67</v>
      </c>
      <c r="V5017">
        <v>38</v>
      </c>
      <c r="W5017">
        <v>2</v>
      </c>
      <c r="X5017">
        <v>3</v>
      </c>
      <c r="Z5017">
        <v>91.34999999999999</v>
      </c>
      <c r="AA5017">
        <v>40.872646</v>
      </c>
      <c r="AB5017">
        <v>-73.90173299999999</v>
      </c>
      <c r="AD5017" t="s">
        <v>10840</v>
      </c>
      <c r="AG5017" t="s">
        <v>10858</v>
      </c>
      <c r="AH5017" t="s">
        <v>10862</v>
      </c>
      <c r="AI5017">
        <v>230</v>
      </c>
      <c r="AJ5017" t="s">
        <v>10210</v>
      </c>
      <c r="AL5017">
        <v>0.5</v>
      </c>
      <c r="AR5017" t="s">
        <v>11257</v>
      </c>
      <c r="AS5017" t="s">
        <v>9926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</row>
    <row r="5018" spans="1:59">
      <c r="A5018" s="1">
        <f>HYPERLINK("https://lsnyc.legalserver.org/matter/dynamic-profile/view/1909239","19-1909239")</f>
        <v>0</v>
      </c>
      <c r="B5018" t="s">
        <v>1407</v>
      </c>
      <c r="C5018" t="s">
        <v>8825</v>
      </c>
      <c r="D5018" t="s">
        <v>10009</v>
      </c>
      <c r="E5018" t="s">
        <v>10075</v>
      </c>
      <c r="F5018">
        <v>11419</v>
      </c>
      <c r="G5018" t="s">
        <v>10092</v>
      </c>
      <c r="H5018" t="s">
        <v>10115</v>
      </c>
      <c r="I5018" t="s">
        <v>10169</v>
      </c>
      <c r="J5018" t="s">
        <v>10212</v>
      </c>
      <c r="K5018" t="s">
        <v>10217</v>
      </c>
      <c r="M5018" t="s">
        <v>10486</v>
      </c>
      <c r="N5018" t="s">
        <v>10673</v>
      </c>
      <c r="P5018" t="s">
        <v>10753</v>
      </c>
      <c r="Q5018" t="s">
        <v>10763</v>
      </c>
      <c r="R5018" t="s">
        <v>10823</v>
      </c>
      <c r="T5018">
        <v>0</v>
      </c>
      <c r="U5018">
        <v>0</v>
      </c>
      <c r="V5018">
        <v>36</v>
      </c>
      <c r="W5018">
        <v>1</v>
      </c>
      <c r="X5018">
        <v>0</v>
      </c>
      <c r="Z5018">
        <v>0</v>
      </c>
      <c r="AA5018">
        <v>40.691486</v>
      </c>
      <c r="AB5018">
        <v>-73.829735</v>
      </c>
      <c r="AD5018" t="s">
        <v>10839</v>
      </c>
      <c r="AF5018" t="s">
        <v>10842</v>
      </c>
      <c r="AG5018" t="s">
        <v>10859</v>
      </c>
      <c r="AH5018" t="s">
        <v>10864</v>
      </c>
      <c r="AI5018">
        <v>237</v>
      </c>
      <c r="AJ5018" t="s">
        <v>10212</v>
      </c>
      <c r="AL5018">
        <v>2.22</v>
      </c>
      <c r="AM5018" t="s">
        <v>10892</v>
      </c>
      <c r="AN5018" t="s">
        <v>10944</v>
      </c>
      <c r="AO5018" t="s">
        <v>11017</v>
      </c>
      <c r="AP5018" t="s">
        <v>11070</v>
      </c>
      <c r="AQ5018" t="s">
        <v>11109</v>
      </c>
      <c r="AR5018" t="s">
        <v>11267</v>
      </c>
      <c r="AS5018" t="s">
        <v>11594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</row>
    <row r="5019" spans="1:59">
      <c r="A5019" s="1">
        <f>HYPERLINK("https://lsnyc.legalserver.org/matter/dynamic-profile/view/1909240","19-1909240")</f>
        <v>0</v>
      </c>
      <c r="B5019" t="s">
        <v>4005</v>
      </c>
      <c r="C5019" t="s">
        <v>8826</v>
      </c>
      <c r="D5019" t="s">
        <v>9977</v>
      </c>
      <c r="E5019" t="s">
        <v>10075</v>
      </c>
      <c r="F5019">
        <v>11361</v>
      </c>
      <c r="G5019" t="s">
        <v>10092</v>
      </c>
      <c r="H5019" t="s">
        <v>10115</v>
      </c>
      <c r="I5019" t="s">
        <v>10189</v>
      </c>
      <c r="J5019" t="s">
        <v>10212</v>
      </c>
      <c r="K5019" t="s">
        <v>10217</v>
      </c>
      <c r="M5019" t="s">
        <v>10282</v>
      </c>
      <c r="N5019" t="s">
        <v>10674</v>
      </c>
      <c r="P5019" t="s">
        <v>10753</v>
      </c>
      <c r="Q5019" t="s">
        <v>10763</v>
      </c>
      <c r="R5019" t="s">
        <v>10827</v>
      </c>
      <c r="T5019">
        <v>15000</v>
      </c>
      <c r="U5019">
        <v>1250</v>
      </c>
      <c r="V5019">
        <v>40</v>
      </c>
      <c r="W5019">
        <v>1</v>
      </c>
      <c r="X5019">
        <v>2</v>
      </c>
      <c r="Z5019">
        <v>70.31999999999999</v>
      </c>
      <c r="AA5019">
        <v>40.753395</v>
      </c>
      <c r="AB5019">
        <v>-73.778092</v>
      </c>
      <c r="AD5019" t="s">
        <v>10839</v>
      </c>
      <c r="AF5019" t="s">
        <v>10857</v>
      </c>
      <c r="AG5019" t="s">
        <v>10859</v>
      </c>
      <c r="AH5019" t="s">
        <v>10864</v>
      </c>
      <c r="AI5019">
        <v>237</v>
      </c>
      <c r="AJ5019" t="s">
        <v>10212</v>
      </c>
      <c r="AL5019">
        <v>3.7</v>
      </c>
      <c r="AM5019" t="s">
        <v>10890</v>
      </c>
      <c r="AN5019" t="s">
        <v>10934</v>
      </c>
      <c r="AO5019" t="s">
        <v>11022</v>
      </c>
      <c r="AP5019" t="s">
        <v>11080</v>
      </c>
      <c r="AQ5019" t="s">
        <v>11109</v>
      </c>
      <c r="AR5019" t="s">
        <v>11257</v>
      </c>
      <c r="AS5019" t="s">
        <v>11594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</row>
    <row r="5020" spans="1:59">
      <c r="A5020" s="1">
        <f>HYPERLINK("https://lsnyc.legalserver.org/matter/dynamic-profile/view/1909241","19-1909241")</f>
        <v>0</v>
      </c>
      <c r="B5020" t="s">
        <v>4006</v>
      </c>
      <c r="C5020" t="s">
        <v>7830</v>
      </c>
      <c r="D5020" t="s">
        <v>9928</v>
      </c>
      <c r="E5020" t="s">
        <v>10075</v>
      </c>
      <c r="F5020">
        <v>11212</v>
      </c>
      <c r="G5020" t="s">
        <v>10093</v>
      </c>
      <c r="H5020" t="s">
        <v>10115</v>
      </c>
      <c r="I5020" t="s">
        <v>10168</v>
      </c>
      <c r="J5020" t="s">
        <v>10213</v>
      </c>
      <c r="K5020" t="s">
        <v>10217</v>
      </c>
      <c r="M5020" t="s">
        <v>10371</v>
      </c>
      <c r="N5020" t="s">
        <v>10650</v>
      </c>
      <c r="P5020" t="s">
        <v>10749</v>
      </c>
      <c r="Q5020" t="s">
        <v>10765</v>
      </c>
      <c r="R5020" t="s">
        <v>10824</v>
      </c>
      <c r="T5020">
        <v>7020</v>
      </c>
      <c r="U5020">
        <v>585</v>
      </c>
      <c r="V5020">
        <v>61</v>
      </c>
      <c r="W5020">
        <v>1</v>
      </c>
      <c r="X5020">
        <v>0</v>
      </c>
      <c r="Z5020">
        <v>56.2</v>
      </c>
      <c r="AA5020">
        <v>40.658891</v>
      </c>
      <c r="AB5020">
        <v>-73.920922</v>
      </c>
      <c r="AC5020" t="s">
        <v>10838</v>
      </c>
      <c r="AD5020" t="s">
        <v>10839</v>
      </c>
      <c r="AG5020" t="s">
        <v>10858</v>
      </c>
      <c r="AH5020" t="s">
        <v>10862</v>
      </c>
      <c r="AI5020">
        <v>239</v>
      </c>
      <c r="AJ5020" t="s">
        <v>10213</v>
      </c>
      <c r="AL5020">
        <v>0</v>
      </c>
      <c r="AM5020" t="s">
        <v>10888</v>
      </c>
      <c r="AN5020" t="s">
        <v>10925</v>
      </c>
      <c r="AO5020" t="s">
        <v>11005</v>
      </c>
      <c r="AP5020" t="s">
        <v>11064</v>
      </c>
      <c r="AR5020" t="s">
        <v>11344</v>
      </c>
      <c r="AS5020" t="s">
        <v>11595</v>
      </c>
      <c r="AT5020" t="s">
        <v>11641</v>
      </c>
      <c r="BA5020" t="s">
        <v>11740</v>
      </c>
      <c r="BB5020">
        <v>0</v>
      </c>
      <c r="BC5020">
        <v>0</v>
      </c>
      <c r="BD5020">
        <v>0</v>
      </c>
      <c r="BE5020">
        <v>0</v>
      </c>
      <c r="BF5020">
        <v>2</v>
      </c>
      <c r="BG5020">
        <v>0</v>
      </c>
    </row>
    <row r="5021" spans="1:59">
      <c r="A5021" s="1">
        <f>HYPERLINK("https://lsnyc.legalserver.org/matter/dynamic-profile/view/1909242","19-1909242")</f>
        <v>0</v>
      </c>
      <c r="B5021" t="s">
        <v>4007</v>
      </c>
      <c r="C5021" t="s">
        <v>7995</v>
      </c>
      <c r="D5021" t="s">
        <v>9928</v>
      </c>
      <c r="E5021" t="s">
        <v>10075</v>
      </c>
      <c r="F5021">
        <v>11232</v>
      </c>
      <c r="G5021" t="s">
        <v>10093</v>
      </c>
      <c r="H5021" t="s">
        <v>10115</v>
      </c>
      <c r="I5021" t="s">
        <v>10169</v>
      </c>
      <c r="J5021" t="s">
        <v>10213</v>
      </c>
      <c r="K5021" t="s">
        <v>10217</v>
      </c>
      <c r="M5021" t="s">
        <v>10420</v>
      </c>
      <c r="N5021" t="s">
        <v>10679</v>
      </c>
      <c r="P5021" t="s">
        <v>10753</v>
      </c>
      <c r="Q5021" t="s">
        <v>10763</v>
      </c>
      <c r="R5021" t="s">
        <v>10823</v>
      </c>
      <c r="T5021">
        <v>0</v>
      </c>
      <c r="U5021">
        <v>0</v>
      </c>
      <c r="V5021">
        <v>16</v>
      </c>
      <c r="W5021">
        <v>1</v>
      </c>
      <c r="X5021">
        <v>2</v>
      </c>
      <c r="Z5021">
        <v>0</v>
      </c>
      <c r="AA5021">
        <v>40.649435</v>
      </c>
      <c r="AB5021">
        <v>-74.003441</v>
      </c>
      <c r="AD5021" t="s">
        <v>10840</v>
      </c>
      <c r="AF5021" t="s">
        <v>10842</v>
      </c>
      <c r="AG5021" t="s">
        <v>10859</v>
      </c>
      <c r="AH5021" t="s">
        <v>10864</v>
      </c>
      <c r="AI5021">
        <v>239</v>
      </c>
      <c r="AJ5021" t="s">
        <v>10213</v>
      </c>
      <c r="AL5021">
        <v>5</v>
      </c>
      <c r="AM5021" t="s">
        <v>10886</v>
      </c>
      <c r="AN5021" t="s">
        <v>10921</v>
      </c>
      <c r="AO5021" t="s">
        <v>11015</v>
      </c>
      <c r="AP5021" t="s">
        <v>11069</v>
      </c>
      <c r="AQ5021" t="s">
        <v>11119</v>
      </c>
      <c r="AR5021" t="s">
        <v>11267</v>
      </c>
      <c r="AS5021" t="s">
        <v>11595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</row>
    <row r="5022" spans="1:59">
      <c r="A5022" s="1">
        <f>HYPERLINK("https://lsnyc.legalserver.org/matter/dynamic-profile/view/1909243","19-1909243")</f>
        <v>0</v>
      </c>
      <c r="B5022" t="s">
        <v>4008</v>
      </c>
      <c r="C5022" t="s">
        <v>8827</v>
      </c>
      <c r="D5022" t="s">
        <v>9926</v>
      </c>
      <c r="E5022" t="s">
        <v>10075</v>
      </c>
      <c r="F5022">
        <v>10472</v>
      </c>
      <c r="G5022" t="s">
        <v>10090</v>
      </c>
      <c r="H5022" t="s">
        <v>10115</v>
      </c>
      <c r="I5022" t="s">
        <v>10169</v>
      </c>
      <c r="J5022" t="s">
        <v>10210</v>
      </c>
      <c r="K5022" t="s">
        <v>10217</v>
      </c>
      <c r="M5022" t="s">
        <v>10338</v>
      </c>
      <c r="N5022" t="s">
        <v>10671</v>
      </c>
      <c r="P5022" t="s">
        <v>10753</v>
      </c>
      <c r="Q5022" t="s">
        <v>10763</v>
      </c>
      <c r="R5022" t="s">
        <v>10821</v>
      </c>
      <c r="T5022">
        <v>10400</v>
      </c>
      <c r="U5022">
        <v>866.67</v>
      </c>
      <c r="V5022">
        <v>26</v>
      </c>
      <c r="W5022">
        <v>1</v>
      </c>
      <c r="X5022">
        <v>0</v>
      </c>
      <c r="Z5022">
        <v>83.27</v>
      </c>
      <c r="AA5022">
        <v>40.830645</v>
      </c>
      <c r="AB5022">
        <v>-73.853255</v>
      </c>
      <c r="AD5022" t="s">
        <v>10839</v>
      </c>
      <c r="AF5022" t="s">
        <v>10842</v>
      </c>
      <c r="AG5022" t="s">
        <v>10859</v>
      </c>
      <c r="AH5022" t="s">
        <v>10862</v>
      </c>
      <c r="AI5022">
        <v>239</v>
      </c>
      <c r="AJ5022" t="s">
        <v>10213</v>
      </c>
      <c r="AL5022">
        <v>1.55</v>
      </c>
      <c r="AM5022" t="s">
        <v>10884</v>
      </c>
      <c r="AN5022" t="s">
        <v>10908</v>
      </c>
      <c r="AO5022" t="s">
        <v>11002</v>
      </c>
      <c r="AP5022" t="s">
        <v>11046</v>
      </c>
      <c r="AQ5022" t="s">
        <v>11204</v>
      </c>
      <c r="AR5022" t="s">
        <v>11257</v>
      </c>
      <c r="AS5022" t="s">
        <v>9926</v>
      </c>
      <c r="AT5022" t="s">
        <v>11641</v>
      </c>
      <c r="AW5022" t="s">
        <v>11675</v>
      </c>
      <c r="AX5022" t="s">
        <v>10837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</row>
    <row r="5023" spans="1:59">
      <c r="A5023" s="1">
        <f>HYPERLINK("https://lsnyc.legalserver.org/matter/dynamic-profile/view/1909244","19-1909244")</f>
        <v>0</v>
      </c>
      <c r="B5023" t="s">
        <v>4009</v>
      </c>
      <c r="C5023" t="s">
        <v>8828</v>
      </c>
      <c r="D5023" t="s">
        <v>9936</v>
      </c>
      <c r="E5023" t="s">
        <v>10075</v>
      </c>
      <c r="F5023">
        <v>11106</v>
      </c>
      <c r="G5023" t="s">
        <v>10093</v>
      </c>
      <c r="H5023" t="s">
        <v>10155</v>
      </c>
      <c r="I5023" t="s">
        <v>10168</v>
      </c>
      <c r="J5023" t="s">
        <v>10213</v>
      </c>
      <c r="K5023" t="s">
        <v>10217</v>
      </c>
      <c r="M5023" t="s">
        <v>10309</v>
      </c>
      <c r="N5023" t="s">
        <v>10662</v>
      </c>
      <c r="P5023" t="s">
        <v>10753</v>
      </c>
      <c r="Q5023" t="s">
        <v>10763</v>
      </c>
      <c r="R5023" t="s">
        <v>10827</v>
      </c>
      <c r="T5023">
        <v>0</v>
      </c>
      <c r="U5023">
        <v>0</v>
      </c>
      <c r="V5023">
        <v>54</v>
      </c>
      <c r="W5023">
        <v>1</v>
      </c>
      <c r="X5023">
        <v>0</v>
      </c>
      <c r="Z5023">
        <v>0</v>
      </c>
      <c r="AA5023">
        <v>40.756881</v>
      </c>
      <c r="AB5023">
        <v>-73.927643</v>
      </c>
      <c r="AD5023" t="s">
        <v>10839</v>
      </c>
      <c r="AF5023" t="s">
        <v>10842</v>
      </c>
      <c r="AG5023" t="s">
        <v>10859</v>
      </c>
      <c r="AH5023" t="s">
        <v>10868</v>
      </c>
      <c r="AI5023">
        <v>239</v>
      </c>
      <c r="AJ5023" t="s">
        <v>10213</v>
      </c>
      <c r="AL5023">
        <v>9.199999999999999</v>
      </c>
      <c r="AM5023" t="s">
        <v>10891</v>
      </c>
      <c r="AN5023" t="s">
        <v>10935</v>
      </c>
      <c r="AO5023" t="s">
        <v>11003</v>
      </c>
      <c r="AP5023" t="s">
        <v>11047</v>
      </c>
      <c r="AR5023" t="s">
        <v>11267</v>
      </c>
      <c r="AS5023" t="s">
        <v>11594</v>
      </c>
      <c r="AT5023" t="s">
        <v>11641</v>
      </c>
      <c r="AW5023" t="s">
        <v>11675</v>
      </c>
      <c r="AX5023" t="s">
        <v>10837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</row>
    <row r="5024" spans="1:59">
      <c r="A5024" s="1">
        <f>HYPERLINK("https://lsnyc.legalserver.org/matter/dynamic-profile/view/1909245","19-1909245")</f>
        <v>0</v>
      </c>
      <c r="B5024" t="s">
        <v>4010</v>
      </c>
      <c r="C5024" t="s">
        <v>8251</v>
      </c>
      <c r="D5024" t="s">
        <v>9928</v>
      </c>
      <c r="E5024" t="s">
        <v>10075</v>
      </c>
      <c r="F5024">
        <v>11219</v>
      </c>
      <c r="G5024" t="s">
        <v>10093</v>
      </c>
      <c r="H5024" t="s">
        <v>10115</v>
      </c>
      <c r="I5024" t="s">
        <v>10168</v>
      </c>
      <c r="J5024" t="s">
        <v>10213</v>
      </c>
      <c r="K5024" t="s">
        <v>10217</v>
      </c>
      <c r="M5024" t="s">
        <v>10239</v>
      </c>
      <c r="N5024" t="s">
        <v>10650</v>
      </c>
      <c r="P5024" t="s">
        <v>10749</v>
      </c>
      <c r="Q5024" t="s">
        <v>10765</v>
      </c>
      <c r="R5024" t="s">
        <v>10821</v>
      </c>
      <c r="T5024">
        <v>40920</v>
      </c>
      <c r="U5024">
        <v>3410</v>
      </c>
      <c r="V5024">
        <v>45</v>
      </c>
      <c r="W5024">
        <v>2</v>
      </c>
      <c r="X5024">
        <v>1</v>
      </c>
      <c r="Z5024">
        <v>191.84</v>
      </c>
      <c r="AA5024">
        <v>40.640894</v>
      </c>
      <c r="AB5024">
        <v>-73.992346</v>
      </c>
      <c r="AD5024" t="s">
        <v>10839</v>
      </c>
      <c r="AG5024" t="s">
        <v>10858</v>
      </c>
      <c r="AH5024" t="s">
        <v>10862</v>
      </c>
      <c r="AI5024">
        <v>239</v>
      </c>
      <c r="AJ5024" t="s">
        <v>10213</v>
      </c>
      <c r="AL5024">
        <v>0</v>
      </c>
      <c r="AM5024" t="s">
        <v>10894</v>
      </c>
      <c r="AN5024" t="s">
        <v>10941</v>
      </c>
      <c r="AO5024" t="s">
        <v>11015</v>
      </c>
      <c r="AP5024" t="s">
        <v>11059</v>
      </c>
      <c r="AR5024" t="s">
        <v>11295</v>
      </c>
      <c r="AS5024" t="s">
        <v>11595</v>
      </c>
      <c r="AT5024" t="s">
        <v>11641</v>
      </c>
      <c r="BA5024" t="s">
        <v>11738</v>
      </c>
      <c r="BB5024">
        <v>0</v>
      </c>
      <c r="BC5024">
        <v>0</v>
      </c>
      <c r="BD5024">
        <v>0</v>
      </c>
      <c r="BE5024">
        <v>0</v>
      </c>
      <c r="BF5024">
        <v>5</v>
      </c>
      <c r="BG5024">
        <v>0</v>
      </c>
    </row>
    <row r="5025" spans="1:59">
      <c r="A5025" s="1">
        <f>HYPERLINK("https://lsnyc.legalserver.org/matter/dynamic-profile/view/1909246","19-1909246")</f>
        <v>0</v>
      </c>
      <c r="B5025" t="s">
        <v>1648</v>
      </c>
      <c r="C5025" t="s">
        <v>6607</v>
      </c>
      <c r="D5025" t="s">
        <v>9938</v>
      </c>
      <c r="E5025" t="s">
        <v>10075</v>
      </c>
      <c r="F5025">
        <v>11432</v>
      </c>
      <c r="G5025" t="s">
        <v>10093</v>
      </c>
      <c r="H5025" t="s">
        <v>10099</v>
      </c>
      <c r="I5025" t="s">
        <v>10169</v>
      </c>
      <c r="J5025" t="s">
        <v>10213</v>
      </c>
      <c r="K5025" t="s">
        <v>10217</v>
      </c>
      <c r="M5025" t="s">
        <v>10378</v>
      </c>
      <c r="N5025" t="s">
        <v>10662</v>
      </c>
      <c r="P5025" t="s">
        <v>10753</v>
      </c>
      <c r="Q5025" t="s">
        <v>10763</v>
      </c>
      <c r="R5025" t="s">
        <v>10821</v>
      </c>
      <c r="T5025">
        <v>7396</v>
      </c>
      <c r="U5025">
        <v>616.33</v>
      </c>
      <c r="V5025">
        <v>37</v>
      </c>
      <c r="W5025">
        <v>1</v>
      </c>
      <c r="X5025">
        <v>0</v>
      </c>
      <c r="Z5025">
        <v>59.22</v>
      </c>
      <c r="AA5025">
        <v>40.705204</v>
      </c>
      <c r="AB5025">
        <v>-73.800642</v>
      </c>
      <c r="AD5025" t="s">
        <v>10839</v>
      </c>
      <c r="AF5025" t="s">
        <v>10846</v>
      </c>
      <c r="AG5025" t="s">
        <v>10859</v>
      </c>
      <c r="AH5025" t="s">
        <v>10862</v>
      </c>
      <c r="AI5025">
        <v>239</v>
      </c>
      <c r="AJ5025" t="s">
        <v>10213</v>
      </c>
      <c r="AL5025">
        <v>3.25</v>
      </c>
      <c r="AM5025" t="s">
        <v>10892</v>
      </c>
      <c r="AN5025" t="s">
        <v>10951</v>
      </c>
      <c r="AO5025" t="s">
        <v>11020</v>
      </c>
      <c r="AP5025" t="s">
        <v>11081</v>
      </c>
      <c r="AR5025" t="s">
        <v>11372</v>
      </c>
      <c r="AS5025" t="s">
        <v>11594</v>
      </c>
      <c r="AT5025" t="s">
        <v>11641</v>
      </c>
      <c r="AW5025" t="s">
        <v>11675</v>
      </c>
      <c r="AX5025" t="s">
        <v>10837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</row>
    <row r="5026" spans="1:59">
      <c r="A5026" s="1">
        <f>HYPERLINK("https://lsnyc.legalserver.org/matter/dynamic-profile/view/1909247","19-1909247")</f>
        <v>0</v>
      </c>
      <c r="B5026" t="s">
        <v>4011</v>
      </c>
      <c r="C5026" t="s">
        <v>8829</v>
      </c>
      <c r="D5026" t="s">
        <v>9928</v>
      </c>
      <c r="E5026" t="s">
        <v>10075</v>
      </c>
      <c r="F5026">
        <v>11221</v>
      </c>
      <c r="G5026" t="s">
        <v>10093</v>
      </c>
      <c r="H5026" t="s">
        <v>10155</v>
      </c>
      <c r="I5026" t="s">
        <v>10168</v>
      </c>
      <c r="J5026" t="s">
        <v>10213</v>
      </c>
      <c r="K5026" t="s">
        <v>10217</v>
      </c>
      <c r="M5026" t="s">
        <v>10531</v>
      </c>
      <c r="N5026" t="s">
        <v>10667</v>
      </c>
      <c r="P5026" t="s">
        <v>10749</v>
      </c>
      <c r="Q5026" t="s">
        <v>10765</v>
      </c>
      <c r="R5026" t="s">
        <v>10824</v>
      </c>
      <c r="T5026">
        <v>0</v>
      </c>
      <c r="U5026">
        <v>0</v>
      </c>
      <c r="V5026">
        <v>40</v>
      </c>
      <c r="W5026">
        <v>2</v>
      </c>
      <c r="X5026">
        <v>0</v>
      </c>
      <c r="Z5026">
        <v>0</v>
      </c>
      <c r="AA5026">
        <v>40.686912</v>
      </c>
      <c r="AB5026">
        <v>-73.920011</v>
      </c>
      <c r="AD5026" t="s">
        <v>10839</v>
      </c>
      <c r="AG5026" t="s">
        <v>10858</v>
      </c>
      <c r="AH5026" t="s">
        <v>10862</v>
      </c>
      <c r="AI5026">
        <v>239</v>
      </c>
      <c r="AJ5026" t="s">
        <v>10213</v>
      </c>
      <c r="AL5026">
        <v>2.1</v>
      </c>
      <c r="AM5026" t="s">
        <v>10889</v>
      </c>
      <c r="AN5026" t="s">
        <v>10922</v>
      </c>
      <c r="AO5026" t="s">
        <v>11007</v>
      </c>
      <c r="AP5026" t="s">
        <v>11064</v>
      </c>
      <c r="AQ5026" t="s">
        <v>11101</v>
      </c>
      <c r="AR5026" t="s">
        <v>11267</v>
      </c>
      <c r="AS5026" t="s">
        <v>11595</v>
      </c>
      <c r="BA5026" t="s">
        <v>11738</v>
      </c>
      <c r="BB5026">
        <v>0</v>
      </c>
      <c r="BC5026">
        <v>0</v>
      </c>
      <c r="BD5026">
        <v>0</v>
      </c>
      <c r="BE5026">
        <v>0</v>
      </c>
      <c r="BF5026">
        <v>5</v>
      </c>
      <c r="BG5026">
        <v>0</v>
      </c>
    </row>
    <row r="5027" spans="1:59">
      <c r="A5027" s="1">
        <f>HYPERLINK("https://lsnyc.legalserver.org/matter/dynamic-profile/view/1909248","19-1909248")</f>
        <v>0</v>
      </c>
      <c r="B5027" t="s">
        <v>4011</v>
      </c>
      <c r="C5027" t="s">
        <v>8829</v>
      </c>
      <c r="D5027" t="s">
        <v>9928</v>
      </c>
      <c r="E5027" t="s">
        <v>10075</v>
      </c>
      <c r="F5027">
        <v>11221</v>
      </c>
      <c r="G5027" t="s">
        <v>10093</v>
      </c>
      <c r="H5027" t="s">
        <v>10155</v>
      </c>
      <c r="I5027" t="s">
        <v>10168</v>
      </c>
      <c r="J5027" t="s">
        <v>10213</v>
      </c>
      <c r="K5027" t="s">
        <v>10217</v>
      </c>
      <c r="M5027" t="s">
        <v>10426</v>
      </c>
      <c r="N5027" t="s">
        <v>10668</v>
      </c>
      <c r="P5027" t="s">
        <v>10751</v>
      </c>
      <c r="Q5027" t="s">
        <v>10761</v>
      </c>
      <c r="R5027" t="s">
        <v>10824</v>
      </c>
      <c r="T5027">
        <v>0</v>
      </c>
      <c r="U5027">
        <v>0</v>
      </c>
      <c r="V5027">
        <v>40</v>
      </c>
      <c r="W5027">
        <v>2</v>
      </c>
      <c r="X5027">
        <v>0</v>
      </c>
      <c r="Z5027">
        <v>0</v>
      </c>
      <c r="AA5027">
        <v>40.686912</v>
      </c>
      <c r="AB5027">
        <v>-73.920011</v>
      </c>
      <c r="AD5027" t="s">
        <v>10839</v>
      </c>
      <c r="AG5027" t="s">
        <v>10858</v>
      </c>
      <c r="AH5027" t="s">
        <v>10862</v>
      </c>
      <c r="AI5027">
        <v>239</v>
      </c>
      <c r="AJ5027" t="s">
        <v>10213</v>
      </c>
      <c r="AL5027">
        <v>0.8</v>
      </c>
      <c r="AM5027" t="s">
        <v>10889</v>
      </c>
      <c r="AN5027" t="s">
        <v>10922</v>
      </c>
      <c r="AO5027" t="s">
        <v>11007</v>
      </c>
      <c r="AP5027" t="s">
        <v>11064</v>
      </c>
      <c r="AR5027" t="s">
        <v>11267</v>
      </c>
      <c r="AS5027" t="s">
        <v>11595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</row>
    <row r="5028" spans="1:59">
      <c r="A5028" s="1">
        <f>HYPERLINK("https://lsnyc.legalserver.org/matter/dynamic-profile/view/1909249","19-1909249")</f>
        <v>0</v>
      </c>
      <c r="B5028" t="s">
        <v>4012</v>
      </c>
      <c r="C5028" t="s">
        <v>8830</v>
      </c>
      <c r="D5028" t="s">
        <v>9926</v>
      </c>
      <c r="E5028" t="s">
        <v>10075</v>
      </c>
      <c r="F5028">
        <v>10473</v>
      </c>
      <c r="G5028" t="s">
        <v>10089</v>
      </c>
      <c r="H5028" t="s">
        <v>10155</v>
      </c>
      <c r="I5028" t="s">
        <v>10168</v>
      </c>
      <c r="J5028" t="s">
        <v>10209</v>
      </c>
      <c r="K5028" t="s">
        <v>10217</v>
      </c>
      <c r="M5028" t="s">
        <v>10490</v>
      </c>
      <c r="N5028" t="s">
        <v>10718</v>
      </c>
      <c r="P5028" t="s">
        <v>10750</v>
      </c>
      <c r="Q5028" t="s">
        <v>10760</v>
      </c>
      <c r="R5028" t="s">
        <v>10820</v>
      </c>
      <c r="T5028">
        <v>15000</v>
      </c>
      <c r="U5028">
        <v>1250</v>
      </c>
      <c r="V5028">
        <v>30</v>
      </c>
      <c r="W5028">
        <v>1</v>
      </c>
      <c r="X5028">
        <v>2</v>
      </c>
      <c r="Z5028">
        <v>70.31999999999999</v>
      </c>
      <c r="AA5028">
        <v>40.821519</v>
      </c>
      <c r="AB5028">
        <v>-73.852692</v>
      </c>
      <c r="AD5028" t="s">
        <v>10839</v>
      </c>
      <c r="AG5028" t="s">
        <v>10858</v>
      </c>
      <c r="AH5028" t="s">
        <v>10861</v>
      </c>
      <c r="AI5028">
        <v>234</v>
      </c>
      <c r="AJ5028" t="s">
        <v>10214</v>
      </c>
      <c r="AL5028">
        <v>2.15</v>
      </c>
      <c r="AM5028" t="s">
        <v>10884</v>
      </c>
      <c r="AN5028" t="s">
        <v>10908</v>
      </c>
      <c r="AO5028" t="s">
        <v>11002</v>
      </c>
      <c r="AP5028" t="s">
        <v>11046</v>
      </c>
      <c r="AR5028" t="s">
        <v>11257</v>
      </c>
      <c r="AS5028" t="s">
        <v>9926</v>
      </c>
      <c r="AT5028" t="s">
        <v>11641</v>
      </c>
      <c r="AX5028" t="s">
        <v>10838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</row>
    <row r="5029" spans="1:59">
      <c r="A5029" s="1">
        <f>HYPERLINK("https://lsnyc.legalserver.org/matter/dynamic-profile/view/1909250","19-1909250")</f>
        <v>0</v>
      </c>
      <c r="B5029" t="s">
        <v>3042</v>
      </c>
      <c r="C5029" t="s">
        <v>8831</v>
      </c>
      <c r="D5029" t="s">
        <v>9928</v>
      </c>
      <c r="E5029" t="s">
        <v>10075</v>
      </c>
      <c r="F5029">
        <v>11234</v>
      </c>
      <c r="G5029" t="s">
        <v>10093</v>
      </c>
      <c r="H5029" t="s">
        <v>10155</v>
      </c>
      <c r="I5029" t="s">
        <v>10168</v>
      </c>
      <c r="J5029" t="s">
        <v>10213</v>
      </c>
      <c r="K5029" t="s">
        <v>10217</v>
      </c>
      <c r="M5029" t="s">
        <v>10280</v>
      </c>
      <c r="N5029" t="s">
        <v>10671</v>
      </c>
      <c r="P5029" t="s">
        <v>10751</v>
      </c>
      <c r="Q5029" t="s">
        <v>10768</v>
      </c>
      <c r="R5029" t="s">
        <v>10820</v>
      </c>
      <c r="T5029">
        <v>22000</v>
      </c>
      <c r="U5029">
        <v>1833.33</v>
      </c>
      <c r="V5029">
        <v>51</v>
      </c>
      <c r="W5029">
        <v>2</v>
      </c>
      <c r="X5029">
        <v>2</v>
      </c>
      <c r="Z5029">
        <v>85.44</v>
      </c>
      <c r="AA5029">
        <v>40.61047</v>
      </c>
      <c r="AB5029">
        <v>-73.912165</v>
      </c>
      <c r="AD5029" t="s">
        <v>10840</v>
      </c>
      <c r="AG5029" t="s">
        <v>10858</v>
      </c>
      <c r="AH5029" t="s">
        <v>10871</v>
      </c>
      <c r="AI5029">
        <v>234</v>
      </c>
      <c r="AJ5029" t="s">
        <v>10214</v>
      </c>
      <c r="AL5029">
        <v>0.66</v>
      </c>
      <c r="AM5029" t="s">
        <v>10889</v>
      </c>
      <c r="AN5029" t="s">
        <v>10959</v>
      </c>
      <c r="AO5029" t="s">
        <v>11012</v>
      </c>
      <c r="AP5029" t="s">
        <v>11072</v>
      </c>
      <c r="AR5029" t="s">
        <v>11262</v>
      </c>
      <c r="AS5029" t="s">
        <v>11595</v>
      </c>
      <c r="AT5029" t="s">
        <v>11642</v>
      </c>
      <c r="AX5029" t="s">
        <v>10838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</row>
    <row r="5030" spans="1:59">
      <c r="A5030" s="1">
        <f>HYPERLINK("https://lsnyc.legalserver.org/matter/dynamic-profile/view/1909251","19-1909251")</f>
        <v>0</v>
      </c>
      <c r="B5030" t="s">
        <v>3967</v>
      </c>
      <c r="C5030" t="s">
        <v>8783</v>
      </c>
      <c r="D5030" t="s">
        <v>9928</v>
      </c>
      <c r="E5030" t="s">
        <v>10075</v>
      </c>
      <c r="F5030">
        <v>11203</v>
      </c>
      <c r="G5030" t="s">
        <v>10093</v>
      </c>
      <c r="H5030" t="s">
        <v>10155</v>
      </c>
      <c r="J5030" t="s">
        <v>10213</v>
      </c>
      <c r="K5030" t="s">
        <v>10217</v>
      </c>
      <c r="M5030" t="s">
        <v>10378</v>
      </c>
      <c r="N5030" t="s">
        <v>10698</v>
      </c>
      <c r="P5030" t="s">
        <v>10749</v>
      </c>
      <c r="Q5030" t="s">
        <v>10765</v>
      </c>
      <c r="R5030" t="s">
        <v>10824</v>
      </c>
      <c r="T5030">
        <v>3900</v>
      </c>
      <c r="U5030">
        <v>325</v>
      </c>
      <c r="V5030">
        <v>41</v>
      </c>
      <c r="W5030">
        <v>1</v>
      </c>
      <c r="X5030">
        <v>0</v>
      </c>
      <c r="Z5030">
        <v>31.22</v>
      </c>
      <c r="AA5030">
        <v>40.650773</v>
      </c>
      <c r="AB5030">
        <v>-73.945579</v>
      </c>
      <c r="AD5030" t="s">
        <v>10840</v>
      </c>
      <c r="AF5030" t="s">
        <v>10842</v>
      </c>
      <c r="AG5030" t="s">
        <v>10859</v>
      </c>
      <c r="AH5030" t="s">
        <v>10868</v>
      </c>
      <c r="AI5030">
        <v>239</v>
      </c>
      <c r="AJ5030" t="s">
        <v>10213</v>
      </c>
      <c r="AL5030">
        <v>2.25</v>
      </c>
      <c r="AM5030" t="s">
        <v>10888</v>
      </c>
      <c r="AN5030" t="s">
        <v>10932</v>
      </c>
      <c r="AO5030" t="s">
        <v>11008</v>
      </c>
      <c r="AP5030" t="s">
        <v>11065</v>
      </c>
      <c r="AR5030" t="s">
        <v>11255</v>
      </c>
      <c r="AS5030" t="s">
        <v>11595</v>
      </c>
      <c r="AT5030" t="s">
        <v>11642</v>
      </c>
      <c r="AX5030" t="s">
        <v>10837</v>
      </c>
      <c r="BA5030" t="s">
        <v>11742</v>
      </c>
      <c r="BB5030">
        <v>0</v>
      </c>
      <c r="BC5030">
        <v>0</v>
      </c>
      <c r="BD5030">
        <v>0</v>
      </c>
      <c r="BE5030">
        <v>0</v>
      </c>
      <c r="BF5030">
        <v>7</v>
      </c>
      <c r="BG5030">
        <v>0</v>
      </c>
    </row>
    <row r="5031" spans="1:59">
      <c r="A5031" s="1">
        <f>HYPERLINK("https://lsnyc.legalserver.org/matter/dynamic-profile/view/1909252","19-1909252")</f>
        <v>0</v>
      </c>
      <c r="B5031" t="s">
        <v>4013</v>
      </c>
      <c r="C5031" t="s">
        <v>8832</v>
      </c>
      <c r="D5031" t="s">
        <v>9928</v>
      </c>
      <c r="E5031" t="s">
        <v>10075</v>
      </c>
      <c r="F5031">
        <v>11221</v>
      </c>
      <c r="G5031" t="s">
        <v>10093</v>
      </c>
      <c r="H5031" t="s">
        <v>10155</v>
      </c>
      <c r="J5031" t="s">
        <v>10213</v>
      </c>
      <c r="K5031" t="s">
        <v>10217</v>
      </c>
      <c r="M5031" t="s">
        <v>10526</v>
      </c>
      <c r="N5031" t="s">
        <v>10657</v>
      </c>
      <c r="P5031" t="s">
        <v>10752</v>
      </c>
      <c r="Q5031" t="s">
        <v>10805</v>
      </c>
      <c r="R5031" t="s">
        <v>10824</v>
      </c>
      <c r="T5031">
        <v>10536</v>
      </c>
      <c r="U5031">
        <v>878</v>
      </c>
      <c r="V5031">
        <v>77</v>
      </c>
      <c r="W5031">
        <v>1</v>
      </c>
      <c r="X5031">
        <v>0</v>
      </c>
      <c r="Z5031">
        <v>84.36</v>
      </c>
      <c r="AA5031">
        <v>40.687297</v>
      </c>
      <c r="AB5031">
        <v>-73.9431</v>
      </c>
      <c r="AD5031" t="s">
        <v>10839</v>
      </c>
      <c r="AG5031" t="s">
        <v>10858</v>
      </c>
      <c r="AH5031" t="s">
        <v>10861</v>
      </c>
      <c r="AI5031">
        <v>239</v>
      </c>
      <c r="AJ5031" t="s">
        <v>10213</v>
      </c>
      <c r="AL5031">
        <v>0.5</v>
      </c>
      <c r="AM5031" t="s">
        <v>10889</v>
      </c>
      <c r="AN5031" t="s">
        <v>10914</v>
      </c>
      <c r="AO5031" t="s">
        <v>11007</v>
      </c>
      <c r="AP5031" t="s">
        <v>11052</v>
      </c>
      <c r="AR5031" t="s">
        <v>11253</v>
      </c>
      <c r="AS5031" t="s">
        <v>11595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</row>
    <row r="5032" spans="1:59">
      <c r="A5032" s="1">
        <f>HYPERLINK("https://lsnyc.legalserver.org/matter/dynamic-profile/view/1909253","19-1909253")</f>
        <v>0</v>
      </c>
      <c r="B5032" t="s">
        <v>1804</v>
      </c>
      <c r="C5032" t="s">
        <v>8691</v>
      </c>
      <c r="D5032" t="s">
        <v>9925</v>
      </c>
      <c r="E5032" t="s">
        <v>10075</v>
      </c>
      <c r="F5032">
        <v>10009</v>
      </c>
      <c r="G5032" t="s">
        <v>10089</v>
      </c>
      <c r="H5032" t="s">
        <v>10160</v>
      </c>
      <c r="I5032" t="s">
        <v>10169</v>
      </c>
      <c r="J5032" t="s">
        <v>10209</v>
      </c>
      <c r="K5032" t="s">
        <v>10217</v>
      </c>
      <c r="M5032" t="s">
        <v>10270</v>
      </c>
      <c r="N5032" t="s">
        <v>10670</v>
      </c>
      <c r="P5032" t="s">
        <v>10754</v>
      </c>
      <c r="Q5032" t="s">
        <v>10766</v>
      </c>
      <c r="R5032" t="s">
        <v>10821</v>
      </c>
      <c r="T5032">
        <v>0</v>
      </c>
      <c r="U5032">
        <v>0</v>
      </c>
      <c r="V5032">
        <v>33</v>
      </c>
      <c r="W5032">
        <v>1</v>
      </c>
      <c r="X5032">
        <v>3</v>
      </c>
      <c r="Z5032">
        <v>0</v>
      </c>
      <c r="AA5032">
        <v>40.725542</v>
      </c>
      <c r="AB5032">
        <v>-73.974194</v>
      </c>
      <c r="AD5032" t="s">
        <v>10839</v>
      </c>
      <c r="AF5032" t="s">
        <v>10842</v>
      </c>
      <c r="AG5032" t="s">
        <v>10859</v>
      </c>
      <c r="AH5032" t="s">
        <v>10865</v>
      </c>
      <c r="AI5032">
        <v>236</v>
      </c>
      <c r="AJ5032" t="s">
        <v>10209</v>
      </c>
      <c r="AK5032" t="s">
        <v>10837</v>
      </c>
      <c r="AL5032">
        <v>0.5</v>
      </c>
      <c r="AM5032" t="s">
        <v>10886</v>
      </c>
      <c r="AN5032" t="s">
        <v>10910</v>
      </c>
      <c r="AO5032" t="s">
        <v>11021</v>
      </c>
      <c r="AP5032" t="s">
        <v>11048</v>
      </c>
      <c r="AQ5032" t="s">
        <v>11175</v>
      </c>
      <c r="AR5032" t="s">
        <v>11267</v>
      </c>
      <c r="AS5032" t="s">
        <v>9925</v>
      </c>
      <c r="AT5032" t="s">
        <v>11641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</row>
    <row r="5033" spans="1:59">
      <c r="A5033" s="1">
        <f>HYPERLINK("https://lsnyc.legalserver.org/matter/dynamic-profile/view/1909254","19-1909254")</f>
        <v>0</v>
      </c>
      <c r="B5033" t="s">
        <v>4014</v>
      </c>
      <c r="C5033" t="s">
        <v>8833</v>
      </c>
      <c r="D5033" t="s">
        <v>9926</v>
      </c>
      <c r="E5033" t="s">
        <v>10075</v>
      </c>
      <c r="F5033">
        <v>10470</v>
      </c>
      <c r="G5033" t="s">
        <v>10090</v>
      </c>
      <c r="H5033" t="s">
        <v>10155</v>
      </c>
      <c r="I5033" t="s">
        <v>10168</v>
      </c>
      <c r="J5033" t="s">
        <v>10215</v>
      </c>
      <c r="K5033" t="s">
        <v>10217</v>
      </c>
      <c r="M5033" t="s">
        <v>10262</v>
      </c>
      <c r="N5033" t="s">
        <v>10666</v>
      </c>
      <c r="P5033" t="s">
        <v>10749</v>
      </c>
      <c r="Q5033" t="s">
        <v>10765</v>
      </c>
      <c r="R5033" t="s">
        <v>10824</v>
      </c>
      <c r="T5033">
        <v>31200</v>
      </c>
      <c r="U5033">
        <v>2600</v>
      </c>
      <c r="V5033">
        <v>36</v>
      </c>
      <c r="W5033">
        <v>3</v>
      </c>
      <c r="X5033">
        <v>2</v>
      </c>
      <c r="Z5033">
        <v>103.41</v>
      </c>
      <c r="AA5033">
        <v>40.89945</v>
      </c>
      <c r="AB5033">
        <v>-73.85567399999999</v>
      </c>
      <c r="AD5033" t="s">
        <v>10839</v>
      </c>
      <c r="AG5033" t="s">
        <v>10858</v>
      </c>
      <c r="AH5033" t="s">
        <v>10862</v>
      </c>
      <c r="AI5033">
        <v>231</v>
      </c>
      <c r="AJ5033" t="s">
        <v>10215</v>
      </c>
      <c r="AL5033">
        <v>0.3</v>
      </c>
      <c r="AM5033" t="s">
        <v>10893</v>
      </c>
      <c r="AN5033" t="s">
        <v>10919</v>
      </c>
      <c r="AO5033" t="s">
        <v>11010</v>
      </c>
      <c r="AP5033" t="s">
        <v>11057</v>
      </c>
      <c r="AR5033" t="s">
        <v>11257</v>
      </c>
      <c r="AS5033" t="s">
        <v>9926</v>
      </c>
      <c r="AT5033" t="s">
        <v>11641</v>
      </c>
      <c r="AV5033" t="s">
        <v>11641</v>
      </c>
      <c r="AW5033" t="s">
        <v>11667</v>
      </c>
      <c r="AX5033" t="s">
        <v>10838</v>
      </c>
      <c r="BA5033" t="s">
        <v>11741</v>
      </c>
      <c r="BB5033">
        <v>0</v>
      </c>
      <c r="BC5033">
        <v>0</v>
      </c>
      <c r="BD5033">
        <v>0</v>
      </c>
      <c r="BE5033">
        <v>0</v>
      </c>
      <c r="BF5033">
        <v>1</v>
      </c>
      <c r="BG5033">
        <v>0</v>
      </c>
    </row>
    <row r="5034" spans="1:59">
      <c r="A5034" s="1">
        <f>HYPERLINK("https://lsnyc.legalserver.org/matter/dynamic-profile/view/1909255","19-1909255")</f>
        <v>0</v>
      </c>
      <c r="B5034" t="s">
        <v>4015</v>
      </c>
      <c r="C5034" t="s">
        <v>8834</v>
      </c>
      <c r="D5034" t="s">
        <v>9928</v>
      </c>
      <c r="E5034" t="s">
        <v>10075</v>
      </c>
      <c r="F5034">
        <v>11233</v>
      </c>
      <c r="G5034" t="s">
        <v>10093</v>
      </c>
      <c r="H5034" t="s">
        <v>10155</v>
      </c>
      <c r="I5034" t="s">
        <v>10168</v>
      </c>
      <c r="J5034" t="s">
        <v>10213</v>
      </c>
      <c r="K5034" t="s">
        <v>10217</v>
      </c>
      <c r="M5034" t="s">
        <v>10405</v>
      </c>
      <c r="N5034" t="s">
        <v>10650</v>
      </c>
      <c r="P5034" t="s">
        <v>10749</v>
      </c>
      <c r="Q5034" t="s">
        <v>10765</v>
      </c>
      <c r="R5034" t="s">
        <v>10826</v>
      </c>
      <c r="T5034">
        <v>18395</v>
      </c>
      <c r="U5034">
        <v>1532.92</v>
      </c>
      <c r="V5034">
        <v>29</v>
      </c>
      <c r="W5034">
        <v>1</v>
      </c>
      <c r="X5034">
        <v>0</v>
      </c>
      <c r="Z5034">
        <v>147.28</v>
      </c>
      <c r="AA5034">
        <v>40.671161</v>
      </c>
      <c r="AB5034">
        <v>-73.914489</v>
      </c>
      <c r="AC5034" t="s">
        <v>10837</v>
      </c>
      <c r="AD5034" t="s">
        <v>10839</v>
      </c>
      <c r="AG5034" t="s">
        <v>10858</v>
      </c>
      <c r="AH5034" t="s">
        <v>10861</v>
      </c>
      <c r="AI5034">
        <v>234</v>
      </c>
      <c r="AJ5034" t="s">
        <v>10214</v>
      </c>
      <c r="AL5034">
        <v>0.7</v>
      </c>
      <c r="AM5034" t="s">
        <v>10888</v>
      </c>
      <c r="AN5034" t="s">
        <v>10922</v>
      </c>
      <c r="AO5034" t="s">
        <v>11005</v>
      </c>
      <c r="AP5034" t="s">
        <v>11064</v>
      </c>
      <c r="AR5034" t="s">
        <v>11257</v>
      </c>
      <c r="AS5034" t="s">
        <v>11595</v>
      </c>
      <c r="AT5034" t="s">
        <v>11641</v>
      </c>
      <c r="AX5034" t="s">
        <v>10837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</row>
    <row r="5035" spans="1:59">
      <c r="A5035" s="1">
        <f>HYPERLINK("https://lsnyc.legalserver.org/matter/dynamic-profile/view/1909256","19-1909256")</f>
        <v>0</v>
      </c>
      <c r="B5035" t="s">
        <v>4016</v>
      </c>
      <c r="C5035" t="s">
        <v>8835</v>
      </c>
      <c r="D5035" t="s">
        <v>9928</v>
      </c>
      <c r="E5035" t="s">
        <v>10075</v>
      </c>
      <c r="F5035">
        <v>11210</v>
      </c>
      <c r="G5035" t="s">
        <v>10093</v>
      </c>
      <c r="H5035" t="s">
        <v>10155</v>
      </c>
      <c r="I5035" t="s">
        <v>10168</v>
      </c>
      <c r="J5035" t="s">
        <v>10213</v>
      </c>
      <c r="K5035" t="s">
        <v>10217</v>
      </c>
      <c r="M5035" t="s">
        <v>10405</v>
      </c>
      <c r="N5035" t="s">
        <v>10671</v>
      </c>
      <c r="P5035" t="s">
        <v>10749</v>
      </c>
      <c r="Q5035" t="s">
        <v>10765</v>
      </c>
      <c r="R5035" t="s">
        <v>10824</v>
      </c>
      <c r="T5035">
        <v>36704</v>
      </c>
      <c r="U5035">
        <v>3058.67</v>
      </c>
      <c r="V5035">
        <v>45</v>
      </c>
      <c r="W5035">
        <v>2</v>
      </c>
      <c r="X5035">
        <v>1</v>
      </c>
      <c r="Z5035">
        <v>172.08</v>
      </c>
      <c r="AA5035">
        <v>40.626056</v>
      </c>
      <c r="AB5035">
        <v>-73.941051</v>
      </c>
      <c r="AD5035" t="s">
        <v>10839</v>
      </c>
      <c r="AG5035" t="s">
        <v>10858</v>
      </c>
      <c r="AH5035" t="s">
        <v>10861</v>
      </c>
      <c r="AI5035">
        <v>234</v>
      </c>
      <c r="AJ5035" t="s">
        <v>10214</v>
      </c>
      <c r="AL5035">
        <v>0.7</v>
      </c>
      <c r="AM5035" t="s">
        <v>10888</v>
      </c>
      <c r="AN5035" t="s">
        <v>10957</v>
      </c>
      <c r="AO5035" t="s">
        <v>11008</v>
      </c>
      <c r="AP5035" t="s">
        <v>11065</v>
      </c>
      <c r="AR5035" t="s">
        <v>11549</v>
      </c>
      <c r="AS5035" t="s">
        <v>11595</v>
      </c>
      <c r="AT5035" t="s">
        <v>10822</v>
      </c>
      <c r="AX5035" t="s">
        <v>10838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</row>
    <row r="5036" spans="1:59">
      <c r="A5036" s="1">
        <f>HYPERLINK("https://lsnyc.legalserver.org/matter/dynamic-profile/view/1909257","19-1909257")</f>
        <v>0</v>
      </c>
      <c r="B5036" t="s">
        <v>4017</v>
      </c>
      <c r="C5036" t="s">
        <v>8836</v>
      </c>
      <c r="D5036" t="s">
        <v>9928</v>
      </c>
      <c r="E5036" t="s">
        <v>10075</v>
      </c>
      <c r="F5036">
        <v>11221</v>
      </c>
      <c r="G5036" t="s">
        <v>10093</v>
      </c>
      <c r="H5036" t="s">
        <v>10155</v>
      </c>
      <c r="I5036" t="s">
        <v>10168</v>
      </c>
      <c r="J5036" t="s">
        <v>10213</v>
      </c>
      <c r="K5036" t="s">
        <v>10217</v>
      </c>
      <c r="M5036" t="s">
        <v>10494</v>
      </c>
      <c r="N5036" t="s">
        <v>10667</v>
      </c>
      <c r="P5036" t="s">
        <v>10749</v>
      </c>
      <c r="Q5036" t="s">
        <v>10765</v>
      </c>
      <c r="R5036" t="s">
        <v>10824</v>
      </c>
      <c r="T5036">
        <v>0</v>
      </c>
      <c r="U5036">
        <v>0</v>
      </c>
      <c r="V5036">
        <v>51</v>
      </c>
      <c r="W5036">
        <v>1</v>
      </c>
      <c r="X5036">
        <v>0</v>
      </c>
      <c r="Z5036">
        <v>0</v>
      </c>
      <c r="AA5036">
        <v>40.688229</v>
      </c>
      <c r="AB5036">
        <v>-73.914787</v>
      </c>
      <c r="AD5036" t="s">
        <v>10822</v>
      </c>
      <c r="AG5036" t="s">
        <v>10858</v>
      </c>
      <c r="AH5036" t="s">
        <v>10862</v>
      </c>
      <c r="AI5036">
        <v>239</v>
      </c>
      <c r="AJ5036" t="s">
        <v>10213</v>
      </c>
      <c r="AL5036">
        <v>3.1</v>
      </c>
      <c r="AM5036" t="s">
        <v>10889</v>
      </c>
      <c r="AN5036" t="s">
        <v>10920</v>
      </c>
      <c r="AO5036" t="s">
        <v>11011</v>
      </c>
      <c r="AP5036" t="s">
        <v>11058</v>
      </c>
      <c r="AQ5036" t="s">
        <v>11101</v>
      </c>
      <c r="AR5036" t="s">
        <v>11267</v>
      </c>
      <c r="AS5036" t="s">
        <v>11595</v>
      </c>
      <c r="BA5036" t="s">
        <v>11738</v>
      </c>
      <c r="BB5036">
        <v>0</v>
      </c>
      <c r="BC5036">
        <v>0</v>
      </c>
      <c r="BD5036">
        <v>0</v>
      </c>
      <c r="BE5036">
        <v>0</v>
      </c>
      <c r="BF5036">
        <v>5</v>
      </c>
      <c r="BG5036">
        <v>0</v>
      </c>
    </row>
    <row r="5037" spans="1:59">
      <c r="A5037" s="1">
        <f>HYPERLINK("https://lsnyc.legalserver.org/matter/dynamic-profile/view/1909258","19-1909258")</f>
        <v>0</v>
      </c>
      <c r="B5037" t="s">
        <v>4018</v>
      </c>
      <c r="C5037" t="s">
        <v>8837</v>
      </c>
      <c r="D5037" t="s">
        <v>9928</v>
      </c>
      <c r="E5037" t="s">
        <v>10075</v>
      </c>
      <c r="F5037">
        <v>11218</v>
      </c>
      <c r="G5037" t="s">
        <v>10093</v>
      </c>
      <c r="H5037" t="s">
        <v>10155</v>
      </c>
      <c r="I5037" t="s">
        <v>10171</v>
      </c>
      <c r="J5037" t="s">
        <v>10213</v>
      </c>
      <c r="K5037" t="s">
        <v>10218</v>
      </c>
      <c r="L5037" t="s">
        <v>10155</v>
      </c>
      <c r="M5037" t="s">
        <v>10507</v>
      </c>
      <c r="N5037" t="s">
        <v>10664</v>
      </c>
      <c r="P5037" t="s">
        <v>10749</v>
      </c>
      <c r="Q5037" t="s">
        <v>10765</v>
      </c>
      <c r="R5037" t="s">
        <v>10820</v>
      </c>
      <c r="T5037">
        <v>6228</v>
      </c>
      <c r="U5037">
        <v>519</v>
      </c>
      <c r="V5037">
        <v>65</v>
      </c>
      <c r="W5037">
        <v>1</v>
      </c>
      <c r="X5037">
        <v>0</v>
      </c>
      <c r="Y5037" t="s">
        <v>10829</v>
      </c>
      <c r="Z5037">
        <v>49.86</v>
      </c>
      <c r="AA5037">
        <v>40.642424</v>
      </c>
      <c r="AB5037">
        <v>-73.974647</v>
      </c>
      <c r="AD5037" t="s">
        <v>10839</v>
      </c>
      <c r="AG5037" t="s">
        <v>10858</v>
      </c>
      <c r="AH5037" t="s">
        <v>10862</v>
      </c>
      <c r="AI5037">
        <v>239</v>
      </c>
      <c r="AJ5037" t="s">
        <v>10213</v>
      </c>
      <c r="AK5037" t="s">
        <v>10882</v>
      </c>
      <c r="AL5037">
        <v>0.3</v>
      </c>
      <c r="AM5037" t="s">
        <v>10894</v>
      </c>
      <c r="AN5037" t="s">
        <v>10941</v>
      </c>
      <c r="AO5037" t="s">
        <v>11015</v>
      </c>
      <c r="AP5037" t="s">
        <v>11059</v>
      </c>
      <c r="AR5037" t="s">
        <v>11253</v>
      </c>
      <c r="AS5037" t="s">
        <v>11595</v>
      </c>
      <c r="AY5037" t="s">
        <v>10829</v>
      </c>
      <c r="AZ5037" t="s">
        <v>11681</v>
      </c>
      <c r="BA5037" t="s">
        <v>11741</v>
      </c>
      <c r="BB5037">
        <v>0</v>
      </c>
      <c r="BC5037">
        <v>0</v>
      </c>
      <c r="BD5037">
        <v>0</v>
      </c>
      <c r="BE5037">
        <v>0</v>
      </c>
      <c r="BF5037">
        <v>1</v>
      </c>
      <c r="BG5037">
        <v>0</v>
      </c>
    </row>
    <row r="5038" spans="1:59">
      <c r="A5038" s="1">
        <f>HYPERLINK("https://lsnyc.legalserver.org/matter/dynamic-profile/view/1909259","19-1909259")</f>
        <v>0</v>
      </c>
      <c r="B5038" t="s">
        <v>4019</v>
      </c>
      <c r="C5038" t="s">
        <v>8838</v>
      </c>
      <c r="D5038" t="s">
        <v>9926</v>
      </c>
      <c r="E5038" t="s">
        <v>10075</v>
      </c>
      <c r="F5038">
        <v>10453</v>
      </c>
      <c r="G5038" t="s">
        <v>10089</v>
      </c>
      <c r="H5038" t="s">
        <v>10099</v>
      </c>
      <c r="I5038" t="s">
        <v>10168</v>
      </c>
      <c r="J5038" t="s">
        <v>10209</v>
      </c>
      <c r="K5038" t="s">
        <v>10217</v>
      </c>
      <c r="M5038" t="s">
        <v>10622</v>
      </c>
      <c r="N5038" t="s">
        <v>10671</v>
      </c>
      <c r="P5038" t="s">
        <v>10749</v>
      </c>
      <c r="Q5038" t="s">
        <v>10765</v>
      </c>
      <c r="R5038" t="s">
        <v>10821</v>
      </c>
      <c r="T5038">
        <v>15600</v>
      </c>
      <c r="U5038">
        <v>1300</v>
      </c>
      <c r="V5038">
        <v>35</v>
      </c>
      <c r="W5038">
        <v>1</v>
      </c>
      <c r="X5038">
        <v>0</v>
      </c>
      <c r="Z5038">
        <v>124.9</v>
      </c>
      <c r="AA5038">
        <v>40.853729</v>
      </c>
      <c r="AB5038">
        <v>-73.905354</v>
      </c>
      <c r="AD5038" t="s">
        <v>10839</v>
      </c>
      <c r="AG5038" t="s">
        <v>10858</v>
      </c>
      <c r="AH5038" t="s">
        <v>10861</v>
      </c>
      <c r="AI5038">
        <v>234</v>
      </c>
      <c r="AJ5038" t="s">
        <v>10214</v>
      </c>
      <c r="AL5038">
        <v>0.5</v>
      </c>
      <c r="AM5038" t="s">
        <v>10884</v>
      </c>
      <c r="AN5038" t="s">
        <v>10931</v>
      </c>
      <c r="AO5038" t="s">
        <v>11000</v>
      </c>
      <c r="AP5038" t="s">
        <v>11045</v>
      </c>
      <c r="AR5038" t="s">
        <v>11257</v>
      </c>
      <c r="AS5038" t="s">
        <v>9926</v>
      </c>
      <c r="AT5038" t="s">
        <v>11641</v>
      </c>
      <c r="AX5038" t="s">
        <v>10838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</row>
    <row r="5039" spans="1:59">
      <c r="A5039" s="1">
        <f>HYPERLINK("https://lsnyc.legalserver.org/matter/dynamic-profile/view/1909260","19-1909260")</f>
        <v>0</v>
      </c>
      <c r="B5039" t="s">
        <v>4020</v>
      </c>
      <c r="C5039" t="s">
        <v>8839</v>
      </c>
      <c r="D5039" t="s">
        <v>9928</v>
      </c>
      <c r="E5039" t="s">
        <v>10075</v>
      </c>
      <c r="F5039">
        <v>11209</v>
      </c>
      <c r="G5039" t="s">
        <v>10093</v>
      </c>
      <c r="H5039" t="s">
        <v>10155</v>
      </c>
      <c r="I5039" t="s">
        <v>10168</v>
      </c>
      <c r="J5039" t="s">
        <v>10213</v>
      </c>
      <c r="K5039" t="s">
        <v>10218</v>
      </c>
      <c r="L5039" t="s">
        <v>10163</v>
      </c>
      <c r="M5039" t="s">
        <v>10290</v>
      </c>
      <c r="N5039" t="s">
        <v>10665</v>
      </c>
      <c r="P5039" t="s">
        <v>10751</v>
      </c>
      <c r="Q5039" t="s">
        <v>10773</v>
      </c>
      <c r="R5039" t="s">
        <v>10820</v>
      </c>
      <c r="T5039">
        <v>9960</v>
      </c>
      <c r="U5039">
        <v>830</v>
      </c>
      <c r="V5039">
        <v>56</v>
      </c>
      <c r="W5039">
        <v>1</v>
      </c>
      <c r="X5039">
        <v>0</v>
      </c>
      <c r="Y5039" t="s">
        <v>10829</v>
      </c>
      <c r="Z5039">
        <v>79.73999999999999</v>
      </c>
      <c r="AA5039">
        <v>40.622198</v>
      </c>
      <c r="AB5039">
        <v>-74.02229</v>
      </c>
      <c r="AD5039" t="s">
        <v>10840</v>
      </c>
      <c r="AG5039" t="s">
        <v>10858</v>
      </c>
      <c r="AH5039" t="s">
        <v>10861</v>
      </c>
      <c r="AI5039">
        <v>234</v>
      </c>
      <c r="AJ5039" t="s">
        <v>10214</v>
      </c>
      <c r="AK5039" t="s">
        <v>10838</v>
      </c>
      <c r="AL5039">
        <v>1.75</v>
      </c>
      <c r="AM5039" t="s">
        <v>10883</v>
      </c>
      <c r="AN5039" t="s">
        <v>10960</v>
      </c>
      <c r="AO5039" t="s">
        <v>11023</v>
      </c>
      <c r="AP5039" t="s">
        <v>11086</v>
      </c>
      <c r="AR5039" t="s">
        <v>11298</v>
      </c>
      <c r="AS5039" t="s">
        <v>11595</v>
      </c>
      <c r="AT5039" t="s">
        <v>11642</v>
      </c>
      <c r="AX5039" t="s">
        <v>10838</v>
      </c>
      <c r="AY5039" t="s">
        <v>10829</v>
      </c>
      <c r="AZ5039" t="s">
        <v>11682</v>
      </c>
      <c r="BA5039" t="s">
        <v>11741</v>
      </c>
      <c r="BB5039">
        <v>0</v>
      </c>
      <c r="BC5039">
        <v>0</v>
      </c>
      <c r="BD5039">
        <v>0</v>
      </c>
      <c r="BE5039">
        <v>0</v>
      </c>
      <c r="BF5039">
        <v>1</v>
      </c>
      <c r="BG5039">
        <v>0</v>
      </c>
    </row>
    <row r="5040" spans="1:59">
      <c r="A5040" s="1">
        <f>HYPERLINK("https://lsnyc.legalserver.org/matter/dynamic-profile/view/1909261","19-1909261")</f>
        <v>0</v>
      </c>
      <c r="B5040" t="s">
        <v>4021</v>
      </c>
      <c r="C5040" t="s">
        <v>8840</v>
      </c>
      <c r="D5040" t="s">
        <v>10039</v>
      </c>
      <c r="E5040" t="s">
        <v>10075</v>
      </c>
      <c r="F5040">
        <v>10002</v>
      </c>
      <c r="G5040" t="s">
        <v>10089</v>
      </c>
      <c r="H5040" t="s">
        <v>10160</v>
      </c>
      <c r="I5040" t="s">
        <v>10168</v>
      </c>
      <c r="J5040" t="s">
        <v>10209</v>
      </c>
      <c r="K5040" t="s">
        <v>10217</v>
      </c>
      <c r="M5040" t="s">
        <v>10270</v>
      </c>
      <c r="N5040" t="s">
        <v>10688</v>
      </c>
      <c r="P5040" t="s">
        <v>10754</v>
      </c>
      <c r="Q5040" t="s">
        <v>10777</v>
      </c>
      <c r="R5040" t="s">
        <v>10821</v>
      </c>
      <c r="T5040">
        <v>0</v>
      </c>
      <c r="U5040">
        <v>0</v>
      </c>
      <c r="V5040">
        <v>63</v>
      </c>
      <c r="W5040">
        <v>1</v>
      </c>
      <c r="X5040">
        <v>1</v>
      </c>
      <c r="Z5040">
        <v>0</v>
      </c>
      <c r="AA5040">
        <v>40.711866</v>
      </c>
      <c r="AB5040">
        <v>-73.982659</v>
      </c>
      <c r="AD5040" t="s">
        <v>10839</v>
      </c>
      <c r="AG5040" t="s">
        <v>10858</v>
      </c>
      <c r="AH5040" t="s">
        <v>10865</v>
      </c>
      <c r="AI5040">
        <v>236</v>
      </c>
      <c r="AJ5040" t="s">
        <v>10209</v>
      </c>
      <c r="AL5040">
        <v>1</v>
      </c>
      <c r="AM5040" t="s">
        <v>10886</v>
      </c>
      <c r="AN5040" t="s">
        <v>10963</v>
      </c>
      <c r="AO5040" t="s">
        <v>11004</v>
      </c>
      <c r="AP5040" t="s">
        <v>11048</v>
      </c>
      <c r="AQ5040" t="s">
        <v>11128</v>
      </c>
      <c r="AR5040" t="s">
        <v>11267</v>
      </c>
      <c r="AS5040" t="s">
        <v>9925</v>
      </c>
      <c r="AT5040" t="s">
        <v>11641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</row>
    <row r="5041" spans="1:59">
      <c r="A5041" s="1">
        <f>HYPERLINK("https://lsnyc.legalserver.org/matter/dynamic-profile/view/1909262","19-1909262")</f>
        <v>0</v>
      </c>
      <c r="B5041" t="s">
        <v>4022</v>
      </c>
      <c r="C5041" t="s">
        <v>8841</v>
      </c>
      <c r="D5041" t="s">
        <v>9928</v>
      </c>
      <c r="E5041" t="s">
        <v>10075</v>
      </c>
      <c r="F5041">
        <v>11209</v>
      </c>
      <c r="G5041" t="s">
        <v>10090</v>
      </c>
      <c r="H5041" t="s">
        <v>10155</v>
      </c>
      <c r="I5041" t="s">
        <v>10168</v>
      </c>
      <c r="J5041" t="s">
        <v>10210</v>
      </c>
      <c r="K5041" t="s">
        <v>10217</v>
      </c>
      <c r="M5041" t="s">
        <v>10407</v>
      </c>
      <c r="N5041" t="s">
        <v>10671</v>
      </c>
      <c r="P5041" t="s">
        <v>10754</v>
      </c>
      <c r="Q5041" t="s">
        <v>10775</v>
      </c>
      <c r="R5041" t="s">
        <v>10823</v>
      </c>
      <c r="T5041">
        <v>42000</v>
      </c>
      <c r="U5041">
        <v>3500</v>
      </c>
      <c r="V5041">
        <v>31</v>
      </c>
      <c r="W5041">
        <v>1</v>
      </c>
      <c r="X5041">
        <v>2</v>
      </c>
      <c r="Z5041">
        <v>196.91</v>
      </c>
      <c r="AA5041">
        <v>40.620691</v>
      </c>
      <c r="AB5041">
        <v>-74.025916</v>
      </c>
      <c r="AC5041" t="s">
        <v>10837</v>
      </c>
      <c r="AD5041" t="s">
        <v>10839</v>
      </c>
      <c r="AG5041" t="s">
        <v>10858</v>
      </c>
      <c r="AH5041" t="s">
        <v>10861</v>
      </c>
      <c r="AI5041">
        <v>234</v>
      </c>
      <c r="AJ5041" t="s">
        <v>10214</v>
      </c>
      <c r="AL5041">
        <v>1</v>
      </c>
      <c r="AM5041" t="s">
        <v>10883</v>
      </c>
      <c r="AN5041" t="s">
        <v>10960</v>
      </c>
      <c r="AO5041" t="s">
        <v>11023</v>
      </c>
      <c r="AP5041" t="s">
        <v>11086</v>
      </c>
      <c r="AR5041" t="s">
        <v>11401</v>
      </c>
      <c r="AS5041" t="s">
        <v>11595</v>
      </c>
      <c r="AT5041" t="s">
        <v>11641</v>
      </c>
      <c r="AX5041" t="s">
        <v>10838</v>
      </c>
      <c r="BA5041" t="s">
        <v>11742</v>
      </c>
      <c r="BB5041">
        <v>0</v>
      </c>
      <c r="BC5041">
        <v>0</v>
      </c>
      <c r="BD5041">
        <v>0</v>
      </c>
      <c r="BE5041">
        <v>0</v>
      </c>
      <c r="BF5041">
        <v>7</v>
      </c>
      <c r="BG5041">
        <v>0</v>
      </c>
    </row>
    <row r="5042" spans="1:59">
      <c r="A5042" s="1">
        <f>HYPERLINK("https://lsnyc.legalserver.org/matter/dynamic-profile/view/1909263","19-1909263")</f>
        <v>0</v>
      </c>
      <c r="B5042" t="s">
        <v>426</v>
      </c>
      <c r="C5042" t="s">
        <v>8842</v>
      </c>
      <c r="D5042" t="s">
        <v>9926</v>
      </c>
      <c r="E5042" t="s">
        <v>10075</v>
      </c>
      <c r="F5042">
        <v>10461</v>
      </c>
      <c r="G5042" t="s">
        <v>10093</v>
      </c>
      <c r="H5042" t="s">
        <v>10155</v>
      </c>
      <c r="I5042" t="s">
        <v>10168</v>
      </c>
      <c r="J5042" t="s">
        <v>10213</v>
      </c>
      <c r="K5042" t="s">
        <v>10217</v>
      </c>
      <c r="M5042" t="s">
        <v>10358</v>
      </c>
      <c r="N5042" t="s">
        <v>10671</v>
      </c>
      <c r="P5042" t="s">
        <v>10752</v>
      </c>
      <c r="Q5042" t="s">
        <v>10783</v>
      </c>
      <c r="R5042" t="s">
        <v>10821</v>
      </c>
      <c r="T5042">
        <v>14472</v>
      </c>
      <c r="U5042">
        <v>1206</v>
      </c>
      <c r="V5042">
        <v>35</v>
      </c>
      <c r="W5042">
        <v>1</v>
      </c>
      <c r="X5042">
        <v>0</v>
      </c>
      <c r="Z5042">
        <v>115.87</v>
      </c>
      <c r="AA5042">
        <v>40.837531</v>
      </c>
      <c r="AB5042">
        <v>-73.846051</v>
      </c>
      <c r="AD5042" t="s">
        <v>10839</v>
      </c>
      <c r="AG5042" t="s">
        <v>10858</v>
      </c>
      <c r="AH5042" t="s">
        <v>10861</v>
      </c>
      <c r="AI5042">
        <v>234</v>
      </c>
      <c r="AJ5042" t="s">
        <v>10214</v>
      </c>
      <c r="AL5042">
        <v>2.1</v>
      </c>
      <c r="AM5042" t="s">
        <v>10885</v>
      </c>
      <c r="AN5042" t="s">
        <v>10911</v>
      </c>
      <c r="AO5042" t="s">
        <v>11002</v>
      </c>
      <c r="AP5042" t="s">
        <v>11046</v>
      </c>
      <c r="AR5042" t="s">
        <v>11274</v>
      </c>
      <c r="AS5042" t="s">
        <v>9926</v>
      </c>
      <c r="AT5042" t="s">
        <v>11641</v>
      </c>
      <c r="AX5042" t="s">
        <v>10838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</row>
    <row r="5043" spans="1:59">
      <c r="A5043" s="1">
        <f>HYPERLINK("https://lsnyc.legalserver.org/matter/dynamic-profile/view/1909264","19-1909264")</f>
        <v>0</v>
      </c>
      <c r="B5043" t="s">
        <v>4023</v>
      </c>
      <c r="C5043" t="s">
        <v>8843</v>
      </c>
      <c r="D5043" t="s">
        <v>9925</v>
      </c>
      <c r="E5043" t="s">
        <v>10075</v>
      </c>
      <c r="F5043">
        <v>10282</v>
      </c>
      <c r="G5043" t="s">
        <v>10093</v>
      </c>
      <c r="H5043" t="s">
        <v>10155</v>
      </c>
      <c r="I5043" t="s">
        <v>10168</v>
      </c>
      <c r="J5043" t="s">
        <v>10213</v>
      </c>
      <c r="K5043" t="s">
        <v>10217</v>
      </c>
      <c r="M5043" t="s">
        <v>10436</v>
      </c>
      <c r="N5043" t="s">
        <v>10710</v>
      </c>
      <c r="P5043" t="s">
        <v>10750</v>
      </c>
      <c r="Q5043" t="s">
        <v>10760</v>
      </c>
      <c r="R5043" t="s">
        <v>10820</v>
      </c>
      <c r="T5043">
        <v>130000</v>
      </c>
      <c r="U5043">
        <v>10833.33</v>
      </c>
      <c r="V5043">
        <v>55</v>
      </c>
      <c r="W5043">
        <v>1</v>
      </c>
      <c r="X5043">
        <v>0</v>
      </c>
      <c r="Z5043">
        <v>1040.83</v>
      </c>
      <c r="AA5043">
        <v>40.716743</v>
      </c>
      <c r="AB5043">
        <v>-74.016104</v>
      </c>
      <c r="AD5043" t="s">
        <v>10839</v>
      </c>
      <c r="AG5043" t="s">
        <v>10858</v>
      </c>
      <c r="AH5043" t="s">
        <v>10871</v>
      </c>
      <c r="AI5043">
        <v>234</v>
      </c>
      <c r="AJ5043" t="s">
        <v>10214</v>
      </c>
      <c r="AL5043">
        <v>1.2</v>
      </c>
      <c r="AM5043" t="s">
        <v>10894</v>
      </c>
      <c r="AN5043" t="s">
        <v>10950</v>
      </c>
      <c r="AO5043" t="s">
        <v>11004</v>
      </c>
      <c r="AP5043" t="s">
        <v>11093</v>
      </c>
      <c r="AR5043" t="s">
        <v>11257</v>
      </c>
      <c r="AS5043" t="s">
        <v>9925</v>
      </c>
      <c r="AT5043" t="s">
        <v>11641</v>
      </c>
      <c r="AX5043" t="s">
        <v>10838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</row>
    <row r="5044" spans="1:59">
      <c r="A5044" s="1">
        <f>HYPERLINK("https://lsnyc.legalserver.org/matter/dynamic-profile/view/1909265","19-1909265")</f>
        <v>0</v>
      </c>
      <c r="B5044" t="s">
        <v>4024</v>
      </c>
      <c r="C5044" t="s">
        <v>8844</v>
      </c>
      <c r="D5044" t="s">
        <v>9975</v>
      </c>
      <c r="E5044" t="s">
        <v>10075</v>
      </c>
      <c r="F5044">
        <v>11415</v>
      </c>
      <c r="G5044" t="s">
        <v>10092</v>
      </c>
      <c r="H5044" t="s">
        <v>10155</v>
      </c>
      <c r="I5044" t="s">
        <v>10169</v>
      </c>
      <c r="J5044" t="s">
        <v>10212</v>
      </c>
      <c r="K5044" t="s">
        <v>10217</v>
      </c>
      <c r="M5044" t="s">
        <v>10325</v>
      </c>
      <c r="N5044" t="s">
        <v>10671</v>
      </c>
      <c r="P5044" t="s">
        <v>10757</v>
      </c>
      <c r="Q5044" t="s">
        <v>10789</v>
      </c>
      <c r="R5044" t="s">
        <v>10823</v>
      </c>
      <c r="T5044">
        <v>9360</v>
      </c>
      <c r="U5044">
        <v>780</v>
      </c>
      <c r="V5044">
        <v>36</v>
      </c>
      <c r="W5044">
        <v>1</v>
      </c>
      <c r="X5044">
        <v>1</v>
      </c>
      <c r="Z5044">
        <v>55.35</v>
      </c>
      <c r="AA5044">
        <v>40.707669</v>
      </c>
      <c r="AB5044">
        <v>-73.828078</v>
      </c>
      <c r="AD5044" t="s">
        <v>10839</v>
      </c>
      <c r="AF5044" t="s">
        <v>10842</v>
      </c>
      <c r="AG5044" t="s">
        <v>10859</v>
      </c>
      <c r="AH5044" t="s">
        <v>10871</v>
      </c>
      <c r="AI5044">
        <v>234</v>
      </c>
      <c r="AJ5044" t="s">
        <v>10214</v>
      </c>
      <c r="AL5044">
        <v>1.39</v>
      </c>
      <c r="AM5044" t="s">
        <v>10890</v>
      </c>
      <c r="AN5044" t="s">
        <v>10962</v>
      </c>
      <c r="AO5044" t="s">
        <v>11020</v>
      </c>
      <c r="AP5044" t="s">
        <v>11083</v>
      </c>
      <c r="AR5044" t="s">
        <v>11335</v>
      </c>
      <c r="AS5044" t="s">
        <v>11594</v>
      </c>
      <c r="AT5044" t="s">
        <v>11641</v>
      </c>
      <c r="AX5044" t="s">
        <v>10838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</row>
    <row r="5045" spans="1:59">
      <c r="A5045" s="1">
        <f>HYPERLINK("https://lsnyc.legalserver.org/matter/dynamic-profile/view/1909266","19-1909266")</f>
        <v>0</v>
      </c>
      <c r="B5045" t="s">
        <v>4025</v>
      </c>
      <c r="C5045" t="s">
        <v>8845</v>
      </c>
      <c r="D5045" t="s">
        <v>10000</v>
      </c>
      <c r="E5045" t="s">
        <v>10075</v>
      </c>
      <c r="F5045">
        <v>11413</v>
      </c>
      <c r="G5045" t="s">
        <v>10092</v>
      </c>
      <c r="H5045" t="s">
        <v>10155</v>
      </c>
      <c r="I5045" t="s">
        <v>10168</v>
      </c>
      <c r="J5045" t="s">
        <v>10212</v>
      </c>
      <c r="K5045" t="s">
        <v>10217</v>
      </c>
      <c r="M5045" t="s">
        <v>10610</v>
      </c>
      <c r="N5045" t="s">
        <v>10695</v>
      </c>
      <c r="P5045" t="s">
        <v>10749</v>
      </c>
      <c r="Q5045" t="s">
        <v>10765</v>
      </c>
      <c r="R5045" t="s">
        <v>10824</v>
      </c>
      <c r="T5045">
        <v>23400</v>
      </c>
      <c r="U5045">
        <v>1950</v>
      </c>
      <c r="V5045">
        <v>35</v>
      </c>
      <c r="W5045">
        <v>2</v>
      </c>
      <c r="X5045">
        <v>1</v>
      </c>
      <c r="Z5045">
        <v>109.7</v>
      </c>
      <c r="AA5045">
        <v>40.668993</v>
      </c>
      <c r="AB5045">
        <v>-73.745583</v>
      </c>
      <c r="AD5045" t="s">
        <v>10839</v>
      </c>
      <c r="AF5045" t="s">
        <v>10843</v>
      </c>
      <c r="AG5045" t="s">
        <v>10859</v>
      </c>
      <c r="AH5045" t="s">
        <v>10862</v>
      </c>
      <c r="AI5045">
        <v>237</v>
      </c>
      <c r="AJ5045" t="s">
        <v>10212</v>
      </c>
      <c r="AL5045">
        <v>7.6</v>
      </c>
      <c r="AM5045" t="s">
        <v>10892</v>
      </c>
      <c r="AN5045" t="s">
        <v>10955</v>
      </c>
      <c r="AO5045" t="s">
        <v>11020</v>
      </c>
      <c r="AP5045" t="s">
        <v>11082</v>
      </c>
      <c r="AR5045" t="s">
        <v>11257</v>
      </c>
      <c r="AS5045" t="s">
        <v>11594</v>
      </c>
      <c r="BA5045" t="s">
        <v>11738</v>
      </c>
      <c r="BB5045">
        <v>0</v>
      </c>
      <c r="BC5045">
        <v>0</v>
      </c>
      <c r="BD5045">
        <v>0</v>
      </c>
      <c r="BE5045">
        <v>0</v>
      </c>
      <c r="BF5045">
        <v>5</v>
      </c>
      <c r="BG5045">
        <v>0</v>
      </c>
    </row>
    <row r="5046" spans="1:59">
      <c r="A5046" s="1">
        <f>HYPERLINK("https://lsnyc.legalserver.org/matter/dynamic-profile/view/1909267","19-1909267")</f>
        <v>0</v>
      </c>
      <c r="B5046" t="s">
        <v>4026</v>
      </c>
      <c r="C5046" t="s">
        <v>8846</v>
      </c>
      <c r="D5046" t="s">
        <v>9926</v>
      </c>
      <c r="E5046" t="s">
        <v>10075</v>
      </c>
      <c r="F5046">
        <v>10473</v>
      </c>
      <c r="G5046" t="s">
        <v>10090</v>
      </c>
      <c r="H5046" t="s">
        <v>10155</v>
      </c>
      <c r="J5046" t="s">
        <v>10210</v>
      </c>
      <c r="K5046" t="s">
        <v>10217</v>
      </c>
      <c r="M5046" t="s">
        <v>10262</v>
      </c>
      <c r="N5046" t="s">
        <v>10666</v>
      </c>
      <c r="P5046" t="s">
        <v>10749</v>
      </c>
      <c r="Q5046" t="s">
        <v>10765</v>
      </c>
      <c r="R5046" t="s">
        <v>10823</v>
      </c>
      <c r="T5046">
        <v>31200</v>
      </c>
      <c r="U5046">
        <v>2600</v>
      </c>
      <c r="V5046">
        <v>42</v>
      </c>
      <c r="W5046">
        <v>2</v>
      </c>
      <c r="X5046">
        <v>1</v>
      </c>
      <c r="Z5046">
        <v>146.27</v>
      </c>
      <c r="AA5046">
        <v>40.818898</v>
      </c>
      <c r="AB5046">
        <v>-73.867907</v>
      </c>
      <c r="AD5046" t="s">
        <v>10839</v>
      </c>
      <c r="AF5046" t="s">
        <v>10843</v>
      </c>
      <c r="AG5046" t="s">
        <v>10859</v>
      </c>
      <c r="AH5046" t="s">
        <v>10861</v>
      </c>
      <c r="AI5046">
        <v>230</v>
      </c>
      <c r="AJ5046" t="s">
        <v>10210</v>
      </c>
      <c r="AL5046">
        <v>0.3</v>
      </c>
      <c r="AM5046" t="s">
        <v>10884</v>
      </c>
      <c r="AN5046" t="s">
        <v>10968</v>
      </c>
      <c r="AO5046" t="s">
        <v>11002</v>
      </c>
      <c r="AP5046" t="s">
        <v>11046</v>
      </c>
      <c r="AR5046" t="s">
        <v>11257</v>
      </c>
      <c r="AS5046" t="s">
        <v>9926</v>
      </c>
      <c r="AT5046" t="s">
        <v>11641</v>
      </c>
      <c r="AX5046" t="s">
        <v>10838</v>
      </c>
      <c r="BA5046" t="s">
        <v>11741</v>
      </c>
      <c r="BB5046">
        <v>0</v>
      </c>
      <c r="BC5046">
        <v>0</v>
      </c>
      <c r="BD5046">
        <v>0</v>
      </c>
      <c r="BE5046">
        <v>0</v>
      </c>
      <c r="BF5046">
        <v>1</v>
      </c>
      <c r="BG5046">
        <v>0</v>
      </c>
    </row>
    <row r="5047" spans="1:59">
      <c r="A5047" s="1">
        <f>HYPERLINK("https://lsnyc.legalserver.org/matter/dynamic-profile/view/1909268","19-1909268")</f>
        <v>0</v>
      </c>
      <c r="B5047" t="s">
        <v>4027</v>
      </c>
      <c r="C5047" t="s">
        <v>8847</v>
      </c>
      <c r="D5047" t="s">
        <v>9928</v>
      </c>
      <c r="E5047" t="s">
        <v>10075</v>
      </c>
      <c r="F5047">
        <v>11239</v>
      </c>
      <c r="G5047" t="s">
        <v>10091</v>
      </c>
      <c r="H5047" t="s">
        <v>10155</v>
      </c>
      <c r="I5047" t="s">
        <v>10168</v>
      </c>
      <c r="J5047" t="s">
        <v>10214</v>
      </c>
      <c r="K5047" t="s">
        <v>10217</v>
      </c>
      <c r="M5047" t="s">
        <v>10286</v>
      </c>
      <c r="N5047" t="s">
        <v>10671</v>
      </c>
      <c r="P5047" t="s">
        <v>10751</v>
      </c>
      <c r="Q5047" t="s">
        <v>10776</v>
      </c>
      <c r="R5047" t="s">
        <v>10824</v>
      </c>
      <c r="T5047">
        <v>0</v>
      </c>
      <c r="U5047">
        <v>0</v>
      </c>
      <c r="V5047">
        <v>71</v>
      </c>
      <c r="W5047">
        <v>1</v>
      </c>
      <c r="X5047">
        <v>0</v>
      </c>
      <c r="Z5047">
        <v>0</v>
      </c>
      <c r="AA5047">
        <v>40.655783</v>
      </c>
      <c r="AB5047">
        <v>-73.872423</v>
      </c>
      <c r="AD5047" t="s">
        <v>10839</v>
      </c>
      <c r="AG5047" t="s">
        <v>10858</v>
      </c>
      <c r="AH5047" t="s">
        <v>10871</v>
      </c>
      <c r="AI5047">
        <v>234</v>
      </c>
      <c r="AJ5047" t="s">
        <v>10214</v>
      </c>
      <c r="AL5047">
        <v>1</v>
      </c>
      <c r="AM5047" t="s">
        <v>10889</v>
      </c>
      <c r="AN5047" t="s">
        <v>10946</v>
      </c>
      <c r="AO5047" t="s">
        <v>11012</v>
      </c>
      <c r="AP5047" t="s">
        <v>11060</v>
      </c>
      <c r="AR5047" t="s">
        <v>11267</v>
      </c>
      <c r="AS5047" t="s">
        <v>11595</v>
      </c>
      <c r="AT5047" t="s">
        <v>11641</v>
      </c>
      <c r="AX5047" t="s">
        <v>10838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</row>
    <row r="5048" spans="1:59">
      <c r="A5048" s="1">
        <f>HYPERLINK("https://lsnyc.legalserver.org/matter/dynamic-profile/view/1909269","19-1909269")</f>
        <v>0</v>
      </c>
      <c r="B5048" t="s">
        <v>334</v>
      </c>
      <c r="C5048" t="s">
        <v>5263</v>
      </c>
      <c r="D5048" t="s">
        <v>9956</v>
      </c>
      <c r="E5048" t="s">
        <v>10075</v>
      </c>
      <c r="F5048">
        <v>11365</v>
      </c>
      <c r="G5048" t="s">
        <v>10092</v>
      </c>
      <c r="H5048" t="s">
        <v>10155</v>
      </c>
      <c r="I5048" t="s">
        <v>10168</v>
      </c>
      <c r="J5048" t="s">
        <v>10212</v>
      </c>
      <c r="K5048" t="s">
        <v>10217</v>
      </c>
      <c r="M5048" t="s">
        <v>10609</v>
      </c>
      <c r="N5048" t="s">
        <v>10694</v>
      </c>
      <c r="P5048" t="s">
        <v>10751</v>
      </c>
      <c r="Q5048" t="s">
        <v>10780</v>
      </c>
      <c r="R5048" t="s">
        <v>10824</v>
      </c>
      <c r="T5048">
        <v>6240</v>
      </c>
      <c r="U5048">
        <v>520</v>
      </c>
      <c r="V5048">
        <v>10</v>
      </c>
      <c r="W5048">
        <v>1</v>
      </c>
      <c r="X5048">
        <v>2</v>
      </c>
      <c r="Z5048">
        <v>29.25</v>
      </c>
      <c r="AA5048">
        <v>40.735536</v>
      </c>
      <c r="AB5048">
        <v>-73.81138199999999</v>
      </c>
      <c r="AC5048" t="s">
        <v>10837</v>
      </c>
      <c r="AD5048" t="s">
        <v>10840</v>
      </c>
      <c r="AG5048" t="s">
        <v>10858</v>
      </c>
      <c r="AH5048" t="s">
        <v>10871</v>
      </c>
      <c r="AI5048">
        <v>237</v>
      </c>
      <c r="AJ5048" t="s">
        <v>10212</v>
      </c>
      <c r="AL5048">
        <v>23.55</v>
      </c>
      <c r="AM5048" t="s">
        <v>10890</v>
      </c>
      <c r="AN5048" t="s">
        <v>10962</v>
      </c>
      <c r="AO5048" t="s">
        <v>11009</v>
      </c>
      <c r="AP5048" t="s">
        <v>11081</v>
      </c>
      <c r="AQ5048" t="s">
        <v>11118</v>
      </c>
      <c r="AR5048" t="s">
        <v>11327</v>
      </c>
      <c r="AS5048" t="s">
        <v>11594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</row>
    <row r="5049" spans="1:59">
      <c r="A5049" s="1">
        <f>HYPERLINK("https://lsnyc.legalserver.org/matter/dynamic-profile/view/1909270","19-1909270")</f>
        <v>0</v>
      </c>
      <c r="B5049" t="s">
        <v>4028</v>
      </c>
      <c r="C5049" t="s">
        <v>8848</v>
      </c>
      <c r="D5049" t="s">
        <v>9926</v>
      </c>
      <c r="E5049" t="s">
        <v>10075</v>
      </c>
      <c r="F5049">
        <v>10452</v>
      </c>
      <c r="G5049" t="s">
        <v>10090</v>
      </c>
      <c r="H5049" t="s">
        <v>10155</v>
      </c>
      <c r="I5049" t="s">
        <v>10169</v>
      </c>
      <c r="J5049" t="s">
        <v>10210</v>
      </c>
      <c r="K5049" t="s">
        <v>10217</v>
      </c>
      <c r="M5049" t="s">
        <v>10336</v>
      </c>
      <c r="N5049" t="s">
        <v>10671</v>
      </c>
      <c r="P5049" t="s">
        <v>10754</v>
      </c>
      <c r="Q5049" t="s">
        <v>10782</v>
      </c>
      <c r="R5049" t="s">
        <v>10821</v>
      </c>
      <c r="T5049">
        <v>9000</v>
      </c>
      <c r="U5049">
        <v>750</v>
      </c>
      <c r="V5049">
        <v>49</v>
      </c>
      <c r="W5049">
        <v>1</v>
      </c>
      <c r="X5049">
        <v>0</v>
      </c>
      <c r="Z5049">
        <v>72.06</v>
      </c>
      <c r="AA5049">
        <v>40.834433</v>
      </c>
      <c r="AB5049">
        <v>-73.92241</v>
      </c>
      <c r="AD5049" t="s">
        <v>10839</v>
      </c>
      <c r="AG5049" t="s">
        <v>10858</v>
      </c>
      <c r="AH5049" t="s">
        <v>10861</v>
      </c>
      <c r="AI5049">
        <v>234</v>
      </c>
      <c r="AJ5049" t="s">
        <v>10214</v>
      </c>
      <c r="AL5049">
        <v>3.95</v>
      </c>
      <c r="AM5049" t="s">
        <v>10884</v>
      </c>
      <c r="AN5049" t="s">
        <v>10924</v>
      </c>
      <c r="AO5049" t="s">
        <v>11013</v>
      </c>
      <c r="AP5049" t="s">
        <v>11055</v>
      </c>
      <c r="AR5049" t="s">
        <v>11274</v>
      </c>
      <c r="AS5049" t="s">
        <v>9926</v>
      </c>
      <c r="AT5049" t="s">
        <v>11641</v>
      </c>
      <c r="AX5049" t="s">
        <v>10838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</row>
    <row r="5050" spans="1:59">
      <c r="A5050" s="1">
        <f>HYPERLINK("https://lsnyc.legalserver.org/matter/dynamic-profile/view/1909271","19-1909271")</f>
        <v>0</v>
      </c>
      <c r="B5050" t="s">
        <v>4029</v>
      </c>
      <c r="C5050" t="s">
        <v>8849</v>
      </c>
      <c r="D5050" t="s">
        <v>9928</v>
      </c>
      <c r="E5050" t="s">
        <v>10075</v>
      </c>
      <c r="F5050">
        <v>11223</v>
      </c>
      <c r="G5050" t="s">
        <v>10093</v>
      </c>
      <c r="H5050" t="s">
        <v>10155</v>
      </c>
      <c r="I5050" t="s">
        <v>10168</v>
      </c>
      <c r="J5050" t="s">
        <v>10213</v>
      </c>
      <c r="K5050" t="s">
        <v>10217</v>
      </c>
      <c r="M5050" t="s">
        <v>10583</v>
      </c>
      <c r="N5050" t="s">
        <v>10671</v>
      </c>
      <c r="P5050" t="s">
        <v>10757</v>
      </c>
      <c r="Q5050" t="s">
        <v>10808</v>
      </c>
      <c r="R5050" t="s">
        <v>10820</v>
      </c>
      <c r="T5050">
        <v>18000</v>
      </c>
      <c r="U5050">
        <v>1500</v>
      </c>
      <c r="V5050">
        <v>77</v>
      </c>
      <c r="W5050">
        <v>1</v>
      </c>
      <c r="X5050">
        <v>0</v>
      </c>
      <c r="Z5050">
        <v>144.12</v>
      </c>
      <c r="AA5050">
        <v>40.602716</v>
      </c>
      <c r="AB5050">
        <v>-73.983898</v>
      </c>
      <c r="AD5050" t="s">
        <v>10840</v>
      </c>
      <c r="AG5050" t="s">
        <v>10858</v>
      </c>
      <c r="AH5050" t="s">
        <v>10091</v>
      </c>
      <c r="AI5050">
        <v>234</v>
      </c>
      <c r="AJ5050" t="s">
        <v>10214</v>
      </c>
      <c r="AL5050">
        <v>0.5</v>
      </c>
      <c r="AM5050" t="s">
        <v>10894</v>
      </c>
      <c r="AN5050" t="s">
        <v>10969</v>
      </c>
      <c r="AO5050" t="s">
        <v>11023</v>
      </c>
      <c r="AP5050" t="s">
        <v>11087</v>
      </c>
      <c r="AR5050" t="s">
        <v>11300</v>
      </c>
      <c r="AS5050" t="s">
        <v>11595</v>
      </c>
      <c r="AT5050" t="s">
        <v>11642</v>
      </c>
      <c r="AX5050" t="s">
        <v>10838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</row>
    <row r="5051" spans="1:59">
      <c r="A5051" s="1">
        <f>HYPERLINK("https://lsnyc.legalserver.org/matter/dynamic-profile/view/1909272","19-1909272")</f>
        <v>0</v>
      </c>
      <c r="B5051" t="s">
        <v>1972</v>
      </c>
      <c r="C5051" t="s">
        <v>6765</v>
      </c>
      <c r="D5051" t="s">
        <v>9928</v>
      </c>
      <c r="E5051" t="s">
        <v>10075</v>
      </c>
      <c r="F5051">
        <v>11249</v>
      </c>
      <c r="G5051" t="s">
        <v>10093</v>
      </c>
      <c r="H5051" t="s">
        <v>10155</v>
      </c>
      <c r="I5051" t="s">
        <v>10196</v>
      </c>
      <c r="J5051" t="s">
        <v>10213</v>
      </c>
      <c r="K5051" t="s">
        <v>10217</v>
      </c>
      <c r="M5051" t="s">
        <v>10265</v>
      </c>
      <c r="N5051" t="s">
        <v>10671</v>
      </c>
      <c r="P5051" t="s">
        <v>10751</v>
      </c>
      <c r="Q5051" t="s">
        <v>10761</v>
      </c>
      <c r="R5051" t="s">
        <v>10822</v>
      </c>
      <c r="T5051">
        <v>19994</v>
      </c>
      <c r="U5051">
        <v>1666.17</v>
      </c>
      <c r="V5051">
        <v>38</v>
      </c>
      <c r="W5051">
        <v>1</v>
      </c>
      <c r="X5051">
        <v>3</v>
      </c>
      <c r="Z5051">
        <v>77.65000000000001</v>
      </c>
      <c r="AA5051">
        <v>40.71923</v>
      </c>
      <c r="AB5051">
        <v>-73.963292</v>
      </c>
      <c r="AD5051" t="s">
        <v>10822</v>
      </c>
      <c r="AG5051" t="s">
        <v>10858</v>
      </c>
      <c r="AH5051" t="s">
        <v>10862</v>
      </c>
      <c r="AI5051">
        <v>239</v>
      </c>
      <c r="AJ5051" t="s">
        <v>10213</v>
      </c>
      <c r="AL5051">
        <v>0.2</v>
      </c>
      <c r="AM5051" t="s">
        <v>10891</v>
      </c>
      <c r="AN5051" t="s">
        <v>10939</v>
      </c>
      <c r="AO5051" t="s">
        <v>11004</v>
      </c>
      <c r="AP5051" t="s">
        <v>11054</v>
      </c>
      <c r="AR5051" t="s">
        <v>11335</v>
      </c>
      <c r="AS5051" t="s">
        <v>11595</v>
      </c>
      <c r="BA5051" t="s">
        <v>11742</v>
      </c>
      <c r="BB5051">
        <v>0</v>
      </c>
      <c r="BC5051">
        <v>0</v>
      </c>
      <c r="BD5051">
        <v>0</v>
      </c>
      <c r="BE5051">
        <v>0</v>
      </c>
      <c r="BF5051">
        <v>7</v>
      </c>
      <c r="BG5051">
        <v>0</v>
      </c>
    </row>
    <row r="5052" spans="1:59">
      <c r="A5052" s="1">
        <f>HYPERLINK("https://lsnyc.legalserver.org/matter/dynamic-profile/view/1909273","19-1909273")</f>
        <v>0</v>
      </c>
      <c r="B5052" t="s">
        <v>3169</v>
      </c>
      <c r="C5052" t="s">
        <v>7961</v>
      </c>
      <c r="D5052" t="s">
        <v>9928</v>
      </c>
      <c r="E5052" t="s">
        <v>10075</v>
      </c>
      <c r="F5052">
        <v>11217</v>
      </c>
      <c r="G5052" t="s">
        <v>10093</v>
      </c>
      <c r="H5052" t="s">
        <v>10155</v>
      </c>
      <c r="I5052" t="s">
        <v>10178</v>
      </c>
      <c r="J5052" t="s">
        <v>10213</v>
      </c>
      <c r="K5052" t="s">
        <v>10217</v>
      </c>
      <c r="M5052" t="s">
        <v>10352</v>
      </c>
      <c r="N5052" t="s">
        <v>10650</v>
      </c>
      <c r="P5052" t="s">
        <v>10749</v>
      </c>
      <c r="Q5052" t="s">
        <v>10765</v>
      </c>
      <c r="R5052" t="s">
        <v>10823</v>
      </c>
      <c r="T5052">
        <v>20000</v>
      </c>
      <c r="U5052">
        <v>1666.67</v>
      </c>
      <c r="V5052">
        <v>57</v>
      </c>
      <c r="W5052">
        <v>2</v>
      </c>
      <c r="X5052">
        <v>1</v>
      </c>
      <c r="Z5052">
        <v>93.76000000000001</v>
      </c>
      <c r="AA5052">
        <v>40.688142</v>
      </c>
      <c r="AB5052">
        <v>-73.976051</v>
      </c>
      <c r="AD5052" t="s">
        <v>10839</v>
      </c>
      <c r="AF5052" t="s">
        <v>10843</v>
      </c>
      <c r="AG5052" t="s">
        <v>10859</v>
      </c>
      <c r="AH5052" t="s">
        <v>10871</v>
      </c>
      <c r="AI5052">
        <v>239</v>
      </c>
      <c r="AJ5052" t="s">
        <v>10213</v>
      </c>
      <c r="AL5052">
        <v>0</v>
      </c>
      <c r="AM5052" t="s">
        <v>10889</v>
      </c>
      <c r="AN5052" t="s">
        <v>10923</v>
      </c>
      <c r="AO5052" t="s">
        <v>11007</v>
      </c>
      <c r="AP5052" t="s">
        <v>11061</v>
      </c>
      <c r="AR5052" t="s">
        <v>11262</v>
      </c>
      <c r="AS5052" t="s">
        <v>11595</v>
      </c>
      <c r="BA5052" t="s">
        <v>11737</v>
      </c>
      <c r="BB5052">
        <v>0</v>
      </c>
      <c r="BC5052">
        <v>0</v>
      </c>
      <c r="BD5052">
        <v>0</v>
      </c>
      <c r="BE5052">
        <v>0</v>
      </c>
      <c r="BF5052">
        <v>3</v>
      </c>
      <c r="BG5052">
        <v>0</v>
      </c>
    </row>
    <row r="5053" spans="1:59">
      <c r="A5053" s="1">
        <f>HYPERLINK("https://lsnyc.legalserver.org/matter/dynamic-profile/view/1909274","19-1909274")</f>
        <v>0</v>
      </c>
      <c r="B5053" t="s">
        <v>4028</v>
      </c>
      <c r="C5053" t="s">
        <v>8848</v>
      </c>
      <c r="D5053" t="s">
        <v>9926</v>
      </c>
      <c r="E5053" t="s">
        <v>10075</v>
      </c>
      <c r="F5053">
        <v>10452</v>
      </c>
      <c r="G5053" t="s">
        <v>10090</v>
      </c>
      <c r="H5053" t="s">
        <v>10155</v>
      </c>
      <c r="I5053" t="s">
        <v>10169</v>
      </c>
      <c r="J5053" t="s">
        <v>10210</v>
      </c>
      <c r="K5053" t="s">
        <v>10218</v>
      </c>
      <c r="L5053" t="s">
        <v>10166</v>
      </c>
      <c r="M5053" t="s">
        <v>10336</v>
      </c>
      <c r="N5053" t="s">
        <v>10671</v>
      </c>
      <c r="P5053" t="s">
        <v>10754</v>
      </c>
      <c r="Q5053" t="s">
        <v>10782</v>
      </c>
      <c r="R5053" t="s">
        <v>10821</v>
      </c>
      <c r="T5053">
        <v>9000</v>
      </c>
      <c r="U5053">
        <v>750</v>
      </c>
      <c r="V5053">
        <v>49</v>
      </c>
      <c r="W5053">
        <v>1</v>
      </c>
      <c r="X5053">
        <v>0</v>
      </c>
      <c r="Y5053" t="s">
        <v>10830</v>
      </c>
      <c r="Z5053">
        <v>72.06</v>
      </c>
      <c r="AA5053">
        <v>40.834433</v>
      </c>
      <c r="AB5053">
        <v>-73.92241</v>
      </c>
      <c r="AC5053" t="s">
        <v>10838</v>
      </c>
      <c r="AD5053" t="s">
        <v>10839</v>
      </c>
      <c r="AG5053" t="s">
        <v>10858</v>
      </c>
      <c r="AH5053" t="s">
        <v>10861</v>
      </c>
      <c r="AI5053">
        <v>234</v>
      </c>
      <c r="AJ5053" t="s">
        <v>10214</v>
      </c>
      <c r="AK5053" t="s">
        <v>10882</v>
      </c>
      <c r="AL5053">
        <v>0.9</v>
      </c>
      <c r="AR5053" t="s">
        <v>11274</v>
      </c>
      <c r="AS5053" t="s">
        <v>9926</v>
      </c>
      <c r="AT5053" t="s">
        <v>11641</v>
      </c>
      <c r="AX5053" t="s">
        <v>10838</v>
      </c>
      <c r="AY5053" t="s">
        <v>10830</v>
      </c>
      <c r="AZ5053" t="s">
        <v>11717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</row>
    <row r="5054" spans="1:59">
      <c r="A5054" s="1">
        <f>HYPERLINK("https://lsnyc.legalserver.org/matter/dynamic-profile/view/1909275","19-1909275")</f>
        <v>0</v>
      </c>
      <c r="B5054" t="s">
        <v>797</v>
      </c>
      <c r="C5054" t="s">
        <v>8850</v>
      </c>
      <c r="D5054" t="s">
        <v>9929</v>
      </c>
      <c r="E5054" t="s">
        <v>10075</v>
      </c>
      <c r="F5054">
        <v>10301</v>
      </c>
      <c r="G5054" t="s">
        <v>10088</v>
      </c>
      <c r="H5054" t="s">
        <v>10155</v>
      </c>
      <c r="I5054" t="s">
        <v>10169</v>
      </c>
      <c r="J5054" t="s">
        <v>10208</v>
      </c>
      <c r="K5054" t="s">
        <v>10217</v>
      </c>
      <c r="M5054" t="s">
        <v>10542</v>
      </c>
      <c r="N5054" t="s">
        <v>10729</v>
      </c>
      <c r="P5054" t="s">
        <v>10754</v>
      </c>
      <c r="Q5054" t="s">
        <v>10766</v>
      </c>
      <c r="R5054" t="s">
        <v>10821</v>
      </c>
      <c r="T5054">
        <v>12000</v>
      </c>
      <c r="U5054">
        <v>1000</v>
      </c>
      <c r="V5054">
        <v>35</v>
      </c>
      <c r="W5054">
        <v>3</v>
      </c>
      <c r="X5054">
        <v>1</v>
      </c>
      <c r="Z5054">
        <v>46.6</v>
      </c>
      <c r="AA5054">
        <v>40.640624</v>
      </c>
      <c r="AB5054">
        <v>-74.08318199999999</v>
      </c>
      <c r="AD5054" t="s">
        <v>10839</v>
      </c>
      <c r="AF5054" t="s">
        <v>10842</v>
      </c>
      <c r="AG5054" t="s">
        <v>10859</v>
      </c>
      <c r="AH5054" t="s">
        <v>10861</v>
      </c>
      <c r="AI5054">
        <v>234</v>
      </c>
      <c r="AJ5054" t="s">
        <v>10214</v>
      </c>
      <c r="AL5054">
        <v>2.5</v>
      </c>
      <c r="AM5054" t="s">
        <v>10883</v>
      </c>
      <c r="AN5054" t="s">
        <v>10913</v>
      </c>
      <c r="AO5054" t="s">
        <v>11006</v>
      </c>
      <c r="AP5054" t="s">
        <v>11051</v>
      </c>
      <c r="AR5054" t="s">
        <v>11401</v>
      </c>
      <c r="AS5054" t="s">
        <v>11593</v>
      </c>
      <c r="AT5054" t="s">
        <v>11641</v>
      </c>
      <c r="AX5054" t="s">
        <v>10838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</row>
    <row r="5055" spans="1:59">
      <c r="A5055" s="1">
        <f>HYPERLINK("https://lsnyc.legalserver.org/matter/dynamic-profile/view/1909276","19-1909276")</f>
        <v>0</v>
      </c>
      <c r="B5055" t="s">
        <v>4030</v>
      </c>
      <c r="C5055" t="s">
        <v>8851</v>
      </c>
      <c r="D5055" t="s">
        <v>9928</v>
      </c>
      <c r="E5055" t="s">
        <v>10075</v>
      </c>
      <c r="F5055">
        <v>11206</v>
      </c>
      <c r="G5055" t="s">
        <v>10089</v>
      </c>
      <c r="H5055" t="s">
        <v>10160</v>
      </c>
      <c r="I5055" t="s">
        <v>10168</v>
      </c>
      <c r="J5055" t="s">
        <v>10209</v>
      </c>
      <c r="K5055" t="s">
        <v>10217</v>
      </c>
      <c r="M5055" t="s">
        <v>10300</v>
      </c>
      <c r="N5055" t="s">
        <v>10688</v>
      </c>
      <c r="P5055" t="s">
        <v>10754</v>
      </c>
      <c r="Q5055" t="s">
        <v>10775</v>
      </c>
      <c r="R5055" t="s">
        <v>10821</v>
      </c>
      <c r="T5055">
        <v>0</v>
      </c>
      <c r="U5055">
        <v>0</v>
      </c>
      <c r="V5055">
        <v>60</v>
      </c>
      <c r="W5055">
        <v>1</v>
      </c>
      <c r="X5055">
        <v>0</v>
      </c>
      <c r="Z5055">
        <v>0</v>
      </c>
      <c r="AA5055">
        <v>40.70562</v>
      </c>
      <c r="AB5055">
        <v>-73.949162</v>
      </c>
      <c r="AD5055" t="s">
        <v>10839</v>
      </c>
      <c r="AG5055" t="s">
        <v>10858</v>
      </c>
      <c r="AH5055" t="s">
        <v>10875</v>
      </c>
      <c r="AI5055">
        <v>236</v>
      </c>
      <c r="AJ5055" t="s">
        <v>10209</v>
      </c>
      <c r="AL5055">
        <v>9.800000000000001</v>
      </c>
      <c r="AM5055" t="s">
        <v>10886</v>
      </c>
      <c r="AN5055" t="s">
        <v>10942</v>
      </c>
      <c r="AO5055" t="s">
        <v>11011</v>
      </c>
      <c r="AP5055" t="s">
        <v>11071</v>
      </c>
      <c r="AQ5055" t="s">
        <v>11114</v>
      </c>
      <c r="AR5055" t="s">
        <v>11267</v>
      </c>
      <c r="AS5055" t="s">
        <v>11595</v>
      </c>
      <c r="AT5055" t="s">
        <v>11641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</row>
    <row r="5056" spans="1:59">
      <c r="A5056" s="1">
        <f>HYPERLINK("https://lsnyc.legalserver.org/matter/dynamic-profile/view/1909277","19-1909277")</f>
        <v>0</v>
      </c>
      <c r="B5056" t="s">
        <v>4031</v>
      </c>
      <c r="C5056" t="s">
        <v>8844</v>
      </c>
      <c r="D5056" t="s">
        <v>9975</v>
      </c>
      <c r="E5056" t="s">
        <v>10075</v>
      </c>
      <c r="F5056">
        <v>11415</v>
      </c>
      <c r="G5056" t="s">
        <v>10092</v>
      </c>
      <c r="H5056" t="s">
        <v>10155</v>
      </c>
      <c r="I5056" t="s">
        <v>10168</v>
      </c>
      <c r="J5056" t="s">
        <v>10212</v>
      </c>
      <c r="K5056" t="s">
        <v>10217</v>
      </c>
      <c r="M5056" t="s">
        <v>10325</v>
      </c>
      <c r="N5056" t="s">
        <v>10671</v>
      </c>
      <c r="P5056" t="s">
        <v>10757</v>
      </c>
      <c r="Q5056" t="s">
        <v>10789</v>
      </c>
      <c r="R5056" t="s">
        <v>10823</v>
      </c>
      <c r="T5056">
        <v>9360</v>
      </c>
      <c r="U5056">
        <v>780</v>
      </c>
      <c r="V5056">
        <v>6</v>
      </c>
      <c r="W5056">
        <v>1</v>
      </c>
      <c r="X5056">
        <v>1</v>
      </c>
      <c r="Z5056">
        <v>55.35</v>
      </c>
      <c r="AA5056">
        <v>40.707669</v>
      </c>
      <c r="AB5056">
        <v>-73.828078</v>
      </c>
      <c r="AD5056" t="s">
        <v>10839</v>
      </c>
      <c r="AF5056" t="s">
        <v>10842</v>
      </c>
      <c r="AG5056" t="s">
        <v>10859</v>
      </c>
      <c r="AH5056" t="s">
        <v>10871</v>
      </c>
      <c r="AI5056">
        <v>234</v>
      </c>
      <c r="AJ5056" t="s">
        <v>10214</v>
      </c>
      <c r="AL5056">
        <v>1.24</v>
      </c>
      <c r="AM5056" t="s">
        <v>10890</v>
      </c>
      <c r="AN5056" t="s">
        <v>10962</v>
      </c>
      <c r="AO5056" t="s">
        <v>11020</v>
      </c>
      <c r="AP5056" t="s">
        <v>11083</v>
      </c>
      <c r="AR5056" t="s">
        <v>11335</v>
      </c>
      <c r="AS5056" t="s">
        <v>11594</v>
      </c>
      <c r="AT5056" t="s">
        <v>11641</v>
      </c>
      <c r="AX5056" t="s">
        <v>10838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</row>
    <row r="5057" spans="1:59">
      <c r="A5057" s="1">
        <f>HYPERLINK("https://lsnyc.legalserver.org/matter/dynamic-profile/view/1909278","19-1909278")</f>
        <v>0</v>
      </c>
      <c r="B5057" t="s">
        <v>4032</v>
      </c>
      <c r="C5057" t="s">
        <v>8852</v>
      </c>
      <c r="D5057" t="s">
        <v>9925</v>
      </c>
      <c r="E5057" t="s">
        <v>10075</v>
      </c>
      <c r="F5057">
        <v>10034</v>
      </c>
      <c r="G5057" t="s">
        <v>10089</v>
      </c>
      <c r="H5057" t="s">
        <v>10155</v>
      </c>
      <c r="I5057" t="s">
        <v>10168</v>
      </c>
      <c r="J5057" t="s">
        <v>10209</v>
      </c>
      <c r="K5057" t="s">
        <v>10218</v>
      </c>
      <c r="L5057" t="s">
        <v>10137</v>
      </c>
      <c r="M5057" t="s">
        <v>10403</v>
      </c>
      <c r="N5057" t="s">
        <v>10671</v>
      </c>
      <c r="P5057" t="s">
        <v>10751</v>
      </c>
      <c r="Q5057" t="s">
        <v>10768</v>
      </c>
      <c r="R5057" t="s">
        <v>10820</v>
      </c>
      <c r="T5057">
        <v>0</v>
      </c>
      <c r="U5057">
        <v>0</v>
      </c>
      <c r="V5057">
        <v>58</v>
      </c>
      <c r="W5057">
        <v>1</v>
      </c>
      <c r="X5057">
        <v>0</v>
      </c>
      <c r="Y5057" t="s">
        <v>10829</v>
      </c>
      <c r="Z5057">
        <v>0</v>
      </c>
      <c r="AA5057">
        <v>40.868983</v>
      </c>
      <c r="AB5057">
        <v>-73.921661</v>
      </c>
      <c r="AD5057" t="s">
        <v>10840</v>
      </c>
      <c r="AG5057" t="s">
        <v>10858</v>
      </c>
      <c r="AH5057" t="s">
        <v>10871</v>
      </c>
      <c r="AI5057">
        <v>234</v>
      </c>
      <c r="AJ5057" t="s">
        <v>10214</v>
      </c>
      <c r="AK5057" t="s">
        <v>10838</v>
      </c>
      <c r="AL5057">
        <v>4.25</v>
      </c>
      <c r="AM5057" t="s">
        <v>10887</v>
      </c>
      <c r="AN5057" t="s">
        <v>10937</v>
      </c>
      <c r="AO5057" t="s">
        <v>11019</v>
      </c>
      <c r="AP5057" t="s">
        <v>11074</v>
      </c>
      <c r="AR5057" t="s">
        <v>11267</v>
      </c>
      <c r="AS5057" t="s">
        <v>9925</v>
      </c>
      <c r="AT5057" t="s">
        <v>11642</v>
      </c>
      <c r="AX5057" t="s">
        <v>10837</v>
      </c>
      <c r="AY5057" t="s">
        <v>10829</v>
      </c>
      <c r="AZ5057" t="s">
        <v>11682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</row>
    <row r="5058" spans="1:59">
      <c r="A5058" s="1">
        <f>HYPERLINK("https://lsnyc.legalserver.org/matter/dynamic-profile/view/1909279","19-1909279")</f>
        <v>0</v>
      </c>
      <c r="B5058" t="s">
        <v>1958</v>
      </c>
      <c r="C5058" t="s">
        <v>8853</v>
      </c>
      <c r="D5058" t="s">
        <v>9928</v>
      </c>
      <c r="E5058" t="s">
        <v>10075</v>
      </c>
      <c r="F5058">
        <v>11237</v>
      </c>
      <c r="G5058" t="s">
        <v>10093</v>
      </c>
      <c r="H5058" t="s">
        <v>10155</v>
      </c>
      <c r="I5058" t="s">
        <v>10168</v>
      </c>
      <c r="J5058" t="s">
        <v>10213</v>
      </c>
      <c r="K5058" t="s">
        <v>10217</v>
      </c>
      <c r="M5058" t="s">
        <v>10457</v>
      </c>
      <c r="N5058" t="s">
        <v>10671</v>
      </c>
      <c r="P5058" t="s">
        <v>10749</v>
      </c>
      <c r="Q5058" t="s">
        <v>10765</v>
      </c>
      <c r="R5058" t="s">
        <v>10827</v>
      </c>
      <c r="T5058">
        <v>23400</v>
      </c>
      <c r="U5058">
        <v>1950</v>
      </c>
      <c r="V5058">
        <v>32</v>
      </c>
      <c r="W5058">
        <v>1</v>
      </c>
      <c r="X5058">
        <v>0</v>
      </c>
      <c r="Z5058">
        <v>187.35</v>
      </c>
      <c r="AA5058">
        <v>40.706068</v>
      </c>
      <c r="AB5058">
        <v>-73.92013900000001</v>
      </c>
      <c r="AD5058" t="s">
        <v>10839</v>
      </c>
      <c r="AG5058" t="s">
        <v>10858</v>
      </c>
      <c r="AH5058" t="s">
        <v>10861</v>
      </c>
      <c r="AI5058">
        <v>234</v>
      </c>
      <c r="AJ5058" t="s">
        <v>10214</v>
      </c>
      <c r="AL5058">
        <v>2.5</v>
      </c>
      <c r="AM5058" t="s">
        <v>10886</v>
      </c>
      <c r="AN5058" t="s">
        <v>10942</v>
      </c>
      <c r="AO5058" t="s">
        <v>11011</v>
      </c>
      <c r="AP5058" t="s">
        <v>11071</v>
      </c>
      <c r="AR5058" t="s">
        <v>11293</v>
      </c>
      <c r="AS5058" t="s">
        <v>11595</v>
      </c>
      <c r="AT5058" t="s">
        <v>10841</v>
      </c>
      <c r="AV5058" t="s">
        <v>11663</v>
      </c>
      <c r="AX5058" t="s">
        <v>10837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</row>
    <row r="5059" spans="1:59">
      <c r="A5059" s="1">
        <f>HYPERLINK("https://lsnyc.legalserver.org/matter/dynamic-profile/view/1909282","19-1909282")</f>
        <v>0</v>
      </c>
      <c r="B5059" t="s">
        <v>4033</v>
      </c>
      <c r="C5059" t="s">
        <v>8854</v>
      </c>
      <c r="D5059" t="s">
        <v>9926</v>
      </c>
      <c r="E5059" t="s">
        <v>10075</v>
      </c>
      <c r="F5059">
        <v>10457</v>
      </c>
      <c r="G5059" t="s">
        <v>10090</v>
      </c>
      <c r="H5059" t="s">
        <v>10155</v>
      </c>
      <c r="I5059" t="s">
        <v>10168</v>
      </c>
      <c r="J5059" t="s">
        <v>10210</v>
      </c>
      <c r="K5059" t="s">
        <v>10217</v>
      </c>
      <c r="M5059" t="s">
        <v>10349</v>
      </c>
      <c r="N5059" t="s">
        <v>10651</v>
      </c>
      <c r="P5059" t="s">
        <v>10749</v>
      </c>
      <c r="Q5059" t="s">
        <v>10765</v>
      </c>
      <c r="R5059" t="s">
        <v>10821</v>
      </c>
      <c r="T5059">
        <v>13000</v>
      </c>
      <c r="U5059">
        <v>1083.33</v>
      </c>
      <c r="V5059">
        <v>38</v>
      </c>
      <c r="W5059">
        <v>1</v>
      </c>
      <c r="X5059">
        <v>0</v>
      </c>
      <c r="Z5059">
        <v>104.08</v>
      </c>
      <c r="AA5059">
        <v>40.85309</v>
      </c>
      <c r="AB5059">
        <v>-73.89841199999999</v>
      </c>
      <c r="AD5059" t="s">
        <v>10839</v>
      </c>
      <c r="AG5059" t="s">
        <v>10858</v>
      </c>
      <c r="AH5059" t="s">
        <v>10862</v>
      </c>
      <c r="AI5059">
        <v>230</v>
      </c>
      <c r="AJ5059" t="s">
        <v>10210</v>
      </c>
      <c r="AL5059">
        <v>2</v>
      </c>
      <c r="AM5059" t="s">
        <v>10884</v>
      </c>
      <c r="AN5059" t="s">
        <v>10931</v>
      </c>
      <c r="AO5059" t="s">
        <v>11000</v>
      </c>
      <c r="AP5059" t="s">
        <v>11056</v>
      </c>
      <c r="AR5059" t="s">
        <v>11257</v>
      </c>
      <c r="AS5059" t="s">
        <v>9926</v>
      </c>
      <c r="AT5059" t="s">
        <v>11641</v>
      </c>
      <c r="BA5059" t="s">
        <v>11738</v>
      </c>
      <c r="BB5059">
        <v>0</v>
      </c>
      <c r="BC5059">
        <v>0</v>
      </c>
      <c r="BD5059">
        <v>0</v>
      </c>
      <c r="BE5059">
        <v>0</v>
      </c>
      <c r="BF5059">
        <v>5</v>
      </c>
      <c r="BG5059">
        <v>0</v>
      </c>
    </row>
    <row r="5060" spans="1:59">
      <c r="A5060" s="1">
        <f>HYPERLINK("https://lsnyc.legalserver.org/matter/dynamic-profile/view/1909283","19-1909283")</f>
        <v>0</v>
      </c>
      <c r="B5060" t="s">
        <v>4034</v>
      </c>
      <c r="C5060" t="s">
        <v>5777</v>
      </c>
      <c r="D5060" t="s">
        <v>9925</v>
      </c>
      <c r="E5060" t="s">
        <v>10075</v>
      </c>
      <c r="F5060">
        <v>10040</v>
      </c>
      <c r="G5060" t="s">
        <v>10089</v>
      </c>
      <c r="H5060" t="s">
        <v>10155</v>
      </c>
      <c r="I5060" t="s">
        <v>10169</v>
      </c>
      <c r="J5060" t="s">
        <v>10209</v>
      </c>
      <c r="K5060" t="s">
        <v>10217</v>
      </c>
      <c r="M5060" t="s">
        <v>10573</v>
      </c>
      <c r="N5060" t="s">
        <v>10650</v>
      </c>
      <c r="P5060" t="s">
        <v>10749</v>
      </c>
      <c r="Q5060" t="s">
        <v>10765</v>
      </c>
      <c r="R5060" t="s">
        <v>10821</v>
      </c>
      <c r="T5060">
        <v>12396</v>
      </c>
      <c r="U5060">
        <v>1033</v>
      </c>
      <c r="V5060">
        <v>70</v>
      </c>
      <c r="W5060">
        <v>1</v>
      </c>
      <c r="X5060">
        <v>0</v>
      </c>
      <c r="Z5060">
        <v>99.25</v>
      </c>
      <c r="AA5060">
        <v>40.861784</v>
      </c>
      <c r="AB5060">
        <v>-73.926269</v>
      </c>
      <c r="AC5060" t="s">
        <v>10838</v>
      </c>
      <c r="AD5060" t="s">
        <v>10839</v>
      </c>
      <c r="AG5060" t="s">
        <v>10858</v>
      </c>
      <c r="AH5060" t="s">
        <v>10862</v>
      </c>
      <c r="AI5060">
        <v>236</v>
      </c>
      <c r="AJ5060" t="s">
        <v>10209</v>
      </c>
      <c r="AL5060">
        <v>15.7</v>
      </c>
      <c r="AM5060" t="s">
        <v>10887</v>
      </c>
      <c r="AN5060" t="s">
        <v>10937</v>
      </c>
      <c r="AO5060" t="s">
        <v>11019</v>
      </c>
      <c r="AP5060" t="s">
        <v>11074</v>
      </c>
      <c r="AR5060" t="s">
        <v>11392</v>
      </c>
      <c r="AS5060" t="s">
        <v>9925</v>
      </c>
      <c r="AT5060" t="s">
        <v>11641</v>
      </c>
      <c r="AX5060" t="s">
        <v>10838</v>
      </c>
      <c r="BA5060" t="s">
        <v>11738</v>
      </c>
      <c r="BB5060">
        <v>0</v>
      </c>
      <c r="BC5060">
        <v>0</v>
      </c>
      <c r="BD5060">
        <v>0</v>
      </c>
      <c r="BE5060">
        <v>0</v>
      </c>
      <c r="BF5060">
        <v>5</v>
      </c>
      <c r="BG5060">
        <v>0</v>
      </c>
    </row>
    <row r="5061" spans="1:59">
      <c r="A5061" s="1">
        <f>HYPERLINK("https://lsnyc.legalserver.org/matter/dynamic-profile/view/1909284","19-1909284")</f>
        <v>0</v>
      </c>
      <c r="B5061" t="s">
        <v>4035</v>
      </c>
      <c r="C5061" t="s">
        <v>8855</v>
      </c>
      <c r="D5061" t="s">
        <v>9928</v>
      </c>
      <c r="E5061" t="s">
        <v>10075</v>
      </c>
      <c r="F5061">
        <v>11225</v>
      </c>
      <c r="G5061" t="s">
        <v>10091</v>
      </c>
      <c r="H5061" t="s">
        <v>10155</v>
      </c>
      <c r="I5061" t="s">
        <v>10168</v>
      </c>
      <c r="J5061" t="s">
        <v>10214</v>
      </c>
      <c r="K5061" t="s">
        <v>10217</v>
      </c>
      <c r="M5061" t="s">
        <v>10286</v>
      </c>
      <c r="N5061" t="s">
        <v>10646</v>
      </c>
      <c r="P5061" t="s">
        <v>10751</v>
      </c>
      <c r="Q5061" t="s">
        <v>10768</v>
      </c>
      <c r="R5061" t="s">
        <v>10822</v>
      </c>
      <c r="T5061">
        <v>36804</v>
      </c>
      <c r="U5061">
        <v>3067</v>
      </c>
      <c r="V5061">
        <v>60</v>
      </c>
      <c r="W5061">
        <v>2</v>
      </c>
      <c r="X5061">
        <v>0</v>
      </c>
      <c r="Z5061">
        <v>217.65</v>
      </c>
      <c r="AA5061">
        <v>40.665631</v>
      </c>
      <c r="AB5061">
        <v>-73.951871</v>
      </c>
      <c r="AC5061" t="s">
        <v>10837</v>
      </c>
      <c r="AD5061" t="s">
        <v>10839</v>
      </c>
      <c r="AG5061" t="s">
        <v>10858</v>
      </c>
      <c r="AH5061" t="s">
        <v>10861</v>
      </c>
      <c r="AI5061">
        <v>234</v>
      </c>
      <c r="AJ5061" t="s">
        <v>10214</v>
      </c>
      <c r="AL5061">
        <v>0.7</v>
      </c>
      <c r="AM5061" t="s">
        <v>10888</v>
      </c>
      <c r="AN5061" t="s">
        <v>10912</v>
      </c>
      <c r="AO5061" t="s">
        <v>11005</v>
      </c>
      <c r="AP5061" t="s">
        <v>11061</v>
      </c>
      <c r="AR5061" t="s">
        <v>11303</v>
      </c>
      <c r="AS5061" t="s">
        <v>11595</v>
      </c>
      <c r="AT5061" t="s">
        <v>11641</v>
      </c>
      <c r="AX5061" t="s">
        <v>10838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</row>
    <row r="5062" spans="1:59">
      <c r="A5062" s="1">
        <f>HYPERLINK("https://lsnyc.legalserver.org/matter/dynamic-profile/view/1909286","19-1909286")</f>
        <v>0</v>
      </c>
      <c r="B5062" t="s">
        <v>4036</v>
      </c>
      <c r="C5062" t="s">
        <v>8856</v>
      </c>
      <c r="D5062" t="s">
        <v>9928</v>
      </c>
      <c r="E5062" t="s">
        <v>10075</v>
      </c>
      <c r="F5062">
        <v>11233</v>
      </c>
      <c r="G5062" t="s">
        <v>10093</v>
      </c>
      <c r="H5062" t="s">
        <v>10154</v>
      </c>
      <c r="J5062" t="s">
        <v>10213</v>
      </c>
      <c r="K5062" t="s">
        <v>10217</v>
      </c>
      <c r="M5062" t="s">
        <v>10309</v>
      </c>
      <c r="N5062" t="s">
        <v>10698</v>
      </c>
      <c r="P5062" t="s">
        <v>10749</v>
      </c>
      <c r="Q5062" t="s">
        <v>10765</v>
      </c>
      <c r="R5062" t="s">
        <v>10824</v>
      </c>
      <c r="T5062">
        <v>9816</v>
      </c>
      <c r="U5062">
        <v>818</v>
      </c>
      <c r="V5062">
        <v>49</v>
      </c>
      <c r="W5062">
        <v>1</v>
      </c>
      <c r="X5062">
        <v>0</v>
      </c>
      <c r="Z5062">
        <v>78.59</v>
      </c>
      <c r="AA5062">
        <v>40.676392</v>
      </c>
      <c r="AB5062">
        <v>-73.915404</v>
      </c>
      <c r="AD5062" t="s">
        <v>10839</v>
      </c>
      <c r="AG5062" t="s">
        <v>10858</v>
      </c>
      <c r="AH5062" t="s">
        <v>10868</v>
      </c>
      <c r="AI5062">
        <v>239</v>
      </c>
      <c r="AJ5062" t="s">
        <v>10213</v>
      </c>
      <c r="AL5062">
        <v>3.25</v>
      </c>
      <c r="AM5062" t="s">
        <v>10889</v>
      </c>
      <c r="AN5062" t="s">
        <v>10922</v>
      </c>
      <c r="AO5062" t="s">
        <v>11007</v>
      </c>
      <c r="AP5062" t="s">
        <v>11064</v>
      </c>
      <c r="AR5062" t="s">
        <v>11274</v>
      </c>
      <c r="AS5062" t="s">
        <v>11595</v>
      </c>
      <c r="AT5062" t="s">
        <v>11641</v>
      </c>
      <c r="AX5062" t="s">
        <v>10837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</row>
    <row r="5063" spans="1:59">
      <c r="A5063" s="1">
        <f>HYPERLINK("https://lsnyc.legalserver.org/matter/dynamic-profile/view/1909287","19-1909287")</f>
        <v>0</v>
      </c>
      <c r="B5063" t="s">
        <v>1993</v>
      </c>
      <c r="C5063" t="s">
        <v>8857</v>
      </c>
      <c r="D5063" t="s">
        <v>9932</v>
      </c>
      <c r="E5063" t="s">
        <v>10075</v>
      </c>
      <c r="F5063">
        <v>11368</v>
      </c>
      <c r="G5063" t="s">
        <v>10092</v>
      </c>
      <c r="H5063" t="s">
        <v>10155</v>
      </c>
      <c r="I5063" t="s">
        <v>10168</v>
      </c>
      <c r="J5063" t="s">
        <v>10212</v>
      </c>
      <c r="K5063" t="s">
        <v>10217</v>
      </c>
      <c r="M5063" t="s">
        <v>10566</v>
      </c>
      <c r="N5063" t="s">
        <v>10650</v>
      </c>
      <c r="P5063" t="s">
        <v>10749</v>
      </c>
      <c r="Q5063" t="s">
        <v>10765</v>
      </c>
      <c r="R5063" t="s">
        <v>10824</v>
      </c>
      <c r="T5063">
        <v>0</v>
      </c>
      <c r="U5063">
        <v>0</v>
      </c>
      <c r="V5063">
        <v>37</v>
      </c>
      <c r="W5063">
        <v>1</v>
      </c>
      <c r="X5063">
        <v>0</v>
      </c>
      <c r="Z5063">
        <v>0</v>
      </c>
      <c r="AA5063">
        <v>40.73736</v>
      </c>
      <c r="AB5063">
        <v>-73.861525</v>
      </c>
      <c r="AD5063" t="s">
        <v>10840</v>
      </c>
      <c r="AG5063" t="s">
        <v>10858</v>
      </c>
      <c r="AH5063" t="s">
        <v>10862</v>
      </c>
      <c r="AI5063">
        <v>237</v>
      </c>
      <c r="AJ5063" t="s">
        <v>10212</v>
      </c>
      <c r="AL5063">
        <v>0.9</v>
      </c>
      <c r="AM5063" t="s">
        <v>10885</v>
      </c>
      <c r="AN5063" t="s">
        <v>10916</v>
      </c>
      <c r="AO5063" t="s">
        <v>11014</v>
      </c>
      <c r="AP5063" t="s">
        <v>11068</v>
      </c>
      <c r="AR5063" t="s">
        <v>11267</v>
      </c>
      <c r="AS5063" t="s">
        <v>11594</v>
      </c>
      <c r="AX5063" t="s">
        <v>10838</v>
      </c>
      <c r="BA5063" t="s">
        <v>11741</v>
      </c>
      <c r="BB5063">
        <v>0</v>
      </c>
      <c r="BC5063">
        <v>0</v>
      </c>
      <c r="BD5063">
        <v>0</v>
      </c>
      <c r="BE5063">
        <v>0</v>
      </c>
      <c r="BF5063">
        <v>1</v>
      </c>
      <c r="BG5063">
        <v>0</v>
      </c>
    </row>
    <row r="5064" spans="1:59">
      <c r="A5064" s="1">
        <f>HYPERLINK("https://lsnyc.legalserver.org/matter/dynamic-profile/view/1909288","19-1909288")</f>
        <v>0</v>
      </c>
      <c r="B5064" t="s">
        <v>4031</v>
      </c>
      <c r="C5064" t="s">
        <v>8844</v>
      </c>
      <c r="D5064" t="s">
        <v>9975</v>
      </c>
      <c r="E5064" t="s">
        <v>10075</v>
      </c>
      <c r="F5064">
        <v>11415</v>
      </c>
      <c r="G5064" t="s">
        <v>10092</v>
      </c>
      <c r="H5064" t="s">
        <v>10155</v>
      </c>
      <c r="I5064" t="s">
        <v>10168</v>
      </c>
      <c r="J5064" t="s">
        <v>10212</v>
      </c>
      <c r="K5064" t="s">
        <v>10217</v>
      </c>
      <c r="M5064" t="s">
        <v>10527</v>
      </c>
      <c r="N5064" t="s">
        <v>10671</v>
      </c>
      <c r="P5064" t="s">
        <v>10755</v>
      </c>
      <c r="Q5064" t="s">
        <v>10801</v>
      </c>
      <c r="R5064" t="s">
        <v>10823</v>
      </c>
      <c r="T5064">
        <v>9360</v>
      </c>
      <c r="U5064">
        <v>780</v>
      </c>
      <c r="V5064">
        <v>6</v>
      </c>
      <c r="W5064">
        <v>1</v>
      </c>
      <c r="X5064">
        <v>1</v>
      </c>
      <c r="Z5064">
        <v>55.35</v>
      </c>
      <c r="AA5064">
        <v>40.707669</v>
      </c>
      <c r="AB5064">
        <v>-73.828078</v>
      </c>
      <c r="AD5064" t="s">
        <v>10839</v>
      </c>
      <c r="AF5064" t="s">
        <v>10842</v>
      </c>
      <c r="AG5064" t="s">
        <v>10859</v>
      </c>
      <c r="AH5064" t="s">
        <v>10871</v>
      </c>
      <c r="AI5064">
        <v>234</v>
      </c>
      <c r="AJ5064" t="s">
        <v>10214</v>
      </c>
      <c r="AL5064">
        <v>1.3</v>
      </c>
      <c r="AR5064" t="s">
        <v>11335</v>
      </c>
      <c r="AS5064" t="s">
        <v>11594</v>
      </c>
      <c r="AX5064" t="s">
        <v>10838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</row>
    <row r="5065" spans="1:59">
      <c r="A5065" s="1">
        <f>HYPERLINK("https://lsnyc.legalserver.org/matter/dynamic-profile/view/1909289","19-1909289")</f>
        <v>0</v>
      </c>
      <c r="B5065" t="s">
        <v>4037</v>
      </c>
      <c r="C5065" t="s">
        <v>8858</v>
      </c>
      <c r="D5065" t="s">
        <v>9939</v>
      </c>
      <c r="E5065" t="s">
        <v>10075</v>
      </c>
      <c r="F5065">
        <v>11419</v>
      </c>
      <c r="G5065" t="s">
        <v>10092</v>
      </c>
      <c r="H5065" t="s">
        <v>10155</v>
      </c>
      <c r="I5065" t="s">
        <v>10168</v>
      </c>
      <c r="J5065" t="s">
        <v>10212</v>
      </c>
      <c r="K5065" t="s">
        <v>10217</v>
      </c>
      <c r="M5065" t="s">
        <v>10311</v>
      </c>
      <c r="N5065" t="s">
        <v>10684</v>
      </c>
      <c r="P5065" t="s">
        <v>10751</v>
      </c>
      <c r="Q5065" t="s">
        <v>10786</v>
      </c>
      <c r="R5065" t="s">
        <v>10827</v>
      </c>
      <c r="T5065">
        <v>18900</v>
      </c>
      <c r="U5065">
        <v>1575</v>
      </c>
      <c r="V5065">
        <v>58</v>
      </c>
      <c r="W5065">
        <v>2</v>
      </c>
      <c r="X5065">
        <v>0</v>
      </c>
      <c r="Z5065">
        <v>111.77</v>
      </c>
      <c r="AA5065">
        <v>40.684437</v>
      </c>
      <c r="AB5065">
        <v>-73.819942</v>
      </c>
      <c r="AD5065" t="s">
        <v>10839</v>
      </c>
      <c r="AG5065" t="s">
        <v>10858</v>
      </c>
      <c r="AH5065" t="s">
        <v>10873</v>
      </c>
      <c r="AI5065">
        <v>237</v>
      </c>
      <c r="AJ5065" t="s">
        <v>10212</v>
      </c>
      <c r="AL5065">
        <v>2</v>
      </c>
      <c r="AM5065" t="s">
        <v>10892</v>
      </c>
      <c r="AN5065" t="s">
        <v>10930</v>
      </c>
      <c r="AO5065" t="s">
        <v>11017</v>
      </c>
      <c r="AP5065" t="s">
        <v>11070</v>
      </c>
      <c r="AR5065" t="s">
        <v>11355</v>
      </c>
      <c r="AS5065" t="s">
        <v>11594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</row>
    <row r="5066" spans="1:59">
      <c r="A5066" s="1">
        <f>HYPERLINK("https://lsnyc.legalserver.org/matter/dynamic-profile/view/1909290","19-1909290")</f>
        <v>0</v>
      </c>
      <c r="B5066" t="s">
        <v>3305</v>
      </c>
      <c r="C5066" t="s">
        <v>8859</v>
      </c>
      <c r="D5066" t="s">
        <v>9926</v>
      </c>
      <c r="E5066" t="s">
        <v>10075</v>
      </c>
      <c r="F5066">
        <v>10457</v>
      </c>
      <c r="G5066" t="s">
        <v>10090</v>
      </c>
      <c r="H5066" t="s">
        <v>10155</v>
      </c>
      <c r="I5066" t="s">
        <v>10168</v>
      </c>
      <c r="J5066" t="s">
        <v>10210</v>
      </c>
      <c r="K5066" t="s">
        <v>10218</v>
      </c>
      <c r="L5066" t="s">
        <v>10159</v>
      </c>
      <c r="M5066" t="s">
        <v>10463</v>
      </c>
      <c r="N5066" t="s">
        <v>10650</v>
      </c>
      <c r="P5066" t="s">
        <v>10749</v>
      </c>
      <c r="Q5066" t="s">
        <v>10765</v>
      </c>
      <c r="R5066" t="s">
        <v>10823</v>
      </c>
      <c r="T5066">
        <v>9276</v>
      </c>
      <c r="U5066">
        <v>773</v>
      </c>
      <c r="V5066">
        <v>42</v>
      </c>
      <c r="W5066">
        <v>1</v>
      </c>
      <c r="X5066">
        <v>1</v>
      </c>
      <c r="Y5066" t="s">
        <v>10829</v>
      </c>
      <c r="Z5066">
        <v>54.86</v>
      </c>
      <c r="AA5066">
        <v>40.850258</v>
      </c>
      <c r="AB5066">
        <v>-73.892357</v>
      </c>
      <c r="AD5066" t="s">
        <v>10839</v>
      </c>
      <c r="AG5066" t="s">
        <v>10858</v>
      </c>
      <c r="AH5066" t="s">
        <v>10862</v>
      </c>
      <c r="AI5066">
        <v>230</v>
      </c>
      <c r="AJ5066" t="s">
        <v>10210</v>
      </c>
      <c r="AK5066" t="s">
        <v>10838</v>
      </c>
      <c r="AL5066">
        <v>0.1</v>
      </c>
      <c r="AM5066" t="s">
        <v>10884</v>
      </c>
      <c r="AN5066" t="s">
        <v>10931</v>
      </c>
      <c r="AO5066" t="s">
        <v>11000</v>
      </c>
      <c r="AP5066" t="s">
        <v>11056</v>
      </c>
      <c r="AR5066" t="s">
        <v>11263</v>
      </c>
      <c r="AS5066" t="s">
        <v>9926</v>
      </c>
      <c r="AY5066" t="s">
        <v>10829</v>
      </c>
      <c r="AZ5066" t="s">
        <v>11681</v>
      </c>
      <c r="BA5066" t="s">
        <v>11741</v>
      </c>
      <c r="BB5066">
        <v>0</v>
      </c>
      <c r="BC5066">
        <v>0</v>
      </c>
      <c r="BD5066">
        <v>0</v>
      </c>
      <c r="BE5066">
        <v>0</v>
      </c>
      <c r="BF5066">
        <v>1</v>
      </c>
      <c r="BG5066">
        <v>0</v>
      </c>
    </row>
    <row r="5067" spans="1:59">
      <c r="A5067" s="1">
        <f>HYPERLINK("https://lsnyc.legalserver.org/matter/dynamic-profile/view/1909291","19-1909291")</f>
        <v>0</v>
      </c>
      <c r="B5067" t="s">
        <v>4038</v>
      </c>
      <c r="C5067" t="s">
        <v>8860</v>
      </c>
      <c r="D5067" t="s">
        <v>9926</v>
      </c>
      <c r="E5067" t="s">
        <v>10075</v>
      </c>
      <c r="F5067">
        <v>10460</v>
      </c>
      <c r="G5067" t="s">
        <v>10090</v>
      </c>
      <c r="H5067" t="s">
        <v>10155</v>
      </c>
      <c r="I5067" t="s">
        <v>10168</v>
      </c>
      <c r="J5067" t="s">
        <v>10210</v>
      </c>
      <c r="K5067" t="s">
        <v>10218</v>
      </c>
      <c r="L5067" t="s">
        <v>10157</v>
      </c>
      <c r="M5067" t="s">
        <v>10262</v>
      </c>
      <c r="N5067" t="s">
        <v>10666</v>
      </c>
      <c r="P5067" t="s">
        <v>10749</v>
      </c>
      <c r="Q5067" t="s">
        <v>10765</v>
      </c>
      <c r="R5067" t="s">
        <v>10824</v>
      </c>
      <c r="T5067">
        <v>14955.6</v>
      </c>
      <c r="U5067">
        <v>1246.3</v>
      </c>
      <c r="V5067">
        <v>27</v>
      </c>
      <c r="W5067">
        <v>2</v>
      </c>
      <c r="X5067">
        <v>6</v>
      </c>
      <c r="Y5067" t="s">
        <v>10829</v>
      </c>
      <c r="Z5067">
        <v>34.44</v>
      </c>
      <c r="AA5067">
        <v>40.843128</v>
      </c>
      <c r="AB5067">
        <v>-73.881393</v>
      </c>
      <c r="AD5067" t="s">
        <v>10839</v>
      </c>
      <c r="AG5067" t="s">
        <v>10858</v>
      </c>
      <c r="AH5067" t="s">
        <v>10861</v>
      </c>
      <c r="AI5067">
        <v>230</v>
      </c>
      <c r="AJ5067" t="s">
        <v>10210</v>
      </c>
      <c r="AK5067" t="s">
        <v>10882</v>
      </c>
      <c r="AL5067">
        <v>0.3</v>
      </c>
      <c r="AM5067" t="s">
        <v>10884</v>
      </c>
      <c r="AN5067" t="s">
        <v>10908</v>
      </c>
      <c r="AO5067" t="s">
        <v>11001</v>
      </c>
      <c r="AP5067" t="s">
        <v>11062</v>
      </c>
      <c r="AR5067" t="s">
        <v>11382</v>
      </c>
      <c r="AS5067" t="s">
        <v>9926</v>
      </c>
      <c r="AT5067" t="s">
        <v>11641</v>
      </c>
      <c r="AX5067" t="s">
        <v>10838</v>
      </c>
      <c r="AY5067" t="s">
        <v>10829</v>
      </c>
      <c r="AZ5067" t="s">
        <v>11681</v>
      </c>
      <c r="BA5067" t="s">
        <v>11741</v>
      </c>
      <c r="BB5067">
        <v>0</v>
      </c>
      <c r="BC5067">
        <v>0</v>
      </c>
      <c r="BD5067">
        <v>0</v>
      </c>
      <c r="BE5067">
        <v>0</v>
      </c>
      <c r="BF5067">
        <v>1</v>
      </c>
      <c r="BG5067">
        <v>0</v>
      </c>
    </row>
    <row r="5068" spans="1:59">
      <c r="A5068" s="1">
        <f>HYPERLINK("https://lsnyc.legalserver.org/matter/dynamic-profile/view/1909293","19-1909293")</f>
        <v>0</v>
      </c>
      <c r="B5068" t="s">
        <v>4039</v>
      </c>
      <c r="C5068" t="s">
        <v>8861</v>
      </c>
      <c r="D5068" t="s">
        <v>9926</v>
      </c>
      <c r="E5068" t="s">
        <v>10075</v>
      </c>
      <c r="F5068">
        <v>10453</v>
      </c>
      <c r="G5068" t="s">
        <v>10090</v>
      </c>
      <c r="H5068" t="s">
        <v>10155</v>
      </c>
      <c r="I5068" t="s">
        <v>10169</v>
      </c>
      <c r="J5068" t="s">
        <v>10210</v>
      </c>
      <c r="K5068" t="s">
        <v>10218</v>
      </c>
      <c r="L5068" t="s">
        <v>4843</v>
      </c>
      <c r="M5068" t="s">
        <v>10262</v>
      </c>
      <c r="N5068" t="s">
        <v>10666</v>
      </c>
      <c r="P5068" t="s">
        <v>10749</v>
      </c>
      <c r="Q5068" t="s">
        <v>10765</v>
      </c>
      <c r="R5068" t="s">
        <v>10823</v>
      </c>
      <c r="T5068">
        <v>0</v>
      </c>
      <c r="U5068">
        <v>0</v>
      </c>
      <c r="V5068">
        <v>24</v>
      </c>
      <c r="W5068">
        <v>1</v>
      </c>
      <c r="X5068">
        <v>2</v>
      </c>
      <c r="Y5068" t="s">
        <v>10829</v>
      </c>
      <c r="Z5068">
        <v>0</v>
      </c>
      <c r="AA5068">
        <v>40.854368</v>
      </c>
      <c r="AB5068">
        <v>-73.916326</v>
      </c>
      <c r="AD5068" t="s">
        <v>10839</v>
      </c>
      <c r="AF5068" t="s">
        <v>10843</v>
      </c>
      <c r="AG5068" t="s">
        <v>10859</v>
      </c>
      <c r="AH5068" t="s">
        <v>10861</v>
      </c>
      <c r="AI5068">
        <v>230</v>
      </c>
      <c r="AJ5068" t="s">
        <v>10210</v>
      </c>
      <c r="AK5068" t="s">
        <v>10838</v>
      </c>
      <c r="AL5068">
        <v>0.5</v>
      </c>
      <c r="AM5068" t="s">
        <v>10884</v>
      </c>
      <c r="AN5068" t="s">
        <v>10931</v>
      </c>
      <c r="AO5068" t="s">
        <v>11013</v>
      </c>
      <c r="AP5068" t="s">
        <v>11045</v>
      </c>
      <c r="AR5068" t="s">
        <v>11267</v>
      </c>
      <c r="AS5068" t="s">
        <v>9926</v>
      </c>
      <c r="AT5068" t="s">
        <v>11641</v>
      </c>
      <c r="AX5068" t="s">
        <v>10838</v>
      </c>
      <c r="AY5068" t="s">
        <v>10829</v>
      </c>
      <c r="AZ5068" t="s">
        <v>11681</v>
      </c>
      <c r="BA5068" t="s">
        <v>11741</v>
      </c>
      <c r="BB5068">
        <v>0</v>
      </c>
      <c r="BC5068">
        <v>0</v>
      </c>
      <c r="BD5068">
        <v>0</v>
      </c>
      <c r="BE5068">
        <v>0</v>
      </c>
      <c r="BF5068">
        <v>1</v>
      </c>
      <c r="BG5068">
        <v>0</v>
      </c>
    </row>
    <row r="5069" spans="1:59">
      <c r="A5069" s="1">
        <f>HYPERLINK("https://lsnyc.legalserver.org/matter/dynamic-profile/view/1909294","19-1909294")</f>
        <v>0</v>
      </c>
      <c r="B5069" t="s">
        <v>4040</v>
      </c>
      <c r="C5069" t="s">
        <v>8862</v>
      </c>
      <c r="D5069" t="s">
        <v>9976</v>
      </c>
      <c r="E5069" t="s">
        <v>10075</v>
      </c>
      <c r="F5069">
        <v>11426</v>
      </c>
      <c r="G5069" t="s">
        <v>10092</v>
      </c>
      <c r="H5069" t="s">
        <v>10155</v>
      </c>
      <c r="I5069" t="s">
        <v>10169</v>
      </c>
      <c r="J5069" t="s">
        <v>10212</v>
      </c>
      <c r="K5069" t="s">
        <v>10218</v>
      </c>
      <c r="L5069" t="s">
        <v>10136</v>
      </c>
      <c r="M5069" t="s">
        <v>10555</v>
      </c>
      <c r="N5069" t="s">
        <v>10695</v>
      </c>
      <c r="P5069" t="s">
        <v>10749</v>
      </c>
      <c r="Q5069" t="s">
        <v>10765</v>
      </c>
      <c r="R5069" t="s">
        <v>10821</v>
      </c>
      <c r="T5069">
        <v>13968</v>
      </c>
      <c r="U5069">
        <v>1164</v>
      </c>
      <c r="V5069">
        <v>60</v>
      </c>
      <c r="W5069">
        <v>4</v>
      </c>
      <c r="X5069">
        <v>0</v>
      </c>
      <c r="Y5069" t="s">
        <v>10829</v>
      </c>
      <c r="Z5069">
        <v>54.24</v>
      </c>
      <c r="AA5069">
        <v>40.724777</v>
      </c>
      <c r="AB5069">
        <v>-73.727547</v>
      </c>
      <c r="AD5069" t="s">
        <v>10839</v>
      </c>
      <c r="AG5069" t="s">
        <v>10858</v>
      </c>
      <c r="AH5069" t="s">
        <v>10862</v>
      </c>
      <c r="AI5069">
        <v>237</v>
      </c>
      <c r="AJ5069" t="s">
        <v>10212</v>
      </c>
      <c r="AK5069" t="s">
        <v>10882</v>
      </c>
      <c r="AL5069">
        <v>0.75</v>
      </c>
      <c r="AM5069" t="s">
        <v>10892</v>
      </c>
      <c r="AN5069" t="s">
        <v>10940</v>
      </c>
      <c r="AO5069" t="s">
        <v>11022</v>
      </c>
      <c r="AP5069" t="s">
        <v>11078</v>
      </c>
      <c r="AR5069" t="s">
        <v>11254</v>
      </c>
      <c r="AS5069" t="s">
        <v>11594</v>
      </c>
      <c r="AY5069" t="s">
        <v>10829</v>
      </c>
      <c r="AZ5069" t="s">
        <v>11681</v>
      </c>
      <c r="BA5069" t="s">
        <v>11741</v>
      </c>
      <c r="BB5069">
        <v>0</v>
      </c>
      <c r="BC5069">
        <v>0</v>
      </c>
      <c r="BD5069">
        <v>0</v>
      </c>
      <c r="BE5069">
        <v>0</v>
      </c>
      <c r="BF5069">
        <v>1</v>
      </c>
      <c r="BG5069">
        <v>0</v>
      </c>
    </row>
    <row r="5070" spans="1:59">
      <c r="A5070" s="1">
        <f>HYPERLINK("https://lsnyc.legalserver.org/matter/dynamic-profile/view/1909295","19-1909295")</f>
        <v>0</v>
      </c>
      <c r="B5070" t="s">
        <v>4033</v>
      </c>
      <c r="C5070" t="s">
        <v>8854</v>
      </c>
      <c r="D5070" t="s">
        <v>9926</v>
      </c>
      <c r="E5070" t="s">
        <v>10075</v>
      </c>
      <c r="F5070">
        <v>10457</v>
      </c>
      <c r="G5070" t="s">
        <v>10090</v>
      </c>
      <c r="H5070" t="s">
        <v>10155</v>
      </c>
      <c r="I5070" t="s">
        <v>10168</v>
      </c>
      <c r="J5070" t="s">
        <v>10210</v>
      </c>
      <c r="K5070" t="s">
        <v>10217</v>
      </c>
      <c r="M5070" t="s">
        <v>10353</v>
      </c>
      <c r="N5070" t="s">
        <v>10671</v>
      </c>
      <c r="P5070" t="s">
        <v>10751</v>
      </c>
      <c r="Q5070" t="s">
        <v>10761</v>
      </c>
      <c r="R5070" t="s">
        <v>10821</v>
      </c>
      <c r="T5070">
        <v>13000</v>
      </c>
      <c r="U5070">
        <v>1083.33</v>
      </c>
      <c r="V5070">
        <v>38</v>
      </c>
      <c r="W5070">
        <v>1</v>
      </c>
      <c r="X5070">
        <v>0</v>
      </c>
      <c r="Z5070">
        <v>104.08</v>
      </c>
      <c r="AA5070">
        <v>40.85309</v>
      </c>
      <c r="AB5070">
        <v>-73.89841199999999</v>
      </c>
      <c r="AD5070" t="s">
        <v>10839</v>
      </c>
      <c r="AG5070" t="s">
        <v>10858</v>
      </c>
      <c r="AH5070" t="s">
        <v>10862</v>
      </c>
      <c r="AI5070">
        <v>230</v>
      </c>
      <c r="AJ5070" t="s">
        <v>10210</v>
      </c>
      <c r="AL5070">
        <v>0.5</v>
      </c>
      <c r="AR5070" t="s">
        <v>11257</v>
      </c>
      <c r="AS5070" t="s">
        <v>9926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</row>
    <row r="5071" spans="1:59">
      <c r="A5071" s="1">
        <f>HYPERLINK("https://lsnyc.legalserver.org/matter/dynamic-profile/view/1909296","19-1909296")</f>
        <v>0</v>
      </c>
      <c r="B5071" t="s">
        <v>4041</v>
      </c>
      <c r="C5071" t="s">
        <v>8863</v>
      </c>
      <c r="D5071" t="s">
        <v>9928</v>
      </c>
      <c r="E5071" t="s">
        <v>10075</v>
      </c>
      <c r="F5071">
        <v>11208</v>
      </c>
      <c r="G5071" t="s">
        <v>10093</v>
      </c>
      <c r="H5071" t="s">
        <v>10155</v>
      </c>
      <c r="I5071" t="s">
        <v>10168</v>
      </c>
      <c r="J5071" t="s">
        <v>10213</v>
      </c>
      <c r="K5071" t="s">
        <v>10217</v>
      </c>
      <c r="M5071" t="s">
        <v>10348</v>
      </c>
      <c r="N5071" t="s">
        <v>10650</v>
      </c>
      <c r="P5071" t="s">
        <v>10749</v>
      </c>
      <c r="Q5071" t="s">
        <v>10765</v>
      </c>
      <c r="R5071" t="s">
        <v>10824</v>
      </c>
      <c r="T5071">
        <v>1821.6</v>
      </c>
      <c r="U5071">
        <v>151.8</v>
      </c>
      <c r="V5071">
        <v>56</v>
      </c>
      <c r="W5071">
        <v>1</v>
      </c>
      <c r="X5071">
        <v>0</v>
      </c>
      <c r="Z5071">
        <v>14.58</v>
      </c>
      <c r="AA5071">
        <v>40.667274</v>
      </c>
      <c r="AB5071">
        <v>-73.860698</v>
      </c>
      <c r="AC5071" t="s">
        <v>10838</v>
      </c>
      <c r="AD5071" t="s">
        <v>10839</v>
      </c>
      <c r="AG5071" t="s">
        <v>10858</v>
      </c>
      <c r="AH5071" t="s">
        <v>10861</v>
      </c>
      <c r="AI5071">
        <v>234</v>
      </c>
      <c r="AJ5071" t="s">
        <v>10214</v>
      </c>
      <c r="AL5071">
        <v>8.25</v>
      </c>
      <c r="AM5071" t="s">
        <v>10889</v>
      </c>
      <c r="AN5071" t="s">
        <v>10946</v>
      </c>
      <c r="AO5071" t="s">
        <v>11012</v>
      </c>
      <c r="AP5071" t="s">
        <v>11060</v>
      </c>
      <c r="AR5071" t="s">
        <v>11255</v>
      </c>
      <c r="AS5071" t="s">
        <v>11595</v>
      </c>
      <c r="AT5071" t="s">
        <v>11641</v>
      </c>
      <c r="AX5071" t="s">
        <v>10838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</row>
    <row r="5072" spans="1:59">
      <c r="A5072" s="1">
        <f>HYPERLINK("https://lsnyc.legalserver.org/matter/dynamic-profile/view/1909297","19-1909297")</f>
        <v>0</v>
      </c>
      <c r="B5072" t="s">
        <v>1814</v>
      </c>
      <c r="C5072" t="s">
        <v>8864</v>
      </c>
      <c r="D5072" t="s">
        <v>9928</v>
      </c>
      <c r="E5072" t="s">
        <v>10075</v>
      </c>
      <c r="F5072">
        <v>11233</v>
      </c>
      <c r="G5072" t="s">
        <v>10093</v>
      </c>
      <c r="H5072" t="s">
        <v>10155</v>
      </c>
      <c r="I5072" t="s">
        <v>10168</v>
      </c>
      <c r="J5072" t="s">
        <v>10213</v>
      </c>
      <c r="K5072" t="s">
        <v>10217</v>
      </c>
      <c r="M5072" t="s">
        <v>10291</v>
      </c>
      <c r="N5072" t="s">
        <v>10667</v>
      </c>
      <c r="P5072" t="s">
        <v>10749</v>
      </c>
      <c r="Q5072" t="s">
        <v>10765</v>
      </c>
      <c r="R5072" t="s">
        <v>10822</v>
      </c>
      <c r="T5072">
        <v>0</v>
      </c>
      <c r="U5072">
        <v>0</v>
      </c>
      <c r="V5072">
        <v>60</v>
      </c>
      <c r="W5072">
        <v>1</v>
      </c>
      <c r="X5072">
        <v>1</v>
      </c>
      <c r="Z5072">
        <v>0</v>
      </c>
      <c r="AA5072">
        <v>40.671634</v>
      </c>
      <c r="AB5072">
        <v>-73.912881</v>
      </c>
      <c r="AD5072" t="s">
        <v>10841</v>
      </c>
      <c r="AF5072" t="s">
        <v>10843</v>
      </c>
      <c r="AG5072" t="s">
        <v>10859</v>
      </c>
      <c r="AH5072" t="s">
        <v>10861</v>
      </c>
      <c r="AI5072">
        <v>239</v>
      </c>
      <c r="AJ5072" t="s">
        <v>10213</v>
      </c>
      <c r="AL5072">
        <v>2.5</v>
      </c>
      <c r="AM5072" t="s">
        <v>10888</v>
      </c>
      <c r="AN5072" t="s">
        <v>10922</v>
      </c>
      <c r="AO5072" t="s">
        <v>11005</v>
      </c>
      <c r="AP5072" t="s">
        <v>11064</v>
      </c>
      <c r="AR5072" t="s">
        <v>11279</v>
      </c>
      <c r="AS5072" t="s">
        <v>11595</v>
      </c>
      <c r="BA5072" t="s">
        <v>11738</v>
      </c>
      <c r="BB5072">
        <v>0</v>
      </c>
      <c r="BC5072">
        <v>0</v>
      </c>
      <c r="BD5072">
        <v>0</v>
      </c>
      <c r="BE5072">
        <v>0</v>
      </c>
      <c r="BF5072">
        <v>5</v>
      </c>
      <c r="BG5072">
        <v>0</v>
      </c>
    </row>
    <row r="5073" spans="1:59">
      <c r="A5073" s="1">
        <f>HYPERLINK("https://lsnyc.legalserver.org/matter/dynamic-profile/view/1909298","19-1909298")</f>
        <v>0</v>
      </c>
      <c r="B5073" t="s">
        <v>4042</v>
      </c>
      <c r="C5073" t="s">
        <v>8865</v>
      </c>
      <c r="D5073" t="s">
        <v>9928</v>
      </c>
      <c r="E5073" t="s">
        <v>10075</v>
      </c>
      <c r="F5073">
        <v>11220</v>
      </c>
      <c r="G5073" t="s">
        <v>10093</v>
      </c>
      <c r="H5073" t="s">
        <v>10155</v>
      </c>
      <c r="I5073" t="s">
        <v>10168</v>
      </c>
      <c r="J5073" t="s">
        <v>10213</v>
      </c>
      <c r="K5073" t="s">
        <v>10218</v>
      </c>
      <c r="L5073" t="s">
        <v>10116</v>
      </c>
      <c r="M5073" t="s">
        <v>10436</v>
      </c>
      <c r="N5073" t="s">
        <v>10710</v>
      </c>
      <c r="P5073" t="s">
        <v>10750</v>
      </c>
      <c r="Q5073" t="s">
        <v>10760</v>
      </c>
      <c r="R5073" t="s">
        <v>10821</v>
      </c>
      <c r="T5073">
        <v>16944</v>
      </c>
      <c r="U5073">
        <v>1412</v>
      </c>
      <c r="V5073">
        <v>74</v>
      </c>
      <c r="W5073">
        <v>1</v>
      </c>
      <c r="X5073">
        <v>0</v>
      </c>
      <c r="Y5073" t="s">
        <v>10829</v>
      </c>
      <c r="Z5073">
        <v>135.66</v>
      </c>
      <c r="AA5073">
        <v>40.650645</v>
      </c>
      <c r="AB5073">
        <v>-74.01002200000001</v>
      </c>
      <c r="AD5073" t="s">
        <v>10839</v>
      </c>
      <c r="AG5073" t="s">
        <v>10858</v>
      </c>
      <c r="AH5073" t="s">
        <v>10861</v>
      </c>
      <c r="AI5073">
        <v>234</v>
      </c>
      <c r="AJ5073" t="s">
        <v>10214</v>
      </c>
      <c r="AK5073" t="s">
        <v>10838</v>
      </c>
      <c r="AL5073">
        <v>1</v>
      </c>
      <c r="AM5073" t="s">
        <v>10886</v>
      </c>
      <c r="AN5073" t="s">
        <v>10921</v>
      </c>
      <c r="AO5073" t="s">
        <v>11007</v>
      </c>
      <c r="AP5073" t="s">
        <v>11069</v>
      </c>
      <c r="AR5073" t="s">
        <v>11379</v>
      </c>
      <c r="AS5073" t="s">
        <v>11595</v>
      </c>
      <c r="AT5073" t="s">
        <v>11641</v>
      </c>
      <c r="AX5073" t="s">
        <v>10838</v>
      </c>
      <c r="AY5073" t="s">
        <v>10829</v>
      </c>
      <c r="AZ5073" t="s">
        <v>11679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</row>
    <row r="5074" spans="1:59">
      <c r="A5074" s="1">
        <f>HYPERLINK("https://lsnyc.legalserver.org/matter/dynamic-profile/view/1909299","19-1909299")</f>
        <v>0</v>
      </c>
      <c r="B5074" t="s">
        <v>4043</v>
      </c>
      <c r="C5074" t="s">
        <v>8016</v>
      </c>
      <c r="D5074" t="s">
        <v>9925</v>
      </c>
      <c r="E5074" t="s">
        <v>10075</v>
      </c>
      <c r="F5074">
        <v>10278</v>
      </c>
      <c r="G5074" t="s">
        <v>10092</v>
      </c>
      <c r="H5074" t="s">
        <v>10108</v>
      </c>
      <c r="I5074" t="s">
        <v>10168</v>
      </c>
      <c r="J5074" t="s">
        <v>10212</v>
      </c>
      <c r="K5074" t="s">
        <v>10217</v>
      </c>
      <c r="M5074" t="s">
        <v>10355</v>
      </c>
      <c r="N5074" t="s">
        <v>10699</v>
      </c>
      <c r="P5074" t="s">
        <v>10754</v>
      </c>
      <c r="Q5074" t="s">
        <v>10777</v>
      </c>
      <c r="R5074" t="s">
        <v>10823</v>
      </c>
      <c r="T5074">
        <v>0</v>
      </c>
      <c r="U5074">
        <v>0</v>
      </c>
      <c r="V5074">
        <v>30</v>
      </c>
      <c r="W5074">
        <v>1</v>
      </c>
      <c r="X5074">
        <v>2</v>
      </c>
      <c r="Z5074">
        <v>0</v>
      </c>
      <c r="AA5074">
        <v>0</v>
      </c>
      <c r="AB5074">
        <v>0</v>
      </c>
      <c r="AD5074" t="s">
        <v>10839</v>
      </c>
      <c r="AF5074" t="s">
        <v>10842</v>
      </c>
      <c r="AG5074" t="s">
        <v>10859</v>
      </c>
      <c r="AH5074" t="s">
        <v>10865</v>
      </c>
      <c r="AI5074">
        <v>237</v>
      </c>
      <c r="AJ5074" t="s">
        <v>10212</v>
      </c>
      <c r="AL5074">
        <v>1.75</v>
      </c>
      <c r="AQ5074" t="s">
        <v>11128</v>
      </c>
      <c r="AR5074" t="s">
        <v>11267</v>
      </c>
      <c r="AS5074" t="s">
        <v>9925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</row>
    <row r="5075" spans="1:59">
      <c r="A5075" s="1">
        <f>HYPERLINK("https://lsnyc.legalserver.org/matter/dynamic-profile/view/1909300","19-1909300")</f>
        <v>0</v>
      </c>
      <c r="B5075" t="s">
        <v>4044</v>
      </c>
      <c r="C5075" t="s">
        <v>8866</v>
      </c>
      <c r="D5075" t="s">
        <v>9926</v>
      </c>
      <c r="E5075" t="s">
        <v>10075</v>
      </c>
      <c r="F5075">
        <v>10462</v>
      </c>
      <c r="G5075" t="s">
        <v>10090</v>
      </c>
      <c r="H5075" t="s">
        <v>10155</v>
      </c>
      <c r="I5075" t="s">
        <v>10168</v>
      </c>
      <c r="J5075" t="s">
        <v>10210</v>
      </c>
      <c r="K5075" t="s">
        <v>10217</v>
      </c>
      <c r="M5075" t="s">
        <v>10283</v>
      </c>
      <c r="N5075" t="s">
        <v>10671</v>
      </c>
      <c r="P5075" t="s">
        <v>10751</v>
      </c>
      <c r="Q5075" t="s">
        <v>10786</v>
      </c>
      <c r="R5075" t="s">
        <v>10824</v>
      </c>
      <c r="T5075">
        <v>0</v>
      </c>
      <c r="U5075">
        <v>0</v>
      </c>
      <c r="V5075">
        <v>22</v>
      </c>
      <c r="W5075">
        <v>1</v>
      </c>
      <c r="X5075">
        <v>0</v>
      </c>
      <c r="Z5075">
        <v>0</v>
      </c>
      <c r="AA5075">
        <v>40.846248</v>
      </c>
      <c r="AB5075">
        <v>-73.86215900000001</v>
      </c>
      <c r="AD5075" t="s">
        <v>10839</v>
      </c>
      <c r="AG5075" t="s">
        <v>10858</v>
      </c>
      <c r="AH5075" t="s">
        <v>10874</v>
      </c>
      <c r="AI5075">
        <v>230</v>
      </c>
      <c r="AJ5075" t="s">
        <v>10210</v>
      </c>
      <c r="AL5075">
        <v>2.5</v>
      </c>
      <c r="AM5075" t="s">
        <v>10885</v>
      </c>
      <c r="AN5075" t="s">
        <v>10938</v>
      </c>
      <c r="AO5075" t="s">
        <v>11000</v>
      </c>
      <c r="AP5075" t="s">
        <v>11049</v>
      </c>
      <c r="AR5075" t="s">
        <v>11267</v>
      </c>
      <c r="AS5075" t="s">
        <v>9926</v>
      </c>
      <c r="AX5075" t="s">
        <v>10837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</row>
    <row r="5076" spans="1:59">
      <c r="A5076" s="1">
        <f>HYPERLINK("https://lsnyc.legalserver.org/matter/dynamic-profile/view/1909301","19-1909301")</f>
        <v>0</v>
      </c>
      <c r="B5076" t="s">
        <v>4045</v>
      </c>
      <c r="C5076" t="s">
        <v>8867</v>
      </c>
      <c r="D5076" t="s">
        <v>9926</v>
      </c>
      <c r="E5076" t="s">
        <v>10075</v>
      </c>
      <c r="F5076">
        <v>10456</v>
      </c>
      <c r="G5076" t="s">
        <v>10090</v>
      </c>
      <c r="H5076" t="s">
        <v>10155</v>
      </c>
      <c r="I5076" t="s">
        <v>10168</v>
      </c>
      <c r="J5076" t="s">
        <v>10210</v>
      </c>
      <c r="K5076" t="s">
        <v>10218</v>
      </c>
      <c r="L5076" t="s">
        <v>10159</v>
      </c>
      <c r="M5076" t="s">
        <v>10623</v>
      </c>
      <c r="N5076" t="s">
        <v>10666</v>
      </c>
      <c r="P5076" t="s">
        <v>10749</v>
      </c>
      <c r="Q5076" t="s">
        <v>10767</v>
      </c>
      <c r="R5076" t="s">
        <v>10821</v>
      </c>
      <c r="T5076">
        <v>4668</v>
      </c>
      <c r="U5076">
        <v>389</v>
      </c>
      <c r="V5076">
        <v>28</v>
      </c>
      <c r="W5076">
        <v>1</v>
      </c>
      <c r="X5076">
        <v>3</v>
      </c>
      <c r="Y5076" t="s">
        <v>10829</v>
      </c>
      <c r="Z5076">
        <v>18.13</v>
      </c>
      <c r="AA5076">
        <v>40.826103</v>
      </c>
      <c r="AB5076">
        <v>-73.902868</v>
      </c>
      <c r="AD5076" t="s">
        <v>10839</v>
      </c>
      <c r="AG5076" t="s">
        <v>10858</v>
      </c>
      <c r="AH5076" t="s">
        <v>10862</v>
      </c>
      <c r="AI5076">
        <v>230</v>
      </c>
      <c r="AJ5076" t="s">
        <v>10210</v>
      </c>
      <c r="AK5076" t="s">
        <v>10838</v>
      </c>
      <c r="AL5076">
        <v>0.1</v>
      </c>
      <c r="AM5076" t="s">
        <v>10884</v>
      </c>
      <c r="AN5076" t="s">
        <v>10918</v>
      </c>
      <c r="AO5076" t="s">
        <v>11001</v>
      </c>
      <c r="AP5076" t="s">
        <v>11055</v>
      </c>
      <c r="AR5076" t="s">
        <v>11273</v>
      </c>
      <c r="AS5076" t="s">
        <v>9926</v>
      </c>
      <c r="AT5076" t="s">
        <v>11641</v>
      </c>
      <c r="AX5076" t="s">
        <v>10838</v>
      </c>
      <c r="AY5076" t="s">
        <v>10829</v>
      </c>
      <c r="AZ5076" t="s">
        <v>11681</v>
      </c>
      <c r="BA5076" t="s">
        <v>11741</v>
      </c>
      <c r="BB5076">
        <v>0</v>
      </c>
      <c r="BC5076">
        <v>0</v>
      </c>
      <c r="BD5076">
        <v>0</v>
      </c>
      <c r="BE5076">
        <v>0</v>
      </c>
      <c r="BF5076">
        <v>1</v>
      </c>
      <c r="BG5076">
        <v>0</v>
      </c>
    </row>
    <row r="5077" spans="1:59">
      <c r="A5077" s="1">
        <f>HYPERLINK("https://lsnyc.legalserver.org/matter/dynamic-profile/view/1909302","19-1909302")</f>
        <v>0</v>
      </c>
      <c r="B5077" t="s">
        <v>4046</v>
      </c>
      <c r="C5077" t="s">
        <v>8868</v>
      </c>
      <c r="D5077" t="s">
        <v>9926</v>
      </c>
      <c r="E5077" t="s">
        <v>10075</v>
      </c>
      <c r="F5077">
        <v>10468</v>
      </c>
      <c r="G5077" t="s">
        <v>10090</v>
      </c>
      <c r="H5077" t="s">
        <v>10155</v>
      </c>
      <c r="I5077" t="s">
        <v>10168</v>
      </c>
      <c r="J5077" t="s">
        <v>10210</v>
      </c>
      <c r="K5077" t="s">
        <v>10217</v>
      </c>
      <c r="M5077" t="s">
        <v>10349</v>
      </c>
      <c r="N5077" t="s">
        <v>10651</v>
      </c>
      <c r="P5077" t="s">
        <v>10749</v>
      </c>
      <c r="Q5077" t="s">
        <v>10765</v>
      </c>
      <c r="R5077" t="s">
        <v>10821</v>
      </c>
      <c r="T5077">
        <v>50196</v>
      </c>
      <c r="U5077">
        <v>4183</v>
      </c>
      <c r="V5077">
        <v>31</v>
      </c>
      <c r="W5077">
        <v>1</v>
      </c>
      <c r="X5077">
        <v>4</v>
      </c>
      <c r="Z5077">
        <v>166.38</v>
      </c>
      <c r="AA5077">
        <v>40.864954</v>
      </c>
      <c r="AB5077">
        <v>-73.900847</v>
      </c>
      <c r="AD5077" t="s">
        <v>10839</v>
      </c>
      <c r="AG5077" t="s">
        <v>10858</v>
      </c>
      <c r="AH5077" t="s">
        <v>10862</v>
      </c>
      <c r="AI5077">
        <v>230</v>
      </c>
      <c r="AJ5077" t="s">
        <v>10210</v>
      </c>
      <c r="AL5077">
        <v>2</v>
      </c>
      <c r="AM5077" t="s">
        <v>10887</v>
      </c>
      <c r="AN5077" t="s">
        <v>10907</v>
      </c>
      <c r="AO5077" t="s">
        <v>11000</v>
      </c>
      <c r="AP5077" t="s">
        <v>11045</v>
      </c>
      <c r="AR5077" t="s">
        <v>11335</v>
      </c>
      <c r="AS5077" t="s">
        <v>9926</v>
      </c>
      <c r="AT5077" t="s">
        <v>11641</v>
      </c>
      <c r="AX5077" t="s">
        <v>10838</v>
      </c>
      <c r="BA5077" t="s">
        <v>11738</v>
      </c>
      <c r="BB5077">
        <v>0</v>
      </c>
      <c r="BC5077">
        <v>0</v>
      </c>
      <c r="BD5077">
        <v>0</v>
      </c>
      <c r="BE5077">
        <v>0</v>
      </c>
      <c r="BF5077">
        <v>5</v>
      </c>
      <c r="BG5077">
        <v>0</v>
      </c>
    </row>
    <row r="5078" spans="1:59">
      <c r="A5078" s="1">
        <f>HYPERLINK("https://lsnyc.legalserver.org/matter/dynamic-profile/view/1909303","19-1909303")</f>
        <v>0</v>
      </c>
      <c r="B5078" t="s">
        <v>4047</v>
      </c>
      <c r="C5078" t="s">
        <v>8869</v>
      </c>
      <c r="D5078" t="s">
        <v>9931</v>
      </c>
      <c r="E5078" t="s">
        <v>10075</v>
      </c>
      <c r="F5078">
        <v>11355</v>
      </c>
      <c r="G5078" t="s">
        <v>10092</v>
      </c>
      <c r="H5078" t="s">
        <v>10155</v>
      </c>
      <c r="I5078" t="s">
        <v>10179</v>
      </c>
      <c r="J5078" t="s">
        <v>10212</v>
      </c>
      <c r="K5078" t="s">
        <v>10217</v>
      </c>
      <c r="M5078" t="s">
        <v>10325</v>
      </c>
      <c r="N5078" t="s">
        <v>10671</v>
      </c>
      <c r="P5078" t="s">
        <v>10751</v>
      </c>
      <c r="Q5078" t="s">
        <v>10786</v>
      </c>
      <c r="R5078" t="s">
        <v>10827</v>
      </c>
      <c r="T5078">
        <v>4476</v>
      </c>
      <c r="U5078">
        <v>373</v>
      </c>
      <c r="V5078">
        <v>35</v>
      </c>
      <c r="W5078">
        <v>1</v>
      </c>
      <c r="X5078">
        <v>2</v>
      </c>
      <c r="Z5078">
        <v>20.98</v>
      </c>
      <c r="AA5078">
        <v>40.756419</v>
      </c>
      <c r="AB5078">
        <v>-73.822746</v>
      </c>
      <c r="AD5078" t="s">
        <v>10839</v>
      </c>
      <c r="AG5078" t="s">
        <v>10858</v>
      </c>
      <c r="AH5078" t="s">
        <v>10871</v>
      </c>
      <c r="AI5078">
        <v>234</v>
      </c>
      <c r="AJ5078" t="s">
        <v>10214</v>
      </c>
      <c r="AL5078">
        <v>1.75</v>
      </c>
      <c r="AM5078" t="s">
        <v>10890</v>
      </c>
      <c r="AN5078" t="s">
        <v>10927</v>
      </c>
      <c r="AO5078" t="s">
        <v>11009</v>
      </c>
      <c r="AP5078" t="s">
        <v>11067</v>
      </c>
      <c r="AR5078" t="s">
        <v>11305</v>
      </c>
      <c r="AS5078" t="s">
        <v>11594</v>
      </c>
      <c r="AT5078" t="s">
        <v>11641</v>
      </c>
      <c r="AX5078" t="s">
        <v>10838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</row>
    <row r="5079" spans="1:59">
      <c r="A5079" s="1">
        <f>HYPERLINK("https://lsnyc.legalserver.org/matter/dynamic-profile/view/1909305","19-1909305")</f>
        <v>0</v>
      </c>
      <c r="B5079" t="s">
        <v>4048</v>
      </c>
      <c r="C5079" t="s">
        <v>8870</v>
      </c>
      <c r="D5079" t="s">
        <v>9928</v>
      </c>
      <c r="E5079" t="s">
        <v>10075</v>
      </c>
      <c r="F5079">
        <v>11219</v>
      </c>
      <c r="G5079" t="s">
        <v>10093</v>
      </c>
      <c r="H5079" t="s">
        <v>10155</v>
      </c>
      <c r="I5079" t="s">
        <v>10169</v>
      </c>
      <c r="J5079" t="s">
        <v>10213</v>
      </c>
      <c r="K5079" t="s">
        <v>10217</v>
      </c>
      <c r="M5079" t="s">
        <v>10420</v>
      </c>
      <c r="N5079" t="s">
        <v>10679</v>
      </c>
      <c r="P5079" t="s">
        <v>10758</v>
      </c>
      <c r="Q5079" t="s">
        <v>10804</v>
      </c>
      <c r="R5079" t="s">
        <v>10821</v>
      </c>
      <c r="T5079">
        <v>0</v>
      </c>
      <c r="U5079">
        <v>0</v>
      </c>
      <c r="V5079">
        <v>17</v>
      </c>
      <c r="W5079">
        <v>1</v>
      </c>
      <c r="X5079">
        <v>1</v>
      </c>
      <c r="Z5079">
        <v>0</v>
      </c>
      <c r="AA5079">
        <v>40.643316</v>
      </c>
      <c r="AB5079">
        <v>-73.997418</v>
      </c>
      <c r="AD5079" t="s">
        <v>10840</v>
      </c>
      <c r="AF5079" t="s">
        <v>10842</v>
      </c>
      <c r="AG5079" t="s">
        <v>10859</v>
      </c>
      <c r="AH5079" t="s">
        <v>10864</v>
      </c>
      <c r="AI5079">
        <v>239</v>
      </c>
      <c r="AJ5079" t="s">
        <v>10213</v>
      </c>
      <c r="AL5079">
        <v>5.65</v>
      </c>
      <c r="AM5079" t="s">
        <v>10894</v>
      </c>
      <c r="AN5079" t="s">
        <v>10921</v>
      </c>
      <c r="AO5079" t="s">
        <v>11015</v>
      </c>
      <c r="AP5079" t="s">
        <v>11069</v>
      </c>
      <c r="AR5079" t="s">
        <v>11267</v>
      </c>
      <c r="AS5079" t="s">
        <v>11595</v>
      </c>
      <c r="BA5079" t="s">
        <v>11738</v>
      </c>
      <c r="BB5079">
        <v>0</v>
      </c>
      <c r="BC5079">
        <v>0</v>
      </c>
      <c r="BD5079">
        <v>0</v>
      </c>
      <c r="BE5079">
        <v>0</v>
      </c>
      <c r="BF5079">
        <v>5</v>
      </c>
      <c r="BG5079">
        <v>0</v>
      </c>
    </row>
    <row r="5080" spans="1:59">
      <c r="A5080" s="1">
        <f>HYPERLINK("https://lsnyc.legalserver.org/matter/dynamic-profile/view/1909306","19-1909306")</f>
        <v>0</v>
      </c>
      <c r="B5080" t="s">
        <v>4049</v>
      </c>
      <c r="C5080" t="s">
        <v>8871</v>
      </c>
      <c r="D5080" t="s">
        <v>9926</v>
      </c>
      <c r="E5080" t="s">
        <v>10075</v>
      </c>
      <c r="F5080">
        <v>10458</v>
      </c>
      <c r="G5080" t="s">
        <v>10090</v>
      </c>
      <c r="H5080" t="s">
        <v>10155</v>
      </c>
      <c r="I5080" t="s">
        <v>10168</v>
      </c>
      <c r="J5080" t="s">
        <v>10210</v>
      </c>
      <c r="K5080" t="s">
        <v>10217</v>
      </c>
      <c r="M5080" t="s">
        <v>10339</v>
      </c>
      <c r="N5080" t="s">
        <v>10666</v>
      </c>
      <c r="P5080" t="s">
        <v>10749</v>
      </c>
      <c r="Q5080" t="s">
        <v>10765</v>
      </c>
      <c r="R5080" t="s">
        <v>10824</v>
      </c>
      <c r="T5080">
        <v>18180</v>
      </c>
      <c r="U5080">
        <v>1515</v>
      </c>
      <c r="V5080">
        <v>38</v>
      </c>
      <c r="W5080">
        <v>1</v>
      </c>
      <c r="X5080">
        <v>2</v>
      </c>
      <c r="Z5080">
        <v>85.23</v>
      </c>
      <c r="AA5080">
        <v>40.855418</v>
      </c>
      <c r="AB5080">
        <v>-73.888678</v>
      </c>
      <c r="AD5080" t="s">
        <v>10839</v>
      </c>
      <c r="AG5080" t="s">
        <v>10858</v>
      </c>
      <c r="AH5080" t="s">
        <v>10862</v>
      </c>
      <c r="AI5080">
        <v>230</v>
      </c>
      <c r="AJ5080" t="s">
        <v>10210</v>
      </c>
      <c r="AL5080">
        <v>2.5</v>
      </c>
      <c r="AM5080" t="s">
        <v>10884</v>
      </c>
      <c r="AN5080" t="s">
        <v>10907</v>
      </c>
      <c r="AO5080" t="s">
        <v>11000</v>
      </c>
      <c r="AP5080" t="s">
        <v>11056</v>
      </c>
      <c r="AR5080" t="s">
        <v>11273</v>
      </c>
      <c r="AS5080" t="s">
        <v>9926</v>
      </c>
      <c r="BA5080" t="s">
        <v>11738</v>
      </c>
      <c r="BB5080">
        <v>0</v>
      </c>
      <c r="BC5080">
        <v>0</v>
      </c>
      <c r="BD5080">
        <v>0</v>
      </c>
      <c r="BE5080">
        <v>0</v>
      </c>
      <c r="BF5080">
        <v>5</v>
      </c>
      <c r="BG5080">
        <v>0</v>
      </c>
    </row>
    <row r="5081" spans="1:59">
      <c r="A5081" s="1">
        <f>HYPERLINK("https://lsnyc.legalserver.org/matter/dynamic-profile/view/1909307","19-1909307")</f>
        <v>0</v>
      </c>
      <c r="B5081" t="s">
        <v>4050</v>
      </c>
      <c r="C5081" t="s">
        <v>8872</v>
      </c>
      <c r="D5081" t="s">
        <v>9930</v>
      </c>
      <c r="E5081" t="s">
        <v>10075</v>
      </c>
      <c r="F5081">
        <v>11373</v>
      </c>
      <c r="G5081" t="s">
        <v>10092</v>
      </c>
      <c r="H5081" t="s">
        <v>10155</v>
      </c>
      <c r="I5081" t="s">
        <v>10169</v>
      </c>
      <c r="J5081" t="s">
        <v>10212</v>
      </c>
      <c r="K5081" t="s">
        <v>10217</v>
      </c>
      <c r="M5081" t="s">
        <v>10594</v>
      </c>
      <c r="N5081" t="s">
        <v>10693</v>
      </c>
      <c r="P5081" t="s">
        <v>10749</v>
      </c>
      <c r="Q5081" t="s">
        <v>10765</v>
      </c>
      <c r="R5081" t="s">
        <v>10821</v>
      </c>
      <c r="T5081">
        <v>26200</v>
      </c>
      <c r="U5081">
        <v>2183.33</v>
      </c>
      <c r="V5081">
        <v>75</v>
      </c>
      <c r="W5081">
        <v>2</v>
      </c>
      <c r="X5081">
        <v>1</v>
      </c>
      <c r="Z5081">
        <v>122.83</v>
      </c>
      <c r="AA5081">
        <v>40.742753</v>
      </c>
      <c r="AB5081">
        <v>-73.88332200000001</v>
      </c>
      <c r="AD5081" t="s">
        <v>10839</v>
      </c>
      <c r="AG5081" t="s">
        <v>10858</v>
      </c>
      <c r="AH5081" t="s">
        <v>10862</v>
      </c>
      <c r="AI5081">
        <v>237</v>
      </c>
      <c r="AJ5081" t="s">
        <v>10212</v>
      </c>
      <c r="AL5081">
        <v>1.7</v>
      </c>
      <c r="AM5081" t="s">
        <v>10890</v>
      </c>
      <c r="AN5081" t="s">
        <v>10949</v>
      </c>
      <c r="AO5081" t="s">
        <v>11009</v>
      </c>
      <c r="AP5081" t="s">
        <v>11053</v>
      </c>
      <c r="AR5081" t="s">
        <v>11287</v>
      </c>
      <c r="AS5081" t="s">
        <v>11594</v>
      </c>
      <c r="BA5081" t="s">
        <v>11738</v>
      </c>
      <c r="BB5081">
        <v>0</v>
      </c>
      <c r="BC5081">
        <v>0</v>
      </c>
      <c r="BD5081">
        <v>0</v>
      </c>
      <c r="BE5081">
        <v>0</v>
      </c>
      <c r="BF5081">
        <v>5</v>
      </c>
      <c r="BG5081">
        <v>0</v>
      </c>
    </row>
    <row r="5082" spans="1:59">
      <c r="A5082" s="1">
        <f>HYPERLINK("https://lsnyc.legalserver.org/matter/dynamic-profile/view/1909308","19-1909308")</f>
        <v>0</v>
      </c>
      <c r="B5082" t="s">
        <v>4051</v>
      </c>
      <c r="C5082" t="s">
        <v>8873</v>
      </c>
      <c r="D5082" t="s">
        <v>9926</v>
      </c>
      <c r="E5082" t="s">
        <v>10075</v>
      </c>
      <c r="F5082">
        <v>10463</v>
      </c>
      <c r="G5082" t="s">
        <v>10090</v>
      </c>
      <c r="H5082" t="s">
        <v>10155</v>
      </c>
      <c r="I5082" t="s">
        <v>10168</v>
      </c>
      <c r="J5082" t="s">
        <v>10210</v>
      </c>
      <c r="K5082" t="s">
        <v>10218</v>
      </c>
      <c r="L5082" t="s">
        <v>10159</v>
      </c>
      <c r="M5082" t="s">
        <v>10624</v>
      </c>
      <c r="N5082" t="s">
        <v>10646</v>
      </c>
      <c r="P5082" t="s">
        <v>10749</v>
      </c>
      <c r="Q5082" t="s">
        <v>10765</v>
      </c>
      <c r="R5082" t="s">
        <v>10822</v>
      </c>
      <c r="T5082">
        <v>37800</v>
      </c>
      <c r="U5082">
        <v>3150</v>
      </c>
      <c r="V5082">
        <v>60</v>
      </c>
      <c r="W5082">
        <v>2</v>
      </c>
      <c r="X5082">
        <v>0</v>
      </c>
      <c r="Y5082" t="s">
        <v>10829</v>
      </c>
      <c r="Z5082">
        <v>223.54</v>
      </c>
      <c r="AA5082">
        <v>40.886342</v>
      </c>
      <c r="AB5082">
        <v>-73.909069</v>
      </c>
      <c r="AD5082" t="s">
        <v>10839</v>
      </c>
      <c r="AG5082" t="s">
        <v>10858</v>
      </c>
      <c r="AH5082" t="s">
        <v>10862</v>
      </c>
      <c r="AI5082">
        <v>230</v>
      </c>
      <c r="AJ5082" t="s">
        <v>10210</v>
      </c>
      <c r="AK5082" t="s">
        <v>10838</v>
      </c>
      <c r="AL5082">
        <v>0.1</v>
      </c>
      <c r="AM5082" t="s">
        <v>10893</v>
      </c>
      <c r="AN5082" t="s">
        <v>10919</v>
      </c>
      <c r="AO5082" t="s">
        <v>11002</v>
      </c>
      <c r="AP5082" t="s">
        <v>11057</v>
      </c>
      <c r="AR5082" t="s">
        <v>11360</v>
      </c>
      <c r="AS5082" t="s">
        <v>9926</v>
      </c>
      <c r="AY5082" t="s">
        <v>10829</v>
      </c>
      <c r="AZ5082" t="s">
        <v>11681</v>
      </c>
      <c r="BA5082" t="s">
        <v>11741</v>
      </c>
      <c r="BB5082">
        <v>0</v>
      </c>
      <c r="BC5082">
        <v>0</v>
      </c>
      <c r="BD5082">
        <v>0</v>
      </c>
      <c r="BE5082">
        <v>0</v>
      </c>
      <c r="BF5082">
        <v>1</v>
      </c>
      <c r="BG5082">
        <v>0</v>
      </c>
    </row>
    <row r="5083" spans="1:59">
      <c r="A5083" s="1">
        <f>HYPERLINK("https://lsnyc.legalserver.org/matter/dynamic-profile/view/1909309","19-1909309")</f>
        <v>0</v>
      </c>
      <c r="B5083" t="s">
        <v>1135</v>
      </c>
      <c r="C5083" t="s">
        <v>8874</v>
      </c>
      <c r="D5083" t="s">
        <v>9929</v>
      </c>
      <c r="E5083" t="s">
        <v>10075</v>
      </c>
      <c r="F5083">
        <v>10310</v>
      </c>
      <c r="G5083" t="s">
        <v>10088</v>
      </c>
      <c r="H5083" t="s">
        <v>10116</v>
      </c>
      <c r="I5083" t="s">
        <v>10168</v>
      </c>
      <c r="J5083" t="s">
        <v>10208</v>
      </c>
      <c r="K5083" t="s">
        <v>10217</v>
      </c>
      <c r="M5083" t="s">
        <v>10515</v>
      </c>
      <c r="N5083" t="s">
        <v>10673</v>
      </c>
      <c r="P5083" t="s">
        <v>10753</v>
      </c>
      <c r="Q5083" t="s">
        <v>10763</v>
      </c>
      <c r="R5083" t="s">
        <v>10824</v>
      </c>
      <c r="T5083">
        <v>20400</v>
      </c>
      <c r="U5083">
        <v>1700</v>
      </c>
      <c r="V5083">
        <v>56</v>
      </c>
      <c r="W5083">
        <v>2</v>
      </c>
      <c r="X5083">
        <v>0</v>
      </c>
      <c r="Z5083">
        <v>120.64</v>
      </c>
      <c r="AA5083">
        <v>40.631632</v>
      </c>
      <c r="AB5083">
        <v>-74.11576100000001</v>
      </c>
      <c r="AD5083" t="s">
        <v>10840</v>
      </c>
      <c r="AF5083" t="s">
        <v>10845</v>
      </c>
      <c r="AG5083" t="s">
        <v>10859</v>
      </c>
      <c r="AH5083" t="s">
        <v>10867</v>
      </c>
      <c r="AI5083">
        <v>285</v>
      </c>
      <c r="AJ5083" t="s">
        <v>10208</v>
      </c>
      <c r="AL5083">
        <v>9.300000000000001</v>
      </c>
      <c r="AM5083" t="s">
        <v>10883</v>
      </c>
      <c r="AN5083" t="s">
        <v>10913</v>
      </c>
      <c r="AO5083" t="s">
        <v>11006</v>
      </c>
      <c r="AP5083" t="s">
        <v>11051</v>
      </c>
      <c r="AQ5083" t="s">
        <v>11230</v>
      </c>
      <c r="AR5083" t="s">
        <v>11270</v>
      </c>
      <c r="AS5083" t="s">
        <v>11593</v>
      </c>
      <c r="AT5083" t="s">
        <v>11642</v>
      </c>
      <c r="AX5083" t="s">
        <v>10838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</row>
    <row r="5084" spans="1:59">
      <c r="A5084" s="1">
        <f>HYPERLINK("https://lsnyc.legalserver.org/matter/dynamic-profile/view/1909311","19-1909311")</f>
        <v>0</v>
      </c>
      <c r="B5084" t="s">
        <v>4046</v>
      </c>
      <c r="C5084" t="s">
        <v>8868</v>
      </c>
      <c r="D5084" t="s">
        <v>9926</v>
      </c>
      <c r="E5084" t="s">
        <v>10075</v>
      </c>
      <c r="F5084">
        <v>10468</v>
      </c>
      <c r="G5084" t="s">
        <v>10090</v>
      </c>
      <c r="H5084" t="s">
        <v>10155</v>
      </c>
      <c r="I5084" t="s">
        <v>10168</v>
      </c>
      <c r="J5084" t="s">
        <v>10210</v>
      </c>
      <c r="K5084" t="s">
        <v>10217</v>
      </c>
      <c r="M5084" t="s">
        <v>10353</v>
      </c>
      <c r="N5084" t="s">
        <v>10671</v>
      </c>
      <c r="P5084" t="s">
        <v>10751</v>
      </c>
      <c r="Q5084" t="s">
        <v>10761</v>
      </c>
      <c r="R5084" t="s">
        <v>10821</v>
      </c>
      <c r="T5084">
        <v>50196</v>
      </c>
      <c r="U5084">
        <v>4183</v>
      </c>
      <c r="V5084">
        <v>31</v>
      </c>
      <c r="W5084">
        <v>1</v>
      </c>
      <c r="X5084">
        <v>4</v>
      </c>
      <c r="Z5084">
        <v>166.38</v>
      </c>
      <c r="AA5084">
        <v>40.864954</v>
      </c>
      <c r="AB5084">
        <v>-73.900847</v>
      </c>
      <c r="AD5084" t="s">
        <v>10839</v>
      </c>
      <c r="AG5084" t="s">
        <v>10858</v>
      </c>
      <c r="AH5084" t="s">
        <v>10862</v>
      </c>
      <c r="AI5084">
        <v>230</v>
      </c>
      <c r="AJ5084" t="s">
        <v>10210</v>
      </c>
      <c r="AL5084">
        <v>0.5</v>
      </c>
      <c r="AR5084" t="s">
        <v>11335</v>
      </c>
      <c r="AS5084" t="s">
        <v>9926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</row>
    <row r="5085" spans="1:59">
      <c r="A5085" s="1">
        <f>HYPERLINK("https://lsnyc.legalserver.org/matter/dynamic-profile/view/1909312","19-1909312")</f>
        <v>0</v>
      </c>
      <c r="B5085" t="s">
        <v>4052</v>
      </c>
      <c r="C5085" t="s">
        <v>8875</v>
      </c>
      <c r="D5085" t="s">
        <v>9926</v>
      </c>
      <c r="E5085" t="s">
        <v>10075</v>
      </c>
      <c r="F5085">
        <v>10469</v>
      </c>
      <c r="G5085" t="s">
        <v>10090</v>
      </c>
      <c r="H5085" t="s">
        <v>10155</v>
      </c>
      <c r="I5085" t="s">
        <v>10168</v>
      </c>
      <c r="J5085" t="s">
        <v>10210</v>
      </c>
      <c r="K5085" t="s">
        <v>10218</v>
      </c>
      <c r="L5085" t="s">
        <v>10220</v>
      </c>
      <c r="M5085" t="s">
        <v>10283</v>
      </c>
      <c r="N5085" t="s">
        <v>10677</v>
      </c>
      <c r="P5085" t="s">
        <v>10757</v>
      </c>
      <c r="Q5085" t="s">
        <v>10789</v>
      </c>
      <c r="R5085" t="s">
        <v>10820</v>
      </c>
      <c r="T5085">
        <v>10572</v>
      </c>
      <c r="U5085">
        <v>881</v>
      </c>
      <c r="V5085">
        <v>70</v>
      </c>
      <c r="W5085">
        <v>1</v>
      </c>
      <c r="X5085">
        <v>0</v>
      </c>
      <c r="Y5085" t="s">
        <v>10834</v>
      </c>
      <c r="Z5085">
        <v>84.64</v>
      </c>
      <c r="AA5085">
        <v>40.880932</v>
      </c>
      <c r="AB5085">
        <v>-73.85514999999999</v>
      </c>
      <c r="AD5085" t="s">
        <v>10840</v>
      </c>
      <c r="AG5085" t="s">
        <v>10858</v>
      </c>
      <c r="AH5085" t="s">
        <v>10874</v>
      </c>
      <c r="AI5085">
        <v>230</v>
      </c>
      <c r="AJ5085" t="s">
        <v>10210</v>
      </c>
      <c r="AK5085" t="s">
        <v>10882</v>
      </c>
      <c r="AL5085">
        <v>4.75</v>
      </c>
      <c r="AM5085" t="s">
        <v>10893</v>
      </c>
      <c r="AN5085" t="s">
        <v>10956</v>
      </c>
      <c r="AO5085" t="s">
        <v>11010</v>
      </c>
      <c r="AP5085" t="s">
        <v>11085</v>
      </c>
      <c r="AQ5085" t="s">
        <v>11121</v>
      </c>
      <c r="AR5085" t="s">
        <v>11391</v>
      </c>
      <c r="AS5085" t="s">
        <v>9926</v>
      </c>
      <c r="AY5085" t="s">
        <v>10834</v>
      </c>
      <c r="AZ5085" t="s">
        <v>11716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</row>
    <row r="5086" spans="1:59">
      <c r="A5086" s="1">
        <f>HYPERLINK("https://lsnyc.legalserver.org/matter/dynamic-profile/view/1909313","19-1909313")</f>
        <v>0</v>
      </c>
      <c r="B5086" t="s">
        <v>924</v>
      </c>
      <c r="C5086" t="s">
        <v>8277</v>
      </c>
      <c r="D5086" t="s">
        <v>9925</v>
      </c>
      <c r="E5086" t="s">
        <v>10075</v>
      </c>
      <c r="F5086">
        <v>10028</v>
      </c>
      <c r="G5086" t="s">
        <v>10089</v>
      </c>
      <c r="H5086" t="s">
        <v>10155</v>
      </c>
      <c r="I5086" t="s">
        <v>10168</v>
      </c>
      <c r="J5086" t="s">
        <v>10209</v>
      </c>
      <c r="K5086" t="s">
        <v>10217</v>
      </c>
      <c r="M5086" t="s">
        <v>10490</v>
      </c>
      <c r="N5086" t="s">
        <v>10718</v>
      </c>
      <c r="O5086" t="s">
        <v>10718</v>
      </c>
      <c r="P5086" t="s">
        <v>10752</v>
      </c>
      <c r="Q5086" t="s">
        <v>10816</v>
      </c>
      <c r="R5086" t="s">
        <v>10820</v>
      </c>
      <c r="T5086">
        <v>26600</v>
      </c>
      <c r="U5086">
        <v>2216.67</v>
      </c>
      <c r="V5086">
        <v>81</v>
      </c>
      <c r="W5086">
        <v>1</v>
      </c>
      <c r="X5086">
        <v>0</v>
      </c>
      <c r="Z5086">
        <v>212.97</v>
      </c>
      <c r="AA5086">
        <v>40.77533</v>
      </c>
      <c r="AB5086">
        <v>-73.95093</v>
      </c>
      <c r="AC5086" t="s">
        <v>10837</v>
      </c>
      <c r="AD5086" t="s">
        <v>10840</v>
      </c>
      <c r="AG5086" t="s">
        <v>10858</v>
      </c>
      <c r="AH5086" t="s">
        <v>10861</v>
      </c>
      <c r="AI5086">
        <v>236</v>
      </c>
      <c r="AJ5086" t="s">
        <v>10209</v>
      </c>
      <c r="AL5086">
        <v>27.75</v>
      </c>
      <c r="AM5086" t="s">
        <v>10891</v>
      </c>
      <c r="AN5086" t="s">
        <v>10971</v>
      </c>
      <c r="AO5086" t="s">
        <v>11026</v>
      </c>
      <c r="AP5086" t="s">
        <v>11094</v>
      </c>
      <c r="AR5086" t="s">
        <v>11336</v>
      </c>
      <c r="AS5086" t="s">
        <v>9925</v>
      </c>
      <c r="AT5086" t="s">
        <v>11642</v>
      </c>
      <c r="AX5086" t="s">
        <v>10838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</row>
    <row r="5087" spans="1:59">
      <c r="A5087" s="1">
        <f>HYPERLINK("https://lsnyc.legalserver.org/matter/dynamic-profile/view/1909314","19-1909314")</f>
        <v>0</v>
      </c>
      <c r="B5087" t="s">
        <v>2899</v>
      </c>
      <c r="C5087" t="s">
        <v>7689</v>
      </c>
      <c r="D5087" t="s">
        <v>9926</v>
      </c>
      <c r="E5087" t="s">
        <v>10075</v>
      </c>
      <c r="F5087">
        <v>10452</v>
      </c>
      <c r="G5087" t="s">
        <v>10090</v>
      </c>
      <c r="H5087" t="s">
        <v>10155</v>
      </c>
      <c r="I5087" t="s">
        <v>10168</v>
      </c>
      <c r="J5087" t="s">
        <v>10210</v>
      </c>
      <c r="K5087" t="s">
        <v>10217</v>
      </c>
      <c r="M5087" t="s">
        <v>10593</v>
      </c>
      <c r="N5087" t="s">
        <v>10677</v>
      </c>
      <c r="P5087" t="s">
        <v>10757</v>
      </c>
      <c r="Q5087" t="s">
        <v>10797</v>
      </c>
      <c r="R5087" t="s">
        <v>10825</v>
      </c>
      <c r="T5087">
        <v>16764</v>
      </c>
      <c r="U5087">
        <v>1397</v>
      </c>
      <c r="V5087">
        <v>65</v>
      </c>
      <c r="W5087">
        <v>1</v>
      </c>
      <c r="X5087">
        <v>2</v>
      </c>
      <c r="Z5087">
        <v>78.59</v>
      </c>
      <c r="AA5087">
        <v>40.843885</v>
      </c>
      <c r="AB5087">
        <v>-73.918392</v>
      </c>
      <c r="AD5087" t="s">
        <v>10840</v>
      </c>
      <c r="AG5087" t="s">
        <v>10858</v>
      </c>
      <c r="AH5087" t="s">
        <v>10861</v>
      </c>
      <c r="AI5087">
        <v>234</v>
      </c>
      <c r="AJ5087" t="s">
        <v>10214</v>
      </c>
      <c r="AL5087">
        <v>0.3</v>
      </c>
      <c r="AR5087" t="s">
        <v>11298</v>
      </c>
      <c r="AS5087" t="s">
        <v>9926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</row>
    <row r="5088" spans="1:59">
      <c r="A5088" s="1">
        <f>HYPERLINK("https://lsnyc.legalserver.org/matter/dynamic-profile/view/1909315","19-1909315")</f>
        <v>0</v>
      </c>
      <c r="B5088" t="s">
        <v>4053</v>
      </c>
      <c r="C5088" t="s">
        <v>8876</v>
      </c>
      <c r="D5088" t="s">
        <v>9928</v>
      </c>
      <c r="E5088" t="s">
        <v>10075</v>
      </c>
      <c r="F5088">
        <v>11216</v>
      </c>
      <c r="G5088" t="s">
        <v>10093</v>
      </c>
      <c r="H5088" t="s">
        <v>10155</v>
      </c>
      <c r="I5088" t="s">
        <v>10168</v>
      </c>
      <c r="J5088" t="s">
        <v>10213</v>
      </c>
      <c r="K5088" t="s">
        <v>10217</v>
      </c>
      <c r="M5088" t="s">
        <v>10290</v>
      </c>
      <c r="N5088" t="s">
        <v>10665</v>
      </c>
      <c r="P5088" t="s">
        <v>10751</v>
      </c>
      <c r="Q5088" t="s">
        <v>10773</v>
      </c>
      <c r="R5088" t="s">
        <v>10824</v>
      </c>
      <c r="T5088">
        <v>0</v>
      </c>
      <c r="U5088">
        <v>0</v>
      </c>
      <c r="V5088">
        <v>27</v>
      </c>
      <c r="W5088">
        <v>1</v>
      </c>
      <c r="X5088">
        <v>0</v>
      </c>
      <c r="Z5088">
        <v>0</v>
      </c>
      <c r="AA5088">
        <v>40.680582</v>
      </c>
      <c r="AB5088">
        <v>-73.93973699999999</v>
      </c>
      <c r="AD5088" t="s">
        <v>10839</v>
      </c>
      <c r="AG5088" t="s">
        <v>10858</v>
      </c>
      <c r="AH5088" t="s">
        <v>10861</v>
      </c>
      <c r="AI5088">
        <v>234</v>
      </c>
      <c r="AJ5088" t="s">
        <v>10214</v>
      </c>
      <c r="AL5088">
        <v>1</v>
      </c>
      <c r="AM5088" t="s">
        <v>10889</v>
      </c>
      <c r="AN5088" t="s">
        <v>10914</v>
      </c>
      <c r="AO5088" t="s">
        <v>11007</v>
      </c>
      <c r="AP5088" t="s">
        <v>11052</v>
      </c>
      <c r="AR5088" t="s">
        <v>11267</v>
      </c>
      <c r="AS5088" t="s">
        <v>11595</v>
      </c>
      <c r="AT5088" t="s">
        <v>11641</v>
      </c>
      <c r="AX5088" t="s">
        <v>10838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</row>
    <row r="5089" spans="1:59">
      <c r="A5089" s="1">
        <f>HYPERLINK("https://lsnyc.legalserver.org/matter/dynamic-profile/view/1909316","19-1909316")</f>
        <v>0</v>
      </c>
      <c r="B5089" t="s">
        <v>3594</v>
      </c>
      <c r="C5089" t="s">
        <v>8877</v>
      </c>
      <c r="D5089" t="s">
        <v>9925</v>
      </c>
      <c r="E5089" t="s">
        <v>10075</v>
      </c>
      <c r="F5089">
        <v>10029</v>
      </c>
      <c r="G5089" t="s">
        <v>10089</v>
      </c>
      <c r="H5089" t="s">
        <v>10155</v>
      </c>
      <c r="I5089" t="s">
        <v>10168</v>
      </c>
      <c r="J5089" t="s">
        <v>10209</v>
      </c>
      <c r="K5089" t="s">
        <v>10217</v>
      </c>
      <c r="M5089" t="s">
        <v>10383</v>
      </c>
      <c r="N5089" t="s">
        <v>10656</v>
      </c>
      <c r="P5089" t="s">
        <v>10751</v>
      </c>
      <c r="Q5089" t="s">
        <v>10780</v>
      </c>
      <c r="R5089" t="s">
        <v>10823</v>
      </c>
      <c r="T5089">
        <v>3211</v>
      </c>
      <c r="U5089">
        <v>267.58</v>
      </c>
      <c r="V5089">
        <v>55</v>
      </c>
      <c r="W5089">
        <v>1</v>
      </c>
      <c r="X5089">
        <v>0</v>
      </c>
      <c r="Z5089">
        <v>25.71</v>
      </c>
      <c r="AA5089">
        <v>40.791082</v>
      </c>
      <c r="AB5089">
        <v>-73.950356</v>
      </c>
      <c r="AD5089" t="s">
        <v>10839</v>
      </c>
      <c r="AG5089" t="s">
        <v>10858</v>
      </c>
      <c r="AH5089" t="s">
        <v>10861</v>
      </c>
      <c r="AI5089">
        <v>234</v>
      </c>
      <c r="AJ5089" t="s">
        <v>10214</v>
      </c>
      <c r="AL5089">
        <v>6.3</v>
      </c>
      <c r="AR5089" t="s">
        <v>11311</v>
      </c>
      <c r="AS5089" t="s">
        <v>9925</v>
      </c>
      <c r="AT5089" t="s">
        <v>11641</v>
      </c>
      <c r="AX5089" t="s">
        <v>10838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</row>
    <row r="5090" spans="1:59">
      <c r="A5090" s="1">
        <f>HYPERLINK("https://lsnyc.legalserver.org/matter/dynamic-profile/view/1909318","19-1909318")</f>
        <v>0</v>
      </c>
      <c r="B5090" t="s">
        <v>4054</v>
      </c>
      <c r="C5090" t="s">
        <v>8878</v>
      </c>
      <c r="D5090" t="s">
        <v>9928</v>
      </c>
      <c r="E5090" t="s">
        <v>10075</v>
      </c>
      <c r="F5090">
        <v>11226</v>
      </c>
      <c r="G5090" t="s">
        <v>10093</v>
      </c>
      <c r="H5090" t="s">
        <v>10155</v>
      </c>
      <c r="I5090" t="s">
        <v>10168</v>
      </c>
      <c r="J5090" t="s">
        <v>10213</v>
      </c>
      <c r="K5090" t="s">
        <v>10217</v>
      </c>
      <c r="M5090" t="s">
        <v>10304</v>
      </c>
      <c r="N5090" t="s">
        <v>10671</v>
      </c>
      <c r="P5090" t="s">
        <v>10749</v>
      </c>
      <c r="Q5090" t="s">
        <v>10765</v>
      </c>
      <c r="R5090" t="s">
        <v>10824</v>
      </c>
      <c r="T5090">
        <v>28542.8</v>
      </c>
      <c r="U5090">
        <v>2378.57</v>
      </c>
      <c r="V5090">
        <v>33</v>
      </c>
      <c r="W5090">
        <v>2</v>
      </c>
      <c r="X5090">
        <v>0</v>
      </c>
      <c r="Z5090">
        <v>168.79</v>
      </c>
      <c r="AA5090">
        <v>40.653699</v>
      </c>
      <c r="AB5090">
        <v>-73.963306</v>
      </c>
      <c r="AD5090" t="s">
        <v>10840</v>
      </c>
      <c r="AG5090" t="s">
        <v>10858</v>
      </c>
      <c r="AH5090" t="s">
        <v>10861</v>
      </c>
      <c r="AI5090">
        <v>234</v>
      </c>
      <c r="AJ5090" t="s">
        <v>10214</v>
      </c>
      <c r="AL5090">
        <v>0.8</v>
      </c>
      <c r="AM5090" t="s">
        <v>10888</v>
      </c>
      <c r="AN5090" t="s">
        <v>10932</v>
      </c>
      <c r="AO5090" t="s">
        <v>11008</v>
      </c>
      <c r="AP5090" t="s">
        <v>11050</v>
      </c>
      <c r="AR5090" t="s">
        <v>11257</v>
      </c>
      <c r="AS5090" t="s">
        <v>11595</v>
      </c>
      <c r="AT5090" t="s">
        <v>11642</v>
      </c>
      <c r="AX5090" t="s">
        <v>10838</v>
      </c>
      <c r="BA5090" t="s">
        <v>11741</v>
      </c>
      <c r="BB5090">
        <v>0</v>
      </c>
      <c r="BC5090">
        <v>0</v>
      </c>
      <c r="BD5090">
        <v>0</v>
      </c>
      <c r="BE5090">
        <v>0</v>
      </c>
      <c r="BF5090">
        <v>1</v>
      </c>
      <c r="BG5090">
        <v>0</v>
      </c>
    </row>
    <row r="5091" spans="1:59">
      <c r="A5091" s="1">
        <f>HYPERLINK("https://lsnyc.legalserver.org/matter/dynamic-profile/view/1909319","19-1909319")</f>
        <v>0</v>
      </c>
      <c r="B5091" t="s">
        <v>4055</v>
      </c>
      <c r="C5091" t="s">
        <v>8879</v>
      </c>
      <c r="D5091" t="s">
        <v>9926</v>
      </c>
      <c r="E5091" t="s">
        <v>10075</v>
      </c>
      <c r="F5091">
        <v>10451</v>
      </c>
      <c r="G5091" t="s">
        <v>10090</v>
      </c>
      <c r="H5091" t="s">
        <v>10155</v>
      </c>
      <c r="I5091" t="s">
        <v>10168</v>
      </c>
      <c r="J5091" t="s">
        <v>10210</v>
      </c>
      <c r="K5091" t="s">
        <v>10218</v>
      </c>
      <c r="L5091" t="s">
        <v>10101</v>
      </c>
      <c r="M5091" t="s">
        <v>10593</v>
      </c>
      <c r="N5091" t="s">
        <v>10682</v>
      </c>
      <c r="P5091" t="s">
        <v>10751</v>
      </c>
      <c r="Q5091" t="s">
        <v>10776</v>
      </c>
      <c r="R5091" t="s">
        <v>10824</v>
      </c>
      <c r="T5091">
        <v>10140</v>
      </c>
      <c r="U5091">
        <v>845</v>
      </c>
      <c r="V5091">
        <v>47</v>
      </c>
      <c r="W5091">
        <v>1</v>
      </c>
      <c r="X5091">
        <v>0</v>
      </c>
      <c r="Y5091" t="s">
        <v>10829</v>
      </c>
      <c r="Z5091">
        <v>81.18000000000001</v>
      </c>
      <c r="AA5091">
        <v>40.812323</v>
      </c>
      <c r="AB5091">
        <v>-73.925218</v>
      </c>
      <c r="AD5091" t="s">
        <v>10839</v>
      </c>
      <c r="AG5091" t="s">
        <v>10858</v>
      </c>
      <c r="AH5091" t="s">
        <v>10871</v>
      </c>
      <c r="AI5091">
        <v>234</v>
      </c>
      <c r="AJ5091" t="s">
        <v>10214</v>
      </c>
      <c r="AK5091" t="s">
        <v>10838</v>
      </c>
      <c r="AL5091">
        <v>4.25</v>
      </c>
      <c r="AM5091" t="s">
        <v>10884</v>
      </c>
      <c r="AN5091" t="s">
        <v>10924</v>
      </c>
      <c r="AO5091" t="s">
        <v>11013</v>
      </c>
      <c r="AP5091" t="s">
        <v>11066</v>
      </c>
      <c r="AR5091" t="s">
        <v>11296</v>
      </c>
      <c r="AS5091" t="s">
        <v>9926</v>
      </c>
      <c r="AT5091" t="s">
        <v>11641</v>
      </c>
      <c r="AX5091" t="s">
        <v>10838</v>
      </c>
      <c r="AY5091" t="s">
        <v>10829</v>
      </c>
      <c r="AZ5091" t="s">
        <v>11682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</row>
    <row r="5092" spans="1:59">
      <c r="A5092" s="1">
        <f>HYPERLINK("https://lsnyc.legalserver.org/matter/dynamic-profile/view/1909320","19-1909320")</f>
        <v>0</v>
      </c>
      <c r="B5092" t="s">
        <v>4056</v>
      </c>
      <c r="C5092" t="s">
        <v>8880</v>
      </c>
      <c r="D5092" t="s">
        <v>9926</v>
      </c>
      <c r="E5092" t="s">
        <v>10075</v>
      </c>
      <c r="F5092">
        <v>10459</v>
      </c>
      <c r="G5092" t="s">
        <v>10090</v>
      </c>
      <c r="H5092" t="s">
        <v>10108</v>
      </c>
      <c r="I5092" t="s">
        <v>10184</v>
      </c>
      <c r="J5092" t="s">
        <v>10210</v>
      </c>
      <c r="K5092" t="s">
        <v>10217</v>
      </c>
      <c r="M5092" t="s">
        <v>10558</v>
      </c>
      <c r="N5092" t="s">
        <v>10683</v>
      </c>
      <c r="P5092" t="s">
        <v>10754</v>
      </c>
      <c r="Q5092" t="s">
        <v>10775</v>
      </c>
      <c r="R5092" t="s">
        <v>10825</v>
      </c>
      <c r="T5092">
        <v>0</v>
      </c>
      <c r="U5092">
        <v>0</v>
      </c>
      <c r="V5092">
        <v>25</v>
      </c>
      <c r="W5092">
        <v>1</v>
      </c>
      <c r="X5092">
        <v>1</v>
      </c>
      <c r="Z5092">
        <v>0</v>
      </c>
      <c r="AA5092">
        <v>40.825337</v>
      </c>
      <c r="AB5092">
        <v>-73.89156800000001</v>
      </c>
      <c r="AD5092" t="s">
        <v>10839</v>
      </c>
      <c r="AF5092" t="s">
        <v>10843</v>
      </c>
      <c r="AG5092" t="s">
        <v>10859</v>
      </c>
      <c r="AH5092" t="s">
        <v>10865</v>
      </c>
      <c r="AI5092">
        <v>230</v>
      </c>
      <c r="AJ5092" t="s">
        <v>10210</v>
      </c>
      <c r="AL5092">
        <v>2.75</v>
      </c>
      <c r="AM5092" t="s">
        <v>10884</v>
      </c>
      <c r="AN5092" t="s">
        <v>10968</v>
      </c>
      <c r="AO5092" t="s">
        <v>11001</v>
      </c>
      <c r="AP5092" t="s">
        <v>11062</v>
      </c>
      <c r="AR5092" t="s">
        <v>11267</v>
      </c>
      <c r="AS5092" t="s">
        <v>9926</v>
      </c>
      <c r="AT5092" t="s">
        <v>11641</v>
      </c>
      <c r="AX5092" t="s">
        <v>10838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</row>
    <row r="5093" spans="1:59">
      <c r="A5093" s="1">
        <f>HYPERLINK("https://lsnyc.legalserver.org/matter/dynamic-profile/view/1909322","19-1909322")</f>
        <v>0</v>
      </c>
      <c r="C5093" t="s">
        <v>8881</v>
      </c>
      <c r="D5093" t="s">
        <v>9928</v>
      </c>
      <c r="E5093" t="s">
        <v>10075</v>
      </c>
      <c r="F5093">
        <v>11212</v>
      </c>
      <c r="G5093" t="s">
        <v>10089</v>
      </c>
      <c r="H5093" t="s">
        <v>10155</v>
      </c>
      <c r="J5093" t="s">
        <v>10209</v>
      </c>
      <c r="K5093" t="s">
        <v>10217</v>
      </c>
      <c r="M5093" t="s">
        <v>10490</v>
      </c>
      <c r="N5093" t="s">
        <v>10718</v>
      </c>
      <c r="P5093" t="s">
        <v>10752</v>
      </c>
      <c r="Q5093" t="s">
        <v>10816</v>
      </c>
      <c r="R5093" t="s">
        <v>10823</v>
      </c>
      <c r="T5093">
        <v>0</v>
      </c>
      <c r="U5093">
        <v>0</v>
      </c>
      <c r="V5093">
        <v>0</v>
      </c>
      <c r="W5093">
        <v>2</v>
      </c>
      <c r="X5093">
        <v>0</v>
      </c>
      <c r="Z5093">
        <v>0</v>
      </c>
      <c r="AA5093">
        <v>40.66455</v>
      </c>
      <c r="AB5093">
        <v>-73.92445499999999</v>
      </c>
      <c r="AD5093" t="s">
        <v>10840</v>
      </c>
      <c r="AG5093" t="s">
        <v>10858</v>
      </c>
      <c r="AH5093" t="s">
        <v>10879</v>
      </c>
      <c r="AI5093">
        <v>236</v>
      </c>
      <c r="AJ5093" t="s">
        <v>10209</v>
      </c>
      <c r="AL5093">
        <v>0.5</v>
      </c>
      <c r="AM5093" t="s">
        <v>10888</v>
      </c>
      <c r="AN5093" t="s">
        <v>10922</v>
      </c>
      <c r="AO5093" t="s">
        <v>11005</v>
      </c>
      <c r="AP5093" t="s">
        <v>11064</v>
      </c>
      <c r="AQ5093" t="s">
        <v>11217</v>
      </c>
      <c r="AR5093" t="s">
        <v>11267</v>
      </c>
      <c r="AS5093" t="s">
        <v>11595</v>
      </c>
      <c r="AT5093" t="s">
        <v>11642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</row>
    <row r="5094" spans="1:59">
      <c r="A5094" s="1">
        <f>HYPERLINK("https://lsnyc.legalserver.org/matter/dynamic-profile/view/1909323","19-1909323")</f>
        <v>0</v>
      </c>
      <c r="B5094" t="s">
        <v>4057</v>
      </c>
      <c r="C5094" t="s">
        <v>7366</v>
      </c>
      <c r="D5094" t="s">
        <v>9926</v>
      </c>
      <c r="E5094" t="s">
        <v>10075</v>
      </c>
      <c r="F5094">
        <v>10456</v>
      </c>
      <c r="G5094" t="s">
        <v>10090</v>
      </c>
      <c r="H5094" t="s">
        <v>10155</v>
      </c>
      <c r="I5094" t="s">
        <v>10168</v>
      </c>
      <c r="J5094" t="s">
        <v>10210</v>
      </c>
      <c r="K5094" t="s">
        <v>10217</v>
      </c>
      <c r="M5094" t="s">
        <v>10372</v>
      </c>
      <c r="N5094" t="s">
        <v>10704</v>
      </c>
      <c r="O5094" t="s">
        <v>10704</v>
      </c>
      <c r="P5094" t="s">
        <v>10750</v>
      </c>
      <c r="Q5094" t="s">
        <v>10778</v>
      </c>
      <c r="R5094" t="s">
        <v>10824</v>
      </c>
      <c r="T5094">
        <v>1704</v>
      </c>
      <c r="U5094">
        <v>142</v>
      </c>
      <c r="V5094">
        <v>47</v>
      </c>
      <c r="W5094">
        <v>1</v>
      </c>
      <c r="X5094">
        <v>0</v>
      </c>
      <c r="Z5094">
        <v>13.64</v>
      </c>
      <c r="AA5094">
        <v>40.833982</v>
      </c>
      <c r="AB5094">
        <v>-73.904613</v>
      </c>
      <c r="AD5094" t="s">
        <v>10839</v>
      </c>
      <c r="AG5094" t="s">
        <v>10858</v>
      </c>
      <c r="AH5094" t="s">
        <v>10870</v>
      </c>
      <c r="AI5094">
        <v>230</v>
      </c>
      <c r="AJ5094" t="s">
        <v>10210</v>
      </c>
      <c r="AL5094">
        <v>5.25</v>
      </c>
      <c r="AM5094" t="s">
        <v>10884</v>
      </c>
      <c r="AN5094" t="s">
        <v>10918</v>
      </c>
      <c r="AO5094" t="s">
        <v>11000</v>
      </c>
      <c r="AP5094" t="s">
        <v>11055</v>
      </c>
      <c r="AR5094" t="s">
        <v>11311</v>
      </c>
      <c r="AS5094" t="s">
        <v>9926</v>
      </c>
      <c r="AT5094" t="s">
        <v>11641</v>
      </c>
      <c r="AX5094" t="s">
        <v>10838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</row>
    <row r="5095" spans="1:59">
      <c r="A5095" s="1">
        <f>HYPERLINK("https://lsnyc.legalserver.org/matter/dynamic-profile/view/1909324","19-1909324")</f>
        <v>0</v>
      </c>
      <c r="B5095" t="s">
        <v>2863</v>
      </c>
      <c r="C5095" t="s">
        <v>8882</v>
      </c>
      <c r="D5095" t="s">
        <v>9925</v>
      </c>
      <c r="E5095" t="s">
        <v>10075</v>
      </c>
      <c r="F5095">
        <v>10033</v>
      </c>
      <c r="G5095" t="s">
        <v>10089</v>
      </c>
      <c r="H5095" t="s">
        <v>10155</v>
      </c>
      <c r="I5095" t="s">
        <v>10169</v>
      </c>
      <c r="J5095" t="s">
        <v>10209</v>
      </c>
      <c r="K5095" t="s">
        <v>10217</v>
      </c>
      <c r="M5095" t="s">
        <v>10442</v>
      </c>
      <c r="N5095" t="s">
        <v>10650</v>
      </c>
      <c r="P5095" t="s">
        <v>10749</v>
      </c>
      <c r="Q5095" t="s">
        <v>10765</v>
      </c>
      <c r="R5095" t="s">
        <v>10821</v>
      </c>
      <c r="T5095">
        <v>9000</v>
      </c>
      <c r="U5095">
        <v>750</v>
      </c>
      <c r="V5095">
        <v>62</v>
      </c>
      <c r="W5095">
        <v>1</v>
      </c>
      <c r="X5095">
        <v>0</v>
      </c>
      <c r="Z5095">
        <v>72.06</v>
      </c>
      <c r="AA5095">
        <v>40.851682</v>
      </c>
      <c r="AB5095">
        <v>-73.929573</v>
      </c>
      <c r="AD5095" t="s">
        <v>10840</v>
      </c>
      <c r="AG5095" t="s">
        <v>10858</v>
      </c>
      <c r="AH5095" t="s">
        <v>10862</v>
      </c>
      <c r="AI5095">
        <v>236</v>
      </c>
      <c r="AJ5095" t="s">
        <v>10209</v>
      </c>
      <c r="AL5095">
        <v>2.5</v>
      </c>
      <c r="AM5095" t="s">
        <v>10887</v>
      </c>
      <c r="AN5095" t="s">
        <v>10937</v>
      </c>
      <c r="AO5095" t="s">
        <v>11019</v>
      </c>
      <c r="AP5095" t="s">
        <v>11074</v>
      </c>
      <c r="AR5095" t="s">
        <v>11319</v>
      </c>
      <c r="AS5095" t="s">
        <v>9925</v>
      </c>
      <c r="AT5095" t="s">
        <v>11642</v>
      </c>
      <c r="AX5095" t="s">
        <v>10838</v>
      </c>
      <c r="BA5095" t="s">
        <v>11742</v>
      </c>
      <c r="BB5095">
        <v>0</v>
      </c>
      <c r="BC5095">
        <v>0</v>
      </c>
      <c r="BD5095">
        <v>0</v>
      </c>
      <c r="BE5095">
        <v>0</v>
      </c>
      <c r="BF5095">
        <v>7</v>
      </c>
      <c r="BG5095">
        <v>0</v>
      </c>
    </row>
    <row r="5096" spans="1:59">
      <c r="A5096" s="1">
        <f>HYPERLINK("https://lsnyc.legalserver.org/matter/dynamic-profile/view/1909325","19-1909325")</f>
        <v>0</v>
      </c>
      <c r="B5096" t="s">
        <v>4043</v>
      </c>
      <c r="C5096" t="s">
        <v>8016</v>
      </c>
      <c r="D5096" t="s">
        <v>9925</v>
      </c>
      <c r="E5096" t="s">
        <v>10075</v>
      </c>
      <c r="F5096">
        <v>10278</v>
      </c>
      <c r="G5096" t="s">
        <v>10092</v>
      </c>
      <c r="H5096" t="s">
        <v>10108</v>
      </c>
      <c r="I5096" t="s">
        <v>10168</v>
      </c>
      <c r="J5096" t="s">
        <v>10212</v>
      </c>
      <c r="K5096" t="s">
        <v>10217</v>
      </c>
      <c r="M5096" t="s">
        <v>10355</v>
      </c>
      <c r="N5096" t="s">
        <v>10648</v>
      </c>
      <c r="P5096" t="s">
        <v>10753</v>
      </c>
      <c r="Q5096" t="s">
        <v>10763</v>
      </c>
      <c r="R5096" t="s">
        <v>10823</v>
      </c>
      <c r="T5096">
        <v>0</v>
      </c>
      <c r="U5096">
        <v>0</v>
      </c>
      <c r="V5096">
        <v>30</v>
      </c>
      <c r="W5096">
        <v>1</v>
      </c>
      <c r="X5096">
        <v>2</v>
      </c>
      <c r="Z5096">
        <v>0</v>
      </c>
      <c r="AA5096">
        <v>40.714124</v>
      </c>
      <c r="AB5096">
        <v>-74.003958</v>
      </c>
      <c r="AD5096" t="s">
        <v>10839</v>
      </c>
      <c r="AF5096" t="s">
        <v>10842</v>
      </c>
      <c r="AG5096" t="s">
        <v>10859</v>
      </c>
      <c r="AH5096" t="s">
        <v>10865</v>
      </c>
      <c r="AI5096">
        <v>237</v>
      </c>
      <c r="AJ5096" t="s">
        <v>10212</v>
      </c>
      <c r="AL5096">
        <v>0.75</v>
      </c>
      <c r="AQ5096" t="s">
        <v>11119</v>
      </c>
      <c r="AR5096" t="s">
        <v>11267</v>
      </c>
      <c r="AS5096" t="s">
        <v>9925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</row>
    <row r="5097" spans="1:59">
      <c r="A5097" s="1">
        <f>HYPERLINK("https://lsnyc.legalserver.org/matter/dynamic-profile/view/1909326","19-1909326")</f>
        <v>0</v>
      </c>
      <c r="B5097" t="s">
        <v>4058</v>
      </c>
      <c r="C5097" t="s">
        <v>8883</v>
      </c>
      <c r="D5097" t="s">
        <v>9926</v>
      </c>
      <c r="E5097" t="s">
        <v>10075</v>
      </c>
      <c r="F5097">
        <v>10467</v>
      </c>
      <c r="G5097" t="s">
        <v>10089</v>
      </c>
      <c r="H5097" t="s">
        <v>10155</v>
      </c>
      <c r="I5097" t="s">
        <v>10168</v>
      </c>
      <c r="J5097" t="s">
        <v>10209</v>
      </c>
      <c r="K5097" t="s">
        <v>10217</v>
      </c>
      <c r="M5097" t="s">
        <v>10301</v>
      </c>
      <c r="N5097" t="s">
        <v>10665</v>
      </c>
      <c r="P5097" t="s">
        <v>10751</v>
      </c>
      <c r="Q5097" t="s">
        <v>10773</v>
      </c>
      <c r="R5097" t="s">
        <v>10824</v>
      </c>
      <c r="T5097">
        <v>0</v>
      </c>
      <c r="U5097">
        <v>0</v>
      </c>
      <c r="V5097">
        <v>33</v>
      </c>
      <c r="W5097">
        <v>1</v>
      </c>
      <c r="X5097">
        <v>0</v>
      </c>
      <c r="Z5097">
        <v>0</v>
      </c>
      <c r="AA5097">
        <v>40.881726</v>
      </c>
      <c r="AB5097">
        <v>-73.884035</v>
      </c>
      <c r="AD5097" t="s">
        <v>10840</v>
      </c>
      <c r="AG5097" t="s">
        <v>10858</v>
      </c>
      <c r="AH5097" t="s">
        <v>10861</v>
      </c>
      <c r="AI5097">
        <v>234</v>
      </c>
      <c r="AJ5097" t="s">
        <v>10214</v>
      </c>
      <c r="AL5097">
        <v>4.35</v>
      </c>
      <c r="AM5097" t="s">
        <v>10887</v>
      </c>
      <c r="AN5097" t="s">
        <v>10938</v>
      </c>
      <c r="AO5097" t="s">
        <v>11010</v>
      </c>
      <c r="AP5097" t="s">
        <v>11057</v>
      </c>
      <c r="AQ5097" t="s">
        <v>11115</v>
      </c>
      <c r="AR5097" t="s">
        <v>11279</v>
      </c>
      <c r="AS5097" t="s">
        <v>9926</v>
      </c>
      <c r="AT5097" t="s">
        <v>11642</v>
      </c>
      <c r="AX5097" t="s">
        <v>10837</v>
      </c>
      <c r="BA5097" t="s">
        <v>11741</v>
      </c>
      <c r="BB5097">
        <v>0</v>
      </c>
      <c r="BC5097">
        <v>0</v>
      </c>
      <c r="BD5097">
        <v>0</v>
      </c>
      <c r="BE5097">
        <v>0</v>
      </c>
      <c r="BF5097">
        <v>1</v>
      </c>
      <c r="BG5097">
        <v>0</v>
      </c>
    </row>
    <row r="5098" spans="1:59">
      <c r="A5098" s="1">
        <f>HYPERLINK("https://lsnyc.legalserver.org/matter/dynamic-profile/view/1909327","19-1909327")</f>
        <v>0</v>
      </c>
      <c r="B5098" t="s">
        <v>4059</v>
      </c>
      <c r="C5098" t="s">
        <v>8884</v>
      </c>
      <c r="D5098" t="s">
        <v>9928</v>
      </c>
      <c r="E5098" t="s">
        <v>10075</v>
      </c>
      <c r="F5098">
        <v>11225</v>
      </c>
      <c r="G5098" t="s">
        <v>10093</v>
      </c>
      <c r="H5098" t="s">
        <v>10155</v>
      </c>
      <c r="I5098" t="s">
        <v>10168</v>
      </c>
      <c r="J5098" t="s">
        <v>10213</v>
      </c>
      <c r="K5098" t="s">
        <v>10217</v>
      </c>
      <c r="M5098" t="s">
        <v>10304</v>
      </c>
      <c r="N5098" t="s">
        <v>10646</v>
      </c>
      <c r="P5098" t="s">
        <v>10749</v>
      </c>
      <c r="Q5098" t="s">
        <v>10765</v>
      </c>
      <c r="R5098" t="s">
        <v>10825</v>
      </c>
      <c r="T5098">
        <v>33800</v>
      </c>
      <c r="U5098">
        <v>2816.67</v>
      </c>
      <c r="V5098">
        <v>46</v>
      </c>
      <c r="W5098">
        <v>1</v>
      </c>
      <c r="X5098">
        <v>0</v>
      </c>
      <c r="Z5098">
        <v>270.62</v>
      </c>
      <c r="AA5098">
        <v>40.668222</v>
      </c>
      <c r="AB5098">
        <v>-73.95522800000001</v>
      </c>
      <c r="AD5098" t="s">
        <v>10839</v>
      </c>
      <c r="AF5098" t="s">
        <v>10843</v>
      </c>
      <c r="AG5098" t="s">
        <v>10859</v>
      </c>
      <c r="AH5098" t="s">
        <v>10861</v>
      </c>
      <c r="AI5098">
        <v>234</v>
      </c>
      <c r="AJ5098" t="s">
        <v>10214</v>
      </c>
      <c r="AL5098">
        <v>1</v>
      </c>
      <c r="AM5098" t="s">
        <v>10888</v>
      </c>
      <c r="AN5098" t="s">
        <v>10923</v>
      </c>
      <c r="AO5098" t="s">
        <v>11005</v>
      </c>
      <c r="AP5098" t="s">
        <v>11061</v>
      </c>
      <c r="AR5098" t="s">
        <v>11257</v>
      </c>
      <c r="AS5098" t="s">
        <v>11595</v>
      </c>
      <c r="AT5098" t="s">
        <v>11641</v>
      </c>
      <c r="AX5098" t="s">
        <v>10838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</row>
    <row r="5099" spans="1:59">
      <c r="A5099" s="1">
        <f>HYPERLINK("https://lsnyc.legalserver.org/matter/dynamic-profile/view/1909328","19-1909328")</f>
        <v>0</v>
      </c>
      <c r="B5099" t="s">
        <v>4060</v>
      </c>
      <c r="C5099" t="s">
        <v>8885</v>
      </c>
      <c r="D5099" t="s">
        <v>9933</v>
      </c>
      <c r="E5099" t="s">
        <v>10075</v>
      </c>
      <c r="F5099">
        <v>11420</v>
      </c>
      <c r="G5099" t="s">
        <v>10092</v>
      </c>
      <c r="H5099" t="s">
        <v>10155</v>
      </c>
      <c r="I5099" t="s">
        <v>10168</v>
      </c>
      <c r="J5099" t="s">
        <v>10212</v>
      </c>
      <c r="K5099" t="s">
        <v>10217</v>
      </c>
      <c r="M5099" t="s">
        <v>10311</v>
      </c>
      <c r="N5099" t="s">
        <v>10684</v>
      </c>
      <c r="P5099" t="s">
        <v>10751</v>
      </c>
      <c r="Q5099" t="s">
        <v>10786</v>
      </c>
      <c r="R5099" t="s">
        <v>10827</v>
      </c>
      <c r="T5099">
        <v>9880</v>
      </c>
      <c r="U5099">
        <v>823.33</v>
      </c>
      <c r="V5099">
        <v>55</v>
      </c>
      <c r="W5099">
        <v>1</v>
      </c>
      <c r="X5099">
        <v>1</v>
      </c>
      <c r="Z5099">
        <v>58.43</v>
      </c>
      <c r="AA5099">
        <v>40.680896</v>
      </c>
      <c r="AB5099">
        <v>-73.82082699999999</v>
      </c>
      <c r="AD5099" t="s">
        <v>10839</v>
      </c>
      <c r="AG5099" t="s">
        <v>10858</v>
      </c>
      <c r="AH5099" t="s">
        <v>10873</v>
      </c>
      <c r="AI5099">
        <v>237</v>
      </c>
      <c r="AJ5099" t="s">
        <v>10212</v>
      </c>
      <c r="AL5099">
        <v>2.25</v>
      </c>
      <c r="AM5099" t="s">
        <v>10892</v>
      </c>
      <c r="AN5099" t="s">
        <v>10930</v>
      </c>
      <c r="AO5099" t="s">
        <v>11017</v>
      </c>
      <c r="AP5099" t="s">
        <v>11070</v>
      </c>
      <c r="AR5099" t="s">
        <v>11257</v>
      </c>
      <c r="AS5099" t="s">
        <v>11594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</row>
    <row r="5100" spans="1:59">
      <c r="A5100" s="1">
        <f>HYPERLINK("https://lsnyc.legalserver.org/matter/dynamic-profile/view/1909330","19-1909330")</f>
        <v>0</v>
      </c>
      <c r="B5100" t="s">
        <v>4061</v>
      </c>
      <c r="C5100" t="s">
        <v>5515</v>
      </c>
      <c r="D5100" t="s">
        <v>9928</v>
      </c>
      <c r="E5100" t="s">
        <v>10075</v>
      </c>
      <c r="F5100">
        <v>11212</v>
      </c>
      <c r="G5100" t="s">
        <v>10093</v>
      </c>
      <c r="H5100" t="s">
        <v>10155</v>
      </c>
      <c r="I5100" t="s">
        <v>10168</v>
      </c>
      <c r="J5100" t="s">
        <v>10213</v>
      </c>
      <c r="K5100" t="s">
        <v>10217</v>
      </c>
      <c r="M5100" t="s">
        <v>10280</v>
      </c>
      <c r="N5100" t="s">
        <v>10671</v>
      </c>
      <c r="P5100" t="s">
        <v>10751</v>
      </c>
      <c r="Q5100" t="s">
        <v>10768</v>
      </c>
      <c r="R5100" t="s">
        <v>10824</v>
      </c>
      <c r="T5100">
        <v>2366</v>
      </c>
      <c r="U5100">
        <v>197.17</v>
      </c>
      <c r="V5100">
        <v>54</v>
      </c>
      <c r="W5100">
        <v>1</v>
      </c>
      <c r="X5100">
        <v>0</v>
      </c>
      <c r="Z5100">
        <v>18.94</v>
      </c>
      <c r="AA5100">
        <v>40.664878</v>
      </c>
      <c r="AB5100">
        <v>-73.906019</v>
      </c>
      <c r="AD5100" t="s">
        <v>10839</v>
      </c>
      <c r="AG5100" t="s">
        <v>10858</v>
      </c>
      <c r="AH5100" t="s">
        <v>10871</v>
      </c>
      <c r="AI5100">
        <v>234</v>
      </c>
      <c r="AJ5100" t="s">
        <v>10214</v>
      </c>
      <c r="AL5100">
        <v>1</v>
      </c>
      <c r="AM5100" t="s">
        <v>10888</v>
      </c>
      <c r="AN5100" t="s">
        <v>10922</v>
      </c>
      <c r="AO5100" t="s">
        <v>11005</v>
      </c>
      <c r="AP5100" t="s">
        <v>11064</v>
      </c>
      <c r="AR5100" t="s">
        <v>11311</v>
      </c>
      <c r="AS5100" t="s">
        <v>11595</v>
      </c>
      <c r="AT5100" t="s">
        <v>11641</v>
      </c>
      <c r="AX5100" t="s">
        <v>10838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</row>
    <row r="5101" spans="1:59">
      <c r="A5101" s="1">
        <f>HYPERLINK("https://lsnyc.legalserver.org/matter/dynamic-profile/view/1909331","19-1909331")</f>
        <v>0</v>
      </c>
      <c r="C5101" t="s">
        <v>8881</v>
      </c>
      <c r="D5101" t="s">
        <v>9928</v>
      </c>
      <c r="E5101" t="s">
        <v>10075</v>
      </c>
      <c r="F5101">
        <v>11212</v>
      </c>
      <c r="G5101" t="s">
        <v>10089</v>
      </c>
      <c r="H5101" t="s">
        <v>10155</v>
      </c>
      <c r="J5101" t="s">
        <v>10209</v>
      </c>
      <c r="K5101" t="s">
        <v>10217</v>
      </c>
      <c r="M5101" t="s">
        <v>10490</v>
      </c>
      <c r="N5101" t="s">
        <v>10718</v>
      </c>
      <c r="P5101" t="s">
        <v>10752</v>
      </c>
      <c r="Q5101" t="s">
        <v>10816</v>
      </c>
      <c r="R5101" t="s">
        <v>10823</v>
      </c>
      <c r="T5101">
        <v>0</v>
      </c>
      <c r="U5101">
        <v>0</v>
      </c>
      <c r="V5101">
        <v>0</v>
      </c>
      <c r="W5101">
        <v>2</v>
      </c>
      <c r="X5101">
        <v>0</v>
      </c>
      <c r="Z5101">
        <v>0</v>
      </c>
      <c r="AA5101">
        <v>40.66455</v>
      </c>
      <c r="AB5101">
        <v>-73.92445499999999</v>
      </c>
      <c r="AD5101" t="s">
        <v>10840</v>
      </c>
      <c r="AG5101" t="s">
        <v>10858</v>
      </c>
      <c r="AH5101" t="s">
        <v>10879</v>
      </c>
      <c r="AI5101">
        <v>236</v>
      </c>
      <c r="AJ5101" t="s">
        <v>10209</v>
      </c>
      <c r="AL5101">
        <v>0.25</v>
      </c>
      <c r="AM5101" t="s">
        <v>10888</v>
      </c>
      <c r="AN5101" t="s">
        <v>10922</v>
      </c>
      <c r="AO5101" t="s">
        <v>11005</v>
      </c>
      <c r="AP5101" t="s">
        <v>11064</v>
      </c>
      <c r="AQ5101" t="s">
        <v>11217</v>
      </c>
      <c r="AR5101" t="s">
        <v>11267</v>
      </c>
      <c r="AS5101" t="s">
        <v>11595</v>
      </c>
      <c r="AT5101" t="s">
        <v>11642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</row>
    <row r="5102" spans="1:59">
      <c r="A5102" s="1">
        <f>HYPERLINK("https://lsnyc.legalserver.org/matter/dynamic-profile/view/1909332","19-1909332")</f>
        <v>0</v>
      </c>
      <c r="B5102" t="s">
        <v>4062</v>
      </c>
      <c r="C5102" t="s">
        <v>8886</v>
      </c>
      <c r="D5102" t="s">
        <v>9926</v>
      </c>
      <c r="E5102" t="s">
        <v>10075</v>
      </c>
      <c r="F5102">
        <v>10473</v>
      </c>
      <c r="G5102" t="s">
        <v>10090</v>
      </c>
      <c r="H5102" t="s">
        <v>10155</v>
      </c>
      <c r="I5102" t="s">
        <v>10168</v>
      </c>
      <c r="J5102" t="s">
        <v>10210</v>
      </c>
      <c r="K5102" t="s">
        <v>10217</v>
      </c>
      <c r="M5102" t="s">
        <v>10597</v>
      </c>
      <c r="N5102" t="s">
        <v>10671</v>
      </c>
      <c r="P5102" t="s">
        <v>10751</v>
      </c>
      <c r="Q5102" t="s">
        <v>10761</v>
      </c>
      <c r="R5102" t="s">
        <v>10821</v>
      </c>
      <c r="T5102">
        <v>720</v>
      </c>
      <c r="U5102">
        <v>60</v>
      </c>
      <c r="V5102">
        <v>43</v>
      </c>
      <c r="W5102">
        <v>1</v>
      </c>
      <c r="X5102">
        <v>0</v>
      </c>
      <c r="Z5102">
        <v>5.76</v>
      </c>
      <c r="AA5102">
        <v>40.822082</v>
      </c>
      <c r="AB5102">
        <v>-73.8618</v>
      </c>
      <c r="AD5102" t="s">
        <v>10839</v>
      </c>
      <c r="AG5102" t="s">
        <v>10858</v>
      </c>
      <c r="AH5102" t="s">
        <v>10861</v>
      </c>
      <c r="AI5102">
        <v>234</v>
      </c>
      <c r="AJ5102" t="s">
        <v>10214</v>
      </c>
      <c r="AL5102">
        <v>0.5</v>
      </c>
      <c r="AM5102" t="s">
        <v>10884</v>
      </c>
      <c r="AN5102" t="s">
        <v>10968</v>
      </c>
      <c r="AO5102" t="s">
        <v>11001</v>
      </c>
      <c r="AP5102" t="s">
        <v>11046</v>
      </c>
      <c r="AR5102" t="s">
        <v>11344</v>
      </c>
      <c r="AS5102" t="s">
        <v>9926</v>
      </c>
      <c r="AT5102" t="s">
        <v>11641</v>
      </c>
      <c r="AX5102" t="s">
        <v>10838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</row>
    <row r="5103" spans="1:59">
      <c r="A5103" s="1">
        <f>HYPERLINK("https://lsnyc.legalserver.org/matter/dynamic-profile/view/1909333","19-1909333")</f>
        <v>0</v>
      </c>
      <c r="B5103" t="s">
        <v>4063</v>
      </c>
      <c r="C5103" t="s">
        <v>8887</v>
      </c>
      <c r="D5103" t="s">
        <v>9938</v>
      </c>
      <c r="E5103" t="s">
        <v>10075</v>
      </c>
      <c r="F5103">
        <v>11436</v>
      </c>
      <c r="G5103" t="s">
        <v>10092</v>
      </c>
      <c r="H5103" t="s">
        <v>10155</v>
      </c>
      <c r="I5103" t="s">
        <v>10201</v>
      </c>
      <c r="J5103" t="s">
        <v>10212</v>
      </c>
      <c r="K5103" t="s">
        <v>10217</v>
      </c>
      <c r="M5103" t="s">
        <v>10311</v>
      </c>
      <c r="N5103" t="s">
        <v>10684</v>
      </c>
      <c r="P5103" t="s">
        <v>10751</v>
      </c>
      <c r="Q5103" t="s">
        <v>10786</v>
      </c>
      <c r="R5103" t="s">
        <v>10827</v>
      </c>
      <c r="T5103">
        <v>8103.6</v>
      </c>
      <c r="U5103">
        <v>675.3</v>
      </c>
      <c r="V5103">
        <v>70</v>
      </c>
      <c r="W5103">
        <v>1</v>
      </c>
      <c r="X5103">
        <v>0</v>
      </c>
      <c r="Z5103">
        <v>64.88</v>
      </c>
      <c r="AA5103">
        <v>40.684895</v>
      </c>
      <c r="AB5103">
        <v>-73.79830200000001</v>
      </c>
      <c r="AD5103" t="s">
        <v>10840</v>
      </c>
      <c r="AG5103" t="s">
        <v>10858</v>
      </c>
      <c r="AH5103" t="s">
        <v>10873</v>
      </c>
      <c r="AI5103">
        <v>237</v>
      </c>
      <c r="AJ5103" t="s">
        <v>10212</v>
      </c>
      <c r="AL5103">
        <v>1.5</v>
      </c>
      <c r="AM5103" t="s">
        <v>10892</v>
      </c>
      <c r="AN5103" t="s">
        <v>10951</v>
      </c>
      <c r="AO5103" t="s">
        <v>11017</v>
      </c>
      <c r="AP5103" t="s">
        <v>11070</v>
      </c>
      <c r="AR5103" t="s">
        <v>11268</v>
      </c>
      <c r="AS5103" t="s">
        <v>11594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</row>
    <row r="5104" spans="1:59">
      <c r="A5104" s="1">
        <f>HYPERLINK("https://lsnyc.legalserver.org/matter/dynamic-profile/view/1909334","19-1909334")</f>
        <v>0</v>
      </c>
      <c r="B5104" t="s">
        <v>4064</v>
      </c>
      <c r="C5104" t="s">
        <v>8888</v>
      </c>
      <c r="D5104" t="s">
        <v>9926</v>
      </c>
      <c r="E5104" t="s">
        <v>10075</v>
      </c>
      <c r="F5104">
        <v>10458</v>
      </c>
      <c r="G5104" t="s">
        <v>10090</v>
      </c>
      <c r="H5104" t="s">
        <v>10155</v>
      </c>
      <c r="I5104" t="s">
        <v>10169</v>
      </c>
      <c r="J5104" t="s">
        <v>10210</v>
      </c>
      <c r="K5104" t="s">
        <v>10218</v>
      </c>
      <c r="L5104" t="s">
        <v>10223</v>
      </c>
      <c r="M5104" t="s">
        <v>10262</v>
      </c>
      <c r="N5104" t="s">
        <v>10666</v>
      </c>
      <c r="P5104" t="s">
        <v>10749</v>
      </c>
      <c r="Q5104" t="s">
        <v>10765</v>
      </c>
      <c r="R5104" t="s">
        <v>10821</v>
      </c>
      <c r="T5104">
        <v>30000</v>
      </c>
      <c r="U5104">
        <v>2500</v>
      </c>
      <c r="V5104">
        <v>46</v>
      </c>
      <c r="W5104">
        <v>3</v>
      </c>
      <c r="X5104">
        <v>3</v>
      </c>
      <c r="Y5104" t="s">
        <v>10829</v>
      </c>
      <c r="Z5104">
        <v>86.73</v>
      </c>
      <c r="AA5104">
        <v>40.863896</v>
      </c>
      <c r="AB5104">
        <v>-73.891398</v>
      </c>
      <c r="AD5104" t="s">
        <v>10840</v>
      </c>
      <c r="AF5104" t="s">
        <v>10843</v>
      </c>
      <c r="AG5104" t="s">
        <v>10859</v>
      </c>
      <c r="AH5104" t="s">
        <v>10861</v>
      </c>
      <c r="AI5104">
        <v>230</v>
      </c>
      <c r="AJ5104" t="s">
        <v>10210</v>
      </c>
      <c r="AK5104" t="s">
        <v>10838</v>
      </c>
      <c r="AL5104">
        <v>0.5</v>
      </c>
      <c r="AM5104" t="s">
        <v>10887</v>
      </c>
      <c r="AN5104" t="s">
        <v>10907</v>
      </c>
      <c r="AO5104" t="s">
        <v>11000</v>
      </c>
      <c r="AP5104" t="s">
        <v>11056</v>
      </c>
      <c r="AR5104" t="s">
        <v>11257</v>
      </c>
      <c r="AS5104" t="s">
        <v>9926</v>
      </c>
      <c r="AT5104" t="s">
        <v>11642</v>
      </c>
      <c r="AX5104" t="s">
        <v>10838</v>
      </c>
      <c r="AY5104" t="s">
        <v>10829</v>
      </c>
      <c r="AZ5104" t="s">
        <v>11681</v>
      </c>
      <c r="BA5104" t="s">
        <v>11741</v>
      </c>
      <c r="BB5104">
        <v>0</v>
      </c>
      <c r="BC5104">
        <v>0</v>
      </c>
      <c r="BD5104">
        <v>0</v>
      </c>
      <c r="BE5104">
        <v>0</v>
      </c>
      <c r="BF5104">
        <v>1</v>
      </c>
      <c r="BG5104">
        <v>0</v>
      </c>
    </row>
    <row r="5105" spans="1:59">
      <c r="A5105" s="1">
        <f>HYPERLINK("https://lsnyc.legalserver.org/matter/dynamic-profile/view/1909335","19-1909335")</f>
        <v>0</v>
      </c>
      <c r="B5105" t="s">
        <v>4065</v>
      </c>
      <c r="C5105" t="s">
        <v>8889</v>
      </c>
      <c r="D5105" t="s">
        <v>9928</v>
      </c>
      <c r="E5105" t="s">
        <v>10075</v>
      </c>
      <c r="F5105">
        <v>11237</v>
      </c>
      <c r="G5105" t="s">
        <v>10093</v>
      </c>
      <c r="H5105" t="s">
        <v>10155</v>
      </c>
      <c r="I5105" t="s">
        <v>10168</v>
      </c>
      <c r="J5105" t="s">
        <v>10213</v>
      </c>
      <c r="K5105" t="s">
        <v>10217</v>
      </c>
      <c r="M5105" t="s">
        <v>10414</v>
      </c>
      <c r="N5105" t="s">
        <v>10646</v>
      </c>
      <c r="P5105" t="s">
        <v>10749</v>
      </c>
      <c r="Q5105" t="s">
        <v>10765</v>
      </c>
      <c r="R5105" t="s">
        <v>10825</v>
      </c>
      <c r="T5105">
        <v>38298</v>
      </c>
      <c r="U5105">
        <v>3191.5</v>
      </c>
      <c r="V5105">
        <v>36</v>
      </c>
      <c r="W5105">
        <v>1</v>
      </c>
      <c r="X5105">
        <v>0</v>
      </c>
      <c r="Z5105">
        <v>306.63</v>
      </c>
      <c r="AA5105">
        <v>40.696221</v>
      </c>
      <c r="AB5105">
        <v>-73.91042400000001</v>
      </c>
      <c r="AC5105" t="s">
        <v>10837</v>
      </c>
      <c r="AD5105" t="s">
        <v>10840</v>
      </c>
      <c r="AG5105" t="s">
        <v>10858</v>
      </c>
      <c r="AH5105" t="s">
        <v>10861</v>
      </c>
      <c r="AI5105">
        <v>234</v>
      </c>
      <c r="AJ5105" t="s">
        <v>10214</v>
      </c>
      <c r="AL5105">
        <v>3.5</v>
      </c>
      <c r="AM5105" t="s">
        <v>10886</v>
      </c>
      <c r="AN5105" t="s">
        <v>10920</v>
      </c>
      <c r="AO5105" t="s">
        <v>11011</v>
      </c>
      <c r="AP5105" t="s">
        <v>11058</v>
      </c>
      <c r="AR5105" t="s">
        <v>11257</v>
      </c>
      <c r="AS5105" t="s">
        <v>11595</v>
      </c>
      <c r="AT5105" t="s">
        <v>11642</v>
      </c>
      <c r="AX5105" t="s">
        <v>10838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</row>
    <row r="5106" spans="1:59">
      <c r="A5106" s="1">
        <f>HYPERLINK("https://lsnyc.legalserver.org/matter/dynamic-profile/view/1909336","19-1909336")</f>
        <v>0</v>
      </c>
      <c r="B5106" t="s">
        <v>4066</v>
      </c>
      <c r="C5106" t="s">
        <v>8890</v>
      </c>
      <c r="D5106" t="s">
        <v>9938</v>
      </c>
      <c r="E5106" t="s">
        <v>10075</v>
      </c>
      <c r="F5106">
        <v>11433</v>
      </c>
      <c r="G5106" t="s">
        <v>10092</v>
      </c>
      <c r="H5106" t="s">
        <v>10155</v>
      </c>
      <c r="I5106" t="s">
        <v>10168</v>
      </c>
      <c r="J5106" t="s">
        <v>10212</v>
      </c>
      <c r="K5106" t="s">
        <v>10217</v>
      </c>
      <c r="M5106" t="s">
        <v>10311</v>
      </c>
      <c r="N5106" t="s">
        <v>10684</v>
      </c>
      <c r="P5106" t="s">
        <v>10751</v>
      </c>
      <c r="Q5106" t="s">
        <v>10786</v>
      </c>
      <c r="R5106" t="s">
        <v>10827</v>
      </c>
      <c r="T5106">
        <v>0</v>
      </c>
      <c r="U5106">
        <v>0</v>
      </c>
      <c r="V5106">
        <v>58</v>
      </c>
      <c r="W5106">
        <v>2</v>
      </c>
      <c r="X5106">
        <v>0</v>
      </c>
      <c r="Z5106">
        <v>0</v>
      </c>
      <c r="AA5106">
        <v>40.698267</v>
      </c>
      <c r="AB5106">
        <v>-73.78518800000001</v>
      </c>
      <c r="AD5106" t="s">
        <v>10839</v>
      </c>
      <c r="AF5106" t="s">
        <v>10843</v>
      </c>
      <c r="AG5106" t="s">
        <v>10859</v>
      </c>
      <c r="AH5106" t="s">
        <v>10873</v>
      </c>
      <c r="AI5106">
        <v>237</v>
      </c>
      <c r="AJ5106" t="s">
        <v>10212</v>
      </c>
      <c r="AL5106">
        <v>1.5</v>
      </c>
      <c r="AM5106" t="s">
        <v>10892</v>
      </c>
      <c r="AN5106" t="s">
        <v>10955</v>
      </c>
      <c r="AO5106" t="s">
        <v>11020</v>
      </c>
      <c r="AP5106" t="s">
        <v>11075</v>
      </c>
      <c r="AR5106" t="s">
        <v>11267</v>
      </c>
      <c r="AS5106" t="s">
        <v>11594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</row>
    <row r="5107" spans="1:59">
      <c r="A5107" s="1">
        <f>HYPERLINK("https://lsnyc.legalserver.org/matter/dynamic-profile/view/1909337","19-1909337")</f>
        <v>0</v>
      </c>
      <c r="B5107" t="s">
        <v>4067</v>
      </c>
      <c r="C5107" t="s">
        <v>8891</v>
      </c>
      <c r="D5107" t="s">
        <v>9926</v>
      </c>
      <c r="E5107" t="s">
        <v>10075</v>
      </c>
      <c r="F5107">
        <v>10467</v>
      </c>
      <c r="G5107" t="s">
        <v>10090</v>
      </c>
      <c r="H5107" t="s">
        <v>10155</v>
      </c>
      <c r="I5107" t="s">
        <v>10168</v>
      </c>
      <c r="J5107" t="s">
        <v>10210</v>
      </c>
      <c r="K5107" t="s">
        <v>10217</v>
      </c>
      <c r="M5107" t="s">
        <v>10336</v>
      </c>
      <c r="N5107" t="s">
        <v>10671</v>
      </c>
      <c r="P5107" t="s">
        <v>10754</v>
      </c>
      <c r="Q5107" t="s">
        <v>10770</v>
      </c>
      <c r="R5107" t="s">
        <v>10822</v>
      </c>
      <c r="T5107">
        <v>6408</v>
      </c>
      <c r="U5107">
        <v>534</v>
      </c>
      <c r="V5107">
        <v>40</v>
      </c>
      <c r="W5107">
        <v>1</v>
      </c>
      <c r="X5107">
        <v>0</v>
      </c>
      <c r="Z5107">
        <v>51.31</v>
      </c>
      <c r="AA5107">
        <v>40.867181</v>
      </c>
      <c r="AB5107">
        <v>-73.866463</v>
      </c>
      <c r="AC5107" t="s">
        <v>10837</v>
      </c>
      <c r="AD5107" t="s">
        <v>10840</v>
      </c>
      <c r="AG5107" t="s">
        <v>10858</v>
      </c>
      <c r="AH5107" t="s">
        <v>10861</v>
      </c>
      <c r="AI5107">
        <v>234</v>
      </c>
      <c r="AJ5107" t="s">
        <v>10214</v>
      </c>
      <c r="AL5107">
        <v>2.5</v>
      </c>
      <c r="AM5107" t="s">
        <v>10885</v>
      </c>
      <c r="AN5107" t="s">
        <v>10938</v>
      </c>
      <c r="AO5107" t="s">
        <v>11010</v>
      </c>
      <c r="AP5107" t="s">
        <v>11056</v>
      </c>
      <c r="AQ5107" t="s">
        <v>11111</v>
      </c>
      <c r="AR5107" t="s">
        <v>11303</v>
      </c>
      <c r="AS5107" t="s">
        <v>9926</v>
      </c>
      <c r="AT5107" t="s">
        <v>11642</v>
      </c>
      <c r="AX5107" t="s">
        <v>10838</v>
      </c>
      <c r="BA5107" t="s">
        <v>11742</v>
      </c>
      <c r="BB5107">
        <v>0</v>
      </c>
      <c r="BC5107">
        <v>0</v>
      </c>
      <c r="BD5107">
        <v>0</v>
      </c>
      <c r="BE5107">
        <v>0</v>
      </c>
      <c r="BF5107">
        <v>7</v>
      </c>
      <c r="BG5107">
        <v>0</v>
      </c>
    </row>
    <row r="5108" spans="1:59">
      <c r="A5108" s="1">
        <f>HYPERLINK("https://lsnyc.legalserver.org/matter/dynamic-profile/view/1909339","19-1909339")</f>
        <v>0</v>
      </c>
      <c r="B5108" t="s">
        <v>4049</v>
      </c>
      <c r="C5108" t="s">
        <v>8871</v>
      </c>
      <c r="D5108" t="s">
        <v>9926</v>
      </c>
      <c r="E5108" t="s">
        <v>10075</v>
      </c>
      <c r="F5108">
        <v>10458</v>
      </c>
      <c r="G5108" t="s">
        <v>10090</v>
      </c>
      <c r="H5108" t="s">
        <v>10155</v>
      </c>
      <c r="I5108" t="s">
        <v>10168</v>
      </c>
      <c r="J5108" t="s">
        <v>10210</v>
      </c>
      <c r="K5108" t="s">
        <v>10217</v>
      </c>
      <c r="M5108" t="s">
        <v>10339</v>
      </c>
      <c r="N5108" t="s">
        <v>10666</v>
      </c>
      <c r="P5108" t="s">
        <v>10749</v>
      </c>
      <c r="Q5108" t="s">
        <v>10765</v>
      </c>
      <c r="R5108" t="s">
        <v>10824</v>
      </c>
      <c r="T5108">
        <v>18180</v>
      </c>
      <c r="U5108">
        <v>1515</v>
      </c>
      <c r="V5108">
        <v>38</v>
      </c>
      <c r="W5108">
        <v>1</v>
      </c>
      <c r="X5108">
        <v>2</v>
      </c>
      <c r="Z5108">
        <v>85.23</v>
      </c>
      <c r="AA5108">
        <v>40.855418</v>
      </c>
      <c r="AB5108">
        <v>-73.888678</v>
      </c>
      <c r="AD5108" t="s">
        <v>10839</v>
      </c>
      <c r="AG5108" t="s">
        <v>10858</v>
      </c>
      <c r="AH5108" t="s">
        <v>10862</v>
      </c>
      <c r="AI5108">
        <v>230</v>
      </c>
      <c r="AJ5108" t="s">
        <v>10210</v>
      </c>
      <c r="AL5108">
        <v>5.4</v>
      </c>
      <c r="AR5108" t="s">
        <v>11273</v>
      </c>
      <c r="AS5108" t="s">
        <v>9926</v>
      </c>
      <c r="BA5108" t="s">
        <v>11738</v>
      </c>
      <c r="BB5108">
        <v>0</v>
      </c>
      <c r="BC5108">
        <v>0</v>
      </c>
      <c r="BD5108">
        <v>0</v>
      </c>
      <c r="BE5108">
        <v>0</v>
      </c>
      <c r="BF5108">
        <v>5</v>
      </c>
      <c r="BG5108">
        <v>0</v>
      </c>
    </row>
    <row r="5109" spans="1:59">
      <c r="A5109" s="1">
        <f>HYPERLINK("https://lsnyc.legalserver.org/matter/dynamic-profile/view/1909340","19-1909340")</f>
        <v>0</v>
      </c>
      <c r="B5109" t="s">
        <v>4068</v>
      </c>
      <c r="C5109" t="s">
        <v>8892</v>
      </c>
      <c r="D5109" t="s">
        <v>9925</v>
      </c>
      <c r="E5109" t="s">
        <v>10075</v>
      </c>
      <c r="F5109">
        <v>10033</v>
      </c>
      <c r="G5109" t="s">
        <v>10089</v>
      </c>
      <c r="H5109" t="s">
        <v>10155</v>
      </c>
      <c r="I5109" t="s">
        <v>10169</v>
      </c>
      <c r="J5109" t="s">
        <v>10209</v>
      </c>
      <c r="K5109" t="s">
        <v>10217</v>
      </c>
      <c r="M5109" t="s">
        <v>10442</v>
      </c>
      <c r="N5109" t="s">
        <v>10650</v>
      </c>
      <c r="P5109" t="s">
        <v>10749</v>
      </c>
      <c r="Q5109" t="s">
        <v>10765</v>
      </c>
      <c r="R5109" t="s">
        <v>10821</v>
      </c>
      <c r="T5109">
        <v>10400</v>
      </c>
      <c r="U5109">
        <v>866.67</v>
      </c>
      <c r="V5109">
        <v>59</v>
      </c>
      <c r="W5109">
        <v>1</v>
      </c>
      <c r="X5109">
        <v>0</v>
      </c>
      <c r="Z5109">
        <v>83.27</v>
      </c>
      <c r="AA5109">
        <v>40.852845</v>
      </c>
      <c r="AB5109">
        <v>-73.93809899999999</v>
      </c>
      <c r="AD5109" t="s">
        <v>10839</v>
      </c>
      <c r="AG5109" t="s">
        <v>10858</v>
      </c>
      <c r="AH5109" t="s">
        <v>10862</v>
      </c>
      <c r="AI5109">
        <v>236</v>
      </c>
      <c r="AJ5109" t="s">
        <v>10209</v>
      </c>
      <c r="AL5109">
        <v>5.25</v>
      </c>
      <c r="AM5109" t="s">
        <v>10887</v>
      </c>
      <c r="AN5109" t="s">
        <v>10943</v>
      </c>
      <c r="AO5109" t="s">
        <v>11019</v>
      </c>
      <c r="AP5109" t="s">
        <v>11074</v>
      </c>
      <c r="AR5109" t="s">
        <v>11262</v>
      </c>
      <c r="AS5109" t="s">
        <v>9925</v>
      </c>
      <c r="AT5109" t="s">
        <v>11641</v>
      </c>
      <c r="AX5109" t="s">
        <v>10838</v>
      </c>
      <c r="BA5109" t="s">
        <v>11742</v>
      </c>
      <c r="BB5109">
        <v>0</v>
      </c>
      <c r="BC5109">
        <v>0</v>
      </c>
      <c r="BD5109">
        <v>0</v>
      </c>
      <c r="BE5109">
        <v>0</v>
      </c>
      <c r="BF5109">
        <v>7</v>
      </c>
      <c r="BG5109">
        <v>0</v>
      </c>
    </row>
    <row r="5110" spans="1:59">
      <c r="A5110" s="1">
        <f>HYPERLINK("https://lsnyc.legalserver.org/matter/dynamic-profile/view/1909341","19-1909341")</f>
        <v>0</v>
      </c>
      <c r="B5110" t="s">
        <v>2515</v>
      </c>
      <c r="C5110" t="s">
        <v>7291</v>
      </c>
      <c r="D5110" t="s">
        <v>9930</v>
      </c>
      <c r="E5110" t="s">
        <v>10075</v>
      </c>
      <c r="F5110">
        <v>11373</v>
      </c>
      <c r="G5110" t="s">
        <v>10092</v>
      </c>
      <c r="H5110" t="s">
        <v>10155</v>
      </c>
      <c r="I5110" t="s">
        <v>10169</v>
      </c>
      <c r="J5110" t="s">
        <v>10212</v>
      </c>
      <c r="K5110" t="s">
        <v>10217</v>
      </c>
      <c r="M5110" t="s">
        <v>10318</v>
      </c>
      <c r="N5110" t="s">
        <v>10684</v>
      </c>
      <c r="P5110" t="s">
        <v>10751</v>
      </c>
      <c r="Q5110" t="s">
        <v>10786</v>
      </c>
      <c r="R5110" t="s">
        <v>10821</v>
      </c>
      <c r="T5110">
        <v>20670</v>
      </c>
      <c r="U5110">
        <v>1722.5</v>
      </c>
      <c r="V5110">
        <v>58</v>
      </c>
      <c r="W5110">
        <v>2</v>
      </c>
      <c r="X5110">
        <v>0</v>
      </c>
      <c r="Z5110">
        <v>122.24</v>
      </c>
      <c r="AA5110">
        <v>40.73793</v>
      </c>
      <c r="AB5110">
        <v>-73.86840100000001</v>
      </c>
      <c r="AD5110" t="s">
        <v>10839</v>
      </c>
      <c r="AF5110" t="s">
        <v>10843</v>
      </c>
      <c r="AG5110" t="s">
        <v>10859</v>
      </c>
      <c r="AH5110" t="s">
        <v>10873</v>
      </c>
      <c r="AI5110">
        <v>237</v>
      </c>
      <c r="AJ5110" t="s">
        <v>10212</v>
      </c>
      <c r="AL5110">
        <v>2</v>
      </c>
      <c r="AM5110" t="s">
        <v>10890</v>
      </c>
      <c r="AN5110" t="s">
        <v>10916</v>
      </c>
      <c r="AO5110" t="s">
        <v>11014</v>
      </c>
      <c r="AP5110" t="s">
        <v>11053</v>
      </c>
      <c r="AR5110" t="s">
        <v>11257</v>
      </c>
      <c r="AS5110" t="s">
        <v>11594</v>
      </c>
      <c r="AT5110" t="s">
        <v>11641</v>
      </c>
      <c r="AX5110" t="s">
        <v>10838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</row>
    <row r="5111" spans="1:59">
      <c r="A5111" s="1">
        <f>HYPERLINK("https://lsnyc.legalserver.org/matter/dynamic-profile/view/1909342","19-1909342")</f>
        <v>0</v>
      </c>
      <c r="B5111" t="s">
        <v>4069</v>
      </c>
      <c r="C5111" t="s">
        <v>8893</v>
      </c>
      <c r="D5111" t="s">
        <v>9928</v>
      </c>
      <c r="E5111" t="s">
        <v>10075</v>
      </c>
      <c r="F5111">
        <v>11220</v>
      </c>
      <c r="G5111" t="s">
        <v>10093</v>
      </c>
      <c r="H5111" t="s">
        <v>10155</v>
      </c>
      <c r="I5111" t="s">
        <v>10169</v>
      </c>
      <c r="J5111" t="s">
        <v>10213</v>
      </c>
      <c r="K5111" t="s">
        <v>10217</v>
      </c>
      <c r="M5111" t="s">
        <v>10280</v>
      </c>
      <c r="N5111" t="s">
        <v>10671</v>
      </c>
      <c r="P5111" t="s">
        <v>10751</v>
      </c>
      <c r="Q5111" t="s">
        <v>10780</v>
      </c>
      <c r="R5111" t="s">
        <v>10825</v>
      </c>
      <c r="T5111">
        <v>2196</v>
      </c>
      <c r="U5111">
        <v>183</v>
      </c>
      <c r="V5111">
        <v>42</v>
      </c>
      <c r="W5111">
        <v>1</v>
      </c>
      <c r="X5111">
        <v>0</v>
      </c>
      <c r="Z5111">
        <v>17.58</v>
      </c>
      <c r="AA5111">
        <v>40.644253</v>
      </c>
      <c r="AB5111">
        <v>-74.019007</v>
      </c>
      <c r="AD5111" t="s">
        <v>10840</v>
      </c>
      <c r="AG5111" t="s">
        <v>10858</v>
      </c>
      <c r="AH5111" t="s">
        <v>10861</v>
      </c>
      <c r="AI5111">
        <v>234</v>
      </c>
      <c r="AJ5111" t="s">
        <v>10214</v>
      </c>
      <c r="AL5111">
        <v>1</v>
      </c>
      <c r="AM5111" t="s">
        <v>10886</v>
      </c>
      <c r="AN5111" t="s">
        <v>10921</v>
      </c>
      <c r="AO5111" t="s">
        <v>11005</v>
      </c>
      <c r="AP5111" t="s">
        <v>11069</v>
      </c>
      <c r="AR5111" t="s">
        <v>11255</v>
      </c>
      <c r="AS5111" t="s">
        <v>11595</v>
      </c>
      <c r="AT5111" t="s">
        <v>11642</v>
      </c>
      <c r="AX5111" t="s">
        <v>11678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</row>
    <row r="5112" spans="1:59">
      <c r="A5112" s="1">
        <f>HYPERLINK("https://lsnyc.legalserver.org/matter/dynamic-profile/view/1909343","19-1909343")</f>
        <v>0</v>
      </c>
      <c r="B5112" t="s">
        <v>2600</v>
      </c>
      <c r="C5112" t="s">
        <v>7382</v>
      </c>
      <c r="D5112" t="s">
        <v>9926</v>
      </c>
      <c r="E5112" t="s">
        <v>10075</v>
      </c>
      <c r="F5112">
        <v>10452</v>
      </c>
      <c r="G5112" t="s">
        <v>10090</v>
      </c>
      <c r="H5112" t="s">
        <v>10155</v>
      </c>
      <c r="I5112" t="s">
        <v>10168</v>
      </c>
      <c r="J5112" t="s">
        <v>10210</v>
      </c>
      <c r="K5112" t="s">
        <v>10217</v>
      </c>
      <c r="M5112" t="s">
        <v>10596</v>
      </c>
      <c r="N5112" t="s">
        <v>10682</v>
      </c>
      <c r="P5112" t="s">
        <v>10751</v>
      </c>
      <c r="Q5112" t="s">
        <v>10776</v>
      </c>
      <c r="R5112" t="s">
        <v>10821</v>
      </c>
      <c r="S5112" t="s">
        <v>10821</v>
      </c>
      <c r="T5112">
        <v>19500</v>
      </c>
      <c r="U5112">
        <v>1625</v>
      </c>
      <c r="V5112">
        <v>35</v>
      </c>
      <c r="W5112">
        <v>1</v>
      </c>
      <c r="X5112">
        <v>3</v>
      </c>
      <c r="Z5112">
        <v>75.73</v>
      </c>
      <c r="AA5112">
        <v>40.838447</v>
      </c>
      <c r="AB5112">
        <v>-73.91646299999999</v>
      </c>
      <c r="AD5112" t="s">
        <v>10839</v>
      </c>
      <c r="AG5112" t="s">
        <v>10858</v>
      </c>
      <c r="AH5112" t="s">
        <v>10874</v>
      </c>
      <c r="AI5112">
        <v>234</v>
      </c>
      <c r="AJ5112" t="s">
        <v>10214</v>
      </c>
      <c r="AL5112">
        <v>0.4</v>
      </c>
      <c r="AQ5112" t="s">
        <v>11156</v>
      </c>
      <c r="AR5112" t="s">
        <v>11262</v>
      </c>
      <c r="AS5112" t="s">
        <v>9926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</row>
    <row r="5113" spans="1:59">
      <c r="A5113" s="1">
        <f>HYPERLINK("https://lsnyc.legalserver.org/matter/dynamic-profile/view/1909344","19-1909344")</f>
        <v>0</v>
      </c>
      <c r="B5113" t="s">
        <v>4049</v>
      </c>
      <c r="C5113" t="s">
        <v>8871</v>
      </c>
      <c r="D5113" t="s">
        <v>9926</v>
      </c>
      <c r="E5113" t="s">
        <v>10075</v>
      </c>
      <c r="F5113">
        <v>10458</v>
      </c>
      <c r="G5113" t="s">
        <v>10090</v>
      </c>
      <c r="H5113" t="s">
        <v>10155</v>
      </c>
      <c r="I5113" t="s">
        <v>10168</v>
      </c>
      <c r="J5113" t="s">
        <v>10210</v>
      </c>
      <c r="K5113" t="s">
        <v>10217</v>
      </c>
      <c r="M5113" t="s">
        <v>10346</v>
      </c>
      <c r="N5113" t="s">
        <v>10688</v>
      </c>
      <c r="P5113" t="s">
        <v>10751</v>
      </c>
      <c r="Q5113" t="s">
        <v>10761</v>
      </c>
      <c r="R5113" t="s">
        <v>10824</v>
      </c>
      <c r="T5113">
        <v>18180</v>
      </c>
      <c r="U5113">
        <v>1515</v>
      </c>
      <c r="V5113">
        <v>38</v>
      </c>
      <c r="W5113">
        <v>1</v>
      </c>
      <c r="X5113">
        <v>2</v>
      </c>
      <c r="Z5113">
        <v>85.23</v>
      </c>
      <c r="AA5113">
        <v>40.855418</v>
      </c>
      <c r="AB5113">
        <v>-73.888678</v>
      </c>
      <c r="AD5113" t="s">
        <v>10839</v>
      </c>
      <c r="AG5113" t="s">
        <v>10858</v>
      </c>
      <c r="AH5113" t="s">
        <v>10862</v>
      </c>
      <c r="AI5113">
        <v>230</v>
      </c>
      <c r="AJ5113" t="s">
        <v>10210</v>
      </c>
      <c r="AL5113">
        <v>0</v>
      </c>
      <c r="AR5113" t="s">
        <v>11273</v>
      </c>
      <c r="AS5113" t="s">
        <v>9926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</row>
    <row r="5114" spans="1:59">
      <c r="A5114" s="1">
        <f>HYPERLINK("https://lsnyc.legalserver.org/matter/dynamic-profile/view/1909345","19-1909345")</f>
        <v>0</v>
      </c>
      <c r="B5114" t="s">
        <v>4070</v>
      </c>
      <c r="C5114" t="s">
        <v>5088</v>
      </c>
      <c r="D5114" t="s">
        <v>9926</v>
      </c>
      <c r="E5114" t="s">
        <v>10075</v>
      </c>
      <c r="F5114">
        <v>10460</v>
      </c>
      <c r="G5114" t="s">
        <v>10090</v>
      </c>
      <c r="H5114" t="s">
        <v>10155</v>
      </c>
      <c r="I5114" t="s">
        <v>10168</v>
      </c>
      <c r="J5114" t="s">
        <v>10210</v>
      </c>
      <c r="K5114" t="s">
        <v>10217</v>
      </c>
      <c r="M5114" t="s">
        <v>10622</v>
      </c>
      <c r="N5114" t="s">
        <v>10650</v>
      </c>
      <c r="P5114" t="s">
        <v>10749</v>
      </c>
      <c r="Q5114" t="s">
        <v>10765</v>
      </c>
      <c r="R5114" t="s">
        <v>10824</v>
      </c>
      <c r="T5114">
        <v>23400</v>
      </c>
      <c r="U5114">
        <v>1950</v>
      </c>
      <c r="V5114">
        <v>27</v>
      </c>
      <c r="W5114">
        <v>1</v>
      </c>
      <c r="X5114">
        <v>0</v>
      </c>
      <c r="Z5114">
        <v>187.35</v>
      </c>
      <c r="AA5114">
        <v>40.846284</v>
      </c>
      <c r="AB5114">
        <v>-73.884609</v>
      </c>
      <c r="AD5114" t="s">
        <v>10839</v>
      </c>
      <c r="AG5114" t="s">
        <v>10858</v>
      </c>
      <c r="AH5114" t="s">
        <v>10861</v>
      </c>
      <c r="AI5114">
        <v>234</v>
      </c>
      <c r="AJ5114" t="s">
        <v>10214</v>
      </c>
      <c r="AL5114">
        <v>0.6</v>
      </c>
      <c r="AM5114" t="s">
        <v>10884</v>
      </c>
      <c r="AN5114" t="s">
        <v>10918</v>
      </c>
      <c r="AO5114" t="s">
        <v>11000</v>
      </c>
      <c r="AP5114" t="s">
        <v>11056</v>
      </c>
      <c r="AR5114" t="s">
        <v>11257</v>
      </c>
      <c r="AS5114" t="s">
        <v>9926</v>
      </c>
      <c r="AT5114" t="s">
        <v>11641</v>
      </c>
      <c r="AX5114" t="s">
        <v>10838</v>
      </c>
      <c r="BA5114" t="s">
        <v>11741</v>
      </c>
      <c r="BB5114">
        <v>0</v>
      </c>
      <c r="BC5114">
        <v>0</v>
      </c>
      <c r="BD5114">
        <v>0</v>
      </c>
      <c r="BE5114">
        <v>0</v>
      </c>
      <c r="BF5114">
        <v>1</v>
      </c>
      <c r="BG5114">
        <v>0</v>
      </c>
    </row>
    <row r="5115" spans="1:59">
      <c r="A5115" s="1">
        <f>HYPERLINK("https://lsnyc.legalserver.org/matter/dynamic-profile/view/1909346","19-1909346")</f>
        <v>0</v>
      </c>
      <c r="B5115" t="s">
        <v>4071</v>
      </c>
      <c r="C5115" t="s">
        <v>6390</v>
      </c>
      <c r="D5115" t="s">
        <v>9926</v>
      </c>
      <c r="E5115" t="s">
        <v>10075</v>
      </c>
      <c r="F5115">
        <v>10455</v>
      </c>
      <c r="G5115" t="s">
        <v>10090</v>
      </c>
      <c r="H5115" t="s">
        <v>10155</v>
      </c>
      <c r="I5115" t="s">
        <v>10168</v>
      </c>
      <c r="J5115" t="s">
        <v>10210</v>
      </c>
      <c r="K5115" t="s">
        <v>10217</v>
      </c>
      <c r="M5115" t="s">
        <v>10353</v>
      </c>
      <c r="N5115" t="s">
        <v>10671</v>
      </c>
      <c r="P5115" t="s">
        <v>10753</v>
      </c>
      <c r="Q5115" t="s">
        <v>10763</v>
      </c>
      <c r="R5115" t="s">
        <v>10821</v>
      </c>
      <c r="T5115">
        <v>1320</v>
      </c>
      <c r="U5115">
        <v>110</v>
      </c>
      <c r="V5115">
        <v>19</v>
      </c>
      <c r="W5115">
        <v>1</v>
      </c>
      <c r="X5115">
        <v>0</v>
      </c>
      <c r="Z5115">
        <v>10.57</v>
      </c>
      <c r="AA5115">
        <v>40.816781</v>
      </c>
      <c r="AB5115">
        <v>-73.904521</v>
      </c>
      <c r="AD5115" t="s">
        <v>10839</v>
      </c>
      <c r="AF5115" t="s">
        <v>10843</v>
      </c>
      <c r="AG5115" t="s">
        <v>10859</v>
      </c>
      <c r="AH5115" t="s">
        <v>10871</v>
      </c>
      <c r="AI5115">
        <v>234</v>
      </c>
      <c r="AJ5115" t="s">
        <v>10214</v>
      </c>
      <c r="AL5115">
        <v>2.25</v>
      </c>
      <c r="AM5115" t="s">
        <v>10884</v>
      </c>
      <c r="AN5115" t="s">
        <v>10924</v>
      </c>
      <c r="AO5115" t="s">
        <v>11013</v>
      </c>
      <c r="AP5115" t="s">
        <v>11062</v>
      </c>
      <c r="AR5115" t="s">
        <v>11311</v>
      </c>
      <c r="AS5115" t="s">
        <v>9926</v>
      </c>
      <c r="AT5115" t="s">
        <v>11641</v>
      </c>
      <c r="AX5115" t="s">
        <v>10838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</row>
    <row r="5116" spans="1:59">
      <c r="A5116" s="1">
        <f>HYPERLINK("https://lsnyc.legalserver.org/matter/dynamic-profile/view/1909347","19-1909347")</f>
        <v>0</v>
      </c>
      <c r="B5116" t="s">
        <v>4072</v>
      </c>
      <c r="C5116" t="s">
        <v>8894</v>
      </c>
      <c r="D5116" t="s">
        <v>9932</v>
      </c>
      <c r="E5116" t="s">
        <v>10075</v>
      </c>
      <c r="F5116">
        <v>11368</v>
      </c>
      <c r="G5116" t="s">
        <v>10092</v>
      </c>
      <c r="H5116" t="s">
        <v>10108</v>
      </c>
      <c r="I5116" t="s">
        <v>10169</v>
      </c>
      <c r="J5116" t="s">
        <v>10212</v>
      </c>
      <c r="K5116" t="s">
        <v>10217</v>
      </c>
      <c r="M5116" t="s">
        <v>10355</v>
      </c>
      <c r="N5116" t="s">
        <v>10648</v>
      </c>
      <c r="P5116" t="s">
        <v>10753</v>
      </c>
      <c r="Q5116" t="s">
        <v>10763</v>
      </c>
      <c r="R5116" t="s">
        <v>10823</v>
      </c>
      <c r="T5116">
        <v>10400</v>
      </c>
      <c r="U5116">
        <v>866.67</v>
      </c>
      <c r="V5116">
        <v>25</v>
      </c>
      <c r="W5116">
        <v>1</v>
      </c>
      <c r="X5116">
        <v>1</v>
      </c>
      <c r="Z5116">
        <v>61.5</v>
      </c>
      <c r="AA5116">
        <v>40.755201</v>
      </c>
      <c r="AB5116">
        <v>-73.865484</v>
      </c>
      <c r="AD5116" t="s">
        <v>10839</v>
      </c>
      <c r="AF5116" t="s">
        <v>10842</v>
      </c>
      <c r="AG5116" t="s">
        <v>10859</v>
      </c>
      <c r="AH5116" t="s">
        <v>10864</v>
      </c>
      <c r="AI5116">
        <v>237</v>
      </c>
      <c r="AJ5116" t="s">
        <v>10212</v>
      </c>
      <c r="AL5116">
        <v>1.5</v>
      </c>
      <c r="AM5116" t="s">
        <v>10885</v>
      </c>
      <c r="AN5116" t="s">
        <v>10916</v>
      </c>
      <c r="AO5116" t="s">
        <v>11014</v>
      </c>
      <c r="AP5116" t="s">
        <v>11068</v>
      </c>
      <c r="AQ5116" t="s">
        <v>11096</v>
      </c>
      <c r="AR5116" t="s">
        <v>11257</v>
      </c>
      <c r="AS5116" t="s">
        <v>11594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</row>
    <row r="5117" spans="1:59">
      <c r="A5117" s="1">
        <f>HYPERLINK("https://lsnyc.legalserver.org/matter/dynamic-profile/view/1909349","19-1909349")</f>
        <v>0</v>
      </c>
      <c r="B5117" t="s">
        <v>4073</v>
      </c>
      <c r="C5117" t="s">
        <v>8895</v>
      </c>
      <c r="D5117" t="s">
        <v>9930</v>
      </c>
      <c r="E5117" t="s">
        <v>10075</v>
      </c>
      <c r="F5117">
        <v>11373</v>
      </c>
      <c r="G5117" t="s">
        <v>10092</v>
      </c>
      <c r="H5117" t="s">
        <v>10155</v>
      </c>
      <c r="I5117" t="s">
        <v>10169</v>
      </c>
      <c r="J5117" t="s">
        <v>10212</v>
      </c>
      <c r="K5117" t="s">
        <v>10217</v>
      </c>
      <c r="M5117" t="s">
        <v>10343</v>
      </c>
      <c r="N5117" t="s">
        <v>10695</v>
      </c>
      <c r="P5117" t="s">
        <v>10749</v>
      </c>
      <c r="Q5117" t="s">
        <v>10765</v>
      </c>
      <c r="R5117" t="s">
        <v>10821</v>
      </c>
      <c r="T5117">
        <v>10800</v>
      </c>
      <c r="U5117">
        <v>900</v>
      </c>
      <c r="V5117">
        <v>68</v>
      </c>
      <c r="W5117">
        <v>1</v>
      </c>
      <c r="X5117">
        <v>0</v>
      </c>
      <c r="Z5117">
        <v>86.47</v>
      </c>
      <c r="AA5117">
        <v>40.736503</v>
      </c>
      <c r="AB5117">
        <v>-73.86740500000001</v>
      </c>
      <c r="AD5117" t="s">
        <v>10839</v>
      </c>
      <c r="AG5117" t="s">
        <v>10858</v>
      </c>
      <c r="AH5117" t="s">
        <v>10862</v>
      </c>
      <c r="AI5117">
        <v>237</v>
      </c>
      <c r="AJ5117" t="s">
        <v>10212</v>
      </c>
      <c r="AL5117">
        <v>1.2</v>
      </c>
      <c r="AM5117" t="s">
        <v>10890</v>
      </c>
      <c r="AN5117" t="s">
        <v>10916</v>
      </c>
      <c r="AO5117" t="s">
        <v>11014</v>
      </c>
      <c r="AP5117" t="s">
        <v>11053</v>
      </c>
      <c r="AR5117" t="s">
        <v>11268</v>
      </c>
      <c r="AS5117" t="s">
        <v>11594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</row>
    <row r="5118" spans="1:59">
      <c r="A5118" s="1">
        <f>HYPERLINK("https://lsnyc.legalserver.org/matter/dynamic-profile/view/1909350","19-1909350")</f>
        <v>0</v>
      </c>
      <c r="B5118" t="s">
        <v>1109</v>
      </c>
      <c r="C5118" t="s">
        <v>8896</v>
      </c>
      <c r="D5118" t="s">
        <v>9926</v>
      </c>
      <c r="E5118" t="s">
        <v>10075</v>
      </c>
      <c r="F5118">
        <v>10452</v>
      </c>
      <c r="G5118" t="s">
        <v>10090</v>
      </c>
      <c r="H5118" t="s">
        <v>10155</v>
      </c>
      <c r="I5118" t="s">
        <v>10168</v>
      </c>
      <c r="J5118" t="s">
        <v>10210</v>
      </c>
      <c r="K5118" t="s">
        <v>10217</v>
      </c>
      <c r="M5118" t="s">
        <v>10262</v>
      </c>
      <c r="N5118" t="s">
        <v>10666</v>
      </c>
      <c r="P5118" t="s">
        <v>10749</v>
      </c>
      <c r="Q5118" t="s">
        <v>10765</v>
      </c>
      <c r="R5118" t="s">
        <v>10824</v>
      </c>
      <c r="T5118">
        <v>32981</v>
      </c>
      <c r="U5118">
        <v>2748.42</v>
      </c>
      <c r="V5118">
        <v>43</v>
      </c>
      <c r="W5118">
        <v>1</v>
      </c>
      <c r="X5118">
        <v>5</v>
      </c>
      <c r="Z5118">
        <v>95.34999999999999</v>
      </c>
      <c r="AA5118">
        <v>40.831794</v>
      </c>
      <c r="AB5118">
        <v>-73.927233</v>
      </c>
      <c r="AD5118" t="s">
        <v>10839</v>
      </c>
      <c r="AG5118" t="s">
        <v>10858</v>
      </c>
      <c r="AH5118" t="s">
        <v>10861</v>
      </c>
      <c r="AI5118">
        <v>230</v>
      </c>
      <c r="AJ5118" t="s">
        <v>10210</v>
      </c>
      <c r="AL5118">
        <v>0.4</v>
      </c>
      <c r="AM5118" t="s">
        <v>10884</v>
      </c>
      <c r="AN5118" t="s">
        <v>10929</v>
      </c>
      <c r="AO5118" t="s">
        <v>11013</v>
      </c>
      <c r="AP5118" t="s">
        <v>11066</v>
      </c>
      <c r="AR5118" t="s">
        <v>11372</v>
      </c>
      <c r="AS5118" t="s">
        <v>9926</v>
      </c>
      <c r="BA5118" t="s">
        <v>11741</v>
      </c>
      <c r="BB5118">
        <v>0</v>
      </c>
      <c r="BC5118">
        <v>0</v>
      </c>
      <c r="BD5118">
        <v>0</v>
      </c>
      <c r="BE5118">
        <v>0</v>
      </c>
      <c r="BF5118">
        <v>1</v>
      </c>
      <c r="BG5118">
        <v>0</v>
      </c>
    </row>
    <row r="5119" spans="1:59">
      <c r="A5119" s="1">
        <f>HYPERLINK("https://lsnyc.legalserver.org/matter/dynamic-profile/view/1909351","19-1909351")</f>
        <v>0</v>
      </c>
      <c r="B5119" t="s">
        <v>4074</v>
      </c>
      <c r="C5119" t="s">
        <v>8897</v>
      </c>
      <c r="D5119" t="s">
        <v>9928</v>
      </c>
      <c r="E5119" t="s">
        <v>10075</v>
      </c>
      <c r="F5119">
        <v>11237</v>
      </c>
      <c r="G5119" t="s">
        <v>10093</v>
      </c>
      <c r="H5119" t="s">
        <v>10155</v>
      </c>
      <c r="I5119" t="s">
        <v>10169</v>
      </c>
      <c r="J5119" t="s">
        <v>10213</v>
      </c>
      <c r="K5119" t="s">
        <v>10218</v>
      </c>
      <c r="L5119" t="s">
        <v>10116</v>
      </c>
      <c r="M5119" t="s">
        <v>10507</v>
      </c>
      <c r="N5119" t="s">
        <v>10664</v>
      </c>
      <c r="P5119" t="s">
        <v>10749</v>
      </c>
      <c r="Q5119" t="s">
        <v>10765</v>
      </c>
      <c r="R5119" t="s">
        <v>10821</v>
      </c>
      <c r="T5119">
        <v>0</v>
      </c>
      <c r="U5119">
        <v>0</v>
      </c>
      <c r="V5119">
        <v>29</v>
      </c>
      <c r="W5119">
        <v>2</v>
      </c>
      <c r="X5119">
        <v>2</v>
      </c>
      <c r="Y5119" t="s">
        <v>10829</v>
      </c>
      <c r="Z5119">
        <v>0</v>
      </c>
      <c r="AA5119">
        <v>40.695192</v>
      </c>
      <c r="AB5119">
        <v>-73.908081</v>
      </c>
      <c r="AD5119" t="s">
        <v>10839</v>
      </c>
      <c r="AF5119" t="s">
        <v>10843</v>
      </c>
      <c r="AG5119" t="s">
        <v>10859</v>
      </c>
      <c r="AH5119" t="s">
        <v>10861</v>
      </c>
      <c r="AI5119">
        <v>239</v>
      </c>
      <c r="AJ5119" t="s">
        <v>10213</v>
      </c>
      <c r="AK5119" t="s">
        <v>10882</v>
      </c>
      <c r="AL5119">
        <v>0.3</v>
      </c>
      <c r="AM5119" t="s">
        <v>10886</v>
      </c>
      <c r="AN5119" t="s">
        <v>10920</v>
      </c>
      <c r="AO5119" t="s">
        <v>11011</v>
      </c>
      <c r="AP5119" t="s">
        <v>11058</v>
      </c>
      <c r="AR5119" t="s">
        <v>11267</v>
      </c>
      <c r="AS5119" t="s">
        <v>11595</v>
      </c>
      <c r="AY5119" t="s">
        <v>10829</v>
      </c>
      <c r="AZ5119" t="s">
        <v>11681</v>
      </c>
      <c r="BA5119" t="s">
        <v>11741</v>
      </c>
      <c r="BB5119">
        <v>0</v>
      </c>
      <c r="BC5119">
        <v>0</v>
      </c>
      <c r="BD5119">
        <v>0</v>
      </c>
      <c r="BE5119">
        <v>0</v>
      </c>
      <c r="BF5119">
        <v>1</v>
      </c>
      <c r="BG5119">
        <v>0</v>
      </c>
    </row>
    <row r="5120" spans="1:59">
      <c r="A5120" s="1">
        <f>HYPERLINK("https://lsnyc.legalserver.org/matter/dynamic-profile/view/1909352","19-1909352")</f>
        <v>0</v>
      </c>
      <c r="B5120" t="s">
        <v>2514</v>
      </c>
      <c r="C5120" t="s">
        <v>8898</v>
      </c>
      <c r="D5120" t="s">
        <v>9928</v>
      </c>
      <c r="E5120" t="s">
        <v>10075</v>
      </c>
      <c r="F5120">
        <v>11233</v>
      </c>
      <c r="G5120" t="s">
        <v>10089</v>
      </c>
      <c r="H5120" t="s">
        <v>10155</v>
      </c>
      <c r="I5120" t="s">
        <v>10168</v>
      </c>
      <c r="J5120" t="s">
        <v>10209</v>
      </c>
      <c r="K5120" t="s">
        <v>10217</v>
      </c>
      <c r="M5120" t="s">
        <v>10529</v>
      </c>
      <c r="N5120" t="s">
        <v>10671</v>
      </c>
      <c r="P5120" t="s">
        <v>10751</v>
      </c>
      <c r="Q5120" t="s">
        <v>10768</v>
      </c>
      <c r="R5120" t="s">
        <v>10824</v>
      </c>
      <c r="T5120">
        <v>5016</v>
      </c>
      <c r="U5120">
        <v>418</v>
      </c>
      <c r="V5120">
        <v>39</v>
      </c>
      <c r="W5120">
        <v>1</v>
      </c>
      <c r="X5120">
        <v>0</v>
      </c>
      <c r="Z5120">
        <v>40.16</v>
      </c>
      <c r="AA5120">
        <v>40.683077</v>
      </c>
      <c r="AB5120">
        <v>-73.92885200000001</v>
      </c>
      <c r="AC5120" t="s">
        <v>10837</v>
      </c>
      <c r="AD5120" t="s">
        <v>10839</v>
      </c>
      <c r="AG5120" t="s">
        <v>10858</v>
      </c>
      <c r="AH5120" t="s">
        <v>10861</v>
      </c>
      <c r="AI5120">
        <v>234</v>
      </c>
      <c r="AJ5120" t="s">
        <v>10214</v>
      </c>
      <c r="AL5120">
        <v>0.5</v>
      </c>
      <c r="AM5120" t="s">
        <v>10889</v>
      </c>
      <c r="AN5120" t="s">
        <v>10914</v>
      </c>
      <c r="AO5120" t="s">
        <v>11007</v>
      </c>
      <c r="AP5120" t="s">
        <v>11052</v>
      </c>
      <c r="AR5120" t="s">
        <v>11303</v>
      </c>
      <c r="AS5120" t="s">
        <v>11595</v>
      </c>
      <c r="AT5120" t="s">
        <v>11641</v>
      </c>
      <c r="AX5120" t="s">
        <v>10838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</row>
    <row r="5121" spans="1:59">
      <c r="A5121" s="1">
        <f>HYPERLINK("https://lsnyc.legalserver.org/matter/dynamic-profile/view/1909353","19-1909353")</f>
        <v>0</v>
      </c>
      <c r="B5121" t="s">
        <v>637</v>
      </c>
      <c r="C5121" t="s">
        <v>7707</v>
      </c>
      <c r="D5121" t="s">
        <v>9925</v>
      </c>
      <c r="E5121" t="s">
        <v>10075</v>
      </c>
      <c r="F5121">
        <v>10034</v>
      </c>
      <c r="G5121" t="s">
        <v>10089</v>
      </c>
      <c r="H5121" t="s">
        <v>10155</v>
      </c>
      <c r="I5121" t="s">
        <v>10169</v>
      </c>
      <c r="J5121" t="s">
        <v>10209</v>
      </c>
      <c r="K5121" t="s">
        <v>10217</v>
      </c>
      <c r="M5121" t="s">
        <v>10393</v>
      </c>
      <c r="N5121" t="s">
        <v>10650</v>
      </c>
      <c r="P5121" t="s">
        <v>10749</v>
      </c>
      <c r="Q5121" t="s">
        <v>10765</v>
      </c>
      <c r="R5121" t="s">
        <v>10821</v>
      </c>
      <c r="T5121">
        <v>14892</v>
      </c>
      <c r="U5121">
        <v>1241</v>
      </c>
      <c r="V5121">
        <v>63</v>
      </c>
      <c r="W5121">
        <v>1</v>
      </c>
      <c r="X5121">
        <v>0</v>
      </c>
      <c r="Z5121">
        <v>119.23</v>
      </c>
      <c r="AA5121">
        <v>40.863797</v>
      </c>
      <c r="AB5121">
        <v>-73.919025</v>
      </c>
      <c r="AD5121" t="s">
        <v>10839</v>
      </c>
      <c r="AG5121" t="s">
        <v>10858</v>
      </c>
      <c r="AH5121" t="s">
        <v>10862</v>
      </c>
      <c r="AI5121">
        <v>236</v>
      </c>
      <c r="AJ5121" t="s">
        <v>10209</v>
      </c>
      <c r="AL5121">
        <v>2</v>
      </c>
      <c r="AM5121" t="s">
        <v>10887</v>
      </c>
      <c r="AN5121" t="s">
        <v>10937</v>
      </c>
      <c r="AO5121" t="s">
        <v>11019</v>
      </c>
      <c r="AP5121" t="s">
        <v>11074</v>
      </c>
      <c r="AR5121" t="s">
        <v>11345</v>
      </c>
      <c r="AS5121" t="s">
        <v>9925</v>
      </c>
      <c r="AT5121" t="s">
        <v>11641</v>
      </c>
      <c r="AX5121" t="s">
        <v>10838</v>
      </c>
      <c r="BA5121" t="s">
        <v>11742</v>
      </c>
      <c r="BB5121">
        <v>0</v>
      </c>
      <c r="BC5121">
        <v>0</v>
      </c>
      <c r="BD5121">
        <v>0</v>
      </c>
      <c r="BE5121">
        <v>0</v>
      </c>
      <c r="BF5121">
        <v>7</v>
      </c>
      <c r="BG5121">
        <v>0</v>
      </c>
    </row>
    <row r="5122" spans="1:59">
      <c r="A5122" s="1">
        <f>HYPERLINK("https://lsnyc.legalserver.org/matter/dynamic-profile/view/1909354","19-1909354")</f>
        <v>0</v>
      </c>
      <c r="B5122" t="s">
        <v>4075</v>
      </c>
      <c r="C5122" t="s">
        <v>8899</v>
      </c>
      <c r="D5122" t="s">
        <v>9928</v>
      </c>
      <c r="E5122" t="s">
        <v>10075</v>
      </c>
      <c r="F5122">
        <v>11203</v>
      </c>
      <c r="G5122" t="s">
        <v>10091</v>
      </c>
      <c r="H5122" t="s">
        <v>10155</v>
      </c>
      <c r="I5122" t="s">
        <v>10168</v>
      </c>
      <c r="J5122" t="s">
        <v>10214</v>
      </c>
      <c r="K5122" t="s">
        <v>10217</v>
      </c>
      <c r="M5122" t="s">
        <v>10286</v>
      </c>
      <c r="N5122" t="s">
        <v>10671</v>
      </c>
      <c r="P5122" t="s">
        <v>10749</v>
      </c>
      <c r="Q5122" t="s">
        <v>10765</v>
      </c>
      <c r="R5122" t="s">
        <v>10824</v>
      </c>
      <c r="T5122">
        <v>19236</v>
      </c>
      <c r="U5122">
        <v>1603</v>
      </c>
      <c r="V5122">
        <v>59</v>
      </c>
      <c r="W5122">
        <v>1</v>
      </c>
      <c r="X5122">
        <v>0</v>
      </c>
      <c r="Z5122">
        <v>154.01</v>
      </c>
      <c r="AA5122">
        <v>40.654088</v>
      </c>
      <c r="AB5122">
        <v>-73.928495</v>
      </c>
      <c r="AD5122" t="s">
        <v>10839</v>
      </c>
      <c r="AG5122" t="s">
        <v>10858</v>
      </c>
      <c r="AH5122" t="s">
        <v>10861</v>
      </c>
      <c r="AI5122">
        <v>234</v>
      </c>
      <c r="AJ5122" t="s">
        <v>10214</v>
      </c>
      <c r="AL5122">
        <v>0.6</v>
      </c>
      <c r="AM5122" t="s">
        <v>10888</v>
      </c>
      <c r="AN5122" t="s">
        <v>10925</v>
      </c>
      <c r="AO5122" t="s">
        <v>11005</v>
      </c>
      <c r="AP5122" t="s">
        <v>11064</v>
      </c>
      <c r="AR5122" t="s">
        <v>11254</v>
      </c>
      <c r="AS5122" t="s">
        <v>11595</v>
      </c>
      <c r="AX5122" t="s">
        <v>10838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</row>
    <row r="5123" spans="1:59">
      <c r="A5123" s="1">
        <f>HYPERLINK("https://lsnyc.legalserver.org/matter/dynamic-profile/view/1909355","19-1909355")</f>
        <v>0</v>
      </c>
      <c r="B5123" t="s">
        <v>4076</v>
      </c>
      <c r="C5123" t="s">
        <v>8900</v>
      </c>
      <c r="D5123" t="s">
        <v>9925</v>
      </c>
      <c r="E5123" t="s">
        <v>10075</v>
      </c>
      <c r="F5123">
        <v>10031</v>
      </c>
      <c r="G5123" t="s">
        <v>10089</v>
      </c>
      <c r="H5123" t="s">
        <v>10155</v>
      </c>
      <c r="I5123" t="s">
        <v>10169</v>
      </c>
      <c r="J5123" t="s">
        <v>10209</v>
      </c>
      <c r="K5123" t="s">
        <v>10217</v>
      </c>
      <c r="M5123" t="s">
        <v>10503</v>
      </c>
      <c r="N5123" t="s">
        <v>10721</v>
      </c>
      <c r="P5123" t="s">
        <v>10754</v>
      </c>
      <c r="Q5123" t="s">
        <v>10770</v>
      </c>
      <c r="R5123" t="s">
        <v>10821</v>
      </c>
      <c r="T5123">
        <v>7932</v>
      </c>
      <c r="U5123">
        <v>661</v>
      </c>
      <c r="V5123">
        <v>68</v>
      </c>
      <c r="W5123">
        <v>1</v>
      </c>
      <c r="X5123">
        <v>0</v>
      </c>
      <c r="Z5123">
        <v>63.51</v>
      </c>
      <c r="AA5123">
        <v>40.820759</v>
      </c>
      <c r="AB5123">
        <v>-73.95616800000001</v>
      </c>
      <c r="AD5123" t="s">
        <v>10839</v>
      </c>
      <c r="AG5123" t="s">
        <v>10858</v>
      </c>
      <c r="AH5123" t="s">
        <v>10861</v>
      </c>
      <c r="AI5123">
        <v>234</v>
      </c>
      <c r="AJ5123" t="s">
        <v>10214</v>
      </c>
      <c r="AK5123" t="s">
        <v>10837</v>
      </c>
      <c r="AL5123">
        <v>1</v>
      </c>
      <c r="AM5123" t="s">
        <v>10887</v>
      </c>
      <c r="AN5123" t="s">
        <v>10936</v>
      </c>
      <c r="AO5123" t="s">
        <v>11019</v>
      </c>
      <c r="AP5123" t="s">
        <v>11073</v>
      </c>
      <c r="AQ5123" t="s">
        <v>11122</v>
      </c>
      <c r="AR5123" t="s">
        <v>11423</v>
      </c>
      <c r="AS5123" t="s">
        <v>9925</v>
      </c>
      <c r="AT5123" t="s">
        <v>11641</v>
      </c>
      <c r="AX5123" t="s">
        <v>10838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</row>
    <row r="5124" spans="1:59">
      <c r="A5124" s="1">
        <f>HYPERLINK("https://lsnyc.legalserver.org/matter/dynamic-profile/view/1909356","19-1909356")</f>
        <v>0</v>
      </c>
      <c r="B5124" t="s">
        <v>4077</v>
      </c>
      <c r="C5124" t="s">
        <v>8901</v>
      </c>
      <c r="D5124" t="s">
        <v>9928</v>
      </c>
      <c r="E5124" t="s">
        <v>10075</v>
      </c>
      <c r="F5124">
        <v>11208</v>
      </c>
      <c r="G5124" t="s">
        <v>10091</v>
      </c>
      <c r="H5124" t="s">
        <v>10155</v>
      </c>
      <c r="I5124" t="s">
        <v>10168</v>
      </c>
      <c r="J5124" t="s">
        <v>10214</v>
      </c>
      <c r="K5124" t="s">
        <v>10217</v>
      </c>
      <c r="M5124" t="s">
        <v>10286</v>
      </c>
      <c r="N5124" t="s">
        <v>10671</v>
      </c>
      <c r="P5124" t="s">
        <v>10751</v>
      </c>
      <c r="Q5124" t="s">
        <v>10776</v>
      </c>
      <c r="R5124" t="s">
        <v>10824</v>
      </c>
      <c r="T5124">
        <v>14748</v>
      </c>
      <c r="U5124">
        <v>1229</v>
      </c>
      <c r="V5124">
        <v>60</v>
      </c>
      <c r="W5124">
        <v>1</v>
      </c>
      <c r="X5124">
        <v>0</v>
      </c>
      <c r="Z5124">
        <v>118.08</v>
      </c>
      <c r="AA5124">
        <v>40.676292</v>
      </c>
      <c r="AB5124">
        <v>-73.87614499999999</v>
      </c>
      <c r="AD5124" t="s">
        <v>10840</v>
      </c>
      <c r="AG5124" t="s">
        <v>10858</v>
      </c>
      <c r="AH5124" t="s">
        <v>10871</v>
      </c>
      <c r="AI5124">
        <v>234</v>
      </c>
      <c r="AJ5124" t="s">
        <v>10214</v>
      </c>
      <c r="AL5124">
        <v>1</v>
      </c>
      <c r="AM5124" t="s">
        <v>10889</v>
      </c>
      <c r="AN5124" t="s">
        <v>10920</v>
      </c>
      <c r="AO5124" t="s">
        <v>11011</v>
      </c>
      <c r="AP5124" t="s">
        <v>11058</v>
      </c>
      <c r="AR5124" t="s">
        <v>11296</v>
      </c>
      <c r="AS5124" t="s">
        <v>11595</v>
      </c>
      <c r="AT5124" t="s">
        <v>11642</v>
      </c>
      <c r="AX5124" t="s">
        <v>10838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</row>
    <row r="5125" spans="1:59">
      <c r="A5125" s="1">
        <f>HYPERLINK("https://lsnyc.legalserver.org/matter/dynamic-profile/view/1909357","19-1909357")</f>
        <v>0</v>
      </c>
      <c r="B5125" t="s">
        <v>4078</v>
      </c>
      <c r="C5125" t="s">
        <v>8902</v>
      </c>
      <c r="D5125" t="s">
        <v>9939</v>
      </c>
      <c r="E5125" t="s">
        <v>10075</v>
      </c>
      <c r="F5125">
        <v>11419</v>
      </c>
      <c r="G5125" t="s">
        <v>10092</v>
      </c>
      <c r="H5125" t="s">
        <v>10108</v>
      </c>
      <c r="I5125" t="s">
        <v>10168</v>
      </c>
      <c r="J5125" t="s">
        <v>10212</v>
      </c>
      <c r="K5125" t="s">
        <v>10217</v>
      </c>
      <c r="M5125" t="s">
        <v>10355</v>
      </c>
      <c r="N5125" t="s">
        <v>10648</v>
      </c>
      <c r="P5125" t="s">
        <v>10753</v>
      </c>
      <c r="Q5125" t="s">
        <v>10763</v>
      </c>
      <c r="R5125" t="s">
        <v>10828</v>
      </c>
      <c r="T5125">
        <v>0</v>
      </c>
      <c r="U5125">
        <v>0</v>
      </c>
      <c r="V5125">
        <v>52</v>
      </c>
      <c r="W5125">
        <v>2</v>
      </c>
      <c r="X5125">
        <v>1</v>
      </c>
      <c r="Z5125">
        <v>0</v>
      </c>
      <c r="AA5125">
        <v>40.684307</v>
      </c>
      <c r="AB5125">
        <v>-73.824354</v>
      </c>
      <c r="AD5125" t="s">
        <v>10839</v>
      </c>
      <c r="AF5125" t="s">
        <v>10842</v>
      </c>
      <c r="AG5125" t="s">
        <v>10859</v>
      </c>
      <c r="AH5125" t="s">
        <v>10864</v>
      </c>
      <c r="AI5125">
        <v>237</v>
      </c>
      <c r="AJ5125" t="s">
        <v>10212</v>
      </c>
      <c r="AL5125">
        <v>2.5</v>
      </c>
      <c r="AM5125" t="s">
        <v>10892</v>
      </c>
      <c r="AN5125" t="s">
        <v>10944</v>
      </c>
      <c r="AO5125" t="s">
        <v>11017</v>
      </c>
      <c r="AP5125" t="s">
        <v>11070</v>
      </c>
      <c r="AQ5125" t="s">
        <v>11096</v>
      </c>
      <c r="AR5125" t="s">
        <v>11279</v>
      </c>
      <c r="AS5125" t="s">
        <v>11594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</row>
    <row r="5126" spans="1:59">
      <c r="A5126" s="1">
        <f>HYPERLINK("https://lsnyc.legalserver.org/matter/dynamic-profile/view/1909358","19-1909358")</f>
        <v>0</v>
      </c>
      <c r="B5126" t="s">
        <v>4079</v>
      </c>
      <c r="C5126" t="s">
        <v>7144</v>
      </c>
      <c r="D5126" t="s">
        <v>9926</v>
      </c>
      <c r="E5126" t="s">
        <v>10075</v>
      </c>
      <c r="F5126">
        <v>10467</v>
      </c>
      <c r="G5126" t="s">
        <v>10090</v>
      </c>
      <c r="H5126" t="s">
        <v>10155</v>
      </c>
      <c r="I5126" t="s">
        <v>10169</v>
      </c>
      <c r="J5126" t="s">
        <v>10210</v>
      </c>
      <c r="K5126" t="s">
        <v>10217</v>
      </c>
      <c r="M5126" t="s">
        <v>10235</v>
      </c>
      <c r="N5126" t="s">
        <v>10666</v>
      </c>
      <c r="P5126" t="s">
        <v>10749</v>
      </c>
      <c r="Q5126" t="s">
        <v>10765</v>
      </c>
      <c r="R5126" t="s">
        <v>10823</v>
      </c>
      <c r="T5126">
        <v>34008</v>
      </c>
      <c r="U5126">
        <v>2834</v>
      </c>
      <c r="V5126">
        <v>53</v>
      </c>
      <c r="W5126">
        <v>2</v>
      </c>
      <c r="X5126">
        <v>1</v>
      </c>
      <c r="Z5126">
        <v>159.44</v>
      </c>
      <c r="AA5126">
        <v>40.870949</v>
      </c>
      <c r="AB5126">
        <v>-73.86458500000001</v>
      </c>
      <c r="AD5126" t="s">
        <v>10840</v>
      </c>
      <c r="AF5126" t="s">
        <v>10842</v>
      </c>
      <c r="AG5126" t="s">
        <v>10859</v>
      </c>
      <c r="AH5126" t="s">
        <v>10861</v>
      </c>
      <c r="AI5126">
        <v>230</v>
      </c>
      <c r="AJ5126" t="s">
        <v>10210</v>
      </c>
      <c r="AL5126">
        <v>0</v>
      </c>
      <c r="AM5126" t="s">
        <v>10893</v>
      </c>
      <c r="AN5126" t="s">
        <v>10938</v>
      </c>
      <c r="AO5126" t="s">
        <v>11010</v>
      </c>
      <c r="AP5126" t="s">
        <v>11056</v>
      </c>
      <c r="AR5126" t="s">
        <v>11257</v>
      </c>
      <c r="AS5126" t="s">
        <v>9926</v>
      </c>
      <c r="AT5126" t="s">
        <v>11642</v>
      </c>
      <c r="AX5126" t="s">
        <v>10838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</row>
    <row r="5127" spans="1:59">
      <c r="A5127" s="1">
        <f>HYPERLINK("https://lsnyc.legalserver.org/matter/dynamic-profile/view/1909359","19-1909359")</f>
        <v>0</v>
      </c>
      <c r="B5127" t="s">
        <v>4080</v>
      </c>
      <c r="C5127" t="s">
        <v>8903</v>
      </c>
      <c r="D5127" t="s">
        <v>9928</v>
      </c>
      <c r="E5127" t="s">
        <v>10075</v>
      </c>
      <c r="F5127">
        <v>11210</v>
      </c>
      <c r="G5127" t="s">
        <v>10093</v>
      </c>
      <c r="H5127" t="s">
        <v>10155</v>
      </c>
      <c r="I5127" t="s">
        <v>10171</v>
      </c>
      <c r="J5127" t="s">
        <v>10213</v>
      </c>
      <c r="K5127" t="s">
        <v>10218</v>
      </c>
      <c r="L5127" t="s">
        <v>10159</v>
      </c>
      <c r="M5127" t="s">
        <v>10390</v>
      </c>
      <c r="N5127" t="s">
        <v>10644</v>
      </c>
      <c r="P5127" t="s">
        <v>10749</v>
      </c>
      <c r="Q5127" t="s">
        <v>10791</v>
      </c>
      <c r="R5127" t="s">
        <v>10820</v>
      </c>
      <c r="T5127">
        <v>10296</v>
      </c>
      <c r="U5127">
        <v>858</v>
      </c>
      <c r="V5127">
        <v>71</v>
      </c>
      <c r="W5127">
        <v>1</v>
      </c>
      <c r="X5127">
        <v>0</v>
      </c>
      <c r="Y5127" t="s">
        <v>10829</v>
      </c>
      <c r="Z5127">
        <v>82.43000000000001</v>
      </c>
      <c r="AA5127">
        <v>40.620485</v>
      </c>
      <c r="AB5127">
        <v>-73.945442</v>
      </c>
      <c r="AD5127" t="s">
        <v>10840</v>
      </c>
      <c r="AG5127" t="s">
        <v>10858</v>
      </c>
      <c r="AH5127" t="s">
        <v>10869</v>
      </c>
      <c r="AI5127">
        <v>239</v>
      </c>
      <c r="AJ5127" t="s">
        <v>10213</v>
      </c>
      <c r="AK5127" t="s">
        <v>10838</v>
      </c>
      <c r="AL5127">
        <v>1.5</v>
      </c>
      <c r="AM5127" t="s">
        <v>10888</v>
      </c>
      <c r="AN5127" t="s">
        <v>10932</v>
      </c>
      <c r="AO5127" t="s">
        <v>11015</v>
      </c>
      <c r="AP5127" t="s">
        <v>11065</v>
      </c>
      <c r="AQ5127" t="s">
        <v>11133</v>
      </c>
      <c r="AR5127" t="s">
        <v>11263</v>
      </c>
      <c r="AS5127" t="s">
        <v>11595</v>
      </c>
      <c r="AY5127" t="s">
        <v>10829</v>
      </c>
      <c r="AZ5127" t="s">
        <v>11681</v>
      </c>
      <c r="BA5127" t="s">
        <v>11741</v>
      </c>
      <c r="BB5127">
        <v>0</v>
      </c>
      <c r="BC5127">
        <v>0</v>
      </c>
      <c r="BD5127">
        <v>0</v>
      </c>
      <c r="BE5127">
        <v>0</v>
      </c>
      <c r="BF5127">
        <v>1</v>
      </c>
      <c r="BG5127">
        <v>0</v>
      </c>
    </row>
    <row r="5128" spans="1:59">
      <c r="A5128" s="1">
        <f>HYPERLINK("https://lsnyc.legalserver.org/matter/dynamic-profile/view/1909360","19-1909360")</f>
        <v>0</v>
      </c>
      <c r="B5128" t="s">
        <v>4081</v>
      </c>
      <c r="C5128" t="s">
        <v>8904</v>
      </c>
      <c r="D5128" t="s">
        <v>9926</v>
      </c>
      <c r="E5128" t="s">
        <v>10075</v>
      </c>
      <c r="F5128">
        <v>10458</v>
      </c>
      <c r="G5128" t="s">
        <v>10090</v>
      </c>
      <c r="H5128" t="s">
        <v>10155</v>
      </c>
      <c r="I5128" t="s">
        <v>10169</v>
      </c>
      <c r="J5128" t="s">
        <v>10210</v>
      </c>
      <c r="K5128" t="s">
        <v>10218</v>
      </c>
      <c r="L5128" t="s">
        <v>10159</v>
      </c>
      <c r="M5128" t="s">
        <v>10463</v>
      </c>
      <c r="N5128" t="s">
        <v>10650</v>
      </c>
      <c r="P5128" t="s">
        <v>10749</v>
      </c>
      <c r="Q5128" t="s">
        <v>10765</v>
      </c>
      <c r="R5128" t="s">
        <v>10823</v>
      </c>
      <c r="T5128">
        <v>9105.360000000001</v>
      </c>
      <c r="U5128">
        <v>758.78</v>
      </c>
      <c r="V5128">
        <v>60</v>
      </c>
      <c r="W5128">
        <v>1</v>
      </c>
      <c r="X5128">
        <v>0</v>
      </c>
      <c r="Y5128" t="s">
        <v>10829</v>
      </c>
      <c r="Z5128">
        <v>72.90000000000001</v>
      </c>
      <c r="AA5128">
        <v>40.86759</v>
      </c>
      <c r="AB5128">
        <v>-73.882482</v>
      </c>
      <c r="AD5128" t="s">
        <v>10822</v>
      </c>
      <c r="AF5128" t="s">
        <v>10843</v>
      </c>
      <c r="AG5128" t="s">
        <v>10859</v>
      </c>
      <c r="AH5128" t="s">
        <v>10862</v>
      </c>
      <c r="AI5128">
        <v>230</v>
      </c>
      <c r="AJ5128" t="s">
        <v>10210</v>
      </c>
      <c r="AK5128" t="s">
        <v>10838</v>
      </c>
      <c r="AL5128">
        <v>0.1</v>
      </c>
      <c r="AM5128" t="s">
        <v>10887</v>
      </c>
      <c r="AN5128" t="s">
        <v>10907</v>
      </c>
      <c r="AO5128" t="s">
        <v>11002</v>
      </c>
      <c r="AP5128" t="s">
        <v>11057</v>
      </c>
      <c r="AR5128" t="s">
        <v>11263</v>
      </c>
      <c r="AS5128" t="s">
        <v>9926</v>
      </c>
      <c r="AY5128" t="s">
        <v>10829</v>
      </c>
      <c r="AZ5128" t="s">
        <v>11681</v>
      </c>
      <c r="BA5128" t="s">
        <v>11741</v>
      </c>
      <c r="BB5128">
        <v>0</v>
      </c>
      <c r="BC5128">
        <v>0</v>
      </c>
      <c r="BD5128">
        <v>0</v>
      </c>
      <c r="BE5128">
        <v>0</v>
      </c>
      <c r="BF5128">
        <v>1</v>
      </c>
      <c r="BG5128">
        <v>0</v>
      </c>
    </row>
    <row r="5129" spans="1:59">
      <c r="A5129" s="1">
        <f>HYPERLINK("https://lsnyc.legalserver.org/matter/dynamic-profile/view/1909361","19-1909361")</f>
        <v>0</v>
      </c>
      <c r="B5129" t="s">
        <v>4082</v>
      </c>
      <c r="C5129" t="s">
        <v>8905</v>
      </c>
      <c r="D5129" t="s">
        <v>9937</v>
      </c>
      <c r="E5129" t="s">
        <v>10075</v>
      </c>
      <c r="F5129">
        <v>11412</v>
      </c>
      <c r="G5129" t="s">
        <v>10092</v>
      </c>
      <c r="H5129" t="s">
        <v>10155</v>
      </c>
      <c r="J5129" t="s">
        <v>10212</v>
      </c>
      <c r="K5129" t="s">
        <v>10218</v>
      </c>
      <c r="L5129" t="s">
        <v>10167</v>
      </c>
      <c r="M5129" t="s">
        <v>10408</v>
      </c>
      <c r="N5129" t="s">
        <v>10650</v>
      </c>
      <c r="P5129" t="s">
        <v>10749</v>
      </c>
      <c r="Q5129" t="s">
        <v>10765</v>
      </c>
      <c r="R5129" t="s">
        <v>10824</v>
      </c>
      <c r="T5129">
        <v>6000</v>
      </c>
      <c r="U5129">
        <v>500</v>
      </c>
      <c r="V5129">
        <v>33</v>
      </c>
      <c r="W5129">
        <v>1</v>
      </c>
      <c r="X5129">
        <v>3</v>
      </c>
      <c r="Y5129" t="s">
        <v>10829</v>
      </c>
      <c r="Z5129">
        <v>23.3</v>
      </c>
      <c r="AA5129">
        <v>40.702973</v>
      </c>
      <c r="AB5129">
        <v>-73.771119</v>
      </c>
      <c r="AD5129" t="s">
        <v>10839</v>
      </c>
      <c r="AG5129" t="s">
        <v>10858</v>
      </c>
      <c r="AH5129" t="s">
        <v>10862</v>
      </c>
      <c r="AI5129">
        <v>237</v>
      </c>
      <c r="AJ5129" t="s">
        <v>10212</v>
      </c>
      <c r="AK5129" t="s">
        <v>10882</v>
      </c>
      <c r="AL5129">
        <v>1.1</v>
      </c>
      <c r="AM5129" t="s">
        <v>10892</v>
      </c>
      <c r="AN5129" t="s">
        <v>10955</v>
      </c>
      <c r="AO5129" t="s">
        <v>11020</v>
      </c>
      <c r="AP5129" t="s">
        <v>11075</v>
      </c>
      <c r="AR5129" t="s">
        <v>11255</v>
      </c>
      <c r="AS5129" t="s">
        <v>11594</v>
      </c>
      <c r="AT5129" t="s">
        <v>11641</v>
      </c>
      <c r="AX5129" t="s">
        <v>10838</v>
      </c>
      <c r="AY5129" t="s">
        <v>10829</v>
      </c>
      <c r="AZ5129" t="s">
        <v>11681</v>
      </c>
      <c r="BA5129" t="s">
        <v>11741</v>
      </c>
      <c r="BB5129">
        <v>0</v>
      </c>
      <c r="BC5129">
        <v>0</v>
      </c>
      <c r="BD5129">
        <v>0</v>
      </c>
      <c r="BE5129">
        <v>0</v>
      </c>
      <c r="BF5129">
        <v>1</v>
      </c>
      <c r="BG5129">
        <v>0</v>
      </c>
    </row>
    <row r="5130" spans="1:59">
      <c r="A5130" s="1">
        <f>HYPERLINK("https://lsnyc.legalserver.org/matter/dynamic-profile/view/1909362","19-1909362")</f>
        <v>0</v>
      </c>
      <c r="B5130" t="s">
        <v>3598</v>
      </c>
      <c r="C5130" t="s">
        <v>8402</v>
      </c>
      <c r="D5130" t="s">
        <v>9938</v>
      </c>
      <c r="E5130" t="s">
        <v>10075</v>
      </c>
      <c r="F5130">
        <v>11436</v>
      </c>
      <c r="G5130" t="s">
        <v>10092</v>
      </c>
      <c r="H5130" t="s">
        <v>10155</v>
      </c>
      <c r="I5130" t="s">
        <v>10168</v>
      </c>
      <c r="J5130" t="s">
        <v>10212</v>
      </c>
      <c r="K5130" t="s">
        <v>10217</v>
      </c>
      <c r="M5130" t="s">
        <v>10318</v>
      </c>
      <c r="N5130" t="s">
        <v>10684</v>
      </c>
      <c r="P5130" t="s">
        <v>10751</v>
      </c>
      <c r="Q5130" t="s">
        <v>10786</v>
      </c>
      <c r="R5130" t="s">
        <v>10827</v>
      </c>
      <c r="T5130">
        <v>22880</v>
      </c>
      <c r="U5130">
        <v>1906.67</v>
      </c>
      <c r="V5130">
        <v>54</v>
      </c>
      <c r="W5130">
        <v>2</v>
      </c>
      <c r="X5130">
        <v>0</v>
      </c>
      <c r="Z5130">
        <v>135.3</v>
      </c>
      <c r="AA5130">
        <v>40.683682</v>
      </c>
      <c r="AB5130">
        <v>-73.79369800000001</v>
      </c>
      <c r="AD5130" t="s">
        <v>10840</v>
      </c>
      <c r="AG5130" t="s">
        <v>10858</v>
      </c>
      <c r="AH5130" t="s">
        <v>10873</v>
      </c>
      <c r="AI5130">
        <v>237</v>
      </c>
      <c r="AJ5130" t="s">
        <v>10212</v>
      </c>
      <c r="AL5130">
        <v>1.75</v>
      </c>
      <c r="AM5130" t="s">
        <v>10892</v>
      </c>
      <c r="AN5130" t="s">
        <v>10951</v>
      </c>
      <c r="AO5130" t="s">
        <v>11017</v>
      </c>
      <c r="AP5130" t="s">
        <v>11070</v>
      </c>
      <c r="AR5130" t="s">
        <v>11257</v>
      </c>
      <c r="AS5130" t="s">
        <v>11594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</row>
    <row r="5131" spans="1:59">
      <c r="A5131" s="1">
        <f>HYPERLINK("https://lsnyc.legalserver.org/matter/dynamic-profile/view/1909363","19-1909363")</f>
        <v>0</v>
      </c>
      <c r="B5131" t="s">
        <v>4083</v>
      </c>
      <c r="C5131" t="s">
        <v>8906</v>
      </c>
      <c r="D5131" t="s">
        <v>9925</v>
      </c>
      <c r="E5131" t="s">
        <v>10075</v>
      </c>
      <c r="F5131">
        <v>10030</v>
      </c>
      <c r="G5131" t="s">
        <v>10089</v>
      </c>
      <c r="H5131" t="s">
        <v>10155</v>
      </c>
      <c r="J5131" t="s">
        <v>10209</v>
      </c>
      <c r="K5131" t="s">
        <v>10217</v>
      </c>
      <c r="M5131" t="s">
        <v>10501</v>
      </c>
      <c r="N5131" t="s">
        <v>10703</v>
      </c>
      <c r="P5131" t="s">
        <v>10749</v>
      </c>
      <c r="Q5131" t="s">
        <v>10765</v>
      </c>
      <c r="R5131" t="s">
        <v>10824</v>
      </c>
      <c r="T5131">
        <v>16800</v>
      </c>
      <c r="U5131">
        <v>1400</v>
      </c>
      <c r="V5131">
        <v>68</v>
      </c>
      <c r="W5131">
        <v>1</v>
      </c>
      <c r="X5131">
        <v>0</v>
      </c>
      <c r="Z5131">
        <v>134.51</v>
      </c>
      <c r="AA5131">
        <v>40.816712</v>
      </c>
      <c r="AB5131">
        <v>-73.93952299999999</v>
      </c>
      <c r="AD5131" t="s">
        <v>10839</v>
      </c>
      <c r="AG5131" t="s">
        <v>10858</v>
      </c>
      <c r="AH5131" t="s">
        <v>10862</v>
      </c>
      <c r="AI5131">
        <v>236</v>
      </c>
      <c r="AJ5131" t="s">
        <v>10209</v>
      </c>
      <c r="AL5131">
        <v>1</v>
      </c>
      <c r="AM5131" t="s">
        <v>10887</v>
      </c>
      <c r="AN5131" t="s">
        <v>10936</v>
      </c>
      <c r="AO5131" t="s">
        <v>11016</v>
      </c>
      <c r="AP5131" t="s">
        <v>11076</v>
      </c>
      <c r="AR5131" t="s">
        <v>11268</v>
      </c>
      <c r="AS5131" t="s">
        <v>9925</v>
      </c>
      <c r="BA5131" t="s">
        <v>11738</v>
      </c>
      <c r="BB5131">
        <v>0</v>
      </c>
      <c r="BC5131">
        <v>0</v>
      </c>
      <c r="BD5131">
        <v>0</v>
      </c>
      <c r="BE5131">
        <v>0</v>
      </c>
      <c r="BF5131">
        <v>5</v>
      </c>
      <c r="BG5131">
        <v>0</v>
      </c>
    </row>
    <row r="5132" spans="1:59">
      <c r="A5132" s="1">
        <f>HYPERLINK("https://lsnyc.legalserver.org/matter/dynamic-profile/view/1909364","19-1909364")</f>
        <v>0</v>
      </c>
      <c r="B5132" t="s">
        <v>4084</v>
      </c>
      <c r="C5132" t="s">
        <v>8907</v>
      </c>
      <c r="D5132" t="s">
        <v>9926</v>
      </c>
      <c r="E5132" t="s">
        <v>10075</v>
      </c>
      <c r="F5132">
        <v>10466</v>
      </c>
      <c r="G5132" t="s">
        <v>10089</v>
      </c>
      <c r="H5132" t="s">
        <v>10155</v>
      </c>
      <c r="J5132" t="s">
        <v>10209</v>
      </c>
      <c r="K5132" t="s">
        <v>10217</v>
      </c>
      <c r="M5132" t="s">
        <v>10490</v>
      </c>
      <c r="N5132" t="s">
        <v>10718</v>
      </c>
      <c r="P5132" t="s">
        <v>10756</v>
      </c>
      <c r="Q5132" t="s">
        <v>10818</v>
      </c>
      <c r="R5132" t="s">
        <v>10821</v>
      </c>
      <c r="T5132">
        <v>46000</v>
      </c>
      <c r="U5132">
        <v>3833.33</v>
      </c>
      <c r="V5132">
        <v>26</v>
      </c>
      <c r="W5132">
        <v>2</v>
      </c>
      <c r="X5132">
        <v>2</v>
      </c>
      <c r="Z5132">
        <v>178.64</v>
      </c>
      <c r="AA5132">
        <v>40.89596</v>
      </c>
      <c r="AB5132">
        <v>-73.858153</v>
      </c>
      <c r="AD5132" t="s">
        <v>10839</v>
      </c>
      <c r="AG5132" t="s">
        <v>10858</v>
      </c>
      <c r="AH5132" t="s">
        <v>10879</v>
      </c>
      <c r="AI5132">
        <v>236</v>
      </c>
      <c r="AJ5132" t="s">
        <v>10209</v>
      </c>
      <c r="AL5132">
        <v>0.5</v>
      </c>
      <c r="AM5132" t="s">
        <v>10893</v>
      </c>
      <c r="AN5132" t="s">
        <v>10919</v>
      </c>
      <c r="AO5132" t="s">
        <v>11010</v>
      </c>
      <c r="AP5132" t="s">
        <v>11057</v>
      </c>
      <c r="AR5132" t="s">
        <v>11257</v>
      </c>
      <c r="AS5132" t="s">
        <v>9926</v>
      </c>
      <c r="AT5132" t="s">
        <v>11641</v>
      </c>
      <c r="AX5132" t="s">
        <v>10838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</row>
    <row r="5133" spans="1:59">
      <c r="A5133" s="1">
        <f>HYPERLINK("https://lsnyc.legalserver.org/matter/dynamic-profile/view/1909365","19-1909365")</f>
        <v>0</v>
      </c>
      <c r="B5133" t="s">
        <v>4085</v>
      </c>
      <c r="C5133" t="s">
        <v>8908</v>
      </c>
      <c r="D5133" t="s">
        <v>9924</v>
      </c>
      <c r="E5133" t="s">
        <v>10075</v>
      </c>
      <c r="F5133">
        <v>10304</v>
      </c>
      <c r="G5133" t="s">
        <v>10088</v>
      </c>
      <c r="H5133" t="s">
        <v>10160</v>
      </c>
      <c r="I5133" t="s">
        <v>10169</v>
      </c>
      <c r="J5133" t="s">
        <v>10208</v>
      </c>
      <c r="K5133" t="s">
        <v>10217</v>
      </c>
      <c r="M5133" t="s">
        <v>10255</v>
      </c>
      <c r="N5133" t="s">
        <v>10663</v>
      </c>
      <c r="P5133" t="s">
        <v>10756</v>
      </c>
      <c r="Q5133" t="s">
        <v>10802</v>
      </c>
      <c r="R5133" t="s">
        <v>10821</v>
      </c>
      <c r="T5133">
        <v>12120</v>
      </c>
      <c r="U5133">
        <v>1010</v>
      </c>
      <c r="V5133">
        <v>16</v>
      </c>
      <c r="W5133">
        <v>1</v>
      </c>
      <c r="X5133">
        <v>1</v>
      </c>
      <c r="Z5133">
        <v>71.67</v>
      </c>
      <c r="AA5133">
        <v>40.622861</v>
      </c>
      <c r="AB5133">
        <v>-74.08213600000001</v>
      </c>
      <c r="AD5133" t="s">
        <v>10839</v>
      </c>
      <c r="AG5133" t="s">
        <v>10858</v>
      </c>
      <c r="AH5133" t="s">
        <v>10861</v>
      </c>
      <c r="AI5133">
        <v>285</v>
      </c>
      <c r="AJ5133" t="s">
        <v>10208</v>
      </c>
      <c r="AL5133">
        <v>0</v>
      </c>
      <c r="AM5133" t="s">
        <v>10883</v>
      </c>
      <c r="AN5133" t="s">
        <v>10913</v>
      </c>
      <c r="AO5133" t="s">
        <v>11006</v>
      </c>
      <c r="AP5133" t="s">
        <v>11051</v>
      </c>
      <c r="AR5133" t="s">
        <v>11488</v>
      </c>
      <c r="AS5133" t="s">
        <v>11593</v>
      </c>
      <c r="AT5133" t="s">
        <v>11641</v>
      </c>
      <c r="AX5133" t="s">
        <v>10838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</row>
    <row r="5134" spans="1:59">
      <c r="A5134" s="1">
        <f>HYPERLINK("https://lsnyc.legalserver.org/matter/dynamic-profile/view/1909366","19-1909366")</f>
        <v>0</v>
      </c>
      <c r="B5134" t="s">
        <v>1717</v>
      </c>
      <c r="C5134" t="s">
        <v>8909</v>
      </c>
      <c r="D5134" t="s">
        <v>9936</v>
      </c>
      <c r="E5134" t="s">
        <v>10075</v>
      </c>
      <c r="F5134">
        <v>11105</v>
      </c>
      <c r="G5134" t="s">
        <v>10092</v>
      </c>
      <c r="H5134" t="s">
        <v>10143</v>
      </c>
      <c r="I5134" t="s">
        <v>10168</v>
      </c>
      <c r="J5134" t="s">
        <v>10212</v>
      </c>
      <c r="K5134" t="s">
        <v>10217</v>
      </c>
      <c r="M5134" t="s">
        <v>10232</v>
      </c>
      <c r="N5134" t="s">
        <v>10674</v>
      </c>
      <c r="P5134" t="s">
        <v>10753</v>
      </c>
      <c r="Q5134" t="s">
        <v>10763</v>
      </c>
      <c r="R5134" t="s">
        <v>10828</v>
      </c>
      <c r="T5134">
        <v>75000</v>
      </c>
      <c r="U5134">
        <v>6250</v>
      </c>
      <c r="V5134">
        <v>36</v>
      </c>
      <c r="W5134">
        <v>1</v>
      </c>
      <c r="X5134">
        <v>0</v>
      </c>
      <c r="Z5134">
        <v>600.48</v>
      </c>
      <c r="AA5134">
        <v>40.780236</v>
      </c>
      <c r="AB5134">
        <v>-73.914807</v>
      </c>
      <c r="AD5134" t="s">
        <v>10840</v>
      </c>
      <c r="AF5134" t="s">
        <v>10842</v>
      </c>
      <c r="AG5134" t="s">
        <v>10859</v>
      </c>
      <c r="AH5134" t="s">
        <v>10864</v>
      </c>
      <c r="AI5134">
        <v>237</v>
      </c>
      <c r="AJ5134" t="s">
        <v>10212</v>
      </c>
      <c r="AL5134">
        <v>0.75</v>
      </c>
      <c r="AM5134" t="s">
        <v>10885</v>
      </c>
      <c r="AN5134" t="s">
        <v>10954</v>
      </c>
      <c r="AO5134" t="s">
        <v>11003</v>
      </c>
      <c r="AP5134" t="s">
        <v>11084</v>
      </c>
      <c r="AQ5134" t="s">
        <v>11158</v>
      </c>
      <c r="AR5134" t="s">
        <v>11257</v>
      </c>
      <c r="AS5134" t="s">
        <v>11594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</row>
    <row r="5135" spans="1:59">
      <c r="A5135" s="1">
        <f>HYPERLINK("https://lsnyc.legalserver.org/matter/dynamic-profile/view/1909367","19-1909367")</f>
        <v>0</v>
      </c>
      <c r="B5135" t="s">
        <v>4086</v>
      </c>
      <c r="C5135" t="s">
        <v>8910</v>
      </c>
      <c r="D5135" t="s">
        <v>9926</v>
      </c>
      <c r="E5135" t="s">
        <v>10075</v>
      </c>
      <c r="F5135">
        <v>10458</v>
      </c>
      <c r="G5135" t="s">
        <v>10091</v>
      </c>
      <c r="H5135" t="s">
        <v>10159</v>
      </c>
      <c r="I5135" t="s">
        <v>10168</v>
      </c>
      <c r="J5135" t="s">
        <v>10214</v>
      </c>
      <c r="K5135" t="s">
        <v>10217</v>
      </c>
      <c r="M5135" t="s">
        <v>10286</v>
      </c>
      <c r="N5135" t="s">
        <v>10671</v>
      </c>
      <c r="P5135" t="s">
        <v>10749</v>
      </c>
      <c r="Q5135" t="s">
        <v>10765</v>
      </c>
      <c r="R5135" t="s">
        <v>10821</v>
      </c>
      <c r="T5135">
        <v>9600</v>
      </c>
      <c r="U5135">
        <v>800</v>
      </c>
      <c r="V5135">
        <v>60</v>
      </c>
      <c r="W5135">
        <v>1</v>
      </c>
      <c r="X5135">
        <v>0</v>
      </c>
      <c r="Z5135">
        <v>76.86</v>
      </c>
      <c r="AA5135">
        <v>40.876571</v>
      </c>
      <c r="AB5135">
        <v>-73.885137</v>
      </c>
      <c r="AD5135" t="s">
        <v>10840</v>
      </c>
      <c r="AG5135" t="s">
        <v>10858</v>
      </c>
      <c r="AH5135" t="s">
        <v>10871</v>
      </c>
      <c r="AI5135">
        <v>234</v>
      </c>
      <c r="AJ5135" t="s">
        <v>10214</v>
      </c>
      <c r="AL5135">
        <v>1</v>
      </c>
      <c r="AM5135" t="s">
        <v>10887</v>
      </c>
      <c r="AN5135" t="s">
        <v>10907</v>
      </c>
      <c r="AO5135" t="s">
        <v>11010</v>
      </c>
      <c r="AP5135" t="s">
        <v>11057</v>
      </c>
      <c r="AR5135" t="s">
        <v>11257</v>
      </c>
      <c r="AS5135" t="s">
        <v>9926</v>
      </c>
      <c r="AT5135" t="s">
        <v>11642</v>
      </c>
      <c r="AX5135" t="s">
        <v>10838</v>
      </c>
      <c r="BA5135" t="s">
        <v>11741</v>
      </c>
      <c r="BB5135">
        <v>0</v>
      </c>
      <c r="BC5135">
        <v>0</v>
      </c>
      <c r="BD5135">
        <v>0</v>
      </c>
      <c r="BE5135">
        <v>0</v>
      </c>
      <c r="BF5135">
        <v>1</v>
      </c>
      <c r="BG5135">
        <v>0</v>
      </c>
    </row>
    <row r="5136" spans="1:59">
      <c r="A5136" s="1">
        <f>HYPERLINK("https://lsnyc.legalserver.org/matter/dynamic-profile/view/1909368","19-1909368")</f>
        <v>0</v>
      </c>
      <c r="B5136" t="s">
        <v>2097</v>
      </c>
      <c r="C5136" t="s">
        <v>8911</v>
      </c>
      <c r="D5136" t="s">
        <v>9925</v>
      </c>
      <c r="E5136" t="s">
        <v>10075</v>
      </c>
      <c r="F5136">
        <v>10027</v>
      </c>
      <c r="G5136" t="s">
        <v>10089</v>
      </c>
      <c r="H5136" t="s">
        <v>10159</v>
      </c>
      <c r="I5136" t="s">
        <v>10168</v>
      </c>
      <c r="J5136" t="s">
        <v>10209</v>
      </c>
      <c r="K5136" t="s">
        <v>10217</v>
      </c>
      <c r="M5136" t="s">
        <v>10625</v>
      </c>
      <c r="N5136" t="s">
        <v>10702</v>
      </c>
      <c r="P5136" t="s">
        <v>10749</v>
      </c>
      <c r="Q5136" t="s">
        <v>10765</v>
      </c>
      <c r="R5136" t="s">
        <v>10824</v>
      </c>
      <c r="T5136">
        <v>51000</v>
      </c>
      <c r="U5136">
        <v>4250</v>
      </c>
      <c r="V5136">
        <v>48</v>
      </c>
      <c r="W5136">
        <v>2</v>
      </c>
      <c r="X5136">
        <v>2</v>
      </c>
      <c r="Z5136">
        <v>198.06</v>
      </c>
      <c r="AA5136">
        <v>40.805415</v>
      </c>
      <c r="AB5136">
        <v>-73.945442</v>
      </c>
      <c r="AD5136" t="s">
        <v>10840</v>
      </c>
      <c r="AG5136" t="s">
        <v>10858</v>
      </c>
      <c r="AH5136" t="s">
        <v>10862</v>
      </c>
      <c r="AI5136">
        <v>236</v>
      </c>
      <c r="AJ5136" t="s">
        <v>10209</v>
      </c>
      <c r="AL5136">
        <v>4.5</v>
      </c>
      <c r="AM5136" t="s">
        <v>10887</v>
      </c>
      <c r="AN5136" t="s">
        <v>10936</v>
      </c>
      <c r="AO5136" t="s">
        <v>11016</v>
      </c>
      <c r="AP5136" t="s">
        <v>11076</v>
      </c>
      <c r="AR5136" t="s">
        <v>11257</v>
      </c>
      <c r="AS5136" t="s">
        <v>9925</v>
      </c>
      <c r="BA5136" t="s">
        <v>11738</v>
      </c>
      <c r="BB5136">
        <v>0</v>
      </c>
      <c r="BC5136">
        <v>0</v>
      </c>
      <c r="BD5136">
        <v>0</v>
      </c>
      <c r="BE5136">
        <v>0</v>
      </c>
      <c r="BF5136">
        <v>5</v>
      </c>
      <c r="BG5136">
        <v>0</v>
      </c>
    </row>
    <row r="5137" spans="1:59">
      <c r="A5137" s="1">
        <f>HYPERLINK("https://lsnyc.legalserver.org/matter/dynamic-profile/view/1909369","19-1909369")</f>
        <v>0</v>
      </c>
      <c r="B5137" t="s">
        <v>4087</v>
      </c>
      <c r="C5137" t="s">
        <v>8912</v>
      </c>
      <c r="D5137" t="s">
        <v>9928</v>
      </c>
      <c r="E5137" t="s">
        <v>10075</v>
      </c>
      <c r="F5137">
        <v>11203</v>
      </c>
      <c r="G5137" t="s">
        <v>10091</v>
      </c>
      <c r="H5137" t="s">
        <v>10159</v>
      </c>
      <c r="I5137" t="s">
        <v>10168</v>
      </c>
      <c r="J5137" t="s">
        <v>10214</v>
      </c>
      <c r="K5137" t="s">
        <v>10217</v>
      </c>
      <c r="M5137" t="s">
        <v>10286</v>
      </c>
      <c r="N5137" t="s">
        <v>10671</v>
      </c>
      <c r="P5137" t="s">
        <v>10749</v>
      </c>
      <c r="Q5137" t="s">
        <v>10765</v>
      </c>
      <c r="R5137" t="s">
        <v>10824</v>
      </c>
      <c r="T5137">
        <v>20800</v>
      </c>
      <c r="U5137">
        <v>1733.33</v>
      </c>
      <c r="V5137">
        <v>44</v>
      </c>
      <c r="W5137">
        <v>1</v>
      </c>
      <c r="X5137">
        <v>0</v>
      </c>
      <c r="Z5137">
        <v>166.53</v>
      </c>
      <c r="AA5137">
        <v>40.651723</v>
      </c>
      <c r="AB5137">
        <v>-73.928152</v>
      </c>
      <c r="AD5137" t="s">
        <v>10840</v>
      </c>
      <c r="AG5137" t="s">
        <v>10858</v>
      </c>
      <c r="AH5137" t="s">
        <v>10871</v>
      </c>
      <c r="AI5137">
        <v>234</v>
      </c>
      <c r="AJ5137" t="s">
        <v>10214</v>
      </c>
      <c r="AL5137">
        <v>1</v>
      </c>
      <c r="AM5137" t="s">
        <v>10888</v>
      </c>
      <c r="AN5137" t="s">
        <v>10925</v>
      </c>
      <c r="AO5137" t="s">
        <v>11008</v>
      </c>
      <c r="AP5137" t="s">
        <v>11064</v>
      </c>
      <c r="AR5137" t="s">
        <v>11257</v>
      </c>
      <c r="AS5137" t="s">
        <v>11595</v>
      </c>
      <c r="AT5137" t="s">
        <v>11642</v>
      </c>
      <c r="AX5137" t="s">
        <v>10838</v>
      </c>
      <c r="BA5137" t="s">
        <v>11741</v>
      </c>
      <c r="BB5137">
        <v>0</v>
      </c>
      <c r="BC5137">
        <v>0</v>
      </c>
      <c r="BD5137">
        <v>0</v>
      </c>
      <c r="BE5137">
        <v>0</v>
      </c>
      <c r="BF5137">
        <v>1</v>
      </c>
      <c r="BG5137">
        <v>0</v>
      </c>
    </row>
    <row r="5138" spans="1:59">
      <c r="A5138" s="1">
        <f>HYPERLINK("https://lsnyc.legalserver.org/matter/dynamic-profile/view/1909370","19-1909370")</f>
        <v>0</v>
      </c>
      <c r="B5138" t="s">
        <v>482</v>
      </c>
      <c r="C5138" t="s">
        <v>5401</v>
      </c>
      <c r="D5138" t="s">
        <v>9928</v>
      </c>
      <c r="E5138" t="s">
        <v>10075</v>
      </c>
      <c r="F5138">
        <v>11233</v>
      </c>
      <c r="G5138" t="s">
        <v>10093</v>
      </c>
      <c r="H5138" t="s">
        <v>10159</v>
      </c>
      <c r="I5138" t="s">
        <v>10168</v>
      </c>
      <c r="J5138" t="s">
        <v>10213</v>
      </c>
      <c r="K5138" t="s">
        <v>10217</v>
      </c>
      <c r="M5138" t="s">
        <v>10348</v>
      </c>
      <c r="N5138" t="s">
        <v>10650</v>
      </c>
      <c r="P5138" t="s">
        <v>10751</v>
      </c>
      <c r="Q5138" t="s">
        <v>10761</v>
      </c>
      <c r="R5138" t="s">
        <v>10824</v>
      </c>
      <c r="T5138">
        <v>0</v>
      </c>
      <c r="U5138">
        <v>0</v>
      </c>
      <c r="V5138">
        <v>35</v>
      </c>
      <c r="W5138">
        <v>1</v>
      </c>
      <c r="X5138">
        <v>2</v>
      </c>
      <c r="Z5138">
        <v>0</v>
      </c>
      <c r="AA5138">
        <v>40.675515</v>
      </c>
      <c r="AB5138">
        <v>-73.911641</v>
      </c>
      <c r="AD5138" t="s">
        <v>10840</v>
      </c>
      <c r="AG5138" t="s">
        <v>10858</v>
      </c>
      <c r="AH5138" t="s">
        <v>10862</v>
      </c>
      <c r="AI5138">
        <v>239</v>
      </c>
      <c r="AJ5138" t="s">
        <v>10213</v>
      </c>
      <c r="AL5138">
        <v>4</v>
      </c>
      <c r="AM5138" t="s">
        <v>10889</v>
      </c>
      <c r="AN5138" t="s">
        <v>10922</v>
      </c>
      <c r="AO5138" t="s">
        <v>11007</v>
      </c>
      <c r="AP5138" t="s">
        <v>11064</v>
      </c>
      <c r="AR5138" t="s">
        <v>11267</v>
      </c>
      <c r="AS5138" t="s">
        <v>11595</v>
      </c>
      <c r="AT5138" t="s">
        <v>11642</v>
      </c>
      <c r="AX5138" t="s">
        <v>10838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</row>
    <row r="5139" spans="1:59">
      <c r="A5139" s="1">
        <f>HYPERLINK("https://lsnyc.legalserver.org/matter/dynamic-profile/view/1909371","19-1909371")</f>
        <v>0</v>
      </c>
      <c r="B5139" t="s">
        <v>4088</v>
      </c>
      <c r="C5139" t="s">
        <v>8913</v>
      </c>
      <c r="D5139" t="s">
        <v>9926</v>
      </c>
      <c r="E5139" t="s">
        <v>10075</v>
      </c>
      <c r="F5139">
        <v>10456</v>
      </c>
      <c r="G5139" t="s">
        <v>10090</v>
      </c>
      <c r="H5139" t="s">
        <v>10159</v>
      </c>
      <c r="I5139" t="s">
        <v>10168</v>
      </c>
      <c r="J5139" t="s">
        <v>10210</v>
      </c>
      <c r="K5139" t="s">
        <v>10217</v>
      </c>
      <c r="M5139" t="s">
        <v>10438</v>
      </c>
      <c r="N5139" t="s">
        <v>10665</v>
      </c>
      <c r="P5139" t="s">
        <v>10750</v>
      </c>
      <c r="Q5139" t="s">
        <v>10799</v>
      </c>
      <c r="R5139" t="s">
        <v>10825</v>
      </c>
      <c r="T5139">
        <v>41280</v>
      </c>
      <c r="U5139">
        <v>3440</v>
      </c>
      <c r="V5139">
        <v>28</v>
      </c>
      <c r="W5139">
        <v>1</v>
      </c>
      <c r="X5139">
        <v>2</v>
      </c>
      <c r="Z5139">
        <v>193.53</v>
      </c>
      <c r="AA5139">
        <v>40.837554</v>
      </c>
      <c r="AB5139">
        <v>-73.910062</v>
      </c>
      <c r="AD5139" t="s">
        <v>10839</v>
      </c>
      <c r="AG5139" t="s">
        <v>10858</v>
      </c>
      <c r="AH5139" t="s">
        <v>10861</v>
      </c>
      <c r="AI5139">
        <v>234</v>
      </c>
      <c r="AJ5139" t="s">
        <v>10214</v>
      </c>
      <c r="AL5139">
        <v>2.5</v>
      </c>
      <c r="AM5139" t="s">
        <v>10884</v>
      </c>
      <c r="AN5139" t="s">
        <v>10929</v>
      </c>
      <c r="AO5139" t="s">
        <v>11000</v>
      </c>
      <c r="AP5139" t="s">
        <v>11055</v>
      </c>
      <c r="AQ5139" t="s">
        <v>11188</v>
      </c>
      <c r="AR5139" t="s">
        <v>11315</v>
      </c>
      <c r="AS5139" t="s">
        <v>9926</v>
      </c>
      <c r="AT5139" t="s">
        <v>11641</v>
      </c>
      <c r="AX5139" t="s">
        <v>10838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</row>
    <row r="5140" spans="1:59">
      <c r="A5140" s="1">
        <f>HYPERLINK("https://lsnyc.legalserver.org/matter/dynamic-profile/view/1909372","19-1909372")</f>
        <v>0</v>
      </c>
      <c r="B5140" t="s">
        <v>1918</v>
      </c>
      <c r="C5140" t="s">
        <v>8808</v>
      </c>
      <c r="D5140" t="s">
        <v>9928</v>
      </c>
      <c r="E5140" t="s">
        <v>10075</v>
      </c>
      <c r="F5140">
        <v>11213</v>
      </c>
      <c r="G5140" t="s">
        <v>10093</v>
      </c>
      <c r="H5140" t="s">
        <v>10159</v>
      </c>
      <c r="I5140" t="s">
        <v>10168</v>
      </c>
      <c r="J5140" t="s">
        <v>10213</v>
      </c>
      <c r="K5140" t="s">
        <v>10217</v>
      </c>
      <c r="M5140" t="s">
        <v>10265</v>
      </c>
      <c r="N5140" t="s">
        <v>10671</v>
      </c>
      <c r="P5140" t="s">
        <v>10751</v>
      </c>
      <c r="Q5140" t="s">
        <v>10761</v>
      </c>
      <c r="R5140" t="s">
        <v>10824</v>
      </c>
      <c r="T5140">
        <v>27240</v>
      </c>
      <c r="U5140">
        <v>2270</v>
      </c>
      <c r="V5140">
        <v>50</v>
      </c>
      <c r="W5140">
        <v>3</v>
      </c>
      <c r="X5140">
        <v>1</v>
      </c>
      <c r="Z5140">
        <v>105.79</v>
      </c>
      <c r="AA5140">
        <v>40.674054</v>
      </c>
      <c r="AB5140">
        <v>-73.940046</v>
      </c>
      <c r="AD5140" t="s">
        <v>10839</v>
      </c>
      <c r="AG5140" t="s">
        <v>10858</v>
      </c>
      <c r="AH5140" t="s">
        <v>10862</v>
      </c>
      <c r="AI5140">
        <v>239</v>
      </c>
      <c r="AJ5140" t="s">
        <v>10213</v>
      </c>
      <c r="AL5140">
        <v>1.5</v>
      </c>
      <c r="AM5140" t="s">
        <v>10888</v>
      </c>
      <c r="AN5140" t="s">
        <v>10914</v>
      </c>
      <c r="AO5140" t="s">
        <v>11007</v>
      </c>
      <c r="AP5140" t="s">
        <v>11052</v>
      </c>
      <c r="AR5140" t="s">
        <v>11484</v>
      </c>
      <c r="AS5140" t="s">
        <v>11595</v>
      </c>
      <c r="BA5140" t="s">
        <v>11737</v>
      </c>
      <c r="BB5140">
        <v>0</v>
      </c>
      <c r="BC5140">
        <v>0</v>
      </c>
      <c r="BD5140">
        <v>0</v>
      </c>
      <c r="BE5140">
        <v>0</v>
      </c>
      <c r="BF5140">
        <v>3</v>
      </c>
      <c r="BG5140">
        <v>0</v>
      </c>
    </row>
    <row r="5141" spans="1:59">
      <c r="A5141" s="1">
        <f>HYPERLINK("https://lsnyc.legalserver.org/matter/dynamic-profile/view/1909373","19-1909373")</f>
        <v>0</v>
      </c>
      <c r="B5141" t="s">
        <v>4089</v>
      </c>
      <c r="C5141" t="s">
        <v>8914</v>
      </c>
      <c r="D5141" t="s">
        <v>9925</v>
      </c>
      <c r="E5141" t="s">
        <v>10075</v>
      </c>
      <c r="F5141">
        <v>10031</v>
      </c>
      <c r="G5141" t="s">
        <v>10089</v>
      </c>
      <c r="H5141" t="s">
        <v>10159</v>
      </c>
      <c r="I5141" t="s">
        <v>10168</v>
      </c>
      <c r="J5141" t="s">
        <v>10209</v>
      </c>
      <c r="K5141" t="s">
        <v>10217</v>
      </c>
      <c r="M5141" t="s">
        <v>10626</v>
      </c>
      <c r="N5141" t="s">
        <v>10702</v>
      </c>
      <c r="P5141" t="s">
        <v>10749</v>
      </c>
      <c r="Q5141" t="s">
        <v>10765</v>
      </c>
      <c r="R5141" t="s">
        <v>10821</v>
      </c>
      <c r="T5141">
        <v>20748</v>
      </c>
      <c r="U5141">
        <v>1729</v>
      </c>
      <c r="V5141">
        <v>48</v>
      </c>
      <c r="W5141">
        <v>1</v>
      </c>
      <c r="X5141">
        <v>1</v>
      </c>
      <c r="Z5141">
        <v>122.7</v>
      </c>
      <c r="AA5141">
        <v>40.828875</v>
      </c>
      <c r="AB5141">
        <v>-73.940827</v>
      </c>
      <c r="AD5141" t="s">
        <v>10839</v>
      </c>
      <c r="AG5141" t="s">
        <v>10858</v>
      </c>
      <c r="AH5141" t="s">
        <v>10862</v>
      </c>
      <c r="AI5141">
        <v>236</v>
      </c>
      <c r="AJ5141" t="s">
        <v>10209</v>
      </c>
      <c r="AL5141">
        <v>2.3</v>
      </c>
      <c r="AM5141" t="s">
        <v>10887</v>
      </c>
      <c r="AN5141" t="s">
        <v>10943</v>
      </c>
      <c r="AO5141" t="s">
        <v>11016</v>
      </c>
      <c r="AP5141" t="s">
        <v>11076</v>
      </c>
      <c r="AR5141" t="s">
        <v>11257</v>
      </c>
      <c r="AS5141" t="s">
        <v>9925</v>
      </c>
      <c r="BA5141" t="s">
        <v>11738</v>
      </c>
      <c r="BB5141">
        <v>0</v>
      </c>
      <c r="BC5141">
        <v>0</v>
      </c>
      <c r="BD5141">
        <v>0</v>
      </c>
      <c r="BE5141">
        <v>0</v>
      </c>
      <c r="BF5141">
        <v>5</v>
      </c>
      <c r="BG5141">
        <v>0</v>
      </c>
    </row>
    <row r="5142" spans="1:59">
      <c r="A5142" s="1">
        <f>HYPERLINK("https://lsnyc.legalserver.org/matter/dynamic-profile/view/1909374","19-1909374")</f>
        <v>0</v>
      </c>
      <c r="B5142" t="s">
        <v>1455</v>
      </c>
      <c r="C5142" t="s">
        <v>6278</v>
      </c>
      <c r="D5142" t="s">
        <v>9926</v>
      </c>
      <c r="E5142" t="s">
        <v>10075</v>
      </c>
      <c r="F5142">
        <v>10452</v>
      </c>
      <c r="G5142" t="s">
        <v>10090</v>
      </c>
      <c r="H5142" t="s">
        <v>10159</v>
      </c>
      <c r="I5142" t="s">
        <v>10168</v>
      </c>
      <c r="J5142" t="s">
        <v>10210</v>
      </c>
      <c r="K5142" t="s">
        <v>10217</v>
      </c>
      <c r="M5142" t="s">
        <v>10339</v>
      </c>
      <c r="N5142" t="s">
        <v>10666</v>
      </c>
      <c r="P5142" t="s">
        <v>10749</v>
      </c>
      <c r="Q5142" t="s">
        <v>10765</v>
      </c>
      <c r="R5142" t="s">
        <v>10823</v>
      </c>
      <c r="T5142">
        <v>10500</v>
      </c>
      <c r="U5142">
        <v>875</v>
      </c>
      <c r="V5142">
        <v>26</v>
      </c>
      <c r="W5142">
        <v>1</v>
      </c>
      <c r="X5142">
        <v>2</v>
      </c>
      <c r="Z5142">
        <v>49.23</v>
      </c>
      <c r="AA5142">
        <v>40.834646</v>
      </c>
      <c r="AB5142">
        <v>-73.92507500000001</v>
      </c>
      <c r="AD5142" t="s">
        <v>10839</v>
      </c>
      <c r="AG5142" t="s">
        <v>10858</v>
      </c>
      <c r="AH5142" t="s">
        <v>10861</v>
      </c>
      <c r="AI5142">
        <v>230</v>
      </c>
      <c r="AJ5142" t="s">
        <v>10210</v>
      </c>
      <c r="AL5142">
        <v>6.5</v>
      </c>
      <c r="AM5142" t="s">
        <v>10884</v>
      </c>
      <c r="AN5142" t="s">
        <v>10929</v>
      </c>
      <c r="AO5142" t="s">
        <v>11013</v>
      </c>
      <c r="AP5142" t="s">
        <v>11066</v>
      </c>
      <c r="AR5142" t="s">
        <v>11481</v>
      </c>
      <c r="AS5142" t="s">
        <v>9926</v>
      </c>
      <c r="AT5142" t="s">
        <v>11641</v>
      </c>
      <c r="AV5142" t="s">
        <v>11656</v>
      </c>
      <c r="AW5142" t="s">
        <v>11645</v>
      </c>
      <c r="AX5142" t="s">
        <v>10838</v>
      </c>
      <c r="BA5142" t="s">
        <v>11738</v>
      </c>
      <c r="BB5142">
        <v>0</v>
      </c>
      <c r="BC5142">
        <v>0</v>
      </c>
      <c r="BD5142">
        <v>0</v>
      </c>
      <c r="BE5142">
        <v>0</v>
      </c>
      <c r="BF5142">
        <v>5</v>
      </c>
      <c r="BG5142">
        <v>0</v>
      </c>
    </row>
    <row r="5143" spans="1:59">
      <c r="A5143" s="1">
        <f>HYPERLINK("https://lsnyc.legalserver.org/matter/dynamic-profile/view/1909375","19-1909375")</f>
        <v>0</v>
      </c>
      <c r="B5143" t="s">
        <v>4090</v>
      </c>
      <c r="C5143" t="s">
        <v>6949</v>
      </c>
      <c r="D5143" t="s">
        <v>9928</v>
      </c>
      <c r="E5143" t="s">
        <v>10075</v>
      </c>
      <c r="F5143">
        <v>11222</v>
      </c>
      <c r="G5143" t="s">
        <v>10092</v>
      </c>
      <c r="H5143" t="s">
        <v>10159</v>
      </c>
      <c r="J5143" t="s">
        <v>10212</v>
      </c>
      <c r="K5143" t="s">
        <v>10218</v>
      </c>
      <c r="L5143" t="s">
        <v>10137</v>
      </c>
      <c r="M5143" t="s">
        <v>10363</v>
      </c>
      <c r="N5143" t="s">
        <v>10657</v>
      </c>
      <c r="P5143" t="s">
        <v>10757</v>
      </c>
      <c r="Q5143" t="s">
        <v>10789</v>
      </c>
      <c r="R5143" t="s">
        <v>10824</v>
      </c>
      <c r="T5143">
        <v>10140</v>
      </c>
      <c r="U5143">
        <v>845</v>
      </c>
      <c r="V5143">
        <v>25</v>
      </c>
      <c r="W5143">
        <v>1</v>
      </c>
      <c r="X5143">
        <v>0</v>
      </c>
      <c r="Y5143" t="s">
        <v>10829</v>
      </c>
      <c r="Z5143">
        <v>81.18000000000001</v>
      </c>
      <c r="AA5143">
        <v>40.736688</v>
      </c>
      <c r="AB5143">
        <v>-73.952011</v>
      </c>
      <c r="AD5143" t="s">
        <v>10840</v>
      </c>
      <c r="AF5143" t="s">
        <v>10843</v>
      </c>
      <c r="AG5143" t="s">
        <v>10859</v>
      </c>
      <c r="AH5143" t="s">
        <v>10868</v>
      </c>
      <c r="AI5143">
        <v>237</v>
      </c>
      <c r="AJ5143" t="s">
        <v>10212</v>
      </c>
      <c r="AK5143" t="s">
        <v>10838</v>
      </c>
      <c r="AL5143">
        <v>0.2</v>
      </c>
      <c r="AM5143" t="s">
        <v>10891</v>
      </c>
      <c r="AN5143" t="s">
        <v>10939</v>
      </c>
      <c r="AO5143" t="s">
        <v>11011</v>
      </c>
      <c r="AP5143" t="s">
        <v>11054</v>
      </c>
      <c r="AR5143" t="s">
        <v>11452</v>
      </c>
      <c r="AS5143" t="s">
        <v>11595</v>
      </c>
      <c r="AY5143" t="s">
        <v>10829</v>
      </c>
      <c r="AZ5143" t="s">
        <v>11703</v>
      </c>
      <c r="BA5143" t="s">
        <v>11741</v>
      </c>
      <c r="BB5143">
        <v>0</v>
      </c>
      <c r="BC5143">
        <v>0</v>
      </c>
      <c r="BD5143">
        <v>0</v>
      </c>
      <c r="BE5143">
        <v>0</v>
      </c>
      <c r="BF5143">
        <v>1</v>
      </c>
      <c r="BG5143">
        <v>0</v>
      </c>
    </row>
    <row r="5144" spans="1:59">
      <c r="A5144" s="1">
        <f>HYPERLINK("https://lsnyc.legalserver.org/matter/dynamic-profile/view/1909376","19-1909376")</f>
        <v>0</v>
      </c>
      <c r="B5144" t="s">
        <v>4091</v>
      </c>
      <c r="C5144" t="s">
        <v>8915</v>
      </c>
      <c r="D5144" t="s">
        <v>9938</v>
      </c>
      <c r="E5144" t="s">
        <v>10075</v>
      </c>
      <c r="F5144">
        <v>11432</v>
      </c>
      <c r="G5144" t="s">
        <v>10092</v>
      </c>
      <c r="H5144" t="s">
        <v>10159</v>
      </c>
      <c r="I5144" t="s">
        <v>10168</v>
      </c>
      <c r="J5144" t="s">
        <v>10212</v>
      </c>
      <c r="K5144" t="s">
        <v>10217</v>
      </c>
      <c r="M5144" t="s">
        <v>10318</v>
      </c>
      <c r="N5144" t="s">
        <v>10684</v>
      </c>
      <c r="P5144" t="s">
        <v>10751</v>
      </c>
      <c r="Q5144" t="s">
        <v>10786</v>
      </c>
      <c r="R5144" t="s">
        <v>10827</v>
      </c>
      <c r="T5144">
        <v>11520</v>
      </c>
      <c r="U5144">
        <v>960</v>
      </c>
      <c r="V5144">
        <v>62</v>
      </c>
      <c r="W5144">
        <v>2</v>
      </c>
      <c r="X5144">
        <v>0</v>
      </c>
      <c r="Z5144">
        <v>68.13</v>
      </c>
      <c r="AA5144">
        <v>40.708267</v>
      </c>
      <c r="AB5144">
        <v>-73.78999</v>
      </c>
      <c r="AD5144" t="s">
        <v>10840</v>
      </c>
      <c r="AG5144" t="s">
        <v>10858</v>
      </c>
      <c r="AH5144" t="s">
        <v>10873</v>
      </c>
      <c r="AI5144">
        <v>237</v>
      </c>
      <c r="AJ5144" t="s">
        <v>10212</v>
      </c>
      <c r="AL5144">
        <v>2</v>
      </c>
      <c r="AM5144" t="s">
        <v>10892</v>
      </c>
      <c r="AN5144" t="s">
        <v>10955</v>
      </c>
      <c r="AO5144" t="s">
        <v>11020</v>
      </c>
      <c r="AP5144" t="s">
        <v>11075</v>
      </c>
      <c r="AR5144" t="s">
        <v>11268</v>
      </c>
      <c r="AS5144" t="s">
        <v>11594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</row>
    <row r="5145" spans="1:59">
      <c r="A5145" s="1">
        <f>HYPERLINK("https://lsnyc.legalserver.org/matter/dynamic-profile/view/1909377","19-1909377")</f>
        <v>0</v>
      </c>
      <c r="B5145" t="s">
        <v>4092</v>
      </c>
      <c r="C5145" t="s">
        <v>8916</v>
      </c>
      <c r="D5145" t="s">
        <v>9948</v>
      </c>
      <c r="E5145" t="s">
        <v>10075</v>
      </c>
      <c r="F5145">
        <v>11691</v>
      </c>
      <c r="G5145" t="s">
        <v>10092</v>
      </c>
      <c r="H5145" t="s">
        <v>10159</v>
      </c>
      <c r="I5145" t="s">
        <v>10168</v>
      </c>
      <c r="J5145" t="s">
        <v>10212</v>
      </c>
      <c r="K5145" t="s">
        <v>10218</v>
      </c>
      <c r="L5145" t="s">
        <v>10158</v>
      </c>
      <c r="M5145" t="s">
        <v>10325</v>
      </c>
      <c r="N5145" t="s">
        <v>10671</v>
      </c>
      <c r="P5145" t="s">
        <v>10751</v>
      </c>
      <c r="Q5145" t="s">
        <v>10776</v>
      </c>
      <c r="R5145" t="s">
        <v>10821</v>
      </c>
      <c r="T5145">
        <v>22656</v>
      </c>
      <c r="U5145">
        <v>1888</v>
      </c>
      <c r="V5145">
        <v>42</v>
      </c>
      <c r="W5145">
        <v>1</v>
      </c>
      <c r="X5145">
        <v>1</v>
      </c>
      <c r="Y5145" t="s">
        <v>10829</v>
      </c>
      <c r="Z5145">
        <v>133.98</v>
      </c>
      <c r="AA5145">
        <v>40.594955</v>
      </c>
      <c r="AB5145">
        <v>-73.761853</v>
      </c>
      <c r="AD5145" t="s">
        <v>10840</v>
      </c>
      <c r="AG5145" t="s">
        <v>10858</v>
      </c>
      <c r="AH5145" t="s">
        <v>10861</v>
      </c>
      <c r="AI5145">
        <v>234</v>
      </c>
      <c r="AJ5145" t="s">
        <v>10214</v>
      </c>
      <c r="AK5145" t="s">
        <v>10838</v>
      </c>
      <c r="AL5145">
        <v>2.45</v>
      </c>
      <c r="AM5145" t="s">
        <v>10892</v>
      </c>
      <c r="AN5145" t="s">
        <v>10958</v>
      </c>
      <c r="AO5145" t="s">
        <v>11017</v>
      </c>
      <c r="AP5145" t="s">
        <v>11082</v>
      </c>
      <c r="AQ5145" t="s">
        <v>11156</v>
      </c>
      <c r="AR5145" t="s">
        <v>11405</v>
      </c>
      <c r="AS5145" t="s">
        <v>11594</v>
      </c>
      <c r="AT5145" t="s">
        <v>11642</v>
      </c>
      <c r="AX5145" t="s">
        <v>10838</v>
      </c>
      <c r="AY5145" t="s">
        <v>10829</v>
      </c>
      <c r="AZ5145" t="s">
        <v>11682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</row>
    <row r="5146" spans="1:59">
      <c r="A5146" s="1">
        <f>HYPERLINK("https://lsnyc.legalserver.org/matter/dynamic-profile/view/1909378","19-1909378")</f>
        <v>0</v>
      </c>
      <c r="B5146" t="s">
        <v>4093</v>
      </c>
      <c r="C5146" t="s">
        <v>8917</v>
      </c>
      <c r="D5146" t="s">
        <v>9928</v>
      </c>
      <c r="E5146" t="s">
        <v>10075</v>
      </c>
      <c r="F5146">
        <v>11220</v>
      </c>
      <c r="G5146" t="s">
        <v>10093</v>
      </c>
      <c r="H5146" t="s">
        <v>10159</v>
      </c>
      <c r="I5146" t="s">
        <v>10168</v>
      </c>
      <c r="J5146" t="s">
        <v>10213</v>
      </c>
      <c r="K5146" t="s">
        <v>10217</v>
      </c>
      <c r="M5146" t="s">
        <v>10358</v>
      </c>
      <c r="N5146" t="s">
        <v>10646</v>
      </c>
      <c r="P5146" t="s">
        <v>10752</v>
      </c>
      <c r="Q5146" t="s">
        <v>10783</v>
      </c>
      <c r="R5146" t="s">
        <v>10821</v>
      </c>
      <c r="T5146">
        <v>35600</v>
      </c>
      <c r="U5146">
        <v>2966.67</v>
      </c>
      <c r="V5146">
        <v>31</v>
      </c>
      <c r="W5146">
        <v>1</v>
      </c>
      <c r="X5146">
        <v>0</v>
      </c>
      <c r="Z5146">
        <v>285.03</v>
      </c>
      <c r="AA5146">
        <v>40.637948</v>
      </c>
      <c r="AB5146">
        <v>-74.029163</v>
      </c>
      <c r="AD5146" t="s">
        <v>10839</v>
      </c>
      <c r="AG5146" t="s">
        <v>10858</v>
      </c>
      <c r="AH5146" t="s">
        <v>10861</v>
      </c>
      <c r="AI5146">
        <v>234</v>
      </c>
      <c r="AJ5146" t="s">
        <v>10214</v>
      </c>
      <c r="AL5146">
        <v>0.75</v>
      </c>
      <c r="AM5146" t="s">
        <v>10894</v>
      </c>
      <c r="AN5146" t="s">
        <v>10921</v>
      </c>
      <c r="AO5146" t="s">
        <v>11023</v>
      </c>
      <c r="AP5146" t="s">
        <v>11086</v>
      </c>
      <c r="AQ5146" t="s">
        <v>11184</v>
      </c>
      <c r="AR5146" t="s">
        <v>11257</v>
      </c>
      <c r="AS5146" t="s">
        <v>11595</v>
      </c>
      <c r="AT5146" t="s">
        <v>11641</v>
      </c>
      <c r="AX5146" t="s">
        <v>10838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</row>
    <row r="5147" spans="1:59">
      <c r="A5147" s="1">
        <f>HYPERLINK("https://lsnyc.legalserver.org/matter/dynamic-profile/view/1909379","19-1909379")</f>
        <v>0</v>
      </c>
      <c r="B5147" t="s">
        <v>4094</v>
      </c>
      <c r="C5147" t="s">
        <v>8918</v>
      </c>
      <c r="D5147" t="s">
        <v>9926</v>
      </c>
      <c r="E5147" t="s">
        <v>10075</v>
      </c>
      <c r="F5147">
        <v>10456</v>
      </c>
      <c r="G5147" t="s">
        <v>10089</v>
      </c>
      <c r="H5147" t="s">
        <v>10159</v>
      </c>
      <c r="I5147" t="s">
        <v>10168</v>
      </c>
      <c r="J5147" t="s">
        <v>10209</v>
      </c>
      <c r="K5147" t="s">
        <v>10217</v>
      </c>
      <c r="M5147" t="s">
        <v>10529</v>
      </c>
      <c r="N5147" t="s">
        <v>10688</v>
      </c>
      <c r="P5147" t="s">
        <v>10755</v>
      </c>
      <c r="Q5147" t="s">
        <v>10819</v>
      </c>
      <c r="R5147" t="s">
        <v>10821</v>
      </c>
      <c r="T5147">
        <v>23556</v>
      </c>
      <c r="U5147">
        <v>1963</v>
      </c>
      <c r="V5147">
        <v>10</v>
      </c>
      <c r="W5147">
        <v>2</v>
      </c>
      <c r="X5147">
        <v>3</v>
      </c>
      <c r="Z5147">
        <v>78.08</v>
      </c>
      <c r="AA5147">
        <v>40.830382</v>
      </c>
      <c r="AB5147">
        <v>-73.911597</v>
      </c>
      <c r="AD5147" t="s">
        <v>10840</v>
      </c>
      <c r="AG5147" t="s">
        <v>10858</v>
      </c>
      <c r="AH5147" t="s">
        <v>10877</v>
      </c>
      <c r="AI5147">
        <v>236</v>
      </c>
      <c r="AJ5147" t="s">
        <v>10209</v>
      </c>
      <c r="AL5147">
        <v>0.5</v>
      </c>
      <c r="AM5147" t="s">
        <v>10884</v>
      </c>
      <c r="AN5147" t="s">
        <v>10929</v>
      </c>
      <c r="AO5147" t="s">
        <v>11001</v>
      </c>
      <c r="AP5147" t="s">
        <v>11055</v>
      </c>
      <c r="AR5147" t="s">
        <v>11263</v>
      </c>
      <c r="AS5147" t="s">
        <v>9926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</row>
    <row r="5148" spans="1:59">
      <c r="A5148" s="1">
        <f>HYPERLINK("https://lsnyc.legalserver.org/matter/dynamic-profile/view/1909380","19-1909380")</f>
        <v>0</v>
      </c>
      <c r="B5148" t="s">
        <v>4095</v>
      </c>
      <c r="C5148" t="s">
        <v>8919</v>
      </c>
      <c r="D5148" t="s">
        <v>9925</v>
      </c>
      <c r="E5148" t="s">
        <v>10075</v>
      </c>
      <c r="F5148">
        <v>10025</v>
      </c>
      <c r="G5148" t="s">
        <v>10089</v>
      </c>
      <c r="H5148" t="s">
        <v>10159</v>
      </c>
      <c r="I5148" t="s">
        <v>10168</v>
      </c>
      <c r="J5148" t="s">
        <v>10209</v>
      </c>
      <c r="K5148" t="s">
        <v>10217</v>
      </c>
      <c r="M5148" t="s">
        <v>10431</v>
      </c>
      <c r="N5148" t="s">
        <v>10702</v>
      </c>
      <c r="P5148" t="s">
        <v>10749</v>
      </c>
      <c r="Q5148" t="s">
        <v>10765</v>
      </c>
      <c r="R5148" t="s">
        <v>10824</v>
      </c>
      <c r="T5148">
        <v>13000</v>
      </c>
      <c r="U5148">
        <v>1083.33</v>
      </c>
      <c r="V5148">
        <v>52</v>
      </c>
      <c r="W5148">
        <v>1</v>
      </c>
      <c r="X5148">
        <v>0</v>
      </c>
      <c r="Z5148">
        <v>104.08</v>
      </c>
      <c r="AA5148">
        <v>40.798718</v>
      </c>
      <c r="AB5148">
        <v>-73.964889</v>
      </c>
      <c r="AD5148" t="s">
        <v>10840</v>
      </c>
      <c r="AF5148" t="s">
        <v>10843</v>
      </c>
      <c r="AG5148" t="s">
        <v>10859</v>
      </c>
      <c r="AH5148" t="s">
        <v>10862</v>
      </c>
      <c r="AI5148">
        <v>236</v>
      </c>
      <c r="AJ5148" t="s">
        <v>10209</v>
      </c>
      <c r="AL5148">
        <v>1.75</v>
      </c>
      <c r="AM5148" t="s">
        <v>10887</v>
      </c>
      <c r="AN5148" t="s">
        <v>10953</v>
      </c>
      <c r="AO5148" t="s">
        <v>11016</v>
      </c>
      <c r="AP5148" t="s">
        <v>11073</v>
      </c>
      <c r="AR5148" t="s">
        <v>11262</v>
      </c>
      <c r="AS5148" t="s">
        <v>9925</v>
      </c>
      <c r="BA5148" t="s">
        <v>11738</v>
      </c>
      <c r="BB5148">
        <v>0</v>
      </c>
      <c r="BC5148">
        <v>0</v>
      </c>
      <c r="BD5148">
        <v>0</v>
      </c>
      <c r="BE5148">
        <v>0</v>
      </c>
      <c r="BF5148">
        <v>5</v>
      </c>
      <c r="BG5148">
        <v>0</v>
      </c>
    </row>
    <row r="5149" spans="1:59">
      <c r="A5149" s="1">
        <f>HYPERLINK("https://lsnyc.legalserver.org/matter/dynamic-profile/view/1909381","19-1909381")</f>
        <v>0</v>
      </c>
      <c r="B5149" t="s">
        <v>4096</v>
      </c>
      <c r="C5149" t="s">
        <v>8920</v>
      </c>
      <c r="D5149" t="s">
        <v>9925</v>
      </c>
      <c r="E5149" t="s">
        <v>10075</v>
      </c>
      <c r="F5149">
        <v>10031</v>
      </c>
      <c r="G5149" t="s">
        <v>10089</v>
      </c>
      <c r="H5149" t="s">
        <v>10159</v>
      </c>
      <c r="I5149" t="s">
        <v>10168</v>
      </c>
      <c r="J5149" t="s">
        <v>10209</v>
      </c>
      <c r="K5149" t="s">
        <v>10217</v>
      </c>
      <c r="M5149" t="s">
        <v>10625</v>
      </c>
      <c r="N5149" t="s">
        <v>10702</v>
      </c>
      <c r="P5149" t="s">
        <v>10749</v>
      </c>
      <c r="Q5149" t="s">
        <v>10765</v>
      </c>
      <c r="R5149" t="s">
        <v>10824</v>
      </c>
      <c r="T5149">
        <v>17940</v>
      </c>
      <c r="U5149">
        <v>1495</v>
      </c>
      <c r="V5149">
        <v>35</v>
      </c>
      <c r="W5149">
        <v>1</v>
      </c>
      <c r="X5149">
        <v>1</v>
      </c>
      <c r="Z5149">
        <v>106.09</v>
      </c>
      <c r="AA5149">
        <v>40.829818</v>
      </c>
      <c r="AB5149">
        <v>-73.94528200000001</v>
      </c>
      <c r="AD5149" t="s">
        <v>10839</v>
      </c>
      <c r="AG5149" t="s">
        <v>10858</v>
      </c>
      <c r="AH5149" t="s">
        <v>10862</v>
      </c>
      <c r="AI5149">
        <v>236</v>
      </c>
      <c r="AJ5149" t="s">
        <v>10209</v>
      </c>
      <c r="AL5149">
        <v>2</v>
      </c>
      <c r="AM5149" t="s">
        <v>10887</v>
      </c>
      <c r="AN5149" t="s">
        <v>10943</v>
      </c>
      <c r="AO5149" t="s">
        <v>11016</v>
      </c>
      <c r="AP5149" t="s">
        <v>11073</v>
      </c>
      <c r="AR5149" t="s">
        <v>11262</v>
      </c>
      <c r="AS5149" t="s">
        <v>9925</v>
      </c>
      <c r="BA5149" t="s">
        <v>11738</v>
      </c>
      <c r="BB5149">
        <v>0</v>
      </c>
      <c r="BC5149">
        <v>0</v>
      </c>
      <c r="BD5149">
        <v>0</v>
      </c>
      <c r="BE5149">
        <v>0</v>
      </c>
      <c r="BF5149">
        <v>5</v>
      </c>
      <c r="BG5149">
        <v>0</v>
      </c>
    </row>
    <row r="5150" spans="1:59">
      <c r="A5150" s="1">
        <f>HYPERLINK("https://lsnyc.legalserver.org/matter/dynamic-profile/view/1909382","19-1909382")</f>
        <v>0</v>
      </c>
      <c r="B5150" t="s">
        <v>4097</v>
      </c>
      <c r="C5150" t="s">
        <v>8918</v>
      </c>
      <c r="D5150" t="s">
        <v>9926</v>
      </c>
      <c r="E5150" t="s">
        <v>10075</v>
      </c>
      <c r="F5150">
        <v>10456</v>
      </c>
      <c r="G5150" t="s">
        <v>10089</v>
      </c>
      <c r="H5150" t="s">
        <v>10159</v>
      </c>
      <c r="I5150" t="s">
        <v>10168</v>
      </c>
      <c r="J5150" t="s">
        <v>10209</v>
      </c>
      <c r="K5150" t="s">
        <v>10217</v>
      </c>
      <c r="M5150" t="s">
        <v>10529</v>
      </c>
      <c r="N5150" t="s">
        <v>10688</v>
      </c>
      <c r="P5150" t="s">
        <v>10755</v>
      </c>
      <c r="Q5150" t="s">
        <v>10801</v>
      </c>
      <c r="R5150" t="s">
        <v>10821</v>
      </c>
      <c r="T5150">
        <v>23556</v>
      </c>
      <c r="U5150">
        <v>1963</v>
      </c>
      <c r="V5150">
        <v>12</v>
      </c>
      <c r="W5150">
        <v>2</v>
      </c>
      <c r="X5150">
        <v>3</v>
      </c>
      <c r="Z5150">
        <v>78.08</v>
      </c>
      <c r="AA5150">
        <v>40.830382</v>
      </c>
      <c r="AB5150">
        <v>-73.911597</v>
      </c>
      <c r="AD5150" t="s">
        <v>10839</v>
      </c>
      <c r="AG5150" t="s">
        <v>10858</v>
      </c>
      <c r="AH5150" t="s">
        <v>10877</v>
      </c>
      <c r="AI5150">
        <v>236</v>
      </c>
      <c r="AJ5150" t="s">
        <v>10209</v>
      </c>
      <c r="AL5150">
        <v>0.5</v>
      </c>
      <c r="AM5150" t="s">
        <v>10884</v>
      </c>
      <c r="AN5150" t="s">
        <v>10929</v>
      </c>
      <c r="AO5150" t="s">
        <v>11001</v>
      </c>
      <c r="AP5150" t="s">
        <v>11055</v>
      </c>
      <c r="AR5150" t="s">
        <v>11263</v>
      </c>
      <c r="AS5150" t="s">
        <v>9926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</row>
    <row r="5151" spans="1:59">
      <c r="A5151" s="1">
        <f>HYPERLINK("https://lsnyc.legalserver.org/matter/dynamic-profile/view/1909383","19-1909383")</f>
        <v>0</v>
      </c>
      <c r="B5151" t="s">
        <v>1296</v>
      </c>
      <c r="C5151" t="s">
        <v>8921</v>
      </c>
      <c r="D5151" t="s">
        <v>10056</v>
      </c>
      <c r="E5151" t="s">
        <v>10076</v>
      </c>
      <c r="F5151">
        <v>7065</v>
      </c>
      <c r="G5151" t="s">
        <v>10093</v>
      </c>
      <c r="H5151" t="s">
        <v>10159</v>
      </c>
      <c r="I5151" t="s">
        <v>10169</v>
      </c>
      <c r="J5151" t="s">
        <v>10213</v>
      </c>
      <c r="K5151" t="s">
        <v>10217</v>
      </c>
      <c r="M5151" t="s">
        <v>10462</v>
      </c>
      <c r="N5151" t="s">
        <v>10710</v>
      </c>
      <c r="P5151" t="s">
        <v>10750</v>
      </c>
      <c r="Q5151" t="s">
        <v>10760</v>
      </c>
      <c r="R5151" t="s">
        <v>10821</v>
      </c>
      <c r="T5151">
        <v>19032</v>
      </c>
      <c r="U5151">
        <v>1586</v>
      </c>
      <c r="V5151">
        <v>62</v>
      </c>
      <c r="W5151">
        <v>1</v>
      </c>
      <c r="X5151">
        <v>0</v>
      </c>
      <c r="Z5151">
        <v>152.38</v>
      </c>
      <c r="AA5151">
        <v>40.614829</v>
      </c>
      <c r="AB5151">
        <v>-74.272963</v>
      </c>
      <c r="AD5151" t="s">
        <v>10840</v>
      </c>
      <c r="AG5151" t="s">
        <v>10858</v>
      </c>
      <c r="AH5151" t="s">
        <v>10871</v>
      </c>
      <c r="AI5151">
        <v>234</v>
      </c>
      <c r="AJ5151" t="s">
        <v>10214</v>
      </c>
      <c r="AL5151">
        <v>2.5</v>
      </c>
      <c r="AR5151" t="s">
        <v>11257</v>
      </c>
      <c r="AS5151" t="s">
        <v>11635</v>
      </c>
      <c r="AT5151" t="s">
        <v>11642</v>
      </c>
      <c r="AX5151" t="s">
        <v>10838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</row>
    <row r="5152" spans="1:59">
      <c r="A5152" s="1">
        <f>HYPERLINK("https://lsnyc.legalserver.org/matter/dynamic-profile/view/1909384","19-1909384")</f>
        <v>0</v>
      </c>
      <c r="B5152" t="s">
        <v>4098</v>
      </c>
      <c r="C5152" t="s">
        <v>8922</v>
      </c>
      <c r="D5152" t="s">
        <v>9925</v>
      </c>
      <c r="E5152" t="s">
        <v>10075</v>
      </c>
      <c r="F5152">
        <v>10025</v>
      </c>
      <c r="G5152" t="s">
        <v>10089</v>
      </c>
      <c r="H5152" t="s">
        <v>10159</v>
      </c>
      <c r="I5152" t="s">
        <v>10168</v>
      </c>
      <c r="J5152" t="s">
        <v>10209</v>
      </c>
      <c r="K5152" t="s">
        <v>10217</v>
      </c>
      <c r="M5152" t="s">
        <v>10442</v>
      </c>
      <c r="N5152" t="s">
        <v>10691</v>
      </c>
      <c r="P5152" t="s">
        <v>10749</v>
      </c>
      <c r="Q5152" t="s">
        <v>10765</v>
      </c>
      <c r="R5152" t="s">
        <v>10820</v>
      </c>
      <c r="T5152">
        <v>15600</v>
      </c>
      <c r="U5152">
        <v>1300</v>
      </c>
      <c r="V5152">
        <v>56</v>
      </c>
      <c r="W5152">
        <v>1</v>
      </c>
      <c r="X5152">
        <v>0</v>
      </c>
      <c r="Z5152">
        <v>124.9</v>
      </c>
      <c r="AA5152">
        <v>40.794643</v>
      </c>
      <c r="AB5152">
        <v>-73.975266</v>
      </c>
      <c r="AD5152" t="s">
        <v>10840</v>
      </c>
      <c r="AG5152" t="s">
        <v>10858</v>
      </c>
      <c r="AH5152" t="s">
        <v>10871</v>
      </c>
      <c r="AI5152">
        <v>234</v>
      </c>
      <c r="AJ5152" t="s">
        <v>10214</v>
      </c>
      <c r="AL5152">
        <v>1.08</v>
      </c>
      <c r="AM5152" t="s">
        <v>10894</v>
      </c>
      <c r="AN5152" t="s">
        <v>10953</v>
      </c>
      <c r="AO5152" t="s">
        <v>11019</v>
      </c>
      <c r="AP5152" t="s">
        <v>11089</v>
      </c>
      <c r="AR5152" t="s">
        <v>11253</v>
      </c>
      <c r="AS5152" t="s">
        <v>9925</v>
      </c>
      <c r="AT5152" t="s">
        <v>11642</v>
      </c>
      <c r="AX5152" t="s">
        <v>10837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</row>
    <row r="5153" spans="1:59">
      <c r="A5153" s="1">
        <f>HYPERLINK("https://lsnyc.legalserver.org/matter/dynamic-profile/view/1909385","19-1909385")</f>
        <v>0</v>
      </c>
      <c r="B5153" t="s">
        <v>4099</v>
      </c>
      <c r="C5153" t="s">
        <v>8923</v>
      </c>
      <c r="D5153" t="s">
        <v>9928</v>
      </c>
      <c r="E5153" t="s">
        <v>10075</v>
      </c>
      <c r="F5153">
        <v>11210</v>
      </c>
      <c r="G5153" t="s">
        <v>10093</v>
      </c>
      <c r="H5153" t="s">
        <v>10159</v>
      </c>
      <c r="I5153" t="s">
        <v>10168</v>
      </c>
      <c r="J5153" t="s">
        <v>10213</v>
      </c>
      <c r="K5153" t="s">
        <v>10217</v>
      </c>
      <c r="M5153" t="s">
        <v>10457</v>
      </c>
      <c r="N5153" t="s">
        <v>10671</v>
      </c>
      <c r="P5153" t="s">
        <v>10749</v>
      </c>
      <c r="Q5153" t="s">
        <v>10764</v>
      </c>
      <c r="R5153" t="s">
        <v>10824</v>
      </c>
      <c r="T5153">
        <v>4200</v>
      </c>
      <c r="U5153">
        <v>350</v>
      </c>
      <c r="V5153">
        <v>50</v>
      </c>
      <c r="W5153">
        <v>1</v>
      </c>
      <c r="X5153">
        <v>0</v>
      </c>
      <c r="Z5153">
        <v>33.63</v>
      </c>
      <c r="AA5153">
        <v>40.629717</v>
      </c>
      <c r="AB5153">
        <v>-73.94617700000001</v>
      </c>
      <c r="AD5153" t="s">
        <v>10840</v>
      </c>
      <c r="AG5153" t="s">
        <v>10858</v>
      </c>
      <c r="AH5153" t="s">
        <v>10871</v>
      </c>
      <c r="AI5153">
        <v>234</v>
      </c>
      <c r="AJ5153" t="s">
        <v>10214</v>
      </c>
      <c r="AL5153">
        <v>3</v>
      </c>
      <c r="AM5153" t="s">
        <v>10888</v>
      </c>
      <c r="AN5153" t="s">
        <v>10932</v>
      </c>
      <c r="AO5153" t="s">
        <v>11008</v>
      </c>
      <c r="AP5153" t="s">
        <v>11065</v>
      </c>
      <c r="AR5153" t="s">
        <v>11311</v>
      </c>
      <c r="AS5153" t="s">
        <v>11595</v>
      </c>
      <c r="AT5153" t="s">
        <v>11642</v>
      </c>
      <c r="AX5153" t="s">
        <v>10837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</row>
    <row r="5154" spans="1:59">
      <c r="A5154" s="1">
        <f>HYPERLINK("https://lsnyc.legalserver.org/matter/dynamic-profile/view/1909386","19-1909386")</f>
        <v>0</v>
      </c>
      <c r="B5154" t="s">
        <v>1589</v>
      </c>
      <c r="C5154" t="s">
        <v>8924</v>
      </c>
      <c r="D5154" t="s">
        <v>9925</v>
      </c>
      <c r="E5154" t="s">
        <v>10075</v>
      </c>
      <c r="F5154">
        <v>10027</v>
      </c>
      <c r="G5154" t="s">
        <v>10089</v>
      </c>
      <c r="H5154" t="s">
        <v>10159</v>
      </c>
      <c r="I5154" t="s">
        <v>10168</v>
      </c>
      <c r="J5154" t="s">
        <v>10209</v>
      </c>
      <c r="K5154" t="s">
        <v>10217</v>
      </c>
      <c r="M5154" t="s">
        <v>10625</v>
      </c>
      <c r="N5154" t="s">
        <v>10702</v>
      </c>
      <c r="P5154" t="s">
        <v>10749</v>
      </c>
      <c r="Q5154" t="s">
        <v>10765</v>
      </c>
      <c r="R5154" t="s">
        <v>10824</v>
      </c>
      <c r="T5154">
        <v>29120</v>
      </c>
      <c r="U5154">
        <v>2426.67</v>
      </c>
      <c r="V5154">
        <v>33</v>
      </c>
      <c r="W5154">
        <v>1</v>
      </c>
      <c r="X5154">
        <v>0</v>
      </c>
      <c r="Z5154">
        <v>233.15</v>
      </c>
      <c r="AA5154">
        <v>40.806462</v>
      </c>
      <c r="AB5154">
        <v>-73.94395</v>
      </c>
      <c r="AD5154" t="s">
        <v>10839</v>
      </c>
      <c r="AG5154" t="s">
        <v>10858</v>
      </c>
      <c r="AH5154" t="s">
        <v>10862</v>
      </c>
      <c r="AI5154">
        <v>236</v>
      </c>
      <c r="AJ5154" t="s">
        <v>10209</v>
      </c>
      <c r="AL5154">
        <v>3.5</v>
      </c>
      <c r="AM5154" t="s">
        <v>10887</v>
      </c>
      <c r="AN5154" t="s">
        <v>10936</v>
      </c>
      <c r="AO5154" t="s">
        <v>11016</v>
      </c>
      <c r="AP5154" t="s">
        <v>11076</v>
      </c>
      <c r="AR5154" t="s">
        <v>11257</v>
      </c>
      <c r="AS5154" t="s">
        <v>9925</v>
      </c>
      <c r="BA5154" t="s">
        <v>11738</v>
      </c>
      <c r="BB5154">
        <v>0</v>
      </c>
      <c r="BC5154">
        <v>0</v>
      </c>
      <c r="BD5154">
        <v>0</v>
      </c>
      <c r="BE5154">
        <v>0</v>
      </c>
      <c r="BF5154">
        <v>5</v>
      </c>
      <c r="BG5154">
        <v>0</v>
      </c>
    </row>
    <row r="5155" spans="1:59">
      <c r="A5155" s="1">
        <f>HYPERLINK("https://lsnyc.legalserver.org/matter/dynamic-profile/view/1909387","19-1909387")</f>
        <v>0</v>
      </c>
      <c r="B5155" t="s">
        <v>4100</v>
      </c>
      <c r="C5155" t="s">
        <v>7517</v>
      </c>
      <c r="D5155" t="s">
        <v>9938</v>
      </c>
      <c r="E5155" t="s">
        <v>10075</v>
      </c>
      <c r="F5155">
        <v>11435</v>
      </c>
      <c r="G5155" t="s">
        <v>10092</v>
      </c>
      <c r="H5155" t="s">
        <v>10159</v>
      </c>
      <c r="I5155" t="s">
        <v>10169</v>
      </c>
      <c r="J5155" t="s">
        <v>10212</v>
      </c>
      <c r="K5155" t="s">
        <v>10217</v>
      </c>
      <c r="M5155" t="s">
        <v>10318</v>
      </c>
      <c r="N5155" t="s">
        <v>10684</v>
      </c>
      <c r="P5155" t="s">
        <v>10751</v>
      </c>
      <c r="Q5155" t="s">
        <v>10786</v>
      </c>
      <c r="R5155" t="s">
        <v>10821</v>
      </c>
      <c r="T5155">
        <v>12516</v>
      </c>
      <c r="U5155">
        <v>1043</v>
      </c>
      <c r="V5155">
        <v>77</v>
      </c>
      <c r="W5155">
        <v>2</v>
      </c>
      <c r="X5155">
        <v>0</v>
      </c>
      <c r="Z5155">
        <v>74.02</v>
      </c>
      <c r="AA5155">
        <v>40.704749</v>
      </c>
      <c r="AB5155">
        <v>-73.806703</v>
      </c>
      <c r="AD5155" t="s">
        <v>10840</v>
      </c>
      <c r="AG5155" t="s">
        <v>10858</v>
      </c>
      <c r="AH5155" t="s">
        <v>10873</v>
      </c>
      <c r="AI5155">
        <v>237</v>
      </c>
      <c r="AJ5155" t="s">
        <v>10212</v>
      </c>
      <c r="AL5155">
        <v>2</v>
      </c>
      <c r="AM5155" t="s">
        <v>10892</v>
      </c>
      <c r="AN5155" t="s">
        <v>10951</v>
      </c>
      <c r="AO5155" t="s">
        <v>11020</v>
      </c>
      <c r="AP5155" t="s">
        <v>11081</v>
      </c>
      <c r="AR5155" t="s">
        <v>11265</v>
      </c>
      <c r="AS5155" t="s">
        <v>11594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</row>
    <row r="5156" spans="1:59">
      <c r="A5156" s="1">
        <f>HYPERLINK("https://lsnyc.legalserver.org/matter/dynamic-profile/view/1909388","19-1909388")</f>
        <v>0</v>
      </c>
      <c r="B5156" t="s">
        <v>1932</v>
      </c>
      <c r="C5156" t="s">
        <v>8925</v>
      </c>
      <c r="D5156" t="s">
        <v>9925</v>
      </c>
      <c r="E5156" t="s">
        <v>10075</v>
      </c>
      <c r="F5156">
        <v>10031</v>
      </c>
      <c r="G5156" t="s">
        <v>10089</v>
      </c>
      <c r="H5156" t="s">
        <v>10159</v>
      </c>
      <c r="I5156" t="s">
        <v>10169</v>
      </c>
      <c r="J5156" t="s">
        <v>10209</v>
      </c>
      <c r="K5156" t="s">
        <v>10218</v>
      </c>
      <c r="L5156" t="s">
        <v>10116</v>
      </c>
      <c r="M5156" t="s">
        <v>10625</v>
      </c>
      <c r="N5156" t="s">
        <v>10702</v>
      </c>
      <c r="P5156" t="s">
        <v>10749</v>
      </c>
      <c r="Q5156" t="s">
        <v>10765</v>
      </c>
      <c r="R5156" t="s">
        <v>10821</v>
      </c>
      <c r="T5156">
        <v>104000</v>
      </c>
      <c r="U5156">
        <v>8666.67</v>
      </c>
      <c r="V5156">
        <v>55</v>
      </c>
      <c r="W5156">
        <v>5</v>
      </c>
      <c r="X5156">
        <v>2</v>
      </c>
      <c r="Y5156" t="s">
        <v>10829</v>
      </c>
      <c r="Z5156">
        <v>266.6</v>
      </c>
      <c r="AA5156">
        <v>40.825828</v>
      </c>
      <c r="AB5156">
        <v>-73.95167499999999</v>
      </c>
      <c r="AD5156" t="s">
        <v>10839</v>
      </c>
      <c r="AF5156" t="s">
        <v>10843</v>
      </c>
      <c r="AG5156" t="s">
        <v>10859</v>
      </c>
      <c r="AH5156" t="s">
        <v>10862</v>
      </c>
      <c r="AI5156">
        <v>236</v>
      </c>
      <c r="AJ5156" t="s">
        <v>10209</v>
      </c>
      <c r="AK5156" t="s">
        <v>10882</v>
      </c>
      <c r="AL5156">
        <v>1.5</v>
      </c>
      <c r="AM5156" t="s">
        <v>10887</v>
      </c>
      <c r="AN5156" t="s">
        <v>10943</v>
      </c>
      <c r="AO5156" t="s">
        <v>11019</v>
      </c>
      <c r="AP5156" t="s">
        <v>11073</v>
      </c>
      <c r="AR5156" t="s">
        <v>11257</v>
      </c>
      <c r="AS5156" t="s">
        <v>9925</v>
      </c>
      <c r="AY5156" t="s">
        <v>10829</v>
      </c>
      <c r="AZ5156" t="s">
        <v>11681</v>
      </c>
      <c r="BA5156" t="s">
        <v>11741</v>
      </c>
      <c r="BB5156">
        <v>0</v>
      </c>
      <c r="BC5156">
        <v>0</v>
      </c>
      <c r="BD5156">
        <v>0</v>
      </c>
      <c r="BE5156">
        <v>0</v>
      </c>
      <c r="BF5156">
        <v>1</v>
      </c>
      <c r="BG5156">
        <v>0</v>
      </c>
    </row>
    <row r="5157" spans="1:59">
      <c r="A5157" s="1">
        <f>HYPERLINK("https://lsnyc.legalserver.org/matter/dynamic-profile/view/1909389","19-1909389")</f>
        <v>0</v>
      </c>
      <c r="B5157" t="s">
        <v>4101</v>
      </c>
      <c r="C5157" t="s">
        <v>8926</v>
      </c>
      <c r="D5157" t="s">
        <v>9925</v>
      </c>
      <c r="E5157" t="s">
        <v>10075</v>
      </c>
      <c r="F5157">
        <v>10019</v>
      </c>
      <c r="G5157" t="s">
        <v>10089</v>
      </c>
      <c r="H5157" t="s">
        <v>10159</v>
      </c>
      <c r="I5157" t="s">
        <v>10168</v>
      </c>
      <c r="J5157" t="s">
        <v>10209</v>
      </c>
      <c r="K5157" t="s">
        <v>10217</v>
      </c>
      <c r="M5157" t="s">
        <v>10607</v>
      </c>
      <c r="N5157" t="s">
        <v>10671</v>
      </c>
      <c r="P5157" t="s">
        <v>10751</v>
      </c>
      <c r="Q5157" t="s">
        <v>10761</v>
      </c>
      <c r="R5157" t="s">
        <v>10820</v>
      </c>
      <c r="T5157">
        <v>20184</v>
      </c>
      <c r="U5157">
        <v>1682</v>
      </c>
      <c r="V5157">
        <v>68</v>
      </c>
      <c r="W5157">
        <v>1</v>
      </c>
      <c r="X5157">
        <v>0</v>
      </c>
      <c r="Z5157">
        <v>161.6</v>
      </c>
      <c r="AA5157">
        <v>40.763884</v>
      </c>
      <c r="AB5157">
        <v>-73.989002</v>
      </c>
      <c r="AD5157" t="s">
        <v>10840</v>
      </c>
      <c r="AG5157" t="s">
        <v>10858</v>
      </c>
      <c r="AH5157" t="s">
        <v>10861</v>
      </c>
      <c r="AI5157">
        <v>234</v>
      </c>
      <c r="AJ5157" t="s">
        <v>10214</v>
      </c>
      <c r="AL5157">
        <v>0.75</v>
      </c>
      <c r="AM5157" t="s">
        <v>10894</v>
      </c>
      <c r="AN5157" t="s">
        <v>10966</v>
      </c>
      <c r="AO5157" t="s">
        <v>11021</v>
      </c>
      <c r="AP5157" t="s">
        <v>11090</v>
      </c>
      <c r="AR5157" t="s">
        <v>11268</v>
      </c>
      <c r="AS5157" t="s">
        <v>9925</v>
      </c>
      <c r="AT5157" t="s">
        <v>11642</v>
      </c>
      <c r="AX5157" t="s">
        <v>10837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</row>
    <row r="5158" spans="1:59">
      <c r="A5158" s="1">
        <f>HYPERLINK("https://lsnyc.legalserver.org/matter/dynamic-profile/view/1909390","19-1909390")</f>
        <v>0</v>
      </c>
      <c r="B5158" t="s">
        <v>4102</v>
      </c>
      <c r="C5158" t="s">
        <v>8927</v>
      </c>
      <c r="D5158" t="s">
        <v>9988</v>
      </c>
      <c r="E5158" t="s">
        <v>10075</v>
      </c>
      <c r="F5158">
        <v>11693</v>
      </c>
      <c r="G5158" t="s">
        <v>10092</v>
      </c>
      <c r="H5158" t="s">
        <v>10159</v>
      </c>
      <c r="J5158" t="s">
        <v>10212</v>
      </c>
      <c r="K5158" t="s">
        <v>10217</v>
      </c>
      <c r="M5158" t="s">
        <v>10350</v>
      </c>
      <c r="N5158" t="s">
        <v>10669</v>
      </c>
      <c r="P5158" t="s">
        <v>10754</v>
      </c>
      <c r="Q5158" t="s">
        <v>10775</v>
      </c>
      <c r="R5158" t="s">
        <v>10820</v>
      </c>
      <c r="T5158">
        <v>14300</v>
      </c>
      <c r="U5158">
        <v>1191.67</v>
      </c>
      <c r="V5158">
        <v>47</v>
      </c>
      <c r="W5158">
        <v>1</v>
      </c>
      <c r="X5158">
        <v>1</v>
      </c>
      <c r="Z5158">
        <v>84.56999999999999</v>
      </c>
      <c r="AA5158">
        <v>40.586626</v>
      </c>
      <c r="AB5158">
        <v>-73.808317</v>
      </c>
      <c r="AD5158" t="s">
        <v>10839</v>
      </c>
      <c r="AG5158" t="s">
        <v>10858</v>
      </c>
      <c r="AH5158" t="s">
        <v>10865</v>
      </c>
      <c r="AI5158">
        <v>237</v>
      </c>
      <c r="AJ5158" t="s">
        <v>10212</v>
      </c>
      <c r="AL5158">
        <v>1</v>
      </c>
      <c r="AM5158" t="s">
        <v>10892</v>
      </c>
      <c r="AN5158" t="s">
        <v>10958</v>
      </c>
      <c r="AO5158" t="s">
        <v>11024</v>
      </c>
      <c r="AP5158" t="s">
        <v>11088</v>
      </c>
      <c r="AR5158" t="s">
        <v>11401</v>
      </c>
      <c r="AS5158" t="s">
        <v>11594</v>
      </c>
      <c r="BA5158" t="s">
        <v>11741</v>
      </c>
      <c r="BB5158">
        <v>0</v>
      </c>
      <c r="BC5158">
        <v>0</v>
      </c>
      <c r="BD5158">
        <v>0</v>
      </c>
      <c r="BE5158">
        <v>0</v>
      </c>
      <c r="BF5158">
        <v>1</v>
      </c>
      <c r="BG5158">
        <v>0</v>
      </c>
    </row>
    <row r="5159" spans="1:59">
      <c r="A5159" s="1">
        <f>HYPERLINK("https://lsnyc.legalserver.org/matter/dynamic-profile/view/1909391","19-1909391")</f>
        <v>0</v>
      </c>
      <c r="B5159" t="s">
        <v>4103</v>
      </c>
      <c r="C5159" t="s">
        <v>8928</v>
      </c>
      <c r="D5159" t="s">
        <v>9928</v>
      </c>
      <c r="E5159" t="s">
        <v>10075</v>
      </c>
      <c r="F5159">
        <v>11208</v>
      </c>
      <c r="G5159" t="s">
        <v>10093</v>
      </c>
      <c r="H5159" t="s">
        <v>10159</v>
      </c>
      <c r="I5159" t="s">
        <v>10169</v>
      </c>
      <c r="J5159" t="s">
        <v>10213</v>
      </c>
      <c r="K5159" t="s">
        <v>10217</v>
      </c>
      <c r="M5159" t="s">
        <v>10280</v>
      </c>
      <c r="N5159" t="s">
        <v>10671</v>
      </c>
      <c r="P5159" t="s">
        <v>10751</v>
      </c>
      <c r="Q5159" t="s">
        <v>10768</v>
      </c>
      <c r="R5159" t="s">
        <v>10821</v>
      </c>
      <c r="T5159">
        <v>0</v>
      </c>
      <c r="U5159">
        <v>0</v>
      </c>
      <c r="V5159">
        <v>52</v>
      </c>
      <c r="W5159">
        <v>1</v>
      </c>
      <c r="X5159">
        <v>0</v>
      </c>
      <c r="Z5159">
        <v>0</v>
      </c>
      <c r="AA5159">
        <v>40.683067</v>
      </c>
      <c r="AB5159">
        <v>-73.868956</v>
      </c>
      <c r="AD5159" t="s">
        <v>10839</v>
      </c>
      <c r="AG5159" t="s">
        <v>10858</v>
      </c>
      <c r="AH5159" t="s">
        <v>10871</v>
      </c>
      <c r="AI5159">
        <v>234</v>
      </c>
      <c r="AJ5159" t="s">
        <v>10214</v>
      </c>
      <c r="AL5159">
        <v>1.3</v>
      </c>
      <c r="AM5159" t="s">
        <v>10886</v>
      </c>
      <c r="AN5159" t="s">
        <v>10920</v>
      </c>
      <c r="AO5159" t="s">
        <v>11011</v>
      </c>
      <c r="AP5159" t="s">
        <v>11058</v>
      </c>
      <c r="AR5159" t="s">
        <v>11279</v>
      </c>
      <c r="AS5159" t="s">
        <v>11595</v>
      </c>
      <c r="AT5159" t="s">
        <v>11641</v>
      </c>
      <c r="AX5159" t="s">
        <v>10838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</row>
    <row r="5160" spans="1:59">
      <c r="A5160" s="1">
        <f>HYPERLINK("https://lsnyc.legalserver.org/matter/dynamic-profile/view/1909392","19-1909392")</f>
        <v>0</v>
      </c>
      <c r="B5160" t="s">
        <v>4104</v>
      </c>
      <c r="C5160" t="s">
        <v>8929</v>
      </c>
      <c r="D5160" t="s">
        <v>9926</v>
      </c>
      <c r="E5160" t="s">
        <v>10075</v>
      </c>
      <c r="F5160">
        <v>10467</v>
      </c>
      <c r="G5160" t="s">
        <v>10090</v>
      </c>
      <c r="H5160" t="s">
        <v>10098</v>
      </c>
      <c r="I5160" t="s">
        <v>10168</v>
      </c>
      <c r="J5160" t="s">
        <v>10210</v>
      </c>
      <c r="K5160" t="s">
        <v>10217</v>
      </c>
      <c r="M5160" t="s">
        <v>10557</v>
      </c>
      <c r="N5160" t="s">
        <v>10651</v>
      </c>
      <c r="P5160" t="s">
        <v>10749</v>
      </c>
      <c r="Q5160" t="s">
        <v>10765</v>
      </c>
      <c r="R5160" t="s">
        <v>10824</v>
      </c>
      <c r="T5160">
        <v>8400</v>
      </c>
      <c r="U5160">
        <v>700</v>
      </c>
      <c r="V5160">
        <v>46</v>
      </c>
      <c r="W5160">
        <v>1</v>
      </c>
      <c r="X5160">
        <v>0</v>
      </c>
      <c r="Z5160">
        <v>67.25</v>
      </c>
      <c r="AA5160">
        <v>40.881138</v>
      </c>
      <c r="AB5160">
        <v>-73.859691</v>
      </c>
      <c r="AD5160" t="s">
        <v>10839</v>
      </c>
      <c r="AF5160" t="s">
        <v>10848</v>
      </c>
      <c r="AG5160" t="s">
        <v>10859</v>
      </c>
      <c r="AH5160" t="s">
        <v>10862</v>
      </c>
      <c r="AI5160">
        <v>230</v>
      </c>
      <c r="AJ5160" t="s">
        <v>10210</v>
      </c>
      <c r="AL5160">
        <v>5.2</v>
      </c>
      <c r="AM5160" t="s">
        <v>10893</v>
      </c>
      <c r="AN5160" t="s">
        <v>10956</v>
      </c>
      <c r="AO5160" t="s">
        <v>11010</v>
      </c>
      <c r="AP5160" t="s">
        <v>11085</v>
      </c>
      <c r="AR5160" t="s">
        <v>10180</v>
      </c>
      <c r="AS5160" t="s">
        <v>9926</v>
      </c>
      <c r="BA5160" t="s">
        <v>11738</v>
      </c>
      <c r="BB5160">
        <v>0</v>
      </c>
      <c r="BC5160">
        <v>0</v>
      </c>
      <c r="BD5160">
        <v>0</v>
      </c>
      <c r="BE5160">
        <v>0</v>
      </c>
      <c r="BF5160">
        <v>5</v>
      </c>
      <c r="BG5160">
        <v>0</v>
      </c>
    </row>
    <row r="5161" spans="1:59">
      <c r="A5161" s="1">
        <f>HYPERLINK("https://lsnyc.legalserver.org/matter/dynamic-profile/view/1909393","19-1909393")</f>
        <v>0</v>
      </c>
      <c r="B5161" t="s">
        <v>965</v>
      </c>
      <c r="C5161" t="s">
        <v>7568</v>
      </c>
      <c r="D5161" t="s">
        <v>9926</v>
      </c>
      <c r="E5161" t="s">
        <v>10075</v>
      </c>
      <c r="F5161">
        <v>10457</v>
      </c>
      <c r="G5161" t="s">
        <v>10090</v>
      </c>
      <c r="H5161" t="s">
        <v>10159</v>
      </c>
      <c r="I5161" t="s">
        <v>10168</v>
      </c>
      <c r="J5161" t="s">
        <v>10210</v>
      </c>
      <c r="K5161" t="s">
        <v>10217</v>
      </c>
      <c r="M5161" t="s">
        <v>10427</v>
      </c>
      <c r="N5161" t="s">
        <v>10650</v>
      </c>
      <c r="P5161" t="s">
        <v>10749</v>
      </c>
      <c r="Q5161" t="s">
        <v>10765</v>
      </c>
      <c r="R5161" t="s">
        <v>10820</v>
      </c>
      <c r="T5161">
        <v>9240</v>
      </c>
      <c r="U5161">
        <v>770</v>
      </c>
      <c r="V5161">
        <v>59</v>
      </c>
      <c r="W5161">
        <v>1</v>
      </c>
      <c r="X5161">
        <v>0</v>
      </c>
      <c r="Z5161">
        <v>73.98</v>
      </c>
      <c r="AA5161">
        <v>40.840863</v>
      </c>
      <c r="AB5161">
        <v>-73.910656</v>
      </c>
      <c r="AD5161" t="s">
        <v>10839</v>
      </c>
      <c r="AG5161" t="s">
        <v>10858</v>
      </c>
      <c r="AH5161" t="s">
        <v>10862</v>
      </c>
      <c r="AI5161">
        <v>230</v>
      </c>
      <c r="AJ5161" t="s">
        <v>10210</v>
      </c>
      <c r="AL5161">
        <v>9</v>
      </c>
      <c r="AM5161" t="s">
        <v>10884</v>
      </c>
      <c r="AN5161" t="s">
        <v>10929</v>
      </c>
      <c r="AO5161" t="s">
        <v>11000</v>
      </c>
      <c r="AP5161" t="s">
        <v>11055</v>
      </c>
      <c r="AR5161" t="s">
        <v>11263</v>
      </c>
      <c r="AS5161" t="s">
        <v>9926</v>
      </c>
      <c r="BA5161" t="s">
        <v>11739</v>
      </c>
      <c r="BB5161">
        <v>0</v>
      </c>
      <c r="BC5161">
        <v>0</v>
      </c>
      <c r="BD5161">
        <v>0</v>
      </c>
      <c r="BE5161">
        <v>0</v>
      </c>
      <c r="BF5161">
        <v>4</v>
      </c>
      <c r="BG5161">
        <v>0</v>
      </c>
    </row>
    <row r="5162" spans="1:59">
      <c r="A5162" s="1">
        <f>HYPERLINK("https://lsnyc.legalserver.org/matter/dynamic-profile/view/1909394","19-1909394")</f>
        <v>0</v>
      </c>
      <c r="B5162" t="s">
        <v>4104</v>
      </c>
      <c r="C5162" t="s">
        <v>8929</v>
      </c>
      <c r="D5162" t="s">
        <v>9926</v>
      </c>
      <c r="E5162" t="s">
        <v>10075</v>
      </c>
      <c r="F5162">
        <v>10467</v>
      </c>
      <c r="G5162" t="s">
        <v>10090</v>
      </c>
      <c r="H5162" t="s">
        <v>10098</v>
      </c>
      <c r="I5162" t="s">
        <v>10168</v>
      </c>
      <c r="J5162" t="s">
        <v>10210</v>
      </c>
      <c r="K5162" t="s">
        <v>10217</v>
      </c>
      <c r="M5162" t="s">
        <v>10287</v>
      </c>
      <c r="N5162" t="s">
        <v>10671</v>
      </c>
      <c r="P5162" t="s">
        <v>10751</v>
      </c>
      <c r="Q5162" t="s">
        <v>10761</v>
      </c>
      <c r="R5162" t="s">
        <v>10824</v>
      </c>
      <c r="T5162">
        <v>8400</v>
      </c>
      <c r="U5162">
        <v>700</v>
      </c>
      <c r="V5162">
        <v>46</v>
      </c>
      <c r="W5162">
        <v>1</v>
      </c>
      <c r="X5162">
        <v>0</v>
      </c>
      <c r="Z5162">
        <v>67.25</v>
      </c>
      <c r="AA5162">
        <v>40.881138</v>
      </c>
      <c r="AB5162">
        <v>-73.859691</v>
      </c>
      <c r="AD5162" t="s">
        <v>10839</v>
      </c>
      <c r="AF5162" t="s">
        <v>10848</v>
      </c>
      <c r="AG5162" t="s">
        <v>10859</v>
      </c>
      <c r="AH5162" t="s">
        <v>10862</v>
      </c>
      <c r="AI5162">
        <v>230</v>
      </c>
      <c r="AJ5162" t="s">
        <v>10210</v>
      </c>
      <c r="AL5162">
        <v>0.25</v>
      </c>
      <c r="AM5162" t="s">
        <v>10893</v>
      </c>
      <c r="AN5162" t="s">
        <v>10956</v>
      </c>
      <c r="AO5162" t="s">
        <v>11010</v>
      </c>
      <c r="AP5162" t="s">
        <v>11085</v>
      </c>
      <c r="AR5162" t="s">
        <v>10180</v>
      </c>
      <c r="AS5162" t="s">
        <v>9926</v>
      </c>
      <c r="BA5162" t="s">
        <v>11737</v>
      </c>
      <c r="BB5162">
        <v>0</v>
      </c>
      <c r="BC5162">
        <v>0</v>
      </c>
      <c r="BD5162">
        <v>0</v>
      </c>
      <c r="BE5162">
        <v>0</v>
      </c>
      <c r="BF5162">
        <v>3</v>
      </c>
      <c r="BG5162">
        <v>0</v>
      </c>
    </row>
    <row r="5163" spans="1:59">
      <c r="A5163" s="1">
        <f>HYPERLINK("https://lsnyc.legalserver.org/matter/dynamic-profile/view/1909396","19-1909396")</f>
        <v>0</v>
      </c>
      <c r="B5163" t="s">
        <v>4105</v>
      </c>
      <c r="C5163" t="s">
        <v>8930</v>
      </c>
      <c r="D5163" t="s">
        <v>9928</v>
      </c>
      <c r="E5163" t="s">
        <v>10075</v>
      </c>
      <c r="F5163">
        <v>11218</v>
      </c>
      <c r="G5163" t="s">
        <v>10093</v>
      </c>
      <c r="H5163" t="s">
        <v>10159</v>
      </c>
      <c r="I5163" t="s">
        <v>10168</v>
      </c>
      <c r="J5163" t="s">
        <v>10213</v>
      </c>
      <c r="K5163" t="s">
        <v>10217</v>
      </c>
      <c r="M5163" t="s">
        <v>10435</v>
      </c>
      <c r="N5163" t="s">
        <v>10671</v>
      </c>
      <c r="P5163" t="s">
        <v>10750</v>
      </c>
      <c r="Q5163" t="s">
        <v>10799</v>
      </c>
      <c r="R5163" t="s">
        <v>10827</v>
      </c>
      <c r="T5163">
        <v>0</v>
      </c>
      <c r="U5163">
        <v>0</v>
      </c>
      <c r="V5163">
        <v>23</v>
      </c>
      <c r="W5163">
        <v>1</v>
      </c>
      <c r="X5163">
        <v>0</v>
      </c>
      <c r="Z5163">
        <v>0</v>
      </c>
      <c r="AA5163">
        <v>40.64214</v>
      </c>
      <c r="AB5163">
        <v>-73.980079</v>
      </c>
      <c r="AD5163" t="s">
        <v>10839</v>
      </c>
      <c r="AG5163" t="s">
        <v>10858</v>
      </c>
      <c r="AH5163" t="s">
        <v>10861</v>
      </c>
      <c r="AI5163">
        <v>234</v>
      </c>
      <c r="AJ5163" t="s">
        <v>10214</v>
      </c>
      <c r="AL5163">
        <v>1</v>
      </c>
      <c r="AM5163" t="s">
        <v>10894</v>
      </c>
      <c r="AN5163" t="s">
        <v>10941</v>
      </c>
      <c r="AO5163" t="s">
        <v>11008</v>
      </c>
      <c r="AP5163" t="s">
        <v>11059</v>
      </c>
      <c r="AR5163" t="s">
        <v>11267</v>
      </c>
      <c r="AS5163" t="s">
        <v>11595</v>
      </c>
      <c r="AT5163" t="s">
        <v>11641</v>
      </c>
      <c r="AX5163" t="s">
        <v>10838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</row>
    <row r="5164" spans="1:59">
      <c r="A5164" s="1">
        <f>HYPERLINK("https://lsnyc.legalserver.org/matter/dynamic-profile/view/1909397","19-1909397")</f>
        <v>0</v>
      </c>
      <c r="B5164" t="s">
        <v>4106</v>
      </c>
      <c r="C5164" t="s">
        <v>8931</v>
      </c>
      <c r="D5164" t="s">
        <v>9926</v>
      </c>
      <c r="E5164" t="s">
        <v>10075</v>
      </c>
      <c r="F5164">
        <v>10453</v>
      </c>
      <c r="G5164" t="s">
        <v>10090</v>
      </c>
      <c r="H5164" t="s">
        <v>10159</v>
      </c>
      <c r="I5164" t="s">
        <v>10168</v>
      </c>
      <c r="J5164" t="s">
        <v>10210</v>
      </c>
      <c r="K5164" t="s">
        <v>10217</v>
      </c>
      <c r="M5164" t="s">
        <v>10569</v>
      </c>
      <c r="N5164" t="s">
        <v>10656</v>
      </c>
      <c r="P5164" t="s">
        <v>10751</v>
      </c>
      <c r="Q5164" t="s">
        <v>10780</v>
      </c>
      <c r="R5164" t="s">
        <v>10824</v>
      </c>
      <c r="T5164">
        <v>1200</v>
      </c>
      <c r="U5164">
        <v>100</v>
      </c>
      <c r="V5164">
        <v>35</v>
      </c>
      <c r="W5164">
        <v>2</v>
      </c>
      <c r="X5164">
        <v>2</v>
      </c>
      <c r="Z5164">
        <v>4.66</v>
      </c>
      <c r="AA5164">
        <v>40.85359</v>
      </c>
      <c r="AB5164">
        <v>-73.904338</v>
      </c>
      <c r="AD5164" t="s">
        <v>10840</v>
      </c>
      <c r="AG5164" t="s">
        <v>10858</v>
      </c>
      <c r="AH5164" t="s">
        <v>10861</v>
      </c>
      <c r="AI5164">
        <v>234</v>
      </c>
      <c r="AJ5164" t="s">
        <v>10214</v>
      </c>
      <c r="AL5164">
        <v>3.2</v>
      </c>
      <c r="AM5164" t="s">
        <v>10884</v>
      </c>
      <c r="AN5164" t="s">
        <v>10931</v>
      </c>
      <c r="AO5164" t="s">
        <v>11000</v>
      </c>
      <c r="AP5164" t="s">
        <v>11045</v>
      </c>
      <c r="AR5164" t="s">
        <v>11344</v>
      </c>
      <c r="AS5164" t="s">
        <v>9926</v>
      </c>
      <c r="AT5164" t="s">
        <v>11642</v>
      </c>
      <c r="AX5164" t="s">
        <v>10838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</row>
    <row r="5165" spans="1:59">
      <c r="A5165" s="1">
        <f>HYPERLINK("https://lsnyc.legalserver.org/matter/dynamic-profile/view/1909398","19-1909398")</f>
        <v>0</v>
      </c>
      <c r="B5165" t="s">
        <v>4107</v>
      </c>
      <c r="C5165" t="s">
        <v>8932</v>
      </c>
      <c r="D5165" t="s">
        <v>9965</v>
      </c>
      <c r="E5165" t="s">
        <v>10075</v>
      </c>
      <c r="F5165">
        <v>11101</v>
      </c>
      <c r="G5165" t="s">
        <v>10090</v>
      </c>
      <c r="H5165" t="s">
        <v>10159</v>
      </c>
      <c r="I5165" t="s">
        <v>10168</v>
      </c>
      <c r="J5165" t="s">
        <v>10210</v>
      </c>
      <c r="K5165" t="s">
        <v>10218</v>
      </c>
      <c r="L5165" t="s">
        <v>10221</v>
      </c>
      <c r="M5165" t="s">
        <v>10586</v>
      </c>
      <c r="N5165" t="s">
        <v>10677</v>
      </c>
      <c r="P5165" t="s">
        <v>10749</v>
      </c>
      <c r="Q5165" t="s">
        <v>10765</v>
      </c>
      <c r="R5165" t="s">
        <v>10821</v>
      </c>
      <c r="T5165">
        <v>20280</v>
      </c>
      <c r="U5165">
        <v>1690</v>
      </c>
      <c r="V5165">
        <v>60</v>
      </c>
      <c r="W5165">
        <v>1</v>
      </c>
      <c r="X5165">
        <v>0</v>
      </c>
      <c r="Y5165" t="s">
        <v>10829</v>
      </c>
      <c r="Z5165">
        <v>162.37</v>
      </c>
      <c r="AA5165">
        <v>40.739977</v>
      </c>
      <c r="AB5165">
        <v>-73.949392</v>
      </c>
      <c r="AC5165" t="s">
        <v>10837</v>
      </c>
      <c r="AD5165" t="s">
        <v>10840</v>
      </c>
      <c r="AG5165" t="s">
        <v>10858</v>
      </c>
      <c r="AH5165" t="s">
        <v>10871</v>
      </c>
      <c r="AI5165">
        <v>234</v>
      </c>
      <c r="AJ5165" t="s">
        <v>10214</v>
      </c>
      <c r="AK5165" t="s">
        <v>10882</v>
      </c>
      <c r="AL5165">
        <v>1.25</v>
      </c>
      <c r="AM5165" t="s">
        <v>10891</v>
      </c>
      <c r="AN5165" t="s">
        <v>10961</v>
      </c>
      <c r="AO5165" t="s">
        <v>11003</v>
      </c>
      <c r="AP5165" t="s">
        <v>11047</v>
      </c>
      <c r="AR5165" t="s">
        <v>11257</v>
      </c>
      <c r="AS5165" t="s">
        <v>11594</v>
      </c>
      <c r="AT5165" t="s">
        <v>11642</v>
      </c>
      <c r="AX5165" t="s">
        <v>10837</v>
      </c>
      <c r="AY5165" t="s">
        <v>10829</v>
      </c>
      <c r="AZ5165" t="s">
        <v>11681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</row>
    <row r="5166" spans="1:59">
      <c r="A5166" s="1">
        <f>HYPERLINK("https://lsnyc.legalserver.org/matter/dynamic-profile/view/1909399","19-1909399")</f>
        <v>0</v>
      </c>
      <c r="B5166" t="s">
        <v>4108</v>
      </c>
      <c r="C5166" t="s">
        <v>8933</v>
      </c>
      <c r="D5166" t="s">
        <v>9937</v>
      </c>
      <c r="E5166" t="s">
        <v>10075</v>
      </c>
      <c r="F5166">
        <v>11412</v>
      </c>
      <c r="G5166" t="s">
        <v>10092</v>
      </c>
      <c r="H5166" t="s">
        <v>10159</v>
      </c>
      <c r="J5166" t="s">
        <v>10212</v>
      </c>
      <c r="K5166" t="s">
        <v>10217</v>
      </c>
      <c r="M5166" t="s">
        <v>10350</v>
      </c>
      <c r="N5166" t="s">
        <v>10692</v>
      </c>
      <c r="P5166" t="s">
        <v>10754</v>
      </c>
      <c r="Q5166" t="s">
        <v>10777</v>
      </c>
      <c r="R5166" t="s">
        <v>10824</v>
      </c>
      <c r="T5166">
        <v>20800</v>
      </c>
      <c r="U5166">
        <v>1733.33</v>
      </c>
      <c r="V5166">
        <v>41</v>
      </c>
      <c r="W5166">
        <v>1</v>
      </c>
      <c r="X5166">
        <v>2</v>
      </c>
      <c r="Z5166">
        <v>97.52</v>
      </c>
      <c r="AA5166">
        <v>40.703464</v>
      </c>
      <c r="AB5166">
        <v>-73.771248</v>
      </c>
      <c r="AD5166" t="s">
        <v>10839</v>
      </c>
      <c r="AG5166" t="s">
        <v>10858</v>
      </c>
      <c r="AH5166" t="s">
        <v>10865</v>
      </c>
      <c r="AI5166">
        <v>237</v>
      </c>
      <c r="AJ5166" t="s">
        <v>10212</v>
      </c>
      <c r="AL5166">
        <v>1.5</v>
      </c>
      <c r="AM5166" t="s">
        <v>10892</v>
      </c>
      <c r="AN5166" t="s">
        <v>10955</v>
      </c>
      <c r="AO5166" t="s">
        <v>11020</v>
      </c>
      <c r="AP5166" t="s">
        <v>11075</v>
      </c>
      <c r="AR5166" t="s">
        <v>11257</v>
      </c>
      <c r="AS5166" t="s">
        <v>11594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</row>
    <row r="5167" spans="1:59">
      <c r="A5167" s="1">
        <f>HYPERLINK("https://lsnyc.legalserver.org/matter/dynamic-profile/view/1909400","19-1909400")</f>
        <v>0</v>
      </c>
      <c r="B5167" t="s">
        <v>775</v>
      </c>
      <c r="C5167" t="s">
        <v>8934</v>
      </c>
      <c r="D5167" t="s">
        <v>9959</v>
      </c>
      <c r="E5167" t="s">
        <v>10075</v>
      </c>
      <c r="F5167">
        <v>11356</v>
      </c>
      <c r="G5167" t="s">
        <v>10093</v>
      </c>
      <c r="H5167" t="s">
        <v>10159</v>
      </c>
      <c r="I5167" t="s">
        <v>10169</v>
      </c>
      <c r="J5167" t="s">
        <v>10213</v>
      </c>
      <c r="K5167" t="s">
        <v>10218</v>
      </c>
      <c r="L5167" t="s">
        <v>10135</v>
      </c>
      <c r="M5167" t="s">
        <v>10436</v>
      </c>
      <c r="N5167" t="s">
        <v>10710</v>
      </c>
      <c r="P5167" t="s">
        <v>10750</v>
      </c>
      <c r="Q5167" t="s">
        <v>10760</v>
      </c>
      <c r="R5167" t="s">
        <v>10823</v>
      </c>
      <c r="T5167">
        <v>0</v>
      </c>
      <c r="U5167">
        <v>0</v>
      </c>
      <c r="V5167">
        <v>65</v>
      </c>
      <c r="W5167">
        <v>1</v>
      </c>
      <c r="X5167">
        <v>0</v>
      </c>
      <c r="Y5167" t="s">
        <v>10829</v>
      </c>
      <c r="Z5167">
        <v>0</v>
      </c>
      <c r="AA5167">
        <v>40.779718</v>
      </c>
      <c r="AB5167">
        <v>-73.848125</v>
      </c>
      <c r="AC5167" t="s">
        <v>10837</v>
      </c>
      <c r="AD5167" t="s">
        <v>10839</v>
      </c>
      <c r="AG5167" t="s">
        <v>10858</v>
      </c>
      <c r="AH5167" t="s">
        <v>10871</v>
      </c>
      <c r="AI5167">
        <v>234</v>
      </c>
      <c r="AJ5167" t="s">
        <v>10214</v>
      </c>
      <c r="AK5167" t="s">
        <v>10838</v>
      </c>
      <c r="AL5167">
        <v>0.66</v>
      </c>
      <c r="AM5167" t="s">
        <v>10885</v>
      </c>
      <c r="AN5167" t="s">
        <v>10962</v>
      </c>
      <c r="AO5167" t="s">
        <v>11022</v>
      </c>
      <c r="AP5167" t="s">
        <v>11080</v>
      </c>
      <c r="AR5167" t="s">
        <v>11267</v>
      </c>
      <c r="AS5167" t="s">
        <v>11594</v>
      </c>
      <c r="AT5167" t="s">
        <v>11641</v>
      </c>
      <c r="AX5167" t="s">
        <v>10838</v>
      </c>
      <c r="AY5167" t="s">
        <v>10829</v>
      </c>
      <c r="AZ5167" t="s">
        <v>11679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</row>
    <row r="5168" spans="1:59">
      <c r="A5168" s="1">
        <f>HYPERLINK("https://lsnyc.legalserver.org/matter/dynamic-profile/view/1909401","19-1909401")</f>
        <v>0</v>
      </c>
      <c r="B5168" t="s">
        <v>4109</v>
      </c>
      <c r="C5168" t="s">
        <v>6987</v>
      </c>
      <c r="D5168" t="s">
        <v>9928</v>
      </c>
      <c r="E5168" t="s">
        <v>10075</v>
      </c>
      <c r="F5168">
        <v>11211</v>
      </c>
      <c r="G5168" t="s">
        <v>10092</v>
      </c>
      <c r="H5168" t="s">
        <v>10159</v>
      </c>
      <c r="J5168" t="s">
        <v>10212</v>
      </c>
      <c r="K5168" t="s">
        <v>10218</v>
      </c>
      <c r="L5168" t="s">
        <v>10162</v>
      </c>
      <c r="M5168" t="s">
        <v>10363</v>
      </c>
      <c r="N5168" t="s">
        <v>10657</v>
      </c>
      <c r="P5168" t="s">
        <v>10754</v>
      </c>
      <c r="Q5168" t="s">
        <v>10777</v>
      </c>
      <c r="R5168" t="s">
        <v>10825</v>
      </c>
      <c r="T5168">
        <v>0</v>
      </c>
      <c r="U5168">
        <v>0</v>
      </c>
      <c r="V5168">
        <v>35</v>
      </c>
      <c r="W5168">
        <v>1</v>
      </c>
      <c r="X5168">
        <v>0</v>
      </c>
      <c r="Y5168" t="s">
        <v>10829</v>
      </c>
      <c r="Z5168">
        <v>0</v>
      </c>
      <c r="AA5168">
        <v>40.716763</v>
      </c>
      <c r="AB5168">
        <v>-73.938413</v>
      </c>
      <c r="AD5168" t="s">
        <v>10840</v>
      </c>
      <c r="AF5168" t="s">
        <v>10843</v>
      </c>
      <c r="AG5168" t="s">
        <v>10859</v>
      </c>
      <c r="AH5168" t="s">
        <v>10868</v>
      </c>
      <c r="AI5168">
        <v>237</v>
      </c>
      <c r="AJ5168" t="s">
        <v>10212</v>
      </c>
      <c r="AK5168" t="s">
        <v>10838</v>
      </c>
      <c r="AL5168">
        <v>0.2</v>
      </c>
      <c r="AM5168" t="s">
        <v>10891</v>
      </c>
      <c r="AN5168" t="s">
        <v>10942</v>
      </c>
      <c r="AO5168" t="s">
        <v>11011</v>
      </c>
      <c r="AP5168" t="s">
        <v>11071</v>
      </c>
      <c r="AR5168" t="s">
        <v>11267</v>
      </c>
      <c r="AS5168" t="s">
        <v>11595</v>
      </c>
      <c r="AY5168" t="s">
        <v>10829</v>
      </c>
      <c r="AZ5168" t="s">
        <v>11683</v>
      </c>
      <c r="BA5168" t="s">
        <v>11741</v>
      </c>
      <c r="BB5168">
        <v>0</v>
      </c>
      <c r="BC5168">
        <v>0</v>
      </c>
      <c r="BD5168">
        <v>0</v>
      </c>
      <c r="BE5168">
        <v>0</v>
      </c>
      <c r="BF5168">
        <v>1</v>
      </c>
      <c r="BG5168">
        <v>0</v>
      </c>
    </row>
    <row r="5169" spans="1:59">
      <c r="A5169" s="1">
        <f>HYPERLINK("https://lsnyc.legalserver.org/matter/dynamic-profile/view/1909402","19-1909402")</f>
        <v>0</v>
      </c>
      <c r="B5169" t="s">
        <v>4110</v>
      </c>
      <c r="C5169" t="s">
        <v>5204</v>
      </c>
      <c r="D5169" t="s">
        <v>9930</v>
      </c>
      <c r="E5169" t="s">
        <v>10075</v>
      </c>
      <c r="F5169">
        <v>11373</v>
      </c>
      <c r="G5169" t="s">
        <v>10092</v>
      </c>
      <c r="H5169" t="s">
        <v>10152</v>
      </c>
      <c r="I5169" t="s">
        <v>10169</v>
      </c>
      <c r="J5169" t="s">
        <v>10212</v>
      </c>
      <c r="K5169" t="s">
        <v>10217</v>
      </c>
      <c r="M5169" t="s">
        <v>10232</v>
      </c>
      <c r="N5169" t="s">
        <v>10648</v>
      </c>
      <c r="P5169" t="s">
        <v>10753</v>
      </c>
      <c r="Q5169" t="s">
        <v>10763</v>
      </c>
      <c r="R5169" t="s">
        <v>10823</v>
      </c>
      <c r="T5169">
        <v>13000</v>
      </c>
      <c r="U5169">
        <v>1083.33</v>
      </c>
      <c r="V5169">
        <v>47</v>
      </c>
      <c r="W5169">
        <v>2</v>
      </c>
      <c r="X5169">
        <v>0</v>
      </c>
      <c r="Z5169">
        <v>76.88</v>
      </c>
      <c r="AA5169">
        <v>40.730615</v>
      </c>
      <c r="AB5169">
        <v>-73.873193</v>
      </c>
      <c r="AD5169" t="s">
        <v>10839</v>
      </c>
      <c r="AF5169" t="s">
        <v>10844</v>
      </c>
      <c r="AG5169" t="s">
        <v>10859</v>
      </c>
      <c r="AH5169" t="s">
        <v>10864</v>
      </c>
      <c r="AI5169">
        <v>237</v>
      </c>
      <c r="AJ5169" t="s">
        <v>10212</v>
      </c>
      <c r="AL5169">
        <v>1.25</v>
      </c>
      <c r="AM5169" t="s">
        <v>10890</v>
      </c>
      <c r="AN5169" t="s">
        <v>10935</v>
      </c>
      <c r="AO5169" t="s">
        <v>11009</v>
      </c>
      <c r="AP5169" t="s">
        <v>11083</v>
      </c>
      <c r="AQ5169" t="s">
        <v>11178</v>
      </c>
      <c r="AR5169" t="s">
        <v>11257</v>
      </c>
      <c r="AS5169" t="s">
        <v>11594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</row>
    <row r="5170" spans="1:59">
      <c r="A5170" s="1">
        <f>HYPERLINK("https://lsnyc.legalserver.org/matter/dynamic-profile/view/1909403","19-1909403")</f>
        <v>0</v>
      </c>
      <c r="B5170" t="s">
        <v>4111</v>
      </c>
      <c r="C5170" t="s">
        <v>8935</v>
      </c>
      <c r="D5170" t="s">
        <v>9928</v>
      </c>
      <c r="E5170" t="s">
        <v>10075</v>
      </c>
      <c r="F5170">
        <v>11226</v>
      </c>
      <c r="G5170" t="s">
        <v>10093</v>
      </c>
      <c r="H5170" t="s">
        <v>10159</v>
      </c>
      <c r="I5170" t="s">
        <v>10168</v>
      </c>
      <c r="J5170" t="s">
        <v>10213</v>
      </c>
      <c r="K5170" t="s">
        <v>10217</v>
      </c>
      <c r="M5170" t="s">
        <v>10304</v>
      </c>
      <c r="N5170" t="s">
        <v>10646</v>
      </c>
      <c r="P5170" t="s">
        <v>10749</v>
      </c>
      <c r="Q5170" t="s">
        <v>10791</v>
      </c>
      <c r="R5170" t="s">
        <v>10824</v>
      </c>
      <c r="T5170">
        <v>81664</v>
      </c>
      <c r="U5170">
        <v>6805.33</v>
      </c>
      <c r="V5170">
        <v>37</v>
      </c>
      <c r="W5170">
        <v>2</v>
      </c>
      <c r="X5170">
        <v>1</v>
      </c>
      <c r="Z5170">
        <v>382.86</v>
      </c>
      <c r="AA5170">
        <v>40.639175</v>
      </c>
      <c r="AB5170">
        <v>-73.95626</v>
      </c>
      <c r="AD5170" t="s">
        <v>10839</v>
      </c>
      <c r="AG5170" t="s">
        <v>10858</v>
      </c>
      <c r="AH5170" t="s">
        <v>10871</v>
      </c>
      <c r="AI5170">
        <v>234</v>
      </c>
      <c r="AJ5170" t="s">
        <v>10214</v>
      </c>
      <c r="AL5170">
        <v>1</v>
      </c>
      <c r="AM5170" t="s">
        <v>10888</v>
      </c>
      <c r="AN5170" t="s">
        <v>10932</v>
      </c>
      <c r="AO5170" t="s">
        <v>11008</v>
      </c>
      <c r="AP5170" t="s">
        <v>11050</v>
      </c>
      <c r="AR5170" t="s">
        <v>11335</v>
      </c>
      <c r="AS5170" t="s">
        <v>11595</v>
      </c>
      <c r="AT5170" t="s">
        <v>11641</v>
      </c>
      <c r="AX5170" t="s">
        <v>10838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</row>
    <row r="5171" spans="1:59">
      <c r="A5171" s="1">
        <f>HYPERLINK("https://lsnyc.legalserver.org/matter/dynamic-profile/view/1909404","19-1909404")</f>
        <v>0</v>
      </c>
      <c r="B5171" t="s">
        <v>4112</v>
      </c>
      <c r="C5171" t="s">
        <v>8936</v>
      </c>
      <c r="D5171" t="s">
        <v>9928</v>
      </c>
      <c r="E5171" t="s">
        <v>10075</v>
      </c>
      <c r="F5171">
        <v>11207</v>
      </c>
      <c r="G5171" t="s">
        <v>10093</v>
      </c>
      <c r="H5171" t="s">
        <v>10159</v>
      </c>
      <c r="I5171" t="s">
        <v>10168</v>
      </c>
      <c r="J5171" t="s">
        <v>10213</v>
      </c>
      <c r="K5171" t="s">
        <v>10217</v>
      </c>
      <c r="M5171" t="s">
        <v>10439</v>
      </c>
      <c r="N5171" t="s">
        <v>10650</v>
      </c>
      <c r="P5171" t="s">
        <v>10749</v>
      </c>
      <c r="Q5171" t="s">
        <v>10765</v>
      </c>
      <c r="R5171" t="s">
        <v>10824</v>
      </c>
      <c r="T5171">
        <v>9100</v>
      </c>
      <c r="U5171">
        <v>758.33</v>
      </c>
      <c r="V5171">
        <v>35</v>
      </c>
      <c r="W5171">
        <v>3</v>
      </c>
      <c r="X5171">
        <v>2</v>
      </c>
      <c r="Z5171">
        <v>30.16</v>
      </c>
      <c r="AA5171">
        <v>40.667144</v>
      </c>
      <c r="AB5171">
        <v>-73.89298100000001</v>
      </c>
      <c r="AC5171" t="s">
        <v>10838</v>
      </c>
      <c r="AD5171" t="s">
        <v>10839</v>
      </c>
      <c r="AF5171" t="s">
        <v>10843</v>
      </c>
      <c r="AG5171" t="s">
        <v>10859</v>
      </c>
      <c r="AH5171" t="s">
        <v>10861</v>
      </c>
      <c r="AI5171">
        <v>239</v>
      </c>
      <c r="AJ5171" t="s">
        <v>10213</v>
      </c>
      <c r="AL5171">
        <v>0</v>
      </c>
      <c r="AM5171" t="s">
        <v>10889</v>
      </c>
      <c r="AN5171" t="s">
        <v>10946</v>
      </c>
      <c r="AO5171" t="s">
        <v>11012</v>
      </c>
      <c r="AP5171" t="s">
        <v>11060</v>
      </c>
      <c r="AR5171" t="s">
        <v>11344</v>
      </c>
      <c r="AS5171" t="s">
        <v>11595</v>
      </c>
      <c r="AT5171" t="s">
        <v>11641</v>
      </c>
      <c r="BA5171" t="s">
        <v>11742</v>
      </c>
      <c r="BB5171">
        <v>0</v>
      </c>
      <c r="BC5171">
        <v>0</v>
      </c>
      <c r="BD5171">
        <v>0</v>
      </c>
      <c r="BE5171">
        <v>0</v>
      </c>
      <c r="BF5171">
        <v>7</v>
      </c>
      <c r="BG5171">
        <v>0</v>
      </c>
    </row>
    <row r="5172" spans="1:59">
      <c r="A5172" s="1">
        <f>HYPERLINK("https://lsnyc.legalserver.org/matter/dynamic-profile/view/1909405","19-1909405")</f>
        <v>0</v>
      </c>
      <c r="B5172" t="s">
        <v>841</v>
      </c>
      <c r="C5172" t="s">
        <v>8937</v>
      </c>
      <c r="D5172" t="s">
        <v>9926</v>
      </c>
      <c r="E5172" t="s">
        <v>10075</v>
      </c>
      <c r="F5172">
        <v>10462</v>
      </c>
      <c r="G5172" t="s">
        <v>10090</v>
      </c>
      <c r="H5172" t="s">
        <v>10159</v>
      </c>
      <c r="I5172" t="s">
        <v>10169</v>
      </c>
      <c r="J5172" t="s">
        <v>10210</v>
      </c>
      <c r="K5172" t="s">
        <v>10217</v>
      </c>
      <c r="M5172" t="s">
        <v>10353</v>
      </c>
      <c r="N5172" t="s">
        <v>10671</v>
      </c>
      <c r="P5172" t="s">
        <v>10751</v>
      </c>
      <c r="Q5172" t="s">
        <v>10761</v>
      </c>
      <c r="R5172" t="s">
        <v>10821</v>
      </c>
      <c r="T5172">
        <v>18980</v>
      </c>
      <c r="U5172">
        <v>1581.67</v>
      </c>
      <c r="V5172">
        <v>32</v>
      </c>
      <c r="W5172">
        <v>1</v>
      </c>
      <c r="X5172">
        <v>3</v>
      </c>
      <c r="Z5172">
        <v>73.70999999999999</v>
      </c>
      <c r="AA5172">
        <v>40.856434</v>
      </c>
      <c r="AB5172">
        <v>-73.863547</v>
      </c>
      <c r="AD5172" t="s">
        <v>10839</v>
      </c>
      <c r="AF5172" t="s">
        <v>10843</v>
      </c>
      <c r="AG5172" t="s">
        <v>10859</v>
      </c>
      <c r="AH5172" t="s">
        <v>10862</v>
      </c>
      <c r="AI5172">
        <v>230</v>
      </c>
      <c r="AJ5172" t="s">
        <v>10210</v>
      </c>
      <c r="AL5172">
        <v>0</v>
      </c>
      <c r="AM5172" t="s">
        <v>10885</v>
      </c>
      <c r="AN5172" t="s">
        <v>10938</v>
      </c>
      <c r="AO5172" t="s">
        <v>11002</v>
      </c>
      <c r="AP5172" t="s">
        <v>11049</v>
      </c>
      <c r="AR5172" t="s">
        <v>11257</v>
      </c>
      <c r="AS5172" t="s">
        <v>9926</v>
      </c>
      <c r="AT5172" t="s">
        <v>11641</v>
      </c>
      <c r="AX5172" t="s">
        <v>10838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</row>
    <row r="5173" spans="1:59">
      <c r="A5173" s="1">
        <f>HYPERLINK("https://lsnyc.legalserver.org/matter/dynamic-profile/view/1909406","19-1909406")</f>
        <v>0</v>
      </c>
      <c r="B5173" t="s">
        <v>4113</v>
      </c>
      <c r="C5173" t="s">
        <v>8938</v>
      </c>
      <c r="D5173" t="s">
        <v>9929</v>
      </c>
      <c r="E5173" t="s">
        <v>10075</v>
      </c>
      <c r="F5173">
        <v>10312</v>
      </c>
      <c r="G5173" t="s">
        <v>10088</v>
      </c>
      <c r="H5173" t="s">
        <v>10159</v>
      </c>
      <c r="I5173" t="s">
        <v>10168</v>
      </c>
      <c r="J5173" t="s">
        <v>10208</v>
      </c>
      <c r="K5173" t="s">
        <v>10217</v>
      </c>
      <c r="M5173" t="s">
        <v>10542</v>
      </c>
      <c r="N5173" t="s">
        <v>10729</v>
      </c>
      <c r="P5173" t="s">
        <v>10754</v>
      </c>
      <c r="Q5173" t="s">
        <v>10775</v>
      </c>
      <c r="R5173" t="s">
        <v>10820</v>
      </c>
      <c r="T5173">
        <v>64200</v>
      </c>
      <c r="U5173">
        <v>5350</v>
      </c>
      <c r="V5173">
        <v>45</v>
      </c>
      <c r="W5173">
        <v>2</v>
      </c>
      <c r="X5173">
        <v>2</v>
      </c>
      <c r="Z5173">
        <v>249.32</v>
      </c>
      <c r="AA5173">
        <v>40.547613</v>
      </c>
      <c r="AB5173">
        <v>-74.19820300000001</v>
      </c>
      <c r="AD5173" t="s">
        <v>10839</v>
      </c>
      <c r="AG5173" t="s">
        <v>10858</v>
      </c>
      <c r="AH5173" t="s">
        <v>10865</v>
      </c>
      <c r="AI5173">
        <v>285</v>
      </c>
      <c r="AJ5173" t="s">
        <v>10208</v>
      </c>
      <c r="AL5173">
        <v>1.9</v>
      </c>
      <c r="AM5173" t="s">
        <v>10883</v>
      </c>
      <c r="AN5173" t="s">
        <v>10906</v>
      </c>
      <c r="AO5173" t="s">
        <v>10999</v>
      </c>
      <c r="AP5173" t="s">
        <v>11044</v>
      </c>
      <c r="AR5173" t="s">
        <v>11257</v>
      </c>
      <c r="AS5173" t="s">
        <v>11593</v>
      </c>
      <c r="AT5173" t="s">
        <v>11641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</row>
    <row r="5174" spans="1:59">
      <c r="A5174" s="1">
        <f>HYPERLINK("https://lsnyc.legalserver.org/matter/dynamic-profile/view/1909407","19-1909407")</f>
        <v>0</v>
      </c>
      <c r="B5174" t="s">
        <v>4114</v>
      </c>
      <c r="C5174" t="s">
        <v>8939</v>
      </c>
      <c r="D5174" t="s">
        <v>10057</v>
      </c>
      <c r="E5174" t="s">
        <v>10076</v>
      </c>
      <c r="F5174">
        <v>8809</v>
      </c>
      <c r="G5174" t="s">
        <v>10093</v>
      </c>
      <c r="H5174" t="s">
        <v>10159</v>
      </c>
      <c r="I5174" t="s">
        <v>10168</v>
      </c>
      <c r="J5174" t="s">
        <v>10213</v>
      </c>
      <c r="K5174" t="s">
        <v>10217</v>
      </c>
      <c r="M5174" t="s">
        <v>10436</v>
      </c>
      <c r="N5174" t="s">
        <v>10710</v>
      </c>
      <c r="P5174" t="s">
        <v>10750</v>
      </c>
      <c r="Q5174" t="s">
        <v>10760</v>
      </c>
      <c r="R5174" t="s">
        <v>10825</v>
      </c>
      <c r="T5174">
        <v>0</v>
      </c>
      <c r="U5174">
        <v>0</v>
      </c>
      <c r="V5174">
        <v>65</v>
      </c>
      <c r="W5174">
        <v>1</v>
      </c>
      <c r="X5174">
        <v>0</v>
      </c>
      <c r="Z5174">
        <v>0</v>
      </c>
      <c r="AA5174">
        <v>40.648476</v>
      </c>
      <c r="AB5174">
        <v>-74.90697400000001</v>
      </c>
      <c r="AD5174" t="s">
        <v>10840</v>
      </c>
      <c r="AG5174" t="s">
        <v>10858</v>
      </c>
      <c r="AH5174" t="s">
        <v>10861</v>
      </c>
      <c r="AI5174">
        <v>234</v>
      </c>
      <c r="AJ5174" t="s">
        <v>10214</v>
      </c>
      <c r="AL5174">
        <v>0.5</v>
      </c>
      <c r="AR5174" t="s">
        <v>11267</v>
      </c>
      <c r="AS5174" t="s">
        <v>11636</v>
      </c>
      <c r="AT5174" t="s">
        <v>11642</v>
      </c>
      <c r="AX5174" t="s">
        <v>10838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</row>
    <row r="5175" spans="1:59">
      <c r="A5175" s="1">
        <f>HYPERLINK("https://lsnyc.legalserver.org/matter/dynamic-profile/view/1909408","19-1909408")</f>
        <v>0</v>
      </c>
      <c r="B5175" t="s">
        <v>4115</v>
      </c>
      <c r="C5175" t="s">
        <v>8940</v>
      </c>
      <c r="D5175" t="s">
        <v>9925</v>
      </c>
      <c r="E5175" t="s">
        <v>10075</v>
      </c>
      <c r="F5175">
        <v>10032</v>
      </c>
      <c r="G5175" t="s">
        <v>10089</v>
      </c>
      <c r="H5175" t="s">
        <v>10159</v>
      </c>
      <c r="I5175" t="s">
        <v>10169</v>
      </c>
      <c r="J5175" t="s">
        <v>10209</v>
      </c>
      <c r="K5175" t="s">
        <v>10217</v>
      </c>
      <c r="M5175" t="s">
        <v>10604</v>
      </c>
      <c r="N5175" t="s">
        <v>10650</v>
      </c>
      <c r="P5175" t="s">
        <v>10749</v>
      </c>
      <c r="Q5175" t="s">
        <v>10765</v>
      </c>
      <c r="R5175" t="s">
        <v>10821</v>
      </c>
      <c r="T5175">
        <v>0</v>
      </c>
      <c r="U5175">
        <v>0</v>
      </c>
      <c r="V5175">
        <v>58</v>
      </c>
      <c r="W5175">
        <v>1</v>
      </c>
      <c r="X5175">
        <v>1</v>
      </c>
      <c r="Z5175">
        <v>0</v>
      </c>
      <c r="AA5175">
        <v>40.837051</v>
      </c>
      <c r="AB5175">
        <v>-73.945741</v>
      </c>
      <c r="AD5175" t="s">
        <v>10839</v>
      </c>
      <c r="AG5175" t="s">
        <v>10858</v>
      </c>
      <c r="AH5175" t="s">
        <v>10862</v>
      </c>
      <c r="AI5175">
        <v>236</v>
      </c>
      <c r="AJ5175" t="s">
        <v>10209</v>
      </c>
      <c r="AL5175">
        <v>0.1</v>
      </c>
      <c r="AM5175" t="s">
        <v>10887</v>
      </c>
      <c r="AN5175" t="s">
        <v>10943</v>
      </c>
      <c r="AO5175" t="s">
        <v>11019</v>
      </c>
      <c r="AP5175" t="s">
        <v>11073</v>
      </c>
      <c r="AR5175" t="s">
        <v>11279</v>
      </c>
      <c r="AS5175" t="s">
        <v>9925</v>
      </c>
      <c r="AT5175" t="s">
        <v>11641</v>
      </c>
      <c r="AX5175" t="s">
        <v>10838</v>
      </c>
      <c r="BA5175" t="s">
        <v>11740</v>
      </c>
      <c r="BB5175">
        <v>0</v>
      </c>
      <c r="BC5175">
        <v>0</v>
      </c>
      <c r="BD5175">
        <v>0</v>
      </c>
      <c r="BE5175">
        <v>0</v>
      </c>
      <c r="BF5175">
        <v>2</v>
      </c>
      <c r="BG5175">
        <v>0</v>
      </c>
    </row>
    <row r="5176" spans="1:59">
      <c r="A5176" s="1">
        <f>HYPERLINK("https://lsnyc.legalserver.org/matter/dynamic-profile/view/1909409","19-1909409")</f>
        <v>0</v>
      </c>
      <c r="B5176" t="s">
        <v>4116</v>
      </c>
      <c r="C5176" t="s">
        <v>8941</v>
      </c>
      <c r="D5176" t="s">
        <v>9926</v>
      </c>
      <c r="E5176" t="s">
        <v>10075</v>
      </c>
      <c r="F5176">
        <v>10470</v>
      </c>
      <c r="G5176" t="s">
        <v>10090</v>
      </c>
      <c r="H5176" t="s">
        <v>10155</v>
      </c>
      <c r="I5176" t="s">
        <v>10169</v>
      </c>
      <c r="J5176" t="s">
        <v>10210</v>
      </c>
      <c r="K5176" t="s">
        <v>10217</v>
      </c>
      <c r="M5176" t="s">
        <v>10561</v>
      </c>
      <c r="N5176" t="s">
        <v>10683</v>
      </c>
      <c r="P5176" t="s">
        <v>10754</v>
      </c>
      <c r="Q5176" t="s">
        <v>10775</v>
      </c>
      <c r="R5176" t="s">
        <v>10823</v>
      </c>
      <c r="T5176">
        <v>24360</v>
      </c>
      <c r="U5176">
        <v>2030</v>
      </c>
      <c r="V5176">
        <v>37</v>
      </c>
      <c r="W5176">
        <v>2</v>
      </c>
      <c r="X5176">
        <v>2</v>
      </c>
      <c r="Z5176">
        <v>94.59999999999999</v>
      </c>
      <c r="AA5176">
        <v>40.899014</v>
      </c>
      <c r="AB5176">
        <v>-73.867796</v>
      </c>
      <c r="AD5176" t="s">
        <v>10839</v>
      </c>
      <c r="AF5176" t="s">
        <v>10843</v>
      </c>
      <c r="AG5176" t="s">
        <v>10859</v>
      </c>
      <c r="AH5176" t="s">
        <v>10865</v>
      </c>
      <c r="AI5176">
        <v>230</v>
      </c>
      <c r="AJ5176" t="s">
        <v>10210</v>
      </c>
      <c r="AL5176">
        <v>3</v>
      </c>
      <c r="AM5176" t="s">
        <v>10893</v>
      </c>
      <c r="AN5176" t="s">
        <v>10919</v>
      </c>
      <c r="AO5176" t="s">
        <v>11002</v>
      </c>
      <c r="AP5176" t="s">
        <v>11057</v>
      </c>
      <c r="AQ5176" t="s">
        <v>11247</v>
      </c>
      <c r="AR5176" t="s">
        <v>11295</v>
      </c>
      <c r="AS5176" t="s">
        <v>9926</v>
      </c>
      <c r="AT5176" t="s">
        <v>11641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</row>
    <row r="5177" spans="1:59">
      <c r="A5177" s="1">
        <f>HYPERLINK("https://lsnyc.legalserver.org/matter/dynamic-profile/view/1909410","19-1909410")</f>
        <v>0</v>
      </c>
      <c r="B5177" t="s">
        <v>4117</v>
      </c>
      <c r="C5177" t="s">
        <v>8636</v>
      </c>
      <c r="D5177" t="s">
        <v>9925</v>
      </c>
      <c r="E5177" t="s">
        <v>10075</v>
      </c>
      <c r="F5177">
        <v>10040</v>
      </c>
      <c r="G5177" t="s">
        <v>10089</v>
      </c>
      <c r="H5177" t="s">
        <v>10159</v>
      </c>
      <c r="I5177" t="s">
        <v>10169</v>
      </c>
      <c r="J5177" t="s">
        <v>10209</v>
      </c>
      <c r="K5177" t="s">
        <v>10217</v>
      </c>
      <c r="M5177" t="s">
        <v>10573</v>
      </c>
      <c r="N5177" t="s">
        <v>10650</v>
      </c>
      <c r="P5177" t="s">
        <v>10749</v>
      </c>
      <c r="Q5177" t="s">
        <v>10765</v>
      </c>
      <c r="R5177" t="s">
        <v>10821</v>
      </c>
      <c r="T5177">
        <v>18000</v>
      </c>
      <c r="U5177">
        <v>1500</v>
      </c>
      <c r="V5177">
        <v>32</v>
      </c>
      <c r="W5177">
        <v>2</v>
      </c>
      <c r="X5177">
        <v>2</v>
      </c>
      <c r="Z5177">
        <v>69.90000000000001</v>
      </c>
      <c r="AA5177">
        <v>40.857158</v>
      </c>
      <c r="AB5177">
        <v>-73.932643</v>
      </c>
      <c r="AD5177" t="s">
        <v>10839</v>
      </c>
      <c r="AG5177" t="s">
        <v>10858</v>
      </c>
      <c r="AH5177" t="s">
        <v>10862</v>
      </c>
      <c r="AI5177">
        <v>236</v>
      </c>
      <c r="AJ5177" t="s">
        <v>10209</v>
      </c>
      <c r="AL5177">
        <v>0.1</v>
      </c>
      <c r="AM5177" t="s">
        <v>10887</v>
      </c>
      <c r="AN5177" t="s">
        <v>10937</v>
      </c>
      <c r="AO5177" t="s">
        <v>11019</v>
      </c>
      <c r="AP5177" t="s">
        <v>11074</v>
      </c>
      <c r="AR5177" t="s">
        <v>11257</v>
      </c>
      <c r="AS5177" t="s">
        <v>9925</v>
      </c>
      <c r="AT5177" t="s">
        <v>11641</v>
      </c>
      <c r="AX5177" t="s">
        <v>10838</v>
      </c>
      <c r="BA5177" t="s">
        <v>11738</v>
      </c>
      <c r="BB5177">
        <v>0</v>
      </c>
      <c r="BC5177">
        <v>0</v>
      </c>
      <c r="BD5177">
        <v>0</v>
      </c>
      <c r="BE5177">
        <v>0</v>
      </c>
      <c r="BF5177">
        <v>5</v>
      </c>
      <c r="BG5177">
        <v>0</v>
      </c>
    </row>
    <row r="5178" spans="1:59">
      <c r="A5178" s="1">
        <f>HYPERLINK("https://lsnyc.legalserver.org/matter/dynamic-profile/view/1909411","19-1909411")</f>
        <v>0</v>
      </c>
      <c r="B5178" t="s">
        <v>4118</v>
      </c>
      <c r="C5178" t="s">
        <v>8942</v>
      </c>
      <c r="D5178" t="s">
        <v>9935</v>
      </c>
      <c r="E5178" t="s">
        <v>10075</v>
      </c>
      <c r="F5178">
        <v>11370</v>
      </c>
      <c r="G5178" t="s">
        <v>10092</v>
      </c>
      <c r="H5178" t="s">
        <v>10152</v>
      </c>
      <c r="I5178" t="s">
        <v>10168</v>
      </c>
      <c r="J5178" t="s">
        <v>10212</v>
      </c>
      <c r="K5178" t="s">
        <v>10217</v>
      </c>
      <c r="M5178" t="s">
        <v>10232</v>
      </c>
      <c r="N5178" t="s">
        <v>10699</v>
      </c>
      <c r="P5178" t="s">
        <v>10754</v>
      </c>
      <c r="Q5178" t="s">
        <v>10777</v>
      </c>
      <c r="R5178" t="s">
        <v>10828</v>
      </c>
      <c r="T5178">
        <v>11700</v>
      </c>
      <c r="U5178">
        <v>975</v>
      </c>
      <c r="V5178">
        <v>44</v>
      </c>
      <c r="W5178">
        <v>2</v>
      </c>
      <c r="X5178">
        <v>2</v>
      </c>
      <c r="Z5178">
        <v>45.44</v>
      </c>
      <c r="AA5178">
        <v>40.756813</v>
      </c>
      <c r="AB5178">
        <v>-73.88776300000001</v>
      </c>
      <c r="AD5178" t="s">
        <v>10839</v>
      </c>
      <c r="AG5178" t="s">
        <v>10858</v>
      </c>
      <c r="AH5178" t="s">
        <v>10864</v>
      </c>
      <c r="AI5178">
        <v>237</v>
      </c>
      <c r="AJ5178" t="s">
        <v>10212</v>
      </c>
      <c r="AL5178">
        <v>1.75</v>
      </c>
      <c r="AM5178" t="s">
        <v>10885</v>
      </c>
      <c r="AN5178" t="s">
        <v>10909</v>
      </c>
      <c r="AO5178" t="s">
        <v>11014</v>
      </c>
      <c r="AP5178" t="s">
        <v>11053</v>
      </c>
      <c r="AQ5178" t="s">
        <v>11128</v>
      </c>
      <c r="AR5178" t="s">
        <v>11257</v>
      </c>
      <c r="AS5178" t="s">
        <v>11594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</row>
    <row r="5179" spans="1:59">
      <c r="A5179" s="1">
        <f>HYPERLINK("https://lsnyc.legalserver.org/matter/dynamic-profile/view/1909412","19-1909412")</f>
        <v>0</v>
      </c>
      <c r="B5179" t="s">
        <v>4119</v>
      </c>
      <c r="C5179" t="s">
        <v>8943</v>
      </c>
      <c r="D5179" t="s">
        <v>9926</v>
      </c>
      <c r="E5179" t="s">
        <v>10075</v>
      </c>
      <c r="F5179">
        <v>10453</v>
      </c>
      <c r="G5179" t="s">
        <v>10090</v>
      </c>
      <c r="H5179" t="s">
        <v>10159</v>
      </c>
      <c r="I5179" t="s">
        <v>10168</v>
      </c>
      <c r="J5179" t="s">
        <v>10210</v>
      </c>
      <c r="K5179" t="s">
        <v>10218</v>
      </c>
      <c r="L5179" t="s">
        <v>10116</v>
      </c>
      <c r="M5179" t="s">
        <v>10250</v>
      </c>
      <c r="N5179" t="s">
        <v>10671</v>
      </c>
      <c r="P5179" t="s">
        <v>10749</v>
      </c>
      <c r="Q5179" t="s">
        <v>10765</v>
      </c>
      <c r="R5179" t="s">
        <v>10821</v>
      </c>
      <c r="T5179">
        <v>21564</v>
      </c>
      <c r="U5179">
        <v>1797</v>
      </c>
      <c r="V5179">
        <v>33</v>
      </c>
      <c r="W5179">
        <v>1</v>
      </c>
      <c r="X5179">
        <v>2</v>
      </c>
      <c r="Y5179" t="s">
        <v>10829</v>
      </c>
      <c r="Z5179">
        <v>101.1</v>
      </c>
      <c r="AA5179">
        <v>40.854137</v>
      </c>
      <c r="AB5179">
        <v>-73.90288</v>
      </c>
      <c r="AD5179" t="s">
        <v>10839</v>
      </c>
      <c r="AG5179" t="s">
        <v>10858</v>
      </c>
      <c r="AH5179" t="s">
        <v>10861</v>
      </c>
      <c r="AI5179">
        <v>234</v>
      </c>
      <c r="AJ5179" t="s">
        <v>10214</v>
      </c>
      <c r="AK5179" t="s">
        <v>10838</v>
      </c>
      <c r="AL5179">
        <v>1.2</v>
      </c>
      <c r="AM5179" t="s">
        <v>10884</v>
      </c>
      <c r="AN5179" t="s">
        <v>10931</v>
      </c>
      <c r="AO5179" t="s">
        <v>11000</v>
      </c>
      <c r="AP5179" t="s">
        <v>11045</v>
      </c>
      <c r="AR5179" t="s">
        <v>11359</v>
      </c>
      <c r="AS5179" t="s">
        <v>9926</v>
      </c>
      <c r="AT5179" t="s">
        <v>11641</v>
      </c>
      <c r="AX5179" t="s">
        <v>10838</v>
      </c>
      <c r="AY5179" t="s">
        <v>10829</v>
      </c>
      <c r="AZ5179" t="s">
        <v>11681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</row>
    <row r="5180" spans="1:59">
      <c r="A5180" s="1">
        <f>HYPERLINK("https://lsnyc.legalserver.org/matter/dynamic-profile/view/1909413","19-1909413")</f>
        <v>0</v>
      </c>
      <c r="B5180" t="s">
        <v>4120</v>
      </c>
      <c r="C5180" t="s">
        <v>8944</v>
      </c>
      <c r="D5180" t="s">
        <v>9928</v>
      </c>
      <c r="E5180" t="s">
        <v>10075</v>
      </c>
      <c r="F5180">
        <v>11210</v>
      </c>
      <c r="G5180" t="s">
        <v>10093</v>
      </c>
      <c r="H5180" t="s">
        <v>10159</v>
      </c>
      <c r="I5180" t="s">
        <v>10168</v>
      </c>
      <c r="J5180" t="s">
        <v>10213</v>
      </c>
      <c r="K5180" t="s">
        <v>10217</v>
      </c>
      <c r="M5180" t="s">
        <v>10382</v>
      </c>
      <c r="N5180" t="s">
        <v>10720</v>
      </c>
      <c r="P5180" t="s">
        <v>10749</v>
      </c>
      <c r="Q5180" t="s">
        <v>10759</v>
      </c>
      <c r="R5180" t="s">
        <v>10824</v>
      </c>
      <c r="T5180">
        <v>10752</v>
      </c>
      <c r="U5180">
        <v>896</v>
      </c>
      <c r="V5180">
        <v>58</v>
      </c>
      <c r="W5180">
        <v>1</v>
      </c>
      <c r="X5180">
        <v>0</v>
      </c>
      <c r="Z5180">
        <v>86.08</v>
      </c>
      <c r="AA5180">
        <v>40.632062</v>
      </c>
      <c r="AB5180">
        <v>-73.94525899999999</v>
      </c>
      <c r="AC5180" t="s">
        <v>10838</v>
      </c>
      <c r="AD5180" t="s">
        <v>10840</v>
      </c>
      <c r="AG5180" t="s">
        <v>10858</v>
      </c>
      <c r="AH5180" t="s">
        <v>10860</v>
      </c>
      <c r="AI5180">
        <v>239</v>
      </c>
      <c r="AJ5180" t="s">
        <v>10213</v>
      </c>
      <c r="AL5180">
        <v>7.3</v>
      </c>
      <c r="AM5180" t="s">
        <v>10888</v>
      </c>
      <c r="AN5180" t="s">
        <v>10932</v>
      </c>
      <c r="AO5180" t="s">
        <v>11008</v>
      </c>
      <c r="AP5180" t="s">
        <v>11065</v>
      </c>
      <c r="AQ5180" t="s">
        <v>11098</v>
      </c>
      <c r="AR5180" t="s">
        <v>11298</v>
      </c>
      <c r="AS5180" t="s">
        <v>11595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</row>
    <row r="5181" spans="1:59">
      <c r="A5181" s="1">
        <f>HYPERLINK("https://lsnyc.legalserver.org/matter/dynamic-profile/view/1909414","19-1909414")</f>
        <v>0</v>
      </c>
      <c r="B5181" t="s">
        <v>4121</v>
      </c>
      <c r="C5181" t="s">
        <v>6137</v>
      </c>
      <c r="D5181" t="s">
        <v>9925</v>
      </c>
      <c r="E5181" t="s">
        <v>10075</v>
      </c>
      <c r="F5181">
        <v>10033</v>
      </c>
      <c r="G5181" t="s">
        <v>10089</v>
      </c>
      <c r="H5181" t="s">
        <v>10159</v>
      </c>
      <c r="I5181" t="s">
        <v>10168</v>
      </c>
      <c r="J5181" t="s">
        <v>10209</v>
      </c>
      <c r="K5181" t="s">
        <v>10217</v>
      </c>
      <c r="M5181" t="s">
        <v>10459</v>
      </c>
      <c r="N5181" t="s">
        <v>10656</v>
      </c>
      <c r="P5181" t="s">
        <v>10751</v>
      </c>
      <c r="Q5181" t="s">
        <v>10780</v>
      </c>
      <c r="R5181" t="s">
        <v>10821</v>
      </c>
      <c r="T5181">
        <v>13992</v>
      </c>
      <c r="U5181">
        <v>1166</v>
      </c>
      <c r="V5181">
        <v>18</v>
      </c>
      <c r="W5181">
        <v>1</v>
      </c>
      <c r="X5181">
        <v>2</v>
      </c>
      <c r="Z5181">
        <v>65.59999999999999</v>
      </c>
      <c r="AA5181">
        <v>40.848355</v>
      </c>
      <c r="AB5181">
        <v>-73.938175</v>
      </c>
      <c r="AD5181" t="s">
        <v>10839</v>
      </c>
      <c r="AG5181" t="s">
        <v>10858</v>
      </c>
      <c r="AH5181" t="s">
        <v>10866</v>
      </c>
      <c r="AI5181">
        <v>236</v>
      </c>
      <c r="AJ5181" t="s">
        <v>10209</v>
      </c>
      <c r="AL5181">
        <v>3</v>
      </c>
      <c r="AM5181" t="s">
        <v>10887</v>
      </c>
      <c r="AN5181" t="s">
        <v>10943</v>
      </c>
      <c r="AO5181" t="s">
        <v>11019</v>
      </c>
      <c r="AP5181" t="s">
        <v>11074</v>
      </c>
      <c r="AR5181" t="s">
        <v>11274</v>
      </c>
      <c r="AS5181" t="s">
        <v>9925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</row>
    <row r="5182" spans="1:59">
      <c r="A5182" s="1">
        <f>HYPERLINK("https://lsnyc.legalserver.org/matter/dynamic-profile/view/1909415","19-1909415")</f>
        <v>0</v>
      </c>
      <c r="B5182" t="s">
        <v>2025</v>
      </c>
      <c r="C5182" t="s">
        <v>8945</v>
      </c>
      <c r="D5182" t="s">
        <v>9925</v>
      </c>
      <c r="E5182" t="s">
        <v>10075</v>
      </c>
      <c r="F5182">
        <v>10029</v>
      </c>
      <c r="G5182" t="s">
        <v>10089</v>
      </c>
      <c r="H5182" t="s">
        <v>10159</v>
      </c>
      <c r="I5182" t="s">
        <v>10168</v>
      </c>
      <c r="J5182" t="s">
        <v>10209</v>
      </c>
      <c r="K5182" t="s">
        <v>10217</v>
      </c>
      <c r="M5182" t="s">
        <v>10472</v>
      </c>
      <c r="N5182" t="s">
        <v>10671</v>
      </c>
      <c r="P5182" t="s">
        <v>10751</v>
      </c>
      <c r="Q5182" t="s">
        <v>10761</v>
      </c>
      <c r="R5182" t="s">
        <v>10822</v>
      </c>
      <c r="T5182">
        <v>12912</v>
      </c>
      <c r="U5182">
        <v>1076</v>
      </c>
      <c r="V5182">
        <v>30</v>
      </c>
      <c r="W5182">
        <v>1</v>
      </c>
      <c r="X5182">
        <v>4</v>
      </c>
      <c r="Z5182">
        <v>42.8</v>
      </c>
      <c r="AA5182">
        <v>40.79768</v>
      </c>
      <c r="AB5182">
        <v>-73.946162</v>
      </c>
      <c r="AD5182" t="s">
        <v>10839</v>
      </c>
      <c r="AG5182" t="s">
        <v>10858</v>
      </c>
      <c r="AH5182" t="s">
        <v>10861</v>
      </c>
      <c r="AI5182">
        <v>234</v>
      </c>
      <c r="AJ5182" t="s">
        <v>10214</v>
      </c>
      <c r="AL5182">
        <v>2.75</v>
      </c>
      <c r="AM5182" t="s">
        <v>10887</v>
      </c>
      <c r="AN5182" t="s">
        <v>10926</v>
      </c>
      <c r="AO5182" t="s">
        <v>11016</v>
      </c>
      <c r="AP5182" t="s">
        <v>11066</v>
      </c>
      <c r="AR5182" t="s">
        <v>11338</v>
      </c>
      <c r="AS5182" t="s">
        <v>9925</v>
      </c>
      <c r="AT5182" t="s">
        <v>11641</v>
      </c>
      <c r="AX5182" t="s">
        <v>10838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</row>
    <row r="5183" spans="1:59">
      <c r="A5183" s="1">
        <f>HYPERLINK("https://lsnyc.legalserver.org/matter/dynamic-profile/view/1909416","19-1909416")</f>
        <v>0</v>
      </c>
      <c r="B5183" t="s">
        <v>4122</v>
      </c>
      <c r="C5183" t="s">
        <v>8946</v>
      </c>
      <c r="D5183" t="s">
        <v>9928</v>
      </c>
      <c r="E5183" t="s">
        <v>10075</v>
      </c>
      <c r="F5183">
        <v>11207</v>
      </c>
      <c r="G5183" t="s">
        <v>10093</v>
      </c>
      <c r="H5183" t="s">
        <v>10159</v>
      </c>
      <c r="I5183" t="s">
        <v>10168</v>
      </c>
      <c r="J5183" t="s">
        <v>10213</v>
      </c>
      <c r="K5183" t="s">
        <v>10217</v>
      </c>
      <c r="M5183" t="s">
        <v>10446</v>
      </c>
      <c r="N5183" t="s">
        <v>10650</v>
      </c>
      <c r="P5183" t="s">
        <v>10749</v>
      </c>
      <c r="Q5183" t="s">
        <v>10765</v>
      </c>
      <c r="R5183" t="s">
        <v>10824</v>
      </c>
      <c r="T5183">
        <v>15600</v>
      </c>
      <c r="U5183">
        <v>1300</v>
      </c>
      <c r="V5183">
        <v>23</v>
      </c>
      <c r="W5183">
        <v>1</v>
      </c>
      <c r="X5183">
        <v>0</v>
      </c>
      <c r="Z5183">
        <v>124.9</v>
      </c>
      <c r="AA5183">
        <v>40.660747</v>
      </c>
      <c r="AB5183">
        <v>-73.888256</v>
      </c>
      <c r="AD5183" t="s">
        <v>10839</v>
      </c>
      <c r="AF5183" t="s">
        <v>10843</v>
      </c>
      <c r="AG5183" t="s">
        <v>10859</v>
      </c>
      <c r="AH5183" t="s">
        <v>10862</v>
      </c>
      <c r="AI5183">
        <v>239</v>
      </c>
      <c r="AJ5183" t="s">
        <v>10213</v>
      </c>
      <c r="AL5183">
        <v>0.5</v>
      </c>
      <c r="AM5183" t="s">
        <v>10889</v>
      </c>
      <c r="AN5183" t="s">
        <v>10946</v>
      </c>
      <c r="AO5183" t="s">
        <v>11012</v>
      </c>
      <c r="AP5183" t="s">
        <v>11060</v>
      </c>
      <c r="AR5183" t="s">
        <v>11257</v>
      </c>
      <c r="AS5183" t="s">
        <v>11595</v>
      </c>
      <c r="AT5183" t="s">
        <v>11641</v>
      </c>
      <c r="AX5183" t="s">
        <v>10837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</row>
    <row r="5184" spans="1:59">
      <c r="A5184" s="1">
        <f>HYPERLINK("https://lsnyc.legalserver.org/matter/dynamic-profile/view/1909418","19-1909418")</f>
        <v>0</v>
      </c>
      <c r="B5184" t="s">
        <v>4123</v>
      </c>
      <c r="C5184" t="s">
        <v>8947</v>
      </c>
      <c r="D5184" t="s">
        <v>9933</v>
      </c>
      <c r="E5184" t="s">
        <v>10075</v>
      </c>
      <c r="F5184">
        <v>11420</v>
      </c>
      <c r="G5184" t="s">
        <v>10092</v>
      </c>
      <c r="H5184" t="s">
        <v>10159</v>
      </c>
      <c r="J5184" t="s">
        <v>10212</v>
      </c>
      <c r="K5184" t="s">
        <v>10217</v>
      </c>
      <c r="M5184" t="s">
        <v>10363</v>
      </c>
      <c r="N5184" t="s">
        <v>10657</v>
      </c>
      <c r="P5184" t="s">
        <v>10754</v>
      </c>
      <c r="Q5184" t="s">
        <v>10777</v>
      </c>
      <c r="R5184" t="s">
        <v>10827</v>
      </c>
      <c r="T5184">
        <v>0</v>
      </c>
      <c r="U5184">
        <v>0</v>
      </c>
      <c r="V5184">
        <v>26</v>
      </c>
      <c r="W5184">
        <v>1</v>
      </c>
      <c r="X5184">
        <v>0</v>
      </c>
      <c r="Z5184">
        <v>0</v>
      </c>
      <c r="AA5184">
        <v>40.667817</v>
      </c>
      <c r="AB5184">
        <v>-73.786349</v>
      </c>
      <c r="AD5184" t="s">
        <v>10840</v>
      </c>
      <c r="AG5184" t="s">
        <v>10858</v>
      </c>
      <c r="AH5184" t="s">
        <v>10868</v>
      </c>
      <c r="AI5184">
        <v>237</v>
      </c>
      <c r="AJ5184" t="s">
        <v>10212</v>
      </c>
      <c r="AL5184">
        <v>0.9</v>
      </c>
      <c r="AR5184" t="s">
        <v>11267</v>
      </c>
      <c r="AS5184" t="s">
        <v>11594</v>
      </c>
      <c r="BA5184" t="s">
        <v>11741</v>
      </c>
      <c r="BB5184">
        <v>0</v>
      </c>
      <c r="BC5184">
        <v>0</v>
      </c>
      <c r="BD5184">
        <v>0</v>
      </c>
      <c r="BE5184">
        <v>0</v>
      </c>
      <c r="BF5184">
        <v>1</v>
      </c>
      <c r="BG5184">
        <v>0</v>
      </c>
    </row>
    <row r="5185" spans="1:59">
      <c r="A5185" s="1">
        <f>HYPERLINK("https://lsnyc.legalserver.org/matter/dynamic-profile/view/1909419","19-1909419")</f>
        <v>0</v>
      </c>
      <c r="B5185" t="s">
        <v>775</v>
      </c>
      <c r="C5185" t="s">
        <v>8934</v>
      </c>
      <c r="D5185" t="s">
        <v>9959</v>
      </c>
      <c r="E5185" t="s">
        <v>10075</v>
      </c>
      <c r="F5185">
        <v>11356</v>
      </c>
      <c r="G5185" t="s">
        <v>10092</v>
      </c>
      <c r="H5185" t="s">
        <v>10159</v>
      </c>
      <c r="I5185" t="s">
        <v>10169</v>
      </c>
      <c r="J5185" t="s">
        <v>10212</v>
      </c>
      <c r="K5185" t="s">
        <v>10217</v>
      </c>
      <c r="M5185" t="s">
        <v>10331</v>
      </c>
      <c r="N5185" t="s">
        <v>10675</v>
      </c>
      <c r="P5185" t="s">
        <v>10749</v>
      </c>
      <c r="Q5185" t="s">
        <v>10765</v>
      </c>
      <c r="R5185" t="s">
        <v>10823</v>
      </c>
      <c r="T5185">
        <v>0</v>
      </c>
      <c r="U5185">
        <v>0</v>
      </c>
      <c r="V5185">
        <v>65</v>
      </c>
      <c r="W5185">
        <v>1</v>
      </c>
      <c r="X5185">
        <v>0</v>
      </c>
      <c r="Z5185">
        <v>0</v>
      </c>
      <c r="AA5185">
        <v>40.779718</v>
      </c>
      <c r="AB5185">
        <v>-73.848125</v>
      </c>
      <c r="AD5185" t="s">
        <v>10839</v>
      </c>
      <c r="AG5185" t="s">
        <v>10858</v>
      </c>
      <c r="AH5185" t="s">
        <v>10871</v>
      </c>
      <c r="AI5185">
        <v>234</v>
      </c>
      <c r="AJ5185" t="s">
        <v>10214</v>
      </c>
      <c r="AL5185">
        <v>1</v>
      </c>
      <c r="AR5185" t="s">
        <v>11267</v>
      </c>
      <c r="AS5185" t="s">
        <v>11594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</row>
    <row r="5186" spans="1:59">
      <c r="A5186" s="1">
        <f>HYPERLINK("https://lsnyc.legalserver.org/matter/dynamic-profile/view/1909421","19-1909421")</f>
        <v>0</v>
      </c>
      <c r="B5186" t="s">
        <v>256</v>
      </c>
      <c r="C5186" t="s">
        <v>5189</v>
      </c>
      <c r="D5186" t="s">
        <v>9928</v>
      </c>
      <c r="E5186" t="s">
        <v>10075</v>
      </c>
      <c r="F5186">
        <v>11209</v>
      </c>
      <c r="G5186" t="s">
        <v>10093</v>
      </c>
      <c r="H5186" t="s">
        <v>10165</v>
      </c>
      <c r="J5186" t="s">
        <v>10213</v>
      </c>
      <c r="K5186" t="s">
        <v>10217</v>
      </c>
      <c r="M5186" t="s">
        <v>10256</v>
      </c>
      <c r="N5186" t="s">
        <v>10644</v>
      </c>
      <c r="P5186" t="s">
        <v>10749</v>
      </c>
      <c r="Q5186" t="s">
        <v>10765</v>
      </c>
      <c r="R5186" t="s">
        <v>10820</v>
      </c>
      <c r="T5186">
        <v>25200</v>
      </c>
      <c r="U5186">
        <v>2100</v>
      </c>
      <c r="V5186">
        <v>61</v>
      </c>
      <c r="W5186">
        <v>4</v>
      </c>
      <c r="X5186">
        <v>0</v>
      </c>
      <c r="Z5186">
        <v>97.86</v>
      </c>
      <c r="AA5186">
        <v>40.632816</v>
      </c>
      <c r="AB5186">
        <v>-74.024692</v>
      </c>
      <c r="AD5186" t="s">
        <v>10839</v>
      </c>
      <c r="AG5186" t="s">
        <v>10858</v>
      </c>
      <c r="AH5186" t="s">
        <v>10862</v>
      </c>
      <c r="AI5186">
        <v>239</v>
      </c>
      <c r="AJ5186" t="s">
        <v>10213</v>
      </c>
      <c r="AL5186">
        <v>9</v>
      </c>
      <c r="AM5186" t="s">
        <v>10883</v>
      </c>
      <c r="AN5186" t="s">
        <v>10915</v>
      </c>
      <c r="AO5186" t="s">
        <v>11023</v>
      </c>
      <c r="AP5186" t="s">
        <v>11086</v>
      </c>
      <c r="AQ5186" t="s">
        <v>11101</v>
      </c>
      <c r="AR5186" t="s">
        <v>11268</v>
      </c>
      <c r="AS5186" t="s">
        <v>11595</v>
      </c>
      <c r="BA5186" t="s">
        <v>11741</v>
      </c>
      <c r="BB5186">
        <v>0</v>
      </c>
      <c r="BC5186">
        <v>0</v>
      </c>
      <c r="BD5186">
        <v>0</v>
      </c>
      <c r="BE5186">
        <v>0</v>
      </c>
      <c r="BF5186">
        <v>1</v>
      </c>
      <c r="BG5186">
        <v>0</v>
      </c>
    </row>
    <row r="5187" spans="1:59">
      <c r="A5187" s="1">
        <f>HYPERLINK("https://lsnyc.legalserver.org/matter/dynamic-profile/view/1909422","19-1909422")</f>
        <v>0</v>
      </c>
      <c r="B5187" t="s">
        <v>4124</v>
      </c>
      <c r="C5187" t="s">
        <v>8948</v>
      </c>
      <c r="D5187" t="s">
        <v>9926</v>
      </c>
      <c r="E5187" t="s">
        <v>10075</v>
      </c>
      <c r="F5187">
        <v>10453</v>
      </c>
      <c r="G5187" t="s">
        <v>10090</v>
      </c>
      <c r="H5187" t="s">
        <v>10159</v>
      </c>
      <c r="I5187" t="s">
        <v>10168</v>
      </c>
      <c r="J5187" t="s">
        <v>10210</v>
      </c>
      <c r="K5187" t="s">
        <v>10217</v>
      </c>
      <c r="M5187" t="s">
        <v>10622</v>
      </c>
      <c r="N5187" t="s">
        <v>10650</v>
      </c>
      <c r="O5187" t="s">
        <v>10650</v>
      </c>
      <c r="P5187" t="s">
        <v>10749</v>
      </c>
      <c r="Q5187" t="s">
        <v>10765</v>
      </c>
      <c r="R5187" t="s">
        <v>10821</v>
      </c>
      <c r="T5187">
        <v>1430</v>
      </c>
      <c r="U5187">
        <v>119.17</v>
      </c>
      <c r="V5187">
        <v>55</v>
      </c>
      <c r="W5187">
        <v>2</v>
      </c>
      <c r="X5187">
        <v>0</v>
      </c>
      <c r="Z5187">
        <v>8.460000000000001</v>
      </c>
      <c r="AA5187">
        <v>40.852067</v>
      </c>
      <c r="AB5187">
        <v>-73.911174</v>
      </c>
      <c r="AD5187" t="s">
        <v>10839</v>
      </c>
      <c r="AG5187" t="s">
        <v>10858</v>
      </c>
      <c r="AH5187" t="s">
        <v>10862</v>
      </c>
      <c r="AI5187">
        <v>234</v>
      </c>
      <c r="AJ5187" t="s">
        <v>10214</v>
      </c>
      <c r="AL5187">
        <v>0.5</v>
      </c>
      <c r="AM5187" t="s">
        <v>10884</v>
      </c>
      <c r="AN5187" t="s">
        <v>10931</v>
      </c>
      <c r="AO5187" t="s">
        <v>11013</v>
      </c>
      <c r="AP5187" t="s">
        <v>11045</v>
      </c>
      <c r="AR5187" t="s">
        <v>11255</v>
      </c>
      <c r="AS5187" t="s">
        <v>9926</v>
      </c>
      <c r="AT5187" t="s">
        <v>11641</v>
      </c>
      <c r="AX5187" t="s">
        <v>10838</v>
      </c>
      <c r="BA5187" t="s">
        <v>11741</v>
      </c>
      <c r="BB5187">
        <v>0</v>
      </c>
      <c r="BC5187">
        <v>0</v>
      </c>
      <c r="BD5187">
        <v>0</v>
      </c>
      <c r="BE5187">
        <v>0</v>
      </c>
      <c r="BF5187">
        <v>1</v>
      </c>
      <c r="BG5187">
        <v>0</v>
      </c>
    </row>
    <row r="5188" spans="1:59">
      <c r="A5188" s="1">
        <f>HYPERLINK("https://lsnyc.legalserver.org/matter/dynamic-profile/view/1909423","19-1909423")</f>
        <v>0</v>
      </c>
      <c r="B5188" t="s">
        <v>4125</v>
      </c>
      <c r="C5188" t="s">
        <v>8949</v>
      </c>
      <c r="D5188" t="s">
        <v>9977</v>
      </c>
      <c r="E5188" t="s">
        <v>10075</v>
      </c>
      <c r="F5188">
        <v>11361</v>
      </c>
      <c r="G5188" t="s">
        <v>10093</v>
      </c>
      <c r="H5188" t="s">
        <v>10159</v>
      </c>
      <c r="I5188" t="s">
        <v>10169</v>
      </c>
      <c r="J5188" t="s">
        <v>10213</v>
      </c>
      <c r="K5188" t="s">
        <v>10217</v>
      </c>
      <c r="M5188" t="s">
        <v>10330</v>
      </c>
      <c r="N5188" t="s">
        <v>10710</v>
      </c>
      <c r="P5188" t="s">
        <v>10750</v>
      </c>
      <c r="Q5188" t="s">
        <v>10760</v>
      </c>
      <c r="R5188" t="s">
        <v>10821</v>
      </c>
      <c r="T5188">
        <v>8964</v>
      </c>
      <c r="U5188">
        <v>747</v>
      </c>
      <c r="V5188">
        <v>67</v>
      </c>
      <c r="W5188">
        <v>1</v>
      </c>
      <c r="X5188">
        <v>0</v>
      </c>
      <c r="Z5188">
        <v>71.77</v>
      </c>
      <c r="AA5188">
        <v>40.762353</v>
      </c>
      <c r="AB5188">
        <v>-73.76648900000001</v>
      </c>
      <c r="AD5188" t="s">
        <v>10839</v>
      </c>
      <c r="AG5188" t="s">
        <v>10858</v>
      </c>
      <c r="AH5188" t="s">
        <v>10861</v>
      </c>
      <c r="AI5188">
        <v>234</v>
      </c>
      <c r="AJ5188" t="s">
        <v>10214</v>
      </c>
      <c r="AL5188">
        <v>1.5</v>
      </c>
      <c r="AM5188" t="s">
        <v>10890</v>
      </c>
      <c r="AN5188" t="s">
        <v>10948</v>
      </c>
      <c r="AO5188" t="s">
        <v>11022</v>
      </c>
      <c r="AP5188" t="s">
        <v>11080</v>
      </c>
      <c r="AR5188" t="s">
        <v>11316</v>
      </c>
      <c r="AS5188" t="s">
        <v>11594</v>
      </c>
      <c r="AT5188" t="s">
        <v>11641</v>
      </c>
      <c r="AX5188" t="s">
        <v>10838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</row>
    <row r="5189" spans="1:59">
      <c r="A5189" s="1">
        <f>HYPERLINK("https://lsnyc.legalserver.org/matter/dynamic-profile/view/1909424","19-1909424")</f>
        <v>0</v>
      </c>
      <c r="B5189" t="s">
        <v>4126</v>
      </c>
      <c r="C5189" t="s">
        <v>8950</v>
      </c>
      <c r="D5189" t="s">
        <v>9926</v>
      </c>
      <c r="E5189" t="s">
        <v>10075</v>
      </c>
      <c r="F5189">
        <v>10470</v>
      </c>
      <c r="G5189" t="s">
        <v>10090</v>
      </c>
      <c r="H5189" t="s">
        <v>10159</v>
      </c>
      <c r="I5189" t="s">
        <v>10168</v>
      </c>
      <c r="J5189" t="s">
        <v>10210</v>
      </c>
      <c r="K5189" t="s">
        <v>10217</v>
      </c>
      <c r="M5189" t="s">
        <v>10487</v>
      </c>
      <c r="N5189" t="s">
        <v>10658</v>
      </c>
      <c r="P5189" t="s">
        <v>10749</v>
      </c>
      <c r="Q5189" t="s">
        <v>10769</v>
      </c>
      <c r="R5189" t="s">
        <v>10824</v>
      </c>
      <c r="T5189">
        <v>30000</v>
      </c>
      <c r="U5189">
        <v>2500</v>
      </c>
      <c r="V5189">
        <v>58</v>
      </c>
      <c r="W5189">
        <v>1</v>
      </c>
      <c r="X5189">
        <v>0</v>
      </c>
      <c r="Z5189">
        <v>240.19</v>
      </c>
      <c r="AA5189">
        <v>40.899907</v>
      </c>
      <c r="AB5189">
        <v>-73.86650899999999</v>
      </c>
      <c r="AC5189" t="s">
        <v>10837</v>
      </c>
      <c r="AD5189" t="s">
        <v>10839</v>
      </c>
      <c r="AG5189" t="s">
        <v>10858</v>
      </c>
      <c r="AH5189" t="s">
        <v>10860</v>
      </c>
      <c r="AI5189">
        <v>230</v>
      </c>
      <c r="AJ5189" t="s">
        <v>10210</v>
      </c>
      <c r="AL5189">
        <v>4.5</v>
      </c>
      <c r="AM5189" t="s">
        <v>10893</v>
      </c>
      <c r="AN5189" t="s">
        <v>10919</v>
      </c>
      <c r="AO5189" t="s">
        <v>11002</v>
      </c>
      <c r="AP5189" t="s">
        <v>11057</v>
      </c>
      <c r="AQ5189" t="s">
        <v>11238</v>
      </c>
      <c r="AR5189" t="s">
        <v>11256</v>
      </c>
      <c r="AS5189" t="s">
        <v>9926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</row>
    <row r="5190" spans="1:59">
      <c r="A5190" s="1">
        <f>HYPERLINK("https://lsnyc.legalserver.org/matter/dynamic-profile/view/1909425","19-1909425")</f>
        <v>0</v>
      </c>
      <c r="B5190" t="s">
        <v>1133</v>
      </c>
      <c r="C5190" t="s">
        <v>8251</v>
      </c>
      <c r="D5190" t="s">
        <v>9928</v>
      </c>
      <c r="E5190" t="s">
        <v>10075</v>
      </c>
      <c r="F5190">
        <v>11219</v>
      </c>
      <c r="G5190" t="s">
        <v>10093</v>
      </c>
      <c r="H5190" t="s">
        <v>10159</v>
      </c>
      <c r="I5190" t="s">
        <v>10202</v>
      </c>
      <c r="J5190" t="s">
        <v>10213</v>
      </c>
      <c r="K5190" t="s">
        <v>10217</v>
      </c>
      <c r="M5190" t="s">
        <v>10239</v>
      </c>
      <c r="N5190" t="s">
        <v>10650</v>
      </c>
      <c r="P5190" t="s">
        <v>10749</v>
      </c>
      <c r="Q5190" t="s">
        <v>10765</v>
      </c>
      <c r="R5190" t="s">
        <v>10827</v>
      </c>
      <c r="T5190">
        <v>106000</v>
      </c>
      <c r="U5190">
        <v>8833.33</v>
      </c>
      <c r="V5190">
        <v>48</v>
      </c>
      <c r="W5190">
        <v>2</v>
      </c>
      <c r="X5190">
        <v>0</v>
      </c>
      <c r="Z5190">
        <v>626.85</v>
      </c>
      <c r="AA5190">
        <v>40.640894</v>
      </c>
      <c r="AB5190">
        <v>-73.992346</v>
      </c>
      <c r="AD5190" t="s">
        <v>10840</v>
      </c>
      <c r="AG5190" t="s">
        <v>10858</v>
      </c>
      <c r="AH5190" t="s">
        <v>10862</v>
      </c>
      <c r="AI5190">
        <v>239</v>
      </c>
      <c r="AJ5190" t="s">
        <v>10213</v>
      </c>
      <c r="AL5190">
        <v>0.2</v>
      </c>
      <c r="AM5190" t="s">
        <v>10894</v>
      </c>
      <c r="AN5190" t="s">
        <v>10941</v>
      </c>
      <c r="AO5190" t="s">
        <v>11015</v>
      </c>
      <c r="AP5190" t="s">
        <v>11059</v>
      </c>
      <c r="AQ5190" t="s">
        <v>11120</v>
      </c>
      <c r="AR5190" t="s">
        <v>11257</v>
      </c>
      <c r="AS5190" t="s">
        <v>11595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</row>
    <row r="5191" spans="1:59">
      <c r="A5191" s="1">
        <f>HYPERLINK("https://lsnyc.legalserver.org/matter/dynamic-profile/view/1909426","19-1909426")</f>
        <v>0</v>
      </c>
      <c r="B5191" t="s">
        <v>430</v>
      </c>
      <c r="C5191" t="s">
        <v>8387</v>
      </c>
      <c r="D5191" t="s">
        <v>9926</v>
      </c>
      <c r="E5191" t="s">
        <v>10075</v>
      </c>
      <c r="F5191">
        <v>10461</v>
      </c>
      <c r="G5191" t="s">
        <v>10090</v>
      </c>
      <c r="H5191" t="s">
        <v>10159</v>
      </c>
      <c r="I5191" t="s">
        <v>10169</v>
      </c>
      <c r="J5191" t="s">
        <v>10210</v>
      </c>
      <c r="K5191" t="s">
        <v>10217</v>
      </c>
      <c r="M5191" t="s">
        <v>10596</v>
      </c>
      <c r="N5191" t="s">
        <v>10688</v>
      </c>
      <c r="P5191" t="s">
        <v>10751</v>
      </c>
      <c r="Q5191" t="s">
        <v>10761</v>
      </c>
      <c r="R5191" t="s">
        <v>10821</v>
      </c>
      <c r="T5191">
        <v>0</v>
      </c>
      <c r="U5191">
        <v>0</v>
      </c>
      <c r="V5191">
        <v>42</v>
      </c>
      <c r="W5191">
        <v>1</v>
      </c>
      <c r="X5191">
        <v>2</v>
      </c>
      <c r="Z5191">
        <v>0</v>
      </c>
      <c r="AA5191">
        <v>40.847972</v>
      </c>
      <c r="AB5191">
        <v>-73.83486499999999</v>
      </c>
      <c r="AD5191" t="s">
        <v>10839</v>
      </c>
      <c r="AF5191" t="s">
        <v>10843</v>
      </c>
      <c r="AG5191" t="s">
        <v>10859</v>
      </c>
      <c r="AH5191" t="s">
        <v>10861</v>
      </c>
      <c r="AI5191">
        <v>234</v>
      </c>
      <c r="AJ5191" t="s">
        <v>10214</v>
      </c>
      <c r="AL5191">
        <v>2</v>
      </c>
      <c r="AR5191" t="s">
        <v>11267</v>
      </c>
      <c r="AS5191" t="s">
        <v>9926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</row>
    <row r="5192" spans="1:59">
      <c r="A5192" s="1">
        <f>HYPERLINK("https://lsnyc.legalserver.org/matter/dynamic-profile/view/1909427","19-1909427")</f>
        <v>0</v>
      </c>
      <c r="B5192" t="s">
        <v>4127</v>
      </c>
      <c r="C5192" t="s">
        <v>8951</v>
      </c>
      <c r="D5192" t="s">
        <v>9930</v>
      </c>
      <c r="E5192" t="s">
        <v>10075</v>
      </c>
      <c r="F5192">
        <v>11373</v>
      </c>
      <c r="G5192" t="s">
        <v>10092</v>
      </c>
      <c r="H5192" t="s">
        <v>10159</v>
      </c>
      <c r="I5192" t="s">
        <v>10168</v>
      </c>
      <c r="J5192" t="s">
        <v>10212</v>
      </c>
      <c r="K5192" t="s">
        <v>10217</v>
      </c>
      <c r="M5192" t="s">
        <v>10318</v>
      </c>
      <c r="N5192" t="s">
        <v>10684</v>
      </c>
      <c r="P5192" t="s">
        <v>10751</v>
      </c>
      <c r="Q5192" t="s">
        <v>10786</v>
      </c>
      <c r="R5192" t="s">
        <v>10827</v>
      </c>
      <c r="T5192">
        <v>9600</v>
      </c>
      <c r="U5192">
        <v>800</v>
      </c>
      <c r="V5192">
        <v>79</v>
      </c>
      <c r="W5192">
        <v>1</v>
      </c>
      <c r="X5192">
        <v>0</v>
      </c>
      <c r="Z5192">
        <v>76.86</v>
      </c>
      <c r="AA5192">
        <v>40.742539</v>
      </c>
      <c r="AB5192">
        <v>-73.88155999999999</v>
      </c>
      <c r="AD5192" t="s">
        <v>10839</v>
      </c>
      <c r="AG5192" t="s">
        <v>10858</v>
      </c>
      <c r="AH5192" t="s">
        <v>10873</v>
      </c>
      <c r="AI5192">
        <v>237</v>
      </c>
      <c r="AJ5192" t="s">
        <v>10212</v>
      </c>
      <c r="AL5192">
        <v>2.75</v>
      </c>
      <c r="AM5192" t="s">
        <v>10890</v>
      </c>
      <c r="AN5192" t="s">
        <v>10949</v>
      </c>
      <c r="AO5192" t="s">
        <v>11009</v>
      </c>
      <c r="AP5192" t="s">
        <v>11053</v>
      </c>
      <c r="AR5192" t="s">
        <v>11300</v>
      </c>
      <c r="AS5192" t="s">
        <v>11594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</row>
    <row r="5193" spans="1:59">
      <c r="A5193" s="1">
        <f>HYPERLINK("https://lsnyc.legalserver.org/matter/dynamic-profile/view/1909428","19-1909428")</f>
        <v>0</v>
      </c>
      <c r="B5193" t="s">
        <v>3809</v>
      </c>
      <c r="C5193" t="s">
        <v>8952</v>
      </c>
      <c r="D5193" t="s">
        <v>9927</v>
      </c>
      <c r="E5193" t="s">
        <v>10075</v>
      </c>
      <c r="F5193">
        <v>11377</v>
      </c>
      <c r="G5193" t="s">
        <v>10091</v>
      </c>
      <c r="H5193" t="s">
        <v>10159</v>
      </c>
      <c r="I5193" t="s">
        <v>10168</v>
      </c>
      <c r="J5193" t="s">
        <v>10211</v>
      </c>
      <c r="K5193" t="s">
        <v>10217</v>
      </c>
      <c r="M5193" t="s">
        <v>10231</v>
      </c>
      <c r="N5193" t="s">
        <v>10647</v>
      </c>
      <c r="P5193" t="s">
        <v>10752</v>
      </c>
      <c r="Q5193" t="s">
        <v>10762</v>
      </c>
      <c r="R5193" t="s">
        <v>10821</v>
      </c>
      <c r="T5193">
        <v>6816</v>
      </c>
      <c r="U5193">
        <v>568</v>
      </c>
      <c r="V5193">
        <v>51</v>
      </c>
      <c r="W5193">
        <v>1</v>
      </c>
      <c r="X5193">
        <v>0</v>
      </c>
      <c r="Z5193">
        <v>54.57</v>
      </c>
      <c r="AA5193">
        <v>40.734486</v>
      </c>
      <c r="AB5193">
        <v>-73.918801</v>
      </c>
      <c r="AD5193" t="s">
        <v>10840</v>
      </c>
      <c r="AG5193" t="s">
        <v>10858</v>
      </c>
      <c r="AH5193" t="s">
        <v>10861</v>
      </c>
      <c r="AI5193">
        <v>234</v>
      </c>
      <c r="AJ5193" t="s">
        <v>10214</v>
      </c>
      <c r="AL5193">
        <v>0.7</v>
      </c>
      <c r="AM5193" t="s">
        <v>10885</v>
      </c>
      <c r="AN5193" t="s">
        <v>10935</v>
      </c>
      <c r="AO5193" t="s">
        <v>11003</v>
      </c>
      <c r="AP5193" t="s">
        <v>11077</v>
      </c>
      <c r="AR5193" t="s">
        <v>11255</v>
      </c>
      <c r="AS5193" t="s">
        <v>11594</v>
      </c>
      <c r="AT5193" t="s">
        <v>11642</v>
      </c>
      <c r="AX5193" t="s">
        <v>10838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</row>
    <row r="5194" spans="1:59">
      <c r="A5194" s="1">
        <f>HYPERLINK("https://lsnyc.legalserver.org/matter/dynamic-profile/view/1909430","19-1909430")</f>
        <v>0</v>
      </c>
      <c r="B5194" t="s">
        <v>3651</v>
      </c>
      <c r="C5194" t="s">
        <v>8458</v>
      </c>
      <c r="D5194" t="s">
        <v>9926</v>
      </c>
      <c r="E5194" t="s">
        <v>10075</v>
      </c>
      <c r="F5194">
        <v>10458</v>
      </c>
      <c r="G5194" t="s">
        <v>10090</v>
      </c>
      <c r="H5194" t="s">
        <v>10159</v>
      </c>
      <c r="I5194" t="s">
        <v>10169</v>
      </c>
      <c r="J5194" t="s">
        <v>10210</v>
      </c>
      <c r="K5194" t="s">
        <v>10217</v>
      </c>
      <c r="M5194" t="s">
        <v>10596</v>
      </c>
      <c r="N5194" t="s">
        <v>10677</v>
      </c>
      <c r="P5194" t="s">
        <v>10757</v>
      </c>
      <c r="Q5194" t="s">
        <v>10789</v>
      </c>
      <c r="R5194" t="s">
        <v>10823</v>
      </c>
      <c r="T5194">
        <v>17856</v>
      </c>
      <c r="U5194">
        <v>1488</v>
      </c>
      <c r="V5194">
        <v>66</v>
      </c>
      <c r="W5194">
        <v>2</v>
      </c>
      <c r="X5194">
        <v>0</v>
      </c>
      <c r="Z5194">
        <v>105.59</v>
      </c>
      <c r="AA5194">
        <v>40.858867</v>
      </c>
      <c r="AB5194">
        <v>-73.891952</v>
      </c>
      <c r="AD5194" t="s">
        <v>10839</v>
      </c>
      <c r="AG5194" t="s">
        <v>10858</v>
      </c>
      <c r="AH5194" t="s">
        <v>10861</v>
      </c>
      <c r="AI5194">
        <v>234</v>
      </c>
      <c r="AJ5194" t="s">
        <v>10214</v>
      </c>
      <c r="AL5194">
        <v>4.25</v>
      </c>
      <c r="AR5194" t="s">
        <v>11364</v>
      </c>
      <c r="AS5194" t="s">
        <v>9926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</row>
    <row r="5195" spans="1:59">
      <c r="A5195" s="1">
        <f>HYPERLINK("https://lsnyc.legalserver.org/matter/dynamic-profile/view/1909431","19-1909431")</f>
        <v>0</v>
      </c>
      <c r="B5195" t="s">
        <v>4128</v>
      </c>
      <c r="C5195" t="s">
        <v>8953</v>
      </c>
      <c r="D5195" t="s">
        <v>9965</v>
      </c>
      <c r="E5195" t="s">
        <v>10075</v>
      </c>
      <c r="F5195">
        <v>11101</v>
      </c>
      <c r="G5195" t="s">
        <v>10092</v>
      </c>
      <c r="H5195" t="s">
        <v>10159</v>
      </c>
      <c r="I5195" t="s">
        <v>10168</v>
      </c>
      <c r="J5195" t="s">
        <v>10212</v>
      </c>
      <c r="K5195" t="s">
        <v>10217</v>
      </c>
      <c r="M5195" t="s">
        <v>10329</v>
      </c>
      <c r="N5195" t="s">
        <v>10650</v>
      </c>
      <c r="P5195" t="s">
        <v>10749</v>
      </c>
      <c r="Q5195" t="s">
        <v>10765</v>
      </c>
      <c r="R5195" t="s">
        <v>10821</v>
      </c>
      <c r="T5195">
        <v>15000</v>
      </c>
      <c r="U5195">
        <v>1250</v>
      </c>
      <c r="V5195">
        <v>42</v>
      </c>
      <c r="W5195">
        <v>2</v>
      </c>
      <c r="X5195">
        <v>0</v>
      </c>
      <c r="Z5195">
        <v>88.7</v>
      </c>
      <c r="AA5195">
        <v>40.755446</v>
      </c>
      <c r="AB5195">
        <v>-73.93581399999999</v>
      </c>
      <c r="AD5195" t="s">
        <v>10840</v>
      </c>
      <c r="AG5195" t="s">
        <v>10858</v>
      </c>
      <c r="AH5195" t="s">
        <v>10862</v>
      </c>
      <c r="AI5195">
        <v>237</v>
      </c>
      <c r="AJ5195" t="s">
        <v>10212</v>
      </c>
      <c r="AL5195">
        <v>0.9</v>
      </c>
      <c r="AM5195" t="s">
        <v>10891</v>
      </c>
      <c r="AN5195" t="s">
        <v>10961</v>
      </c>
      <c r="AO5195" t="s">
        <v>11003</v>
      </c>
      <c r="AP5195" t="s">
        <v>11047</v>
      </c>
      <c r="AR5195" t="s">
        <v>10180</v>
      </c>
      <c r="AS5195" t="s">
        <v>11594</v>
      </c>
      <c r="BA5195" t="s">
        <v>11740</v>
      </c>
      <c r="BB5195">
        <v>0</v>
      </c>
      <c r="BC5195">
        <v>0</v>
      </c>
      <c r="BD5195">
        <v>0</v>
      </c>
      <c r="BE5195">
        <v>0</v>
      </c>
      <c r="BF5195">
        <v>2</v>
      </c>
      <c r="BG5195">
        <v>0</v>
      </c>
    </row>
    <row r="5196" spans="1:59">
      <c r="A5196" s="1">
        <f>HYPERLINK("https://lsnyc.legalserver.org/matter/dynamic-profile/view/1909432","19-1909432")</f>
        <v>0</v>
      </c>
      <c r="B5196" t="s">
        <v>4129</v>
      </c>
      <c r="C5196" t="s">
        <v>8636</v>
      </c>
      <c r="D5196" t="s">
        <v>9925</v>
      </c>
      <c r="E5196" t="s">
        <v>10075</v>
      </c>
      <c r="F5196">
        <v>10040</v>
      </c>
      <c r="G5196" t="s">
        <v>10089</v>
      </c>
      <c r="H5196" t="s">
        <v>10159</v>
      </c>
      <c r="I5196" t="s">
        <v>10168</v>
      </c>
      <c r="J5196" t="s">
        <v>10209</v>
      </c>
      <c r="K5196" t="s">
        <v>10217</v>
      </c>
      <c r="M5196" t="s">
        <v>10451</v>
      </c>
      <c r="N5196" t="s">
        <v>10650</v>
      </c>
      <c r="P5196" t="s">
        <v>10749</v>
      </c>
      <c r="Q5196" t="s">
        <v>10765</v>
      </c>
      <c r="R5196" t="s">
        <v>10821</v>
      </c>
      <c r="T5196">
        <v>25680</v>
      </c>
      <c r="U5196">
        <v>2140</v>
      </c>
      <c r="V5196">
        <v>68</v>
      </c>
      <c r="W5196">
        <v>1</v>
      </c>
      <c r="X5196">
        <v>0</v>
      </c>
      <c r="Z5196">
        <v>205.6</v>
      </c>
      <c r="AA5196">
        <v>40.857158</v>
      </c>
      <c r="AB5196">
        <v>-73.932643</v>
      </c>
      <c r="AD5196" t="s">
        <v>10839</v>
      </c>
      <c r="AG5196" t="s">
        <v>10858</v>
      </c>
      <c r="AH5196" t="s">
        <v>10862</v>
      </c>
      <c r="AI5196">
        <v>236</v>
      </c>
      <c r="AJ5196" t="s">
        <v>10209</v>
      </c>
      <c r="AL5196">
        <v>0.1</v>
      </c>
      <c r="AM5196" t="s">
        <v>10887</v>
      </c>
      <c r="AN5196" t="s">
        <v>10937</v>
      </c>
      <c r="AO5196" t="s">
        <v>11019</v>
      </c>
      <c r="AP5196" t="s">
        <v>11074</v>
      </c>
      <c r="AR5196" t="s">
        <v>11379</v>
      </c>
      <c r="AS5196" t="s">
        <v>9925</v>
      </c>
      <c r="AT5196" t="s">
        <v>11641</v>
      </c>
      <c r="AX5196" t="s">
        <v>10838</v>
      </c>
      <c r="BA5196" t="s">
        <v>11738</v>
      </c>
      <c r="BB5196">
        <v>0</v>
      </c>
      <c r="BC5196">
        <v>0</v>
      </c>
      <c r="BD5196">
        <v>0</v>
      </c>
      <c r="BE5196">
        <v>0</v>
      </c>
      <c r="BF5196">
        <v>5</v>
      </c>
      <c r="BG5196">
        <v>0</v>
      </c>
    </row>
    <row r="5197" spans="1:59">
      <c r="A5197" s="1">
        <f>HYPERLINK("https://lsnyc.legalserver.org/matter/dynamic-profile/view/1909433","19-1909433")</f>
        <v>0</v>
      </c>
      <c r="B5197" t="s">
        <v>3717</v>
      </c>
      <c r="C5197" t="s">
        <v>8954</v>
      </c>
      <c r="D5197" t="s">
        <v>9950</v>
      </c>
      <c r="E5197" t="s">
        <v>10075</v>
      </c>
      <c r="F5197">
        <v>11418</v>
      </c>
      <c r="G5197" t="s">
        <v>10092</v>
      </c>
      <c r="H5197" t="s">
        <v>10159</v>
      </c>
      <c r="J5197" t="s">
        <v>10212</v>
      </c>
      <c r="K5197" t="s">
        <v>10218</v>
      </c>
      <c r="L5197" t="s">
        <v>10221</v>
      </c>
      <c r="M5197" t="s">
        <v>10350</v>
      </c>
      <c r="N5197" t="s">
        <v>10689</v>
      </c>
      <c r="P5197" t="s">
        <v>10754</v>
      </c>
      <c r="Q5197" t="s">
        <v>10777</v>
      </c>
      <c r="R5197" t="s">
        <v>10828</v>
      </c>
      <c r="T5197">
        <v>3692</v>
      </c>
      <c r="U5197">
        <v>307.67</v>
      </c>
      <c r="V5197">
        <v>34</v>
      </c>
      <c r="W5197">
        <v>1</v>
      </c>
      <c r="X5197">
        <v>0</v>
      </c>
      <c r="Y5197" t="s">
        <v>10829</v>
      </c>
      <c r="Z5197">
        <v>29.56</v>
      </c>
      <c r="AA5197">
        <v>40.705598</v>
      </c>
      <c r="AB5197">
        <v>-73.821579</v>
      </c>
      <c r="AD5197" t="s">
        <v>10839</v>
      </c>
      <c r="AF5197" t="s">
        <v>10842</v>
      </c>
      <c r="AG5197" t="s">
        <v>10859</v>
      </c>
      <c r="AH5197" t="s">
        <v>10865</v>
      </c>
      <c r="AI5197">
        <v>237</v>
      </c>
      <c r="AJ5197" t="s">
        <v>10212</v>
      </c>
      <c r="AK5197" t="s">
        <v>10837</v>
      </c>
      <c r="AL5197">
        <v>2.9</v>
      </c>
      <c r="AM5197" t="s">
        <v>10890</v>
      </c>
      <c r="AN5197" t="s">
        <v>10962</v>
      </c>
      <c r="AO5197" t="s">
        <v>11020</v>
      </c>
      <c r="AP5197" t="s">
        <v>11083</v>
      </c>
      <c r="AR5197" t="s">
        <v>11273</v>
      </c>
      <c r="AS5197" t="s">
        <v>11594</v>
      </c>
      <c r="AY5197" t="s">
        <v>10829</v>
      </c>
      <c r="AZ5197" t="s">
        <v>11683</v>
      </c>
      <c r="BA5197" t="s">
        <v>11741</v>
      </c>
      <c r="BB5197">
        <v>0</v>
      </c>
      <c r="BC5197">
        <v>0</v>
      </c>
      <c r="BD5197">
        <v>0</v>
      </c>
      <c r="BE5197">
        <v>0</v>
      </c>
      <c r="BF5197">
        <v>1</v>
      </c>
      <c r="BG5197">
        <v>0</v>
      </c>
    </row>
    <row r="5198" spans="1:59">
      <c r="A5198" s="1">
        <f>HYPERLINK("https://lsnyc.legalserver.org/matter/dynamic-profile/view/1909434","19-1909434")</f>
        <v>0</v>
      </c>
      <c r="B5198" t="s">
        <v>3678</v>
      </c>
      <c r="C5198" t="s">
        <v>8955</v>
      </c>
      <c r="D5198" t="s">
        <v>9926</v>
      </c>
      <c r="E5198" t="s">
        <v>10075</v>
      </c>
      <c r="F5198">
        <v>10460</v>
      </c>
      <c r="G5198" t="s">
        <v>10091</v>
      </c>
      <c r="H5198" t="s">
        <v>10159</v>
      </c>
      <c r="I5198" t="s">
        <v>10169</v>
      </c>
      <c r="J5198" t="s">
        <v>10211</v>
      </c>
      <c r="K5198" t="s">
        <v>10217</v>
      </c>
      <c r="M5198" t="s">
        <v>10231</v>
      </c>
      <c r="N5198" t="s">
        <v>10647</v>
      </c>
      <c r="P5198" t="s">
        <v>10752</v>
      </c>
      <c r="Q5198" t="s">
        <v>10762</v>
      </c>
      <c r="R5198" t="s">
        <v>10821</v>
      </c>
      <c r="T5198">
        <v>10400</v>
      </c>
      <c r="U5198">
        <v>866.67</v>
      </c>
      <c r="V5198">
        <v>47</v>
      </c>
      <c r="W5198">
        <v>2</v>
      </c>
      <c r="X5198">
        <v>0</v>
      </c>
      <c r="Z5198">
        <v>61.5</v>
      </c>
      <c r="AA5198">
        <v>40.835937</v>
      </c>
      <c r="AB5198">
        <v>-73.864521</v>
      </c>
      <c r="AD5198" t="s">
        <v>10839</v>
      </c>
      <c r="AG5198" t="s">
        <v>10858</v>
      </c>
      <c r="AH5198" t="s">
        <v>10863</v>
      </c>
      <c r="AI5198">
        <v>234</v>
      </c>
      <c r="AJ5198" t="s">
        <v>10214</v>
      </c>
      <c r="AL5198">
        <v>1.28</v>
      </c>
      <c r="AM5198" t="s">
        <v>10884</v>
      </c>
      <c r="AN5198" t="s">
        <v>10908</v>
      </c>
      <c r="AO5198" t="s">
        <v>11001</v>
      </c>
      <c r="AP5198" t="s">
        <v>11046</v>
      </c>
      <c r="AR5198" t="s">
        <v>11262</v>
      </c>
      <c r="AS5198" t="s">
        <v>9926</v>
      </c>
      <c r="AT5198" t="s">
        <v>11641</v>
      </c>
      <c r="AX5198" t="s">
        <v>10838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</row>
    <row r="5199" spans="1:59">
      <c r="A5199" s="1">
        <f>HYPERLINK("https://lsnyc.legalserver.org/matter/dynamic-profile/view/1909435","19-1909435")</f>
        <v>0</v>
      </c>
      <c r="B5199" t="s">
        <v>4130</v>
      </c>
      <c r="C5199" t="s">
        <v>8956</v>
      </c>
      <c r="D5199" t="s">
        <v>9941</v>
      </c>
      <c r="E5199" t="s">
        <v>10075</v>
      </c>
      <c r="F5199">
        <v>11429</v>
      </c>
      <c r="G5199" t="s">
        <v>10092</v>
      </c>
      <c r="H5199" t="s">
        <v>10159</v>
      </c>
      <c r="I5199" t="s">
        <v>10168</v>
      </c>
      <c r="J5199" t="s">
        <v>10212</v>
      </c>
      <c r="K5199" t="s">
        <v>10217</v>
      </c>
      <c r="M5199" t="s">
        <v>10366</v>
      </c>
      <c r="N5199" t="s">
        <v>10678</v>
      </c>
      <c r="P5199" t="s">
        <v>10749</v>
      </c>
      <c r="Q5199" t="s">
        <v>10769</v>
      </c>
      <c r="R5199" t="s">
        <v>10821</v>
      </c>
      <c r="T5199">
        <v>13848</v>
      </c>
      <c r="U5199">
        <v>1154</v>
      </c>
      <c r="V5199">
        <v>64</v>
      </c>
      <c r="W5199">
        <v>1</v>
      </c>
      <c r="X5199">
        <v>0</v>
      </c>
      <c r="Z5199">
        <v>110.87</v>
      </c>
      <c r="AA5199">
        <v>40.706401</v>
      </c>
      <c r="AB5199">
        <v>-73.74905699999999</v>
      </c>
      <c r="AD5199" t="s">
        <v>10839</v>
      </c>
      <c r="AG5199" t="s">
        <v>10858</v>
      </c>
      <c r="AH5199" t="s">
        <v>10861</v>
      </c>
      <c r="AI5199">
        <v>234</v>
      </c>
      <c r="AJ5199" t="s">
        <v>10214</v>
      </c>
      <c r="AL5199">
        <v>2.2</v>
      </c>
      <c r="AM5199" t="s">
        <v>10892</v>
      </c>
      <c r="AN5199" t="s">
        <v>10940</v>
      </c>
      <c r="AO5199" t="s">
        <v>11020</v>
      </c>
      <c r="AP5199" t="s">
        <v>11075</v>
      </c>
      <c r="AR5199" t="s">
        <v>11298</v>
      </c>
      <c r="AS5199" t="s">
        <v>11594</v>
      </c>
      <c r="AT5199" t="s">
        <v>11641</v>
      </c>
      <c r="AX5199" t="s">
        <v>10838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</row>
    <row r="5200" spans="1:59">
      <c r="A5200" s="1">
        <f>HYPERLINK("https://lsnyc.legalserver.org/matter/dynamic-profile/view/1909436","19-1909436")</f>
        <v>0</v>
      </c>
      <c r="B5200" t="s">
        <v>4131</v>
      </c>
      <c r="C5200" t="s">
        <v>8957</v>
      </c>
      <c r="D5200" t="s">
        <v>9938</v>
      </c>
      <c r="E5200" t="s">
        <v>10075</v>
      </c>
      <c r="F5200">
        <v>11418</v>
      </c>
      <c r="G5200" t="s">
        <v>10092</v>
      </c>
      <c r="H5200" t="s">
        <v>10159</v>
      </c>
      <c r="I5200" t="s">
        <v>10169</v>
      </c>
      <c r="J5200" t="s">
        <v>10212</v>
      </c>
      <c r="K5200" t="s">
        <v>10217</v>
      </c>
      <c r="M5200" t="s">
        <v>10523</v>
      </c>
      <c r="N5200" t="s">
        <v>10673</v>
      </c>
      <c r="P5200" t="s">
        <v>10753</v>
      </c>
      <c r="Q5200" t="s">
        <v>10763</v>
      </c>
      <c r="R5200" t="s">
        <v>10821</v>
      </c>
      <c r="T5200">
        <v>0</v>
      </c>
      <c r="U5200">
        <v>0</v>
      </c>
      <c r="V5200">
        <v>45</v>
      </c>
      <c r="W5200">
        <v>4</v>
      </c>
      <c r="X5200">
        <v>2</v>
      </c>
      <c r="Z5200">
        <v>0</v>
      </c>
      <c r="AA5200">
        <v>40.695998</v>
      </c>
      <c r="AB5200">
        <v>-73.839116</v>
      </c>
      <c r="AD5200" t="s">
        <v>10839</v>
      </c>
      <c r="AF5200" t="s">
        <v>10844</v>
      </c>
      <c r="AG5200" t="s">
        <v>10859</v>
      </c>
      <c r="AH5200" t="s">
        <v>10864</v>
      </c>
      <c r="AI5200">
        <v>237</v>
      </c>
      <c r="AJ5200" t="s">
        <v>10212</v>
      </c>
      <c r="AL5200">
        <v>6.67</v>
      </c>
      <c r="AM5200" t="s">
        <v>10892</v>
      </c>
      <c r="AN5200" t="s">
        <v>10952</v>
      </c>
      <c r="AO5200" t="s">
        <v>11024</v>
      </c>
      <c r="AP5200" t="s">
        <v>11088</v>
      </c>
      <c r="AQ5200" t="s">
        <v>11171</v>
      </c>
      <c r="AR5200" t="s">
        <v>11267</v>
      </c>
      <c r="AS5200" t="s">
        <v>11594</v>
      </c>
      <c r="BA5200" t="s">
        <v>11739</v>
      </c>
      <c r="BB5200">
        <v>0</v>
      </c>
      <c r="BC5200">
        <v>0</v>
      </c>
      <c r="BD5200">
        <v>0</v>
      </c>
      <c r="BE5200">
        <v>0</v>
      </c>
      <c r="BF5200">
        <v>4</v>
      </c>
      <c r="BG5200">
        <v>0</v>
      </c>
    </row>
    <row r="5201" spans="1:59">
      <c r="A5201" s="1">
        <f>HYPERLINK("https://lsnyc.legalserver.org/matter/dynamic-profile/view/1909437","19-1909437")</f>
        <v>0</v>
      </c>
      <c r="B5201" t="s">
        <v>2748</v>
      </c>
      <c r="C5201" t="s">
        <v>8461</v>
      </c>
      <c r="D5201" t="s">
        <v>9951</v>
      </c>
      <c r="E5201" t="s">
        <v>10075</v>
      </c>
      <c r="F5201">
        <v>11416</v>
      </c>
      <c r="G5201" t="s">
        <v>10092</v>
      </c>
      <c r="H5201" t="s">
        <v>10159</v>
      </c>
      <c r="J5201" t="s">
        <v>10212</v>
      </c>
      <c r="K5201" t="s">
        <v>10218</v>
      </c>
      <c r="L5201" t="s">
        <v>10099</v>
      </c>
      <c r="M5201" t="s">
        <v>10350</v>
      </c>
      <c r="N5201" t="s">
        <v>10669</v>
      </c>
      <c r="P5201" t="s">
        <v>10754</v>
      </c>
      <c r="Q5201" t="s">
        <v>10775</v>
      </c>
      <c r="R5201" t="s">
        <v>10820</v>
      </c>
      <c r="T5201">
        <v>12456</v>
      </c>
      <c r="U5201">
        <v>1038</v>
      </c>
      <c r="V5201">
        <v>56</v>
      </c>
      <c r="W5201">
        <v>2</v>
      </c>
      <c r="X5201">
        <v>0</v>
      </c>
      <c r="Y5201" t="s">
        <v>10829</v>
      </c>
      <c r="Z5201">
        <v>73.66</v>
      </c>
      <c r="AA5201">
        <v>40.683467</v>
      </c>
      <c r="AB5201">
        <v>-73.86390400000001</v>
      </c>
      <c r="AD5201" t="s">
        <v>10839</v>
      </c>
      <c r="AG5201" t="s">
        <v>10858</v>
      </c>
      <c r="AH5201" t="s">
        <v>10865</v>
      </c>
      <c r="AI5201">
        <v>237</v>
      </c>
      <c r="AJ5201" t="s">
        <v>10212</v>
      </c>
      <c r="AK5201" t="s">
        <v>10837</v>
      </c>
      <c r="AL5201">
        <v>1</v>
      </c>
      <c r="AM5201" t="s">
        <v>10886</v>
      </c>
      <c r="AN5201" t="s">
        <v>10945</v>
      </c>
      <c r="AO5201" t="s">
        <v>11003</v>
      </c>
      <c r="AP5201" t="s">
        <v>11088</v>
      </c>
      <c r="AR5201" t="s">
        <v>11367</v>
      </c>
      <c r="AS5201" t="s">
        <v>11594</v>
      </c>
      <c r="AY5201" t="s">
        <v>10829</v>
      </c>
      <c r="AZ5201" t="s">
        <v>11683</v>
      </c>
      <c r="BA5201" t="s">
        <v>11741</v>
      </c>
      <c r="BB5201">
        <v>0</v>
      </c>
      <c r="BC5201">
        <v>0</v>
      </c>
      <c r="BD5201">
        <v>0</v>
      </c>
      <c r="BE5201">
        <v>0</v>
      </c>
      <c r="BF5201">
        <v>1</v>
      </c>
      <c r="BG5201">
        <v>0</v>
      </c>
    </row>
    <row r="5202" spans="1:59">
      <c r="A5202" s="1">
        <f>HYPERLINK("https://lsnyc.legalserver.org/matter/dynamic-profile/view/1909439","19-1909439")</f>
        <v>0</v>
      </c>
      <c r="B5202" t="s">
        <v>1374</v>
      </c>
      <c r="C5202" t="s">
        <v>6197</v>
      </c>
      <c r="D5202" t="s">
        <v>9926</v>
      </c>
      <c r="E5202" t="s">
        <v>10075</v>
      </c>
      <c r="F5202">
        <v>10467</v>
      </c>
      <c r="G5202" t="s">
        <v>10090</v>
      </c>
      <c r="H5202" t="s">
        <v>10159</v>
      </c>
      <c r="I5202" t="s">
        <v>10168</v>
      </c>
      <c r="J5202" t="s">
        <v>10210</v>
      </c>
      <c r="K5202" t="s">
        <v>10217</v>
      </c>
      <c r="M5202" t="s">
        <v>10367</v>
      </c>
      <c r="N5202" t="s">
        <v>10688</v>
      </c>
      <c r="P5202" t="s">
        <v>10751</v>
      </c>
      <c r="Q5202" t="s">
        <v>10761</v>
      </c>
      <c r="R5202" t="s">
        <v>10823</v>
      </c>
      <c r="T5202">
        <v>13000</v>
      </c>
      <c r="U5202">
        <v>1083.33</v>
      </c>
      <c r="V5202">
        <v>21</v>
      </c>
      <c r="W5202">
        <v>1</v>
      </c>
      <c r="X5202">
        <v>2</v>
      </c>
      <c r="Z5202">
        <v>60.95</v>
      </c>
      <c r="AA5202">
        <v>40.883987</v>
      </c>
      <c r="AB5202">
        <v>-73.86593499999999</v>
      </c>
      <c r="AD5202" t="s">
        <v>10839</v>
      </c>
      <c r="AG5202" t="s">
        <v>10858</v>
      </c>
      <c r="AH5202" t="s">
        <v>10874</v>
      </c>
      <c r="AI5202">
        <v>230</v>
      </c>
      <c r="AJ5202" t="s">
        <v>10210</v>
      </c>
      <c r="AL5202">
        <v>5.3</v>
      </c>
      <c r="AM5202" t="s">
        <v>10893</v>
      </c>
      <c r="AN5202" t="s">
        <v>10956</v>
      </c>
      <c r="AO5202" t="s">
        <v>11010</v>
      </c>
      <c r="AP5202" t="s">
        <v>11085</v>
      </c>
      <c r="AR5202" t="s">
        <v>11257</v>
      </c>
      <c r="AS5202" t="s">
        <v>9926</v>
      </c>
      <c r="AT5202" t="s">
        <v>11641</v>
      </c>
      <c r="AV5202" t="s">
        <v>11656</v>
      </c>
      <c r="AW5202" t="s">
        <v>11645</v>
      </c>
      <c r="AX5202" t="s">
        <v>10838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</row>
    <row r="5203" spans="1:59">
      <c r="A5203" s="1">
        <f>HYPERLINK("https://lsnyc.legalserver.org/matter/dynamic-profile/view/1909440","19-1909440")</f>
        <v>0</v>
      </c>
      <c r="B5203" t="s">
        <v>4132</v>
      </c>
      <c r="C5203" t="s">
        <v>8958</v>
      </c>
      <c r="D5203" t="s">
        <v>9925</v>
      </c>
      <c r="E5203" t="s">
        <v>10075</v>
      </c>
      <c r="F5203">
        <v>10026</v>
      </c>
      <c r="G5203" t="s">
        <v>10089</v>
      </c>
      <c r="H5203" t="s">
        <v>10159</v>
      </c>
      <c r="I5203" t="s">
        <v>10168</v>
      </c>
      <c r="J5203" t="s">
        <v>10209</v>
      </c>
      <c r="K5203" t="s">
        <v>10217</v>
      </c>
      <c r="M5203" t="s">
        <v>10381</v>
      </c>
      <c r="N5203" t="s">
        <v>10671</v>
      </c>
      <c r="P5203" t="s">
        <v>10751</v>
      </c>
      <c r="Q5203" t="s">
        <v>10768</v>
      </c>
      <c r="R5203" t="s">
        <v>10824</v>
      </c>
      <c r="T5203">
        <v>2376</v>
      </c>
      <c r="U5203">
        <v>198</v>
      </c>
      <c r="V5203">
        <v>56</v>
      </c>
      <c r="W5203">
        <v>1</v>
      </c>
      <c r="X5203">
        <v>0</v>
      </c>
      <c r="Z5203">
        <v>19.02</v>
      </c>
      <c r="AA5203">
        <v>40.805222</v>
      </c>
      <c r="AB5203">
        <v>-73.950548</v>
      </c>
      <c r="AD5203" t="s">
        <v>10839</v>
      </c>
      <c r="AG5203" t="s">
        <v>10858</v>
      </c>
      <c r="AH5203" t="s">
        <v>10871</v>
      </c>
      <c r="AI5203">
        <v>234</v>
      </c>
      <c r="AJ5203" t="s">
        <v>10214</v>
      </c>
      <c r="AL5203">
        <v>1.2</v>
      </c>
      <c r="AM5203" t="s">
        <v>10887</v>
      </c>
      <c r="AN5203" t="s">
        <v>10936</v>
      </c>
      <c r="AO5203" t="s">
        <v>11016</v>
      </c>
      <c r="AP5203" t="s">
        <v>11076</v>
      </c>
      <c r="AR5203" t="s">
        <v>11427</v>
      </c>
      <c r="AS5203" t="s">
        <v>9925</v>
      </c>
      <c r="AT5203" t="s">
        <v>11641</v>
      </c>
      <c r="AX5203" t="s">
        <v>10838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</row>
    <row r="5204" spans="1:59">
      <c r="A5204" s="1">
        <f>HYPERLINK("https://lsnyc.legalserver.org/matter/dynamic-profile/view/1909441","19-1909441")</f>
        <v>0</v>
      </c>
      <c r="B5204" t="s">
        <v>736</v>
      </c>
      <c r="C5204" t="s">
        <v>8959</v>
      </c>
      <c r="D5204" t="s">
        <v>9929</v>
      </c>
      <c r="E5204" t="s">
        <v>10075</v>
      </c>
      <c r="F5204">
        <v>10306</v>
      </c>
      <c r="G5204" t="s">
        <v>10088</v>
      </c>
      <c r="H5204" t="s">
        <v>10159</v>
      </c>
      <c r="I5204" t="s">
        <v>10169</v>
      </c>
      <c r="J5204" t="s">
        <v>10208</v>
      </c>
      <c r="K5204" t="s">
        <v>10217</v>
      </c>
      <c r="M5204" t="s">
        <v>10259</v>
      </c>
      <c r="N5204" t="s">
        <v>10711</v>
      </c>
      <c r="P5204" t="s">
        <v>10749</v>
      </c>
      <c r="Q5204" t="s">
        <v>10765</v>
      </c>
      <c r="R5204" t="s">
        <v>10823</v>
      </c>
      <c r="T5204">
        <v>42828</v>
      </c>
      <c r="U5204">
        <v>3569</v>
      </c>
      <c r="V5204">
        <v>44</v>
      </c>
      <c r="W5204">
        <v>2</v>
      </c>
      <c r="X5204">
        <v>1</v>
      </c>
      <c r="Z5204">
        <v>200.79</v>
      </c>
      <c r="AA5204">
        <v>40.563634</v>
      </c>
      <c r="AB5204">
        <v>-74.128607</v>
      </c>
      <c r="AD5204" t="s">
        <v>10839</v>
      </c>
      <c r="AF5204" t="s">
        <v>10842</v>
      </c>
      <c r="AG5204" t="s">
        <v>10859</v>
      </c>
      <c r="AH5204" t="s">
        <v>10862</v>
      </c>
      <c r="AI5204">
        <v>285</v>
      </c>
      <c r="AJ5204" t="s">
        <v>10208</v>
      </c>
      <c r="AL5204">
        <v>1.6</v>
      </c>
      <c r="AM5204" t="s">
        <v>10883</v>
      </c>
      <c r="AN5204" t="s">
        <v>10906</v>
      </c>
      <c r="AO5204" t="s">
        <v>10999</v>
      </c>
      <c r="AP5204" t="s">
        <v>11063</v>
      </c>
      <c r="AR5204" t="s">
        <v>11257</v>
      </c>
      <c r="AS5204" t="s">
        <v>11593</v>
      </c>
      <c r="BA5204" t="s">
        <v>11742</v>
      </c>
      <c r="BB5204">
        <v>0</v>
      </c>
      <c r="BC5204">
        <v>0</v>
      </c>
      <c r="BD5204">
        <v>0</v>
      </c>
      <c r="BE5204">
        <v>0</v>
      </c>
      <c r="BF5204">
        <v>7</v>
      </c>
      <c r="BG5204">
        <v>0</v>
      </c>
    </row>
    <row r="5205" spans="1:59">
      <c r="A5205" s="1">
        <f>HYPERLINK("https://lsnyc.legalserver.org/matter/dynamic-profile/view/1909442","19-1909442")</f>
        <v>0</v>
      </c>
      <c r="B5205" t="s">
        <v>4133</v>
      </c>
      <c r="C5205" t="s">
        <v>8960</v>
      </c>
      <c r="D5205" t="s">
        <v>9928</v>
      </c>
      <c r="E5205" t="s">
        <v>10075</v>
      </c>
      <c r="F5205">
        <v>11203</v>
      </c>
      <c r="G5205" t="s">
        <v>10091</v>
      </c>
      <c r="H5205" t="s">
        <v>10159</v>
      </c>
      <c r="I5205" t="s">
        <v>10168</v>
      </c>
      <c r="J5205" t="s">
        <v>10214</v>
      </c>
      <c r="K5205" t="s">
        <v>10217</v>
      </c>
      <c r="M5205" t="s">
        <v>10286</v>
      </c>
      <c r="N5205" t="s">
        <v>10671</v>
      </c>
      <c r="P5205" t="s">
        <v>10749</v>
      </c>
      <c r="Q5205" t="s">
        <v>10765</v>
      </c>
      <c r="R5205" t="s">
        <v>10824</v>
      </c>
      <c r="T5205">
        <v>18200</v>
      </c>
      <c r="U5205">
        <v>1516.67</v>
      </c>
      <c r="V5205">
        <v>60</v>
      </c>
      <c r="W5205">
        <v>1</v>
      </c>
      <c r="X5205">
        <v>0</v>
      </c>
      <c r="Z5205">
        <v>145.72</v>
      </c>
      <c r="AA5205">
        <v>40.654373</v>
      </c>
      <c r="AB5205">
        <v>-73.93773899999999</v>
      </c>
      <c r="AD5205" t="s">
        <v>10839</v>
      </c>
      <c r="AG5205" t="s">
        <v>10858</v>
      </c>
      <c r="AH5205" t="s">
        <v>10871</v>
      </c>
      <c r="AI5205">
        <v>234</v>
      </c>
      <c r="AJ5205" t="s">
        <v>10214</v>
      </c>
      <c r="AL5205">
        <v>1</v>
      </c>
      <c r="AM5205" t="s">
        <v>10888</v>
      </c>
      <c r="AN5205" t="s">
        <v>10925</v>
      </c>
      <c r="AO5205" t="s">
        <v>11005</v>
      </c>
      <c r="AP5205" t="s">
        <v>11064</v>
      </c>
      <c r="AR5205" t="s">
        <v>11257</v>
      </c>
      <c r="AS5205" t="s">
        <v>11595</v>
      </c>
      <c r="AT5205" t="s">
        <v>11641</v>
      </c>
      <c r="AX5205" t="s">
        <v>10838</v>
      </c>
      <c r="BA5205" t="s">
        <v>11741</v>
      </c>
      <c r="BB5205">
        <v>0</v>
      </c>
      <c r="BC5205">
        <v>0</v>
      </c>
      <c r="BD5205">
        <v>0</v>
      </c>
      <c r="BE5205">
        <v>0</v>
      </c>
      <c r="BF5205">
        <v>1</v>
      </c>
      <c r="BG5205">
        <v>0</v>
      </c>
    </row>
    <row r="5206" spans="1:59">
      <c r="A5206" s="1">
        <f>HYPERLINK("https://lsnyc.legalserver.org/matter/dynamic-profile/view/1909443","19-1909443")</f>
        <v>0</v>
      </c>
      <c r="B5206" t="s">
        <v>4134</v>
      </c>
      <c r="C5206" t="s">
        <v>8961</v>
      </c>
      <c r="D5206" t="s">
        <v>9926</v>
      </c>
      <c r="E5206" t="s">
        <v>10075</v>
      </c>
      <c r="F5206">
        <v>10458</v>
      </c>
      <c r="G5206" t="s">
        <v>10090</v>
      </c>
      <c r="H5206" t="s">
        <v>10159</v>
      </c>
      <c r="I5206" t="s">
        <v>10168</v>
      </c>
      <c r="J5206" t="s">
        <v>10210</v>
      </c>
      <c r="K5206" t="s">
        <v>10217</v>
      </c>
      <c r="M5206" t="s">
        <v>10417</v>
      </c>
      <c r="N5206" t="s">
        <v>10666</v>
      </c>
      <c r="P5206" t="s">
        <v>10749</v>
      </c>
      <c r="Q5206" t="s">
        <v>10765</v>
      </c>
      <c r="R5206" t="s">
        <v>10822</v>
      </c>
      <c r="T5206">
        <v>9100</v>
      </c>
      <c r="U5206">
        <v>758.33</v>
      </c>
      <c r="V5206">
        <v>35</v>
      </c>
      <c r="W5206">
        <v>1</v>
      </c>
      <c r="X5206">
        <v>2</v>
      </c>
      <c r="Z5206">
        <v>42.66</v>
      </c>
      <c r="AA5206">
        <v>40.855797</v>
      </c>
      <c r="AB5206">
        <v>-73.88454</v>
      </c>
      <c r="AD5206" t="s">
        <v>10839</v>
      </c>
      <c r="AG5206" t="s">
        <v>10858</v>
      </c>
      <c r="AH5206" t="s">
        <v>10862</v>
      </c>
      <c r="AI5206">
        <v>230</v>
      </c>
      <c r="AJ5206" t="s">
        <v>10210</v>
      </c>
      <c r="AL5206">
        <v>5</v>
      </c>
      <c r="AM5206" t="s">
        <v>10884</v>
      </c>
      <c r="AN5206" t="s">
        <v>10907</v>
      </c>
      <c r="AO5206" t="s">
        <v>11000</v>
      </c>
      <c r="AP5206" t="s">
        <v>11056</v>
      </c>
      <c r="AR5206" t="s">
        <v>11255</v>
      </c>
      <c r="AS5206" t="s">
        <v>9926</v>
      </c>
      <c r="BA5206" t="s">
        <v>11738</v>
      </c>
      <c r="BB5206">
        <v>0</v>
      </c>
      <c r="BC5206">
        <v>0</v>
      </c>
      <c r="BD5206">
        <v>0</v>
      </c>
      <c r="BE5206">
        <v>0</v>
      </c>
      <c r="BF5206">
        <v>5</v>
      </c>
      <c r="BG5206">
        <v>0</v>
      </c>
    </row>
    <row r="5207" spans="1:59">
      <c r="A5207" s="1">
        <f>HYPERLINK("https://lsnyc.legalserver.org/matter/dynamic-profile/view/1909444","19-1909444")</f>
        <v>0</v>
      </c>
      <c r="B5207" t="s">
        <v>4135</v>
      </c>
      <c r="C5207" t="s">
        <v>8962</v>
      </c>
      <c r="D5207" t="s">
        <v>9926</v>
      </c>
      <c r="E5207" t="s">
        <v>10075</v>
      </c>
      <c r="F5207">
        <v>10460</v>
      </c>
      <c r="G5207" t="s">
        <v>10090</v>
      </c>
      <c r="H5207" t="s">
        <v>10099</v>
      </c>
      <c r="I5207" t="s">
        <v>10168</v>
      </c>
      <c r="J5207" t="s">
        <v>10210</v>
      </c>
      <c r="K5207" t="s">
        <v>10218</v>
      </c>
      <c r="L5207" t="s">
        <v>10163</v>
      </c>
      <c r="M5207" t="s">
        <v>10404</v>
      </c>
      <c r="N5207" t="s">
        <v>10666</v>
      </c>
      <c r="P5207" t="s">
        <v>10749</v>
      </c>
      <c r="Q5207" t="s">
        <v>10765</v>
      </c>
      <c r="R5207" t="s">
        <v>10824</v>
      </c>
      <c r="T5207">
        <v>22000</v>
      </c>
      <c r="U5207">
        <v>1833.33</v>
      </c>
      <c r="V5207">
        <v>27</v>
      </c>
      <c r="W5207">
        <v>1</v>
      </c>
      <c r="X5207">
        <v>2</v>
      </c>
      <c r="Y5207" t="s">
        <v>10829</v>
      </c>
      <c r="Z5207">
        <v>103.14</v>
      </c>
      <c r="AA5207">
        <v>40.833081</v>
      </c>
      <c r="AB5207">
        <v>-73.884788</v>
      </c>
      <c r="AD5207" t="s">
        <v>10839</v>
      </c>
      <c r="AG5207" t="s">
        <v>10858</v>
      </c>
      <c r="AH5207" t="s">
        <v>10862</v>
      </c>
      <c r="AI5207">
        <v>230</v>
      </c>
      <c r="AJ5207" t="s">
        <v>10210</v>
      </c>
      <c r="AK5207" t="s">
        <v>10838</v>
      </c>
      <c r="AL5207">
        <v>11.2</v>
      </c>
      <c r="AM5207" t="s">
        <v>10884</v>
      </c>
      <c r="AN5207" t="s">
        <v>10968</v>
      </c>
      <c r="AO5207" t="s">
        <v>11001</v>
      </c>
      <c r="AP5207" t="s">
        <v>11062</v>
      </c>
      <c r="AR5207" t="s">
        <v>11355</v>
      </c>
      <c r="AS5207" t="s">
        <v>9926</v>
      </c>
      <c r="AT5207" t="s">
        <v>11641</v>
      </c>
      <c r="AY5207" t="s">
        <v>10829</v>
      </c>
      <c r="AZ5207" t="s">
        <v>11681</v>
      </c>
      <c r="BA5207" t="s">
        <v>11741</v>
      </c>
      <c r="BB5207">
        <v>0</v>
      </c>
      <c r="BC5207">
        <v>0</v>
      </c>
      <c r="BD5207">
        <v>0</v>
      </c>
      <c r="BE5207">
        <v>0</v>
      </c>
      <c r="BF5207">
        <v>1</v>
      </c>
      <c r="BG5207">
        <v>0</v>
      </c>
    </row>
    <row r="5208" spans="1:59">
      <c r="A5208" s="1">
        <f>HYPERLINK("https://lsnyc.legalserver.org/matter/dynamic-profile/view/1909445","19-1909445")</f>
        <v>0</v>
      </c>
      <c r="B5208" t="s">
        <v>1155</v>
      </c>
      <c r="C5208" t="s">
        <v>8963</v>
      </c>
      <c r="D5208" t="s">
        <v>9928</v>
      </c>
      <c r="E5208" t="s">
        <v>10075</v>
      </c>
      <c r="F5208">
        <v>11238</v>
      </c>
      <c r="G5208" t="s">
        <v>10093</v>
      </c>
      <c r="H5208" t="s">
        <v>10159</v>
      </c>
      <c r="I5208" t="s">
        <v>10168</v>
      </c>
      <c r="J5208" t="s">
        <v>10213</v>
      </c>
      <c r="K5208" t="s">
        <v>10217</v>
      </c>
      <c r="M5208" t="s">
        <v>10583</v>
      </c>
      <c r="N5208" t="s">
        <v>10671</v>
      </c>
      <c r="P5208" t="s">
        <v>10749</v>
      </c>
      <c r="Q5208" t="s">
        <v>10765</v>
      </c>
      <c r="R5208" t="s">
        <v>10824</v>
      </c>
      <c r="T5208">
        <v>5096</v>
      </c>
      <c r="U5208">
        <v>424.67</v>
      </c>
      <c r="V5208">
        <v>63</v>
      </c>
      <c r="W5208">
        <v>3</v>
      </c>
      <c r="X5208">
        <v>1</v>
      </c>
      <c r="Z5208">
        <v>19.79</v>
      </c>
      <c r="AA5208">
        <v>40.677494</v>
      </c>
      <c r="AB5208">
        <v>-73.96184100000001</v>
      </c>
      <c r="AD5208" t="s">
        <v>10839</v>
      </c>
      <c r="AG5208" t="s">
        <v>10858</v>
      </c>
      <c r="AH5208" t="s">
        <v>10862</v>
      </c>
      <c r="AI5208">
        <v>234</v>
      </c>
      <c r="AJ5208" t="s">
        <v>10214</v>
      </c>
      <c r="AL5208">
        <v>0.7</v>
      </c>
      <c r="AM5208" t="s">
        <v>10888</v>
      </c>
      <c r="AN5208" t="s">
        <v>10923</v>
      </c>
      <c r="AO5208" t="s">
        <v>11005</v>
      </c>
      <c r="AP5208" t="s">
        <v>11061</v>
      </c>
      <c r="AR5208" t="s">
        <v>11255</v>
      </c>
      <c r="AS5208" t="s">
        <v>11595</v>
      </c>
      <c r="AT5208" t="s">
        <v>11641</v>
      </c>
      <c r="AX5208" t="s">
        <v>10838</v>
      </c>
      <c r="BA5208" t="s">
        <v>11741</v>
      </c>
      <c r="BB5208">
        <v>0</v>
      </c>
      <c r="BC5208">
        <v>0</v>
      </c>
      <c r="BD5208">
        <v>0</v>
      </c>
      <c r="BE5208">
        <v>0</v>
      </c>
      <c r="BF5208">
        <v>1</v>
      </c>
      <c r="BG5208">
        <v>0</v>
      </c>
    </row>
    <row r="5209" spans="1:59">
      <c r="A5209" s="1">
        <f>HYPERLINK("https://lsnyc.legalserver.org/matter/dynamic-profile/view/1909446","19-1909446")</f>
        <v>0</v>
      </c>
      <c r="B5209" t="s">
        <v>4136</v>
      </c>
      <c r="C5209" t="s">
        <v>8964</v>
      </c>
      <c r="D5209" t="s">
        <v>9930</v>
      </c>
      <c r="E5209" t="s">
        <v>10075</v>
      </c>
      <c r="F5209">
        <v>11373</v>
      </c>
      <c r="G5209" t="s">
        <v>10092</v>
      </c>
      <c r="H5209" t="s">
        <v>10159</v>
      </c>
      <c r="I5209" t="s">
        <v>10169</v>
      </c>
      <c r="J5209" t="s">
        <v>10212</v>
      </c>
      <c r="K5209" t="s">
        <v>10217</v>
      </c>
      <c r="M5209" t="s">
        <v>10486</v>
      </c>
      <c r="N5209" t="s">
        <v>10673</v>
      </c>
      <c r="P5209" t="s">
        <v>10753</v>
      </c>
      <c r="Q5209" t="s">
        <v>10763</v>
      </c>
      <c r="R5209" t="s">
        <v>10823</v>
      </c>
      <c r="T5209">
        <v>10800</v>
      </c>
      <c r="U5209">
        <v>900</v>
      </c>
      <c r="V5209">
        <v>18</v>
      </c>
      <c r="W5209">
        <v>2</v>
      </c>
      <c r="X5209">
        <v>1</v>
      </c>
      <c r="Z5209">
        <v>50.63</v>
      </c>
      <c r="AA5209">
        <v>40.746268</v>
      </c>
      <c r="AB5209">
        <v>-73.885109</v>
      </c>
      <c r="AD5209" t="s">
        <v>10839</v>
      </c>
      <c r="AF5209" t="s">
        <v>10851</v>
      </c>
      <c r="AG5209" t="s">
        <v>10859</v>
      </c>
      <c r="AH5209" t="s">
        <v>10864</v>
      </c>
      <c r="AI5209">
        <v>237</v>
      </c>
      <c r="AJ5209" t="s">
        <v>10212</v>
      </c>
      <c r="AL5209">
        <v>3</v>
      </c>
      <c r="AM5209" t="s">
        <v>10885</v>
      </c>
      <c r="AN5209" t="s">
        <v>10949</v>
      </c>
      <c r="AO5209" t="s">
        <v>11014</v>
      </c>
      <c r="AP5209" t="s">
        <v>11053</v>
      </c>
      <c r="AQ5209" t="s">
        <v>11142</v>
      </c>
      <c r="AR5209" t="s">
        <v>10180</v>
      </c>
      <c r="AS5209" t="s">
        <v>11594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</row>
    <row r="5210" spans="1:59">
      <c r="A5210" s="1">
        <f>HYPERLINK("https://lsnyc.legalserver.org/matter/dynamic-profile/view/1909447","19-1909447")</f>
        <v>0</v>
      </c>
      <c r="B5210" t="s">
        <v>4137</v>
      </c>
      <c r="C5210" t="s">
        <v>8965</v>
      </c>
      <c r="D5210" t="s">
        <v>9926</v>
      </c>
      <c r="E5210" t="s">
        <v>10075</v>
      </c>
      <c r="F5210">
        <v>10458</v>
      </c>
      <c r="G5210" t="s">
        <v>10091</v>
      </c>
      <c r="H5210" t="s">
        <v>10159</v>
      </c>
      <c r="I5210" t="s">
        <v>10169</v>
      </c>
      <c r="J5210" t="s">
        <v>10214</v>
      </c>
      <c r="K5210" t="s">
        <v>10217</v>
      </c>
      <c r="M5210" t="s">
        <v>10286</v>
      </c>
      <c r="N5210" t="s">
        <v>10671</v>
      </c>
      <c r="P5210" t="s">
        <v>10749</v>
      </c>
      <c r="Q5210" t="s">
        <v>10765</v>
      </c>
      <c r="R5210" t="s">
        <v>10823</v>
      </c>
      <c r="T5210">
        <v>22608</v>
      </c>
      <c r="U5210">
        <v>1884</v>
      </c>
      <c r="V5210">
        <v>51</v>
      </c>
      <c r="W5210">
        <v>1</v>
      </c>
      <c r="X5210">
        <v>2</v>
      </c>
      <c r="Z5210">
        <v>105.99</v>
      </c>
      <c r="AA5210">
        <v>40.854693</v>
      </c>
      <c r="AB5210">
        <v>-73.882071</v>
      </c>
      <c r="AD5210" t="s">
        <v>10839</v>
      </c>
      <c r="AF5210" t="s">
        <v>10843</v>
      </c>
      <c r="AG5210" t="s">
        <v>10859</v>
      </c>
      <c r="AH5210" t="s">
        <v>10861</v>
      </c>
      <c r="AI5210">
        <v>234</v>
      </c>
      <c r="AJ5210" t="s">
        <v>10214</v>
      </c>
      <c r="AL5210">
        <v>1</v>
      </c>
      <c r="AM5210" t="s">
        <v>10884</v>
      </c>
      <c r="AN5210" t="s">
        <v>10907</v>
      </c>
      <c r="AO5210" t="s">
        <v>11000</v>
      </c>
      <c r="AP5210" t="s">
        <v>11056</v>
      </c>
      <c r="AR5210" t="s">
        <v>10180</v>
      </c>
      <c r="AS5210" t="s">
        <v>9926</v>
      </c>
      <c r="AT5210" t="s">
        <v>11641</v>
      </c>
      <c r="AX5210" t="s">
        <v>11678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</row>
    <row r="5211" spans="1:59">
      <c r="A5211" s="1">
        <f>HYPERLINK("https://lsnyc.legalserver.org/matter/dynamic-profile/view/1909448","19-1909448")</f>
        <v>0</v>
      </c>
      <c r="B5211" t="s">
        <v>4138</v>
      </c>
      <c r="C5211" t="s">
        <v>8966</v>
      </c>
      <c r="D5211" t="s">
        <v>9926</v>
      </c>
      <c r="E5211" t="s">
        <v>10075</v>
      </c>
      <c r="F5211">
        <v>10472</v>
      </c>
      <c r="G5211" t="s">
        <v>10090</v>
      </c>
      <c r="H5211" t="s">
        <v>10113</v>
      </c>
      <c r="I5211" t="s">
        <v>10169</v>
      </c>
      <c r="J5211" t="s">
        <v>10210</v>
      </c>
      <c r="K5211" t="s">
        <v>10217</v>
      </c>
      <c r="M5211" t="s">
        <v>10516</v>
      </c>
      <c r="N5211" t="s">
        <v>10677</v>
      </c>
      <c r="P5211" t="s">
        <v>10751</v>
      </c>
      <c r="Q5211" t="s">
        <v>10800</v>
      </c>
      <c r="R5211" t="s">
        <v>10821</v>
      </c>
      <c r="T5211">
        <v>14112</v>
      </c>
      <c r="U5211">
        <v>1176</v>
      </c>
      <c r="V5211">
        <v>79</v>
      </c>
      <c r="W5211">
        <v>1</v>
      </c>
      <c r="X5211">
        <v>0</v>
      </c>
      <c r="Z5211">
        <v>112.99</v>
      </c>
      <c r="AA5211">
        <v>40.832975</v>
      </c>
      <c r="AB5211">
        <v>-73.87569999999999</v>
      </c>
      <c r="AD5211" t="s">
        <v>10840</v>
      </c>
      <c r="AG5211" t="s">
        <v>10858</v>
      </c>
      <c r="AH5211" t="s">
        <v>10869</v>
      </c>
      <c r="AI5211">
        <v>230</v>
      </c>
      <c r="AJ5211" t="s">
        <v>10210</v>
      </c>
      <c r="AL5211">
        <v>8.449999999999999</v>
      </c>
      <c r="AM5211" t="s">
        <v>10884</v>
      </c>
      <c r="AN5211" t="s">
        <v>10968</v>
      </c>
      <c r="AO5211" t="s">
        <v>11001</v>
      </c>
      <c r="AP5211" t="s">
        <v>11046</v>
      </c>
      <c r="AR5211" t="s">
        <v>11300</v>
      </c>
      <c r="AS5211" t="s">
        <v>9926</v>
      </c>
      <c r="AT5211" t="s">
        <v>11642</v>
      </c>
      <c r="AW5211" t="s">
        <v>10840</v>
      </c>
      <c r="AX5211" t="s">
        <v>10838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</row>
    <row r="5212" spans="1:59">
      <c r="A5212" s="1">
        <f>HYPERLINK("https://lsnyc.legalserver.org/matter/dynamic-profile/view/1909449","19-1909449")</f>
        <v>0</v>
      </c>
      <c r="B5212" t="s">
        <v>4139</v>
      </c>
      <c r="C5212" t="s">
        <v>8967</v>
      </c>
      <c r="D5212" t="s">
        <v>9928</v>
      </c>
      <c r="E5212" t="s">
        <v>10075</v>
      </c>
      <c r="F5212">
        <v>11226</v>
      </c>
      <c r="G5212" t="s">
        <v>10093</v>
      </c>
      <c r="H5212" t="s">
        <v>10159</v>
      </c>
      <c r="I5212" t="s">
        <v>10168</v>
      </c>
      <c r="J5212" t="s">
        <v>10213</v>
      </c>
      <c r="K5212" t="s">
        <v>10217</v>
      </c>
      <c r="M5212" t="s">
        <v>10426</v>
      </c>
      <c r="N5212" t="s">
        <v>10671</v>
      </c>
      <c r="P5212" t="s">
        <v>10751</v>
      </c>
      <c r="Q5212" t="s">
        <v>10761</v>
      </c>
      <c r="R5212" t="s">
        <v>10822</v>
      </c>
      <c r="T5212">
        <v>44376</v>
      </c>
      <c r="U5212">
        <v>3698</v>
      </c>
      <c r="V5212">
        <v>46</v>
      </c>
      <c r="W5212">
        <v>3</v>
      </c>
      <c r="X5212">
        <v>1</v>
      </c>
      <c r="Z5212">
        <v>172.33</v>
      </c>
      <c r="AA5212">
        <v>40.647129</v>
      </c>
      <c r="AB5212">
        <v>-73.948033</v>
      </c>
      <c r="AC5212" t="s">
        <v>10837</v>
      </c>
      <c r="AD5212" t="s">
        <v>10839</v>
      </c>
      <c r="AG5212" t="s">
        <v>10858</v>
      </c>
      <c r="AH5212" t="s">
        <v>10874</v>
      </c>
      <c r="AI5212">
        <v>239</v>
      </c>
      <c r="AJ5212" t="s">
        <v>10213</v>
      </c>
      <c r="AL5212">
        <v>6.8</v>
      </c>
      <c r="AM5212" t="s">
        <v>10888</v>
      </c>
      <c r="AN5212" t="s">
        <v>10932</v>
      </c>
      <c r="AO5212" t="s">
        <v>11008</v>
      </c>
      <c r="AP5212" t="s">
        <v>11065</v>
      </c>
      <c r="AR5212" t="s">
        <v>11288</v>
      </c>
      <c r="AS5212" t="s">
        <v>11595</v>
      </c>
      <c r="BA5212" t="s">
        <v>11742</v>
      </c>
      <c r="BB5212">
        <v>0</v>
      </c>
      <c r="BC5212">
        <v>0</v>
      </c>
      <c r="BD5212">
        <v>0</v>
      </c>
      <c r="BE5212">
        <v>0</v>
      </c>
      <c r="BF5212">
        <v>7</v>
      </c>
      <c r="BG5212">
        <v>0</v>
      </c>
    </row>
    <row r="5213" spans="1:59">
      <c r="A5213" s="1">
        <f>HYPERLINK("https://lsnyc.legalserver.org/matter/dynamic-profile/view/1909450","19-1909450")</f>
        <v>0</v>
      </c>
      <c r="B5213" t="s">
        <v>4134</v>
      </c>
      <c r="C5213" t="s">
        <v>8961</v>
      </c>
      <c r="D5213" t="s">
        <v>9926</v>
      </c>
      <c r="E5213" t="s">
        <v>10075</v>
      </c>
      <c r="F5213">
        <v>10458</v>
      </c>
      <c r="G5213" t="s">
        <v>10090</v>
      </c>
      <c r="H5213" t="s">
        <v>10099</v>
      </c>
      <c r="I5213" t="s">
        <v>10168</v>
      </c>
      <c r="J5213" t="s">
        <v>10210</v>
      </c>
      <c r="K5213" t="s">
        <v>10217</v>
      </c>
      <c r="M5213" t="s">
        <v>10417</v>
      </c>
      <c r="N5213" t="s">
        <v>10671</v>
      </c>
      <c r="P5213" t="s">
        <v>10751</v>
      </c>
      <c r="Q5213" t="s">
        <v>10761</v>
      </c>
      <c r="R5213" t="s">
        <v>10822</v>
      </c>
      <c r="T5213">
        <v>9100</v>
      </c>
      <c r="U5213">
        <v>758.33</v>
      </c>
      <c r="V5213">
        <v>35</v>
      </c>
      <c r="W5213">
        <v>1</v>
      </c>
      <c r="X5213">
        <v>2</v>
      </c>
      <c r="Z5213">
        <v>42.66</v>
      </c>
      <c r="AA5213">
        <v>40.855797</v>
      </c>
      <c r="AB5213">
        <v>-73.88454</v>
      </c>
      <c r="AD5213" t="s">
        <v>10839</v>
      </c>
      <c r="AG5213" t="s">
        <v>10858</v>
      </c>
      <c r="AH5213" t="s">
        <v>10862</v>
      </c>
      <c r="AI5213">
        <v>230</v>
      </c>
      <c r="AJ5213" t="s">
        <v>10210</v>
      </c>
      <c r="AL5213">
        <v>0</v>
      </c>
      <c r="AM5213" t="s">
        <v>10884</v>
      </c>
      <c r="AN5213" t="s">
        <v>10907</v>
      </c>
      <c r="AO5213" t="s">
        <v>11000</v>
      </c>
      <c r="AP5213" t="s">
        <v>11056</v>
      </c>
      <c r="AR5213" t="s">
        <v>11255</v>
      </c>
      <c r="AS5213" t="s">
        <v>9926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</row>
    <row r="5214" spans="1:59">
      <c r="A5214" s="1">
        <f>HYPERLINK("https://lsnyc.legalserver.org/matter/dynamic-profile/view/1909451","19-1909451")</f>
        <v>0</v>
      </c>
      <c r="B5214" t="s">
        <v>4140</v>
      </c>
      <c r="C5214" t="s">
        <v>8968</v>
      </c>
      <c r="D5214" t="s">
        <v>9928</v>
      </c>
      <c r="E5214" t="s">
        <v>10075</v>
      </c>
      <c r="F5214">
        <v>11220</v>
      </c>
      <c r="G5214" t="s">
        <v>10093</v>
      </c>
      <c r="H5214" t="s">
        <v>10159</v>
      </c>
      <c r="I5214" t="s">
        <v>10168</v>
      </c>
      <c r="J5214" t="s">
        <v>10213</v>
      </c>
      <c r="K5214" t="s">
        <v>10217</v>
      </c>
      <c r="M5214" t="s">
        <v>10426</v>
      </c>
      <c r="N5214" t="s">
        <v>10671</v>
      </c>
      <c r="P5214" t="s">
        <v>10751</v>
      </c>
      <c r="Q5214" t="s">
        <v>10761</v>
      </c>
      <c r="R5214" t="s">
        <v>10821</v>
      </c>
      <c r="T5214">
        <v>0</v>
      </c>
      <c r="U5214">
        <v>0</v>
      </c>
      <c r="V5214">
        <v>42</v>
      </c>
      <c r="W5214">
        <v>3</v>
      </c>
      <c r="X5214">
        <v>1</v>
      </c>
      <c r="Z5214">
        <v>0</v>
      </c>
      <c r="AA5214">
        <v>40.641419</v>
      </c>
      <c r="AB5214">
        <v>-74.012227</v>
      </c>
      <c r="AD5214" t="s">
        <v>10839</v>
      </c>
      <c r="AG5214" t="s">
        <v>10858</v>
      </c>
      <c r="AH5214" t="s">
        <v>10874</v>
      </c>
      <c r="AI5214">
        <v>239</v>
      </c>
      <c r="AJ5214" t="s">
        <v>10213</v>
      </c>
      <c r="AL5214">
        <v>1.9</v>
      </c>
      <c r="AM5214" t="s">
        <v>10886</v>
      </c>
      <c r="AN5214" t="s">
        <v>10921</v>
      </c>
      <c r="AO5214" t="s">
        <v>11005</v>
      </c>
      <c r="AP5214" t="s">
        <v>11069</v>
      </c>
      <c r="AR5214" t="s">
        <v>11267</v>
      </c>
      <c r="AS5214" t="s">
        <v>11595</v>
      </c>
      <c r="BA5214" t="s">
        <v>11740</v>
      </c>
      <c r="BB5214">
        <v>0</v>
      </c>
      <c r="BC5214">
        <v>0</v>
      </c>
      <c r="BD5214">
        <v>0</v>
      </c>
      <c r="BE5214">
        <v>0</v>
      </c>
      <c r="BF5214">
        <v>2</v>
      </c>
      <c r="BG5214">
        <v>0</v>
      </c>
    </row>
    <row r="5215" spans="1:59">
      <c r="A5215" s="1">
        <f>HYPERLINK("https://lsnyc.legalserver.org/matter/dynamic-profile/view/1909452","19-1909452")</f>
        <v>0</v>
      </c>
      <c r="B5215" t="s">
        <v>4141</v>
      </c>
      <c r="C5215" t="s">
        <v>8969</v>
      </c>
      <c r="D5215" t="s">
        <v>9928</v>
      </c>
      <c r="E5215" t="s">
        <v>10075</v>
      </c>
      <c r="F5215">
        <v>11232</v>
      </c>
      <c r="G5215" t="s">
        <v>10093</v>
      </c>
      <c r="H5215" t="s">
        <v>10159</v>
      </c>
      <c r="I5215" t="s">
        <v>10169</v>
      </c>
      <c r="J5215" t="s">
        <v>10213</v>
      </c>
      <c r="K5215" t="s">
        <v>10217</v>
      </c>
      <c r="M5215" t="s">
        <v>10247</v>
      </c>
      <c r="N5215" t="s">
        <v>10657</v>
      </c>
      <c r="P5215" t="s">
        <v>10754</v>
      </c>
      <c r="Q5215" t="s">
        <v>10775</v>
      </c>
      <c r="R5215" t="s">
        <v>10821</v>
      </c>
      <c r="T5215">
        <v>0</v>
      </c>
      <c r="U5215">
        <v>0</v>
      </c>
      <c r="V5215">
        <v>39</v>
      </c>
      <c r="W5215">
        <v>2</v>
      </c>
      <c r="X5215">
        <v>1</v>
      </c>
      <c r="Z5215">
        <v>0</v>
      </c>
      <c r="AA5215">
        <v>40.651978</v>
      </c>
      <c r="AB5215">
        <v>-74.011154</v>
      </c>
      <c r="AD5215" t="s">
        <v>10839</v>
      </c>
      <c r="AF5215" t="s">
        <v>10843</v>
      </c>
      <c r="AG5215" t="s">
        <v>10859</v>
      </c>
      <c r="AH5215" t="s">
        <v>10862</v>
      </c>
      <c r="AI5215">
        <v>239</v>
      </c>
      <c r="AJ5215" t="s">
        <v>10213</v>
      </c>
      <c r="AL5215">
        <v>2.1</v>
      </c>
      <c r="AM5215" t="s">
        <v>10886</v>
      </c>
      <c r="AN5215" t="s">
        <v>10921</v>
      </c>
      <c r="AO5215" t="s">
        <v>11007</v>
      </c>
      <c r="AP5215" t="s">
        <v>11069</v>
      </c>
      <c r="AR5215" t="s">
        <v>11266</v>
      </c>
      <c r="AS5215" t="s">
        <v>11595</v>
      </c>
      <c r="AT5215" t="s">
        <v>11641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</row>
    <row r="5216" spans="1:59">
      <c r="A5216" s="1">
        <f>HYPERLINK("https://lsnyc.legalserver.org/matter/dynamic-profile/view/1909453","19-1909453")</f>
        <v>0</v>
      </c>
      <c r="B5216" t="s">
        <v>4142</v>
      </c>
      <c r="C5216" t="s">
        <v>8970</v>
      </c>
      <c r="D5216" t="s">
        <v>9928</v>
      </c>
      <c r="E5216" t="s">
        <v>10075</v>
      </c>
      <c r="F5216">
        <v>11220</v>
      </c>
      <c r="G5216" t="s">
        <v>10093</v>
      </c>
      <c r="H5216" t="s">
        <v>10159</v>
      </c>
      <c r="I5216" t="s">
        <v>10168</v>
      </c>
      <c r="J5216" t="s">
        <v>10213</v>
      </c>
      <c r="K5216" t="s">
        <v>10218</v>
      </c>
      <c r="L5216" t="s">
        <v>10099</v>
      </c>
      <c r="M5216" t="s">
        <v>10507</v>
      </c>
      <c r="N5216" t="s">
        <v>10657</v>
      </c>
      <c r="P5216" t="s">
        <v>10749</v>
      </c>
      <c r="Q5216" t="s">
        <v>10765</v>
      </c>
      <c r="R5216" t="s">
        <v>10824</v>
      </c>
      <c r="T5216">
        <v>55400</v>
      </c>
      <c r="U5216">
        <v>4616.67</v>
      </c>
      <c r="V5216">
        <v>48</v>
      </c>
      <c r="W5216">
        <v>2</v>
      </c>
      <c r="X5216">
        <v>2</v>
      </c>
      <c r="Y5216" t="s">
        <v>10829</v>
      </c>
      <c r="Z5216">
        <v>215.15</v>
      </c>
      <c r="AA5216">
        <v>40.646182</v>
      </c>
      <c r="AB5216">
        <v>-74.003517</v>
      </c>
      <c r="AD5216" t="s">
        <v>10840</v>
      </c>
      <c r="AG5216" t="s">
        <v>10858</v>
      </c>
      <c r="AH5216" t="s">
        <v>10862</v>
      </c>
      <c r="AI5216">
        <v>239</v>
      </c>
      <c r="AJ5216" t="s">
        <v>10213</v>
      </c>
      <c r="AK5216" t="s">
        <v>10882</v>
      </c>
      <c r="AL5216">
        <v>0.5</v>
      </c>
      <c r="AM5216" t="s">
        <v>10886</v>
      </c>
      <c r="AN5216" t="s">
        <v>10921</v>
      </c>
      <c r="AO5216" t="s">
        <v>11015</v>
      </c>
      <c r="AP5216" t="s">
        <v>11069</v>
      </c>
      <c r="AQ5216" t="s">
        <v>11101</v>
      </c>
      <c r="AR5216" t="s">
        <v>11332</v>
      </c>
      <c r="AS5216" t="s">
        <v>11595</v>
      </c>
      <c r="AT5216" t="s">
        <v>11642</v>
      </c>
      <c r="AX5216" t="s">
        <v>10838</v>
      </c>
      <c r="AY5216" t="s">
        <v>10829</v>
      </c>
      <c r="AZ5216" t="s">
        <v>11681</v>
      </c>
      <c r="BA5216" t="s">
        <v>11741</v>
      </c>
      <c r="BB5216">
        <v>0</v>
      </c>
      <c r="BC5216">
        <v>0</v>
      </c>
      <c r="BD5216">
        <v>0</v>
      </c>
      <c r="BE5216">
        <v>0</v>
      </c>
      <c r="BF5216">
        <v>1</v>
      </c>
      <c r="BG5216">
        <v>0</v>
      </c>
    </row>
    <row r="5217" spans="1:59">
      <c r="A5217" s="1">
        <f>HYPERLINK("https://lsnyc.legalserver.org/matter/dynamic-profile/view/1909456","19-1909456")</f>
        <v>0</v>
      </c>
      <c r="B5217" t="s">
        <v>4143</v>
      </c>
      <c r="C5217" t="s">
        <v>5348</v>
      </c>
      <c r="D5217" t="s">
        <v>9928</v>
      </c>
      <c r="E5217" t="s">
        <v>10075</v>
      </c>
      <c r="F5217">
        <v>11226</v>
      </c>
      <c r="G5217" t="s">
        <v>10093</v>
      </c>
      <c r="H5217" t="s">
        <v>10117</v>
      </c>
      <c r="I5217" t="s">
        <v>10168</v>
      </c>
      <c r="J5217" t="s">
        <v>10213</v>
      </c>
      <c r="K5217" t="s">
        <v>10217</v>
      </c>
      <c r="M5217" t="s">
        <v>10420</v>
      </c>
      <c r="N5217" t="s">
        <v>10649</v>
      </c>
      <c r="P5217" t="s">
        <v>10753</v>
      </c>
      <c r="Q5217" t="s">
        <v>10763</v>
      </c>
      <c r="R5217" t="s">
        <v>10824</v>
      </c>
      <c r="T5217">
        <v>0</v>
      </c>
      <c r="U5217">
        <v>0</v>
      </c>
      <c r="V5217">
        <v>15</v>
      </c>
      <c r="W5217">
        <v>3</v>
      </c>
      <c r="X5217">
        <v>3</v>
      </c>
      <c r="Z5217">
        <v>0</v>
      </c>
      <c r="AA5217">
        <v>40.654578</v>
      </c>
      <c r="AB5217">
        <v>-73.957684</v>
      </c>
      <c r="AD5217" t="s">
        <v>10839</v>
      </c>
      <c r="AF5217" t="s">
        <v>10849</v>
      </c>
      <c r="AG5217" t="s">
        <v>10859</v>
      </c>
      <c r="AH5217" t="s">
        <v>10864</v>
      </c>
      <c r="AI5217">
        <v>239</v>
      </c>
      <c r="AJ5217" t="s">
        <v>10213</v>
      </c>
      <c r="AL5217">
        <v>0.3</v>
      </c>
      <c r="AM5217" t="s">
        <v>10888</v>
      </c>
      <c r="AN5217" t="s">
        <v>10912</v>
      </c>
      <c r="AO5217" t="s">
        <v>11008</v>
      </c>
      <c r="AP5217" t="s">
        <v>11050</v>
      </c>
      <c r="AQ5217" t="s">
        <v>11109</v>
      </c>
      <c r="AR5217" t="s">
        <v>11279</v>
      </c>
      <c r="AS5217" t="s">
        <v>11595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</row>
    <row r="5218" spans="1:59">
      <c r="A5218" s="1">
        <f>HYPERLINK("https://lsnyc.legalserver.org/matter/dynamic-profile/view/1909457","19-1909457")</f>
        <v>0</v>
      </c>
      <c r="B5218" t="s">
        <v>4144</v>
      </c>
      <c r="C5218" t="s">
        <v>8971</v>
      </c>
      <c r="D5218" t="s">
        <v>9928</v>
      </c>
      <c r="E5218" t="s">
        <v>10075</v>
      </c>
      <c r="F5218">
        <v>11226</v>
      </c>
      <c r="G5218" t="s">
        <v>10093</v>
      </c>
      <c r="H5218" t="s">
        <v>10117</v>
      </c>
      <c r="I5218" t="s">
        <v>10168</v>
      </c>
      <c r="J5218" t="s">
        <v>10213</v>
      </c>
      <c r="K5218" t="s">
        <v>10217</v>
      </c>
      <c r="M5218" t="s">
        <v>10420</v>
      </c>
      <c r="N5218" t="s">
        <v>10649</v>
      </c>
      <c r="P5218" t="s">
        <v>10753</v>
      </c>
      <c r="Q5218" t="s">
        <v>10763</v>
      </c>
      <c r="R5218" t="s">
        <v>10823</v>
      </c>
      <c r="T5218">
        <v>0</v>
      </c>
      <c r="U5218">
        <v>0</v>
      </c>
      <c r="V5218">
        <v>38</v>
      </c>
      <c r="W5218">
        <v>2</v>
      </c>
      <c r="X5218">
        <v>3</v>
      </c>
      <c r="Z5218">
        <v>0</v>
      </c>
      <c r="AA5218">
        <v>40.654578</v>
      </c>
      <c r="AB5218">
        <v>-73.957684</v>
      </c>
      <c r="AD5218" t="s">
        <v>10839</v>
      </c>
      <c r="AF5218" t="s">
        <v>10855</v>
      </c>
      <c r="AG5218" t="s">
        <v>10859</v>
      </c>
      <c r="AH5218" t="s">
        <v>10864</v>
      </c>
      <c r="AI5218">
        <v>239</v>
      </c>
      <c r="AJ5218" t="s">
        <v>10213</v>
      </c>
      <c r="AL5218">
        <v>0.3</v>
      </c>
      <c r="AM5218" t="s">
        <v>10888</v>
      </c>
      <c r="AN5218" t="s">
        <v>10912</v>
      </c>
      <c r="AO5218" t="s">
        <v>11008</v>
      </c>
      <c r="AP5218" t="s">
        <v>11050</v>
      </c>
      <c r="AQ5218" t="s">
        <v>11109</v>
      </c>
      <c r="AR5218" t="s">
        <v>11267</v>
      </c>
      <c r="AS5218" t="s">
        <v>11595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</row>
    <row r="5219" spans="1:59">
      <c r="A5219" s="1">
        <f>HYPERLINK("https://lsnyc.legalserver.org/matter/dynamic-profile/view/1909458","19-1909458")</f>
        <v>0</v>
      </c>
      <c r="B5219" t="s">
        <v>4145</v>
      </c>
      <c r="C5219" t="s">
        <v>8972</v>
      </c>
      <c r="D5219" t="s">
        <v>9925</v>
      </c>
      <c r="E5219" t="s">
        <v>10075</v>
      </c>
      <c r="F5219">
        <v>10009</v>
      </c>
      <c r="G5219" t="s">
        <v>10089</v>
      </c>
      <c r="H5219" t="s">
        <v>10099</v>
      </c>
      <c r="I5219" t="s">
        <v>10168</v>
      </c>
      <c r="J5219" t="s">
        <v>10209</v>
      </c>
      <c r="K5219" t="s">
        <v>10218</v>
      </c>
      <c r="L5219" t="s">
        <v>10137</v>
      </c>
      <c r="M5219" t="s">
        <v>10403</v>
      </c>
      <c r="N5219" t="s">
        <v>10691</v>
      </c>
      <c r="P5219" t="s">
        <v>10750</v>
      </c>
      <c r="Q5219" t="s">
        <v>10760</v>
      </c>
      <c r="R5219" t="s">
        <v>10820</v>
      </c>
      <c r="T5219">
        <v>22416</v>
      </c>
      <c r="U5219">
        <v>1868</v>
      </c>
      <c r="V5219">
        <v>56</v>
      </c>
      <c r="W5219">
        <v>2</v>
      </c>
      <c r="X5219">
        <v>0</v>
      </c>
      <c r="Y5219" t="s">
        <v>10829</v>
      </c>
      <c r="Z5219">
        <v>132.56</v>
      </c>
      <c r="AA5219">
        <v>40.72721</v>
      </c>
      <c r="AB5219">
        <v>-73.98388799999999</v>
      </c>
      <c r="AD5219" t="s">
        <v>10839</v>
      </c>
      <c r="AG5219" t="s">
        <v>10858</v>
      </c>
      <c r="AH5219" t="s">
        <v>10876</v>
      </c>
      <c r="AI5219">
        <v>236</v>
      </c>
      <c r="AJ5219" t="s">
        <v>10209</v>
      </c>
      <c r="AK5219" t="s">
        <v>10838</v>
      </c>
      <c r="AL5219">
        <v>3.3</v>
      </c>
      <c r="AM5219" t="s">
        <v>10891</v>
      </c>
      <c r="AN5219" t="s">
        <v>10910</v>
      </c>
      <c r="AO5219" t="s">
        <v>11021</v>
      </c>
      <c r="AP5219" t="s">
        <v>11048</v>
      </c>
      <c r="AQ5219" t="s">
        <v>11157</v>
      </c>
      <c r="AR5219" t="s">
        <v>11543</v>
      </c>
      <c r="AS5219" t="s">
        <v>9925</v>
      </c>
      <c r="AT5219" t="s">
        <v>11641</v>
      </c>
      <c r="AX5219" t="s">
        <v>10837</v>
      </c>
      <c r="AY5219" t="s">
        <v>10829</v>
      </c>
      <c r="AZ5219" t="s">
        <v>11679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</row>
    <row r="5220" spans="1:59">
      <c r="A5220" s="1">
        <f>HYPERLINK("https://lsnyc.legalserver.org/matter/dynamic-profile/view/1909461","19-1909461")</f>
        <v>0</v>
      </c>
      <c r="B5220" t="s">
        <v>4146</v>
      </c>
      <c r="C5220" t="s">
        <v>8973</v>
      </c>
      <c r="D5220" t="s">
        <v>9949</v>
      </c>
      <c r="E5220" t="s">
        <v>10075</v>
      </c>
      <c r="F5220">
        <v>11413</v>
      </c>
      <c r="G5220" t="s">
        <v>10092</v>
      </c>
      <c r="H5220" t="s">
        <v>10099</v>
      </c>
      <c r="I5220" t="s">
        <v>10168</v>
      </c>
      <c r="J5220" t="s">
        <v>10212</v>
      </c>
      <c r="K5220" t="s">
        <v>10217</v>
      </c>
      <c r="M5220" t="s">
        <v>10318</v>
      </c>
      <c r="N5220" t="s">
        <v>10684</v>
      </c>
      <c r="P5220" t="s">
        <v>10751</v>
      </c>
      <c r="Q5220" t="s">
        <v>10786</v>
      </c>
      <c r="R5220" t="s">
        <v>10824</v>
      </c>
      <c r="T5220">
        <v>0</v>
      </c>
      <c r="U5220">
        <v>0</v>
      </c>
      <c r="V5220">
        <v>34</v>
      </c>
      <c r="W5220">
        <v>1</v>
      </c>
      <c r="X5220">
        <v>1</v>
      </c>
      <c r="Z5220">
        <v>0</v>
      </c>
      <c r="AA5220">
        <v>40.658325</v>
      </c>
      <c r="AB5220">
        <v>-73.75318900000001</v>
      </c>
      <c r="AD5220" t="s">
        <v>10839</v>
      </c>
      <c r="AG5220" t="s">
        <v>10858</v>
      </c>
      <c r="AH5220" t="s">
        <v>10873</v>
      </c>
      <c r="AI5220">
        <v>237</v>
      </c>
      <c r="AJ5220" t="s">
        <v>10212</v>
      </c>
      <c r="AL5220">
        <v>2</v>
      </c>
      <c r="AM5220" t="s">
        <v>10892</v>
      </c>
      <c r="AN5220" t="s">
        <v>10930</v>
      </c>
      <c r="AO5220" t="s">
        <v>11017</v>
      </c>
      <c r="AP5220" t="s">
        <v>11082</v>
      </c>
      <c r="AR5220" t="s">
        <v>11267</v>
      </c>
      <c r="AS5220" t="s">
        <v>11594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</row>
    <row r="5221" spans="1:59">
      <c r="A5221" s="1">
        <f>HYPERLINK("https://lsnyc.legalserver.org/matter/dynamic-profile/view/1909462","19-1909462")</f>
        <v>0</v>
      </c>
      <c r="B5221" t="s">
        <v>4147</v>
      </c>
      <c r="C5221" t="s">
        <v>8974</v>
      </c>
      <c r="D5221" t="s">
        <v>9926</v>
      </c>
      <c r="E5221" t="s">
        <v>10075</v>
      </c>
      <c r="F5221">
        <v>10467</v>
      </c>
      <c r="G5221" t="s">
        <v>10090</v>
      </c>
      <c r="H5221" t="s">
        <v>10099</v>
      </c>
      <c r="I5221" t="s">
        <v>10169</v>
      </c>
      <c r="J5221" t="s">
        <v>10210</v>
      </c>
      <c r="K5221" t="s">
        <v>10217</v>
      </c>
      <c r="M5221" t="s">
        <v>10297</v>
      </c>
      <c r="N5221" t="s">
        <v>10651</v>
      </c>
      <c r="P5221" t="s">
        <v>10749</v>
      </c>
      <c r="Q5221" t="s">
        <v>10765</v>
      </c>
      <c r="R5221" t="s">
        <v>10823</v>
      </c>
      <c r="T5221">
        <v>29000</v>
      </c>
      <c r="U5221">
        <v>2416.67</v>
      </c>
      <c r="V5221">
        <v>42</v>
      </c>
      <c r="W5221">
        <v>1</v>
      </c>
      <c r="X5221">
        <v>1</v>
      </c>
      <c r="Z5221">
        <v>171.5</v>
      </c>
      <c r="AA5221">
        <v>40.879908</v>
      </c>
      <c r="AB5221">
        <v>-73.87277400000001</v>
      </c>
      <c r="AD5221" t="s">
        <v>10839</v>
      </c>
      <c r="AF5221" t="s">
        <v>10843</v>
      </c>
      <c r="AG5221" t="s">
        <v>10859</v>
      </c>
      <c r="AH5221" t="s">
        <v>10861</v>
      </c>
      <c r="AI5221">
        <v>230</v>
      </c>
      <c r="AJ5221" t="s">
        <v>10210</v>
      </c>
      <c r="AL5221">
        <v>2.1</v>
      </c>
      <c r="AM5221" t="s">
        <v>10887</v>
      </c>
      <c r="AN5221" t="s">
        <v>10919</v>
      </c>
      <c r="AO5221" t="s">
        <v>11010</v>
      </c>
      <c r="AP5221" t="s">
        <v>11057</v>
      </c>
      <c r="AR5221" t="s">
        <v>11257</v>
      </c>
      <c r="AS5221" t="s">
        <v>9926</v>
      </c>
      <c r="AT5221" t="s">
        <v>11641</v>
      </c>
      <c r="AX5221" t="s">
        <v>10838</v>
      </c>
      <c r="BA5221" t="s">
        <v>11738</v>
      </c>
      <c r="BB5221">
        <v>0</v>
      </c>
      <c r="BC5221">
        <v>0</v>
      </c>
      <c r="BD5221">
        <v>0</v>
      </c>
      <c r="BE5221">
        <v>0</v>
      </c>
      <c r="BF5221">
        <v>5</v>
      </c>
      <c r="BG5221">
        <v>0</v>
      </c>
    </row>
    <row r="5222" spans="1:59">
      <c r="A5222" s="1">
        <f>HYPERLINK("https://lsnyc.legalserver.org/matter/dynamic-profile/view/1909463","19-1909463")</f>
        <v>0</v>
      </c>
      <c r="B5222" t="s">
        <v>4148</v>
      </c>
      <c r="C5222" t="s">
        <v>8975</v>
      </c>
      <c r="D5222" t="s">
        <v>9931</v>
      </c>
      <c r="E5222" t="s">
        <v>10075</v>
      </c>
      <c r="F5222">
        <v>11367</v>
      </c>
      <c r="G5222" t="s">
        <v>10092</v>
      </c>
      <c r="H5222" t="s">
        <v>10099</v>
      </c>
      <c r="I5222" t="s">
        <v>10168</v>
      </c>
      <c r="J5222" t="s">
        <v>10212</v>
      </c>
      <c r="K5222" t="s">
        <v>10217</v>
      </c>
      <c r="M5222" t="s">
        <v>10484</v>
      </c>
      <c r="N5222" t="s">
        <v>10695</v>
      </c>
      <c r="P5222" t="s">
        <v>10749</v>
      </c>
      <c r="Q5222" t="s">
        <v>10765</v>
      </c>
      <c r="R5222" t="s">
        <v>10820</v>
      </c>
      <c r="T5222">
        <v>14628</v>
      </c>
      <c r="U5222">
        <v>1219</v>
      </c>
      <c r="V5222">
        <v>56</v>
      </c>
      <c r="W5222">
        <v>1</v>
      </c>
      <c r="X5222">
        <v>0</v>
      </c>
      <c r="Z5222">
        <v>117.12</v>
      </c>
      <c r="AA5222">
        <v>40.720262</v>
      </c>
      <c r="AB5222">
        <v>-73.82532500000001</v>
      </c>
      <c r="AD5222" t="s">
        <v>10839</v>
      </c>
      <c r="AG5222" t="s">
        <v>10858</v>
      </c>
      <c r="AH5222" t="s">
        <v>10862</v>
      </c>
      <c r="AI5222">
        <v>237</v>
      </c>
      <c r="AJ5222" t="s">
        <v>10212</v>
      </c>
      <c r="AL5222">
        <v>2.5</v>
      </c>
      <c r="AM5222" t="s">
        <v>10890</v>
      </c>
      <c r="AN5222" t="s">
        <v>10962</v>
      </c>
      <c r="AO5222" t="s">
        <v>11024</v>
      </c>
      <c r="AP5222" t="s">
        <v>11081</v>
      </c>
      <c r="AR5222" t="s">
        <v>11268</v>
      </c>
      <c r="AS5222" t="s">
        <v>11594</v>
      </c>
      <c r="BA5222" t="s">
        <v>11742</v>
      </c>
      <c r="BB5222">
        <v>0</v>
      </c>
      <c r="BC5222">
        <v>0</v>
      </c>
      <c r="BD5222">
        <v>0</v>
      </c>
      <c r="BE5222">
        <v>0</v>
      </c>
      <c r="BF5222">
        <v>7</v>
      </c>
      <c r="BG5222">
        <v>0</v>
      </c>
    </row>
    <row r="5223" spans="1:59">
      <c r="A5223" s="1">
        <f>HYPERLINK("https://lsnyc.legalserver.org/matter/dynamic-profile/view/1909464","19-1909464")</f>
        <v>0</v>
      </c>
      <c r="B5223" t="s">
        <v>4149</v>
      </c>
      <c r="C5223" t="s">
        <v>6286</v>
      </c>
      <c r="D5223" t="s">
        <v>9926</v>
      </c>
      <c r="E5223" t="s">
        <v>10075</v>
      </c>
      <c r="F5223">
        <v>10467</v>
      </c>
      <c r="G5223" t="s">
        <v>10090</v>
      </c>
      <c r="H5223" t="s">
        <v>10099</v>
      </c>
      <c r="I5223" t="s">
        <v>10168</v>
      </c>
      <c r="J5223" t="s">
        <v>10210</v>
      </c>
      <c r="K5223" t="s">
        <v>10217</v>
      </c>
      <c r="M5223" t="s">
        <v>10418</v>
      </c>
      <c r="N5223" t="s">
        <v>10651</v>
      </c>
      <c r="P5223" t="s">
        <v>10749</v>
      </c>
      <c r="Q5223" t="s">
        <v>10765</v>
      </c>
      <c r="R5223" t="s">
        <v>10826</v>
      </c>
      <c r="T5223">
        <v>24180</v>
      </c>
      <c r="U5223">
        <v>2015</v>
      </c>
      <c r="V5223">
        <v>46</v>
      </c>
      <c r="W5223">
        <v>1</v>
      </c>
      <c r="X5223">
        <v>0</v>
      </c>
      <c r="Z5223">
        <v>193.59</v>
      </c>
      <c r="AA5223">
        <v>40.883987</v>
      </c>
      <c r="AB5223">
        <v>-73.86593499999999</v>
      </c>
      <c r="AD5223" t="s">
        <v>10839</v>
      </c>
      <c r="AF5223" t="s">
        <v>10843</v>
      </c>
      <c r="AG5223" t="s">
        <v>10859</v>
      </c>
      <c r="AH5223" t="s">
        <v>10862</v>
      </c>
      <c r="AI5223">
        <v>230</v>
      </c>
      <c r="AJ5223" t="s">
        <v>10210</v>
      </c>
      <c r="AL5223">
        <v>5</v>
      </c>
      <c r="AM5223" t="s">
        <v>10893</v>
      </c>
      <c r="AN5223" t="s">
        <v>10956</v>
      </c>
      <c r="AO5223" t="s">
        <v>11010</v>
      </c>
      <c r="AP5223" t="s">
        <v>11085</v>
      </c>
      <c r="AR5223" t="s">
        <v>11257</v>
      </c>
      <c r="AS5223" t="s">
        <v>9926</v>
      </c>
      <c r="AT5223" t="s">
        <v>11641</v>
      </c>
      <c r="AX5223" t="s">
        <v>10837</v>
      </c>
      <c r="BA5223" t="s">
        <v>11738</v>
      </c>
      <c r="BB5223">
        <v>0</v>
      </c>
      <c r="BC5223">
        <v>0</v>
      </c>
      <c r="BD5223">
        <v>0</v>
      </c>
      <c r="BE5223">
        <v>0</v>
      </c>
      <c r="BF5223">
        <v>5</v>
      </c>
      <c r="BG5223">
        <v>0</v>
      </c>
    </row>
    <row r="5224" spans="1:59">
      <c r="A5224" s="1">
        <f>HYPERLINK("https://lsnyc.legalserver.org/matter/dynamic-profile/view/1909465","19-1909465")</f>
        <v>0</v>
      </c>
      <c r="B5224" t="s">
        <v>4150</v>
      </c>
      <c r="C5224" t="s">
        <v>8976</v>
      </c>
      <c r="D5224" t="s">
        <v>9928</v>
      </c>
      <c r="E5224" t="s">
        <v>10075</v>
      </c>
      <c r="F5224">
        <v>11207</v>
      </c>
      <c r="G5224" t="s">
        <v>10093</v>
      </c>
      <c r="H5224" t="s">
        <v>10099</v>
      </c>
      <c r="I5224" t="s">
        <v>10168</v>
      </c>
      <c r="J5224" t="s">
        <v>10213</v>
      </c>
      <c r="K5224" t="s">
        <v>10217</v>
      </c>
      <c r="M5224" t="s">
        <v>10405</v>
      </c>
      <c r="N5224" t="s">
        <v>10650</v>
      </c>
      <c r="P5224" t="s">
        <v>10749</v>
      </c>
      <c r="Q5224" t="s">
        <v>10765</v>
      </c>
      <c r="R5224" t="s">
        <v>10824</v>
      </c>
      <c r="T5224">
        <v>24000</v>
      </c>
      <c r="U5224">
        <v>2000</v>
      </c>
      <c r="V5224">
        <v>75</v>
      </c>
      <c r="W5224">
        <v>1</v>
      </c>
      <c r="X5224">
        <v>0</v>
      </c>
      <c r="Z5224">
        <v>192.15</v>
      </c>
      <c r="AA5224">
        <v>40.659365</v>
      </c>
      <c r="AB5224">
        <v>-73.894795</v>
      </c>
      <c r="AD5224" t="s">
        <v>10839</v>
      </c>
      <c r="AG5224" t="s">
        <v>10858</v>
      </c>
      <c r="AH5224" t="s">
        <v>10862</v>
      </c>
      <c r="AI5224">
        <v>239</v>
      </c>
      <c r="AJ5224" t="s">
        <v>10213</v>
      </c>
      <c r="AK5224" t="s">
        <v>10838</v>
      </c>
      <c r="AL5224">
        <v>2.3</v>
      </c>
      <c r="AM5224" t="s">
        <v>10889</v>
      </c>
      <c r="AN5224" t="s">
        <v>10946</v>
      </c>
      <c r="AO5224" t="s">
        <v>11012</v>
      </c>
      <c r="AP5224" t="s">
        <v>11060</v>
      </c>
      <c r="AR5224" t="s">
        <v>11300</v>
      </c>
      <c r="AS5224" t="s">
        <v>11595</v>
      </c>
      <c r="AT5224" t="s">
        <v>11641</v>
      </c>
      <c r="AW5224" t="s">
        <v>11645</v>
      </c>
      <c r="BA5224" t="s">
        <v>11742</v>
      </c>
      <c r="BB5224">
        <v>0</v>
      </c>
      <c r="BC5224">
        <v>0</v>
      </c>
      <c r="BD5224">
        <v>0</v>
      </c>
      <c r="BE5224">
        <v>0</v>
      </c>
      <c r="BF5224">
        <v>7</v>
      </c>
      <c r="BG5224">
        <v>0</v>
      </c>
    </row>
    <row r="5225" spans="1:59">
      <c r="A5225" s="1">
        <f>HYPERLINK("https://lsnyc.legalserver.org/matter/dynamic-profile/view/1909466","19-1909466")</f>
        <v>0</v>
      </c>
      <c r="B5225" t="s">
        <v>716</v>
      </c>
      <c r="C5225" t="s">
        <v>8977</v>
      </c>
      <c r="D5225" t="s">
        <v>9929</v>
      </c>
      <c r="E5225" t="s">
        <v>10075</v>
      </c>
      <c r="F5225">
        <v>10301</v>
      </c>
      <c r="G5225" t="s">
        <v>10089</v>
      </c>
      <c r="H5225" t="s">
        <v>10159</v>
      </c>
      <c r="I5225" t="s">
        <v>10168</v>
      </c>
      <c r="J5225" t="s">
        <v>10209</v>
      </c>
      <c r="K5225" t="s">
        <v>10218</v>
      </c>
      <c r="L5225" t="s">
        <v>10135</v>
      </c>
      <c r="M5225" t="s">
        <v>10288</v>
      </c>
      <c r="N5225" t="s">
        <v>10688</v>
      </c>
      <c r="P5225" t="s">
        <v>10756</v>
      </c>
      <c r="Q5225" t="s">
        <v>10792</v>
      </c>
      <c r="R5225" t="s">
        <v>10824</v>
      </c>
      <c r="T5225">
        <v>9972</v>
      </c>
      <c r="U5225">
        <v>831</v>
      </c>
      <c r="V5225">
        <v>69</v>
      </c>
      <c r="W5225">
        <v>1</v>
      </c>
      <c r="X5225">
        <v>0</v>
      </c>
      <c r="Y5225" t="s">
        <v>10829</v>
      </c>
      <c r="Z5225">
        <v>79.84</v>
      </c>
      <c r="AA5225">
        <v>40.63756</v>
      </c>
      <c r="AB5225">
        <v>-74.08223</v>
      </c>
      <c r="AD5225" t="s">
        <v>10839</v>
      </c>
      <c r="AG5225" t="s">
        <v>10858</v>
      </c>
      <c r="AH5225" t="s">
        <v>10861</v>
      </c>
      <c r="AI5225">
        <v>236</v>
      </c>
      <c r="AJ5225" t="s">
        <v>10209</v>
      </c>
      <c r="AK5225" t="s">
        <v>10838</v>
      </c>
      <c r="AL5225">
        <v>1.25</v>
      </c>
      <c r="AM5225" t="s">
        <v>10883</v>
      </c>
      <c r="AN5225" t="s">
        <v>10913</v>
      </c>
      <c r="AO5225" t="s">
        <v>11006</v>
      </c>
      <c r="AP5225" t="s">
        <v>11051</v>
      </c>
      <c r="AR5225" t="s">
        <v>11300</v>
      </c>
      <c r="AS5225" t="s">
        <v>11593</v>
      </c>
      <c r="AT5225" t="s">
        <v>11641</v>
      </c>
      <c r="AY5225" t="s">
        <v>10829</v>
      </c>
      <c r="AZ5225" t="s">
        <v>11708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</row>
    <row r="5226" spans="1:59">
      <c r="A5226" s="1">
        <f>HYPERLINK("https://lsnyc.legalserver.org/matter/dynamic-profile/view/1909467","19-1909467")</f>
        <v>0</v>
      </c>
      <c r="B5226" t="s">
        <v>3109</v>
      </c>
      <c r="C5226" t="s">
        <v>8978</v>
      </c>
      <c r="D5226" t="s">
        <v>9926</v>
      </c>
      <c r="E5226" t="s">
        <v>10075</v>
      </c>
      <c r="F5226">
        <v>10453</v>
      </c>
      <c r="G5226" t="s">
        <v>10090</v>
      </c>
      <c r="H5226" t="s">
        <v>10099</v>
      </c>
      <c r="I5226" t="s">
        <v>10168</v>
      </c>
      <c r="J5226" t="s">
        <v>10210</v>
      </c>
      <c r="K5226" t="s">
        <v>10217</v>
      </c>
      <c r="M5226" t="s">
        <v>10271</v>
      </c>
      <c r="N5226" t="s">
        <v>10666</v>
      </c>
      <c r="P5226" t="s">
        <v>10749</v>
      </c>
      <c r="Q5226" t="s">
        <v>10765</v>
      </c>
      <c r="R5226" t="s">
        <v>10821</v>
      </c>
      <c r="T5226">
        <v>0</v>
      </c>
      <c r="U5226">
        <v>0</v>
      </c>
      <c r="V5226">
        <v>31</v>
      </c>
      <c r="W5226">
        <v>1</v>
      </c>
      <c r="X5226">
        <v>0</v>
      </c>
      <c r="Z5226">
        <v>0</v>
      </c>
      <c r="AA5226">
        <v>40.852623</v>
      </c>
      <c r="AB5226">
        <v>-73.916664</v>
      </c>
      <c r="AD5226" t="s">
        <v>10840</v>
      </c>
      <c r="AG5226" t="s">
        <v>10858</v>
      </c>
      <c r="AH5226" t="s">
        <v>10861</v>
      </c>
      <c r="AI5226">
        <v>230</v>
      </c>
      <c r="AJ5226" t="s">
        <v>10210</v>
      </c>
      <c r="AL5226">
        <v>3.25</v>
      </c>
      <c r="AM5226" t="s">
        <v>10884</v>
      </c>
      <c r="AN5226" t="s">
        <v>10931</v>
      </c>
      <c r="AO5226" t="s">
        <v>11013</v>
      </c>
      <c r="AP5226" t="s">
        <v>11045</v>
      </c>
      <c r="AR5226" t="s">
        <v>11257</v>
      </c>
      <c r="AS5226" t="s">
        <v>9926</v>
      </c>
      <c r="AT5226" t="s">
        <v>11642</v>
      </c>
      <c r="AX5226" t="s">
        <v>10838</v>
      </c>
      <c r="BA5226" t="s">
        <v>11742</v>
      </c>
      <c r="BB5226">
        <v>0</v>
      </c>
      <c r="BC5226">
        <v>0</v>
      </c>
      <c r="BD5226">
        <v>0</v>
      </c>
      <c r="BE5226">
        <v>0</v>
      </c>
      <c r="BF5226">
        <v>7</v>
      </c>
      <c r="BG5226">
        <v>0</v>
      </c>
    </row>
    <row r="5227" spans="1:59">
      <c r="A5227" s="1">
        <f>HYPERLINK("https://lsnyc.legalserver.org/matter/dynamic-profile/view/1909468","19-1909468")</f>
        <v>0</v>
      </c>
      <c r="B5227" t="s">
        <v>1468</v>
      </c>
      <c r="C5227" t="s">
        <v>7402</v>
      </c>
      <c r="D5227" t="s">
        <v>9926</v>
      </c>
      <c r="E5227" t="s">
        <v>10075</v>
      </c>
      <c r="F5227">
        <v>10451</v>
      </c>
      <c r="G5227" t="s">
        <v>10090</v>
      </c>
      <c r="H5227" t="s">
        <v>10099</v>
      </c>
      <c r="I5227" t="s">
        <v>10168</v>
      </c>
      <c r="J5227" t="s">
        <v>10210</v>
      </c>
      <c r="K5227" t="s">
        <v>10217</v>
      </c>
      <c r="M5227" t="s">
        <v>10412</v>
      </c>
      <c r="N5227" t="s">
        <v>10673</v>
      </c>
      <c r="P5227" t="s">
        <v>10753</v>
      </c>
      <c r="Q5227" t="s">
        <v>10763</v>
      </c>
      <c r="R5227" t="s">
        <v>10824</v>
      </c>
      <c r="T5227">
        <v>23400</v>
      </c>
      <c r="U5227">
        <v>1950</v>
      </c>
      <c r="V5227">
        <v>29</v>
      </c>
      <c r="W5227">
        <v>1</v>
      </c>
      <c r="X5227">
        <v>2</v>
      </c>
      <c r="Z5227">
        <v>109.7</v>
      </c>
      <c r="AA5227">
        <v>40.814675</v>
      </c>
      <c r="AB5227">
        <v>-73.922044</v>
      </c>
      <c r="AD5227" t="s">
        <v>10839</v>
      </c>
      <c r="AF5227" t="s">
        <v>10842</v>
      </c>
      <c r="AG5227" t="s">
        <v>10859</v>
      </c>
      <c r="AH5227" t="s">
        <v>10864</v>
      </c>
      <c r="AI5227">
        <v>230</v>
      </c>
      <c r="AJ5227" t="s">
        <v>10210</v>
      </c>
      <c r="AL5227">
        <v>4.4</v>
      </c>
      <c r="AM5227" t="s">
        <v>10884</v>
      </c>
      <c r="AN5227" t="s">
        <v>10924</v>
      </c>
      <c r="AO5227" t="s">
        <v>11013</v>
      </c>
      <c r="AP5227" t="s">
        <v>11066</v>
      </c>
      <c r="AQ5227" t="s">
        <v>11109</v>
      </c>
      <c r="AR5227" t="s">
        <v>11257</v>
      </c>
      <c r="AS5227" t="s">
        <v>9926</v>
      </c>
      <c r="AT5227" t="s">
        <v>11641</v>
      </c>
      <c r="AX5227" t="s">
        <v>10838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</row>
    <row r="5228" spans="1:59">
      <c r="A5228" s="1">
        <f>HYPERLINK("https://lsnyc.legalserver.org/matter/dynamic-profile/view/1909469","19-1909469")</f>
        <v>0</v>
      </c>
      <c r="B5228" t="s">
        <v>4151</v>
      </c>
      <c r="C5228" t="s">
        <v>8979</v>
      </c>
      <c r="D5228" t="s">
        <v>9948</v>
      </c>
      <c r="E5228" t="s">
        <v>10075</v>
      </c>
      <c r="F5228">
        <v>11691</v>
      </c>
      <c r="G5228" t="s">
        <v>10091</v>
      </c>
      <c r="H5228" t="s">
        <v>10099</v>
      </c>
      <c r="I5228" t="s">
        <v>10168</v>
      </c>
      <c r="J5228" t="s">
        <v>10214</v>
      </c>
      <c r="K5228" t="s">
        <v>10217</v>
      </c>
      <c r="M5228" t="s">
        <v>10286</v>
      </c>
      <c r="N5228" t="s">
        <v>10671</v>
      </c>
      <c r="P5228" t="s">
        <v>10751</v>
      </c>
      <c r="Q5228" t="s">
        <v>10768</v>
      </c>
      <c r="R5228" t="s">
        <v>10827</v>
      </c>
      <c r="T5228">
        <v>2700</v>
      </c>
      <c r="U5228">
        <v>225</v>
      </c>
      <c r="V5228">
        <v>64</v>
      </c>
      <c r="W5228">
        <v>1</v>
      </c>
      <c r="X5228">
        <v>0</v>
      </c>
      <c r="Z5228">
        <v>21.62</v>
      </c>
      <c r="AA5228">
        <v>40.60436</v>
      </c>
      <c r="AB5228">
        <v>-73.75760099999999</v>
      </c>
      <c r="AD5228" t="s">
        <v>10840</v>
      </c>
      <c r="AF5228" t="s">
        <v>10843</v>
      </c>
      <c r="AG5228" t="s">
        <v>10859</v>
      </c>
      <c r="AH5228" t="s">
        <v>10861</v>
      </c>
      <c r="AI5228">
        <v>234</v>
      </c>
      <c r="AJ5228" t="s">
        <v>10214</v>
      </c>
      <c r="AL5228">
        <v>1</v>
      </c>
      <c r="AM5228" t="s">
        <v>10892</v>
      </c>
      <c r="AN5228" t="s">
        <v>10930</v>
      </c>
      <c r="AO5228" t="s">
        <v>11017</v>
      </c>
      <c r="AP5228" t="s">
        <v>11082</v>
      </c>
      <c r="AR5228" t="s">
        <v>11255</v>
      </c>
      <c r="AS5228" t="s">
        <v>11594</v>
      </c>
      <c r="AT5228" t="s">
        <v>11642</v>
      </c>
      <c r="AX5228" t="s">
        <v>10838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</row>
    <row r="5229" spans="1:59">
      <c r="A5229" s="1">
        <f>HYPERLINK("https://lsnyc.legalserver.org/matter/dynamic-profile/view/1909470","19-1909470")</f>
        <v>0</v>
      </c>
      <c r="B5229" t="s">
        <v>4152</v>
      </c>
      <c r="C5229" t="s">
        <v>8980</v>
      </c>
      <c r="D5229" t="s">
        <v>9988</v>
      </c>
      <c r="E5229" t="s">
        <v>10075</v>
      </c>
      <c r="F5229">
        <v>11693</v>
      </c>
      <c r="G5229" t="s">
        <v>10092</v>
      </c>
      <c r="H5229" t="s">
        <v>10099</v>
      </c>
      <c r="I5229" t="s">
        <v>10169</v>
      </c>
      <c r="J5229" t="s">
        <v>10212</v>
      </c>
      <c r="K5229" t="s">
        <v>10217</v>
      </c>
      <c r="M5229" t="s">
        <v>10547</v>
      </c>
      <c r="N5229" t="s">
        <v>10671</v>
      </c>
      <c r="P5229" t="s">
        <v>10753</v>
      </c>
      <c r="Q5229" t="s">
        <v>10763</v>
      </c>
      <c r="R5229" t="s">
        <v>10821</v>
      </c>
      <c r="T5229">
        <v>11960</v>
      </c>
      <c r="U5229">
        <v>996.67</v>
      </c>
      <c r="V5229">
        <v>43</v>
      </c>
      <c r="W5229">
        <v>1</v>
      </c>
      <c r="X5229">
        <v>0</v>
      </c>
      <c r="Z5229">
        <v>95.76000000000001</v>
      </c>
      <c r="AA5229">
        <v>40.589889</v>
      </c>
      <c r="AB5229">
        <v>-73.80748199999999</v>
      </c>
      <c r="AD5229" t="s">
        <v>10839</v>
      </c>
      <c r="AF5229" t="s">
        <v>10843</v>
      </c>
      <c r="AG5229" t="s">
        <v>10859</v>
      </c>
      <c r="AH5229" t="s">
        <v>10871</v>
      </c>
      <c r="AI5229">
        <v>234</v>
      </c>
      <c r="AJ5229" t="s">
        <v>10214</v>
      </c>
      <c r="AL5229">
        <v>5</v>
      </c>
      <c r="AM5229" t="s">
        <v>10892</v>
      </c>
      <c r="AN5229" t="s">
        <v>10930</v>
      </c>
      <c r="AO5229" t="s">
        <v>11017</v>
      </c>
      <c r="AP5229" t="s">
        <v>11082</v>
      </c>
      <c r="AR5229" t="s">
        <v>11257</v>
      </c>
      <c r="AS5229" t="s">
        <v>11594</v>
      </c>
      <c r="AT5229" t="s">
        <v>11641</v>
      </c>
      <c r="AX5229" t="s">
        <v>10838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</row>
    <row r="5230" spans="1:59">
      <c r="A5230" s="1">
        <f>HYPERLINK("https://lsnyc.legalserver.org/matter/dynamic-profile/view/1909471","19-1909471")</f>
        <v>0</v>
      </c>
      <c r="B5230" t="s">
        <v>4153</v>
      </c>
      <c r="C5230" t="s">
        <v>8981</v>
      </c>
      <c r="D5230" t="s">
        <v>9928</v>
      </c>
      <c r="E5230" t="s">
        <v>10075</v>
      </c>
      <c r="F5230">
        <v>11233</v>
      </c>
      <c r="G5230" t="s">
        <v>10093</v>
      </c>
      <c r="H5230" t="s">
        <v>10099</v>
      </c>
      <c r="I5230" t="s">
        <v>10168</v>
      </c>
      <c r="J5230" t="s">
        <v>10213</v>
      </c>
      <c r="K5230" t="s">
        <v>10217</v>
      </c>
      <c r="M5230" t="s">
        <v>10439</v>
      </c>
      <c r="N5230" t="s">
        <v>10650</v>
      </c>
      <c r="P5230" t="s">
        <v>10749</v>
      </c>
      <c r="Q5230" t="s">
        <v>10765</v>
      </c>
      <c r="R5230" t="s">
        <v>10824</v>
      </c>
      <c r="T5230">
        <v>37544</v>
      </c>
      <c r="U5230">
        <v>3128.67</v>
      </c>
      <c r="V5230">
        <v>33</v>
      </c>
      <c r="W5230">
        <v>1</v>
      </c>
      <c r="X5230">
        <v>1</v>
      </c>
      <c r="Z5230">
        <v>222.02</v>
      </c>
      <c r="AA5230">
        <v>40.67178</v>
      </c>
      <c r="AB5230">
        <v>-73.916769</v>
      </c>
      <c r="AC5230" t="s">
        <v>10838</v>
      </c>
      <c r="AD5230" t="s">
        <v>10839</v>
      </c>
      <c r="AG5230" t="s">
        <v>10858</v>
      </c>
      <c r="AH5230" t="s">
        <v>10862</v>
      </c>
      <c r="AI5230">
        <v>239</v>
      </c>
      <c r="AJ5230" t="s">
        <v>10213</v>
      </c>
      <c r="AL5230">
        <v>34.3</v>
      </c>
      <c r="AM5230" t="s">
        <v>10888</v>
      </c>
      <c r="AN5230" t="s">
        <v>10922</v>
      </c>
      <c r="AO5230" t="s">
        <v>11007</v>
      </c>
      <c r="AP5230" t="s">
        <v>11064</v>
      </c>
      <c r="AQ5230" t="s">
        <v>11101</v>
      </c>
      <c r="AR5230" t="s">
        <v>11262</v>
      </c>
      <c r="AS5230" t="s">
        <v>11595</v>
      </c>
      <c r="AT5230" t="s">
        <v>10822</v>
      </c>
      <c r="AX5230" t="s">
        <v>10838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</row>
    <row r="5231" spans="1:59">
      <c r="A5231" s="1">
        <f>HYPERLINK("https://lsnyc.legalserver.org/matter/dynamic-profile/view/1909472","19-1909472")</f>
        <v>0</v>
      </c>
      <c r="B5231" t="s">
        <v>3435</v>
      </c>
      <c r="C5231" t="s">
        <v>8982</v>
      </c>
      <c r="D5231" t="s">
        <v>10058</v>
      </c>
      <c r="E5231" t="s">
        <v>10075</v>
      </c>
      <c r="F5231">
        <v>11742</v>
      </c>
      <c r="G5231" t="s">
        <v>10092</v>
      </c>
      <c r="H5231" t="s">
        <v>10099</v>
      </c>
      <c r="I5231" t="s">
        <v>10168</v>
      </c>
      <c r="J5231" t="s">
        <v>10212</v>
      </c>
      <c r="K5231" t="s">
        <v>10218</v>
      </c>
      <c r="L5231" t="s">
        <v>10136</v>
      </c>
      <c r="M5231" t="s">
        <v>10331</v>
      </c>
      <c r="N5231" t="s">
        <v>10675</v>
      </c>
      <c r="P5231" t="s">
        <v>10754</v>
      </c>
      <c r="Q5231" t="s">
        <v>10770</v>
      </c>
      <c r="R5231" t="s">
        <v>10827</v>
      </c>
      <c r="T5231">
        <v>0</v>
      </c>
      <c r="U5231">
        <v>0</v>
      </c>
      <c r="V5231">
        <v>37</v>
      </c>
      <c r="W5231">
        <v>1</v>
      </c>
      <c r="X5231">
        <v>0</v>
      </c>
      <c r="Y5231" t="s">
        <v>10829</v>
      </c>
      <c r="Z5231">
        <v>0</v>
      </c>
      <c r="AA5231">
        <v>40.808502</v>
      </c>
      <c r="AB5231">
        <v>-73.03462399999999</v>
      </c>
      <c r="AC5231" t="s">
        <v>10837</v>
      </c>
      <c r="AD5231" t="s">
        <v>10840</v>
      </c>
      <c r="AG5231" t="s">
        <v>10858</v>
      </c>
      <c r="AH5231" t="s">
        <v>10861</v>
      </c>
      <c r="AI5231">
        <v>234</v>
      </c>
      <c r="AJ5231" t="s">
        <v>10214</v>
      </c>
      <c r="AK5231" t="s">
        <v>10838</v>
      </c>
      <c r="AL5231">
        <v>1.6</v>
      </c>
      <c r="AR5231" t="s">
        <v>11279</v>
      </c>
      <c r="AS5231" t="s">
        <v>11602</v>
      </c>
      <c r="AT5231" t="s">
        <v>11642</v>
      </c>
      <c r="AX5231" t="s">
        <v>10838</v>
      </c>
      <c r="AY5231" t="s">
        <v>10829</v>
      </c>
      <c r="AZ5231" t="s">
        <v>11683</v>
      </c>
      <c r="BA5231" t="s">
        <v>11741</v>
      </c>
      <c r="BB5231">
        <v>0</v>
      </c>
      <c r="BC5231">
        <v>0</v>
      </c>
      <c r="BD5231">
        <v>0</v>
      </c>
      <c r="BE5231">
        <v>0</v>
      </c>
      <c r="BF5231">
        <v>1</v>
      </c>
      <c r="BG5231">
        <v>0</v>
      </c>
    </row>
    <row r="5232" spans="1:59">
      <c r="A5232" s="1">
        <f>HYPERLINK("https://lsnyc.legalserver.org/matter/dynamic-profile/view/1909473","19-1909473")</f>
        <v>0</v>
      </c>
      <c r="B5232" t="s">
        <v>3022</v>
      </c>
      <c r="C5232" t="s">
        <v>7813</v>
      </c>
      <c r="D5232" t="s">
        <v>9926</v>
      </c>
      <c r="E5232" t="s">
        <v>10075</v>
      </c>
      <c r="F5232">
        <v>10453</v>
      </c>
      <c r="G5232" t="s">
        <v>10090</v>
      </c>
      <c r="H5232" t="s">
        <v>10099</v>
      </c>
      <c r="I5232" t="s">
        <v>10168</v>
      </c>
      <c r="J5232" t="s">
        <v>10210</v>
      </c>
      <c r="K5232" t="s">
        <v>10218</v>
      </c>
      <c r="L5232" t="s">
        <v>10166</v>
      </c>
      <c r="M5232" t="s">
        <v>10262</v>
      </c>
      <c r="N5232" t="s">
        <v>10666</v>
      </c>
      <c r="P5232" t="s">
        <v>10749</v>
      </c>
      <c r="Q5232" t="s">
        <v>10765</v>
      </c>
      <c r="R5232" t="s">
        <v>10821</v>
      </c>
      <c r="T5232">
        <v>13341.12</v>
      </c>
      <c r="U5232">
        <v>1111.76</v>
      </c>
      <c r="V5232">
        <v>25</v>
      </c>
      <c r="W5232">
        <v>1</v>
      </c>
      <c r="X5232">
        <v>2</v>
      </c>
      <c r="Y5232" t="s">
        <v>10829</v>
      </c>
      <c r="Z5232">
        <v>62.55</v>
      </c>
      <c r="AA5232">
        <v>40.854132</v>
      </c>
      <c r="AB5232">
        <v>-73.914332</v>
      </c>
      <c r="AD5232" t="s">
        <v>10839</v>
      </c>
      <c r="AG5232" t="s">
        <v>10858</v>
      </c>
      <c r="AH5232" t="s">
        <v>10874</v>
      </c>
      <c r="AI5232">
        <v>230</v>
      </c>
      <c r="AJ5232" t="s">
        <v>10210</v>
      </c>
      <c r="AK5232" t="s">
        <v>10882</v>
      </c>
      <c r="AL5232">
        <v>1</v>
      </c>
      <c r="AR5232" t="s">
        <v>11257</v>
      </c>
      <c r="AS5232" t="s">
        <v>9926</v>
      </c>
      <c r="AY5232" t="s">
        <v>10829</v>
      </c>
      <c r="AZ5232" t="s">
        <v>11681</v>
      </c>
      <c r="BA5232" t="s">
        <v>11741</v>
      </c>
      <c r="BB5232">
        <v>0</v>
      </c>
      <c r="BC5232">
        <v>0</v>
      </c>
      <c r="BD5232">
        <v>0</v>
      </c>
      <c r="BE5232">
        <v>0</v>
      </c>
      <c r="BF5232">
        <v>1</v>
      </c>
      <c r="BG5232">
        <v>0</v>
      </c>
    </row>
    <row r="5233" spans="1:59">
      <c r="A5233" s="1">
        <f>HYPERLINK("https://lsnyc.legalserver.org/matter/dynamic-profile/view/1909474","19-1909474")</f>
        <v>0</v>
      </c>
      <c r="B5233" t="s">
        <v>4154</v>
      </c>
      <c r="C5233" t="s">
        <v>8983</v>
      </c>
      <c r="D5233" t="s">
        <v>10059</v>
      </c>
      <c r="E5233" t="s">
        <v>10076</v>
      </c>
      <c r="F5233">
        <v>8759</v>
      </c>
      <c r="G5233" t="s">
        <v>10093</v>
      </c>
      <c r="H5233" t="s">
        <v>10099</v>
      </c>
      <c r="I5233" t="s">
        <v>10168</v>
      </c>
      <c r="J5233" t="s">
        <v>10213</v>
      </c>
      <c r="K5233" t="s">
        <v>10218</v>
      </c>
      <c r="L5233" t="s">
        <v>10157</v>
      </c>
      <c r="M5233" t="s">
        <v>10462</v>
      </c>
      <c r="N5233" t="s">
        <v>10710</v>
      </c>
      <c r="P5233" t="s">
        <v>10750</v>
      </c>
      <c r="Q5233" t="s">
        <v>10760</v>
      </c>
      <c r="R5233" t="s">
        <v>10820</v>
      </c>
      <c r="T5233">
        <v>45900</v>
      </c>
      <c r="U5233">
        <v>3825</v>
      </c>
      <c r="V5233">
        <v>61</v>
      </c>
      <c r="W5233">
        <v>1</v>
      </c>
      <c r="X5233">
        <v>0</v>
      </c>
      <c r="Y5233" t="s">
        <v>10829</v>
      </c>
      <c r="Z5233">
        <v>367.49</v>
      </c>
      <c r="AA5233">
        <v>39.962874</v>
      </c>
      <c r="AB5233">
        <v>-74.351327</v>
      </c>
      <c r="AD5233" t="s">
        <v>10840</v>
      </c>
      <c r="AG5233" t="s">
        <v>10858</v>
      </c>
      <c r="AH5233" t="s">
        <v>10861</v>
      </c>
      <c r="AI5233">
        <v>234</v>
      </c>
      <c r="AJ5233" t="s">
        <v>10214</v>
      </c>
      <c r="AK5233" t="s">
        <v>10838</v>
      </c>
      <c r="AL5233">
        <v>2</v>
      </c>
      <c r="AR5233" t="s">
        <v>11560</v>
      </c>
      <c r="AS5233" t="s">
        <v>10063</v>
      </c>
      <c r="AT5233" t="s">
        <v>11641</v>
      </c>
      <c r="AX5233" t="s">
        <v>10838</v>
      </c>
      <c r="AY5233" t="s">
        <v>10829</v>
      </c>
      <c r="AZ5233" t="s">
        <v>11679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</row>
    <row r="5234" spans="1:59">
      <c r="A5234" s="1">
        <f>HYPERLINK("https://lsnyc.legalserver.org/matter/dynamic-profile/view/1909475","19-1909475")</f>
        <v>0</v>
      </c>
      <c r="B5234" t="s">
        <v>4155</v>
      </c>
      <c r="C5234" t="s">
        <v>8984</v>
      </c>
      <c r="D5234" t="s">
        <v>9928</v>
      </c>
      <c r="E5234" t="s">
        <v>10075</v>
      </c>
      <c r="F5234">
        <v>11234</v>
      </c>
      <c r="G5234" t="s">
        <v>10093</v>
      </c>
      <c r="H5234" t="s">
        <v>10099</v>
      </c>
      <c r="I5234" t="s">
        <v>10168</v>
      </c>
      <c r="J5234" t="s">
        <v>10213</v>
      </c>
      <c r="K5234" t="s">
        <v>10217</v>
      </c>
      <c r="M5234" t="s">
        <v>10315</v>
      </c>
      <c r="N5234" t="s">
        <v>10686</v>
      </c>
      <c r="P5234" t="s">
        <v>10750</v>
      </c>
      <c r="Q5234" t="s">
        <v>10778</v>
      </c>
      <c r="R5234" t="s">
        <v>10824</v>
      </c>
      <c r="T5234">
        <v>20800</v>
      </c>
      <c r="U5234">
        <v>1733.33</v>
      </c>
      <c r="V5234">
        <v>26</v>
      </c>
      <c r="W5234">
        <v>1</v>
      </c>
      <c r="X5234">
        <v>0</v>
      </c>
      <c r="Z5234">
        <v>166.53</v>
      </c>
      <c r="AA5234">
        <v>40.63519</v>
      </c>
      <c r="AB5234">
        <v>-73.925259</v>
      </c>
      <c r="AD5234" t="s">
        <v>10840</v>
      </c>
      <c r="AG5234" t="s">
        <v>10858</v>
      </c>
      <c r="AH5234" t="s">
        <v>10871</v>
      </c>
      <c r="AI5234">
        <v>234</v>
      </c>
      <c r="AJ5234" t="s">
        <v>10214</v>
      </c>
      <c r="AL5234">
        <v>1.9</v>
      </c>
      <c r="AM5234" t="s">
        <v>10889</v>
      </c>
      <c r="AN5234" t="s">
        <v>10959</v>
      </c>
      <c r="AO5234" t="s">
        <v>11008</v>
      </c>
      <c r="AP5234" t="s">
        <v>11072</v>
      </c>
      <c r="AR5234" t="s">
        <v>11257</v>
      </c>
      <c r="AS5234" t="s">
        <v>11595</v>
      </c>
      <c r="AT5234" t="s">
        <v>11642</v>
      </c>
      <c r="AX5234" t="s">
        <v>10838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</row>
    <row r="5235" spans="1:59">
      <c r="A5235" s="1">
        <f>HYPERLINK("https://lsnyc.legalserver.org/matter/dynamic-profile/view/1909476","19-1909476")</f>
        <v>0</v>
      </c>
      <c r="B5235" t="s">
        <v>4156</v>
      </c>
      <c r="C5235" t="s">
        <v>8985</v>
      </c>
      <c r="D5235" t="s">
        <v>9929</v>
      </c>
      <c r="E5235" t="s">
        <v>10075</v>
      </c>
      <c r="F5235">
        <v>10304</v>
      </c>
      <c r="G5235" t="s">
        <v>10088</v>
      </c>
      <c r="H5235" t="s">
        <v>10136</v>
      </c>
      <c r="I5235" t="s">
        <v>10169</v>
      </c>
      <c r="J5235" t="s">
        <v>10208</v>
      </c>
      <c r="K5235" t="s">
        <v>10217</v>
      </c>
      <c r="M5235" t="s">
        <v>10241</v>
      </c>
      <c r="N5235" t="s">
        <v>10650</v>
      </c>
      <c r="P5235" t="s">
        <v>10749</v>
      </c>
      <c r="Q5235" t="s">
        <v>10765</v>
      </c>
      <c r="R5235" t="s">
        <v>10821</v>
      </c>
      <c r="T5235">
        <v>15660</v>
      </c>
      <c r="U5235">
        <v>1305</v>
      </c>
      <c r="V5235">
        <v>58</v>
      </c>
      <c r="W5235">
        <v>2</v>
      </c>
      <c r="X5235">
        <v>0</v>
      </c>
      <c r="Z5235">
        <v>92.61</v>
      </c>
      <c r="AA5235">
        <v>40.610536</v>
      </c>
      <c r="AB5235">
        <v>-74.085201</v>
      </c>
      <c r="AD5235" t="s">
        <v>10839</v>
      </c>
      <c r="AG5235" t="s">
        <v>10858</v>
      </c>
      <c r="AH5235" t="s">
        <v>10862</v>
      </c>
      <c r="AI5235">
        <v>285</v>
      </c>
      <c r="AJ5235" t="s">
        <v>10208</v>
      </c>
      <c r="AL5235">
        <v>1.75</v>
      </c>
      <c r="AM5235" t="s">
        <v>10883</v>
      </c>
      <c r="AN5235" t="s">
        <v>10913</v>
      </c>
      <c r="AO5235" t="s">
        <v>11006</v>
      </c>
      <c r="AP5235" t="s">
        <v>11051</v>
      </c>
      <c r="AR5235" t="s">
        <v>11561</v>
      </c>
      <c r="AS5235" t="s">
        <v>11593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</row>
    <row r="5236" spans="1:59">
      <c r="A5236" s="1">
        <f>HYPERLINK("https://lsnyc.legalserver.org/matter/dynamic-profile/view/1909477","19-1909477")</f>
        <v>0</v>
      </c>
      <c r="B5236" t="s">
        <v>4157</v>
      </c>
      <c r="C5236" t="s">
        <v>8986</v>
      </c>
      <c r="D5236" t="s">
        <v>9950</v>
      </c>
      <c r="E5236" t="s">
        <v>10075</v>
      </c>
      <c r="F5236">
        <v>11418</v>
      </c>
      <c r="G5236" t="s">
        <v>10092</v>
      </c>
      <c r="H5236" t="s">
        <v>10099</v>
      </c>
      <c r="I5236" t="s">
        <v>10168</v>
      </c>
      <c r="J5236" t="s">
        <v>10212</v>
      </c>
      <c r="K5236" t="s">
        <v>10217</v>
      </c>
      <c r="M5236" t="s">
        <v>10491</v>
      </c>
      <c r="N5236" t="s">
        <v>10695</v>
      </c>
      <c r="P5236" t="s">
        <v>10749</v>
      </c>
      <c r="Q5236" t="s">
        <v>10765</v>
      </c>
      <c r="R5236" t="s">
        <v>10821</v>
      </c>
      <c r="T5236">
        <v>0</v>
      </c>
      <c r="U5236">
        <v>0</v>
      </c>
      <c r="V5236">
        <v>41</v>
      </c>
      <c r="W5236">
        <v>2</v>
      </c>
      <c r="X5236">
        <v>0</v>
      </c>
      <c r="Z5236">
        <v>0</v>
      </c>
      <c r="AA5236">
        <v>40.702015</v>
      </c>
      <c r="AB5236">
        <v>-73.823301</v>
      </c>
      <c r="AD5236" t="s">
        <v>10839</v>
      </c>
      <c r="AG5236" t="s">
        <v>10858</v>
      </c>
      <c r="AH5236" t="s">
        <v>10862</v>
      </c>
      <c r="AI5236">
        <v>237</v>
      </c>
      <c r="AJ5236" t="s">
        <v>10212</v>
      </c>
      <c r="AL5236">
        <v>1.3</v>
      </c>
      <c r="AM5236" t="s">
        <v>10892</v>
      </c>
      <c r="AN5236" t="s">
        <v>10962</v>
      </c>
      <c r="AO5236" t="s">
        <v>11020</v>
      </c>
      <c r="AP5236" t="s">
        <v>11083</v>
      </c>
      <c r="AR5236" t="s">
        <v>11267</v>
      </c>
      <c r="AS5236" t="s">
        <v>11594</v>
      </c>
      <c r="BA5236" t="s">
        <v>11742</v>
      </c>
      <c r="BB5236">
        <v>0</v>
      </c>
      <c r="BC5236">
        <v>0</v>
      </c>
      <c r="BD5236">
        <v>0</v>
      </c>
      <c r="BE5236">
        <v>0</v>
      </c>
      <c r="BF5236">
        <v>7</v>
      </c>
      <c r="BG5236">
        <v>0</v>
      </c>
    </row>
    <row r="5237" spans="1:59">
      <c r="A5237" s="1">
        <f>HYPERLINK("https://lsnyc.legalserver.org/matter/dynamic-profile/view/1909478","19-1909478")</f>
        <v>0</v>
      </c>
      <c r="B5237" t="s">
        <v>4158</v>
      </c>
      <c r="C5237" t="s">
        <v>8987</v>
      </c>
      <c r="D5237" t="s">
        <v>9926</v>
      </c>
      <c r="E5237" t="s">
        <v>10075</v>
      </c>
      <c r="F5237">
        <v>10468</v>
      </c>
      <c r="G5237" t="s">
        <v>10090</v>
      </c>
      <c r="H5237" t="s">
        <v>10161</v>
      </c>
      <c r="I5237" t="s">
        <v>10169</v>
      </c>
      <c r="J5237" t="s">
        <v>10210</v>
      </c>
      <c r="K5237" t="s">
        <v>10217</v>
      </c>
      <c r="M5237" t="s">
        <v>10434</v>
      </c>
      <c r="N5237" t="s">
        <v>10651</v>
      </c>
      <c r="P5237" t="s">
        <v>10749</v>
      </c>
      <c r="Q5237" t="s">
        <v>10765</v>
      </c>
      <c r="R5237" t="s">
        <v>10821</v>
      </c>
      <c r="T5237">
        <v>43940</v>
      </c>
      <c r="U5237">
        <v>3661.67</v>
      </c>
      <c r="V5237">
        <v>47</v>
      </c>
      <c r="W5237">
        <v>4</v>
      </c>
      <c r="X5237">
        <v>0</v>
      </c>
      <c r="Z5237">
        <v>170.64</v>
      </c>
      <c r="AA5237">
        <v>40.872966</v>
      </c>
      <c r="AB5237">
        <v>-73.89951499999999</v>
      </c>
      <c r="AD5237" t="s">
        <v>10839</v>
      </c>
      <c r="AG5237" t="s">
        <v>10858</v>
      </c>
      <c r="AH5237" t="s">
        <v>10862</v>
      </c>
      <c r="AI5237">
        <v>230</v>
      </c>
      <c r="AJ5237" t="s">
        <v>10210</v>
      </c>
      <c r="AL5237">
        <v>1.6</v>
      </c>
      <c r="AM5237" t="s">
        <v>10887</v>
      </c>
      <c r="AN5237" t="s">
        <v>10919</v>
      </c>
      <c r="AO5237" t="s">
        <v>11000</v>
      </c>
      <c r="AP5237" t="s">
        <v>11045</v>
      </c>
      <c r="AR5237" t="s">
        <v>11257</v>
      </c>
      <c r="AS5237" t="s">
        <v>9926</v>
      </c>
      <c r="AT5237" t="s">
        <v>11641</v>
      </c>
      <c r="AX5237" t="s">
        <v>10838</v>
      </c>
      <c r="BA5237" t="s">
        <v>11738</v>
      </c>
      <c r="BB5237">
        <v>0</v>
      </c>
      <c r="BC5237">
        <v>0</v>
      </c>
      <c r="BD5237">
        <v>0</v>
      </c>
      <c r="BE5237">
        <v>0</v>
      </c>
      <c r="BF5237">
        <v>5</v>
      </c>
      <c r="BG5237">
        <v>0</v>
      </c>
    </row>
    <row r="5238" spans="1:59">
      <c r="A5238" s="1">
        <f>HYPERLINK("https://lsnyc.legalserver.org/matter/dynamic-profile/view/1909479","19-1909479")</f>
        <v>0</v>
      </c>
      <c r="B5238" t="s">
        <v>3651</v>
      </c>
      <c r="C5238" t="s">
        <v>8988</v>
      </c>
      <c r="D5238" t="s">
        <v>9926</v>
      </c>
      <c r="E5238" t="s">
        <v>10075</v>
      </c>
      <c r="F5238">
        <v>10466</v>
      </c>
      <c r="G5238" t="s">
        <v>10090</v>
      </c>
      <c r="H5238" t="s">
        <v>10099</v>
      </c>
      <c r="I5238" t="s">
        <v>10168</v>
      </c>
      <c r="J5238" t="s">
        <v>10210</v>
      </c>
      <c r="K5238" t="s">
        <v>10217</v>
      </c>
      <c r="M5238" t="s">
        <v>10380</v>
      </c>
      <c r="N5238" t="s">
        <v>10671</v>
      </c>
      <c r="P5238" t="s">
        <v>10753</v>
      </c>
      <c r="Q5238" t="s">
        <v>10763</v>
      </c>
      <c r="R5238" t="s">
        <v>10824</v>
      </c>
      <c r="T5238">
        <v>2184</v>
      </c>
      <c r="U5238">
        <v>182</v>
      </c>
      <c r="V5238">
        <v>66</v>
      </c>
      <c r="W5238">
        <v>1</v>
      </c>
      <c r="X5238">
        <v>0</v>
      </c>
      <c r="Z5238">
        <v>17.49</v>
      </c>
      <c r="AA5238">
        <v>40.896237</v>
      </c>
      <c r="AB5238">
        <v>-73.83950900000001</v>
      </c>
      <c r="AD5238" t="s">
        <v>10839</v>
      </c>
      <c r="AF5238" t="s">
        <v>10843</v>
      </c>
      <c r="AG5238" t="s">
        <v>10859</v>
      </c>
      <c r="AH5238" t="s">
        <v>10861</v>
      </c>
      <c r="AI5238">
        <v>234</v>
      </c>
      <c r="AJ5238" t="s">
        <v>10214</v>
      </c>
      <c r="AL5238">
        <v>1</v>
      </c>
      <c r="AM5238" t="s">
        <v>10893</v>
      </c>
      <c r="AN5238" t="s">
        <v>10956</v>
      </c>
      <c r="AO5238" t="s">
        <v>11010</v>
      </c>
      <c r="AP5238" t="s">
        <v>11085</v>
      </c>
      <c r="AQ5238" t="s">
        <v>11097</v>
      </c>
      <c r="AR5238" t="s">
        <v>11255</v>
      </c>
      <c r="AS5238" t="s">
        <v>9926</v>
      </c>
      <c r="AT5238" t="s">
        <v>11641</v>
      </c>
      <c r="AX5238" t="s">
        <v>10838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</row>
    <row r="5239" spans="1:59">
      <c r="A5239" s="1">
        <f>HYPERLINK("https://lsnyc.legalserver.org/matter/dynamic-profile/view/1909480","19-1909480")</f>
        <v>0</v>
      </c>
      <c r="B5239" t="s">
        <v>4159</v>
      </c>
      <c r="C5239" t="s">
        <v>8989</v>
      </c>
      <c r="D5239" t="s">
        <v>9925</v>
      </c>
      <c r="E5239" t="s">
        <v>10075</v>
      </c>
      <c r="F5239">
        <v>10032</v>
      </c>
      <c r="G5239" t="s">
        <v>10089</v>
      </c>
      <c r="H5239" t="s">
        <v>10159</v>
      </c>
      <c r="I5239" t="s">
        <v>10168</v>
      </c>
      <c r="J5239" t="s">
        <v>10209</v>
      </c>
      <c r="K5239" t="s">
        <v>10217</v>
      </c>
      <c r="M5239" t="s">
        <v>10476</v>
      </c>
      <c r="N5239" t="s">
        <v>10722</v>
      </c>
      <c r="P5239" t="s">
        <v>10749</v>
      </c>
      <c r="Q5239" t="s">
        <v>10765</v>
      </c>
      <c r="R5239" t="s">
        <v>10824</v>
      </c>
      <c r="T5239">
        <v>57600</v>
      </c>
      <c r="U5239">
        <v>4800</v>
      </c>
      <c r="V5239">
        <v>67</v>
      </c>
      <c r="W5239">
        <v>2</v>
      </c>
      <c r="X5239">
        <v>0</v>
      </c>
      <c r="Z5239">
        <v>340.63</v>
      </c>
      <c r="AA5239">
        <v>40.832089</v>
      </c>
      <c r="AB5239">
        <v>-73.940529</v>
      </c>
      <c r="AD5239" t="s">
        <v>10840</v>
      </c>
      <c r="AG5239" t="s">
        <v>10858</v>
      </c>
      <c r="AH5239" t="s">
        <v>10862</v>
      </c>
      <c r="AI5239">
        <v>236</v>
      </c>
      <c r="AJ5239" t="s">
        <v>10209</v>
      </c>
      <c r="AL5239">
        <v>1</v>
      </c>
      <c r="AM5239" t="s">
        <v>10887</v>
      </c>
      <c r="AN5239" t="s">
        <v>10943</v>
      </c>
      <c r="AO5239" t="s">
        <v>11016</v>
      </c>
      <c r="AP5239" t="s">
        <v>11073</v>
      </c>
      <c r="AR5239" t="s">
        <v>11370</v>
      </c>
      <c r="AS5239" t="s">
        <v>9925</v>
      </c>
      <c r="AT5239" t="s">
        <v>11642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</row>
    <row r="5240" spans="1:59">
      <c r="A5240" s="1">
        <f>HYPERLINK("https://lsnyc.legalserver.org/matter/dynamic-profile/view/1909481","19-1909481")</f>
        <v>0</v>
      </c>
      <c r="B5240" t="s">
        <v>4160</v>
      </c>
      <c r="C5240" t="s">
        <v>8990</v>
      </c>
      <c r="D5240" t="s">
        <v>9929</v>
      </c>
      <c r="E5240" t="s">
        <v>10075</v>
      </c>
      <c r="F5240">
        <v>10305</v>
      </c>
      <c r="G5240" t="s">
        <v>10088</v>
      </c>
      <c r="H5240" t="s">
        <v>10099</v>
      </c>
      <c r="I5240" t="s">
        <v>10168</v>
      </c>
      <c r="J5240" t="s">
        <v>10208</v>
      </c>
      <c r="K5240" t="s">
        <v>10217</v>
      </c>
      <c r="M5240" t="s">
        <v>10542</v>
      </c>
      <c r="N5240" t="s">
        <v>10671</v>
      </c>
      <c r="P5240" t="s">
        <v>10754</v>
      </c>
      <c r="Q5240" t="s">
        <v>10777</v>
      </c>
      <c r="R5240" t="s">
        <v>10821</v>
      </c>
      <c r="T5240">
        <v>31529.16</v>
      </c>
      <c r="U5240">
        <v>2627.43</v>
      </c>
      <c r="V5240">
        <v>34</v>
      </c>
      <c r="W5240">
        <v>1</v>
      </c>
      <c r="X5240">
        <v>2</v>
      </c>
      <c r="Z5240">
        <v>147.82</v>
      </c>
      <c r="AA5240">
        <v>40.60729</v>
      </c>
      <c r="AB5240">
        <v>-74.06864400000001</v>
      </c>
      <c r="AD5240" t="s">
        <v>10839</v>
      </c>
      <c r="AF5240" t="s">
        <v>10843</v>
      </c>
      <c r="AG5240" t="s">
        <v>10859</v>
      </c>
      <c r="AH5240" t="s">
        <v>10861</v>
      </c>
      <c r="AI5240">
        <v>234</v>
      </c>
      <c r="AJ5240" t="s">
        <v>10214</v>
      </c>
      <c r="AL5240">
        <v>1.4</v>
      </c>
      <c r="AM5240" t="s">
        <v>10883</v>
      </c>
      <c r="AN5240" t="s">
        <v>10915</v>
      </c>
      <c r="AO5240" t="s">
        <v>11006</v>
      </c>
      <c r="AP5240" t="s">
        <v>11051</v>
      </c>
      <c r="AR5240" t="s">
        <v>11257</v>
      </c>
      <c r="AS5240" t="s">
        <v>11593</v>
      </c>
      <c r="AT5240" t="s">
        <v>11641</v>
      </c>
      <c r="AX5240" t="s">
        <v>10838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</row>
    <row r="5241" spans="1:59">
      <c r="A5241" s="1">
        <f>HYPERLINK("https://lsnyc.legalserver.org/matter/dynamic-profile/view/1909482","19-1909482")</f>
        <v>0</v>
      </c>
      <c r="B5241" t="s">
        <v>4161</v>
      </c>
      <c r="C5241" t="s">
        <v>8991</v>
      </c>
      <c r="D5241" t="s">
        <v>9926</v>
      </c>
      <c r="E5241" t="s">
        <v>10075</v>
      </c>
      <c r="F5241">
        <v>10451</v>
      </c>
      <c r="G5241" t="s">
        <v>10090</v>
      </c>
      <c r="H5241" t="s">
        <v>10099</v>
      </c>
      <c r="I5241" t="s">
        <v>10168</v>
      </c>
      <c r="J5241" t="s">
        <v>10210</v>
      </c>
      <c r="K5241" t="s">
        <v>10217</v>
      </c>
      <c r="M5241" t="s">
        <v>10418</v>
      </c>
      <c r="N5241" t="s">
        <v>10666</v>
      </c>
      <c r="P5241" t="s">
        <v>10749</v>
      </c>
      <c r="Q5241" t="s">
        <v>10765</v>
      </c>
      <c r="R5241" t="s">
        <v>10821</v>
      </c>
      <c r="T5241">
        <v>9252</v>
      </c>
      <c r="U5241">
        <v>771</v>
      </c>
      <c r="V5241">
        <v>36</v>
      </c>
      <c r="W5241">
        <v>1</v>
      </c>
      <c r="X5241">
        <v>1</v>
      </c>
      <c r="Z5241">
        <v>54.71</v>
      </c>
      <c r="AA5241">
        <v>40.81562</v>
      </c>
      <c r="AB5241">
        <v>-73.92124</v>
      </c>
      <c r="AD5241" t="s">
        <v>10839</v>
      </c>
      <c r="AG5241" t="s">
        <v>10858</v>
      </c>
      <c r="AH5241" t="s">
        <v>10861</v>
      </c>
      <c r="AI5241">
        <v>230</v>
      </c>
      <c r="AJ5241" t="s">
        <v>10210</v>
      </c>
      <c r="AL5241">
        <v>8.5</v>
      </c>
      <c r="AM5241" t="s">
        <v>10884</v>
      </c>
      <c r="AN5241" t="s">
        <v>10924</v>
      </c>
      <c r="AO5241" t="s">
        <v>11013</v>
      </c>
      <c r="AP5241" t="s">
        <v>11066</v>
      </c>
      <c r="AR5241" t="s">
        <v>11263</v>
      </c>
      <c r="AS5241" t="s">
        <v>9926</v>
      </c>
      <c r="AT5241" t="s">
        <v>11641</v>
      </c>
      <c r="AX5241" t="s">
        <v>10838</v>
      </c>
      <c r="BA5241" t="s">
        <v>11738</v>
      </c>
      <c r="BB5241">
        <v>0</v>
      </c>
      <c r="BC5241">
        <v>0</v>
      </c>
      <c r="BD5241">
        <v>0</v>
      </c>
      <c r="BE5241">
        <v>0</v>
      </c>
      <c r="BF5241">
        <v>5</v>
      </c>
      <c r="BG5241">
        <v>0</v>
      </c>
    </row>
    <row r="5242" spans="1:59">
      <c r="A5242" s="1">
        <f>HYPERLINK("https://lsnyc.legalserver.org/matter/dynamic-profile/view/1909483","19-1909483")</f>
        <v>0</v>
      </c>
      <c r="B5242" t="s">
        <v>831</v>
      </c>
      <c r="C5242" t="s">
        <v>8992</v>
      </c>
      <c r="D5242" t="s">
        <v>9926</v>
      </c>
      <c r="E5242" t="s">
        <v>10075</v>
      </c>
      <c r="F5242">
        <v>10469</v>
      </c>
      <c r="G5242" t="s">
        <v>10090</v>
      </c>
      <c r="H5242" t="s">
        <v>10099</v>
      </c>
      <c r="I5242" t="s">
        <v>10168</v>
      </c>
      <c r="J5242" t="s">
        <v>10210</v>
      </c>
      <c r="K5242" t="s">
        <v>10217</v>
      </c>
      <c r="M5242" t="s">
        <v>10495</v>
      </c>
      <c r="N5242" t="s">
        <v>10658</v>
      </c>
      <c r="P5242" t="s">
        <v>10749</v>
      </c>
      <c r="Q5242" t="s">
        <v>10769</v>
      </c>
      <c r="R5242" t="s">
        <v>10824</v>
      </c>
      <c r="T5242">
        <v>132900</v>
      </c>
      <c r="U5242">
        <v>11075</v>
      </c>
      <c r="V5242">
        <v>56</v>
      </c>
      <c r="W5242">
        <v>2</v>
      </c>
      <c r="X5242">
        <v>2</v>
      </c>
      <c r="Z5242">
        <v>516.12</v>
      </c>
      <c r="AA5242">
        <v>40.878113</v>
      </c>
      <c r="AB5242">
        <v>-73.842275</v>
      </c>
      <c r="AD5242" t="s">
        <v>10840</v>
      </c>
      <c r="AG5242" t="s">
        <v>10858</v>
      </c>
      <c r="AH5242" t="s">
        <v>10860</v>
      </c>
      <c r="AI5242">
        <v>230</v>
      </c>
      <c r="AJ5242" t="s">
        <v>10210</v>
      </c>
      <c r="AL5242">
        <v>5</v>
      </c>
      <c r="AM5242" t="s">
        <v>10893</v>
      </c>
      <c r="AN5242" t="s">
        <v>10956</v>
      </c>
      <c r="AO5242" t="s">
        <v>11010</v>
      </c>
      <c r="AP5242" t="s">
        <v>11085</v>
      </c>
      <c r="AQ5242" t="s">
        <v>11242</v>
      </c>
      <c r="AR5242" t="s">
        <v>11356</v>
      </c>
      <c r="AS5242" t="s">
        <v>9926</v>
      </c>
      <c r="AT5242" t="s">
        <v>11642</v>
      </c>
      <c r="AX5242" t="s">
        <v>10838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</row>
    <row r="5243" spans="1:59">
      <c r="A5243" s="1">
        <f>HYPERLINK("https://lsnyc.legalserver.org/matter/dynamic-profile/view/1909484","19-1909484")</f>
        <v>0</v>
      </c>
      <c r="B5243" t="s">
        <v>4162</v>
      </c>
      <c r="C5243" t="s">
        <v>8993</v>
      </c>
      <c r="D5243" t="s">
        <v>9928</v>
      </c>
      <c r="E5243" t="s">
        <v>10075</v>
      </c>
      <c r="F5243">
        <v>11208</v>
      </c>
      <c r="G5243" t="s">
        <v>10093</v>
      </c>
      <c r="H5243" t="s">
        <v>10099</v>
      </c>
      <c r="I5243" t="s">
        <v>10169</v>
      </c>
      <c r="J5243" t="s">
        <v>10213</v>
      </c>
      <c r="K5243" t="s">
        <v>10218</v>
      </c>
      <c r="L5243" t="s">
        <v>10099</v>
      </c>
      <c r="M5243" t="s">
        <v>10405</v>
      </c>
      <c r="N5243" t="s">
        <v>10650</v>
      </c>
      <c r="P5243" t="s">
        <v>10749</v>
      </c>
      <c r="Q5243" t="s">
        <v>10765</v>
      </c>
      <c r="R5243" t="s">
        <v>10821</v>
      </c>
      <c r="T5243">
        <v>15036</v>
      </c>
      <c r="U5243">
        <v>1253</v>
      </c>
      <c r="V5243">
        <v>52</v>
      </c>
      <c r="W5243">
        <v>4</v>
      </c>
      <c r="X5243">
        <v>0</v>
      </c>
      <c r="Y5243" t="s">
        <v>10829</v>
      </c>
      <c r="Z5243">
        <v>58.39</v>
      </c>
      <c r="AA5243">
        <v>40.680073</v>
      </c>
      <c r="AB5243">
        <v>-73.86957099999999</v>
      </c>
      <c r="AD5243" t="s">
        <v>10839</v>
      </c>
      <c r="AG5243" t="s">
        <v>10858</v>
      </c>
      <c r="AH5243" t="s">
        <v>10862</v>
      </c>
      <c r="AI5243">
        <v>239</v>
      </c>
      <c r="AJ5243" t="s">
        <v>10213</v>
      </c>
      <c r="AK5243" t="s">
        <v>10838</v>
      </c>
      <c r="AL5243">
        <v>1.2</v>
      </c>
      <c r="AM5243" t="s">
        <v>10889</v>
      </c>
      <c r="AN5243" t="s">
        <v>10920</v>
      </c>
      <c r="AO5243" t="s">
        <v>11011</v>
      </c>
      <c r="AP5243" t="s">
        <v>11058</v>
      </c>
      <c r="AQ5243" t="s">
        <v>11101</v>
      </c>
      <c r="AR5243" t="s">
        <v>11491</v>
      </c>
      <c r="AS5243" t="s">
        <v>11595</v>
      </c>
      <c r="AT5243" t="s">
        <v>11641</v>
      </c>
      <c r="AY5243" t="s">
        <v>10829</v>
      </c>
      <c r="AZ5243" t="s">
        <v>11681</v>
      </c>
      <c r="BA5243" t="s">
        <v>11741</v>
      </c>
      <c r="BB5243">
        <v>0</v>
      </c>
      <c r="BC5243">
        <v>0</v>
      </c>
      <c r="BD5243">
        <v>0</v>
      </c>
      <c r="BE5243">
        <v>0</v>
      </c>
      <c r="BF5243">
        <v>1</v>
      </c>
      <c r="BG5243">
        <v>0</v>
      </c>
    </row>
    <row r="5244" spans="1:59">
      <c r="A5244" s="1">
        <f>HYPERLINK("https://lsnyc.legalserver.org/matter/dynamic-profile/view/1909485","19-1909485")</f>
        <v>0</v>
      </c>
      <c r="B5244" t="s">
        <v>4163</v>
      </c>
      <c r="C5244" t="s">
        <v>8994</v>
      </c>
      <c r="D5244" t="s">
        <v>9959</v>
      </c>
      <c r="E5244" t="s">
        <v>10075</v>
      </c>
      <c r="F5244">
        <v>11356</v>
      </c>
      <c r="G5244" t="s">
        <v>10092</v>
      </c>
      <c r="H5244" t="s">
        <v>10099</v>
      </c>
      <c r="I5244" t="s">
        <v>10169</v>
      </c>
      <c r="J5244" t="s">
        <v>10212</v>
      </c>
      <c r="K5244" t="s">
        <v>10217</v>
      </c>
      <c r="M5244" t="s">
        <v>10555</v>
      </c>
      <c r="N5244" t="s">
        <v>10695</v>
      </c>
      <c r="P5244" t="s">
        <v>10749</v>
      </c>
      <c r="Q5244" t="s">
        <v>10765</v>
      </c>
      <c r="R5244" t="s">
        <v>10821</v>
      </c>
      <c r="T5244">
        <v>11760</v>
      </c>
      <c r="U5244">
        <v>980</v>
      </c>
      <c r="V5244">
        <v>83</v>
      </c>
      <c r="W5244">
        <v>2</v>
      </c>
      <c r="X5244">
        <v>0</v>
      </c>
      <c r="Z5244">
        <v>69.54000000000001</v>
      </c>
      <c r="AA5244">
        <v>40.781049</v>
      </c>
      <c r="AB5244">
        <v>-73.84599</v>
      </c>
      <c r="AD5244" t="s">
        <v>10839</v>
      </c>
      <c r="AG5244" t="s">
        <v>10858</v>
      </c>
      <c r="AH5244" t="s">
        <v>10862</v>
      </c>
      <c r="AI5244">
        <v>237</v>
      </c>
      <c r="AJ5244" t="s">
        <v>10212</v>
      </c>
      <c r="AL5244">
        <v>0.57</v>
      </c>
      <c r="AR5244" t="s">
        <v>11268</v>
      </c>
      <c r="AS5244" t="s">
        <v>11594</v>
      </c>
      <c r="BA5244" t="s">
        <v>11741</v>
      </c>
      <c r="BB5244">
        <v>0</v>
      </c>
      <c r="BC5244">
        <v>0</v>
      </c>
      <c r="BD5244">
        <v>0</v>
      </c>
      <c r="BE5244">
        <v>0</v>
      </c>
      <c r="BF5244">
        <v>1</v>
      </c>
      <c r="BG5244">
        <v>0</v>
      </c>
    </row>
    <row r="5245" spans="1:59">
      <c r="A5245" s="1">
        <f>HYPERLINK("https://lsnyc.legalserver.org/matter/dynamic-profile/view/1909486","19-1909486")</f>
        <v>0</v>
      </c>
      <c r="B5245" t="s">
        <v>4164</v>
      </c>
      <c r="C5245" t="s">
        <v>7402</v>
      </c>
      <c r="D5245" t="s">
        <v>9926</v>
      </c>
      <c r="E5245" t="s">
        <v>10075</v>
      </c>
      <c r="F5245">
        <v>10451</v>
      </c>
      <c r="G5245" t="s">
        <v>10090</v>
      </c>
      <c r="H5245" t="s">
        <v>10099</v>
      </c>
      <c r="I5245" t="s">
        <v>10168</v>
      </c>
      <c r="J5245" t="s">
        <v>10210</v>
      </c>
      <c r="K5245" t="s">
        <v>10217</v>
      </c>
      <c r="M5245" t="s">
        <v>10412</v>
      </c>
      <c r="N5245" t="s">
        <v>10679</v>
      </c>
      <c r="P5245" t="s">
        <v>10753</v>
      </c>
      <c r="Q5245" t="s">
        <v>10763</v>
      </c>
      <c r="R5245" t="s">
        <v>10824</v>
      </c>
      <c r="T5245">
        <v>23400</v>
      </c>
      <c r="U5245">
        <v>1950</v>
      </c>
      <c r="V5245">
        <v>6</v>
      </c>
      <c r="W5245">
        <v>1</v>
      </c>
      <c r="X5245">
        <v>2</v>
      </c>
      <c r="Z5245">
        <v>109.7</v>
      </c>
      <c r="AA5245">
        <v>40.814675</v>
      </c>
      <c r="AB5245">
        <v>-73.922044</v>
      </c>
      <c r="AD5245" t="s">
        <v>10839</v>
      </c>
      <c r="AF5245" t="s">
        <v>10851</v>
      </c>
      <c r="AG5245" t="s">
        <v>10859</v>
      </c>
      <c r="AH5245" t="s">
        <v>10864</v>
      </c>
      <c r="AI5245">
        <v>230</v>
      </c>
      <c r="AJ5245" t="s">
        <v>10210</v>
      </c>
      <c r="AL5245">
        <v>2.1</v>
      </c>
      <c r="AM5245" t="s">
        <v>10884</v>
      </c>
      <c r="AN5245" t="s">
        <v>10924</v>
      </c>
      <c r="AO5245" t="s">
        <v>11013</v>
      </c>
      <c r="AP5245" t="s">
        <v>11066</v>
      </c>
      <c r="AQ5245" t="s">
        <v>11109</v>
      </c>
      <c r="AR5245" t="s">
        <v>10180</v>
      </c>
      <c r="AS5245" t="s">
        <v>9926</v>
      </c>
      <c r="AT5245" t="s">
        <v>11641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</row>
    <row r="5246" spans="1:59">
      <c r="A5246" s="1">
        <f>HYPERLINK("https://lsnyc.legalserver.org/matter/dynamic-profile/view/1909487","19-1909487")</f>
        <v>0</v>
      </c>
      <c r="B5246" t="s">
        <v>332</v>
      </c>
      <c r="C5246" t="s">
        <v>8995</v>
      </c>
      <c r="D5246" t="s">
        <v>9926</v>
      </c>
      <c r="E5246" t="s">
        <v>10075</v>
      </c>
      <c r="F5246">
        <v>10451</v>
      </c>
      <c r="G5246" t="s">
        <v>10090</v>
      </c>
      <c r="H5246" t="s">
        <v>10099</v>
      </c>
      <c r="I5246" t="s">
        <v>10168</v>
      </c>
      <c r="J5246" t="s">
        <v>10210</v>
      </c>
      <c r="K5246" t="s">
        <v>10217</v>
      </c>
      <c r="M5246" t="s">
        <v>10261</v>
      </c>
      <c r="N5246" t="s">
        <v>10650</v>
      </c>
      <c r="P5246" t="s">
        <v>10749</v>
      </c>
      <c r="Q5246" t="s">
        <v>10765</v>
      </c>
      <c r="R5246" t="s">
        <v>10822</v>
      </c>
      <c r="T5246">
        <v>23568</v>
      </c>
      <c r="U5246">
        <v>1964</v>
      </c>
      <c r="V5246">
        <v>64</v>
      </c>
      <c r="W5246">
        <v>1</v>
      </c>
      <c r="X5246">
        <v>0</v>
      </c>
      <c r="Z5246">
        <v>188.69</v>
      </c>
      <c r="AA5246">
        <v>0</v>
      </c>
      <c r="AB5246">
        <v>0</v>
      </c>
      <c r="AD5246" t="s">
        <v>10822</v>
      </c>
      <c r="AG5246" t="s">
        <v>10858</v>
      </c>
      <c r="AH5246" t="s">
        <v>10862</v>
      </c>
      <c r="AI5246">
        <v>230</v>
      </c>
      <c r="AJ5246" t="s">
        <v>10210</v>
      </c>
      <c r="AL5246">
        <v>0.5</v>
      </c>
      <c r="AR5246" t="s">
        <v>11296</v>
      </c>
      <c r="AS5246" t="s">
        <v>9926</v>
      </c>
      <c r="BA5246" t="s">
        <v>11741</v>
      </c>
      <c r="BB5246">
        <v>0</v>
      </c>
      <c r="BC5246">
        <v>0</v>
      </c>
      <c r="BD5246">
        <v>0</v>
      </c>
      <c r="BE5246">
        <v>0</v>
      </c>
      <c r="BF5246">
        <v>1</v>
      </c>
      <c r="BG5246">
        <v>0</v>
      </c>
    </row>
    <row r="5247" spans="1:59">
      <c r="A5247" s="1">
        <f>HYPERLINK("https://lsnyc.legalserver.org/matter/dynamic-profile/view/1909488","19-1909488")</f>
        <v>0</v>
      </c>
      <c r="B5247" t="s">
        <v>4165</v>
      </c>
      <c r="C5247" t="s">
        <v>8996</v>
      </c>
      <c r="D5247" t="s">
        <v>9929</v>
      </c>
      <c r="E5247" t="s">
        <v>10075</v>
      </c>
      <c r="F5247">
        <v>10309</v>
      </c>
      <c r="G5247" t="s">
        <v>10093</v>
      </c>
      <c r="H5247" t="s">
        <v>10099</v>
      </c>
      <c r="I5247" t="s">
        <v>10168</v>
      </c>
      <c r="J5247" t="s">
        <v>10213</v>
      </c>
      <c r="K5247" t="s">
        <v>10217</v>
      </c>
      <c r="M5247" t="s">
        <v>10315</v>
      </c>
      <c r="N5247" t="s">
        <v>10686</v>
      </c>
      <c r="P5247" t="s">
        <v>10750</v>
      </c>
      <c r="Q5247" t="s">
        <v>10778</v>
      </c>
      <c r="R5247" t="s">
        <v>10821</v>
      </c>
      <c r="T5247">
        <v>9360</v>
      </c>
      <c r="U5247">
        <v>780</v>
      </c>
      <c r="V5247">
        <v>48</v>
      </c>
      <c r="W5247">
        <v>1</v>
      </c>
      <c r="X5247">
        <v>0</v>
      </c>
      <c r="Z5247">
        <v>74.94</v>
      </c>
      <c r="AA5247">
        <v>40.537866</v>
      </c>
      <c r="AB5247">
        <v>-74.23162000000001</v>
      </c>
      <c r="AD5247" t="s">
        <v>10839</v>
      </c>
      <c r="AG5247" t="s">
        <v>10858</v>
      </c>
      <c r="AH5247" t="s">
        <v>10871</v>
      </c>
      <c r="AI5247">
        <v>234</v>
      </c>
      <c r="AJ5247" t="s">
        <v>10214</v>
      </c>
      <c r="AL5247">
        <v>4.35</v>
      </c>
      <c r="AM5247" t="s">
        <v>10883</v>
      </c>
      <c r="AN5247" t="s">
        <v>10906</v>
      </c>
      <c r="AO5247" t="s">
        <v>10999</v>
      </c>
      <c r="AP5247" t="s">
        <v>11044</v>
      </c>
      <c r="AR5247" t="s">
        <v>11257</v>
      </c>
      <c r="AS5247" t="s">
        <v>11593</v>
      </c>
      <c r="AT5247" t="s">
        <v>11641</v>
      </c>
      <c r="AX5247" t="s">
        <v>10838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</row>
    <row r="5248" spans="1:59">
      <c r="A5248" s="1">
        <f>HYPERLINK("https://lsnyc.legalserver.org/matter/dynamic-profile/view/1909489","19-1909489")</f>
        <v>0</v>
      </c>
      <c r="B5248" t="s">
        <v>4166</v>
      </c>
      <c r="C5248" t="s">
        <v>8997</v>
      </c>
      <c r="D5248" t="s">
        <v>9929</v>
      </c>
      <c r="E5248" t="s">
        <v>10075</v>
      </c>
      <c r="F5248">
        <v>10305</v>
      </c>
      <c r="G5248" t="s">
        <v>10088</v>
      </c>
      <c r="H5248" t="s">
        <v>10116</v>
      </c>
      <c r="I5248" t="s">
        <v>10168</v>
      </c>
      <c r="J5248" t="s">
        <v>10208</v>
      </c>
      <c r="K5248" t="s">
        <v>10217</v>
      </c>
      <c r="M5248" t="s">
        <v>10240</v>
      </c>
      <c r="N5248" t="s">
        <v>10654</v>
      </c>
      <c r="P5248" t="s">
        <v>10749</v>
      </c>
      <c r="Q5248" t="s">
        <v>10765</v>
      </c>
      <c r="R5248" t="s">
        <v>10821</v>
      </c>
      <c r="T5248">
        <v>3000</v>
      </c>
      <c r="U5248">
        <v>250</v>
      </c>
      <c r="V5248">
        <v>31</v>
      </c>
      <c r="W5248">
        <v>1</v>
      </c>
      <c r="X5248">
        <v>2</v>
      </c>
      <c r="Z5248">
        <v>14.06</v>
      </c>
      <c r="AA5248">
        <v>40.591812</v>
      </c>
      <c r="AB5248">
        <v>-74.077859</v>
      </c>
      <c r="AD5248" t="s">
        <v>10839</v>
      </c>
      <c r="AG5248" t="s">
        <v>10858</v>
      </c>
      <c r="AH5248" t="s">
        <v>10862</v>
      </c>
      <c r="AI5248">
        <v>285</v>
      </c>
      <c r="AJ5248" t="s">
        <v>10208</v>
      </c>
      <c r="AL5248">
        <v>4.55</v>
      </c>
      <c r="AM5248" t="s">
        <v>10883</v>
      </c>
      <c r="AN5248" t="s">
        <v>10915</v>
      </c>
      <c r="AO5248" t="s">
        <v>11006</v>
      </c>
      <c r="AP5248" t="s">
        <v>11063</v>
      </c>
      <c r="AR5248" t="s">
        <v>11255</v>
      </c>
      <c r="AS5248" t="s">
        <v>11593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</row>
    <row r="5249" spans="1:59">
      <c r="A5249" s="1">
        <f>HYPERLINK("https://lsnyc.legalserver.org/matter/dynamic-profile/view/1909490","19-1909490")</f>
        <v>0</v>
      </c>
      <c r="B5249" t="s">
        <v>4167</v>
      </c>
      <c r="C5249" t="s">
        <v>8998</v>
      </c>
      <c r="D5249" t="s">
        <v>10000</v>
      </c>
      <c r="E5249" t="s">
        <v>10075</v>
      </c>
      <c r="F5249">
        <v>11413</v>
      </c>
      <c r="G5249" t="s">
        <v>10092</v>
      </c>
      <c r="H5249" t="s">
        <v>10099</v>
      </c>
      <c r="I5249" t="s">
        <v>10168</v>
      </c>
      <c r="J5249" t="s">
        <v>10212</v>
      </c>
      <c r="K5249" t="s">
        <v>10217</v>
      </c>
      <c r="M5249" t="s">
        <v>10473</v>
      </c>
      <c r="N5249" t="s">
        <v>10678</v>
      </c>
      <c r="P5249" t="s">
        <v>10749</v>
      </c>
      <c r="Q5249" t="s">
        <v>10769</v>
      </c>
      <c r="R5249" t="s">
        <v>10824</v>
      </c>
      <c r="T5249">
        <v>26560</v>
      </c>
      <c r="U5249">
        <v>2213.33</v>
      </c>
      <c r="V5249">
        <v>81</v>
      </c>
      <c r="W5249">
        <v>1</v>
      </c>
      <c r="X5249">
        <v>0</v>
      </c>
      <c r="Z5249">
        <v>212.65</v>
      </c>
      <c r="AA5249">
        <v>40.679481</v>
      </c>
      <c r="AB5249">
        <v>-73.74403</v>
      </c>
      <c r="AD5249" t="s">
        <v>10839</v>
      </c>
      <c r="AG5249" t="s">
        <v>10858</v>
      </c>
      <c r="AH5249" t="s">
        <v>10861</v>
      </c>
      <c r="AI5249">
        <v>234</v>
      </c>
      <c r="AJ5249" t="s">
        <v>10214</v>
      </c>
      <c r="AL5249">
        <v>0.7</v>
      </c>
      <c r="AM5249" t="s">
        <v>10892</v>
      </c>
      <c r="AN5249" t="s">
        <v>10955</v>
      </c>
      <c r="AO5249" t="s">
        <v>11020</v>
      </c>
      <c r="AP5249" t="s">
        <v>11082</v>
      </c>
      <c r="AR5249" t="s">
        <v>11562</v>
      </c>
      <c r="AS5249" t="s">
        <v>11594</v>
      </c>
      <c r="AT5249" t="s">
        <v>11641</v>
      </c>
      <c r="AX5249" t="s">
        <v>10838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</row>
    <row r="5250" spans="1:59">
      <c r="A5250" s="1">
        <f>HYPERLINK("https://lsnyc.legalserver.org/matter/dynamic-profile/view/1909491","19-1909491")</f>
        <v>0</v>
      </c>
      <c r="B5250" t="s">
        <v>4151</v>
      </c>
      <c r="C5250" t="s">
        <v>8979</v>
      </c>
      <c r="D5250" t="s">
        <v>9948</v>
      </c>
      <c r="E5250" t="s">
        <v>10075</v>
      </c>
      <c r="F5250">
        <v>11691</v>
      </c>
      <c r="G5250" t="s">
        <v>10092</v>
      </c>
      <c r="H5250" t="s">
        <v>10099</v>
      </c>
      <c r="I5250" t="s">
        <v>10168</v>
      </c>
      <c r="J5250" t="s">
        <v>10212</v>
      </c>
      <c r="K5250" t="s">
        <v>10217</v>
      </c>
      <c r="M5250" t="s">
        <v>10547</v>
      </c>
      <c r="N5250" t="s">
        <v>10671</v>
      </c>
      <c r="P5250" t="s">
        <v>10751</v>
      </c>
      <c r="Q5250" t="s">
        <v>10768</v>
      </c>
      <c r="R5250" t="s">
        <v>10827</v>
      </c>
      <c r="T5250">
        <v>2700</v>
      </c>
      <c r="U5250">
        <v>225</v>
      </c>
      <c r="V5250">
        <v>64</v>
      </c>
      <c r="W5250">
        <v>1</v>
      </c>
      <c r="X5250">
        <v>0</v>
      </c>
      <c r="Z5250">
        <v>21.62</v>
      </c>
      <c r="AA5250">
        <v>40.60436</v>
      </c>
      <c r="AB5250">
        <v>-73.75760099999999</v>
      </c>
      <c r="AD5250" t="s">
        <v>10840</v>
      </c>
      <c r="AF5250" t="s">
        <v>10843</v>
      </c>
      <c r="AG5250" t="s">
        <v>10859</v>
      </c>
      <c r="AH5250" t="s">
        <v>10861</v>
      </c>
      <c r="AI5250">
        <v>234</v>
      </c>
      <c r="AJ5250" t="s">
        <v>10214</v>
      </c>
      <c r="AL5250">
        <v>0.5</v>
      </c>
      <c r="AR5250" t="s">
        <v>11255</v>
      </c>
      <c r="AS5250" t="s">
        <v>11594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</row>
    <row r="5251" spans="1:59">
      <c r="A5251" s="1">
        <f>HYPERLINK("https://lsnyc.legalserver.org/matter/dynamic-profile/view/1909492","19-1909492")</f>
        <v>0</v>
      </c>
      <c r="B5251" t="s">
        <v>4168</v>
      </c>
      <c r="C5251" t="s">
        <v>8999</v>
      </c>
      <c r="D5251" t="s">
        <v>9925</v>
      </c>
      <c r="E5251" t="s">
        <v>10075</v>
      </c>
      <c r="F5251">
        <v>10035</v>
      </c>
      <c r="G5251" t="s">
        <v>10089</v>
      </c>
      <c r="H5251" t="s">
        <v>10099</v>
      </c>
      <c r="I5251" t="s">
        <v>10168</v>
      </c>
      <c r="J5251" t="s">
        <v>10209</v>
      </c>
      <c r="K5251" t="s">
        <v>10217</v>
      </c>
      <c r="M5251" t="s">
        <v>10270</v>
      </c>
      <c r="N5251" t="s">
        <v>10671</v>
      </c>
      <c r="P5251" t="s">
        <v>10754</v>
      </c>
      <c r="Q5251" t="s">
        <v>10777</v>
      </c>
      <c r="R5251" t="s">
        <v>10824</v>
      </c>
      <c r="T5251">
        <v>16200</v>
      </c>
      <c r="U5251">
        <v>1350</v>
      </c>
      <c r="V5251">
        <v>23</v>
      </c>
      <c r="W5251">
        <v>1</v>
      </c>
      <c r="X5251">
        <v>2</v>
      </c>
      <c r="Z5251">
        <v>75.95</v>
      </c>
      <c r="AA5251">
        <v>40.805487</v>
      </c>
      <c r="AB5251">
        <v>-73.93954100000001</v>
      </c>
      <c r="AD5251" t="s">
        <v>10840</v>
      </c>
      <c r="AF5251" t="s">
        <v>10843</v>
      </c>
      <c r="AG5251" t="s">
        <v>10859</v>
      </c>
      <c r="AH5251" t="s">
        <v>10861</v>
      </c>
      <c r="AI5251">
        <v>234</v>
      </c>
      <c r="AJ5251" t="s">
        <v>10214</v>
      </c>
      <c r="AL5251">
        <v>1</v>
      </c>
      <c r="AM5251" t="s">
        <v>10887</v>
      </c>
      <c r="AN5251" t="s">
        <v>10926</v>
      </c>
      <c r="AO5251" t="s">
        <v>11016</v>
      </c>
      <c r="AP5251" t="s">
        <v>11076</v>
      </c>
      <c r="AR5251" t="s">
        <v>11383</v>
      </c>
      <c r="AS5251" t="s">
        <v>9925</v>
      </c>
      <c r="AT5251" t="s">
        <v>11641</v>
      </c>
      <c r="AX5251" t="s">
        <v>10838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</row>
    <row r="5252" spans="1:59">
      <c r="A5252" s="1">
        <f>HYPERLINK("https://lsnyc.legalserver.org/matter/dynamic-profile/view/1909493","19-1909493")</f>
        <v>0</v>
      </c>
      <c r="B5252" t="s">
        <v>4169</v>
      </c>
      <c r="C5252" t="s">
        <v>9000</v>
      </c>
      <c r="D5252" t="s">
        <v>9928</v>
      </c>
      <c r="E5252" t="s">
        <v>10075</v>
      </c>
      <c r="F5252">
        <v>11207</v>
      </c>
      <c r="G5252" t="s">
        <v>10093</v>
      </c>
      <c r="H5252" t="s">
        <v>10099</v>
      </c>
      <c r="I5252" t="s">
        <v>10168</v>
      </c>
      <c r="J5252" t="s">
        <v>10213</v>
      </c>
      <c r="K5252" t="s">
        <v>10217</v>
      </c>
      <c r="M5252" t="s">
        <v>10405</v>
      </c>
      <c r="N5252" t="s">
        <v>10650</v>
      </c>
      <c r="P5252" t="s">
        <v>10749</v>
      </c>
      <c r="Q5252" t="s">
        <v>10765</v>
      </c>
      <c r="R5252" t="s">
        <v>10821</v>
      </c>
      <c r="T5252">
        <v>35604</v>
      </c>
      <c r="U5252">
        <v>2967</v>
      </c>
      <c r="V5252">
        <v>58</v>
      </c>
      <c r="W5252">
        <v>2</v>
      </c>
      <c r="X5252">
        <v>0</v>
      </c>
      <c r="Z5252">
        <v>210.55</v>
      </c>
      <c r="AA5252">
        <v>40.669563</v>
      </c>
      <c r="AB5252">
        <v>-73.887829</v>
      </c>
      <c r="AD5252" t="s">
        <v>10839</v>
      </c>
      <c r="AG5252" t="s">
        <v>10858</v>
      </c>
      <c r="AH5252" t="s">
        <v>10862</v>
      </c>
      <c r="AI5252">
        <v>239</v>
      </c>
      <c r="AJ5252" t="s">
        <v>10213</v>
      </c>
      <c r="AL5252">
        <v>2.9</v>
      </c>
      <c r="AM5252" t="s">
        <v>10889</v>
      </c>
      <c r="AN5252" t="s">
        <v>10946</v>
      </c>
      <c r="AO5252" t="s">
        <v>11011</v>
      </c>
      <c r="AP5252" t="s">
        <v>11060</v>
      </c>
      <c r="AR5252" t="s">
        <v>11399</v>
      </c>
      <c r="AS5252" t="s">
        <v>11595</v>
      </c>
      <c r="AT5252" t="s">
        <v>11641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</row>
    <row r="5253" spans="1:59">
      <c r="A5253" s="1">
        <f>HYPERLINK("https://lsnyc.legalserver.org/matter/dynamic-profile/view/1909495","19-1909495")</f>
        <v>0</v>
      </c>
      <c r="B5253" t="s">
        <v>4170</v>
      </c>
      <c r="C5253" t="s">
        <v>9001</v>
      </c>
      <c r="D5253" t="s">
        <v>9928</v>
      </c>
      <c r="E5253" t="s">
        <v>10075</v>
      </c>
      <c r="F5253">
        <v>11221</v>
      </c>
      <c r="G5253" t="s">
        <v>10093</v>
      </c>
      <c r="H5253" t="s">
        <v>10099</v>
      </c>
      <c r="I5253" t="s">
        <v>10168</v>
      </c>
      <c r="J5253" t="s">
        <v>10213</v>
      </c>
      <c r="K5253" t="s">
        <v>10217</v>
      </c>
      <c r="M5253" t="s">
        <v>10359</v>
      </c>
      <c r="N5253" t="s">
        <v>10664</v>
      </c>
      <c r="P5253" t="s">
        <v>10749</v>
      </c>
      <c r="Q5253" t="s">
        <v>10765</v>
      </c>
      <c r="R5253" t="s">
        <v>10821</v>
      </c>
      <c r="T5253">
        <v>41340</v>
      </c>
      <c r="U5253">
        <v>3445</v>
      </c>
      <c r="V5253">
        <v>44</v>
      </c>
      <c r="W5253">
        <v>3</v>
      </c>
      <c r="X5253">
        <v>1</v>
      </c>
      <c r="Z5253">
        <v>160.54</v>
      </c>
      <c r="AA5253">
        <v>40.689281</v>
      </c>
      <c r="AB5253">
        <v>-73.925556</v>
      </c>
      <c r="AD5253" t="s">
        <v>10839</v>
      </c>
      <c r="AG5253" t="s">
        <v>10858</v>
      </c>
      <c r="AH5253" t="s">
        <v>10862</v>
      </c>
      <c r="AI5253">
        <v>239</v>
      </c>
      <c r="AJ5253" t="s">
        <v>10213</v>
      </c>
      <c r="AL5253">
        <v>0</v>
      </c>
      <c r="AM5253" t="s">
        <v>10889</v>
      </c>
      <c r="AN5253" t="s">
        <v>10914</v>
      </c>
      <c r="AO5253" t="s">
        <v>11007</v>
      </c>
      <c r="AP5253" t="s">
        <v>11064</v>
      </c>
      <c r="AQ5253" t="s">
        <v>11123</v>
      </c>
      <c r="AR5253" t="s">
        <v>11257</v>
      </c>
      <c r="AS5253" t="s">
        <v>11595</v>
      </c>
      <c r="AT5253" t="s">
        <v>11641</v>
      </c>
      <c r="BA5253" t="s">
        <v>11741</v>
      </c>
      <c r="BB5253">
        <v>0</v>
      </c>
      <c r="BC5253">
        <v>0</v>
      </c>
      <c r="BD5253">
        <v>0</v>
      </c>
      <c r="BE5253">
        <v>0</v>
      </c>
      <c r="BF5253">
        <v>1</v>
      </c>
      <c r="BG5253">
        <v>0</v>
      </c>
    </row>
    <row r="5254" spans="1:59">
      <c r="A5254" s="1">
        <f>HYPERLINK("https://lsnyc.legalserver.org/matter/dynamic-profile/view/1909496","19-1909496")</f>
        <v>0</v>
      </c>
      <c r="B5254" t="s">
        <v>4149</v>
      </c>
      <c r="C5254" t="s">
        <v>6286</v>
      </c>
      <c r="D5254" t="s">
        <v>9926</v>
      </c>
      <c r="E5254" t="s">
        <v>10075</v>
      </c>
      <c r="F5254">
        <v>10467</v>
      </c>
      <c r="G5254" t="s">
        <v>10090</v>
      </c>
      <c r="H5254" t="s">
        <v>10099</v>
      </c>
      <c r="I5254" t="s">
        <v>10168</v>
      </c>
      <c r="J5254" t="s">
        <v>10210</v>
      </c>
      <c r="K5254" t="s">
        <v>10217</v>
      </c>
      <c r="M5254" t="s">
        <v>10418</v>
      </c>
      <c r="N5254" t="s">
        <v>10671</v>
      </c>
      <c r="P5254" t="s">
        <v>10751</v>
      </c>
      <c r="Q5254" t="s">
        <v>10761</v>
      </c>
      <c r="R5254" t="s">
        <v>10826</v>
      </c>
      <c r="T5254">
        <v>24180</v>
      </c>
      <c r="U5254">
        <v>2015</v>
      </c>
      <c r="V5254">
        <v>46</v>
      </c>
      <c r="W5254">
        <v>1</v>
      </c>
      <c r="X5254">
        <v>0</v>
      </c>
      <c r="Z5254">
        <v>193.59</v>
      </c>
      <c r="AA5254">
        <v>40.883987</v>
      </c>
      <c r="AB5254">
        <v>-73.86593499999999</v>
      </c>
      <c r="AD5254" t="s">
        <v>10839</v>
      </c>
      <c r="AF5254" t="s">
        <v>10843</v>
      </c>
      <c r="AG5254" t="s">
        <v>10859</v>
      </c>
      <c r="AH5254" t="s">
        <v>10862</v>
      </c>
      <c r="AI5254">
        <v>230</v>
      </c>
      <c r="AJ5254" t="s">
        <v>10210</v>
      </c>
      <c r="AL5254">
        <v>1</v>
      </c>
      <c r="AR5254" t="s">
        <v>11257</v>
      </c>
      <c r="AS5254" t="s">
        <v>9926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</row>
    <row r="5255" spans="1:59">
      <c r="A5255" s="1">
        <f>HYPERLINK("https://lsnyc.legalserver.org/matter/dynamic-profile/view/1909497","19-1909497")</f>
        <v>0</v>
      </c>
      <c r="B5255" t="s">
        <v>4171</v>
      </c>
      <c r="C5255" t="s">
        <v>8636</v>
      </c>
      <c r="D5255" t="s">
        <v>9925</v>
      </c>
      <c r="E5255" t="s">
        <v>10075</v>
      </c>
      <c r="F5255">
        <v>10040</v>
      </c>
      <c r="G5255" t="s">
        <v>10089</v>
      </c>
      <c r="H5255" t="s">
        <v>10099</v>
      </c>
      <c r="I5255" t="s">
        <v>10168</v>
      </c>
      <c r="J5255" t="s">
        <v>10209</v>
      </c>
      <c r="K5255" t="s">
        <v>10217</v>
      </c>
      <c r="M5255" t="s">
        <v>10451</v>
      </c>
      <c r="N5255" t="s">
        <v>10650</v>
      </c>
      <c r="P5255" t="s">
        <v>10749</v>
      </c>
      <c r="Q5255" t="s">
        <v>10765</v>
      </c>
      <c r="R5255" t="s">
        <v>10821</v>
      </c>
      <c r="T5255">
        <v>58000</v>
      </c>
      <c r="U5255">
        <v>4833.33</v>
      </c>
      <c r="V5255">
        <v>32</v>
      </c>
      <c r="W5255">
        <v>1</v>
      </c>
      <c r="X5255">
        <v>0</v>
      </c>
      <c r="Z5255">
        <v>464.37</v>
      </c>
      <c r="AA5255">
        <v>40.857158</v>
      </c>
      <c r="AB5255">
        <v>-73.932643</v>
      </c>
      <c r="AD5255" t="s">
        <v>10839</v>
      </c>
      <c r="AG5255" t="s">
        <v>10858</v>
      </c>
      <c r="AH5255" t="s">
        <v>10862</v>
      </c>
      <c r="AI5255">
        <v>236</v>
      </c>
      <c r="AJ5255" t="s">
        <v>10209</v>
      </c>
      <c r="AL5255">
        <v>0.1</v>
      </c>
      <c r="AM5255" t="s">
        <v>10887</v>
      </c>
      <c r="AN5255" t="s">
        <v>10937</v>
      </c>
      <c r="AO5255" t="s">
        <v>11019</v>
      </c>
      <c r="AP5255" t="s">
        <v>11074</v>
      </c>
      <c r="AR5255" t="s">
        <v>11257</v>
      </c>
      <c r="AS5255" t="s">
        <v>9925</v>
      </c>
      <c r="AT5255" t="s">
        <v>11641</v>
      </c>
      <c r="AX5255" t="s">
        <v>10838</v>
      </c>
      <c r="BA5255" t="s">
        <v>11742</v>
      </c>
      <c r="BB5255">
        <v>0</v>
      </c>
      <c r="BC5255">
        <v>0</v>
      </c>
      <c r="BD5255">
        <v>0</v>
      </c>
      <c r="BE5255">
        <v>0</v>
      </c>
      <c r="BF5255">
        <v>7</v>
      </c>
      <c r="BG5255">
        <v>0</v>
      </c>
    </row>
    <row r="5256" spans="1:59">
      <c r="A5256" s="1">
        <f>HYPERLINK("https://lsnyc.legalserver.org/matter/dynamic-profile/view/1909498","19-1909498")</f>
        <v>0</v>
      </c>
      <c r="B5256" t="s">
        <v>4172</v>
      </c>
      <c r="C5256" t="s">
        <v>8327</v>
      </c>
      <c r="D5256" t="s">
        <v>9926</v>
      </c>
      <c r="E5256" t="s">
        <v>10075</v>
      </c>
      <c r="F5256">
        <v>10466</v>
      </c>
      <c r="G5256" t="s">
        <v>10090</v>
      </c>
      <c r="H5256" t="s">
        <v>10099</v>
      </c>
      <c r="I5256" t="s">
        <v>10168</v>
      </c>
      <c r="J5256" t="s">
        <v>10210</v>
      </c>
      <c r="K5256" t="s">
        <v>10217</v>
      </c>
      <c r="M5256" t="s">
        <v>10545</v>
      </c>
      <c r="N5256" t="s">
        <v>10671</v>
      </c>
      <c r="P5256" t="s">
        <v>10749</v>
      </c>
      <c r="Q5256" t="s">
        <v>10769</v>
      </c>
      <c r="R5256" t="s">
        <v>10824</v>
      </c>
      <c r="T5256">
        <v>12000</v>
      </c>
      <c r="U5256">
        <v>1000</v>
      </c>
      <c r="V5256">
        <v>66</v>
      </c>
      <c r="W5256">
        <v>2</v>
      </c>
      <c r="X5256">
        <v>0</v>
      </c>
      <c r="Z5256">
        <v>70.95999999999999</v>
      </c>
      <c r="AA5256">
        <v>40.892474</v>
      </c>
      <c r="AB5256">
        <v>-73.841854</v>
      </c>
      <c r="AD5256" t="s">
        <v>10839</v>
      </c>
      <c r="AG5256" t="s">
        <v>10858</v>
      </c>
      <c r="AH5256" t="s">
        <v>10871</v>
      </c>
      <c r="AI5256">
        <v>234</v>
      </c>
      <c r="AJ5256" t="s">
        <v>10214</v>
      </c>
      <c r="AL5256">
        <v>1.5</v>
      </c>
      <c r="AM5256" t="s">
        <v>10893</v>
      </c>
      <c r="AN5256" t="s">
        <v>10956</v>
      </c>
      <c r="AO5256" t="s">
        <v>11010</v>
      </c>
      <c r="AP5256" t="s">
        <v>11085</v>
      </c>
      <c r="AR5256" t="s">
        <v>11268</v>
      </c>
      <c r="AS5256" t="s">
        <v>9926</v>
      </c>
      <c r="AT5256" t="s">
        <v>11641</v>
      </c>
      <c r="AX5256" t="s">
        <v>10838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</row>
    <row r="5257" spans="1:59">
      <c r="A5257" s="1">
        <f>HYPERLINK("https://lsnyc.legalserver.org/matter/dynamic-profile/view/1909499","19-1909499")</f>
        <v>0</v>
      </c>
      <c r="B5257" t="s">
        <v>4158</v>
      </c>
      <c r="C5257" t="s">
        <v>8987</v>
      </c>
      <c r="D5257" t="s">
        <v>9926</v>
      </c>
      <c r="E5257" t="s">
        <v>10075</v>
      </c>
      <c r="F5257">
        <v>10468</v>
      </c>
      <c r="G5257" t="s">
        <v>10090</v>
      </c>
      <c r="H5257" t="s">
        <v>10099</v>
      </c>
      <c r="I5257" t="s">
        <v>10169</v>
      </c>
      <c r="J5257" t="s">
        <v>10210</v>
      </c>
      <c r="K5257" t="s">
        <v>10217</v>
      </c>
      <c r="M5257" t="s">
        <v>10287</v>
      </c>
      <c r="N5257" t="s">
        <v>10671</v>
      </c>
      <c r="P5257" t="s">
        <v>10751</v>
      </c>
      <c r="Q5257" t="s">
        <v>10761</v>
      </c>
      <c r="R5257" t="s">
        <v>10821</v>
      </c>
      <c r="T5257">
        <v>43940</v>
      </c>
      <c r="U5257">
        <v>3661.67</v>
      </c>
      <c r="V5257">
        <v>47</v>
      </c>
      <c r="W5257">
        <v>4</v>
      </c>
      <c r="X5257">
        <v>0</v>
      </c>
      <c r="Z5257">
        <v>170.64</v>
      </c>
      <c r="AA5257">
        <v>40.872966</v>
      </c>
      <c r="AB5257">
        <v>-73.89951499999999</v>
      </c>
      <c r="AD5257" t="s">
        <v>10839</v>
      </c>
      <c r="AG5257" t="s">
        <v>10858</v>
      </c>
      <c r="AH5257" t="s">
        <v>10862</v>
      </c>
      <c r="AI5257">
        <v>230</v>
      </c>
      <c r="AJ5257" t="s">
        <v>10210</v>
      </c>
      <c r="AL5257">
        <v>1</v>
      </c>
      <c r="AM5257" t="s">
        <v>10887</v>
      </c>
      <c r="AN5257" t="s">
        <v>10919</v>
      </c>
      <c r="AO5257" t="s">
        <v>11000</v>
      </c>
      <c r="AP5257" t="s">
        <v>11045</v>
      </c>
      <c r="AR5257" t="s">
        <v>11262</v>
      </c>
      <c r="AS5257" t="s">
        <v>9926</v>
      </c>
      <c r="AT5257" t="s">
        <v>11641</v>
      </c>
      <c r="AX5257" t="s">
        <v>10838</v>
      </c>
      <c r="BA5257" t="s">
        <v>11741</v>
      </c>
      <c r="BB5257">
        <v>0</v>
      </c>
      <c r="BC5257">
        <v>0</v>
      </c>
      <c r="BD5257">
        <v>0</v>
      </c>
      <c r="BE5257">
        <v>0</v>
      </c>
      <c r="BF5257">
        <v>1</v>
      </c>
      <c r="BG5257">
        <v>0</v>
      </c>
    </row>
    <row r="5258" spans="1:59">
      <c r="A5258" s="1">
        <f>HYPERLINK("https://lsnyc.legalserver.org/matter/dynamic-profile/view/1909500","19-1909500")</f>
        <v>0</v>
      </c>
      <c r="B5258" t="s">
        <v>4173</v>
      </c>
      <c r="C5258" t="s">
        <v>9002</v>
      </c>
      <c r="D5258" t="s">
        <v>9926</v>
      </c>
      <c r="E5258" t="s">
        <v>10075</v>
      </c>
      <c r="F5258">
        <v>10452</v>
      </c>
      <c r="G5258" t="s">
        <v>10090</v>
      </c>
      <c r="H5258" t="s">
        <v>10099</v>
      </c>
      <c r="I5258" t="s">
        <v>10169</v>
      </c>
      <c r="J5258" t="s">
        <v>10210</v>
      </c>
      <c r="K5258" t="s">
        <v>10217</v>
      </c>
      <c r="M5258" t="s">
        <v>10558</v>
      </c>
      <c r="N5258" t="s">
        <v>10683</v>
      </c>
      <c r="P5258" t="s">
        <v>10754</v>
      </c>
      <c r="Q5258" t="s">
        <v>10777</v>
      </c>
      <c r="R5258" t="s">
        <v>10821</v>
      </c>
      <c r="T5258">
        <v>7800</v>
      </c>
      <c r="U5258">
        <v>650</v>
      </c>
      <c r="V5258">
        <v>29</v>
      </c>
      <c r="W5258">
        <v>1</v>
      </c>
      <c r="X5258">
        <v>1</v>
      </c>
      <c r="Z5258">
        <v>46.13</v>
      </c>
      <c r="AA5258">
        <v>40.836979</v>
      </c>
      <c r="AB5258">
        <v>-73.91998599999999</v>
      </c>
      <c r="AD5258" t="s">
        <v>10839</v>
      </c>
      <c r="AF5258" t="s">
        <v>10842</v>
      </c>
      <c r="AG5258" t="s">
        <v>10859</v>
      </c>
      <c r="AH5258" t="s">
        <v>10865</v>
      </c>
      <c r="AI5258">
        <v>230</v>
      </c>
      <c r="AJ5258" t="s">
        <v>10210</v>
      </c>
      <c r="AL5258">
        <v>8.25</v>
      </c>
      <c r="AM5258" t="s">
        <v>10884</v>
      </c>
      <c r="AN5258" t="s">
        <v>10924</v>
      </c>
      <c r="AO5258" t="s">
        <v>11013</v>
      </c>
      <c r="AP5258" t="s">
        <v>11055</v>
      </c>
      <c r="AQ5258" t="s">
        <v>11128</v>
      </c>
      <c r="AR5258" t="s">
        <v>11257</v>
      </c>
      <c r="AS5258" t="s">
        <v>9926</v>
      </c>
      <c r="AT5258" t="s">
        <v>11641</v>
      </c>
      <c r="AV5258" t="s">
        <v>11656</v>
      </c>
      <c r="AW5258" t="s">
        <v>11645</v>
      </c>
      <c r="AX5258" t="s">
        <v>10838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</row>
    <row r="5259" spans="1:59">
      <c r="A5259" s="1">
        <f>HYPERLINK("https://lsnyc.legalserver.org/matter/dynamic-profile/view/1909501","19-1909501")</f>
        <v>0</v>
      </c>
      <c r="B5259" t="s">
        <v>1234</v>
      </c>
      <c r="C5259" t="s">
        <v>8636</v>
      </c>
      <c r="D5259" t="s">
        <v>9925</v>
      </c>
      <c r="E5259" t="s">
        <v>10075</v>
      </c>
      <c r="F5259">
        <v>10040</v>
      </c>
      <c r="G5259" t="s">
        <v>10089</v>
      </c>
      <c r="H5259" t="s">
        <v>10099</v>
      </c>
      <c r="I5259" t="s">
        <v>10168</v>
      </c>
      <c r="J5259" t="s">
        <v>10209</v>
      </c>
      <c r="K5259" t="s">
        <v>10217</v>
      </c>
      <c r="M5259" t="s">
        <v>10451</v>
      </c>
      <c r="N5259" t="s">
        <v>10650</v>
      </c>
      <c r="P5259" t="s">
        <v>10749</v>
      </c>
      <c r="Q5259" t="s">
        <v>10765</v>
      </c>
      <c r="R5259" t="s">
        <v>10820</v>
      </c>
      <c r="T5259">
        <v>106000</v>
      </c>
      <c r="U5259">
        <v>8833.33</v>
      </c>
      <c r="V5259">
        <v>36</v>
      </c>
      <c r="W5259">
        <v>2</v>
      </c>
      <c r="X5259">
        <v>0</v>
      </c>
      <c r="Z5259">
        <v>626.85</v>
      </c>
      <c r="AA5259">
        <v>40.857158</v>
      </c>
      <c r="AB5259">
        <v>-73.932643</v>
      </c>
      <c r="AD5259" t="s">
        <v>10840</v>
      </c>
      <c r="AG5259" t="s">
        <v>10858</v>
      </c>
      <c r="AH5259" t="s">
        <v>10862</v>
      </c>
      <c r="AI5259">
        <v>236</v>
      </c>
      <c r="AJ5259" t="s">
        <v>10209</v>
      </c>
      <c r="AL5259">
        <v>0.1</v>
      </c>
      <c r="AM5259" t="s">
        <v>10887</v>
      </c>
      <c r="AN5259" t="s">
        <v>10937</v>
      </c>
      <c r="AO5259" t="s">
        <v>11019</v>
      </c>
      <c r="AP5259" t="s">
        <v>11074</v>
      </c>
      <c r="AR5259" t="s">
        <v>11257</v>
      </c>
      <c r="AS5259" t="s">
        <v>9925</v>
      </c>
      <c r="AT5259" t="s">
        <v>11642</v>
      </c>
      <c r="AX5259" t="s">
        <v>10838</v>
      </c>
      <c r="BA5259" t="s">
        <v>11742</v>
      </c>
      <c r="BB5259">
        <v>0</v>
      </c>
      <c r="BC5259">
        <v>0</v>
      </c>
      <c r="BD5259">
        <v>0</v>
      </c>
      <c r="BE5259">
        <v>0</v>
      </c>
      <c r="BF5259">
        <v>7</v>
      </c>
      <c r="BG5259">
        <v>0</v>
      </c>
    </row>
    <row r="5260" spans="1:59">
      <c r="A5260" s="1">
        <f>HYPERLINK("https://lsnyc.legalserver.org/matter/dynamic-profile/view/1909502","19-1909502")</f>
        <v>0</v>
      </c>
      <c r="B5260" t="s">
        <v>1468</v>
      </c>
      <c r="C5260" t="s">
        <v>7402</v>
      </c>
      <c r="D5260" t="s">
        <v>9926</v>
      </c>
      <c r="E5260" t="s">
        <v>10075</v>
      </c>
      <c r="F5260">
        <v>10451</v>
      </c>
      <c r="G5260" t="s">
        <v>10090</v>
      </c>
      <c r="H5260" t="s">
        <v>10099</v>
      </c>
      <c r="I5260" t="s">
        <v>10168</v>
      </c>
      <c r="J5260" t="s">
        <v>10210</v>
      </c>
      <c r="K5260" t="s">
        <v>10217</v>
      </c>
      <c r="M5260" t="s">
        <v>10596</v>
      </c>
      <c r="N5260" t="s">
        <v>10688</v>
      </c>
      <c r="P5260" t="s">
        <v>10757</v>
      </c>
      <c r="Q5260" t="s">
        <v>10789</v>
      </c>
      <c r="R5260" t="s">
        <v>10824</v>
      </c>
      <c r="T5260">
        <v>23400</v>
      </c>
      <c r="U5260">
        <v>1950</v>
      </c>
      <c r="V5260">
        <v>29</v>
      </c>
      <c r="W5260">
        <v>1</v>
      </c>
      <c r="X5260">
        <v>2</v>
      </c>
      <c r="Z5260">
        <v>109.7</v>
      </c>
      <c r="AA5260">
        <v>40.814675</v>
      </c>
      <c r="AB5260">
        <v>-73.922044</v>
      </c>
      <c r="AD5260" t="s">
        <v>10839</v>
      </c>
      <c r="AF5260" t="s">
        <v>10842</v>
      </c>
      <c r="AG5260" t="s">
        <v>10859</v>
      </c>
      <c r="AH5260" t="s">
        <v>10864</v>
      </c>
      <c r="AI5260">
        <v>230</v>
      </c>
      <c r="AJ5260" t="s">
        <v>10210</v>
      </c>
      <c r="AL5260">
        <v>10.9</v>
      </c>
      <c r="AQ5260" t="s">
        <v>11121</v>
      </c>
      <c r="AR5260" t="s">
        <v>11257</v>
      </c>
      <c r="AS5260" t="s">
        <v>9926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</row>
    <row r="5261" spans="1:59">
      <c r="A5261" s="1">
        <f>HYPERLINK("https://lsnyc.legalserver.org/matter/dynamic-profile/view/1909503","19-1909503")</f>
        <v>0</v>
      </c>
      <c r="B5261" t="s">
        <v>4174</v>
      </c>
      <c r="C5261" t="s">
        <v>9003</v>
      </c>
      <c r="D5261" t="s">
        <v>9926</v>
      </c>
      <c r="E5261" t="s">
        <v>10075</v>
      </c>
      <c r="F5261">
        <v>10457</v>
      </c>
      <c r="G5261" t="s">
        <v>10090</v>
      </c>
      <c r="H5261" t="s">
        <v>10099</v>
      </c>
      <c r="I5261" t="s">
        <v>10168</v>
      </c>
      <c r="J5261" t="s">
        <v>10210</v>
      </c>
      <c r="K5261" t="s">
        <v>10218</v>
      </c>
      <c r="L5261" t="s">
        <v>10158</v>
      </c>
      <c r="M5261" t="s">
        <v>10287</v>
      </c>
      <c r="N5261" t="s">
        <v>10671</v>
      </c>
      <c r="P5261" t="s">
        <v>10751</v>
      </c>
      <c r="Q5261" t="s">
        <v>10761</v>
      </c>
      <c r="R5261" t="s">
        <v>10821</v>
      </c>
      <c r="T5261">
        <v>26933.92</v>
      </c>
      <c r="U5261">
        <v>2244.49</v>
      </c>
      <c r="V5261">
        <v>38</v>
      </c>
      <c r="W5261">
        <v>1</v>
      </c>
      <c r="X5261">
        <v>2</v>
      </c>
      <c r="Y5261" t="s">
        <v>10833</v>
      </c>
      <c r="Z5261">
        <v>126.27</v>
      </c>
      <c r="AA5261">
        <v>40.849027</v>
      </c>
      <c r="AB5261">
        <v>-73.903322</v>
      </c>
      <c r="AD5261" t="s">
        <v>10839</v>
      </c>
      <c r="AG5261" t="s">
        <v>10858</v>
      </c>
      <c r="AH5261" t="s">
        <v>10862</v>
      </c>
      <c r="AI5261">
        <v>230</v>
      </c>
      <c r="AJ5261" t="s">
        <v>10210</v>
      </c>
      <c r="AK5261" t="s">
        <v>10838</v>
      </c>
      <c r="AL5261">
        <v>7.25</v>
      </c>
      <c r="AM5261" t="s">
        <v>10884</v>
      </c>
      <c r="AN5261" t="s">
        <v>10931</v>
      </c>
      <c r="AO5261" t="s">
        <v>11000</v>
      </c>
      <c r="AP5261" t="s">
        <v>11056</v>
      </c>
      <c r="AR5261" t="s">
        <v>11257</v>
      </c>
      <c r="AS5261" t="s">
        <v>9926</v>
      </c>
      <c r="AY5261" t="s">
        <v>10833</v>
      </c>
      <c r="AZ5261" t="s">
        <v>11688</v>
      </c>
      <c r="BA5261" t="s">
        <v>11737</v>
      </c>
      <c r="BB5261">
        <v>0</v>
      </c>
      <c r="BC5261">
        <v>0</v>
      </c>
      <c r="BD5261">
        <v>11266</v>
      </c>
      <c r="BE5261">
        <v>0</v>
      </c>
      <c r="BF5261">
        <v>3</v>
      </c>
      <c r="BG5261">
        <v>0</v>
      </c>
    </row>
    <row r="5262" spans="1:59">
      <c r="A5262" s="1">
        <f>HYPERLINK("https://lsnyc.legalserver.org/matter/dynamic-profile/view/1909504","19-1909504")</f>
        <v>0</v>
      </c>
      <c r="B5262" t="s">
        <v>4175</v>
      </c>
      <c r="C5262" t="s">
        <v>8636</v>
      </c>
      <c r="D5262" t="s">
        <v>9925</v>
      </c>
      <c r="E5262" t="s">
        <v>10075</v>
      </c>
      <c r="F5262">
        <v>10040</v>
      </c>
      <c r="G5262" t="s">
        <v>10089</v>
      </c>
      <c r="H5262" t="s">
        <v>10099</v>
      </c>
      <c r="I5262" t="s">
        <v>10168</v>
      </c>
      <c r="J5262" t="s">
        <v>10209</v>
      </c>
      <c r="K5262" t="s">
        <v>10217</v>
      </c>
      <c r="M5262" t="s">
        <v>10451</v>
      </c>
      <c r="N5262" t="s">
        <v>10650</v>
      </c>
      <c r="P5262" t="s">
        <v>10749</v>
      </c>
      <c r="Q5262" t="s">
        <v>10765</v>
      </c>
      <c r="R5262" t="s">
        <v>10820</v>
      </c>
      <c r="T5262">
        <v>24000</v>
      </c>
      <c r="U5262">
        <v>2000</v>
      </c>
      <c r="V5262">
        <v>64</v>
      </c>
      <c r="W5262">
        <v>1</v>
      </c>
      <c r="X5262">
        <v>0</v>
      </c>
      <c r="Z5262">
        <v>192.15</v>
      </c>
      <c r="AA5262">
        <v>40.857158</v>
      </c>
      <c r="AB5262">
        <v>-73.932643</v>
      </c>
      <c r="AD5262" t="s">
        <v>10840</v>
      </c>
      <c r="AG5262" t="s">
        <v>10858</v>
      </c>
      <c r="AH5262" t="s">
        <v>10862</v>
      </c>
      <c r="AI5262">
        <v>236</v>
      </c>
      <c r="AJ5262" t="s">
        <v>10209</v>
      </c>
      <c r="AL5262">
        <v>5.4</v>
      </c>
      <c r="AM5262" t="s">
        <v>10887</v>
      </c>
      <c r="AN5262" t="s">
        <v>10937</v>
      </c>
      <c r="AO5262" t="s">
        <v>11019</v>
      </c>
      <c r="AP5262" t="s">
        <v>11074</v>
      </c>
      <c r="AR5262" t="s">
        <v>11257</v>
      </c>
      <c r="AS5262" t="s">
        <v>9925</v>
      </c>
      <c r="AT5262" t="s">
        <v>11642</v>
      </c>
      <c r="AX5262" t="s">
        <v>10838</v>
      </c>
      <c r="BA5262" t="s">
        <v>11742</v>
      </c>
      <c r="BB5262">
        <v>0</v>
      </c>
      <c r="BC5262">
        <v>0</v>
      </c>
      <c r="BD5262">
        <v>0</v>
      </c>
      <c r="BE5262">
        <v>0</v>
      </c>
      <c r="BF5262">
        <v>7</v>
      </c>
      <c r="BG5262">
        <v>0</v>
      </c>
    </row>
    <row r="5263" spans="1:59">
      <c r="A5263" s="1">
        <f>HYPERLINK("https://lsnyc.legalserver.org/matter/dynamic-profile/view/1909505","19-1909505")</f>
        <v>0</v>
      </c>
      <c r="B5263" t="s">
        <v>4176</v>
      </c>
      <c r="C5263" t="s">
        <v>9004</v>
      </c>
      <c r="D5263" t="s">
        <v>9928</v>
      </c>
      <c r="E5263" t="s">
        <v>10075</v>
      </c>
      <c r="F5263">
        <v>11207</v>
      </c>
      <c r="G5263" t="s">
        <v>10093</v>
      </c>
      <c r="H5263" t="s">
        <v>10099</v>
      </c>
      <c r="I5263" t="s">
        <v>10168</v>
      </c>
      <c r="J5263" t="s">
        <v>10213</v>
      </c>
      <c r="K5263" t="s">
        <v>10217</v>
      </c>
      <c r="M5263" t="s">
        <v>10505</v>
      </c>
      <c r="N5263" t="s">
        <v>10650</v>
      </c>
      <c r="P5263" t="s">
        <v>10749</v>
      </c>
      <c r="Q5263" t="s">
        <v>10765</v>
      </c>
      <c r="R5263" t="s">
        <v>10822</v>
      </c>
      <c r="T5263">
        <v>11180</v>
      </c>
      <c r="U5263">
        <v>931.67</v>
      </c>
      <c r="V5263">
        <v>37</v>
      </c>
      <c r="W5263">
        <v>2</v>
      </c>
      <c r="X5263">
        <v>1</v>
      </c>
      <c r="Z5263">
        <v>52.41</v>
      </c>
      <c r="AA5263">
        <v>40.66472</v>
      </c>
      <c r="AB5263">
        <v>-73.89703799999999</v>
      </c>
      <c r="AD5263" t="s">
        <v>10839</v>
      </c>
      <c r="AG5263" t="s">
        <v>10858</v>
      </c>
      <c r="AH5263" t="s">
        <v>10862</v>
      </c>
      <c r="AI5263">
        <v>239</v>
      </c>
      <c r="AJ5263" t="s">
        <v>10213</v>
      </c>
      <c r="AL5263">
        <v>0.7</v>
      </c>
      <c r="AM5263" t="s">
        <v>10889</v>
      </c>
      <c r="AN5263" t="s">
        <v>10946</v>
      </c>
      <c r="AO5263" t="s">
        <v>11012</v>
      </c>
      <c r="AP5263" t="s">
        <v>11060</v>
      </c>
      <c r="AQ5263" t="s">
        <v>11101</v>
      </c>
      <c r="AR5263" t="s">
        <v>11257</v>
      </c>
      <c r="AS5263" t="s">
        <v>11595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</row>
    <row r="5264" spans="1:59">
      <c r="A5264" s="1">
        <f>HYPERLINK("https://lsnyc.legalserver.org/matter/dynamic-profile/view/1909506","19-1909506")</f>
        <v>0</v>
      </c>
      <c r="B5264" t="s">
        <v>1692</v>
      </c>
      <c r="C5264" t="s">
        <v>6492</v>
      </c>
      <c r="D5264" t="s">
        <v>9926</v>
      </c>
      <c r="E5264" t="s">
        <v>10075</v>
      </c>
      <c r="F5264">
        <v>10459</v>
      </c>
      <c r="G5264" t="s">
        <v>10090</v>
      </c>
      <c r="H5264" t="s">
        <v>10099</v>
      </c>
      <c r="I5264" t="s">
        <v>10168</v>
      </c>
      <c r="J5264" t="s">
        <v>10210</v>
      </c>
      <c r="K5264" t="s">
        <v>10217</v>
      </c>
      <c r="M5264" t="s">
        <v>10262</v>
      </c>
      <c r="N5264" t="s">
        <v>10666</v>
      </c>
      <c r="P5264" t="s">
        <v>10749</v>
      </c>
      <c r="Q5264" t="s">
        <v>10765</v>
      </c>
      <c r="R5264" t="s">
        <v>10824</v>
      </c>
      <c r="T5264">
        <v>0</v>
      </c>
      <c r="U5264">
        <v>0</v>
      </c>
      <c r="V5264">
        <v>58</v>
      </c>
      <c r="W5264">
        <v>1</v>
      </c>
      <c r="X5264">
        <v>1</v>
      </c>
      <c r="Z5264">
        <v>0</v>
      </c>
      <c r="AA5264">
        <v>40.826171</v>
      </c>
      <c r="AB5264">
        <v>-73.88753</v>
      </c>
      <c r="AD5264" t="s">
        <v>10839</v>
      </c>
      <c r="AF5264" t="s">
        <v>10844</v>
      </c>
      <c r="AG5264" t="s">
        <v>10859</v>
      </c>
      <c r="AH5264" t="s">
        <v>10862</v>
      </c>
      <c r="AI5264">
        <v>230</v>
      </c>
      <c r="AJ5264" t="s">
        <v>10210</v>
      </c>
      <c r="AL5264">
        <v>2.5</v>
      </c>
      <c r="AM5264" t="s">
        <v>10884</v>
      </c>
      <c r="AN5264" t="s">
        <v>10968</v>
      </c>
      <c r="AO5264" t="s">
        <v>11001</v>
      </c>
      <c r="AP5264" t="s">
        <v>11062</v>
      </c>
      <c r="AR5264" t="s">
        <v>11267</v>
      </c>
      <c r="AS5264" t="s">
        <v>9926</v>
      </c>
      <c r="AT5264" t="s">
        <v>11641</v>
      </c>
      <c r="BA5264" t="s">
        <v>11738</v>
      </c>
      <c r="BB5264">
        <v>0</v>
      </c>
      <c r="BC5264">
        <v>0</v>
      </c>
      <c r="BD5264">
        <v>0</v>
      </c>
      <c r="BE5264">
        <v>0</v>
      </c>
      <c r="BF5264">
        <v>5</v>
      </c>
      <c r="BG5264">
        <v>0</v>
      </c>
    </row>
    <row r="5265" spans="1:59">
      <c r="A5265" s="1">
        <f>HYPERLINK("https://lsnyc.legalserver.org/matter/dynamic-profile/view/1909507","19-1909507")</f>
        <v>0</v>
      </c>
      <c r="B5265" t="s">
        <v>4177</v>
      </c>
      <c r="C5265" t="s">
        <v>9005</v>
      </c>
      <c r="D5265" t="s">
        <v>9928</v>
      </c>
      <c r="E5265" t="s">
        <v>10075</v>
      </c>
      <c r="F5265">
        <v>11206</v>
      </c>
      <c r="G5265" t="s">
        <v>10093</v>
      </c>
      <c r="H5265" t="s">
        <v>10163</v>
      </c>
      <c r="I5265" t="s">
        <v>10168</v>
      </c>
      <c r="J5265" t="s">
        <v>10213</v>
      </c>
      <c r="K5265" t="s">
        <v>10217</v>
      </c>
      <c r="M5265" t="s">
        <v>10627</v>
      </c>
      <c r="N5265" t="s">
        <v>10667</v>
      </c>
      <c r="O5265" t="s">
        <v>10667</v>
      </c>
      <c r="P5265" t="s">
        <v>10749</v>
      </c>
      <c r="Q5265" t="s">
        <v>10767</v>
      </c>
      <c r="R5265" t="s">
        <v>10824</v>
      </c>
      <c r="T5265">
        <v>22560</v>
      </c>
      <c r="U5265">
        <v>1880</v>
      </c>
      <c r="V5265">
        <v>71</v>
      </c>
      <c r="W5265">
        <v>1</v>
      </c>
      <c r="X5265">
        <v>0</v>
      </c>
      <c r="Z5265">
        <v>180.62</v>
      </c>
      <c r="AA5265">
        <v>40.698446</v>
      </c>
      <c r="AB5265">
        <v>-73.950778</v>
      </c>
      <c r="AD5265" t="s">
        <v>10839</v>
      </c>
      <c r="AG5265" t="s">
        <v>10858</v>
      </c>
      <c r="AH5265" t="s">
        <v>10862</v>
      </c>
      <c r="AI5265">
        <v>236</v>
      </c>
      <c r="AJ5265" t="s">
        <v>10209</v>
      </c>
      <c r="AL5265">
        <v>22.8</v>
      </c>
      <c r="AM5265" t="s">
        <v>10886</v>
      </c>
      <c r="AN5265" t="s">
        <v>10914</v>
      </c>
      <c r="AO5265" t="s">
        <v>11011</v>
      </c>
      <c r="AP5265" t="s">
        <v>11052</v>
      </c>
      <c r="AR5265" t="s">
        <v>11379</v>
      </c>
      <c r="AS5265" t="s">
        <v>11595</v>
      </c>
      <c r="BA5265" t="s">
        <v>11738</v>
      </c>
      <c r="BB5265">
        <v>0</v>
      </c>
      <c r="BC5265">
        <v>0</v>
      </c>
      <c r="BD5265">
        <v>0</v>
      </c>
      <c r="BE5265">
        <v>0</v>
      </c>
      <c r="BF5265">
        <v>5</v>
      </c>
      <c r="BG5265">
        <v>0</v>
      </c>
    </row>
    <row r="5266" spans="1:59">
      <c r="A5266" s="1">
        <f>HYPERLINK("https://lsnyc.legalserver.org/matter/dynamic-profile/view/1909508","19-1909508")</f>
        <v>0</v>
      </c>
      <c r="B5266" t="s">
        <v>4161</v>
      </c>
      <c r="C5266" t="s">
        <v>8991</v>
      </c>
      <c r="D5266" t="s">
        <v>9926</v>
      </c>
      <c r="E5266" t="s">
        <v>10075</v>
      </c>
      <c r="F5266">
        <v>10451</v>
      </c>
      <c r="G5266" t="s">
        <v>10090</v>
      </c>
      <c r="H5266" t="s">
        <v>10099</v>
      </c>
      <c r="I5266" t="s">
        <v>10168</v>
      </c>
      <c r="J5266" t="s">
        <v>10210</v>
      </c>
      <c r="K5266" t="s">
        <v>10217</v>
      </c>
      <c r="M5266" t="s">
        <v>10353</v>
      </c>
      <c r="N5266" t="s">
        <v>10671</v>
      </c>
      <c r="P5266" t="s">
        <v>10751</v>
      </c>
      <c r="Q5266" t="s">
        <v>10761</v>
      </c>
      <c r="R5266" t="s">
        <v>10821</v>
      </c>
      <c r="T5266">
        <v>9252</v>
      </c>
      <c r="U5266">
        <v>771</v>
      </c>
      <c r="V5266">
        <v>36</v>
      </c>
      <c r="W5266">
        <v>1</v>
      </c>
      <c r="X5266">
        <v>1</v>
      </c>
      <c r="Z5266">
        <v>54.71</v>
      </c>
      <c r="AA5266">
        <v>40.81562</v>
      </c>
      <c r="AB5266">
        <v>-73.92124</v>
      </c>
      <c r="AD5266" t="s">
        <v>10839</v>
      </c>
      <c r="AG5266" t="s">
        <v>10858</v>
      </c>
      <c r="AH5266" t="s">
        <v>10861</v>
      </c>
      <c r="AI5266">
        <v>230</v>
      </c>
      <c r="AJ5266" t="s">
        <v>10210</v>
      </c>
      <c r="AL5266">
        <v>3.75</v>
      </c>
      <c r="AM5266" t="s">
        <v>10884</v>
      </c>
      <c r="AN5266" t="s">
        <v>10924</v>
      </c>
      <c r="AO5266" t="s">
        <v>11013</v>
      </c>
      <c r="AP5266" t="s">
        <v>11066</v>
      </c>
      <c r="AR5266" t="s">
        <v>11263</v>
      </c>
      <c r="AS5266" t="s">
        <v>9926</v>
      </c>
      <c r="BA5266" t="s">
        <v>11737</v>
      </c>
      <c r="BB5266">
        <v>0</v>
      </c>
      <c r="BC5266">
        <v>0</v>
      </c>
      <c r="BD5266">
        <v>0</v>
      </c>
      <c r="BE5266">
        <v>0</v>
      </c>
      <c r="BF5266">
        <v>3</v>
      </c>
      <c r="BG5266">
        <v>0</v>
      </c>
    </row>
    <row r="5267" spans="1:59">
      <c r="A5267" s="1">
        <f>HYPERLINK("https://lsnyc.legalserver.org/matter/dynamic-profile/view/1909509","19-1909509")</f>
        <v>0</v>
      </c>
      <c r="B5267" t="s">
        <v>4178</v>
      </c>
      <c r="C5267" t="s">
        <v>9006</v>
      </c>
      <c r="D5267" t="s">
        <v>9925</v>
      </c>
      <c r="E5267" t="s">
        <v>10075</v>
      </c>
      <c r="F5267">
        <v>10032</v>
      </c>
      <c r="G5267" t="s">
        <v>10089</v>
      </c>
      <c r="H5267" t="s">
        <v>10099</v>
      </c>
      <c r="I5267" t="s">
        <v>10168</v>
      </c>
      <c r="J5267" t="s">
        <v>10209</v>
      </c>
      <c r="K5267" t="s">
        <v>10217</v>
      </c>
      <c r="M5267" t="s">
        <v>10332</v>
      </c>
      <c r="N5267" t="s">
        <v>10646</v>
      </c>
      <c r="P5267" t="s">
        <v>10754</v>
      </c>
      <c r="Q5267" t="s">
        <v>10777</v>
      </c>
      <c r="R5267" t="s">
        <v>10820</v>
      </c>
      <c r="T5267">
        <v>46800</v>
      </c>
      <c r="U5267">
        <v>3900</v>
      </c>
      <c r="V5267">
        <v>28</v>
      </c>
      <c r="W5267">
        <v>1</v>
      </c>
      <c r="X5267">
        <v>1</v>
      </c>
      <c r="Z5267">
        <v>276.76</v>
      </c>
      <c r="AA5267">
        <v>40.840689</v>
      </c>
      <c r="AB5267">
        <v>-73.937427</v>
      </c>
      <c r="AC5267" t="s">
        <v>10837</v>
      </c>
      <c r="AD5267" t="s">
        <v>10840</v>
      </c>
      <c r="AG5267" t="s">
        <v>10858</v>
      </c>
      <c r="AH5267" t="s">
        <v>10861</v>
      </c>
      <c r="AI5267">
        <v>234</v>
      </c>
      <c r="AJ5267" t="s">
        <v>10214</v>
      </c>
      <c r="AL5267">
        <v>1.7</v>
      </c>
      <c r="AM5267" t="s">
        <v>10887</v>
      </c>
      <c r="AN5267" t="s">
        <v>10937</v>
      </c>
      <c r="AO5267" t="s">
        <v>11019</v>
      </c>
      <c r="AP5267" t="s">
        <v>11074</v>
      </c>
      <c r="AR5267" t="s">
        <v>11303</v>
      </c>
      <c r="AS5267" t="s">
        <v>9925</v>
      </c>
      <c r="AT5267" t="s">
        <v>11642</v>
      </c>
      <c r="AX5267" t="s">
        <v>10838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</row>
    <row r="5268" spans="1:59">
      <c r="A5268" s="1">
        <f>HYPERLINK("https://lsnyc.legalserver.org/matter/dynamic-profile/view/1909510","19-1909510")</f>
        <v>0</v>
      </c>
      <c r="B5268" t="s">
        <v>1318</v>
      </c>
      <c r="C5268" t="s">
        <v>6141</v>
      </c>
      <c r="D5268" t="s">
        <v>9926</v>
      </c>
      <c r="E5268" t="s">
        <v>10075</v>
      </c>
      <c r="F5268">
        <v>10457</v>
      </c>
      <c r="G5268" t="s">
        <v>10090</v>
      </c>
      <c r="H5268" t="s">
        <v>10099</v>
      </c>
      <c r="I5268" t="s">
        <v>10169</v>
      </c>
      <c r="J5268" t="s">
        <v>10210</v>
      </c>
      <c r="K5268" t="s">
        <v>10217</v>
      </c>
      <c r="M5268" t="s">
        <v>10346</v>
      </c>
      <c r="N5268" t="s">
        <v>10671</v>
      </c>
      <c r="P5268" t="s">
        <v>10751</v>
      </c>
      <c r="Q5268" t="s">
        <v>10761</v>
      </c>
      <c r="R5268" t="s">
        <v>10821</v>
      </c>
      <c r="T5268">
        <v>9816</v>
      </c>
      <c r="U5268">
        <v>818</v>
      </c>
      <c r="V5268">
        <v>70</v>
      </c>
      <c r="W5268">
        <v>1</v>
      </c>
      <c r="X5268">
        <v>1</v>
      </c>
      <c r="Z5268">
        <v>58.05</v>
      </c>
      <c r="AA5268">
        <v>40.845287</v>
      </c>
      <c r="AB5268">
        <v>-73.89281200000001</v>
      </c>
      <c r="AD5268" t="s">
        <v>10840</v>
      </c>
      <c r="AG5268" t="s">
        <v>10858</v>
      </c>
      <c r="AH5268" t="s">
        <v>10874</v>
      </c>
      <c r="AI5268">
        <v>230</v>
      </c>
      <c r="AJ5268" t="s">
        <v>10210</v>
      </c>
      <c r="AL5268">
        <v>0.5</v>
      </c>
      <c r="AM5268" t="s">
        <v>10884</v>
      </c>
      <c r="AN5268" t="s">
        <v>10918</v>
      </c>
      <c r="AO5268" t="s">
        <v>11000</v>
      </c>
      <c r="AP5268" t="s">
        <v>11062</v>
      </c>
      <c r="AR5268" t="s">
        <v>11268</v>
      </c>
      <c r="AS5268" t="s">
        <v>9926</v>
      </c>
      <c r="AT5268" t="s">
        <v>11642</v>
      </c>
      <c r="AV5268" t="s">
        <v>11655</v>
      </c>
      <c r="AW5268" t="s">
        <v>11655</v>
      </c>
      <c r="AX5268" t="s">
        <v>10838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</row>
    <row r="5269" spans="1:59">
      <c r="A5269" s="1">
        <f>HYPERLINK("https://lsnyc.legalserver.org/matter/dynamic-profile/view/1909511","19-1909511")</f>
        <v>0</v>
      </c>
      <c r="B5269" t="s">
        <v>4179</v>
      </c>
      <c r="C5269" t="s">
        <v>9007</v>
      </c>
      <c r="D5269" t="s">
        <v>9926</v>
      </c>
      <c r="E5269" t="s">
        <v>10075</v>
      </c>
      <c r="F5269">
        <v>10451</v>
      </c>
      <c r="G5269" t="s">
        <v>10090</v>
      </c>
      <c r="H5269" t="s">
        <v>10099</v>
      </c>
      <c r="I5269" t="s">
        <v>10169</v>
      </c>
      <c r="J5269" t="s">
        <v>10210</v>
      </c>
      <c r="K5269" t="s">
        <v>10217</v>
      </c>
      <c r="M5269" t="s">
        <v>10569</v>
      </c>
      <c r="N5269" t="s">
        <v>10656</v>
      </c>
      <c r="P5269" t="s">
        <v>10751</v>
      </c>
      <c r="Q5269" t="s">
        <v>10768</v>
      </c>
      <c r="R5269" t="s">
        <v>10821</v>
      </c>
      <c r="T5269">
        <v>1800</v>
      </c>
      <c r="U5269">
        <v>150</v>
      </c>
      <c r="V5269">
        <v>36</v>
      </c>
      <c r="W5269">
        <v>1</v>
      </c>
      <c r="X5269">
        <v>0</v>
      </c>
      <c r="Z5269">
        <v>14.41</v>
      </c>
      <c r="AA5269">
        <v>40.815712</v>
      </c>
      <c r="AB5269">
        <v>-73.920216</v>
      </c>
      <c r="AD5269" t="s">
        <v>10839</v>
      </c>
      <c r="AF5269" t="s">
        <v>10843</v>
      </c>
      <c r="AG5269" t="s">
        <v>10859</v>
      </c>
      <c r="AH5269" t="s">
        <v>10871</v>
      </c>
      <c r="AI5269">
        <v>234</v>
      </c>
      <c r="AJ5269" t="s">
        <v>10214</v>
      </c>
      <c r="AL5269">
        <v>3.85</v>
      </c>
      <c r="AM5269" t="s">
        <v>10884</v>
      </c>
      <c r="AN5269" t="s">
        <v>10924</v>
      </c>
      <c r="AO5269" t="s">
        <v>11013</v>
      </c>
      <c r="AP5269" t="s">
        <v>11066</v>
      </c>
      <c r="AR5269" t="s">
        <v>11311</v>
      </c>
      <c r="AS5269" t="s">
        <v>9926</v>
      </c>
      <c r="AT5269" t="s">
        <v>11641</v>
      </c>
      <c r="AX5269" t="s">
        <v>10838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</row>
    <row r="5270" spans="1:59">
      <c r="A5270" s="1">
        <f>HYPERLINK("https://lsnyc.legalserver.org/matter/dynamic-profile/view/1909512","19-1909512")</f>
        <v>0</v>
      </c>
      <c r="B5270" t="s">
        <v>301</v>
      </c>
      <c r="C5270" t="s">
        <v>9008</v>
      </c>
      <c r="D5270" t="s">
        <v>9938</v>
      </c>
      <c r="E5270" t="s">
        <v>10075</v>
      </c>
      <c r="F5270">
        <v>11435</v>
      </c>
      <c r="G5270" t="s">
        <v>10092</v>
      </c>
      <c r="H5270" t="s">
        <v>10099</v>
      </c>
      <c r="I5270" t="s">
        <v>10168</v>
      </c>
      <c r="J5270" t="s">
        <v>10212</v>
      </c>
      <c r="K5270" t="s">
        <v>10217</v>
      </c>
      <c r="M5270" t="s">
        <v>10602</v>
      </c>
      <c r="N5270" t="s">
        <v>10695</v>
      </c>
      <c r="P5270" t="s">
        <v>10749</v>
      </c>
      <c r="Q5270" t="s">
        <v>10765</v>
      </c>
      <c r="R5270" t="s">
        <v>10824</v>
      </c>
      <c r="T5270">
        <v>8320</v>
      </c>
      <c r="U5270">
        <v>693.33</v>
      </c>
      <c r="V5270">
        <v>42</v>
      </c>
      <c r="W5270">
        <v>2</v>
      </c>
      <c r="X5270">
        <v>0</v>
      </c>
      <c r="Z5270">
        <v>49.2</v>
      </c>
      <c r="AA5270">
        <v>40.693672</v>
      </c>
      <c r="AB5270">
        <v>-73.799837</v>
      </c>
      <c r="AD5270" t="s">
        <v>10839</v>
      </c>
      <c r="AG5270" t="s">
        <v>10858</v>
      </c>
      <c r="AH5270" t="s">
        <v>10862</v>
      </c>
      <c r="AI5270">
        <v>237</v>
      </c>
      <c r="AJ5270" t="s">
        <v>10212</v>
      </c>
      <c r="AL5270">
        <v>1.65</v>
      </c>
      <c r="AM5270" t="s">
        <v>10892</v>
      </c>
      <c r="AN5270" t="s">
        <v>10951</v>
      </c>
      <c r="AO5270" t="s">
        <v>11020</v>
      </c>
      <c r="AP5270" t="s">
        <v>11070</v>
      </c>
      <c r="AR5270" t="s">
        <v>11257</v>
      </c>
      <c r="AS5270" t="s">
        <v>11594</v>
      </c>
      <c r="AX5270" t="s">
        <v>10838</v>
      </c>
      <c r="BA5270" t="s">
        <v>11742</v>
      </c>
      <c r="BB5270">
        <v>0</v>
      </c>
      <c r="BC5270">
        <v>0</v>
      </c>
      <c r="BD5270">
        <v>0</v>
      </c>
      <c r="BE5270">
        <v>0</v>
      </c>
      <c r="BF5270">
        <v>7</v>
      </c>
      <c r="BG5270">
        <v>0</v>
      </c>
    </row>
    <row r="5271" spans="1:59">
      <c r="A5271" s="1">
        <f>HYPERLINK("https://lsnyc.legalserver.org/matter/dynamic-profile/view/1909513","19-1909513")</f>
        <v>0</v>
      </c>
      <c r="B5271" t="s">
        <v>4180</v>
      </c>
      <c r="C5271" t="s">
        <v>9009</v>
      </c>
      <c r="D5271" t="s">
        <v>9925</v>
      </c>
      <c r="E5271" t="s">
        <v>10075</v>
      </c>
      <c r="F5271">
        <v>10034</v>
      </c>
      <c r="G5271" t="s">
        <v>10089</v>
      </c>
      <c r="H5271" t="s">
        <v>10099</v>
      </c>
      <c r="I5271" t="s">
        <v>10169</v>
      </c>
      <c r="J5271" t="s">
        <v>10209</v>
      </c>
      <c r="K5271" t="s">
        <v>10217</v>
      </c>
      <c r="M5271" t="s">
        <v>10543</v>
      </c>
      <c r="N5271" t="s">
        <v>10650</v>
      </c>
      <c r="P5271" t="s">
        <v>10749</v>
      </c>
      <c r="Q5271" t="s">
        <v>10765</v>
      </c>
      <c r="R5271" t="s">
        <v>10821</v>
      </c>
      <c r="T5271">
        <v>44096</v>
      </c>
      <c r="U5271">
        <v>3674.67</v>
      </c>
      <c r="V5271">
        <v>54</v>
      </c>
      <c r="W5271">
        <v>4</v>
      </c>
      <c r="X5271">
        <v>0</v>
      </c>
      <c r="Z5271">
        <v>171.25</v>
      </c>
      <c r="AA5271">
        <v>40.868343</v>
      </c>
      <c r="AB5271">
        <v>-73.916822</v>
      </c>
      <c r="AD5271" t="s">
        <v>10840</v>
      </c>
      <c r="AF5271" t="s">
        <v>10843</v>
      </c>
      <c r="AG5271" t="s">
        <v>10859</v>
      </c>
      <c r="AH5271" t="s">
        <v>10862</v>
      </c>
      <c r="AI5271">
        <v>236</v>
      </c>
      <c r="AJ5271" t="s">
        <v>10209</v>
      </c>
      <c r="AL5271">
        <v>0.4</v>
      </c>
      <c r="AM5271" t="s">
        <v>10887</v>
      </c>
      <c r="AN5271" t="s">
        <v>10937</v>
      </c>
      <c r="AO5271" t="s">
        <v>11019</v>
      </c>
      <c r="AP5271" t="s">
        <v>11074</v>
      </c>
      <c r="AR5271" t="s">
        <v>11257</v>
      </c>
      <c r="AS5271" t="s">
        <v>9925</v>
      </c>
      <c r="AT5271" t="s">
        <v>11642</v>
      </c>
      <c r="AX5271" t="s">
        <v>10838</v>
      </c>
      <c r="BA5271" t="s">
        <v>11742</v>
      </c>
      <c r="BB5271">
        <v>0</v>
      </c>
      <c r="BC5271">
        <v>0</v>
      </c>
      <c r="BD5271">
        <v>0</v>
      </c>
      <c r="BE5271">
        <v>0</v>
      </c>
      <c r="BF5271">
        <v>7</v>
      </c>
      <c r="BG5271">
        <v>0</v>
      </c>
    </row>
    <row r="5272" spans="1:59">
      <c r="A5272" s="1">
        <f>HYPERLINK("https://lsnyc.legalserver.org/matter/dynamic-profile/view/1909514","19-1909514")</f>
        <v>0</v>
      </c>
      <c r="B5272" t="s">
        <v>4181</v>
      </c>
      <c r="C5272" t="s">
        <v>9010</v>
      </c>
      <c r="D5272" t="s">
        <v>9926</v>
      </c>
      <c r="E5272" t="s">
        <v>10075</v>
      </c>
      <c r="F5272">
        <v>10460</v>
      </c>
      <c r="G5272" t="s">
        <v>10090</v>
      </c>
      <c r="H5272" t="s">
        <v>10099</v>
      </c>
      <c r="I5272" t="s">
        <v>10168</v>
      </c>
      <c r="J5272" t="s">
        <v>10210</v>
      </c>
      <c r="K5272" t="s">
        <v>10218</v>
      </c>
      <c r="L5272" t="s">
        <v>10101</v>
      </c>
      <c r="M5272" t="s">
        <v>10262</v>
      </c>
      <c r="N5272" t="s">
        <v>10666</v>
      </c>
      <c r="P5272" t="s">
        <v>10749</v>
      </c>
      <c r="Q5272" t="s">
        <v>10765</v>
      </c>
      <c r="R5272" t="s">
        <v>10823</v>
      </c>
      <c r="T5272">
        <v>22176</v>
      </c>
      <c r="U5272">
        <v>1848</v>
      </c>
      <c r="V5272">
        <v>39</v>
      </c>
      <c r="W5272">
        <v>2</v>
      </c>
      <c r="X5272">
        <v>2</v>
      </c>
      <c r="Y5272" t="s">
        <v>10829</v>
      </c>
      <c r="Z5272">
        <v>86.12</v>
      </c>
      <c r="AA5272">
        <v>40.83646</v>
      </c>
      <c r="AB5272">
        <v>-73.887434</v>
      </c>
      <c r="AD5272" t="s">
        <v>10840</v>
      </c>
      <c r="AG5272" t="s">
        <v>10858</v>
      </c>
      <c r="AH5272" t="s">
        <v>10861</v>
      </c>
      <c r="AI5272">
        <v>230</v>
      </c>
      <c r="AJ5272" t="s">
        <v>10210</v>
      </c>
      <c r="AK5272" t="s">
        <v>10838</v>
      </c>
      <c r="AL5272">
        <v>0.5</v>
      </c>
      <c r="AM5272" t="s">
        <v>10884</v>
      </c>
      <c r="AN5272" t="s">
        <v>10918</v>
      </c>
      <c r="AO5272" t="s">
        <v>11001</v>
      </c>
      <c r="AP5272" t="s">
        <v>11062</v>
      </c>
      <c r="AR5272" t="s">
        <v>11254</v>
      </c>
      <c r="AS5272" t="s">
        <v>9926</v>
      </c>
      <c r="AT5272" t="s">
        <v>11642</v>
      </c>
      <c r="AX5272" t="s">
        <v>10838</v>
      </c>
      <c r="AY5272" t="s">
        <v>10829</v>
      </c>
      <c r="AZ5272" t="s">
        <v>11681</v>
      </c>
      <c r="BA5272" t="s">
        <v>11741</v>
      </c>
      <c r="BB5272">
        <v>0</v>
      </c>
      <c r="BC5272">
        <v>0</v>
      </c>
      <c r="BD5272">
        <v>0</v>
      </c>
      <c r="BE5272">
        <v>0</v>
      </c>
      <c r="BF5272">
        <v>1</v>
      </c>
      <c r="BG5272">
        <v>0</v>
      </c>
    </row>
    <row r="5273" spans="1:59">
      <c r="A5273" s="1">
        <f>HYPERLINK("https://lsnyc.legalserver.org/matter/dynamic-profile/view/1909515","19-1909515")</f>
        <v>0</v>
      </c>
      <c r="B5273" t="s">
        <v>1725</v>
      </c>
      <c r="C5273" t="s">
        <v>9011</v>
      </c>
      <c r="D5273" t="s">
        <v>9926</v>
      </c>
      <c r="E5273" t="s">
        <v>10075</v>
      </c>
      <c r="F5273">
        <v>10452</v>
      </c>
      <c r="G5273" t="s">
        <v>10090</v>
      </c>
      <c r="H5273" t="s">
        <v>10099</v>
      </c>
      <c r="I5273" t="s">
        <v>10170</v>
      </c>
      <c r="J5273" t="s">
        <v>10210</v>
      </c>
      <c r="K5273" t="s">
        <v>10217</v>
      </c>
      <c r="M5273" t="s">
        <v>10372</v>
      </c>
      <c r="N5273" t="s">
        <v>10704</v>
      </c>
      <c r="P5273" t="s">
        <v>10750</v>
      </c>
      <c r="Q5273" t="s">
        <v>10778</v>
      </c>
      <c r="R5273" t="s">
        <v>10824</v>
      </c>
      <c r="T5273">
        <v>23000</v>
      </c>
      <c r="U5273">
        <v>1916.67</v>
      </c>
      <c r="V5273">
        <v>45</v>
      </c>
      <c r="W5273">
        <v>1</v>
      </c>
      <c r="X5273">
        <v>3</v>
      </c>
      <c r="Z5273">
        <v>89.31999999999999</v>
      </c>
      <c r="AA5273">
        <v>40.833676</v>
      </c>
      <c r="AB5273">
        <v>-73.92962199999999</v>
      </c>
      <c r="AD5273" t="s">
        <v>10839</v>
      </c>
      <c r="AG5273" t="s">
        <v>10858</v>
      </c>
      <c r="AH5273" t="s">
        <v>10861</v>
      </c>
      <c r="AI5273">
        <v>234</v>
      </c>
      <c r="AJ5273" t="s">
        <v>10214</v>
      </c>
      <c r="AL5273">
        <v>4.2</v>
      </c>
      <c r="AM5273" t="s">
        <v>10884</v>
      </c>
      <c r="AN5273" t="s">
        <v>10924</v>
      </c>
      <c r="AO5273" t="s">
        <v>11013</v>
      </c>
      <c r="AP5273" t="s">
        <v>11066</v>
      </c>
      <c r="AR5273" t="s">
        <v>11262</v>
      </c>
      <c r="AS5273" t="s">
        <v>9926</v>
      </c>
      <c r="AT5273" t="s">
        <v>11641</v>
      </c>
      <c r="AX5273" t="s">
        <v>10838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</row>
    <row r="5274" spans="1:59">
      <c r="A5274" s="1">
        <f>HYPERLINK("https://lsnyc.legalserver.org/matter/dynamic-profile/view/1909516","19-1909516")</f>
        <v>0</v>
      </c>
      <c r="B5274" t="s">
        <v>4182</v>
      </c>
      <c r="C5274" t="s">
        <v>9012</v>
      </c>
      <c r="D5274" t="s">
        <v>9928</v>
      </c>
      <c r="E5274" t="s">
        <v>10075</v>
      </c>
      <c r="F5274">
        <v>11233</v>
      </c>
      <c r="G5274" t="s">
        <v>10093</v>
      </c>
      <c r="H5274" t="s">
        <v>10099</v>
      </c>
      <c r="I5274" t="s">
        <v>10168</v>
      </c>
      <c r="J5274" t="s">
        <v>10213</v>
      </c>
      <c r="K5274" t="s">
        <v>10217</v>
      </c>
      <c r="M5274" t="s">
        <v>10564</v>
      </c>
      <c r="N5274" t="s">
        <v>10650</v>
      </c>
      <c r="P5274" t="s">
        <v>10749</v>
      </c>
      <c r="Q5274" t="s">
        <v>10765</v>
      </c>
      <c r="R5274" t="s">
        <v>10824</v>
      </c>
      <c r="T5274">
        <v>23400</v>
      </c>
      <c r="U5274">
        <v>1950</v>
      </c>
      <c r="V5274">
        <v>55</v>
      </c>
      <c r="W5274">
        <v>1</v>
      </c>
      <c r="X5274">
        <v>0</v>
      </c>
      <c r="Z5274">
        <v>187.35</v>
      </c>
      <c r="AA5274">
        <v>40.672353</v>
      </c>
      <c r="AB5274">
        <v>-73.917382</v>
      </c>
      <c r="AC5274" t="s">
        <v>10838</v>
      </c>
      <c r="AD5274" t="s">
        <v>10840</v>
      </c>
      <c r="AG5274" t="s">
        <v>10858</v>
      </c>
      <c r="AH5274" t="s">
        <v>10871</v>
      </c>
      <c r="AI5274">
        <v>234</v>
      </c>
      <c r="AJ5274" t="s">
        <v>10214</v>
      </c>
      <c r="AL5274">
        <v>0.5</v>
      </c>
      <c r="AM5274" t="s">
        <v>10888</v>
      </c>
      <c r="AN5274" t="s">
        <v>10922</v>
      </c>
      <c r="AO5274" t="s">
        <v>11007</v>
      </c>
      <c r="AP5274" t="s">
        <v>11064</v>
      </c>
      <c r="AR5274" t="s">
        <v>11257</v>
      </c>
      <c r="AS5274" t="s">
        <v>11595</v>
      </c>
      <c r="AT5274" t="s">
        <v>11642</v>
      </c>
      <c r="AX5274" t="s">
        <v>10838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</row>
    <row r="5275" spans="1:59">
      <c r="A5275" s="1">
        <f>HYPERLINK("https://lsnyc.legalserver.org/matter/dynamic-profile/view/1909517","19-1909517")</f>
        <v>0</v>
      </c>
      <c r="B5275" t="s">
        <v>354</v>
      </c>
      <c r="C5275" t="s">
        <v>9013</v>
      </c>
      <c r="D5275" t="s">
        <v>9925</v>
      </c>
      <c r="E5275" t="s">
        <v>10075</v>
      </c>
      <c r="F5275">
        <v>10033</v>
      </c>
      <c r="G5275" t="s">
        <v>10089</v>
      </c>
      <c r="H5275" t="s">
        <v>10099</v>
      </c>
      <c r="I5275" t="s">
        <v>10169</v>
      </c>
      <c r="J5275" t="s">
        <v>10209</v>
      </c>
      <c r="K5275" t="s">
        <v>10218</v>
      </c>
      <c r="L5275" t="s">
        <v>10116</v>
      </c>
      <c r="M5275" t="s">
        <v>10451</v>
      </c>
      <c r="N5275" t="s">
        <v>10650</v>
      </c>
      <c r="P5275" t="s">
        <v>10749</v>
      </c>
      <c r="Q5275" t="s">
        <v>10765</v>
      </c>
      <c r="R5275" t="s">
        <v>10821</v>
      </c>
      <c r="T5275">
        <v>23112</v>
      </c>
      <c r="U5275">
        <v>1926</v>
      </c>
      <c r="V5275">
        <v>55</v>
      </c>
      <c r="W5275">
        <v>2</v>
      </c>
      <c r="X5275">
        <v>0</v>
      </c>
      <c r="Y5275" t="s">
        <v>10829</v>
      </c>
      <c r="Z5275">
        <v>136.68</v>
      </c>
      <c r="AA5275">
        <v>40.845186</v>
      </c>
      <c r="AB5275">
        <v>-73.93464400000001</v>
      </c>
      <c r="AD5275" t="s">
        <v>10839</v>
      </c>
      <c r="AG5275" t="s">
        <v>10858</v>
      </c>
      <c r="AH5275" t="s">
        <v>10862</v>
      </c>
      <c r="AI5275">
        <v>236</v>
      </c>
      <c r="AJ5275" t="s">
        <v>10209</v>
      </c>
      <c r="AK5275" t="s">
        <v>10838</v>
      </c>
      <c r="AL5275">
        <v>0.1</v>
      </c>
      <c r="AM5275" t="s">
        <v>10887</v>
      </c>
      <c r="AN5275" t="s">
        <v>10937</v>
      </c>
      <c r="AO5275" t="s">
        <v>11019</v>
      </c>
      <c r="AP5275" t="s">
        <v>11074</v>
      </c>
      <c r="AR5275" t="s">
        <v>11319</v>
      </c>
      <c r="AS5275" t="s">
        <v>9925</v>
      </c>
      <c r="AT5275" t="s">
        <v>11641</v>
      </c>
      <c r="AX5275" t="s">
        <v>10838</v>
      </c>
      <c r="AY5275" t="s">
        <v>10829</v>
      </c>
      <c r="AZ5275" t="s">
        <v>11681</v>
      </c>
      <c r="BA5275" t="s">
        <v>11741</v>
      </c>
      <c r="BB5275">
        <v>0</v>
      </c>
      <c r="BC5275">
        <v>0</v>
      </c>
      <c r="BD5275">
        <v>0</v>
      </c>
      <c r="BE5275">
        <v>0</v>
      </c>
      <c r="BF5275">
        <v>1</v>
      </c>
      <c r="BG5275">
        <v>0</v>
      </c>
    </row>
    <row r="5276" spans="1:59">
      <c r="A5276" s="1">
        <f>HYPERLINK("https://lsnyc.legalserver.org/matter/dynamic-profile/view/1909518","19-1909518")</f>
        <v>0</v>
      </c>
      <c r="B5276" t="s">
        <v>1468</v>
      </c>
      <c r="C5276" t="s">
        <v>7402</v>
      </c>
      <c r="D5276" t="s">
        <v>9926</v>
      </c>
      <c r="E5276" t="s">
        <v>10075</v>
      </c>
      <c r="F5276">
        <v>10451</v>
      </c>
      <c r="G5276" t="s">
        <v>10090</v>
      </c>
      <c r="H5276" t="s">
        <v>10099</v>
      </c>
      <c r="I5276" t="s">
        <v>10168</v>
      </c>
      <c r="J5276" t="s">
        <v>10210</v>
      </c>
      <c r="K5276" t="s">
        <v>10217</v>
      </c>
      <c r="M5276" t="s">
        <v>10596</v>
      </c>
      <c r="N5276" t="s">
        <v>10688</v>
      </c>
      <c r="P5276" t="s">
        <v>10751</v>
      </c>
      <c r="Q5276" t="s">
        <v>10776</v>
      </c>
      <c r="R5276" t="s">
        <v>10824</v>
      </c>
      <c r="T5276">
        <v>23400</v>
      </c>
      <c r="U5276">
        <v>1950</v>
      </c>
      <c r="V5276">
        <v>29</v>
      </c>
      <c r="W5276">
        <v>1</v>
      </c>
      <c r="X5276">
        <v>2</v>
      </c>
      <c r="Z5276">
        <v>109.7</v>
      </c>
      <c r="AA5276">
        <v>40.814675</v>
      </c>
      <c r="AB5276">
        <v>-73.922044</v>
      </c>
      <c r="AD5276" t="s">
        <v>10839</v>
      </c>
      <c r="AF5276" t="s">
        <v>10842</v>
      </c>
      <c r="AG5276" t="s">
        <v>10859</v>
      </c>
      <c r="AH5276" t="s">
        <v>10864</v>
      </c>
      <c r="AI5276">
        <v>230</v>
      </c>
      <c r="AJ5276" t="s">
        <v>10210</v>
      </c>
      <c r="AL5276">
        <v>1.7</v>
      </c>
      <c r="AQ5276" t="s">
        <v>11246</v>
      </c>
      <c r="AR5276" t="s">
        <v>11257</v>
      </c>
      <c r="AS5276" t="s">
        <v>9926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</row>
    <row r="5277" spans="1:59">
      <c r="A5277" s="1">
        <f>HYPERLINK("https://lsnyc.legalserver.org/matter/dynamic-profile/view/1909519","19-1909519")</f>
        <v>0</v>
      </c>
      <c r="B5277" t="s">
        <v>4183</v>
      </c>
      <c r="C5277" t="s">
        <v>9014</v>
      </c>
      <c r="D5277" t="s">
        <v>9936</v>
      </c>
      <c r="E5277" t="s">
        <v>10075</v>
      </c>
      <c r="F5277">
        <v>11106</v>
      </c>
      <c r="G5277" t="s">
        <v>10091</v>
      </c>
      <c r="H5277" t="s">
        <v>10099</v>
      </c>
      <c r="I5277" t="s">
        <v>10168</v>
      </c>
      <c r="J5277" t="s">
        <v>10211</v>
      </c>
      <c r="K5277" t="s">
        <v>10217</v>
      </c>
      <c r="M5277" t="s">
        <v>10307</v>
      </c>
      <c r="N5277" t="s">
        <v>10671</v>
      </c>
      <c r="P5277" t="s">
        <v>10752</v>
      </c>
      <c r="Q5277" t="s">
        <v>10762</v>
      </c>
      <c r="R5277" t="s">
        <v>10820</v>
      </c>
      <c r="T5277">
        <v>9600</v>
      </c>
      <c r="U5277">
        <v>800</v>
      </c>
      <c r="V5277">
        <v>44</v>
      </c>
      <c r="W5277">
        <v>1</v>
      </c>
      <c r="X5277">
        <v>0</v>
      </c>
      <c r="Z5277">
        <v>76.86</v>
      </c>
      <c r="AA5277">
        <v>40.762395</v>
      </c>
      <c r="AB5277">
        <v>-73.92310999999999</v>
      </c>
      <c r="AD5277" t="s">
        <v>10839</v>
      </c>
      <c r="AF5277" t="s">
        <v>10843</v>
      </c>
      <c r="AG5277" t="s">
        <v>10859</v>
      </c>
      <c r="AH5277" t="s">
        <v>10861</v>
      </c>
      <c r="AI5277">
        <v>234</v>
      </c>
      <c r="AJ5277" t="s">
        <v>10214</v>
      </c>
      <c r="AL5277">
        <v>1</v>
      </c>
      <c r="AM5277" t="s">
        <v>10891</v>
      </c>
      <c r="AN5277" t="s">
        <v>10954</v>
      </c>
      <c r="AO5277" t="s">
        <v>11003</v>
      </c>
      <c r="AP5277" t="s">
        <v>11084</v>
      </c>
      <c r="AR5277" t="s">
        <v>11298</v>
      </c>
      <c r="AS5277" t="s">
        <v>11594</v>
      </c>
      <c r="AT5277" t="s">
        <v>11641</v>
      </c>
      <c r="AX5277" t="s">
        <v>10838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</row>
    <row r="5278" spans="1:59">
      <c r="A5278" s="1">
        <f>HYPERLINK("https://lsnyc.legalserver.org/matter/dynamic-profile/view/1909520","19-1909520")</f>
        <v>0</v>
      </c>
      <c r="B5278" t="s">
        <v>898</v>
      </c>
      <c r="C5278" t="s">
        <v>5786</v>
      </c>
      <c r="D5278" t="s">
        <v>9926</v>
      </c>
      <c r="E5278" t="s">
        <v>10075</v>
      </c>
      <c r="F5278">
        <v>10457</v>
      </c>
      <c r="G5278" t="s">
        <v>10090</v>
      </c>
      <c r="H5278" t="s">
        <v>10099</v>
      </c>
      <c r="I5278" t="s">
        <v>10169</v>
      </c>
      <c r="J5278" t="s">
        <v>10210</v>
      </c>
      <c r="K5278" t="s">
        <v>10217</v>
      </c>
      <c r="M5278" t="s">
        <v>10569</v>
      </c>
      <c r="N5278" t="s">
        <v>10656</v>
      </c>
      <c r="P5278" t="s">
        <v>10751</v>
      </c>
      <c r="Q5278" t="s">
        <v>10768</v>
      </c>
      <c r="R5278" t="s">
        <v>10821</v>
      </c>
      <c r="T5278">
        <v>2304</v>
      </c>
      <c r="U5278">
        <v>192</v>
      </c>
      <c r="V5278">
        <v>37</v>
      </c>
      <c r="W5278">
        <v>1</v>
      </c>
      <c r="X5278">
        <v>0</v>
      </c>
      <c r="Z5278">
        <v>18.45</v>
      </c>
      <c r="AA5278">
        <v>40.851869</v>
      </c>
      <c r="AB5278">
        <v>-73.889228</v>
      </c>
      <c r="AD5278" t="s">
        <v>10839</v>
      </c>
      <c r="AG5278" t="s">
        <v>10858</v>
      </c>
      <c r="AH5278" t="s">
        <v>10871</v>
      </c>
      <c r="AI5278">
        <v>234</v>
      </c>
      <c r="AJ5278" t="s">
        <v>10214</v>
      </c>
      <c r="AL5278">
        <v>3.55</v>
      </c>
      <c r="AM5278" t="s">
        <v>10884</v>
      </c>
      <c r="AN5278" t="s">
        <v>10907</v>
      </c>
      <c r="AO5278" t="s">
        <v>11000</v>
      </c>
      <c r="AP5278" t="s">
        <v>11056</v>
      </c>
      <c r="AR5278" t="s">
        <v>11311</v>
      </c>
      <c r="AS5278" t="s">
        <v>9926</v>
      </c>
      <c r="AT5278" t="s">
        <v>11641</v>
      </c>
      <c r="AX5278" t="s">
        <v>10838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</row>
    <row r="5279" spans="1:59">
      <c r="A5279" s="1">
        <f>HYPERLINK("https://lsnyc.legalserver.org/matter/dynamic-profile/view/1909521","19-1909521")</f>
        <v>0</v>
      </c>
      <c r="B5279" t="s">
        <v>4184</v>
      </c>
      <c r="C5279" t="s">
        <v>9015</v>
      </c>
      <c r="D5279" t="s">
        <v>9925</v>
      </c>
      <c r="E5279" t="s">
        <v>10075</v>
      </c>
      <c r="F5279">
        <v>10033</v>
      </c>
      <c r="G5279" t="s">
        <v>10089</v>
      </c>
      <c r="H5279" t="s">
        <v>10099</v>
      </c>
      <c r="I5279" t="s">
        <v>10168</v>
      </c>
      <c r="J5279" t="s">
        <v>10209</v>
      </c>
      <c r="K5279" t="s">
        <v>10218</v>
      </c>
      <c r="L5279" t="s">
        <v>10116</v>
      </c>
      <c r="M5279" t="s">
        <v>10451</v>
      </c>
      <c r="N5279" t="s">
        <v>10650</v>
      </c>
      <c r="P5279" t="s">
        <v>10749</v>
      </c>
      <c r="Q5279" t="s">
        <v>10765</v>
      </c>
      <c r="R5279" t="s">
        <v>10821</v>
      </c>
      <c r="S5279" t="s">
        <v>10821</v>
      </c>
      <c r="T5279">
        <v>16776</v>
      </c>
      <c r="U5279">
        <v>1398</v>
      </c>
      <c r="V5279">
        <v>74</v>
      </c>
      <c r="W5279">
        <v>1</v>
      </c>
      <c r="X5279">
        <v>0</v>
      </c>
      <c r="Y5279" t="s">
        <v>10829</v>
      </c>
      <c r="Z5279">
        <v>134.32</v>
      </c>
      <c r="AA5279">
        <v>40.850415</v>
      </c>
      <c r="AB5279">
        <v>-73.939886</v>
      </c>
      <c r="AD5279" t="s">
        <v>10840</v>
      </c>
      <c r="AG5279" t="s">
        <v>10858</v>
      </c>
      <c r="AH5279" t="s">
        <v>10862</v>
      </c>
      <c r="AI5279">
        <v>236</v>
      </c>
      <c r="AJ5279" t="s">
        <v>10209</v>
      </c>
      <c r="AK5279" t="s">
        <v>10838</v>
      </c>
      <c r="AL5279">
        <v>0.1</v>
      </c>
      <c r="AM5279" t="s">
        <v>10887</v>
      </c>
      <c r="AN5279" t="s">
        <v>10943</v>
      </c>
      <c r="AO5279" t="s">
        <v>11019</v>
      </c>
      <c r="AP5279" t="s">
        <v>11074</v>
      </c>
      <c r="AR5279" t="s">
        <v>11563</v>
      </c>
      <c r="AS5279" t="s">
        <v>9925</v>
      </c>
      <c r="AT5279" t="s">
        <v>11642</v>
      </c>
      <c r="AX5279" t="s">
        <v>10838</v>
      </c>
      <c r="AY5279" t="s">
        <v>10829</v>
      </c>
      <c r="AZ5279" t="s">
        <v>11681</v>
      </c>
      <c r="BA5279" t="s">
        <v>11741</v>
      </c>
      <c r="BB5279">
        <v>0</v>
      </c>
      <c r="BC5279">
        <v>0</v>
      </c>
      <c r="BD5279">
        <v>0</v>
      </c>
      <c r="BE5279">
        <v>0</v>
      </c>
      <c r="BF5279">
        <v>1</v>
      </c>
      <c r="BG5279">
        <v>0</v>
      </c>
    </row>
    <row r="5280" spans="1:59">
      <c r="A5280" s="1">
        <f>HYPERLINK("https://lsnyc.legalserver.org/matter/dynamic-profile/view/1909522","19-1909522")</f>
        <v>0</v>
      </c>
      <c r="B5280" t="s">
        <v>4185</v>
      </c>
      <c r="C5280" t="s">
        <v>9016</v>
      </c>
      <c r="D5280" t="s">
        <v>9936</v>
      </c>
      <c r="E5280" t="s">
        <v>10075</v>
      </c>
      <c r="F5280">
        <v>11106</v>
      </c>
      <c r="G5280" t="s">
        <v>10092</v>
      </c>
      <c r="H5280" t="s">
        <v>10099</v>
      </c>
      <c r="I5280" t="s">
        <v>10168</v>
      </c>
      <c r="J5280" t="s">
        <v>10212</v>
      </c>
      <c r="K5280" t="s">
        <v>10217</v>
      </c>
      <c r="M5280" t="s">
        <v>10318</v>
      </c>
      <c r="N5280" t="s">
        <v>10684</v>
      </c>
      <c r="P5280" t="s">
        <v>10751</v>
      </c>
      <c r="Q5280" t="s">
        <v>10786</v>
      </c>
      <c r="R5280" t="s">
        <v>10820</v>
      </c>
      <c r="T5280">
        <v>0</v>
      </c>
      <c r="U5280">
        <v>0</v>
      </c>
      <c r="V5280">
        <v>57</v>
      </c>
      <c r="W5280">
        <v>1</v>
      </c>
      <c r="X5280">
        <v>0</v>
      </c>
      <c r="Z5280">
        <v>0</v>
      </c>
      <c r="AA5280">
        <v>40.763134</v>
      </c>
      <c r="AB5280">
        <v>-73.920328</v>
      </c>
      <c r="AD5280" t="s">
        <v>10840</v>
      </c>
      <c r="AF5280" t="s">
        <v>10843</v>
      </c>
      <c r="AG5280" t="s">
        <v>10859</v>
      </c>
      <c r="AH5280" t="s">
        <v>10861</v>
      </c>
      <c r="AI5280">
        <v>234</v>
      </c>
      <c r="AJ5280" t="s">
        <v>10214</v>
      </c>
      <c r="AL5280">
        <v>0.85</v>
      </c>
      <c r="AM5280" t="s">
        <v>10891</v>
      </c>
      <c r="AN5280" t="s">
        <v>10954</v>
      </c>
      <c r="AO5280" t="s">
        <v>11003</v>
      </c>
      <c r="AP5280" t="s">
        <v>11084</v>
      </c>
      <c r="AR5280" t="s">
        <v>11267</v>
      </c>
      <c r="AS5280" t="s">
        <v>11594</v>
      </c>
      <c r="AT5280" t="s">
        <v>11642</v>
      </c>
      <c r="AX5280" t="s">
        <v>10838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</row>
    <row r="5281" spans="1:59">
      <c r="A5281" s="1">
        <f>HYPERLINK("https://lsnyc.legalserver.org/matter/dynamic-profile/view/1909523","19-1909523")</f>
        <v>0</v>
      </c>
      <c r="B5281" t="s">
        <v>4186</v>
      </c>
      <c r="C5281" t="s">
        <v>9017</v>
      </c>
      <c r="D5281" t="s">
        <v>9925</v>
      </c>
      <c r="E5281" t="s">
        <v>10075</v>
      </c>
      <c r="F5281">
        <v>10033</v>
      </c>
      <c r="G5281" t="s">
        <v>10089</v>
      </c>
      <c r="H5281" t="s">
        <v>10099</v>
      </c>
      <c r="I5281" t="s">
        <v>10169</v>
      </c>
      <c r="J5281" t="s">
        <v>10209</v>
      </c>
      <c r="K5281" t="s">
        <v>10218</v>
      </c>
      <c r="L5281" t="s">
        <v>10116</v>
      </c>
      <c r="M5281" t="s">
        <v>10451</v>
      </c>
      <c r="N5281" t="s">
        <v>10650</v>
      </c>
      <c r="P5281" t="s">
        <v>10749</v>
      </c>
      <c r="Q5281" t="s">
        <v>10765</v>
      </c>
      <c r="R5281" t="s">
        <v>10821</v>
      </c>
      <c r="T5281">
        <v>35000</v>
      </c>
      <c r="U5281">
        <v>2916.67</v>
      </c>
      <c r="V5281">
        <v>55</v>
      </c>
      <c r="W5281">
        <v>2</v>
      </c>
      <c r="X5281">
        <v>2</v>
      </c>
      <c r="Y5281" t="s">
        <v>10829</v>
      </c>
      <c r="Z5281">
        <v>135.92</v>
      </c>
      <c r="AA5281">
        <v>40.849649</v>
      </c>
      <c r="AB5281">
        <v>-73.937888</v>
      </c>
      <c r="AD5281" t="s">
        <v>10839</v>
      </c>
      <c r="AF5281" t="s">
        <v>10843</v>
      </c>
      <c r="AG5281" t="s">
        <v>10859</v>
      </c>
      <c r="AH5281" t="s">
        <v>10862</v>
      </c>
      <c r="AI5281">
        <v>236</v>
      </c>
      <c r="AJ5281" t="s">
        <v>10209</v>
      </c>
      <c r="AK5281" t="s">
        <v>10838</v>
      </c>
      <c r="AL5281">
        <v>0.1</v>
      </c>
      <c r="AM5281" t="s">
        <v>10887</v>
      </c>
      <c r="AN5281" t="s">
        <v>10943</v>
      </c>
      <c r="AO5281" t="s">
        <v>11019</v>
      </c>
      <c r="AP5281" t="s">
        <v>11074</v>
      </c>
      <c r="AR5281" t="s">
        <v>11262</v>
      </c>
      <c r="AS5281" t="s">
        <v>9925</v>
      </c>
      <c r="AT5281" t="s">
        <v>11641</v>
      </c>
      <c r="AX5281" t="s">
        <v>10838</v>
      </c>
      <c r="AY5281" t="s">
        <v>10829</v>
      </c>
      <c r="AZ5281" t="s">
        <v>11681</v>
      </c>
      <c r="BA5281" t="s">
        <v>11741</v>
      </c>
      <c r="BB5281">
        <v>0</v>
      </c>
      <c r="BC5281">
        <v>0</v>
      </c>
      <c r="BD5281">
        <v>0</v>
      </c>
      <c r="BE5281">
        <v>0</v>
      </c>
      <c r="BF5281">
        <v>1</v>
      </c>
      <c r="BG5281">
        <v>0</v>
      </c>
    </row>
    <row r="5282" spans="1:59">
      <c r="A5282" s="1">
        <f>HYPERLINK("https://lsnyc.legalserver.org/matter/dynamic-profile/view/1909524","19-1909524")</f>
        <v>0</v>
      </c>
      <c r="B5282" t="s">
        <v>4187</v>
      </c>
      <c r="C5282" t="s">
        <v>7856</v>
      </c>
      <c r="D5282" t="s">
        <v>9926</v>
      </c>
      <c r="E5282" t="s">
        <v>10075</v>
      </c>
      <c r="F5282">
        <v>10457</v>
      </c>
      <c r="G5282" t="s">
        <v>10090</v>
      </c>
      <c r="H5282" t="s">
        <v>10099</v>
      </c>
      <c r="I5282" t="s">
        <v>10168</v>
      </c>
      <c r="J5282" t="s">
        <v>10210</v>
      </c>
      <c r="K5282" t="s">
        <v>10217</v>
      </c>
      <c r="M5282" t="s">
        <v>10469</v>
      </c>
      <c r="N5282" t="s">
        <v>10651</v>
      </c>
      <c r="P5282" t="s">
        <v>10749</v>
      </c>
      <c r="Q5282" t="s">
        <v>10765</v>
      </c>
      <c r="R5282" t="s">
        <v>10824</v>
      </c>
      <c r="T5282">
        <v>11232</v>
      </c>
      <c r="U5282">
        <v>936</v>
      </c>
      <c r="V5282">
        <v>55</v>
      </c>
      <c r="W5282">
        <v>1</v>
      </c>
      <c r="X5282">
        <v>0</v>
      </c>
      <c r="Z5282">
        <v>89.93000000000001</v>
      </c>
      <c r="AA5282">
        <v>40.841296</v>
      </c>
      <c r="AB5282">
        <v>-73.91010199999999</v>
      </c>
      <c r="AD5282" t="s">
        <v>10839</v>
      </c>
      <c r="AG5282" t="s">
        <v>10858</v>
      </c>
      <c r="AH5282" t="s">
        <v>10862</v>
      </c>
      <c r="AI5282">
        <v>230</v>
      </c>
      <c r="AJ5282" t="s">
        <v>10210</v>
      </c>
      <c r="AL5282">
        <v>3</v>
      </c>
      <c r="AM5282" t="s">
        <v>10884</v>
      </c>
      <c r="AN5282" t="s">
        <v>10929</v>
      </c>
      <c r="AO5282" t="s">
        <v>11000</v>
      </c>
      <c r="AP5282" t="s">
        <v>11055</v>
      </c>
      <c r="AR5282" t="s">
        <v>11257</v>
      </c>
      <c r="AS5282" t="s">
        <v>9926</v>
      </c>
      <c r="AT5282" t="s">
        <v>11641</v>
      </c>
      <c r="AX5282" t="s">
        <v>10838</v>
      </c>
      <c r="BA5282" t="s">
        <v>11738</v>
      </c>
      <c r="BB5282">
        <v>0</v>
      </c>
      <c r="BC5282">
        <v>0</v>
      </c>
      <c r="BD5282">
        <v>0</v>
      </c>
      <c r="BE5282">
        <v>0</v>
      </c>
      <c r="BF5282">
        <v>5</v>
      </c>
      <c r="BG5282">
        <v>0</v>
      </c>
    </row>
    <row r="5283" spans="1:59">
      <c r="A5283" s="1">
        <f>HYPERLINK("https://lsnyc.legalserver.org/matter/dynamic-profile/view/1909525","19-1909525")</f>
        <v>0</v>
      </c>
      <c r="B5283" t="s">
        <v>4188</v>
      </c>
      <c r="C5283" t="s">
        <v>9018</v>
      </c>
      <c r="D5283" t="s">
        <v>9927</v>
      </c>
      <c r="E5283" t="s">
        <v>10075</v>
      </c>
      <c r="F5283">
        <v>11377</v>
      </c>
      <c r="G5283" t="s">
        <v>10092</v>
      </c>
      <c r="H5283" t="s">
        <v>10100</v>
      </c>
      <c r="I5283" t="s">
        <v>10169</v>
      </c>
      <c r="J5283" t="s">
        <v>10212</v>
      </c>
      <c r="K5283" t="s">
        <v>10217</v>
      </c>
      <c r="M5283" t="s">
        <v>10335</v>
      </c>
      <c r="N5283" t="s">
        <v>10695</v>
      </c>
      <c r="P5283" t="s">
        <v>10749</v>
      </c>
      <c r="Q5283" t="s">
        <v>10765</v>
      </c>
      <c r="R5283" t="s">
        <v>10823</v>
      </c>
      <c r="T5283">
        <v>11000</v>
      </c>
      <c r="U5283">
        <v>916.67</v>
      </c>
      <c r="V5283">
        <v>65</v>
      </c>
      <c r="W5283">
        <v>1</v>
      </c>
      <c r="X5283">
        <v>0</v>
      </c>
      <c r="Z5283">
        <v>88.06999999999999</v>
      </c>
      <c r="AA5283">
        <v>40.747957</v>
      </c>
      <c r="AB5283">
        <v>-73.910656</v>
      </c>
      <c r="AD5283" t="s">
        <v>10840</v>
      </c>
      <c r="AG5283" t="s">
        <v>10858</v>
      </c>
      <c r="AH5283" t="s">
        <v>10862</v>
      </c>
      <c r="AI5283">
        <v>237</v>
      </c>
      <c r="AJ5283" t="s">
        <v>10212</v>
      </c>
      <c r="AL5283">
        <v>1.5</v>
      </c>
      <c r="AM5283" t="s">
        <v>10885</v>
      </c>
      <c r="AN5283" t="s">
        <v>10935</v>
      </c>
      <c r="AO5283" t="s">
        <v>11003</v>
      </c>
      <c r="AP5283" t="s">
        <v>11047</v>
      </c>
      <c r="AR5283" t="s">
        <v>11274</v>
      </c>
      <c r="AS5283" t="s">
        <v>11594</v>
      </c>
      <c r="AT5283" t="s">
        <v>11642</v>
      </c>
      <c r="AX5283" t="s">
        <v>10838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</row>
    <row r="5284" spans="1:59">
      <c r="A5284" s="1">
        <f>HYPERLINK("https://lsnyc.legalserver.org/matter/dynamic-profile/view/1909526","19-1909526")</f>
        <v>0</v>
      </c>
      <c r="B5284" t="s">
        <v>1222</v>
      </c>
      <c r="C5284" t="s">
        <v>9019</v>
      </c>
      <c r="D5284" t="s">
        <v>9949</v>
      </c>
      <c r="E5284" t="s">
        <v>10075</v>
      </c>
      <c r="F5284">
        <v>11413</v>
      </c>
      <c r="G5284" t="s">
        <v>10092</v>
      </c>
      <c r="H5284" t="s">
        <v>10099</v>
      </c>
      <c r="I5284" t="s">
        <v>10168</v>
      </c>
      <c r="J5284" t="s">
        <v>10212</v>
      </c>
      <c r="K5284" t="s">
        <v>10217</v>
      </c>
      <c r="M5284" t="s">
        <v>10331</v>
      </c>
      <c r="N5284" t="s">
        <v>10675</v>
      </c>
      <c r="P5284" t="s">
        <v>10754</v>
      </c>
      <c r="Q5284" t="s">
        <v>10775</v>
      </c>
      <c r="R5284" t="s">
        <v>10824</v>
      </c>
      <c r="T5284">
        <v>21600</v>
      </c>
      <c r="U5284">
        <v>1800</v>
      </c>
      <c r="V5284">
        <v>33</v>
      </c>
      <c r="W5284">
        <v>1</v>
      </c>
      <c r="X5284">
        <v>0</v>
      </c>
      <c r="Z5284">
        <v>172.94</v>
      </c>
      <c r="AA5284">
        <v>0</v>
      </c>
      <c r="AB5284">
        <v>0</v>
      </c>
      <c r="AC5284" t="s">
        <v>10837</v>
      </c>
      <c r="AD5284" t="s">
        <v>10840</v>
      </c>
      <c r="AF5284" t="s">
        <v>10843</v>
      </c>
      <c r="AG5284" t="s">
        <v>10859</v>
      </c>
      <c r="AH5284" t="s">
        <v>10861</v>
      </c>
      <c r="AI5284">
        <v>234</v>
      </c>
      <c r="AJ5284" t="s">
        <v>10214</v>
      </c>
      <c r="AL5284">
        <v>1</v>
      </c>
      <c r="AR5284" t="s">
        <v>11303</v>
      </c>
      <c r="AS5284" t="s">
        <v>11594</v>
      </c>
      <c r="AT5284" t="s">
        <v>11642</v>
      </c>
      <c r="AX5284" t="s">
        <v>10838</v>
      </c>
      <c r="BA5284" t="s">
        <v>11742</v>
      </c>
      <c r="BB5284">
        <v>0</v>
      </c>
      <c r="BC5284">
        <v>0</v>
      </c>
      <c r="BD5284">
        <v>0</v>
      </c>
      <c r="BE5284">
        <v>0</v>
      </c>
      <c r="BF5284">
        <v>7</v>
      </c>
      <c r="BG5284">
        <v>0</v>
      </c>
    </row>
    <row r="5285" spans="1:59">
      <c r="A5285" s="1">
        <f>HYPERLINK("https://lsnyc.legalserver.org/matter/dynamic-profile/view/1909527","19-1909527")</f>
        <v>0</v>
      </c>
      <c r="B5285" t="s">
        <v>4189</v>
      </c>
      <c r="C5285" t="s">
        <v>9020</v>
      </c>
      <c r="D5285" t="s">
        <v>9925</v>
      </c>
      <c r="E5285" t="s">
        <v>10075</v>
      </c>
      <c r="F5285">
        <v>10023</v>
      </c>
      <c r="G5285" t="s">
        <v>10089</v>
      </c>
      <c r="H5285" t="s">
        <v>10099</v>
      </c>
      <c r="I5285" t="s">
        <v>10168</v>
      </c>
      <c r="J5285" t="s">
        <v>10209</v>
      </c>
      <c r="K5285" t="s">
        <v>10217</v>
      </c>
      <c r="M5285" t="s">
        <v>10270</v>
      </c>
      <c r="N5285" t="s">
        <v>10691</v>
      </c>
      <c r="P5285" t="s">
        <v>10754</v>
      </c>
      <c r="Q5285" t="s">
        <v>10777</v>
      </c>
      <c r="R5285" t="s">
        <v>10824</v>
      </c>
      <c r="T5285">
        <v>20220</v>
      </c>
      <c r="U5285">
        <v>1685</v>
      </c>
      <c r="V5285">
        <v>60</v>
      </c>
      <c r="W5285">
        <v>1</v>
      </c>
      <c r="X5285">
        <v>0</v>
      </c>
      <c r="Z5285">
        <v>161.89</v>
      </c>
      <c r="AA5285">
        <v>40.772228</v>
      </c>
      <c r="AB5285">
        <v>-73.986732</v>
      </c>
      <c r="AD5285" t="s">
        <v>10839</v>
      </c>
      <c r="AG5285" t="s">
        <v>10858</v>
      </c>
      <c r="AH5285" t="s">
        <v>10861</v>
      </c>
      <c r="AI5285">
        <v>234</v>
      </c>
      <c r="AJ5285" t="s">
        <v>10214</v>
      </c>
      <c r="AL5285">
        <v>0.5</v>
      </c>
      <c r="AM5285" t="s">
        <v>10894</v>
      </c>
      <c r="AN5285" t="s">
        <v>10964</v>
      </c>
      <c r="AO5285" t="s">
        <v>11019</v>
      </c>
      <c r="AP5285" t="s">
        <v>11089</v>
      </c>
      <c r="AR5285" t="s">
        <v>11298</v>
      </c>
      <c r="AS5285" t="s">
        <v>9925</v>
      </c>
      <c r="AT5285" t="s">
        <v>11641</v>
      </c>
      <c r="AX5285" t="s">
        <v>10838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</row>
    <row r="5286" spans="1:59">
      <c r="A5286" s="1">
        <f>HYPERLINK("https://lsnyc.legalserver.org/matter/dynamic-profile/view/1909528","19-1909528")</f>
        <v>0</v>
      </c>
      <c r="B5286" t="s">
        <v>4190</v>
      </c>
      <c r="C5286" t="s">
        <v>9021</v>
      </c>
      <c r="D5286" t="s">
        <v>9938</v>
      </c>
      <c r="E5286" t="s">
        <v>10075</v>
      </c>
      <c r="F5286">
        <v>11433</v>
      </c>
      <c r="G5286" t="s">
        <v>10092</v>
      </c>
      <c r="H5286" t="s">
        <v>10099</v>
      </c>
      <c r="J5286" t="s">
        <v>10212</v>
      </c>
      <c r="K5286" t="s">
        <v>10217</v>
      </c>
      <c r="M5286" t="s">
        <v>10285</v>
      </c>
      <c r="N5286" t="s">
        <v>10695</v>
      </c>
      <c r="P5286" t="s">
        <v>10749</v>
      </c>
      <c r="Q5286" t="s">
        <v>10765</v>
      </c>
      <c r="R5286" t="s">
        <v>10821</v>
      </c>
      <c r="T5286">
        <v>10080</v>
      </c>
      <c r="U5286">
        <v>840</v>
      </c>
      <c r="V5286">
        <v>39</v>
      </c>
      <c r="W5286">
        <v>1</v>
      </c>
      <c r="X5286">
        <v>0</v>
      </c>
      <c r="Z5286">
        <v>80.7</v>
      </c>
      <c r="AA5286">
        <v>40.692378</v>
      </c>
      <c r="AB5286">
        <v>-73.796668</v>
      </c>
      <c r="AD5286" t="s">
        <v>10840</v>
      </c>
      <c r="AG5286" t="s">
        <v>10858</v>
      </c>
      <c r="AH5286" t="s">
        <v>10862</v>
      </c>
      <c r="AI5286">
        <v>237</v>
      </c>
      <c r="AJ5286" t="s">
        <v>10212</v>
      </c>
      <c r="AL5286">
        <v>1.75</v>
      </c>
      <c r="AM5286" t="s">
        <v>10892</v>
      </c>
      <c r="AN5286" t="s">
        <v>10951</v>
      </c>
      <c r="AO5286" t="s">
        <v>11017</v>
      </c>
      <c r="AP5286" t="s">
        <v>11070</v>
      </c>
      <c r="AR5286" t="s">
        <v>11274</v>
      </c>
      <c r="AS5286" t="s">
        <v>11594</v>
      </c>
      <c r="AT5286" t="s">
        <v>11642</v>
      </c>
      <c r="AX5286" t="s">
        <v>10837</v>
      </c>
      <c r="BA5286" t="s">
        <v>11738</v>
      </c>
      <c r="BB5286">
        <v>0</v>
      </c>
      <c r="BC5286">
        <v>0</v>
      </c>
      <c r="BD5286">
        <v>0</v>
      </c>
      <c r="BE5286">
        <v>0</v>
      </c>
      <c r="BF5286">
        <v>5</v>
      </c>
      <c r="BG5286">
        <v>0</v>
      </c>
    </row>
    <row r="5287" spans="1:59">
      <c r="A5287" s="1">
        <f>HYPERLINK("https://lsnyc.legalserver.org/matter/dynamic-profile/view/1909529","19-1909529")</f>
        <v>0</v>
      </c>
      <c r="B5287" t="s">
        <v>4187</v>
      </c>
      <c r="C5287" t="s">
        <v>7856</v>
      </c>
      <c r="D5287" t="s">
        <v>9926</v>
      </c>
      <c r="E5287" t="s">
        <v>10075</v>
      </c>
      <c r="F5287">
        <v>10457</v>
      </c>
      <c r="G5287" t="s">
        <v>10090</v>
      </c>
      <c r="H5287" t="s">
        <v>10099</v>
      </c>
      <c r="I5287" t="s">
        <v>10168</v>
      </c>
      <c r="J5287" t="s">
        <v>10210</v>
      </c>
      <c r="K5287" t="s">
        <v>10217</v>
      </c>
      <c r="M5287" t="s">
        <v>10230</v>
      </c>
      <c r="N5287" t="s">
        <v>10671</v>
      </c>
      <c r="P5287" t="s">
        <v>10751</v>
      </c>
      <c r="Q5287" t="s">
        <v>10761</v>
      </c>
      <c r="R5287" t="s">
        <v>10824</v>
      </c>
      <c r="T5287">
        <v>11232</v>
      </c>
      <c r="U5287">
        <v>936</v>
      </c>
      <c r="V5287">
        <v>55</v>
      </c>
      <c r="W5287">
        <v>1</v>
      </c>
      <c r="X5287">
        <v>0</v>
      </c>
      <c r="Z5287">
        <v>89.93000000000001</v>
      </c>
      <c r="AA5287">
        <v>40.841296</v>
      </c>
      <c r="AB5287">
        <v>-73.91010199999999</v>
      </c>
      <c r="AD5287" t="s">
        <v>10839</v>
      </c>
      <c r="AG5287" t="s">
        <v>10858</v>
      </c>
      <c r="AH5287" t="s">
        <v>10862</v>
      </c>
      <c r="AI5287">
        <v>230</v>
      </c>
      <c r="AJ5287" t="s">
        <v>10210</v>
      </c>
      <c r="AL5287">
        <v>0.5</v>
      </c>
      <c r="AR5287" t="s">
        <v>11257</v>
      </c>
      <c r="AS5287" t="s">
        <v>9926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</row>
    <row r="5288" spans="1:59">
      <c r="A5288" s="1">
        <f>HYPERLINK("https://lsnyc.legalserver.org/matter/dynamic-profile/view/1909530","19-1909530")</f>
        <v>0</v>
      </c>
      <c r="B5288" t="s">
        <v>3264</v>
      </c>
      <c r="C5288" t="s">
        <v>9022</v>
      </c>
      <c r="D5288" t="s">
        <v>9933</v>
      </c>
      <c r="E5288" t="s">
        <v>10075</v>
      </c>
      <c r="F5288">
        <v>11420</v>
      </c>
      <c r="G5288" t="s">
        <v>10090</v>
      </c>
      <c r="H5288" t="s">
        <v>10099</v>
      </c>
      <c r="I5288" t="s">
        <v>10169</v>
      </c>
      <c r="J5288" t="s">
        <v>10210</v>
      </c>
      <c r="K5288" t="s">
        <v>10218</v>
      </c>
      <c r="L5288" t="s">
        <v>4843</v>
      </c>
      <c r="M5288" t="s">
        <v>10346</v>
      </c>
      <c r="N5288" t="s">
        <v>10671</v>
      </c>
      <c r="P5288" t="s">
        <v>10753</v>
      </c>
      <c r="Q5288" t="s">
        <v>10763</v>
      </c>
      <c r="R5288" t="s">
        <v>10821</v>
      </c>
      <c r="T5288">
        <v>0</v>
      </c>
      <c r="U5288">
        <v>0</v>
      </c>
      <c r="V5288">
        <v>62</v>
      </c>
      <c r="W5288">
        <v>1</v>
      </c>
      <c r="X5288">
        <v>0</v>
      </c>
      <c r="Y5288" t="s">
        <v>10829</v>
      </c>
      <c r="Z5288">
        <v>0</v>
      </c>
      <c r="AA5288">
        <v>40.674663</v>
      </c>
      <c r="AB5288">
        <v>-73.81539600000001</v>
      </c>
      <c r="AD5288" t="s">
        <v>10839</v>
      </c>
      <c r="AF5288" t="s">
        <v>10843</v>
      </c>
      <c r="AG5288" t="s">
        <v>10859</v>
      </c>
      <c r="AH5288" t="s">
        <v>10861</v>
      </c>
      <c r="AI5288">
        <v>234</v>
      </c>
      <c r="AJ5288" t="s">
        <v>10214</v>
      </c>
      <c r="AK5288" t="s">
        <v>10838</v>
      </c>
      <c r="AL5288">
        <v>2.1</v>
      </c>
      <c r="AM5288" t="s">
        <v>10892</v>
      </c>
      <c r="AN5288" t="s">
        <v>10930</v>
      </c>
      <c r="AO5288" t="s">
        <v>11017</v>
      </c>
      <c r="AP5288" t="s">
        <v>11070</v>
      </c>
      <c r="AR5288" t="s">
        <v>11267</v>
      </c>
      <c r="AS5288" t="s">
        <v>11594</v>
      </c>
      <c r="AT5288" t="s">
        <v>11641</v>
      </c>
      <c r="AX5288" t="s">
        <v>10838</v>
      </c>
      <c r="AY5288" t="s">
        <v>10829</v>
      </c>
      <c r="AZ5288" t="s">
        <v>11709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</row>
    <row r="5289" spans="1:59">
      <c r="A5289" s="1">
        <f>HYPERLINK("https://lsnyc.legalserver.org/matter/dynamic-profile/view/1909531","19-1909531")</f>
        <v>0</v>
      </c>
      <c r="B5289" t="s">
        <v>1222</v>
      </c>
      <c r="C5289" t="s">
        <v>9019</v>
      </c>
      <c r="D5289" t="s">
        <v>9949</v>
      </c>
      <c r="E5289" t="s">
        <v>10075</v>
      </c>
      <c r="F5289">
        <v>11413</v>
      </c>
      <c r="G5289" t="s">
        <v>10089</v>
      </c>
      <c r="H5289" t="s">
        <v>10099</v>
      </c>
      <c r="I5289" t="s">
        <v>10168</v>
      </c>
      <c r="J5289" t="s">
        <v>10209</v>
      </c>
      <c r="K5289" t="s">
        <v>10217</v>
      </c>
      <c r="M5289" t="s">
        <v>10529</v>
      </c>
      <c r="N5289" t="s">
        <v>10671</v>
      </c>
      <c r="P5289" t="s">
        <v>10751</v>
      </c>
      <c r="Q5289" t="s">
        <v>10768</v>
      </c>
      <c r="R5289" t="s">
        <v>10824</v>
      </c>
      <c r="T5289">
        <v>21600</v>
      </c>
      <c r="U5289">
        <v>1800</v>
      </c>
      <c r="V5289">
        <v>33</v>
      </c>
      <c r="W5289">
        <v>1</v>
      </c>
      <c r="X5289">
        <v>0</v>
      </c>
      <c r="Z5289">
        <v>172.94</v>
      </c>
      <c r="AA5289">
        <v>0</v>
      </c>
      <c r="AB5289">
        <v>0</v>
      </c>
      <c r="AD5289" t="s">
        <v>10840</v>
      </c>
      <c r="AF5289" t="s">
        <v>10843</v>
      </c>
      <c r="AG5289" t="s">
        <v>10859</v>
      </c>
      <c r="AH5289" t="s">
        <v>10861</v>
      </c>
      <c r="AI5289">
        <v>234</v>
      </c>
      <c r="AJ5289" t="s">
        <v>10214</v>
      </c>
      <c r="AL5289">
        <v>0.5</v>
      </c>
      <c r="AR5289" t="s">
        <v>11303</v>
      </c>
      <c r="AS5289" t="s">
        <v>11594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</row>
    <row r="5290" spans="1:59">
      <c r="A5290" s="1">
        <f>HYPERLINK("https://lsnyc.legalserver.org/matter/dynamic-profile/view/1909532","19-1909532")</f>
        <v>0</v>
      </c>
      <c r="B5290" t="s">
        <v>1222</v>
      </c>
      <c r="C5290" t="s">
        <v>9019</v>
      </c>
      <c r="D5290" t="s">
        <v>9949</v>
      </c>
      <c r="E5290" t="s">
        <v>10075</v>
      </c>
      <c r="F5290">
        <v>11413</v>
      </c>
      <c r="G5290" t="s">
        <v>10092</v>
      </c>
      <c r="H5290" t="s">
        <v>10099</v>
      </c>
      <c r="I5290" t="s">
        <v>10168</v>
      </c>
      <c r="J5290" t="s">
        <v>10212</v>
      </c>
      <c r="K5290" t="s">
        <v>10217</v>
      </c>
      <c r="M5290" t="s">
        <v>10547</v>
      </c>
      <c r="N5290" t="s">
        <v>10671</v>
      </c>
      <c r="P5290" t="s">
        <v>10753</v>
      </c>
      <c r="Q5290" t="s">
        <v>10763</v>
      </c>
      <c r="R5290" t="s">
        <v>10824</v>
      </c>
      <c r="T5290">
        <v>21600</v>
      </c>
      <c r="U5290">
        <v>1800</v>
      </c>
      <c r="V5290">
        <v>33</v>
      </c>
      <c r="W5290">
        <v>1</v>
      </c>
      <c r="X5290">
        <v>0</v>
      </c>
      <c r="Z5290">
        <v>172.94</v>
      </c>
      <c r="AA5290">
        <v>0</v>
      </c>
      <c r="AB5290">
        <v>0</v>
      </c>
      <c r="AD5290" t="s">
        <v>10840</v>
      </c>
      <c r="AF5290" t="s">
        <v>10843</v>
      </c>
      <c r="AG5290" t="s">
        <v>10859</v>
      </c>
      <c r="AH5290" t="s">
        <v>10861</v>
      </c>
      <c r="AI5290">
        <v>234</v>
      </c>
      <c r="AJ5290" t="s">
        <v>10214</v>
      </c>
      <c r="AL5290">
        <v>0.5</v>
      </c>
      <c r="AR5290" t="s">
        <v>11303</v>
      </c>
      <c r="AS5290" t="s">
        <v>11594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</row>
    <row r="5291" spans="1:59">
      <c r="A5291" s="1">
        <f>HYPERLINK("https://lsnyc.legalserver.org/matter/dynamic-profile/view/1909533","19-1909533")</f>
        <v>0</v>
      </c>
      <c r="B5291" t="s">
        <v>4191</v>
      </c>
      <c r="C5291" t="s">
        <v>9023</v>
      </c>
      <c r="D5291" t="s">
        <v>9925</v>
      </c>
      <c r="E5291" t="s">
        <v>10075</v>
      </c>
      <c r="F5291">
        <v>10029</v>
      </c>
      <c r="G5291" t="s">
        <v>10089</v>
      </c>
      <c r="H5291" t="s">
        <v>10099</v>
      </c>
      <c r="I5291" t="s">
        <v>10168</v>
      </c>
      <c r="J5291" t="s">
        <v>10209</v>
      </c>
      <c r="K5291" t="s">
        <v>10217</v>
      </c>
      <c r="M5291" t="s">
        <v>10459</v>
      </c>
      <c r="N5291" t="s">
        <v>10656</v>
      </c>
      <c r="P5291" t="s">
        <v>10751</v>
      </c>
      <c r="Q5291" t="s">
        <v>10768</v>
      </c>
      <c r="R5291" t="s">
        <v>10824</v>
      </c>
      <c r="T5291">
        <v>8568</v>
      </c>
      <c r="U5291">
        <v>714</v>
      </c>
      <c r="V5291">
        <v>37</v>
      </c>
      <c r="W5291">
        <v>1</v>
      </c>
      <c r="X5291">
        <v>6</v>
      </c>
      <c r="Z5291">
        <v>21.96</v>
      </c>
      <c r="AA5291">
        <v>40.796796</v>
      </c>
      <c r="AB5291">
        <v>-73.942274</v>
      </c>
      <c r="AD5291" t="s">
        <v>10839</v>
      </c>
      <c r="AG5291" t="s">
        <v>10858</v>
      </c>
      <c r="AH5291" t="s">
        <v>10861</v>
      </c>
      <c r="AI5291">
        <v>234</v>
      </c>
      <c r="AJ5291" t="s">
        <v>10214</v>
      </c>
      <c r="AL5291">
        <v>2.95</v>
      </c>
      <c r="AM5291" t="s">
        <v>10887</v>
      </c>
      <c r="AN5291" t="s">
        <v>10926</v>
      </c>
      <c r="AO5291" t="s">
        <v>11016</v>
      </c>
      <c r="AP5291" t="s">
        <v>11066</v>
      </c>
      <c r="AR5291" t="s">
        <v>11255</v>
      </c>
      <c r="AS5291" t="s">
        <v>9925</v>
      </c>
      <c r="AT5291" t="s">
        <v>11641</v>
      </c>
      <c r="AX5291" t="s">
        <v>10838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</row>
    <row r="5292" spans="1:59">
      <c r="A5292" s="1">
        <f>HYPERLINK("https://lsnyc.legalserver.org/matter/dynamic-profile/view/1909534","19-1909534")</f>
        <v>0</v>
      </c>
      <c r="B5292" t="s">
        <v>4192</v>
      </c>
      <c r="C5292" t="s">
        <v>9024</v>
      </c>
      <c r="D5292" t="s">
        <v>9926</v>
      </c>
      <c r="E5292" t="s">
        <v>10075</v>
      </c>
      <c r="F5292">
        <v>10471</v>
      </c>
      <c r="G5292" t="s">
        <v>10090</v>
      </c>
      <c r="H5292" t="s">
        <v>10099</v>
      </c>
      <c r="I5292" t="s">
        <v>10168</v>
      </c>
      <c r="J5292" t="s">
        <v>10210</v>
      </c>
      <c r="K5292" t="s">
        <v>10218</v>
      </c>
      <c r="L5292" t="s">
        <v>10116</v>
      </c>
      <c r="M5292" t="s">
        <v>10250</v>
      </c>
      <c r="N5292" t="s">
        <v>10650</v>
      </c>
      <c r="P5292" t="s">
        <v>10749</v>
      </c>
      <c r="Q5292" t="s">
        <v>10765</v>
      </c>
      <c r="R5292" t="s">
        <v>10820</v>
      </c>
      <c r="T5292">
        <v>75000</v>
      </c>
      <c r="U5292">
        <v>6250</v>
      </c>
      <c r="V5292">
        <v>44</v>
      </c>
      <c r="W5292">
        <v>1</v>
      </c>
      <c r="X5292">
        <v>1</v>
      </c>
      <c r="Y5292" t="s">
        <v>10829</v>
      </c>
      <c r="Z5292">
        <v>443.52</v>
      </c>
      <c r="AA5292">
        <v>40.908713</v>
      </c>
      <c r="AB5292">
        <v>-73.897684</v>
      </c>
      <c r="AD5292" t="s">
        <v>10839</v>
      </c>
      <c r="AG5292" t="s">
        <v>10858</v>
      </c>
      <c r="AH5292" t="s">
        <v>10862</v>
      </c>
      <c r="AI5292">
        <v>230</v>
      </c>
      <c r="AJ5292" t="s">
        <v>10210</v>
      </c>
      <c r="AK5292" t="s">
        <v>10882</v>
      </c>
      <c r="AL5292">
        <v>0.4</v>
      </c>
      <c r="AM5292" t="s">
        <v>10893</v>
      </c>
      <c r="AN5292" t="s">
        <v>10919</v>
      </c>
      <c r="AO5292" t="s">
        <v>11002</v>
      </c>
      <c r="AP5292" t="s">
        <v>11057</v>
      </c>
      <c r="AR5292" t="s">
        <v>11257</v>
      </c>
      <c r="AS5292" t="s">
        <v>9926</v>
      </c>
      <c r="AY5292" t="s">
        <v>10829</v>
      </c>
      <c r="AZ5292" t="s">
        <v>11681</v>
      </c>
      <c r="BA5292" t="s">
        <v>11741</v>
      </c>
      <c r="BB5292">
        <v>0</v>
      </c>
      <c r="BC5292">
        <v>0</v>
      </c>
      <c r="BD5292">
        <v>0</v>
      </c>
      <c r="BE5292">
        <v>0</v>
      </c>
      <c r="BF5292">
        <v>1</v>
      </c>
      <c r="BG5292">
        <v>0</v>
      </c>
    </row>
    <row r="5293" spans="1:59">
      <c r="A5293" s="1">
        <f>HYPERLINK("https://lsnyc.legalserver.org/matter/dynamic-profile/view/1909535","19-1909535")</f>
        <v>0</v>
      </c>
      <c r="B5293" t="s">
        <v>4193</v>
      </c>
      <c r="C5293" t="s">
        <v>9025</v>
      </c>
      <c r="D5293" t="s">
        <v>9926</v>
      </c>
      <c r="E5293" t="s">
        <v>10075</v>
      </c>
      <c r="F5293">
        <v>10463</v>
      </c>
      <c r="G5293" t="s">
        <v>10090</v>
      </c>
      <c r="H5293" t="s">
        <v>10099</v>
      </c>
      <c r="I5293" t="s">
        <v>10168</v>
      </c>
      <c r="J5293" t="s">
        <v>10210</v>
      </c>
      <c r="K5293" t="s">
        <v>10218</v>
      </c>
      <c r="L5293" t="s">
        <v>10220</v>
      </c>
      <c r="M5293" t="s">
        <v>10262</v>
      </c>
      <c r="N5293" t="s">
        <v>10666</v>
      </c>
      <c r="P5293" t="s">
        <v>10749</v>
      </c>
      <c r="Q5293" t="s">
        <v>10765</v>
      </c>
      <c r="R5293" t="s">
        <v>10823</v>
      </c>
      <c r="T5293">
        <v>14079</v>
      </c>
      <c r="U5293">
        <v>1173.25</v>
      </c>
      <c r="V5293">
        <v>20</v>
      </c>
      <c r="W5293">
        <v>1</v>
      </c>
      <c r="X5293">
        <v>1</v>
      </c>
      <c r="Y5293" t="s">
        <v>10829</v>
      </c>
      <c r="Z5293">
        <v>83.26000000000001</v>
      </c>
      <c r="AA5293">
        <v>40.882083</v>
      </c>
      <c r="AB5293">
        <v>-73.90438399999999</v>
      </c>
      <c r="AD5293" t="s">
        <v>10839</v>
      </c>
      <c r="AG5293" t="s">
        <v>10858</v>
      </c>
      <c r="AH5293" t="s">
        <v>10861</v>
      </c>
      <c r="AI5293">
        <v>230</v>
      </c>
      <c r="AJ5293" t="s">
        <v>10210</v>
      </c>
      <c r="AK5293" t="s">
        <v>10882</v>
      </c>
      <c r="AL5293">
        <v>0.6</v>
      </c>
      <c r="AR5293" t="s">
        <v>11459</v>
      </c>
      <c r="AS5293" t="s">
        <v>9926</v>
      </c>
      <c r="AT5293" t="s">
        <v>11641</v>
      </c>
      <c r="AX5293" t="s">
        <v>10838</v>
      </c>
      <c r="AY5293" t="s">
        <v>10829</v>
      </c>
      <c r="AZ5293" t="s">
        <v>11681</v>
      </c>
      <c r="BA5293" t="s">
        <v>11741</v>
      </c>
      <c r="BB5293">
        <v>0</v>
      </c>
      <c r="BC5293">
        <v>0</v>
      </c>
      <c r="BD5293">
        <v>0</v>
      </c>
      <c r="BE5293">
        <v>0</v>
      </c>
      <c r="BF5293">
        <v>1</v>
      </c>
      <c r="BG5293">
        <v>0</v>
      </c>
    </row>
    <row r="5294" spans="1:59">
      <c r="A5294" s="1">
        <f>HYPERLINK("https://lsnyc.legalserver.org/matter/dynamic-profile/view/1909536","19-1909536")</f>
        <v>0</v>
      </c>
      <c r="B5294" t="s">
        <v>4194</v>
      </c>
      <c r="C5294" t="s">
        <v>5279</v>
      </c>
      <c r="D5294" t="s">
        <v>9926</v>
      </c>
      <c r="E5294" t="s">
        <v>10075</v>
      </c>
      <c r="F5294">
        <v>10468</v>
      </c>
      <c r="G5294" t="s">
        <v>10090</v>
      </c>
      <c r="H5294" t="s">
        <v>10099</v>
      </c>
      <c r="I5294" t="s">
        <v>10168</v>
      </c>
      <c r="J5294" t="s">
        <v>10210</v>
      </c>
      <c r="K5294" t="s">
        <v>10218</v>
      </c>
      <c r="L5294" t="s">
        <v>10162</v>
      </c>
      <c r="M5294" t="s">
        <v>10336</v>
      </c>
      <c r="N5294" t="s">
        <v>10671</v>
      </c>
      <c r="P5294" t="s">
        <v>10754</v>
      </c>
      <c r="Q5294" t="s">
        <v>10770</v>
      </c>
      <c r="R5294" t="s">
        <v>10824</v>
      </c>
      <c r="T5294">
        <v>18720</v>
      </c>
      <c r="U5294">
        <v>1560</v>
      </c>
      <c r="V5294">
        <v>64</v>
      </c>
      <c r="W5294">
        <v>1</v>
      </c>
      <c r="X5294">
        <v>0</v>
      </c>
      <c r="Y5294" t="s">
        <v>10829</v>
      </c>
      <c r="Z5294">
        <v>149.88</v>
      </c>
      <c r="AA5294">
        <v>40.863595</v>
      </c>
      <c r="AB5294">
        <v>-73.89726400000001</v>
      </c>
      <c r="AD5294" t="s">
        <v>10840</v>
      </c>
      <c r="AG5294" t="s">
        <v>10858</v>
      </c>
      <c r="AH5294" t="s">
        <v>10861</v>
      </c>
      <c r="AI5294">
        <v>234</v>
      </c>
      <c r="AJ5294" t="s">
        <v>10214</v>
      </c>
      <c r="AK5294" t="s">
        <v>10882</v>
      </c>
      <c r="AL5294">
        <v>1.5</v>
      </c>
      <c r="AM5294" t="s">
        <v>10887</v>
      </c>
      <c r="AN5294" t="s">
        <v>10907</v>
      </c>
      <c r="AO5294" t="s">
        <v>11000</v>
      </c>
      <c r="AP5294" t="s">
        <v>11045</v>
      </c>
      <c r="AR5294" t="s">
        <v>11257</v>
      </c>
      <c r="AS5294" t="s">
        <v>9926</v>
      </c>
      <c r="AT5294" t="s">
        <v>11642</v>
      </c>
      <c r="AX5294" t="s">
        <v>10838</v>
      </c>
      <c r="AY5294" t="s">
        <v>10829</v>
      </c>
      <c r="AZ5294" t="s">
        <v>11683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</row>
    <row r="5295" spans="1:59">
      <c r="A5295" s="1">
        <f>HYPERLINK("https://lsnyc.legalserver.org/matter/dynamic-profile/view/1909537","19-1909537")</f>
        <v>0</v>
      </c>
      <c r="B5295" t="s">
        <v>4195</v>
      </c>
      <c r="C5295" t="s">
        <v>9026</v>
      </c>
      <c r="D5295" t="s">
        <v>9926</v>
      </c>
      <c r="E5295" t="s">
        <v>10075</v>
      </c>
      <c r="F5295">
        <v>10456</v>
      </c>
      <c r="G5295" t="s">
        <v>10090</v>
      </c>
      <c r="H5295" t="s">
        <v>10099</v>
      </c>
      <c r="I5295" t="s">
        <v>10168</v>
      </c>
      <c r="J5295" t="s">
        <v>10210</v>
      </c>
      <c r="K5295" t="s">
        <v>10217</v>
      </c>
      <c r="M5295" t="s">
        <v>10495</v>
      </c>
      <c r="N5295" t="s">
        <v>10658</v>
      </c>
      <c r="P5295" t="s">
        <v>10749</v>
      </c>
      <c r="Q5295" t="s">
        <v>10769</v>
      </c>
      <c r="R5295" t="s">
        <v>10824</v>
      </c>
      <c r="T5295">
        <v>80000</v>
      </c>
      <c r="U5295">
        <v>6666.67</v>
      </c>
      <c r="V5295">
        <v>64</v>
      </c>
      <c r="W5295">
        <v>1</v>
      </c>
      <c r="X5295">
        <v>0</v>
      </c>
      <c r="Z5295">
        <v>640.51</v>
      </c>
      <c r="AA5295">
        <v>40.833395</v>
      </c>
      <c r="AB5295">
        <v>-73.899502</v>
      </c>
      <c r="AD5295" t="s">
        <v>10840</v>
      </c>
      <c r="AG5295" t="s">
        <v>10858</v>
      </c>
      <c r="AH5295" t="s">
        <v>10860</v>
      </c>
      <c r="AI5295">
        <v>230</v>
      </c>
      <c r="AJ5295" t="s">
        <v>10210</v>
      </c>
      <c r="AL5295">
        <v>3.5</v>
      </c>
      <c r="AM5295" t="s">
        <v>10884</v>
      </c>
      <c r="AN5295" t="s">
        <v>10918</v>
      </c>
      <c r="AO5295" t="s">
        <v>11000</v>
      </c>
      <c r="AP5295" t="s">
        <v>11055</v>
      </c>
      <c r="AQ5295" t="s">
        <v>11199</v>
      </c>
      <c r="AR5295" t="s">
        <v>11256</v>
      </c>
      <c r="AS5295" t="s">
        <v>9926</v>
      </c>
      <c r="AT5295" t="s">
        <v>11642</v>
      </c>
      <c r="AX5295" t="s">
        <v>10838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</row>
    <row r="5296" spans="1:59">
      <c r="A5296" s="1">
        <f>HYPERLINK("https://lsnyc.legalserver.org/matter/dynamic-profile/view/1909538","19-1909538")</f>
        <v>0</v>
      </c>
      <c r="B5296" t="s">
        <v>4196</v>
      </c>
      <c r="C5296" t="s">
        <v>9027</v>
      </c>
      <c r="D5296" t="s">
        <v>9928</v>
      </c>
      <c r="E5296" t="s">
        <v>10075</v>
      </c>
      <c r="F5296">
        <v>11223</v>
      </c>
      <c r="G5296" t="s">
        <v>10089</v>
      </c>
      <c r="H5296" t="s">
        <v>10099</v>
      </c>
      <c r="I5296" t="s">
        <v>10168</v>
      </c>
      <c r="J5296" t="s">
        <v>10209</v>
      </c>
      <c r="K5296" t="s">
        <v>10217</v>
      </c>
      <c r="M5296" t="s">
        <v>10503</v>
      </c>
      <c r="N5296" t="s">
        <v>10673</v>
      </c>
      <c r="P5296" t="s">
        <v>10754</v>
      </c>
      <c r="Q5296" t="s">
        <v>10775</v>
      </c>
      <c r="R5296" t="s">
        <v>10820</v>
      </c>
      <c r="T5296">
        <v>0</v>
      </c>
      <c r="U5296">
        <v>0</v>
      </c>
      <c r="V5296">
        <v>32</v>
      </c>
      <c r="W5296">
        <v>1</v>
      </c>
      <c r="X5296">
        <v>1</v>
      </c>
      <c r="Z5296">
        <v>0</v>
      </c>
      <c r="AA5296">
        <v>40.585581</v>
      </c>
      <c r="AB5296">
        <v>-73.96964199999999</v>
      </c>
      <c r="AD5296" t="s">
        <v>10839</v>
      </c>
      <c r="AF5296" t="s">
        <v>10843</v>
      </c>
      <c r="AG5296" t="s">
        <v>10859</v>
      </c>
      <c r="AH5296" t="s">
        <v>10864</v>
      </c>
      <c r="AI5296">
        <v>236</v>
      </c>
      <c r="AJ5296" t="s">
        <v>10209</v>
      </c>
      <c r="AL5296">
        <v>0.75</v>
      </c>
      <c r="AM5296" t="s">
        <v>10883</v>
      </c>
      <c r="AN5296" t="s">
        <v>10960</v>
      </c>
      <c r="AO5296" t="s">
        <v>11006</v>
      </c>
      <c r="AP5296" t="s">
        <v>11087</v>
      </c>
      <c r="AR5296" t="s">
        <v>11267</v>
      </c>
      <c r="AS5296" t="s">
        <v>11595</v>
      </c>
      <c r="BA5296" t="s">
        <v>11738</v>
      </c>
      <c r="BB5296">
        <v>0</v>
      </c>
      <c r="BC5296">
        <v>0</v>
      </c>
      <c r="BD5296">
        <v>0</v>
      </c>
      <c r="BE5296">
        <v>0</v>
      </c>
      <c r="BF5296">
        <v>5</v>
      </c>
      <c r="BG5296">
        <v>0</v>
      </c>
    </row>
    <row r="5297" spans="1:59">
      <c r="A5297" s="1">
        <f>HYPERLINK("https://lsnyc.legalserver.org/matter/dynamic-profile/view/1909539","19-1909539")</f>
        <v>0</v>
      </c>
      <c r="B5297" t="s">
        <v>4197</v>
      </c>
      <c r="C5297" t="s">
        <v>7497</v>
      </c>
      <c r="D5297" t="s">
        <v>9925</v>
      </c>
      <c r="E5297" t="s">
        <v>10075</v>
      </c>
      <c r="F5297">
        <v>10025</v>
      </c>
      <c r="G5297" t="s">
        <v>10091</v>
      </c>
      <c r="H5297" t="s">
        <v>10099</v>
      </c>
      <c r="I5297" t="s">
        <v>10168</v>
      </c>
      <c r="J5297" t="s">
        <v>10214</v>
      </c>
      <c r="K5297" t="s">
        <v>10217</v>
      </c>
      <c r="M5297" t="s">
        <v>10286</v>
      </c>
      <c r="N5297" t="s">
        <v>10671</v>
      </c>
      <c r="P5297" t="s">
        <v>10749</v>
      </c>
      <c r="Q5297" t="s">
        <v>10765</v>
      </c>
      <c r="R5297" t="s">
        <v>10821</v>
      </c>
      <c r="T5297">
        <v>10400</v>
      </c>
      <c r="U5297">
        <v>866.67</v>
      </c>
      <c r="V5297">
        <v>27</v>
      </c>
      <c r="W5297">
        <v>1</v>
      </c>
      <c r="X5297">
        <v>0</v>
      </c>
      <c r="Z5297">
        <v>83.27</v>
      </c>
      <c r="AA5297">
        <v>40.792478</v>
      </c>
      <c r="AB5297">
        <v>-73.97212</v>
      </c>
      <c r="AD5297" t="s">
        <v>10839</v>
      </c>
      <c r="AG5297" t="s">
        <v>10858</v>
      </c>
      <c r="AH5297" t="s">
        <v>10871</v>
      </c>
      <c r="AI5297">
        <v>234</v>
      </c>
      <c r="AJ5297" t="s">
        <v>10214</v>
      </c>
      <c r="AL5297">
        <v>0.5</v>
      </c>
      <c r="AM5297" t="s">
        <v>10894</v>
      </c>
      <c r="AN5297" t="s">
        <v>10953</v>
      </c>
      <c r="AO5297" t="s">
        <v>11016</v>
      </c>
      <c r="AP5297" t="s">
        <v>11089</v>
      </c>
      <c r="AR5297" t="s">
        <v>11257</v>
      </c>
      <c r="AS5297" t="s">
        <v>9925</v>
      </c>
      <c r="AT5297" t="s">
        <v>11641</v>
      </c>
      <c r="AX5297" t="s">
        <v>10838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</row>
    <row r="5298" spans="1:59">
      <c r="A5298" s="1">
        <f>HYPERLINK("https://lsnyc.legalserver.org/matter/dynamic-profile/view/1909540","19-1909540")</f>
        <v>0</v>
      </c>
      <c r="B5298" t="s">
        <v>4198</v>
      </c>
      <c r="C5298" t="s">
        <v>9028</v>
      </c>
      <c r="D5298" t="s">
        <v>9928</v>
      </c>
      <c r="E5298" t="s">
        <v>10075</v>
      </c>
      <c r="F5298">
        <v>11235</v>
      </c>
      <c r="G5298" t="s">
        <v>10093</v>
      </c>
      <c r="H5298" t="s">
        <v>10099</v>
      </c>
      <c r="I5298" t="s">
        <v>10168</v>
      </c>
      <c r="J5298" t="s">
        <v>10213</v>
      </c>
      <c r="K5298" t="s">
        <v>10217</v>
      </c>
      <c r="M5298" t="s">
        <v>10315</v>
      </c>
      <c r="N5298" t="s">
        <v>10686</v>
      </c>
      <c r="P5298" t="s">
        <v>10750</v>
      </c>
      <c r="Q5298" t="s">
        <v>10778</v>
      </c>
      <c r="R5298" t="s">
        <v>10820</v>
      </c>
      <c r="T5298">
        <v>20628</v>
      </c>
      <c r="U5298">
        <v>1719</v>
      </c>
      <c r="V5298">
        <v>65</v>
      </c>
      <c r="W5298">
        <v>1</v>
      </c>
      <c r="X5298">
        <v>0</v>
      </c>
      <c r="Z5298">
        <v>165.16</v>
      </c>
      <c r="AA5298">
        <v>40.584316</v>
      </c>
      <c r="AB5298">
        <v>-73.956647</v>
      </c>
      <c r="AD5298" t="s">
        <v>10839</v>
      </c>
      <c r="AG5298" t="s">
        <v>10858</v>
      </c>
      <c r="AH5298" t="s">
        <v>10861</v>
      </c>
      <c r="AI5298">
        <v>234</v>
      </c>
      <c r="AJ5298" t="s">
        <v>10214</v>
      </c>
      <c r="AL5298">
        <v>4.35</v>
      </c>
      <c r="AM5298" t="s">
        <v>10889</v>
      </c>
      <c r="AN5298" t="s">
        <v>10965</v>
      </c>
      <c r="AO5298" t="s">
        <v>11006</v>
      </c>
      <c r="AP5298" t="s">
        <v>11092</v>
      </c>
      <c r="AR5298" t="s">
        <v>11298</v>
      </c>
      <c r="AS5298" t="s">
        <v>11595</v>
      </c>
      <c r="AT5298" t="s">
        <v>11641</v>
      </c>
      <c r="AX5298" t="s">
        <v>10838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</row>
    <row r="5299" spans="1:59">
      <c r="A5299" s="1">
        <f>HYPERLINK("https://lsnyc.legalserver.org/matter/dynamic-profile/view/1909541","19-1909541")</f>
        <v>0</v>
      </c>
      <c r="B5299" t="s">
        <v>4199</v>
      </c>
      <c r="C5299" t="s">
        <v>9029</v>
      </c>
      <c r="D5299" t="s">
        <v>9928</v>
      </c>
      <c r="E5299" t="s">
        <v>10075</v>
      </c>
      <c r="F5299">
        <v>11218</v>
      </c>
      <c r="G5299" t="s">
        <v>10092</v>
      </c>
      <c r="H5299" t="s">
        <v>10099</v>
      </c>
      <c r="I5299" t="s">
        <v>10188</v>
      </c>
      <c r="J5299" t="s">
        <v>10212</v>
      </c>
      <c r="K5299" t="s">
        <v>10217</v>
      </c>
      <c r="M5299" t="s">
        <v>10527</v>
      </c>
      <c r="N5299" t="s">
        <v>10671</v>
      </c>
      <c r="P5299" t="s">
        <v>10755</v>
      </c>
      <c r="Q5299" t="s">
        <v>10772</v>
      </c>
      <c r="R5299" t="s">
        <v>10827</v>
      </c>
      <c r="T5299">
        <v>31800</v>
      </c>
      <c r="U5299">
        <v>2650</v>
      </c>
      <c r="V5299">
        <v>5</v>
      </c>
      <c r="W5299">
        <v>2</v>
      </c>
      <c r="X5299">
        <v>2</v>
      </c>
      <c r="Z5299">
        <v>123.5</v>
      </c>
      <c r="AA5299">
        <v>40.643979</v>
      </c>
      <c r="AB5299">
        <v>-73.98192400000001</v>
      </c>
      <c r="AD5299" t="s">
        <v>10840</v>
      </c>
      <c r="AG5299" t="s">
        <v>10858</v>
      </c>
      <c r="AH5299" t="s">
        <v>10877</v>
      </c>
      <c r="AI5299">
        <v>237</v>
      </c>
      <c r="AJ5299" t="s">
        <v>10212</v>
      </c>
      <c r="AL5299">
        <v>1.25</v>
      </c>
      <c r="AM5299" t="s">
        <v>10894</v>
      </c>
      <c r="AN5299" t="s">
        <v>10941</v>
      </c>
      <c r="AO5299" t="s">
        <v>11008</v>
      </c>
      <c r="AP5299" t="s">
        <v>11059</v>
      </c>
      <c r="AR5299" t="s">
        <v>11257</v>
      </c>
      <c r="AS5299" t="s">
        <v>11595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</row>
    <row r="5300" spans="1:59">
      <c r="A5300" s="1">
        <f>HYPERLINK("https://lsnyc.legalserver.org/matter/dynamic-profile/view/1909542","19-1909542")</f>
        <v>0</v>
      </c>
      <c r="B5300" t="s">
        <v>2835</v>
      </c>
      <c r="C5300" t="s">
        <v>9030</v>
      </c>
      <c r="D5300" t="s">
        <v>9938</v>
      </c>
      <c r="E5300" t="s">
        <v>10075</v>
      </c>
      <c r="F5300">
        <v>11435</v>
      </c>
      <c r="G5300" t="s">
        <v>10092</v>
      </c>
      <c r="H5300" t="s">
        <v>10099</v>
      </c>
      <c r="I5300" t="s">
        <v>10168</v>
      </c>
      <c r="J5300" t="s">
        <v>10212</v>
      </c>
      <c r="K5300" t="s">
        <v>10217</v>
      </c>
      <c r="M5300" t="s">
        <v>10475</v>
      </c>
      <c r="N5300" t="s">
        <v>10650</v>
      </c>
      <c r="P5300" t="s">
        <v>10749</v>
      </c>
      <c r="Q5300" t="s">
        <v>10765</v>
      </c>
      <c r="R5300" t="s">
        <v>10824</v>
      </c>
      <c r="T5300">
        <v>0</v>
      </c>
      <c r="U5300">
        <v>0</v>
      </c>
      <c r="V5300">
        <v>29</v>
      </c>
      <c r="W5300">
        <v>1</v>
      </c>
      <c r="X5300">
        <v>3</v>
      </c>
      <c r="Z5300">
        <v>0</v>
      </c>
      <c r="AA5300">
        <v>40.69236</v>
      </c>
      <c r="AB5300">
        <v>-73.80317599999999</v>
      </c>
      <c r="AD5300" t="s">
        <v>10839</v>
      </c>
      <c r="AG5300" t="s">
        <v>10858</v>
      </c>
      <c r="AH5300" t="s">
        <v>10862</v>
      </c>
      <c r="AI5300">
        <v>237</v>
      </c>
      <c r="AJ5300" t="s">
        <v>10212</v>
      </c>
      <c r="AL5300">
        <v>0.6</v>
      </c>
      <c r="AM5300" t="s">
        <v>10892</v>
      </c>
      <c r="AN5300" t="s">
        <v>10951</v>
      </c>
      <c r="AO5300" t="s">
        <v>11020</v>
      </c>
      <c r="AP5300" t="s">
        <v>11070</v>
      </c>
      <c r="AR5300" t="s">
        <v>11267</v>
      </c>
      <c r="AS5300" t="s">
        <v>11594</v>
      </c>
      <c r="BA5300" t="s">
        <v>11738</v>
      </c>
      <c r="BB5300">
        <v>0</v>
      </c>
      <c r="BC5300">
        <v>0</v>
      </c>
      <c r="BD5300">
        <v>0</v>
      </c>
      <c r="BE5300">
        <v>0</v>
      </c>
      <c r="BF5300">
        <v>5</v>
      </c>
      <c r="BG5300">
        <v>0</v>
      </c>
    </row>
    <row r="5301" spans="1:59">
      <c r="A5301" s="1">
        <f>HYPERLINK("https://lsnyc.legalserver.org/matter/dynamic-profile/view/1909543","19-1909543")</f>
        <v>0</v>
      </c>
      <c r="B5301" t="s">
        <v>4200</v>
      </c>
      <c r="C5301" t="s">
        <v>8869</v>
      </c>
      <c r="D5301" t="s">
        <v>9931</v>
      </c>
      <c r="E5301" t="s">
        <v>10075</v>
      </c>
      <c r="F5301">
        <v>11355</v>
      </c>
      <c r="G5301" t="s">
        <v>10092</v>
      </c>
      <c r="H5301" t="s">
        <v>10099</v>
      </c>
      <c r="I5301" t="s">
        <v>10181</v>
      </c>
      <c r="J5301" t="s">
        <v>10212</v>
      </c>
      <c r="K5301" t="s">
        <v>10217</v>
      </c>
      <c r="M5301" t="s">
        <v>10566</v>
      </c>
      <c r="N5301" t="s">
        <v>10650</v>
      </c>
      <c r="P5301" t="s">
        <v>10749</v>
      </c>
      <c r="Q5301" t="s">
        <v>10765</v>
      </c>
      <c r="R5301" t="s">
        <v>10827</v>
      </c>
      <c r="T5301">
        <v>2196</v>
      </c>
      <c r="U5301">
        <v>183</v>
      </c>
      <c r="V5301">
        <v>61</v>
      </c>
      <c r="W5301">
        <v>1</v>
      </c>
      <c r="X5301">
        <v>0</v>
      </c>
      <c r="Z5301">
        <v>17.58</v>
      </c>
      <c r="AA5301">
        <v>40.756419</v>
      </c>
      <c r="AB5301">
        <v>-73.822746</v>
      </c>
      <c r="AD5301" t="s">
        <v>10840</v>
      </c>
      <c r="AG5301" t="s">
        <v>10858</v>
      </c>
      <c r="AH5301" t="s">
        <v>10862</v>
      </c>
      <c r="AI5301">
        <v>237</v>
      </c>
      <c r="AJ5301" t="s">
        <v>10212</v>
      </c>
      <c r="AL5301">
        <v>20</v>
      </c>
      <c r="AM5301" t="s">
        <v>10890</v>
      </c>
      <c r="AN5301" t="s">
        <v>10927</v>
      </c>
      <c r="AO5301" t="s">
        <v>11009</v>
      </c>
      <c r="AP5301" t="s">
        <v>11067</v>
      </c>
      <c r="AR5301" t="s">
        <v>11306</v>
      </c>
      <c r="AS5301" t="s">
        <v>11594</v>
      </c>
      <c r="BA5301" t="s">
        <v>11738</v>
      </c>
      <c r="BB5301">
        <v>0</v>
      </c>
      <c r="BC5301">
        <v>0</v>
      </c>
      <c r="BD5301">
        <v>0</v>
      </c>
      <c r="BE5301">
        <v>0</v>
      </c>
      <c r="BF5301">
        <v>5</v>
      </c>
      <c r="BG5301">
        <v>0</v>
      </c>
    </row>
    <row r="5302" spans="1:59">
      <c r="A5302" s="1">
        <f>HYPERLINK("https://lsnyc.legalserver.org/matter/dynamic-profile/view/1909544","19-1909544")</f>
        <v>0</v>
      </c>
      <c r="B5302" t="s">
        <v>4201</v>
      </c>
      <c r="C5302" t="s">
        <v>9031</v>
      </c>
      <c r="D5302" t="s">
        <v>9928</v>
      </c>
      <c r="E5302" t="s">
        <v>10075</v>
      </c>
      <c r="F5302">
        <v>11208</v>
      </c>
      <c r="G5302" t="s">
        <v>10093</v>
      </c>
      <c r="H5302" t="s">
        <v>10163</v>
      </c>
      <c r="I5302" t="s">
        <v>10169</v>
      </c>
      <c r="J5302" t="s">
        <v>10213</v>
      </c>
      <c r="K5302" t="s">
        <v>10217</v>
      </c>
      <c r="M5302" t="s">
        <v>10628</v>
      </c>
      <c r="N5302" t="s">
        <v>10667</v>
      </c>
      <c r="P5302" t="s">
        <v>10749</v>
      </c>
      <c r="Q5302" t="s">
        <v>10767</v>
      </c>
      <c r="R5302" t="s">
        <v>10821</v>
      </c>
      <c r="T5302">
        <v>6480</v>
      </c>
      <c r="U5302">
        <v>540</v>
      </c>
      <c r="V5302">
        <v>69</v>
      </c>
      <c r="W5302">
        <v>1</v>
      </c>
      <c r="X5302">
        <v>0</v>
      </c>
      <c r="Z5302">
        <v>51.88</v>
      </c>
      <c r="AA5302">
        <v>40.683898</v>
      </c>
      <c r="AB5302">
        <v>-73.875389</v>
      </c>
      <c r="AD5302" t="s">
        <v>10840</v>
      </c>
      <c r="AF5302" t="s">
        <v>10843</v>
      </c>
      <c r="AG5302" t="s">
        <v>10859</v>
      </c>
      <c r="AH5302" t="s">
        <v>10862</v>
      </c>
      <c r="AI5302">
        <v>236</v>
      </c>
      <c r="AJ5302" t="s">
        <v>10209</v>
      </c>
      <c r="AL5302">
        <v>16.05</v>
      </c>
      <c r="AM5302" t="s">
        <v>10886</v>
      </c>
      <c r="AN5302" t="s">
        <v>10920</v>
      </c>
      <c r="AO5302" t="s">
        <v>11011</v>
      </c>
      <c r="AP5302" t="s">
        <v>11058</v>
      </c>
      <c r="AR5302" t="s">
        <v>11253</v>
      </c>
      <c r="AS5302" t="s">
        <v>11595</v>
      </c>
      <c r="AT5302" t="s">
        <v>11642</v>
      </c>
      <c r="AX5302" t="s">
        <v>10838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</row>
    <row r="5303" spans="1:59">
      <c r="A5303" s="1">
        <f>HYPERLINK("https://lsnyc.legalserver.org/matter/dynamic-profile/view/1909545","19-1909545")</f>
        <v>0</v>
      </c>
      <c r="B5303" t="s">
        <v>2895</v>
      </c>
      <c r="C5303" t="s">
        <v>9032</v>
      </c>
      <c r="D5303" t="s">
        <v>9928</v>
      </c>
      <c r="E5303" t="s">
        <v>10075</v>
      </c>
      <c r="F5303">
        <v>11208</v>
      </c>
      <c r="G5303" t="s">
        <v>10091</v>
      </c>
      <c r="H5303" t="s">
        <v>10099</v>
      </c>
      <c r="I5303" t="s">
        <v>10168</v>
      </c>
      <c r="J5303" t="s">
        <v>10214</v>
      </c>
      <c r="K5303" t="s">
        <v>10217</v>
      </c>
      <c r="M5303" t="s">
        <v>10286</v>
      </c>
      <c r="N5303" t="s">
        <v>10671</v>
      </c>
      <c r="P5303" t="s">
        <v>10751</v>
      </c>
      <c r="Q5303" t="s">
        <v>10768</v>
      </c>
      <c r="R5303" t="s">
        <v>10824</v>
      </c>
      <c r="T5303">
        <v>3198</v>
      </c>
      <c r="U5303">
        <v>266.5</v>
      </c>
      <c r="V5303">
        <v>51</v>
      </c>
      <c r="W5303">
        <v>1</v>
      </c>
      <c r="X5303">
        <v>0</v>
      </c>
      <c r="Z5303">
        <v>25.6</v>
      </c>
      <c r="AA5303">
        <v>0</v>
      </c>
      <c r="AB5303">
        <v>0</v>
      </c>
      <c r="AD5303" t="s">
        <v>10840</v>
      </c>
      <c r="AG5303" t="s">
        <v>10858</v>
      </c>
      <c r="AH5303" t="s">
        <v>10871</v>
      </c>
      <c r="AI5303">
        <v>234</v>
      </c>
      <c r="AJ5303" t="s">
        <v>10214</v>
      </c>
      <c r="AL5303">
        <v>0.5</v>
      </c>
      <c r="AR5303" t="s">
        <v>11311</v>
      </c>
      <c r="AS5303" t="s">
        <v>11595</v>
      </c>
      <c r="AT5303" t="s">
        <v>11642</v>
      </c>
      <c r="AX5303" t="s">
        <v>10838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</row>
    <row r="5304" spans="1:59">
      <c r="A5304" s="1">
        <f>HYPERLINK("https://lsnyc.legalserver.org/matter/dynamic-profile/view/1909547","19-1909547")</f>
        <v>0</v>
      </c>
      <c r="B5304" t="s">
        <v>4202</v>
      </c>
      <c r="D5304" t="s">
        <v>9928</v>
      </c>
      <c r="E5304" t="s">
        <v>10075</v>
      </c>
      <c r="F5304">
        <v>11215</v>
      </c>
      <c r="G5304" t="s">
        <v>10093</v>
      </c>
      <c r="H5304" t="s">
        <v>10099</v>
      </c>
      <c r="I5304" t="s">
        <v>10170</v>
      </c>
      <c r="J5304" t="s">
        <v>10213</v>
      </c>
      <c r="K5304" t="s">
        <v>10218</v>
      </c>
      <c r="L5304" t="s">
        <v>10158</v>
      </c>
      <c r="M5304" t="s">
        <v>10264</v>
      </c>
      <c r="N5304" t="s">
        <v>10657</v>
      </c>
      <c r="P5304" t="s">
        <v>10749</v>
      </c>
      <c r="Q5304" t="s">
        <v>10765</v>
      </c>
      <c r="R5304" t="s">
        <v>10824</v>
      </c>
      <c r="T5304">
        <v>50000</v>
      </c>
      <c r="U5304">
        <v>4166.67</v>
      </c>
      <c r="V5304">
        <v>33</v>
      </c>
      <c r="W5304">
        <v>1</v>
      </c>
      <c r="X5304">
        <v>0</v>
      </c>
      <c r="Y5304" t="s">
        <v>10830</v>
      </c>
      <c r="Z5304">
        <v>400.32</v>
      </c>
      <c r="AA5304">
        <v>0</v>
      </c>
      <c r="AB5304">
        <v>0</v>
      </c>
      <c r="AD5304" t="s">
        <v>10839</v>
      </c>
      <c r="AF5304" t="s">
        <v>10843</v>
      </c>
      <c r="AG5304" t="s">
        <v>10859</v>
      </c>
      <c r="AH5304" t="s">
        <v>10862</v>
      </c>
      <c r="AI5304">
        <v>239</v>
      </c>
      <c r="AJ5304" t="s">
        <v>10213</v>
      </c>
      <c r="AK5304" t="s">
        <v>10838</v>
      </c>
      <c r="AL5304">
        <v>1.7</v>
      </c>
      <c r="AQ5304" t="s">
        <v>11203</v>
      </c>
      <c r="AR5304" t="s">
        <v>11276</v>
      </c>
      <c r="AS5304" t="s">
        <v>11595</v>
      </c>
      <c r="AY5304" t="s">
        <v>10830</v>
      </c>
      <c r="AZ5304" t="s">
        <v>11690</v>
      </c>
      <c r="BA5304" t="s">
        <v>11741</v>
      </c>
      <c r="BB5304">
        <v>0</v>
      </c>
      <c r="BC5304">
        <v>0</v>
      </c>
      <c r="BD5304">
        <v>0</v>
      </c>
      <c r="BE5304">
        <v>0</v>
      </c>
      <c r="BF5304">
        <v>1</v>
      </c>
      <c r="BG5304">
        <v>0</v>
      </c>
    </row>
    <row r="5305" spans="1:59">
      <c r="A5305" s="1">
        <f>HYPERLINK("https://lsnyc.legalserver.org/matter/dynamic-profile/view/1909548","19-1909548")</f>
        <v>0</v>
      </c>
      <c r="B5305" t="s">
        <v>2956</v>
      </c>
      <c r="C5305" t="s">
        <v>9033</v>
      </c>
      <c r="D5305" t="s">
        <v>9928</v>
      </c>
      <c r="E5305" t="s">
        <v>10075</v>
      </c>
      <c r="F5305">
        <v>11236</v>
      </c>
      <c r="G5305" t="s">
        <v>10093</v>
      </c>
      <c r="H5305" t="s">
        <v>10099</v>
      </c>
      <c r="J5305" t="s">
        <v>10213</v>
      </c>
      <c r="K5305" t="s">
        <v>10217</v>
      </c>
      <c r="M5305" t="s">
        <v>10356</v>
      </c>
      <c r="N5305" t="s">
        <v>10673</v>
      </c>
      <c r="P5305" t="s">
        <v>10753</v>
      </c>
      <c r="Q5305" t="s">
        <v>10763</v>
      </c>
      <c r="R5305" t="s">
        <v>10824</v>
      </c>
      <c r="T5305">
        <v>2340</v>
      </c>
      <c r="U5305">
        <v>195</v>
      </c>
      <c r="V5305">
        <v>32</v>
      </c>
      <c r="W5305">
        <v>1</v>
      </c>
      <c r="X5305">
        <v>0</v>
      </c>
      <c r="Z5305">
        <v>18.73</v>
      </c>
      <c r="AA5305">
        <v>40.643678</v>
      </c>
      <c r="AB5305">
        <v>-73.903874</v>
      </c>
      <c r="AD5305" t="s">
        <v>10840</v>
      </c>
      <c r="AF5305" t="s">
        <v>10843</v>
      </c>
      <c r="AG5305" t="s">
        <v>10859</v>
      </c>
      <c r="AH5305" t="s">
        <v>10864</v>
      </c>
      <c r="AI5305">
        <v>239</v>
      </c>
      <c r="AJ5305" t="s">
        <v>10213</v>
      </c>
      <c r="AL5305">
        <v>1.3</v>
      </c>
      <c r="AM5305" t="s">
        <v>10889</v>
      </c>
      <c r="AN5305" t="s">
        <v>10959</v>
      </c>
      <c r="AO5305" t="s">
        <v>11012</v>
      </c>
      <c r="AP5305" t="s">
        <v>11072</v>
      </c>
      <c r="AQ5305" t="s">
        <v>11131</v>
      </c>
      <c r="AR5305" t="s">
        <v>11273</v>
      </c>
      <c r="AS5305" t="s">
        <v>11595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</row>
    <row r="5306" spans="1:59">
      <c r="A5306" s="1">
        <f>HYPERLINK("https://lsnyc.legalserver.org/matter/dynamic-profile/view/1909549","19-1909549")</f>
        <v>0</v>
      </c>
      <c r="B5306" t="s">
        <v>4203</v>
      </c>
      <c r="C5306" t="s">
        <v>9034</v>
      </c>
      <c r="D5306" t="s">
        <v>9926</v>
      </c>
      <c r="E5306" t="s">
        <v>10075</v>
      </c>
      <c r="F5306">
        <v>10452</v>
      </c>
      <c r="G5306" t="s">
        <v>10090</v>
      </c>
      <c r="H5306" t="s">
        <v>10099</v>
      </c>
      <c r="I5306" t="s">
        <v>10168</v>
      </c>
      <c r="J5306" t="s">
        <v>10210</v>
      </c>
      <c r="K5306" t="s">
        <v>10217</v>
      </c>
      <c r="M5306" t="s">
        <v>10513</v>
      </c>
      <c r="N5306" t="s">
        <v>10650</v>
      </c>
      <c r="P5306" t="s">
        <v>10749</v>
      </c>
      <c r="Q5306" t="s">
        <v>10765</v>
      </c>
      <c r="R5306" t="s">
        <v>10824</v>
      </c>
      <c r="T5306">
        <v>31200</v>
      </c>
      <c r="U5306">
        <v>2600</v>
      </c>
      <c r="V5306">
        <v>51</v>
      </c>
      <c r="W5306">
        <v>2</v>
      </c>
      <c r="X5306">
        <v>2</v>
      </c>
      <c r="Z5306">
        <v>121.17</v>
      </c>
      <c r="AA5306">
        <v>40.831636</v>
      </c>
      <c r="AB5306">
        <v>-73.930448</v>
      </c>
      <c r="AC5306" t="s">
        <v>10837</v>
      </c>
      <c r="AD5306" t="s">
        <v>10840</v>
      </c>
      <c r="AG5306" t="s">
        <v>10858</v>
      </c>
      <c r="AH5306" t="s">
        <v>10862</v>
      </c>
      <c r="AI5306">
        <v>230</v>
      </c>
      <c r="AJ5306" t="s">
        <v>10210</v>
      </c>
      <c r="AL5306">
        <v>2.2</v>
      </c>
      <c r="AM5306" t="s">
        <v>10884</v>
      </c>
      <c r="AN5306" t="s">
        <v>10924</v>
      </c>
      <c r="AO5306" t="s">
        <v>11013</v>
      </c>
      <c r="AP5306" t="s">
        <v>11066</v>
      </c>
      <c r="AR5306" t="s">
        <v>11257</v>
      </c>
      <c r="AS5306" t="s">
        <v>9926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</row>
    <row r="5307" spans="1:59">
      <c r="A5307" s="1">
        <f>HYPERLINK("https://lsnyc.legalserver.org/matter/dynamic-profile/view/1909550","19-1909550")</f>
        <v>0</v>
      </c>
      <c r="B5307" t="s">
        <v>4204</v>
      </c>
      <c r="C5307" t="s">
        <v>9035</v>
      </c>
      <c r="D5307" t="s">
        <v>9930</v>
      </c>
      <c r="E5307" t="s">
        <v>10075</v>
      </c>
      <c r="F5307">
        <v>11373</v>
      </c>
      <c r="G5307" t="s">
        <v>10092</v>
      </c>
      <c r="H5307" t="s">
        <v>10099</v>
      </c>
      <c r="I5307" t="s">
        <v>10168</v>
      </c>
      <c r="J5307" t="s">
        <v>10212</v>
      </c>
      <c r="K5307" t="s">
        <v>10217</v>
      </c>
      <c r="M5307" t="s">
        <v>10260</v>
      </c>
      <c r="N5307" t="s">
        <v>10665</v>
      </c>
      <c r="P5307" t="s">
        <v>10751</v>
      </c>
      <c r="Q5307" t="s">
        <v>10773</v>
      </c>
      <c r="R5307" t="s">
        <v>10821</v>
      </c>
      <c r="T5307">
        <v>0</v>
      </c>
      <c r="U5307">
        <v>0</v>
      </c>
      <c r="V5307">
        <v>36</v>
      </c>
      <c r="W5307">
        <v>1</v>
      </c>
      <c r="X5307">
        <v>0</v>
      </c>
      <c r="Z5307">
        <v>0</v>
      </c>
      <c r="AA5307">
        <v>40.73322</v>
      </c>
      <c r="AB5307">
        <v>-73.875713</v>
      </c>
      <c r="AD5307" t="s">
        <v>10839</v>
      </c>
      <c r="AG5307" t="s">
        <v>10858</v>
      </c>
      <c r="AH5307" t="s">
        <v>10861</v>
      </c>
      <c r="AI5307">
        <v>234</v>
      </c>
      <c r="AJ5307" t="s">
        <v>10214</v>
      </c>
      <c r="AL5307">
        <v>3.62</v>
      </c>
      <c r="AM5307" t="s">
        <v>10890</v>
      </c>
      <c r="AN5307" t="s">
        <v>10916</v>
      </c>
      <c r="AO5307" t="s">
        <v>11009</v>
      </c>
      <c r="AP5307" t="s">
        <v>11053</v>
      </c>
      <c r="AR5307" t="s">
        <v>11279</v>
      </c>
      <c r="AS5307" t="s">
        <v>11594</v>
      </c>
      <c r="AT5307" t="s">
        <v>11641</v>
      </c>
      <c r="AX5307" t="s">
        <v>10838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</row>
    <row r="5308" spans="1:59">
      <c r="A5308" s="1">
        <f>HYPERLINK("https://lsnyc.legalserver.org/matter/dynamic-profile/view/1909551","19-1909551")</f>
        <v>0</v>
      </c>
      <c r="B5308" t="s">
        <v>4205</v>
      </c>
      <c r="C5308" t="s">
        <v>9036</v>
      </c>
      <c r="D5308" t="s">
        <v>9926</v>
      </c>
      <c r="E5308" t="s">
        <v>10075</v>
      </c>
      <c r="F5308">
        <v>10457</v>
      </c>
      <c r="G5308" t="s">
        <v>10090</v>
      </c>
      <c r="H5308" t="s">
        <v>10099</v>
      </c>
      <c r="I5308" t="s">
        <v>10168</v>
      </c>
      <c r="J5308" t="s">
        <v>10210</v>
      </c>
      <c r="K5308" t="s">
        <v>10217</v>
      </c>
      <c r="M5308" t="s">
        <v>10283</v>
      </c>
      <c r="N5308" t="s">
        <v>10671</v>
      </c>
      <c r="P5308" t="s">
        <v>10751</v>
      </c>
      <c r="Q5308" t="s">
        <v>10761</v>
      </c>
      <c r="R5308" t="s">
        <v>10822</v>
      </c>
      <c r="T5308">
        <v>11064</v>
      </c>
      <c r="U5308">
        <v>922</v>
      </c>
      <c r="V5308">
        <v>51</v>
      </c>
      <c r="W5308">
        <v>1</v>
      </c>
      <c r="X5308">
        <v>0</v>
      </c>
      <c r="Z5308">
        <v>88.58</v>
      </c>
      <c r="AA5308">
        <v>40.838787</v>
      </c>
      <c r="AB5308">
        <v>-73.901128</v>
      </c>
      <c r="AD5308" t="s">
        <v>10840</v>
      </c>
      <c r="AG5308" t="s">
        <v>10858</v>
      </c>
      <c r="AH5308" t="s">
        <v>10861</v>
      </c>
      <c r="AI5308">
        <v>234</v>
      </c>
      <c r="AJ5308" t="s">
        <v>10214</v>
      </c>
      <c r="AL5308">
        <v>4.75</v>
      </c>
      <c r="AM5308" t="s">
        <v>10884</v>
      </c>
      <c r="AN5308" t="s">
        <v>10918</v>
      </c>
      <c r="AO5308" t="s">
        <v>11000</v>
      </c>
      <c r="AP5308" t="s">
        <v>11055</v>
      </c>
      <c r="AR5308" t="s">
        <v>11298</v>
      </c>
      <c r="AS5308" t="s">
        <v>9926</v>
      </c>
      <c r="AT5308" t="s">
        <v>11642</v>
      </c>
      <c r="AX5308" t="s">
        <v>10838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</row>
    <row r="5309" spans="1:59">
      <c r="A5309" s="1">
        <f>HYPERLINK("https://lsnyc.legalserver.org/matter/dynamic-profile/view/1909552","19-1909552")</f>
        <v>0</v>
      </c>
      <c r="B5309" t="s">
        <v>4206</v>
      </c>
      <c r="C5309" t="s">
        <v>9037</v>
      </c>
      <c r="D5309" t="s">
        <v>9933</v>
      </c>
      <c r="E5309" t="s">
        <v>10075</v>
      </c>
      <c r="F5309">
        <v>11420</v>
      </c>
      <c r="G5309" t="s">
        <v>10092</v>
      </c>
      <c r="H5309" t="s">
        <v>10099</v>
      </c>
      <c r="I5309" t="s">
        <v>10168</v>
      </c>
      <c r="J5309" t="s">
        <v>10212</v>
      </c>
      <c r="K5309" t="s">
        <v>10217</v>
      </c>
      <c r="M5309" t="s">
        <v>10387</v>
      </c>
      <c r="N5309" t="s">
        <v>10650</v>
      </c>
      <c r="P5309" t="s">
        <v>10749</v>
      </c>
      <c r="Q5309" t="s">
        <v>10765</v>
      </c>
      <c r="R5309" t="s">
        <v>10825</v>
      </c>
      <c r="T5309">
        <v>26000</v>
      </c>
      <c r="U5309">
        <v>2166.67</v>
      </c>
      <c r="V5309">
        <v>47</v>
      </c>
      <c r="W5309">
        <v>2</v>
      </c>
      <c r="X5309">
        <v>0</v>
      </c>
      <c r="Z5309">
        <v>153.76</v>
      </c>
      <c r="AA5309">
        <v>40.679914</v>
      </c>
      <c r="AB5309">
        <v>-73.824258</v>
      </c>
      <c r="AD5309" t="s">
        <v>10839</v>
      </c>
      <c r="AF5309" t="s">
        <v>10843</v>
      </c>
      <c r="AG5309" t="s">
        <v>10859</v>
      </c>
      <c r="AH5309" t="s">
        <v>10862</v>
      </c>
      <c r="AI5309">
        <v>237</v>
      </c>
      <c r="AJ5309" t="s">
        <v>10212</v>
      </c>
      <c r="AL5309">
        <v>1.5</v>
      </c>
      <c r="AM5309" t="s">
        <v>10892</v>
      </c>
      <c r="AN5309" t="s">
        <v>10930</v>
      </c>
      <c r="AO5309" t="s">
        <v>11017</v>
      </c>
      <c r="AP5309" t="s">
        <v>11070</v>
      </c>
      <c r="AR5309" t="s">
        <v>11257</v>
      </c>
      <c r="AS5309" t="s">
        <v>11594</v>
      </c>
      <c r="BA5309" t="s">
        <v>11741</v>
      </c>
      <c r="BB5309">
        <v>0</v>
      </c>
      <c r="BC5309">
        <v>0</v>
      </c>
      <c r="BD5309">
        <v>0</v>
      </c>
      <c r="BE5309">
        <v>0</v>
      </c>
      <c r="BF5309">
        <v>1</v>
      </c>
      <c r="BG5309">
        <v>0</v>
      </c>
    </row>
    <row r="5310" spans="1:59">
      <c r="A5310" s="1">
        <f>HYPERLINK("https://lsnyc.legalserver.org/matter/dynamic-profile/view/1909553","19-1909553")</f>
        <v>0</v>
      </c>
      <c r="B5310" t="s">
        <v>4207</v>
      </c>
      <c r="C5310" t="s">
        <v>9038</v>
      </c>
      <c r="D5310" t="s">
        <v>9928</v>
      </c>
      <c r="E5310" t="s">
        <v>10075</v>
      </c>
      <c r="F5310">
        <v>11231</v>
      </c>
      <c r="G5310" t="s">
        <v>10093</v>
      </c>
      <c r="H5310" t="s">
        <v>10099</v>
      </c>
      <c r="I5310" t="s">
        <v>10168</v>
      </c>
      <c r="J5310" t="s">
        <v>10213</v>
      </c>
      <c r="K5310" t="s">
        <v>10217</v>
      </c>
      <c r="M5310" t="s">
        <v>10583</v>
      </c>
      <c r="N5310" t="s">
        <v>10671</v>
      </c>
      <c r="P5310" t="s">
        <v>10749</v>
      </c>
      <c r="Q5310" t="s">
        <v>10767</v>
      </c>
      <c r="R5310" t="s">
        <v>10822</v>
      </c>
      <c r="T5310">
        <v>9084</v>
      </c>
      <c r="U5310">
        <v>757</v>
      </c>
      <c r="V5310">
        <v>61</v>
      </c>
      <c r="W5310">
        <v>1</v>
      </c>
      <c r="X5310">
        <v>0</v>
      </c>
      <c r="Z5310">
        <v>72.73</v>
      </c>
      <c r="AA5310">
        <v>40.675331</v>
      </c>
      <c r="AB5310">
        <v>-74.003263</v>
      </c>
      <c r="AD5310" t="s">
        <v>10839</v>
      </c>
      <c r="AG5310" t="s">
        <v>10858</v>
      </c>
      <c r="AH5310" t="s">
        <v>10861</v>
      </c>
      <c r="AI5310">
        <v>234</v>
      </c>
      <c r="AJ5310" t="s">
        <v>10214</v>
      </c>
      <c r="AL5310">
        <v>0.5</v>
      </c>
      <c r="AM5310" t="s">
        <v>10886</v>
      </c>
      <c r="AN5310" t="s">
        <v>10921</v>
      </c>
      <c r="AO5310" t="s">
        <v>11007</v>
      </c>
      <c r="AP5310" t="s">
        <v>11069</v>
      </c>
      <c r="AR5310" t="s">
        <v>11298</v>
      </c>
      <c r="AS5310" t="s">
        <v>11595</v>
      </c>
      <c r="AT5310" t="s">
        <v>11641</v>
      </c>
      <c r="AX5310" t="s">
        <v>10838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</row>
    <row r="5311" spans="1:59">
      <c r="A5311" s="1">
        <f>HYPERLINK("https://lsnyc.legalserver.org/matter/dynamic-profile/view/1909554","19-1909554")</f>
        <v>0</v>
      </c>
      <c r="B5311" t="s">
        <v>310</v>
      </c>
      <c r="C5311" t="s">
        <v>9039</v>
      </c>
      <c r="D5311" t="s">
        <v>9932</v>
      </c>
      <c r="E5311" t="s">
        <v>10075</v>
      </c>
      <c r="F5311">
        <v>11368</v>
      </c>
      <c r="G5311" t="s">
        <v>10092</v>
      </c>
      <c r="H5311" t="s">
        <v>10099</v>
      </c>
      <c r="J5311" t="s">
        <v>10212</v>
      </c>
      <c r="K5311" t="s">
        <v>10217</v>
      </c>
      <c r="M5311" t="s">
        <v>10364</v>
      </c>
      <c r="N5311" t="s">
        <v>10695</v>
      </c>
      <c r="P5311" t="s">
        <v>10749</v>
      </c>
      <c r="Q5311" t="s">
        <v>10765</v>
      </c>
      <c r="R5311" t="s">
        <v>10824</v>
      </c>
      <c r="T5311">
        <v>22440</v>
      </c>
      <c r="U5311">
        <v>1870</v>
      </c>
      <c r="V5311">
        <v>58</v>
      </c>
      <c r="W5311">
        <v>4</v>
      </c>
      <c r="X5311">
        <v>0</v>
      </c>
      <c r="Z5311">
        <v>87.15000000000001</v>
      </c>
      <c r="AA5311">
        <v>40.735882</v>
      </c>
      <c r="AB5311">
        <v>-73.86198400000001</v>
      </c>
      <c r="AD5311" t="s">
        <v>10839</v>
      </c>
      <c r="AG5311" t="s">
        <v>10858</v>
      </c>
      <c r="AH5311" t="s">
        <v>10862</v>
      </c>
      <c r="AI5311">
        <v>237</v>
      </c>
      <c r="AJ5311" t="s">
        <v>10212</v>
      </c>
      <c r="AL5311">
        <v>1.8</v>
      </c>
      <c r="AM5311" t="s">
        <v>10885</v>
      </c>
      <c r="AN5311" t="s">
        <v>10916</v>
      </c>
      <c r="AO5311" t="s">
        <v>11014</v>
      </c>
      <c r="AP5311" t="s">
        <v>11068</v>
      </c>
      <c r="AR5311" t="s">
        <v>11367</v>
      </c>
      <c r="AS5311" t="s">
        <v>11594</v>
      </c>
      <c r="AT5311" t="s">
        <v>11641</v>
      </c>
      <c r="AX5311" t="s">
        <v>10838</v>
      </c>
      <c r="BA5311" t="s">
        <v>11742</v>
      </c>
      <c r="BB5311">
        <v>0</v>
      </c>
      <c r="BC5311">
        <v>0</v>
      </c>
      <c r="BD5311">
        <v>0</v>
      </c>
      <c r="BE5311">
        <v>0</v>
      </c>
      <c r="BF5311">
        <v>7</v>
      </c>
      <c r="BG5311">
        <v>0</v>
      </c>
    </row>
    <row r="5312" spans="1:59">
      <c r="A5312" s="1">
        <f>HYPERLINK("https://lsnyc.legalserver.org/matter/dynamic-profile/view/1909556","19-1909556")</f>
        <v>0</v>
      </c>
      <c r="B5312" t="s">
        <v>4208</v>
      </c>
      <c r="C5312" t="s">
        <v>9040</v>
      </c>
      <c r="D5312" t="s">
        <v>9938</v>
      </c>
      <c r="E5312" t="s">
        <v>10075</v>
      </c>
      <c r="F5312">
        <v>11435</v>
      </c>
      <c r="G5312" t="s">
        <v>10091</v>
      </c>
      <c r="H5312" t="s">
        <v>10099</v>
      </c>
      <c r="I5312" t="s">
        <v>10169</v>
      </c>
      <c r="J5312" t="s">
        <v>10214</v>
      </c>
      <c r="K5312" t="s">
        <v>10217</v>
      </c>
      <c r="M5312" t="s">
        <v>10537</v>
      </c>
      <c r="N5312" t="s">
        <v>10673</v>
      </c>
      <c r="P5312" t="s">
        <v>10753</v>
      </c>
      <c r="Q5312" t="s">
        <v>10763</v>
      </c>
      <c r="R5312" t="s">
        <v>10821</v>
      </c>
      <c r="T5312">
        <v>19200</v>
      </c>
      <c r="U5312">
        <v>1600</v>
      </c>
      <c r="V5312">
        <v>45</v>
      </c>
      <c r="W5312">
        <v>1</v>
      </c>
      <c r="X5312">
        <v>0</v>
      </c>
      <c r="Z5312">
        <v>153.72</v>
      </c>
      <c r="AA5312">
        <v>40.703815</v>
      </c>
      <c r="AB5312">
        <v>-73.81100499999999</v>
      </c>
      <c r="AD5312" t="s">
        <v>10840</v>
      </c>
      <c r="AF5312" t="s">
        <v>10842</v>
      </c>
      <c r="AG5312" t="s">
        <v>10859</v>
      </c>
      <c r="AH5312" t="s">
        <v>10861</v>
      </c>
      <c r="AI5312">
        <v>234</v>
      </c>
      <c r="AJ5312" t="s">
        <v>10214</v>
      </c>
      <c r="AL5312">
        <v>0.75</v>
      </c>
      <c r="AM5312" t="s">
        <v>10892</v>
      </c>
      <c r="AN5312" t="s">
        <v>10951</v>
      </c>
      <c r="AO5312" t="s">
        <v>11020</v>
      </c>
      <c r="AP5312" t="s">
        <v>11081</v>
      </c>
      <c r="AR5312" t="s">
        <v>11257</v>
      </c>
      <c r="AS5312" t="s">
        <v>11594</v>
      </c>
      <c r="AT5312" t="s">
        <v>11642</v>
      </c>
      <c r="AX5312" t="s">
        <v>10837</v>
      </c>
      <c r="BA5312" t="s">
        <v>11742</v>
      </c>
      <c r="BB5312">
        <v>0</v>
      </c>
      <c r="BC5312">
        <v>0</v>
      </c>
      <c r="BD5312">
        <v>0</v>
      </c>
      <c r="BE5312">
        <v>0</v>
      </c>
      <c r="BF5312">
        <v>7</v>
      </c>
      <c r="BG5312">
        <v>0</v>
      </c>
    </row>
    <row r="5313" spans="1:59">
      <c r="A5313" s="1">
        <f>HYPERLINK("https://lsnyc.legalserver.org/matter/dynamic-profile/view/1909557","19-1909557")</f>
        <v>0</v>
      </c>
      <c r="B5313" t="s">
        <v>1066</v>
      </c>
      <c r="C5313" t="s">
        <v>9041</v>
      </c>
      <c r="D5313" t="s">
        <v>9926</v>
      </c>
      <c r="E5313" t="s">
        <v>10075</v>
      </c>
      <c r="F5313">
        <v>10455</v>
      </c>
      <c r="G5313" t="s">
        <v>10090</v>
      </c>
      <c r="H5313" t="s">
        <v>10099</v>
      </c>
      <c r="I5313" t="s">
        <v>10168</v>
      </c>
      <c r="J5313" t="s">
        <v>10210</v>
      </c>
      <c r="K5313" t="s">
        <v>10217</v>
      </c>
      <c r="M5313" t="s">
        <v>10271</v>
      </c>
      <c r="N5313" t="s">
        <v>10666</v>
      </c>
      <c r="P5313" t="s">
        <v>10749</v>
      </c>
      <c r="Q5313" t="s">
        <v>10765</v>
      </c>
      <c r="R5313" t="s">
        <v>10821</v>
      </c>
      <c r="T5313">
        <v>29896</v>
      </c>
      <c r="U5313">
        <v>2491.33</v>
      </c>
      <c r="V5313">
        <v>48</v>
      </c>
      <c r="W5313">
        <v>3</v>
      </c>
      <c r="X5313">
        <v>3</v>
      </c>
      <c r="Z5313">
        <v>86.43000000000001</v>
      </c>
      <c r="AA5313">
        <v>40.8134</v>
      </c>
      <c r="AB5313">
        <v>-73.914387</v>
      </c>
      <c r="AD5313" t="s">
        <v>10839</v>
      </c>
      <c r="AG5313" t="s">
        <v>10858</v>
      </c>
      <c r="AH5313" t="s">
        <v>10861</v>
      </c>
      <c r="AI5313">
        <v>230</v>
      </c>
      <c r="AJ5313" t="s">
        <v>10210</v>
      </c>
      <c r="AL5313">
        <v>13.35</v>
      </c>
      <c r="AM5313" t="s">
        <v>10884</v>
      </c>
      <c r="AN5313" t="s">
        <v>10924</v>
      </c>
      <c r="AO5313" t="s">
        <v>11013</v>
      </c>
      <c r="AP5313" t="s">
        <v>11066</v>
      </c>
      <c r="AR5313" t="s">
        <v>11295</v>
      </c>
      <c r="AS5313" t="s">
        <v>9926</v>
      </c>
      <c r="AT5313" t="s">
        <v>11641</v>
      </c>
      <c r="AX5313" t="s">
        <v>10838</v>
      </c>
      <c r="BA5313" t="s">
        <v>11738</v>
      </c>
      <c r="BB5313">
        <v>0</v>
      </c>
      <c r="BC5313">
        <v>0</v>
      </c>
      <c r="BD5313">
        <v>0</v>
      </c>
      <c r="BE5313">
        <v>0</v>
      </c>
      <c r="BF5313">
        <v>5</v>
      </c>
      <c r="BG5313">
        <v>0</v>
      </c>
    </row>
    <row r="5314" spans="1:59">
      <c r="A5314" s="1">
        <f>HYPERLINK("https://lsnyc.legalserver.org/matter/dynamic-profile/view/1909558","19-1909558")</f>
        <v>0</v>
      </c>
      <c r="B5314" t="s">
        <v>4209</v>
      </c>
      <c r="C5314" t="s">
        <v>9042</v>
      </c>
      <c r="D5314" t="s">
        <v>9946</v>
      </c>
      <c r="E5314" t="s">
        <v>10075</v>
      </c>
      <c r="F5314">
        <v>11385</v>
      </c>
      <c r="G5314" t="s">
        <v>10092</v>
      </c>
      <c r="H5314" t="s">
        <v>10161</v>
      </c>
      <c r="I5314" t="s">
        <v>10169</v>
      </c>
      <c r="J5314" t="s">
        <v>10212</v>
      </c>
      <c r="K5314" t="s">
        <v>10217</v>
      </c>
      <c r="M5314" t="s">
        <v>10422</v>
      </c>
      <c r="N5314" t="s">
        <v>10673</v>
      </c>
      <c r="P5314" t="s">
        <v>10753</v>
      </c>
      <c r="Q5314" t="s">
        <v>10763</v>
      </c>
      <c r="R5314" t="s">
        <v>10823</v>
      </c>
      <c r="T5314">
        <v>30000</v>
      </c>
      <c r="U5314">
        <v>2500</v>
      </c>
      <c r="V5314">
        <v>30</v>
      </c>
      <c r="W5314">
        <v>3</v>
      </c>
      <c r="X5314">
        <v>2</v>
      </c>
      <c r="Z5314">
        <v>99.44</v>
      </c>
      <c r="AA5314">
        <v>40.706189</v>
      </c>
      <c r="AB5314">
        <v>-73.90696199999999</v>
      </c>
      <c r="AD5314" t="s">
        <v>10839</v>
      </c>
      <c r="AF5314" t="s">
        <v>10842</v>
      </c>
      <c r="AG5314" t="s">
        <v>10859</v>
      </c>
      <c r="AH5314" t="s">
        <v>10864</v>
      </c>
      <c r="AI5314">
        <v>237</v>
      </c>
      <c r="AJ5314" t="s">
        <v>10212</v>
      </c>
      <c r="AL5314">
        <v>2.25</v>
      </c>
      <c r="AM5314" t="s">
        <v>10886</v>
      </c>
      <c r="AN5314" t="s">
        <v>10961</v>
      </c>
      <c r="AO5314" t="s">
        <v>11003</v>
      </c>
      <c r="AP5314" t="s">
        <v>11077</v>
      </c>
      <c r="AQ5314" t="s">
        <v>11119</v>
      </c>
      <c r="AR5314" t="s">
        <v>11257</v>
      </c>
      <c r="AS5314" t="s">
        <v>11594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</row>
    <row r="5315" spans="1:59">
      <c r="A5315" s="1">
        <f>HYPERLINK("https://lsnyc.legalserver.org/matter/dynamic-profile/view/1909559","19-1909559")</f>
        <v>0</v>
      </c>
      <c r="B5315" t="s">
        <v>1282</v>
      </c>
      <c r="C5315" t="s">
        <v>9043</v>
      </c>
      <c r="D5315" t="s">
        <v>9926</v>
      </c>
      <c r="E5315" t="s">
        <v>10075</v>
      </c>
      <c r="F5315">
        <v>10456</v>
      </c>
      <c r="G5315" t="s">
        <v>10089</v>
      </c>
      <c r="H5315" t="s">
        <v>10099</v>
      </c>
      <c r="I5315" t="s">
        <v>10169</v>
      </c>
      <c r="J5315" t="s">
        <v>10209</v>
      </c>
      <c r="K5315" t="s">
        <v>10217</v>
      </c>
      <c r="M5315" t="s">
        <v>10488</v>
      </c>
      <c r="N5315" t="s">
        <v>10679</v>
      </c>
      <c r="P5315" t="s">
        <v>10753</v>
      </c>
      <c r="Q5315" t="s">
        <v>10763</v>
      </c>
      <c r="R5315" t="s">
        <v>10823</v>
      </c>
      <c r="T5315">
        <v>3900</v>
      </c>
      <c r="U5315">
        <v>325</v>
      </c>
      <c r="V5315">
        <v>5</v>
      </c>
      <c r="W5315">
        <v>1</v>
      </c>
      <c r="X5315">
        <v>1</v>
      </c>
      <c r="Z5315">
        <v>23.06</v>
      </c>
      <c r="AA5315">
        <v>40.81216</v>
      </c>
      <c r="AB5315">
        <v>-73.926346</v>
      </c>
      <c r="AD5315" t="s">
        <v>10839</v>
      </c>
      <c r="AF5315" t="s">
        <v>10842</v>
      </c>
      <c r="AG5315" t="s">
        <v>10859</v>
      </c>
      <c r="AH5315" t="s">
        <v>10864</v>
      </c>
      <c r="AI5315">
        <v>236</v>
      </c>
      <c r="AJ5315" t="s">
        <v>10209</v>
      </c>
      <c r="AL5315">
        <v>2.5</v>
      </c>
      <c r="AQ5315" t="s">
        <v>11109</v>
      </c>
      <c r="AR5315" t="s">
        <v>11401</v>
      </c>
      <c r="AS5315" t="s">
        <v>9926</v>
      </c>
      <c r="BA5315" t="s">
        <v>11739</v>
      </c>
      <c r="BB5315">
        <v>0</v>
      </c>
      <c r="BC5315">
        <v>0</v>
      </c>
      <c r="BD5315">
        <v>0</v>
      </c>
      <c r="BE5315">
        <v>0</v>
      </c>
      <c r="BF5315">
        <v>4</v>
      </c>
      <c r="BG5315">
        <v>0</v>
      </c>
    </row>
    <row r="5316" spans="1:59">
      <c r="A5316" s="1">
        <f>HYPERLINK("https://lsnyc.legalserver.org/matter/dynamic-profile/view/1909560","19-1909560")</f>
        <v>0</v>
      </c>
      <c r="B5316" t="s">
        <v>4082</v>
      </c>
      <c r="C5316" t="s">
        <v>9044</v>
      </c>
      <c r="D5316" t="s">
        <v>9928</v>
      </c>
      <c r="E5316" t="s">
        <v>10075</v>
      </c>
      <c r="F5316">
        <v>11212</v>
      </c>
      <c r="G5316" t="s">
        <v>10093</v>
      </c>
      <c r="H5316" t="s">
        <v>10099</v>
      </c>
      <c r="I5316" t="s">
        <v>10168</v>
      </c>
      <c r="J5316" t="s">
        <v>10213</v>
      </c>
      <c r="K5316" t="s">
        <v>10217</v>
      </c>
      <c r="M5316" t="s">
        <v>10439</v>
      </c>
      <c r="N5316" t="s">
        <v>10650</v>
      </c>
      <c r="P5316" t="s">
        <v>10749</v>
      </c>
      <c r="Q5316" t="s">
        <v>10765</v>
      </c>
      <c r="R5316" t="s">
        <v>10825</v>
      </c>
      <c r="T5316">
        <v>14816</v>
      </c>
      <c r="U5316">
        <v>1234.67</v>
      </c>
      <c r="V5316">
        <v>33</v>
      </c>
      <c r="W5316">
        <v>1</v>
      </c>
      <c r="X5316">
        <v>4</v>
      </c>
      <c r="Z5316">
        <v>49.11</v>
      </c>
      <c r="AA5316">
        <v>40.670025</v>
      </c>
      <c r="AB5316">
        <v>-73.91297299999999</v>
      </c>
      <c r="AC5316" t="s">
        <v>10838</v>
      </c>
      <c r="AD5316" t="s">
        <v>10839</v>
      </c>
      <c r="AG5316" t="s">
        <v>10858</v>
      </c>
      <c r="AH5316" t="s">
        <v>10862</v>
      </c>
      <c r="AI5316">
        <v>239</v>
      </c>
      <c r="AJ5316" t="s">
        <v>10213</v>
      </c>
      <c r="AL5316">
        <v>0.1</v>
      </c>
      <c r="AM5316" t="s">
        <v>10888</v>
      </c>
      <c r="AN5316" t="s">
        <v>10922</v>
      </c>
      <c r="AO5316" t="s">
        <v>11005</v>
      </c>
      <c r="AP5316" t="s">
        <v>11064</v>
      </c>
      <c r="AQ5316" t="s">
        <v>11101</v>
      </c>
      <c r="AR5316" t="s">
        <v>11311</v>
      </c>
      <c r="AS5316" t="s">
        <v>11595</v>
      </c>
      <c r="AT5316" t="s">
        <v>11641</v>
      </c>
      <c r="AX5316" t="s">
        <v>10838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</row>
    <row r="5317" spans="1:59">
      <c r="A5317" s="1">
        <f>HYPERLINK("https://lsnyc.legalserver.org/matter/dynamic-profile/view/1909561","19-1909561")</f>
        <v>0</v>
      </c>
      <c r="B5317" t="s">
        <v>4210</v>
      </c>
      <c r="C5317" t="s">
        <v>9045</v>
      </c>
      <c r="D5317" t="s">
        <v>9928</v>
      </c>
      <c r="E5317" t="s">
        <v>10075</v>
      </c>
      <c r="F5317">
        <v>11226</v>
      </c>
      <c r="G5317" t="s">
        <v>10091</v>
      </c>
      <c r="H5317" t="s">
        <v>10099</v>
      </c>
      <c r="I5317" t="s">
        <v>10168</v>
      </c>
      <c r="J5317" t="s">
        <v>10211</v>
      </c>
      <c r="K5317" t="s">
        <v>10217</v>
      </c>
      <c r="M5317" t="s">
        <v>10231</v>
      </c>
      <c r="N5317" t="s">
        <v>10647</v>
      </c>
      <c r="P5317" t="s">
        <v>10752</v>
      </c>
      <c r="Q5317" t="s">
        <v>10762</v>
      </c>
      <c r="R5317" t="s">
        <v>10824</v>
      </c>
      <c r="T5317">
        <v>6768</v>
      </c>
      <c r="U5317">
        <v>564</v>
      </c>
      <c r="V5317">
        <v>56</v>
      </c>
      <c r="W5317">
        <v>1</v>
      </c>
      <c r="X5317">
        <v>0</v>
      </c>
      <c r="Z5317">
        <v>54.19</v>
      </c>
      <c r="AA5317">
        <v>40.643844</v>
      </c>
      <c r="AB5317">
        <v>-73.949529</v>
      </c>
      <c r="AD5317" t="s">
        <v>10839</v>
      </c>
      <c r="AG5317" t="s">
        <v>10858</v>
      </c>
      <c r="AH5317" t="s">
        <v>10861</v>
      </c>
      <c r="AI5317">
        <v>234</v>
      </c>
      <c r="AJ5317" t="s">
        <v>10214</v>
      </c>
      <c r="AL5317">
        <v>0.7</v>
      </c>
      <c r="AM5317" t="s">
        <v>10888</v>
      </c>
      <c r="AN5317" t="s">
        <v>10932</v>
      </c>
      <c r="AO5317" t="s">
        <v>11008</v>
      </c>
      <c r="AP5317" t="s">
        <v>11065</v>
      </c>
      <c r="AQ5317" t="s">
        <v>11110</v>
      </c>
      <c r="AR5317" t="s">
        <v>11255</v>
      </c>
      <c r="AS5317" t="s">
        <v>11595</v>
      </c>
      <c r="AT5317" t="s">
        <v>11641</v>
      </c>
      <c r="AX5317" t="s">
        <v>10838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</row>
    <row r="5318" spans="1:59">
      <c r="A5318" s="1">
        <f>HYPERLINK("https://lsnyc.legalserver.org/matter/dynamic-profile/view/1909562","19-1909562")</f>
        <v>0</v>
      </c>
      <c r="B5318" t="s">
        <v>4211</v>
      </c>
      <c r="C5318" t="s">
        <v>9046</v>
      </c>
      <c r="D5318" t="s">
        <v>9928</v>
      </c>
      <c r="E5318" t="s">
        <v>10075</v>
      </c>
      <c r="F5318">
        <v>11212</v>
      </c>
      <c r="G5318" t="s">
        <v>10093</v>
      </c>
      <c r="H5318" t="s">
        <v>10099</v>
      </c>
      <c r="I5318" t="s">
        <v>10168</v>
      </c>
      <c r="J5318" t="s">
        <v>10213</v>
      </c>
      <c r="K5318" t="s">
        <v>10217</v>
      </c>
      <c r="M5318" t="s">
        <v>10564</v>
      </c>
      <c r="N5318" t="s">
        <v>10650</v>
      </c>
      <c r="P5318" t="s">
        <v>10749</v>
      </c>
      <c r="Q5318" t="s">
        <v>10765</v>
      </c>
      <c r="R5318" t="s">
        <v>10824</v>
      </c>
      <c r="T5318">
        <v>35516</v>
      </c>
      <c r="U5318">
        <v>2959.67</v>
      </c>
      <c r="V5318">
        <v>53</v>
      </c>
      <c r="W5318">
        <v>1</v>
      </c>
      <c r="X5318">
        <v>0</v>
      </c>
      <c r="Z5318">
        <v>284.36</v>
      </c>
      <c r="AA5318">
        <v>40.664181</v>
      </c>
      <c r="AB5318">
        <v>-73.92453399999999</v>
      </c>
      <c r="AD5318" t="s">
        <v>10839</v>
      </c>
      <c r="AG5318" t="s">
        <v>10858</v>
      </c>
      <c r="AH5318" t="s">
        <v>10861</v>
      </c>
      <c r="AI5318">
        <v>234</v>
      </c>
      <c r="AJ5318" t="s">
        <v>10214</v>
      </c>
      <c r="AL5318">
        <v>1</v>
      </c>
      <c r="AM5318" t="s">
        <v>10888</v>
      </c>
      <c r="AN5318" t="s">
        <v>10922</v>
      </c>
      <c r="AO5318" t="s">
        <v>11005</v>
      </c>
      <c r="AP5318" t="s">
        <v>11064</v>
      </c>
      <c r="AR5318" t="s">
        <v>11257</v>
      </c>
      <c r="AS5318" t="s">
        <v>11595</v>
      </c>
      <c r="AT5318" t="s">
        <v>11641</v>
      </c>
      <c r="AX5318" t="s">
        <v>10838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</row>
    <row r="5319" spans="1:59">
      <c r="A5319" s="1">
        <f>HYPERLINK("https://lsnyc.legalserver.org/matter/dynamic-profile/view/1909563","19-1909563")</f>
        <v>0</v>
      </c>
      <c r="B5319" t="s">
        <v>1066</v>
      </c>
      <c r="C5319" t="s">
        <v>9041</v>
      </c>
      <c r="D5319" t="s">
        <v>9926</v>
      </c>
      <c r="E5319" t="s">
        <v>10075</v>
      </c>
      <c r="F5319">
        <v>10455</v>
      </c>
      <c r="G5319" t="s">
        <v>10090</v>
      </c>
      <c r="H5319" t="s">
        <v>10099</v>
      </c>
      <c r="I5319" t="s">
        <v>10168</v>
      </c>
      <c r="J5319" t="s">
        <v>10210</v>
      </c>
      <c r="K5319" t="s">
        <v>10218</v>
      </c>
      <c r="L5319" t="s">
        <v>10223</v>
      </c>
      <c r="M5319" t="s">
        <v>10287</v>
      </c>
      <c r="N5319" t="s">
        <v>10671</v>
      </c>
      <c r="P5319" t="s">
        <v>10751</v>
      </c>
      <c r="Q5319" t="s">
        <v>10761</v>
      </c>
      <c r="R5319" t="s">
        <v>10821</v>
      </c>
      <c r="T5319">
        <v>29896</v>
      </c>
      <c r="U5319">
        <v>2491.33</v>
      </c>
      <c r="V5319">
        <v>48</v>
      </c>
      <c r="W5319">
        <v>3</v>
      </c>
      <c r="X5319">
        <v>3</v>
      </c>
      <c r="Y5319" t="s">
        <v>10833</v>
      </c>
      <c r="Z5319">
        <v>86.43000000000001</v>
      </c>
      <c r="AA5319">
        <v>40.8134</v>
      </c>
      <c r="AB5319">
        <v>-73.914387</v>
      </c>
      <c r="AD5319" t="s">
        <v>10839</v>
      </c>
      <c r="AG5319" t="s">
        <v>10858</v>
      </c>
      <c r="AH5319" t="s">
        <v>10861</v>
      </c>
      <c r="AI5319">
        <v>230</v>
      </c>
      <c r="AJ5319" t="s">
        <v>10210</v>
      </c>
      <c r="AK5319" t="s">
        <v>10838</v>
      </c>
      <c r="AL5319">
        <v>9.25</v>
      </c>
      <c r="AR5319" t="s">
        <v>11295</v>
      </c>
      <c r="AS5319" t="s">
        <v>9926</v>
      </c>
      <c r="AY5319" t="s">
        <v>10833</v>
      </c>
      <c r="AZ5319" t="s">
        <v>11688</v>
      </c>
      <c r="BA5319" t="s">
        <v>11737</v>
      </c>
      <c r="BB5319">
        <v>0</v>
      </c>
      <c r="BC5319">
        <v>0</v>
      </c>
      <c r="BD5319">
        <v>8884.5</v>
      </c>
      <c r="BE5319">
        <v>277</v>
      </c>
      <c r="BF5319">
        <v>3</v>
      </c>
      <c r="BG5319">
        <v>0</v>
      </c>
    </row>
    <row r="5320" spans="1:59">
      <c r="A5320" s="1">
        <f>HYPERLINK("https://lsnyc.legalserver.org/matter/dynamic-profile/view/1909564","19-1909564")</f>
        <v>0</v>
      </c>
      <c r="B5320" t="s">
        <v>4212</v>
      </c>
      <c r="C5320" t="s">
        <v>9047</v>
      </c>
      <c r="D5320" t="s">
        <v>9932</v>
      </c>
      <c r="E5320" t="s">
        <v>10075</v>
      </c>
      <c r="F5320">
        <v>11368</v>
      </c>
      <c r="G5320" t="s">
        <v>10092</v>
      </c>
      <c r="H5320" t="s">
        <v>10099</v>
      </c>
      <c r="I5320" t="s">
        <v>10169</v>
      </c>
      <c r="J5320" t="s">
        <v>10212</v>
      </c>
      <c r="K5320" t="s">
        <v>10217</v>
      </c>
      <c r="M5320" t="s">
        <v>10600</v>
      </c>
      <c r="N5320" t="s">
        <v>10673</v>
      </c>
      <c r="P5320" t="s">
        <v>10753</v>
      </c>
      <c r="Q5320" t="s">
        <v>10763</v>
      </c>
      <c r="R5320" t="s">
        <v>10821</v>
      </c>
      <c r="T5320">
        <v>0</v>
      </c>
      <c r="U5320">
        <v>0</v>
      </c>
      <c r="V5320">
        <v>17</v>
      </c>
      <c r="W5320">
        <v>1</v>
      </c>
      <c r="X5320">
        <v>1</v>
      </c>
      <c r="Z5320">
        <v>0</v>
      </c>
      <c r="AA5320">
        <v>40.749177</v>
      </c>
      <c r="AB5320">
        <v>-73.855253</v>
      </c>
      <c r="AD5320" t="s">
        <v>10840</v>
      </c>
      <c r="AF5320" t="s">
        <v>10854</v>
      </c>
      <c r="AG5320" t="s">
        <v>10859</v>
      </c>
      <c r="AH5320" t="s">
        <v>10864</v>
      </c>
      <c r="AI5320">
        <v>237</v>
      </c>
      <c r="AJ5320" t="s">
        <v>10212</v>
      </c>
      <c r="AL5320">
        <v>2</v>
      </c>
      <c r="AM5320" t="s">
        <v>10885</v>
      </c>
      <c r="AN5320" t="s">
        <v>10949</v>
      </c>
      <c r="AO5320" t="s">
        <v>11014</v>
      </c>
      <c r="AP5320" t="s">
        <v>11068</v>
      </c>
      <c r="AR5320" t="s">
        <v>11267</v>
      </c>
      <c r="AS5320" t="s">
        <v>11594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</row>
    <row r="5321" spans="1:59">
      <c r="A5321" s="1">
        <f>HYPERLINK("https://lsnyc.legalserver.org/matter/dynamic-profile/view/1909565","19-1909565")</f>
        <v>0</v>
      </c>
      <c r="B5321" t="s">
        <v>1001</v>
      </c>
      <c r="C5321" t="s">
        <v>5878</v>
      </c>
      <c r="D5321" t="s">
        <v>9925</v>
      </c>
      <c r="E5321" t="s">
        <v>10075</v>
      </c>
      <c r="F5321">
        <v>10035</v>
      </c>
      <c r="G5321" t="s">
        <v>10089</v>
      </c>
      <c r="H5321" t="s">
        <v>10099</v>
      </c>
      <c r="I5321" t="s">
        <v>10168</v>
      </c>
      <c r="J5321" t="s">
        <v>10209</v>
      </c>
      <c r="K5321" t="s">
        <v>10217</v>
      </c>
      <c r="M5321" t="s">
        <v>10302</v>
      </c>
      <c r="N5321" t="s">
        <v>10691</v>
      </c>
      <c r="P5321" t="s">
        <v>10754</v>
      </c>
      <c r="Q5321" t="s">
        <v>10766</v>
      </c>
      <c r="R5321" t="s">
        <v>10825</v>
      </c>
      <c r="T5321">
        <v>9708</v>
      </c>
      <c r="U5321">
        <v>809</v>
      </c>
      <c r="V5321">
        <v>32</v>
      </c>
      <c r="W5321">
        <v>1</v>
      </c>
      <c r="X5321">
        <v>3</v>
      </c>
      <c r="Z5321">
        <v>37.7</v>
      </c>
      <c r="AA5321">
        <v>40.805234</v>
      </c>
      <c r="AB5321">
        <v>-73.94125099999999</v>
      </c>
      <c r="AD5321" t="s">
        <v>10839</v>
      </c>
      <c r="AF5321" t="s">
        <v>10843</v>
      </c>
      <c r="AG5321" t="s">
        <v>10859</v>
      </c>
      <c r="AH5321" t="s">
        <v>10865</v>
      </c>
      <c r="AI5321">
        <v>236</v>
      </c>
      <c r="AJ5321" t="s">
        <v>10209</v>
      </c>
      <c r="AL5321">
        <v>7</v>
      </c>
      <c r="AM5321" t="s">
        <v>10887</v>
      </c>
      <c r="AN5321" t="s">
        <v>10926</v>
      </c>
      <c r="AO5321" t="s">
        <v>11016</v>
      </c>
      <c r="AP5321" t="s">
        <v>11076</v>
      </c>
      <c r="AQ5321" t="s">
        <v>11175</v>
      </c>
      <c r="AR5321" t="s">
        <v>11344</v>
      </c>
      <c r="AS5321" t="s">
        <v>9925</v>
      </c>
      <c r="AT5321" t="s">
        <v>11641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</row>
    <row r="5322" spans="1:59">
      <c r="A5322" s="1">
        <f>HYPERLINK("https://lsnyc.legalserver.org/matter/dynamic-profile/view/1909566","19-1909566")</f>
        <v>0</v>
      </c>
      <c r="B5322" t="s">
        <v>4213</v>
      </c>
      <c r="C5322" t="s">
        <v>9043</v>
      </c>
      <c r="D5322" t="s">
        <v>9926</v>
      </c>
      <c r="E5322" t="s">
        <v>10075</v>
      </c>
      <c r="F5322">
        <v>10456</v>
      </c>
      <c r="G5322" t="s">
        <v>10089</v>
      </c>
      <c r="H5322" t="s">
        <v>10099</v>
      </c>
      <c r="I5322" t="s">
        <v>10169</v>
      </c>
      <c r="J5322" t="s">
        <v>10209</v>
      </c>
      <c r="K5322" t="s">
        <v>10217</v>
      </c>
      <c r="M5322" t="s">
        <v>10488</v>
      </c>
      <c r="N5322" t="s">
        <v>10673</v>
      </c>
      <c r="P5322" t="s">
        <v>10753</v>
      </c>
      <c r="Q5322" t="s">
        <v>10763</v>
      </c>
      <c r="R5322" t="s">
        <v>10823</v>
      </c>
      <c r="T5322">
        <v>3600</v>
      </c>
      <c r="U5322">
        <v>300</v>
      </c>
      <c r="V5322">
        <v>33</v>
      </c>
      <c r="W5322">
        <v>1</v>
      </c>
      <c r="X5322">
        <v>1</v>
      </c>
      <c r="Z5322">
        <v>21.29</v>
      </c>
      <c r="AA5322">
        <v>40.829849</v>
      </c>
      <c r="AB5322">
        <v>-73.915723</v>
      </c>
      <c r="AD5322" t="s">
        <v>10839</v>
      </c>
      <c r="AF5322" t="s">
        <v>10842</v>
      </c>
      <c r="AG5322" t="s">
        <v>10859</v>
      </c>
      <c r="AH5322" t="s">
        <v>10864</v>
      </c>
      <c r="AI5322">
        <v>236</v>
      </c>
      <c r="AJ5322" t="s">
        <v>10209</v>
      </c>
      <c r="AL5322">
        <v>2.5</v>
      </c>
      <c r="AM5322" t="s">
        <v>10884</v>
      </c>
      <c r="AN5322" t="s">
        <v>10929</v>
      </c>
      <c r="AO5322" t="s">
        <v>11001</v>
      </c>
      <c r="AP5322" t="s">
        <v>11055</v>
      </c>
      <c r="AQ5322" t="s">
        <v>11109</v>
      </c>
      <c r="AR5322" t="s">
        <v>11401</v>
      </c>
      <c r="AS5322" t="s">
        <v>9926</v>
      </c>
      <c r="BA5322" t="s">
        <v>11739</v>
      </c>
      <c r="BB5322">
        <v>0</v>
      </c>
      <c r="BC5322">
        <v>0</v>
      </c>
      <c r="BD5322">
        <v>0</v>
      </c>
      <c r="BE5322">
        <v>0</v>
      </c>
      <c r="BF5322">
        <v>4</v>
      </c>
      <c r="BG5322">
        <v>0</v>
      </c>
    </row>
    <row r="5323" spans="1:59">
      <c r="A5323" s="1">
        <f>HYPERLINK("https://lsnyc.legalserver.org/matter/dynamic-profile/view/1909567","19-1909567")</f>
        <v>0</v>
      </c>
      <c r="B5323" t="s">
        <v>4214</v>
      </c>
      <c r="C5323" t="s">
        <v>9048</v>
      </c>
      <c r="D5323" t="s">
        <v>9926</v>
      </c>
      <c r="E5323" t="s">
        <v>10075</v>
      </c>
      <c r="F5323">
        <v>10456</v>
      </c>
      <c r="G5323" t="s">
        <v>10090</v>
      </c>
      <c r="H5323" t="s">
        <v>10099</v>
      </c>
      <c r="I5323" t="s">
        <v>10168</v>
      </c>
      <c r="J5323" t="s">
        <v>10210</v>
      </c>
      <c r="K5323" t="s">
        <v>10217</v>
      </c>
      <c r="M5323" t="s">
        <v>10262</v>
      </c>
      <c r="N5323" t="s">
        <v>10666</v>
      </c>
      <c r="P5323" t="s">
        <v>10749</v>
      </c>
      <c r="Q5323" t="s">
        <v>10765</v>
      </c>
      <c r="R5323" t="s">
        <v>10821</v>
      </c>
      <c r="T5323">
        <v>27950</v>
      </c>
      <c r="U5323">
        <v>2329.17</v>
      </c>
      <c r="V5323">
        <v>37</v>
      </c>
      <c r="W5323">
        <v>1</v>
      </c>
      <c r="X5323">
        <v>1</v>
      </c>
      <c r="Z5323">
        <v>165.29</v>
      </c>
      <c r="AA5323">
        <v>40.834544</v>
      </c>
      <c r="AB5323">
        <v>-73.915981</v>
      </c>
      <c r="AD5323" t="s">
        <v>10839</v>
      </c>
      <c r="AG5323" t="s">
        <v>10858</v>
      </c>
      <c r="AH5323" t="s">
        <v>10861</v>
      </c>
      <c r="AI5323">
        <v>230</v>
      </c>
      <c r="AJ5323" t="s">
        <v>10210</v>
      </c>
      <c r="AL5323">
        <v>0.5</v>
      </c>
      <c r="AM5323" t="s">
        <v>10884</v>
      </c>
      <c r="AN5323" t="s">
        <v>10929</v>
      </c>
      <c r="AO5323" t="s">
        <v>11013</v>
      </c>
      <c r="AP5323" t="s">
        <v>11055</v>
      </c>
      <c r="AR5323" t="s">
        <v>11257</v>
      </c>
      <c r="AS5323" t="s">
        <v>9926</v>
      </c>
      <c r="AT5323" t="s">
        <v>11641</v>
      </c>
      <c r="AX5323" t="s">
        <v>10838</v>
      </c>
      <c r="BA5323" t="s">
        <v>11741</v>
      </c>
      <c r="BB5323">
        <v>0</v>
      </c>
      <c r="BC5323">
        <v>0</v>
      </c>
      <c r="BD5323">
        <v>0</v>
      </c>
      <c r="BE5323">
        <v>0</v>
      </c>
      <c r="BF5323">
        <v>1</v>
      </c>
      <c r="BG5323">
        <v>0</v>
      </c>
    </row>
    <row r="5324" spans="1:59">
      <c r="A5324" s="1">
        <f>HYPERLINK("https://lsnyc.legalserver.org/matter/dynamic-profile/view/1909568","19-1909568")</f>
        <v>0</v>
      </c>
      <c r="B5324" t="s">
        <v>2738</v>
      </c>
      <c r="C5324" t="s">
        <v>9049</v>
      </c>
      <c r="D5324" t="s">
        <v>9925</v>
      </c>
      <c r="E5324" t="s">
        <v>10075</v>
      </c>
      <c r="F5324">
        <v>10009</v>
      </c>
      <c r="G5324" t="s">
        <v>10089</v>
      </c>
      <c r="H5324" t="s">
        <v>10099</v>
      </c>
      <c r="I5324" t="s">
        <v>10169</v>
      </c>
      <c r="J5324" t="s">
        <v>10209</v>
      </c>
      <c r="K5324" t="s">
        <v>10217</v>
      </c>
      <c r="M5324" t="s">
        <v>10488</v>
      </c>
      <c r="N5324" t="s">
        <v>10673</v>
      </c>
      <c r="P5324" t="s">
        <v>10753</v>
      </c>
      <c r="Q5324" t="s">
        <v>10763</v>
      </c>
      <c r="R5324" t="s">
        <v>10823</v>
      </c>
      <c r="T5324">
        <v>8616</v>
      </c>
      <c r="U5324">
        <v>718</v>
      </c>
      <c r="V5324">
        <v>53</v>
      </c>
      <c r="W5324">
        <v>1</v>
      </c>
      <c r="X5324">
        <v>0</v>
      </c>
      <c r="Z5324">
        <v>68.98</v>
      </c>
      <c r="AA5324">
        <v>40.727565</v>
      </c>
      <c r="AB5324">
        <v>-73.977268</v>
      </c>
      <c r="AD5324" t="s">
        <v>10839</v>
      </c>
      <c r="AF5324" t="s">
        <v>10843</v>
      </c>
      <c r="AG5324" t="s">
        <v>10859</v>
      </c>
      <c r="AH5324" t="s">
        <v>10864</v>
      </c>
      <c r="AI5324">
        <v>236</v>
      </c>
      <c r="AJ5324" t="s">
        <v>10209</v>
      </c>
      <c r="AL5324">
        <v>3.5</v>
      </c>
      <c r="AM5324" t="s">
        <v>10891</v>
      </c>
      <c r="AN5324" t="s">
        <v>10910</v>
      </c>
      <c r="AO5324" t="s">
        <v>11021</v>
      </c>
      <c r="AP5324" t="s">
        <v>11048</v>
      </c>
      <c r="AQ5324" t="s">
        <v>11097</v>
      </c>
      <c r="AR5324" t="s">
        <v>11263</v>
      </c>
      <c r="AS5324" t="s">
        <v>9925</v>
      </c>
      <c r="BA5324" t="s">
        <v>11742</v>
      </c>
      <c r="BB5324">
        <v>0</v>
      </c>
      <c r="BC5324">
        <v>0</v>
      </c>
      <c r="BD5324">
        <v>0</v>
      </c>
      <c r="BE5324">
        <v>0</v>
      </c>
      <c r="BF5324">
        <v>7</v>
      </c>
      <c r="BG5324">
        <v>0</v>
      </c>
    </row>
    <row r="5325" spans="1:59">
      <c r="A5325" s="1">
        <f>HYPERLINK("https://lsnyc.legalserver.org/matter/dynamic-profile/view/1909569","19-1909569")</f>
        <v>0</v>
      </c>
      <c r="B5325" t="s">
        <v>4215</v>
      </c>
      <c r="C5325" t="s">
        <v>9050</v>
      </c>
      <c r="D5325" t="s">
        <v>9945</v>
      </c>
      <c r="E5325" t="s">
        <v>10075</v>
      </c>
      <c r="F5325">
        <v>11422</v>
      </c>
      <c r="G5325" t="s">
        <v>10092</v>
      </c>
      <c r="H5325" t="s">
        <v>10099</v>
      </c>
      <c r="I5325" t="s">
        <v>10168</v>
      </c>
      <c r="J5325" t="s">
        <v>10212</v>
      </c>
      <c r="K5325" t="s">
        <v>10218</v>
      </c>
      <c r="L5325" t="s">
        <v>10167</v>
      </c>
      <c r="M5325" t="s">
        <v>10342</v>
      </c>
      <c r="N5325" t="s">
        <v>10650</v>
      </c>
      <c r="P5325" t="s">
        <v>10749</v>
      </c>
      <c r="Q5325" t="s">
        <v>10765</v>
      </c>
      <c r="R5325" t="s">
        <v>10824</v>
      </c>
      <c r="T5325">
        <v>20000</v>
      </c>
      <c r="U5325">
        <v>1666.67</v>
      </c>
      <c r="V5325">
        <v>26</v>
      </c>
      <c r="W5325">
        <v>1</v>
      </c>
      <c r="X5325">
        <v>0</v>
      </c>
      <c r="Y5325" t="s">
        <v>10829</v>
      </c>
      <c r="Z5325">
        <v>160.13</v>
      </c>
      <c r="AA5325">
        <v>40.653838</v>
      </c>
      <c r="AB5325">
        <v>-73.72624399999999</v>
      </c>
      <c r="AD5325" t="s">
        <v>10840</v>
      </c>
      <c r="AG5325" t="s">
        <v>10858</v>
      </c>
      <c r="AH5325" t="s">
        <v>10862</v>
      </c>
      <c r="AI5325">
        <v>237</v>
      </c>
      <c r="AJ5325" t="s">
        <v>10212</v>
      </c>
      <c r="AK5325" t="s">
        <v>10882</v>
      </c>
      <c r="AL5325">
        <v>2.31</v>
      </c>
      <c r="AM5325" t="s">
        <v>10892</v>
      </c>
      <c r="AN5325" t="s">
        <v>10955</v>
      </c>
      <c r="AO5325" t="s">
        <v>11017</v>
      </c>
      <c r="AP5325" t="s">
        <v>11082</v>
      </c>
      <c r="AR5325" t="s">
        <v>11257</v>
      </c>
      <c r="AS5325" t="s">
        <v>11594</v>
      </c>
      <c r="AT5325" t="s">
        <v>11642</v>
      </c>
      <c r="AX5325" t="s">
        <v>10838</v>
      </c>
      <c r="AY5325" t="s">
        <v>10829</v>
      </c>
      <c r="AZ5325" t="s">
        <v>11681</v>
      </c>
      <c r="BA5325" t="s">
        <v>11741</v>
      </c>
      <c r="BB5325">
        <v>0</v>
      </c>
      <c r="BC5325">
        <v>0</v>
      </c>
      <c r="BD5325">
        <v>0</v>
      </c>
      <c r="BE5325">
        <v>0</v>
      </c>
      <c r="BF5325">
        <v>1</v>
      </c>
      <c r="BG5325">
        <v>0</v>
      </c>
    </row>
    <row r="5326" spans="1:59">
      <c r="A5326" s="1">
        <f>HYPERLINK("https://lsnyc.legalserver.org/matter/dynamic-profile/view/1909570","19-1909570")</f>
        <v>0</v>
      </c>
      <c r="B5326" t="s">
        <v>4216</v>
      </c>
      <c r="C5326" t="s">
        <v>9051</v>
      </c>
      <c r="D5326" t="s">
        <v>9926</v>
      </c>
      <c r="E5326" t="s">
        <v>10075</v>
      </c>
      <c r="F5326">
        <v>10451</v>
      </c>
      <c r="G5326" t="s">
        <v>10090</v>
      </c>
      <c r="H5326" t="s">
        <v>10099</v>
      </c>
      <c r="I5326" t="s">
        <v>10169</v>
      </c>
      <c r="J5326" t="s">
        <v>10210</v>
      </c>
      <c r="K5326" t="s">
        <v>10218</v>
      </c>
      <c r="L5326" t="s">
        <v>4843</v>
      </c>
      <c r="M5326" t="s">
        <v>10262</v>
      </c>
      <c r="N5326" t="s">
        <v>10666</v>
      </c>
      <c r="P5326" t="s">
        <v>10749</v>
      </c>
      <c r="Q5326" t="s">
        <v>10765</v>
      </c>
      <c r="R5326" t="s">
        <v>10821</v>
      </c>
      <c r="T5326">
        <v>10400</v>
      </c>
      <c r="U5326">
        <v>866.67</v>
      </c>
      <c r="V5326">
        <v>59</v>
      </c>
      <c r="W5326">
        <v>1</v>
      </c>
      <c r="X5326">
        <v>0</v>
      </c>
      <c r="Y5326" t="s">
        <v>10829</v>
      </c>
      <c r="Z5326">
        <v>83.27</v>
      </c>
      <c r="AA5326">
        <v>40.824462</v>
      </c>
      <c r="AB5326">
        <v>-73.917142</v>
      </c>
      <c r="AD5326" t="s">
        <v>10839</v>
      </c>
      <c r="AF5326" t="s">
        <v>10843</v>
      </c>
      <c r="AG5326" t="s">
        <v>10859</v>
      </c>
      <c r="AH5326" t="s">
        <v>10861</v>
      </c>
      <c r="AI5326">
        <v>230</v>
      </c>
      <c r="AJ5326" t="s">
        <v>10210</v>
      </c>
      <c r="AK5326" t="s">
        <v>10882</v>
      </c>
      <c r="AL5326">
        <v>0.3</v>
      </c>
      <c r="AM5326" t="s">
        <v>10884</v>
      </c>
      <c r="AN5326" t="s">
        <v>10918</v>
      </c>
      <c r="AO5326" t="s">
        <v>11001</v>
      </c>
      <c r="AP5326" t="s">
        <v>11055</v>
      </c>
      <c r="AR5326" t="s">
        <v>11257</v>
      </c>
      <c r="AS5326" t="s">
        <v>9926</v>
      </c>
      <c r="AT5326" t="s">
        <v>11641</v>
      </c>
      <c r="AX5326" t="s">
        <v>10838</v>
      </c>
      <c r="AY5326" t="s">
        <v>10829</v>
      </c>
      <c r="AZ5326" t="s">
        <v>11681</v>
      </c>
      <c r="BA5326" t="s">
        <v>11741</v>
      </c>
      <c r="BB5326">
        <v>0</v>
      </c>
      <c r="BC5326">
        <v>0</v>
      </c>
      <c r="BD5326">
        <v>0</v>
      </c>
      <c r="BE5326">
        <v>0</v>
      </c>
      <c r="BF5326">
        <v>1</v>
      </c>
      <c r="BG5326">
        <v>0</v>
      </c>
    </row>
    <row r="5327" spans="1:59">
      <c r="A5327" s="1">
        <f>HYPERLINK("https://lsnyc.legalserver.org/matter/dynamic-profile/view/1909571","19-1909571")</f>
        <v>0</v>
      </c>
      <c r="B5327" t="s">
        <v>4217</v>
      </c>
      <c r="C5327" t="s">
        <v>9052</v>
      </c>
      <c r="D5327" t="s">
        <v>9932</v>
      </c>
      <c r="E5327" t="s">
        <v>10075</v>
      </c>
      <c r="F5327">
        <v>11368</v>
      </c>
      <c r="G5327" t="s">
        <v>10092</v>
      </c>
      <c r="H5327" t="s">
        <v>10099</v>
      </c>
      <c r="J5327" t="s">
        <v>10212</v>
      </c>
      <c r="K5327" t="s">
        <v>10217</v>
      </c>
      <c r="M5327" t="s">
        <v>10343</v>
      </c>
      <c r="N5327" t="s">
        <v>10695</v>
      </c>
      <c r="P5327" t="s">
        <v>10749</v>
      </c>
      <c r="Q5327" t="s">
        <v>10765</v>
      </c>
      <c r="R5327" t="s">
        <v>10821</v>
      </c>
      <c r="T5327">
        <v>0</v>
      </c>
      <c r="U5327">
        <v>0</v>
      </c>
      <c r="V5327">
        <v>46</v>
      </c>
      <c r="W5327">
        <v>1</v>
      </c>
      <c r="X5327">
        <v>1</v>
      </c>
      <c r="Z5327">
        <v>0</v>
      </c>
      <c r="AA5327">
        <v>40.738326</v>
      </c>
      <c r="AB5327">
        <v>-73.853928</v>
      </c>
      <c r="AD5327" t="s">
        <v>10839</v>
      </c>
      <c r="AG5327" t="s">
        <v>10858</v>
      </c>
      <c r="AH5327" t="s">
        <v>10862</v>
      </c>
      <c r="AI5327">
        <v>237</v>
      </c>
      <c r="AJ5327" t="s">
        <v>10212</v>
      </c>
      <c r="AL5327">
        <v>3.6</v>
      </c>
      <c r="AM5327" t="s">
        <v>10885</v>
      </c>
      <c r="AN5327" t="s">
        <v>10916</v>
      </c>
      <c r="AO5327" t="s">
        <v>11014</v>
      </c>
      <c r="AP5327" t="s">
        <v>11068</v>
      </c>
      <c r="AR5327" t="s">
        <v>11279</v>
      </c>
      <c r="AS5327" t="s">
        <v>11594</v>
      </c>
      <c r="AX5327" t="s">
        <v>10838</v>
      </c>
      <c r="BA5327" t="s">
        <v>11741</v>
      </c>
      <c r="BB5327">
        <v>0</v>
      </c>
      <c r="BC5327">
        <v>0</v>
      </c>
      <c r="BD5327">
        <v>0</v>
      </c>
      <c r="BE5327">
        <v>0</v>
      </c>
      <c r="BF5327">
        <v>1</v>
      </c>
      <c r="BG5327">
        <v>0</v>
      </c>
    </row>
    <row r="5328" spans="1:59">
      <c r="A5328" s="1">
        <f>HYPERLINK("https://lsnyc.legalserver.org/matter/dynamic-profile/view/1909572","19-1909572")</f>
        <v>0</v>
      </c>
      <c r="B5328" t="s">
        <v>1468</v>
      </c>
      <c r="C5328" t="s">
        <v>7402</v>
      </c>
      <c r="D5328" t="s">
        <v>9926</v>
      </c>
      <c r="E5328" t="s">
        <v>10075</v>
      </c>
      <c r="F5328">
        <v>10451</v>
      </c>
      <c r="G5328" t="s">
        <v>10090</v>
      </c>
      <c r="H5328" t="s">
        <v>10099</v>
      </c>
      <c r="I5328" t="s">
        <v>10168</v>
      </c>
      <c r="J5328" t="s">
        <v>10210</v>
      </c>
      <c r="K5328" t="s">
        <v>10217</v>
      </c>
      <c r="M5328" t="s">
        <v>10596</v>
      </c>
      <c r="N5328" t="s">
        <v>10688</v>
      </c>
      <c r="P5328" t="s">
        <v>10751</v>
      </c>
      <c r="Q5328" t="s">
        <v>10776</v>
      </c>
      <c r="R5328" t="s">
        <v>10824</v>
      </c>
      <c r="T5328">
        <v>23400</v>
      </c>
      <c r="U5328">
        <v>1950</v>
      </c>
      <c r="V5328">
        <v>29</v>
      </c>
      <c r="W5328">
        <v>1</v>
      </c>
      <c r="X5328">
        <v>2</v>
      </c>
      <c r="Z5328">
        <v>109.7</v>
      </c>
      <c r="AA5328">
        <v>40.814675</v>
      </c>
      <c r="AB5328">
        <v>-73.922044</v>
      </c>
      <c r="AD5328" t="s">
        <v>10839</v>
      </c>
      <c r="AF5328" t="s">
        <v>10842</v>
      </c>
      <c r="AG5328" t="s">
        <v>10859</v>
      </c>
      <c r="AH5328" t="s">
        <v>10864</v>
      </c>
      <c r="AI5328">
        <v>230</v>
      </c>
      <c r="AJ5328" t="s">
        <v>10210</v>
      </c>
      <c r="AL5328">
        <v>3</v>
      </c>
      <c r="AQ5328" t="s">
        <v>11156</v>
      </c>
      <c r="AR5328" t="s">
        <v>11257</v>
      </c>
      <c r="AS5328" t="s">
        <v>9926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</row>
    <row r="5329" spans="1:59">
      <c r="A5329" s="1">
        <f>HYPERLINK("https://lsnyc.legalserver.org/matter/dynamic-profile/view/1909573","19-1909573")</f>
        <v>0</v>
      </c>
      <c r="B5329" t="s">
        <v>4218</v>
      </c>
      <c r="C5329" t="s">
        <v>9053</v>
      </c>
      <c r="D5329" t="s">
        <v>9938</v>
      </c>
      <c r="E5329" t="s">
        <v>10075</v>
      </c>
      <c r="F5329">
        <v>11433</v>
      </c>
      <c r="G5329" t="s">
        <v>10092</v>
      </c>
      <c r="H5329" t="s">
        <v>10163</v>
      </c>
      <c r="I5329" t="s">
        <v>10168</v>
      </c>
      <c r="J5329" t="s">
        <v>10212</v>
      </c>
      <c r="K5329" t="s">
        <v>10217</v>
      </c>
      <c r="M5329" t="s">
        <v>10408</v>
      </c>
      <c r="N5329" t="s">
        <v>10671</v>
      </c>
      <c r="P5329" t="s">
        <v>10751</v>
      </c>
      <c r="Q5329" t="s">
        <v>10761</v>
      </c>
      <c r="R5329" t="s">
        <v>10824</v>
      </c>
      <c r="T5329">
        <v>9600</v>
      </c>
      <c r="U5329">
        <v>800</v>
      </c>
      <c r="V5329">
        <v>35</v>
      </c>
      <c r="W5329">
        <v>1</v>
      </c>
      <c r="X5329">
        <v>3</v>
      </c>
      <c r="Z5329">
        <v>37.28</v>
      </c>
      <c r="AA5329">
        <v>40.697389</v>
      </c>
      <c r="AB5329">
        <v>-73.775353</v>
      </c>
      <c r="AD5329" t="s">
        <v>10839</v>
      </c>
      <c r="AG5329" t="s">
        <v>10858</v>
      </c>
      <c r="AH5329" t="s">
        <v>10862</v>
      </c>
      <c r="AI5329">
        <v>237</v>
      </c>
      <c r="AJ5329" t="s">
        <v>10212</v>
      </c>
      <c r="AL5329">
        <v>0.58</v>
      </c>
      <c r="AM5329" t="s">
        <v>10892</v>
      </c>
      <c r="AN5329" t="s">
        <v>10955</v>
      </c>
      <c r="AO5329" t="s">
        <v>11020</v>
      </c>
      <c r="AP5329" t="s">
        <v>11075</v>
      </c>
      <c r="AR5329" t="s">
        <v>10180</v>
      </c>
      <c r="AS5329" t="s">
        <v>11594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</row>
    <row r="5330" spans="1:59">
      <c r="A5330" s="1">
        <f>HYPERLINK("https://lsnyc.legalserver.org/matter/dynamic-profile/view/1909574","19-1909574")</f>
        <v>0</v>
      </c>
      <c r="B5330" t="s">
        <v>4219</v>
      </c>
      <c r="C5330" t="s">
        <v>6653</v>
      </c>
      <c r="D5330" t="s">
        <v>9928</v>
      </c>
      <c r="E5330" t="s">
        <v>10075</v>
      </c>
      <c r="F5330">
        <v>11218</v>
      </c>
      <c r="G5330" t="s">
        <v>10093</v>
      </c>
      <c r="H5330" t="s">
        <v>10099</v>
      </c>
      <c r="I5330" t="s">
        <v>10203</v>
      </c>
      <c r="J5330" t="s">
        <v>10213</v>
      </c>
      <c r="K5330" t="s">
        <v>10217</v>
      </c>
      <c r="M5330" t="s">
        <v>10345</v>
      </c>
      <c r="N5330" t="s">
        <v>10671</v>
      </c>
      <c r="P5330" t="s">
        <v>10749</v>
      </c>
      <c r="Q5330" t="s">
        <v>10765</v>
      </c>
      <c r="R5330" t="s">
        <v>10827</v>
      </c>
      <c r="T5330">
        <v>44000</v>
      </c>
      <c r="U5330">
        <v>3666.67</v>
      </c>
      <c r="V5330">
        <v>52</v>
      </c>
      <c r="W5330">
        <v>5</v>
      </c>
      <c r="X5330">
        <v>0</v>
      </c>
      <c r="Z5330">
        <v>145.84</v>
      </c>
      <c r="AA5330">
        <v>40.640829</v>
      </c>
      <c r="AB5330">
        <v>-73.978802</v>
      </c>
      <c r="AD5330" t="s">
        <v>10839</v>
      </c>
      <c r="AF5330" t="s">
        <v>10843</v>
      </c>
      <c r="AG5330" t="s">
        <v>10859</v>
      </c>
      <c r="AH5330" t="s">
        <v>10862</v>
      </c>
      <c r="AI5330">
        <v>239</v>
      </c>
      <c r="AJ5330" t="s">
        <v>10213</v>
      </c>
      <c r="AL5330">
        <v>5</v>
      </c>
      <c r="AM5330" t="s">
        <v>10894</v>
      </c>
      <c r="AN5330" t="s">
        <v>10941</v>
      </c>
      <c r="AO5330" t="s">
        <v>11008</v>
      </c>
      <c r="AP5330" t="s">
        <v>11059</v>
      </c>
      <c r="AR5330" t="s">
        <v>11257</v>
      </c>
      <c r="AS5330" t="s">
        <v>11595</v>
      </c>
      <c r="BA5330" t="s">
        <v>11740</v>
      </c>
      <c r="BB5330">
        <v>0</v>
      </c>
      <c r="BC5330">
        <v>0</v>
      </c>
      <c r="BD5330">
        <v>0</v>
      </c>
      <c r="BE5330">
        <v>0</v>
      </c>
      <c r="BF5330">
        <v>2</v>
      </c>
      <c r="BG5330">
        <v>0</v>
      </c>
    </row>
    <row r="5331" spans="1:59">
      <c r="A5331" s="1">
        <f>HYPERLINK("https://lsnyc.legalserver.org/matter/dynamic-profile/view/1909575","19-1909575")</f>
        <v>0</v>
      </c>
      <c r="B5331" t="s">
        <v>4209</v>
      </c>
      <c r="C5331" t="s">
        <v>9042</v>
      </c>
      <c r="D5331" t="s">
        <v>9946</v>
      </c>
      <c r="E5331" t="s">
        <v>10075</v>
      </c>
      <c r="F5331">
        <v>11385</v>
      </c>
      <c r="G5331" t="s">
        <v>10092</v>
      </c>
      <c r="H5331" t="s">
        <v>10099</v>
      </c>
      <c r="I5331" t="s">
        <v>10169</v>
      </c>
      <c r="J5331" t="s">
        <v>10212</v>
      </c>
      <c r="K5331" t="s">
        <v>10217</v>
      </c>
      <c r="M5331" t="s">
        <v>10422</v>
      </c>
      <c r="N5331" t="s">
        <v>10672</v>
      </c>
      <c r="P5331" t="s">
        <v>10753</v>
      </c>
      <c r="Q5331" t="s">
        <v>10763</v>
      </c>
      <c r="R5331" t="s">
        <v>10823</v>
      </c>
      <c r="T5331">
        <v>30000</v>
      </c>
      <c r="U5331">
        <v>2500</v>
      </c>
      <c r="V5331">
        <v>30</v>
      </c>
      <c r="W5331">
        <v>3</v>
      </c>
      <c r="X5331">
        <v>2</v>
      </c>
      <c r="Z5331">
        <v>99.44</v>
      </c>
      <c r="AA5331">
        <v>40.706189</v>
      </c>
      <c r="AB5331">
        <v>-73.90696199999999</v>
      </c>
      <c r="AD5331" t="s">
        <v>10839</v>
      </c>
      <c r="AF5331" t="s">
        <v>10842</v>
      </c>
      <c r="AG5331" t="s">
        <v>10859</v>
      </c>
      <c r="AH5331" t="s">
        <v>10864</v>
      </c>
      <c r="AI5331">
        <v>237</v>
      </c>
      <c r="AJ5331" t="s">
        <v>10212</v>
      </c>
      <c r="AL5331">
        <v>0.67</v>
      </c>
      <c r="AQ5331" t="s">
        <v>11230</v>
      </c>
      <c r="AR5331" t="s">
        <v>11257</v>
      </c>
      <c r="AS5331" t="s">
        <v>11594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</row>
    <row r="5332" spans="1:59">
      <c r="A5332" s="1">
        <f>HYPERLINK("https://lsnyc.legalserver.org/matter/dynamic-profile/view/1909576","19-1909576")</f>
        <v>0</v>
      </c>
      <c r="B5332" t="s">
        <v>2645</v>
      </c>
      <c r="C5332" t="s">
        <v>9054</v>
      </c>
      <c r="D5332" t="s">
        <v>9926</v>
      </c>
      <c r="E5332" t="s">
        <v>10075</v>
      </c>
      <c r="F5332">
        <v>10453</v>
      </c>
      <c r="G5332" t="s">
        <v>10093</v>
      </c>
      <c r="H5332" t="s">
        <v>10116</v>
      </c>
      <c r="I5332" t="s">
        <v>10168</v>
      </c>
      <c r="J5332" t="s">
        <v>10213</v>
      </c>
      <c r="K5332" t="s">
        <v>10217</v>
      </c>
      <c r="M5332" t="s">
        <v>10580</v>
      </c>
      <c r="N5332" t="s">
        <v>10686</v>
      </c>
      <c r="P5332" t="s">
        <v>10750</v>
      </c>
      <c r="Q5332" t="s">
        <v>10778</v>
      </c>
      <c r="R5332" t="s">
        <v>10824</v>
      </c>
      <c r="T5332">
        <v>0</v>
      </c>
      <c r="U5332">
        <v>0</v>
      </c>
      <c r="V5332">
        <v>64</v>
      </c>
      <c r="W5332">
        <v>1</v>
      </c>
      <c r="X5332">
        <v>0</v>
      </c>
      <c r="Z5332">
        <v>0</v>
      </c>
      <c r="AA5332">
        <v>40.846278</v>
      </c>
      <c r="AB5332">
        <v>-73.911812</v>
      </c>
      <c r="AD5332" t="s">
        <v>10840</v>
      </c>
      <c r="AG5332" t="s">
        <v>10858</v>
      </c>
      <c r="AH5332" t="s">
        <v>10862</v>
      </c>
      <c r="AI5332">
        <v>239</v>
      </c>
      <c r="AJ5332" t="s">
        <v>10213</v>
      </c>
      <c r="AL5332">
        <v>0.6</v>
      </c>
      <c r="AM5332" t="s">
        <v>10884</v>
      </c>
      <c r="AN5332" t="s">
        <v>10929</v>
      </c>
      <c r="AO5332" t="s">
        <v>11000</v>
      </c>
      <c r="AP5332" t="s">
        <v>11045</v>
      </c>
      <c r="AQ5332" t="s">
        <v>11219</v>
      </c>
      <c r="AR5332" t="s">
        <v>11266</v>
      </c>
      <c r="AS5332" t="s">
        <v>9926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</row>
    <row r="5333" spans="1:59">
      <c r="A5333" s="1">
        <f>HYPERLINK("https://lsnyc.legalserver.org/matter/dynamic-profile/view/1909579","19-1909579")</f>
        <v>0</v>
      </c>
      <c r="B5333" t="s">
        <v>4220</v>
      </c>
      <c r="C5333" t="s">
        <v>9055</v>
      </c>
      <c r="D5333" t="s">
        <v>9926</v>
      </c>
      <c r="E5333" t="s">
        <v>10075</v>
      </c>
      <c r="F5333">
        <v>10463</v>
      </c>
      <c r="G5333" t="s">
        <v>10090</v>
      </c>
      <c r="H5333" t="s">
        <v>10099</v>
      </c>
      <c r="I5333" t="s">
        <v>10168</v>
      </c>
      <c r="J5333" t="s">
        <v>10210</v>
      </c>
      <c r="K5333" t="s">
        <v>10218</v>
      </c>
      <c r="L5333" t="s">
        <v>10116</v>
      </c>
      <c r="M5333" t="s">
        <v>10250</v>
      </c>
      <c r="N5333" t="s">
        <v>10650</v>
      </c>
      <c r="P5333" t="s">
        <v>10749</v>
      </c>
      <c r="Q5333" t="s">
        <v>10765</v>
      </c>
      <c r="R5333" t="s">
        <v>10820</v>
      </c>
      <c r="T5333">
        <v>24960</v>
      </c>
      <c r="U5333">
        <v>2080</v>
      </c>
      <c r="V5333">
        <v>83</v>
      </c>
      <c r="W5333">
        <v>1</v>
      </c>
      <c r="X5333">
        <v>0</v>
      </c>
      <c r="Y5333" t="s">
        <v>10829</v>
      </c>
      <c r="Z5333">
        <v>199.84</v>
      </c>
      <c r="AA5333">
        <v>40.87803</v>
      </c>
      <c r="AB5333">
        <v>-73.916923</v>
      </c>
      <c r="AD5333" t="s">
        <v>10840</v>
      </c>
      <c r="AG5333" t="s">
        <v>10858</v>
      </c>
      <c r="AH5333" t="s">
        <v>10862</v>
      </c>
      <c r="AI5333">
        <v>230</v>
      </c>
      <c r="AJ5333" t="s">
        <v>10210</v>
      </c>
      <c r="AK5333" t="s">
        <v>10882</v>
      </c>
      <c r="AL5333">
        <v>0.4</v>
      </c>
      <c r="AM5333" t="s">
        <v>10893</v>
      </c>
      <c r="AN5333" t="s">
        <v>10919</v>
      </c>
      <c r="AO5333" t="s">
        <v>11002</v>
      </c>
      <c r="AP5333" t="s">
        <v>11057</v>
      </c>
      <c r="AR5333" t="s">
        <v>11564</v>
      </c>
      <c r="AS5333" t="s">
        <v>9926</v>
      </c>
      <c r="AT5333" t="s">
        <v>11642</v>
      </c>
      <c r="AY5333" t="s">
        <v>10829</v>
      </c>
      <c r="AZ5333" t="s">
        <v>11681</v>
      </c>
      <c r="BA5333" t="s">
        <v>11741</v>
      </c>
      <c r="BB5333">
        <v>0</v>
      </c>
      <c r="BC5333">
        <v>0</v>
      </c>
      <c r="BD5333">
        <v>0</v>
      </c>
      <c r="BE5333">
        <v>0</v>
      </c>
      <c r="BF5333">
        <v>1</v>
      </c>
      <c r="BG5333">
        <v>0</v>
      </c>
    </row>
    <row r="5334" spans="1:59">
      <c r="A5334" s="1">
        <f>HYPERLINK("https://lsnyc.legalserver.org/matter/dynamic-profile/view/1909580","19-1909580")</f>
        <v>0</v>
      </c>
      <c r="B5334" t="s">
        <v>4034</v>
      </c>
      <c r="C5334" t="s">
        <v>5777</v>
      </c>
      <c r="D5334" t="s">
        <v>9925</v>
      </c>
      <c r="E5334" t="s">
        <v>10075</v>
      </c>
      <c r="F5334">
        <v>10040</v>
      </c>
      <c r="G5334" t="s">
        <v>10089</v>
      </c>
      <c r="H5334" t="s">
        <v>10099</v>
      </c>
      <c r="I5334" t="s">
        <v>10169</v>
      </c>
      <c r="J5334" t="s">
        <v>10209</v>
      </c>
      <c r="K5334" t="s">
        <v>10217</v>
      </c>
      <c r="M5334" t="s">
        <v>10604</v>
      </c>
      <c r="N5334" t="s">
        <v>10650</v>
      </c>
      <c r="P5334" t="s">
        <v>10749</v>
      </c>
      <c r="Q5334" t="s">
        <v>10765</v>
      </c>
      <c r="R5334" t="s">
        <v>10821</v>
      </c>
      <c r="T5334">
        <v>0</v>
      </c>
      <c r="U5334">
        <v>0</v>
      </c>
      <c r="V5334">
        <v>70</v>
      </c>
      <c r="W5334">
        <v>1</v>
      </c>
      <c r="X5334">
        <v>0</v>
      </c>
      <c r="Z5334">
        <v>0</v>
      </c>
      <c r="AA5334">
        <v>40.861784</v>
      </c>
      <c r="AB5334">
        <v>-73.926269</v>
      </c>
      <c r="AD5334" t="s">
        <v>10839</v>
      </c>
      <c r="AG5334" t="s">
        <v>10858</v>
      </c>
      <c r="AH5334" t="s">
        <v>10862</v>
      </c>
      <c r="AI5334">
        <v>236</v>
      </c>
      <c r="AJ5334" t="s">
        <v>10209</v>
      </c>
      <c r="AL5334">
        <v>1.3</v>
      </c>
      <c r="AM5334" t="s">
        <v>10887</v>
      </c>
      <c r="AN5334" t="s">
        <v>10937</v>
      </c>
      <c r="AO5334" t="s">
        <v>11019</v>
      </c>
      <c r="AP5334" t="s">
        <v>11074</v>
      </c>
      <c r="AQ5334" t="s">
        <v>11186</v>
      </c>
      <c r="AR5334" t="s">
        <v>11267</v>
      </c>
      <c r="AS5334" t="s">
        <v>9925</v>
      </c>
      <c r="AT5334" t="s">
        <v>11641</v>
      </c>
      <c r="AX5334" t="s">
        <v>10838</v>
      </c>
      <c r="BA5334" t="s">
        <v>11740</v>
      </c>
      <c r="BB5334">
        <v>0</v>
      </c>
      <c r="BC5334">
        <v>0</v>
      </c>
      <c r="BD5334">
        <v>0</v>
      </c>
      <c r="BE5334">
        <v>0</v>
      </c>
      <c r="BF5334">
        <v>2</v>
      </c>
      <c r="BG5334">
        <v>0</v>
      </c>
    </row>
    <row r="5335" spans="1:59">
      <c r="A5335" s="1">
        <f>HYPERLINK("https://lsnyc.legalserver.org/matter/dynamic-profile/view/1909582","19-1909582")</f>
        <v>0</v>
      </c>
      <c r="B5335" t="s">
        <v>3369</v>
      </c>
      <c r="C5335" t="s">
        <v>9056</v>
      </c>
      <c r="D5335" t="s">
        <v>9928</v>
      </c>
      <c r="E5335" t="s">
        <v>10075</v>
      </c>
      <c r="F5335">
        <v>11204</v>
      </c>
      <c r="G5335" t="s">
        <v>10093</v>
      </c>
      <c r="H5335" t="s">
        <v>10099</v>
      </c>
      <c r="I5335" t="s">
        <v>10168</v>
      </c>
      <c r="J5335" t="s">
        <v>10213</v>
      </c>
      <c r="K5335" t="s">
        <v>10217</v>
      </c>
      <c r="M5335" t="s">
        <v>10382</v>
      </c>
      <c r="N5335" t="s">
        <v>10657</v>
      </c>
      <c r="O5335" t="s">
        <v>10657</v>
      </c>
      <c r="P5335" t="s">
        <v>10749</v>
      </c>
      <c r="Q5335" t="s">
        <v>10765</v>
      </c>
      <c r="R5335" t="s">
        <v>10827</v>
      </c>
      <c r="T5335">
        <v>15600</v>
      </c>
      <c r="U5335">
        <v>1300</v>
      </c>
      <c r="V5335">
        <v>46</v>
      </c>
      <c r="W5335">
        <v>1</v>
      </c>
      <c r="X5335">
        <v>0</v>
      </c>
      <c r="Z5335">
        <v>124.9</v>
      </c>
      <c r="AA5335">
        <v>40.62085</v>
      </c>
      <c r="AB5335">
        <v>-73.996437</v>
      </c>
      <c r="AD5335" t="s">
        <v>10839</v>
      </c>
      <c r="AG5335" t="s">
        <v>10858</v>
      </c>
      <c r="AH5335" t="s">
        <v>10862</v>
      </c>
      <c r="AI5335">
        <v>239</v>
      </c>
      <c r="AJ5335" t="s">
        <v>10213</v>
      </c>
      <c r="AL5335">
        <v>0</v>
      </c>
      <c r="AM5335" t="s">
        <v>10894</v>
      </c>
      <c r="AN5335" t="s">
        <v>10974</v>
      </c>
      <c r="AO5335" t="s">
        <v>11023</v>
      </c>
      <c r="AP5335" t="s">
        <v>11069</v>
      </c>
      <c r="AQ5335" t="s">
        <v>11101</v>
      </c>
      <c r="AR5335" t="s">
        <v>11276</v>
      </c>
      <c r="AS5335" t="s">
        <v>11595</v>
      </c>
      <c r="BA5335" t="s">
        <v>11741</v>
      </c>
      <c r="BB5335">
        <v>0</v>
      </c>
      <c r="BC5335">
        <v>0</v>
      </c>
      <c r="BD5335">
        <v>0</v>
      </c>
      <c r="BE5335">
        <v>0</v>
      </c>
      <c r="BF5335">
        <v>1</v>
      </c>
      <c r="BG5335">
        <v>0</v>
      </c>
    </row>
    <row r="5336" spans="1:59">
      <c r="A5336" s="1">
        <f>HYPERLINK("https://lsnyc.legalserver.org/matter/dynamic-profile/view/1909583","19-1909583")</f>
        <v>0</v>
      </c>
      <c r="B5336" t="s">
        <v>2790</v>
      </c>
      <c r="C5336" t="s">
        <v>9057</v>
      </c>
      <c r="D5336" t="s">
        <v>9928</v>
      </c>
      <c r="E5336" t="s">
        <v>10075</v>
      </c>
      <c r="F5336">
        <v>11216</v>
      </c>
      <c r="G5336" t="s">
        <v>10093</v>
      </c>
      <c r="H5336" t="s">
        <v>10099</v>
      </c>
      <c r="I5336" t="s">
        <v>10168</v>
      </c>
      <c r="J5336" t="s">
        <v>10213</v>
      </c>
      <c r="K5336" t="s">
        <v>10218</v>
      </c>
      <c r="L5336" t="s">
        <v>10158</v>
      </c>
      <c r="M5336" t="s">
        <v>10264</v>
      </c>
      <c r="N5336" t="s">
        <v>10657</v>
      </c>
      <c r="P5336" t="s">
        <v>10749</v>
      </c>
      <c r="Q5336" t="s">
        <v>10765</v>
      </c>
      <c r="R5336" t="s">
        <v>10822</v>
      </c>
      <c r="T5336">
        <v>18000</v>
      </c>
      <c r="U5336">
        <v>1500</v>
      </c>
      <c r="V5336">
        <v>56</v>
      </c>
      <c r="W5336">
        <v>1</v>
      </c>
      <c r="X5336">
        <v>0</v>
      </c>
      <c r="Y5336" t="s">
        <v>10829</v>
      </c>
      <c r="Z5336">
        <v>144.12</v>
      </c>
      <c r="AA5336">
        <v>40.681393</v>
      </c>
      <c r="AB5336">
        <v>-73.938393</v>
      </c>
      <c r="AD5336" t="s">
        <v>10840</v>
      </c>
      <c r="AG5336" t="s">
        <v>10858</v>
      </c>
      <c r="AH5336" t="s">
        <v>10862</v>
      </c>
      <c r="AI5336">
        <v>239</v>
      </c>
      <c r="AJ5336" t="s">
        <v>10213</v>
      </c>
      <c r="AK5336" t="s">
        <v>10838</v>
      </c>
      <c r="AL5336">
        <v>1.7</v>
      </c>
      <c r="AM5336" t="s">
        <v>10889</v>
      </c>
      <c r="AN5336" t="s">
        <v>10914</v>
      </c>
      <c r="AO5336" t="s">
        <v>11007</v>
      </c>
      <c r="AP5336" t="s">
        <v>11052</v>
      </c>
      <c r="AQ5336" t="s">
        <v>11120</v>
      </c>
      <c r="AR5336" t="s">
        <v>11276</v>
      </c>
      <c r="AS5336" t="s">
        <v>11595</v>
      </c>
      <c r="AY5336" t="s">
        <v>10829</v>
      </c>
      <c r="AZ5336" t="s">
        <v>11681</v>
      </c>
      <c r="BA5336" t="s">
        <v>11741</v>
      </c>
      <c r="BB5336">
        <v>0</v>
      </c>
      <c r="BC5336">
        <v>0</v>
      </c>
      <c r="BD5336">
        <v>0</v>
      </c>
      <c r="BE5336">
        <v>0</v>
      </c>
      <c r="BF5336">
        <v>1</v>
      </c>
      <c r="BG5336">
        <v>0</v>
      </c>
    </row>
    <row r="5337" spans="1:59">
      <c r="A5337" s="1">
        <f>HYPERLINK("https://lsnyc.legalserver.org/matter/dynamic-profile/view/1909584","19-1909584")</f>
        <v>0</v>
      </c>
      <c r="B5337" t="s">
        <v>3145</v>
      </c>
      <c r="C5337" t="s">
        <v>9058</v>
      </c>
      <c r="D5337" t="s">
        <v>9926</v>
      </c>
      <c r="E5337" t="s">
        <v>10075</v>
      </c>
      <c r="F5337">
        <v>10457</v>
      </c>
      <c r="G5337" t="s">
        <v>10090</v>
      </c>
      <c r="H5337" t="s">
        <v>10099</v>
      </c>
      <c r="I5337" t="s">
        <v>10168</v>
      </c>
      <c r="J5337" t="s">
        <v>10210</v>
      </c>
      <c r="K5337" t="s">
        <v>10218</v>
      </c>
      <c r="L5337" t="s">
        <v>10163</v>
      </c>
      <c r="M5337" t="s">
        <v>10250</v>
      </c>
      <c r="N5337" t="s">
        <v>10650</v>
      </c>
      <c r="P5337" t="s">
        <v>10749</v>
      </c>
      <c r="Q5337" t="s">
        <v>10765</v>
      </c>
      <c r="R5337" t="s">
        <v>10824</v>
      </c>
      <c r="T5337">
        <v>10080</v>
      </c>
      <c r="U5337">
        <v>840</v>
      </c>
      <c r="V5337">
        <v>64</v>
      </c>
      <c r="W5337">
        <v>1</v>
      </c>
      <c r="X5337">
        <v>0</v>
      </c>
      <c r="Y5337" t="s">
        <v>10829</v>
      </c>
      <c r="Z5337">
        <v>80.7</v>
      </c>
      <c r="AA5337">
        <v>40.854818</v>
      </c>
      <c r="AB5337">
        <v>-73.90038300000001</v>
      </c>
      <c r="AD5337" t="s">
        <v>10839</v>
      </c>
      <c r="AG5337" t="s">
        <v>10858</v>
      </c>
      <c r="AH5337" t="s">
        <v>10862</v>
      </c>
      <c r="AI5337">
        <v>230</v>
      </c>
      <c r="AJ5337" t="s">
        <v>10210</v>
      </c>
      <c r="AK5337" t="s">
        <v>10882</v>
      </c>
      <c r="AL5337">
        <v>0.2</v>
      </c>
      <c r="AM5337" t="s">
        <v>10884</v>
      </c>
      <c r="AN5337" t="s">
        <v>10931</v>
      </c>
      <c r="AO5337" t="s">
        <v>11000</v>
      </c>
      <c r="AP5337" t="s">
        <v>11056</v>
      </c>
      <c r="AR5337" t="s">
        <v>11258</v>
      </c>
      <c r="AS5337" t="s">
        <v>9926</v>
      </c>
      <c r="AY5337" t="s">
        <v>10829</v>
      </c>
      <c r="AZ5337" t="s">
        <v>11681</v>
      </c>
      <c r="BA5337" t="s">
        <v>11741</v>
      </c>
      <c r="BB5337">
        <v>0</v>
      </c>
      <c r="BC5337">
        <v>0</v>
      </c>
      <c r="BD5337">
        <v>0</v>
      </c>
      <c r="BE5337">
        <v>0</v>
      </c>
      <c r="BF5337">
        <v>1</v>
      </c>
      <c r="BG5337">
        <v>0</v>
      </c>
    </row>
    <row r="5338" spans="1:59">
      <c r="A5338" s="1">
        <f>HYPERLINK("https://lsnyc.legalserver.org/matter/dynamic-profile/view/1909585","19-1909585")</f>
        <v>0</v>
      </c>
      <c r="B5338" t="s">
        <v>4221</v>
      </c>
      <c r="C5338" t="s">
        <v>9059</v>
      </c>
      <c r="D5338" t="s">
        <v>9928</v>
      </c>
      <c r="E5338" t="s">
        <v>10075</v>
      </c>
      <c r="F5338">
        <v>11230</v>
      </c>
      <c r="G5338" t="s">
        <v>10093</v>
      </c>
      <c r="H5338" t="s">
        <v>10099</v>
      </c>
      <c r="J5338" t="s">
        <v>10213</v>
      </c>
      <c r="K5338" t="s">
        <v>10217</v>
      </c>
      <c r="M5338" t="s">
        <v>10570</v>
      </c>
      <c r="N5338" t="s">
        <v>10664</v>
      </c>
      <c r="P5338" t="s">
        <v>10749</v>
      </c>
      <c r="Q5338" t="s">
        <v>10765</v>
      </c>
      <c r="R5338" t="s">
        <v>10822</v>
      </c>
      <c r="T5338">
        <v>3492</v>
      </c>
      <c r="U5338">
        <v>291</v>
      </c>
      <c r="V5338">
        <v>34</v>
      </c>
      <c r="W5338">
        <v>1</v>
      </c>
      <c r="X5338">
        <v>1</v>
      </c>
      <c r="Z5338">
        <v>20.65</v>
      </c>
      <c r="AA5338">
        <v>40.617671</v>
      </c>
      <c r="AB5338">
        <v>-73.955645</v>
      </c>
      <c r="AD5338" t="s">
        <v>10822</v>
      </c>
      <c r="AG5338" t="s">
        <v>10858</v>
      </c>
      <c r="AH5338" t="s">
        <v>10862</v>
      </c>
      <c r="AI5338">
        <v>239</v>
      </c>
      <c r="AJ5338" t="s">
        <v>10213</v>
      </c>
      <c r="AL5338">
        <v>20.75</v>
      </c>
      <c r="AM5338" t="s">
        <v>10888</v>
      </c>
      <c r="AN5338" t="s">
        <v>10932</v>
      </c>
      <c r="AO5338" t="s">
        <v>11015</v>
      </c>
      <c r="AP5338" t="s">
        <v>11092</v>
      </c>
      <c r="AR5338" t="s">
        <v>11255</v>
      </c>
      <c r="AS5338" t="s">
        <v>11595</v>
      </c>
      <c r="BA5338" t="s">
        <v>11738</v>
      </c>
      <c r="BB5338">
        <v>0</v>
      </c>
      <c r="BC5338">
        <v>0</v>
      </c>
      <c r="BD5338">
        <v>0</v>
      </c>
      <c r="BE5338">
        <v>0</v>
      </c>
      <c r="BF5338">
        <v>5</v>
      </c>
      <c r="BG5338">
        <v>0</v>
      </c>
    </row>
    <row r="5339" spans="1:59">
      <c r="A5339" s="1">
        <f>HYPERLINK("https://lsnyc.legalserver.org/matter/dynamic-profile/view/1909586","19-1909586")</f>
        <v>0</v>
      </c>
      <c r="B5339" t="s">
        <v>4222</v>
      </c>
      <c r="C5339" t="s">
        <v>9060</v>
      </c>
      <c r="D5339" t="s">
        <v>9928</v>
      </c>
      <c r="E5339" t="s">
        <v>10075</v>
      </c>
      <c r="F5339">
        <v>11210</v>
      </c>
      <c r="G5339" t="s">
        <v>10093</v>
      </c>
      <c r="H5339" t="s">
        <v>10163</v>
      </c>
      <c r="I5339" t="s">
        <v>10168</v>
      </c>
      <c r="J5339" t="s">
        <v>10213</v>
      </c>
      <c r="K5339" t="s">
        <v>10217</v>
      </c>
      <c r="M5339" t="s">
        <v>10359</v>
      </c>
      <c r="N5339" t="s">
        <v>10664</v>
      </c>
      <c r="P5339" t="s">
        <v>10749</v>
      </c>
      <c r="Q5339" t="s">
        <v>10765</v>
      </c>
      <c r="R5339" t="s">
        <v>10824</v>
      </c>
      <c r="T5339">
        <v>19620</v>
      </c>
      <c r="U5339">
        <v>1635</v>
      </c>
      <c r="V5339">
        <v>65</v>
      </c>
      <c r="W5339">
        <v>1</v>
      </c>
      <c r="X5339">
        <v>0</v>
      </c>
      <c r="Z5339">
        <v>157.09</v>
      </c>
      <c r="AA5339">
        <v>40.63031</v>
      </c>
      <c r="AB5339">
        <v>-73.945993</v>
      </c>
      <c r="AD5339" t="s">
        <v>10839</v>
      </c>
      <c r="AG5339" t="s">
        <v>10858</v>
      </c>
      <c r="AH5339" t="s">
        <v>10862</v>
      </c>
      <c r="AI5339">
        <v>239</v>
      </c>
      <c r="AJ5339" t="s">
        <v>10213</v>
      </c>
      <c r="AL5339">
        <v>0</v>
      </c>
      <c r="AM5339" t="s">
        <v>10888</v>
      </c>
      <c r="AN5339" t="s">
        <v>10932</v>
      </c>
      <c r="AO5339" t="s">
        <v>11008</v>
      </c>
      <c r="AP5339" t="s">
        <v>11065</v>
      </c>
      <c r="AQ5339" t="s">
        <v>11101</v>
      </c>
      <c r="AR5339" t="s">
        <v>11263</v>
      </c>
      <c r="AS5339" t="s">
        <v>11595</v>
      </c>
      <c r="AT5339" t="s">
        <v>11641</v>
      </c>
      <c r="AX5339" t="s">
        <v>10838</v>
      </c>
      <c r="BA5339" t="s">
        <v>11741</v>
      </c>
      <c r="BB5339">
        <v>0</v>
      </c>
      <c r="BC5339">
        <v>0</v>
      </c>
      <c r="BD5339">
        <v>0</v>
      </c>
      <c r="BE5339">
        <v>0</v>
      </c>
      <c r="BF5339">
        <v>1</v>
      </c>
      <c r="BG5339">
        <v>0</v>
      </c>
    </row>
    <row r="5340" spans="1:59">
      <c r="A5340" s="1">
        <f>HYPERLINK("https://lsnyc.legalserver.org/matter/dynamic-profile/view/1909587","19-1909587")</f>
        <v>0</v>
      </c>
      <c r="B5340" t="s">
        <v>4223</v>
      </c>
      <c r="C5340" t="s">
        <v>9061</v>
      </c>
      <c r="D5340" t="s">
        <v>9928</v>
      </c>
      <c r="E5340" t="s">
        <v>10075</v>
      </c>
      <c r="F5340">
        <v>11215</v>
      </c>
      <c r="G5340" t="s">
        <v>10093</v>
      </c>
      <c r="H5340" t="s">
        <v>10163</v>
      </c>
      <c r="I5340" t="s">
        <v>10168</v>
      </c>
      <c r="J5340" t="s">
        <v>10213</v>
      </c>
      <c r="K5340" t="s">
        <v>10217</v>
      </c>
      <c r="M5340" t="s">
        <v>10359</v>
      </c>
      <c r="N5340" t="s">
        <v>10664</v>
      </c>
      <c r="P5340" t="s">
        <v>10749</v>
      </c>
      <c r="Q5340" t="s">
        <v>10765</v>
      </c>
      <c r="R5340" t="s">
        <v>10821</v>
      </c>
      <c r="T5340">
        <v>21000</v>
      </c>
      <c r="U5340">
        <v>1750</v>
      </c>
      <c r="V5340">
        <v>34</v>
      </c>
      <c r="W5340">
        <v>2</v>
      </c>
      <c r="X5340">
        <v>2</v>
      </c>
      <c r="Z5340">
        <v>81.55</v>
      </c>
      <c r="AA5340">
        <v>40.661911</v>
      </c>
      <c r="AB5340">
        <v>-73.979472</v>
      </c>
      <c r="AD5340" t="s">
        <v>10840</v>
      </c>
      <c r="AG5340" t="s">
        <v>10858</v>
      </c>
      <c r="AH5340" t="s">
        <v>10862</v>
      </c>
      <c r="AI5340">
        <v>239</v>
      </c>
      <c r="AJ5340" t="s">
        <v>10213</v>
      </c>
      <c r="AL5340">
        <v>0</v>
      </c>
      <c r="AM5340" t="s">
        <v>10888</v>
      </c>
      <c r="AN5340" t="s">
        <v>10941</v>
      </c>
      <c r="AO5340" t="s">
        <v>11008</v>
      </c>
      <c r="AP5340" t="s">
        <v>11059</v>
      </c>
      <c r="AR5340" t="s">
        <v>11293</v>
      </c>
      <c r="AS5340" t="s">
        <v>11595</v>
      </c>
      <c r="AT5340" t="s">
        <v>11642</v>
      </c>
      <c r="AX5340" t="s">
        <v>10838</v>
      </c>
      <c r="BA5340" t="s">
        <v>11741</v>
      </c>
      <c r="BB5340">
        <v>0</v>
      </c>
      <c r="BC5340">
        <v>0</v>
      </c>
      <c r="BD5340">
        <v>0</v>
      </c>
      <c r="BE5340">
        <v>0</v>
      </c>
      <c r="BF5340">
        <v>1</v>
      </c>
      <c r="BG5340">
        <v>0</v>
      </c>
    </row>
    <row r="5341" spans="1:59">
      <c r="A5341" s="1">
        <f>HYPERLINK("https://lsnyc.legalserver.org/matter/dynamic-profile/view/1909588","19-1909588")</f>
        <v>0</v>
      </c>
      <c r="B5341" t="s">
        <v>4224</v>
      </c>
      <c r="C5341" t="s">
        <v>9062</v>
      </c>
      <c r="D5341" t="s">
        <v>9926</v>
      </c>
      <c r="E5341" t="s">
        <v>10075</v>
      </c>
      <c r="F5341">
        <v>10462</v>
      </c>
      <c r="G5341" t="s">
        <v>10090</v>
      </c>
      <c r="H5341" t="s">
        <v>10163</v>
      </c>
      <c r="I5341" t="s">
        <v>10168</v>
      </c>
      <c r="J5341" t="s">
        <v>10210</v>
      </c>
      <c r="K5341" t="s">
        <v>10217</v>
      </c>
      <c r="M5341" t="s">
        <v>10385</v>
      </c>
      <c r="N5341" t="s">
        <v>10651</v>
      </c>
      <c r="P5341" t="s">
        <v>10749</v>
      </c>
      <c r="Q5341" t="s">
        <v>10765</v>
      </c>
      <c r="R5341" t="s">
        <v>10821</v>
      </c>
      <c r="T5341">
        <v>19200</v>
      </c>
      <c r="U5341">
        <v>1600</v>
      </c>
      <c r="V5341">
        <v>62</v>
      </c>
      <c r="W5341">
        <v>1</v>
      </c>
      <c r="X5341">
        <v>0</v>
      </c>
      <c r="Z5341">
        <v>153.72</v>
      </c>
      <c r="AA5341">
        <v>40.837678</v>
      </c>
      <c r="AB5341">
        <v>-73.861001</v>
      </c>
      <c r="AC5341" t="s">
        <v>10837</v>
      </c>
      <c r="AD5341" t="s">
        <v>10840</v>
      </c>
      <c r="AG5341" t="s">
        <v>10858</v>
      </c>
      <c r="AH5341" t="s">
        <v>10862</v>
      </c>
      <c r="AI5341">
        <v>230</v>
      </c>
      <c r="AJ5341" t="s">
        <v>10210</v>
      </c>
      <c r="AL5341">
        <v>1</v>
      </c>
      <c r="AM5341" t="s">
        <v>10885</v>
      </c>
      <c r="AN5341" t="s">
        <v>10908</v>
      </c>
      <c r="AO5341" t="s">
        <v>11001</v>
      </c>
      <c r="AP5341" t="s">
        <v>11046</v>
      </c>
      <c r="AR5341" t="s">
        <v>11263</v>
      </c>
      <c r="AS5341" t="s">
        <v>9926</v>
      </c>
      <c r="AT5341" t="s">
        <v>11642</v>
      </c>
      <c r="AX5341" t="s">
        <v>10838</v>
      </c>
      <c r="BA5341" t="s">
        <v>11738</v>
      </c>
      <c r="BB5341">
        <v>0</v>
      </c>
      <c r="BC5341">
        <v>0</v>
      </c>
      <c r="BD5341">
        <v>0</v>
      </c>
      <c r="BE5341">
        <v>0</v>
      </c>
      <c r="BF5341">
        <v>5</v>
      </c>
      <c r="BG5341">
        <v>0</v>
      </c>
    </row>
    <row r="5342" spans="1:59">
      <c r="A5342" s="1">
        <f>HYPERLINK("https://lsnyc.legalserver.org/matter/dynamic-profile/view/1909589","19-1909589")</f>
        <v>0</v>
      </c>
      <c r="B5342" t="s">
        <v>4225</v>
      </c>
      <c r="C5342" t="s">
        <v>9063</v>
      </c>
      <c r="D5342" t="s">
        <v>9929</v>
      </c>
      <c r="E5342" t="s">
        <v>10075</v>
      </c>
      <c r="F5342">
        <v>10301</v>
      </c>
      <c r="G5342" t="s">
        <v>10088</v>
      </c>
      <c r="H5342" t="s">
        <v>10163</v>
      </c>
      <c r="I5342" t="s">
        <v>10168</v>
      </c>
      <c r="J5342" t="s">
        <v>10208</v>
      </c>
      <c r="K5342" t="s">
        <v>10217</v>
      </c>
      <c r="M5342" t="s">
        <v>10243</v>
      </c>
      <c r="N5342" t="s">
        <v>10655</v>
      </c>
      <c r="P5342" t="s">
        <v>10749</v>
      </c>
      <c r="Q5342" t="s">
        <v>10765</v>
      </c>
      <c r="R5342" t="s">
        <v>10825</v>
      </c>
      <c r="T5342">
        <v>4464</v>
      </c>
      <c r="U5342">
        <v>372</v>
      </c>
      <c r="V5342">
        <v>27</v>
      </c>
      <c r="W5342">
        <v>1</v>
      </c>
      <c r="X5342">
        <v>1</v>
      </c>
      <c r="Z5342">
        <v>26.4</v>
      </c>
      <c r="AA5342">
        <v>40.645378</v>
      </c>
      <c r="AB5342">
        <v>-74.08946899999999</v>
      </c>
      <c r="AD5342" t="s">
        <v>10839</v>
      </c>
      <c r="AG5342" t="s">
        <v>10858</v>
      </c>
      <c r="AH5342" t="s">
        <v>10862</v>
      </c>
      <c r="AI5342">
        <v>285</v>
      </c>
      <c r="AJ5342" t="s">
        <v>10208</v>
      </c>
      <c r="AL5342">
        <v>0.3</v>
      </c>
      <c r="AM5342" t="s">
        <v>10883</v>
      </c>
      <c r="AN5342" t="s">
        <v>10913</v>
      </c>
      <c r="AO5342" t="s">
        <v>11006</v>
      </c>
      <c r="AP5342" t="s">
        <v>11051</v>
      </c>
      <c r="AR5342" t="s">
        <v>11322</v>
      </c>
      <c r="AS5342" t="s">
        <v>11593</v>
      </c>
      <c r="BA5342" t="s">
        <v>11738</v>
      </c>
      <c r="BB5342">
        <v>0</v>
      </c>
      <c r="BC5342">
        <v>0</v>
      </c>
      <c r="BD5342">
        <v>0</v>
      </c>
      <c r="BE5342">
        <v>0</v>
      </c>
      <c r="BF5342">
        <v>5</v>
      </c>
      <c r="BG5342">
        <v>0</v>
      </c>
    </row>
    <row r="5343" spans="1:59">
      <c r="A5343" s="1">
        <f>HYPERLINK("https://lsnyc.legalserver.org/matter/dynamic-profile/view/1909590","19-1909590")</f>
        <v>0</v>
      </c>
      <c r="B5343" t="s">
        <v>4226</v>
      </c>
      <c r="C5343" t="s">
        <v>9064</v>
      </c>
      <c r="D5343" t="s">
        <v>9928</v>
      </c>
      <c r="E5343" t="s">
        <v>10075</v>
      </c>
      <c r="F5343">
        <v>11208</v>
      </c>
      <c r="G5343" t="s">
        <v>10091</v>
      </c>
      <c r="H5343" t="s">
        <v>10163</v>
      </c>
      <c r="I5343" t="s">
        <v>10168</v>
      </c>
      <c r="J5343" t="s">
        <v>10214</v>
      </c>
      <c r="K5343" t="s">
        <v>10217</v>
      </c>
      <c r="M5343" t="s">
        <v>10286</v>
      </c>
      <c r="N5343" t="s">
        <v>10671</v>
      </c>
      <c r="P5343" t="s">
        <v>10751</v>
      </c>
      <c r="Q5343" t="s">
        <v>10768</v>
      </c>
      <c r="R5343" t="s">
        <v>10824</v>
      </c>
      <c r="T5343">
        <v>13068</v>
      </c>
      <c r="U5343">
        <v>1089</v>
      </c>
      <c r="V5343">
        <v>47</v>
      </c>
      <c r="W5343">
        <v>1</v>
      </c>
      <c r="X5343">
        <v>0</v>
      </c>
      <c r="Z5343">
        <v>104.63</v>
      </c>
      <c r="AA5343">
        <v>40.668864</v>
      </c>
      <c r="AB5343">
        <v>-73.868894</v>
      </c>
      <c r="AD5343" t="s">
        <v>10839</v>
      </c>
      <c r="AG5343" t="s">
        <v>10858</v>
      </c>
      <c r="AH5343" t="s">
        <v>10861</v>
      </c>
      <c r="AI5343">
        <v>234</v>
      </c>
      <c r="AJ5343" t="s">
        <v>10214</v>
      </c>
      <c r="AL5343">
        <v>0.5</v>
      </c>
      <c r="AM5343" t="s">
        <v>10889</v>
      </c>
      <c r="AN5343" t="s">
        <v>10946</v>
      </c>
      <c r="AO5343" t="s">
        <v>11012</v>
      </c>
      <c r="AP5343" t="s">
        <v>11060</v>
      </c>
      <c r="AR5343" t="s">
        <v>11298</v>
      </c>
      <c r="AS5343" t="s">
        <v>11595</v>
      </c>
      <c r="AT5343" t="s">
        <v>11641</v>
      </c>
      <c r="AX5343" t="s">
        <v>10838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</row>
    <row r="5344" spans="1:59">
      <c r="A5344" s="1">
        <f>HYPERLINK("https://lsnyc.legalserver.org/matter/dynamic-profile/view/1909591","19-1909591")</f>
        <v>0</v>
      </c>
      <c r="B5344" t="s">
        <v>4227</v>
      </c>
      <c r="C5344" t="s">
        <v>8809</v>
      </c>
      <c r="D5344" t="s">
        <v>9928</v>
      </c>
      <c r="E5344" t="s">
        <v>10075</v>
      </c>
      <c r="F5344">
        <v>11213</v>
      </c>
      <c r="G5344" t="s">
        <v>10093</v>
      </c>
      <c r="H5344" t="s">
        <v>10163</v>
      </c>
      <c r="I5344" t="s">
        <v>10168</v>
      </c>
      <c r="J5344" t="s">
        <v>10213</v>
      </c>
      <c r="K5344" t="s">
        <v>10217</v>
      </c>
      <c r="M5344" t="s">
        <v>10359</v>
      </c>
      <c r="N5344" t="s">
        <v>10664</v>
      </c>
      <c r="P5344" t="s">
        <v>10749</v>
      </c>
      <c r="Q5344" t="s">
        <v>10765</v>
      </c>
      <c r="R5344" t="s">
        <v>10824</v>
      </c>
      <c r="T5344">
        <v>26400</v>
      </c>
      <c r="U5344">
        <v>2200</v>
      </c>
      <c r="V5344">
        <v>70</v>
      </c>
      <c r="W5344">
        <v>2</v>
      </c>
      <c r="X5344">
        <v>0</v>
      </c>
      <c r="Z5344">
        <v>156.12</v>
      </c>
      <c r="AA5344">
        <v>40.668071</v>
      </c>
      <c r="AB5344">
        <v>-73.932354</v>
      </c>
      <c r="AD5344" t="s">
        <v>10839</v>
      </c>
      <c r="AG5344" t="s">
        <v>10858</v>
      </c>
      <c r="AH5344" t="s">
        <v>10862</v>
      </c>
      <c r="AI5344">
        <v>239</v>
      </c>
      <c r="AJ5344" t="s">
        <v>10213</v>
      </c>
      <c r="AL5344">
        <v>0</v>
      </c>
      <c r="AM5344" t="s">
        <v>10888</v>
      </c>
      <c r="AN5344" t="s">
        <v>10912</v>
      </c>
      <c r="AO5344" t="s">
        <v>11005</v>
      </c>
      <c r="AP5344" t="s">
        <v>11061</v>
      </c>
      <c r="AR5344" t="s">
        <v>11295</v>
      </c>
      <c r="AS5344" t="s">
        <v>11595</v>
      </c>
      <c r="AT5344" t="s">
        <v>11641</v>
      </c>
      <c r="AX5344" t="s">
        <v>10838</v>
      </c>
      <c r="BA5344" t="s">
        <v>11741</v>
      </c>
      <c r="BB5344">
        <v>0</v>
      </c>
      <c r="BC5344">
        <v>0</v>
      </c>
      <c r="BD5344">
        <v>0</v>
      </c>
      <c r="BE5344">
        <v>0</v>
      </c>
      <c r="BF5344">
        <v>1</v>
      </c>
      <c r="BG5344">
        <v>0</v>
      </c>
    </row>
    <row r="5345" spans="1:59">
      <c r="A5345" s="1">
        <f>HYPERLINK("https://lsnyc.legalserver.org/matter/dynamic-profile/view/1909592","19-1909592")</f>
        <v>0</v>
      </c>
      <c r="B5345" t="s">
        <v>4228</v>
      </c>
      <c r="C5345" t="s">
        <v>9065</v>
      </c>
      <c r="D5345" t="s">
        <v>9926</v>
      </c>
      <c r="E5345" t="s">
        <v>10075</v>
      </c>
      <c r="F5345">
        <v>10459</v>
      </c>
      <c r="G5345" t="s">
        <v>10090</v>
      </c>
      <c r="H5345" t="s">
        <v>10163</v>
      </c>
      <c r="I5345" t="s">
        <v>10169</v>
      </c>
      <c r="J5345" t="s">
        <v>10210</v>
      </c>
      <c r="K5345" t="s">
        <v>10217</v>
      </c>
      <c r="M5345" t="s">
        <v>10597</v>
      </c>
      <c r="N5345" t="s">
        <v>10682</v>
      </c>
      <c r="P5345" t="s">
        <v>10757</v>
      </c>
      <c r="Q5345" t="s">
        <v>10797</v>
      </c>
      <c r="R5345" t="s">
        <v>10823</v>
      </c>
      <c r="T5345">
        <v>16008</v>
      </c>
      <c r="U5345">
        <v>1334</v>
      </c>
      <c r="V5345">
        <v>29</v>
      </c>
      <c r="W5345">
        <v>2</v>
      </c>
      <c r="X5345">
        <v>0</v>
      </c>
      <c r="Z5345">
        <v>94.67</v>
      </c>
      <c r="AA5345">
        <v>40.820147</v>
      </c>
      <c r="AB5345">
        <v>-73.89416</v>
      </c>
      <c r="AD5345" t="s">
        <v>10839</v>
      </c>
      <c r="AG5345" t="s">
        <v>10858</v>
      </c>
      <c r="AH5345" t="s">
        <v>10861</v>
      </c>
      <c r="AI5345">
        <v>234</v>
      </c>
      <c r="AJ5345" t="s">
        <v>10214</v>
      </c>
      <c r="AL5345">
        <v>11.35</v>
      </c>
      <c r="AM5345" t="s">
        <v>10884</v>
      </c>
      <c r="AN5345" t="s">
        <v>10968</v>
      </c>
      <c r="AO5345" t="s">
        <v>11001</v>
      </c>
      <c r="AP5345" t="s">
        <v>11062</v>
      </c>
      <c r="AR5345" t="s">
        <v>11268</v>
      </c>
      <c r="AS5345" t="s">
        <v>9926</v>
      </c>
      <c r="AT5345" t="s">
        <v>11641</v>
      </c>
      <c r="AX5345" t="s">
        <v>10838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</row>
    <row r="5346" spans="1:59">
      <c r="A5346" s="1">
        <f>HYPERLINK("https://lsnyc.legalserver.org/matter/dynamic-profile/view/1909593","19-1909593")</f>
        <v>0</v>
      </c>
      <c r="B5346" t="s">
        <v>4229</v>
      </c>
      <c r="C5346" t="s">
        <v>9066</v>
      </c>
      <c r="D5346" t="s">
        <v>9928</v>
      </c>
      <c r="E5346" t="s">
        <v>10075</v>
      </c>
      <c r="F5346">
        <v>11226</v>
      </c>
      <c r="G5346" t="s">
        <v>10093</v>
      </c>
      <c r="H5346" t="s">
        <v>10163</v>
      </c>
      <c r="I5346" t="s">
        <v>10168</v>
      </c>
      <c r="J5346" t="s">
        <v>10213</v>
      </c>
      <c r="K5346" t="s">
        <v>10217</v>
      </c>
      <c r="M5346" t="s">
        <v>10429</v>
      </c>
      <c r="N5346" t="s">
        <v>10667</v>
      </c>
      <c r="P5346" t="s">
        <v>10749</v>
      </c>
      <c r="Q5346" t="s">
        <v>10765</v>
      </c>
      <c r="R5346" t="s">
        <v>10823</v>
      </c>
      <c r="T5346">
        <v>29300.96</v>
      </c>
      <c r="U5346">
        <v>2441.75</v>
      </c>
      <c r="V5346">
        <v>38</v>
      </c>
      <c r="W5346">
        <v>2</v>
      </c>
      <c r="X5346">
        <v>2</v>
      </c>
      <c r="Z5346">
        <v>113.79</v>
      </c>
      <c r="AA5346">
        <v>40.645854</v>
      </c>
      <c r="AB5346">
        <v>-73.96248300000001</v>
      </c>
      <c r="AD5346" t="s">
        <v>10839</v>
      </c>
      <c r="AG5346" t="s">
        <v>10858</v>
      </c>
      <c r="AH5346" t="s">
        <v>10862</v>
      </c>
      <c r="AI5346">
        <v>239</v>
      </c>
      <c r="AJ5346" t="s">
        <v>10213</v>
      </c>
      <c r="AL5346">
        <v>0</v>
      </c>
      <c r="AM5346" t="s">
        <v>10888</v>
      </c>
      <c r="AN5346" t="s">
        <v>10932</v>
      </c>
      <c r="AO5346" t="s">
        <v>11008</v>
      </c>
      <c r="AP5346" t="s">
        <v>11050</v>
      </c>
      <c r="AR5346" t="s">
        <v>11262</v>
      </c>
      <c r="AS5346" t="s">
        <v>11595</v>
      </c>
      <c r="BA5346" t="s">
        <v>11742</v>
      </c>
      <c r="BB5346">
        <v>0</v>
      </c>
      <c r="BC5346">
        <v>0</v>
      </c>
      <c r="BD5346">
        <v>0</v>
      </c>
      <c r="BE5346">
        <v>0</v>
      </c>
      <c r="BF5346">
        <v>7</v>
      </c>
      <c r="BG5346">
        <v>0</v>
      </c>
    </row>
    <row r="5347" spans="1:59">
      <c r="A5347" s="1">
        <f>HYPERLINK("https://lsnyc.legalserver.org/matter/dynamic-profile/view/1909594","19-1909594")</f>
        <v>0</v>
      </c>
      <c r="B5347" t="s">
        <v>1460</v>
      </c>
      <c r="C5347" t="s">
        <v>9067</v>
      </c>
      <c r="D5347" t="s">
        <v>9925</v>
      </c>
      <c r="E5347" t="s">
        <v>10075</v>
      </c>
      <c r="F5347">
        <v>10032</v>
      </c>
      <c r="G5347" t="s">
        <v>10089</v>
      </c>
      <c r="H5347" t="s">
        <v>10163</v>
      </c>
      <c r="I5347" t="s">
        <v>10169</v>
      </c>
      <c r="J5347" t="s">
        <v>10209</v>
      </c>
      <c r="K5347" t="s">
        <v>10217</v>
      </c>
      <c r="M5347" t="s">
        <v>10460</v>
      </c>
      <c r="N5347" t="s">
        <v>10650</v>
      </c>
      <c r="P5347" t="s">
        <v>10749</v>
      </c>
      <c r="Q5347" t="s">
        <v>10765</v>
      </c>
      <c r="R5347" t="s">
        <v>10821</v>
      </c>
      <c r="T5347">
        <v>33696</v>
      </c>
      <c r="U5347">
        <v>2808</v>
      </c>
      <c r="V5347">
        <v>57</v>
      </c>
      <c r="W5347">
        <v>2</v>
      </c>
      <c r="X5347">
        <v>0</v>
      </c>
      <c r="Z5347">
        <v>199.27</v>
      </c>
      <c r="AA5347">
        <v>40.833485</v>
      </c>
      <c r="AB5347">
        <v>-73.942909</v>
      </c>
      <c r="AD5347" t="s">
        <v>10839</v>
      </c>
      <c r="AF5347" t="s">
        <v>10843</v>
      </c>
      <c r="AG5347" t="s">
        <v>10859</v>
      </c>
      <c r="AH5347" t="s">
        <v>10862</v>
      </c>
      <c r="AI5347">
        <v>236</v>
      </c>
      <c r="AJ5347" t="s">
        <v>10209</v>
      </c>
      <c r="AL5347">
        <v>0.3</v>
      </c>
      <c r="AM5347" t="s">
        <v>10887</v>
      </c>
      <c r="AN5347" t="s">
        <v>10943</v>
      </c>
      <c r="AO5347" t="s">
        <v>11019</v>
      </c>
      <c r="AP5347" t="s">
        <v>11073</v>
      </c>
      <c r="AR5347" t="s">
        <v>11282</v>
      </c>
      <c r="AS5347" t="s">
        <v>9925</v>
      </c>
      <c r="AT5347" t="s">
        <v>11641</v>
      </c>
      <c r="AX5347" t="s">
        <v>10838</v>
      </c>
      <c r="BA5347" t="s">
        <v>11742</v>
      </c>
      <c r="BB5347">
        <v>0</v>
      </c>
      <c r="BC5347">
        <v>0</v>
      </c>
      <c r="BD5347">
        <v>0</v>
      </c>
      <c r="BE5347">
        <v>0</v>
      </c>
      <c r="BF5347">
        <v>7</v>
      </c>
      <c r="BG5347">
        <v>0</v>
      </c>
    </row>
    <row r="5348" spans="1:59">
      <c r="A5348" s="1">
        <f>HYPERLINK("https://lsnyc.legalserver.org/matter/dynamic-profile/view/1909595","19-1909595")</f>
        <v>0</v>
      </c>
      <c r="B5348" t="s">
        <v>4224</v>
      </c>
      <c r="C5348" t="s">
        <v>9062</v>
      </c>
      <c r="D5348" t="s">
        <v>9926</v>
      </c>
      <c r="E5348" t="s">
        <v>10075</v>
      </c>
      <c r="F5348">
        <v>10462</v>
      </c>
      <c r="G5348" t="s">
        <v>10090</v>
      </c>
      <c r="H5348" t="s">
        <v>10163</v>
      </c>
      <c r="I5348" t="s">
        <v>10168</v>
      </c>
      <c r="J5348" t="s">
        <v>10210</v>
      </c>
      <c r="K5348" t="s">
        <v>10217</v>
      </c>
      <c r="M5348" t="s">
        <v>10385</v>
      </c>
      <c r="N5348" t="s">
        <v>10671</v>
      </c>
      <c r="P5348" t="s">
        <v>10751</v>
      </c>
      <c r="Q5348" t="s">
        <v>10761</v>
      </c>
      <c r="R5348" t="s">
        <v>10821</v>
      </c>
      <c r="T5348">
        <v>19200</v>
      </c>
      <c r="U5348">
        <v>1600</v>
      </c>
      <c r="V5348">
        <v>62</v>
      </c>
      <c r="W5348">
        <v>1</v>
      </c>
      <c r="X5348">
        <v>0</v>
      </c>
      <c r="Z5348">
        <v>153.72</v>
      </c>
      <c r="AA5348">
        <v>40.837678</v>
      </c>
      <c r="AB5348">
        <v>-73.861001</v>
      </c>
      <c r="AC5348" t="s">
        <v>10837</v>
      </c>
      <c r="AD5348" t="s">
        <v>10840</v>
      </c>
      <c r="AG5348" t="s">
        <v>10858</v>
      </c>
      <c r="AH5348" t="s">
        <v>10862</v>
      </c>
      <c r="AI5348">
        <v>230</v>
      </c>
      <c r="AJ5348" t="s">
        <v>10210</v>
      </c>
      <c r="AL5348">
        <v>0</v>
      </c>
      <c r="AR5348" t="s">
        <v>11263</v>
      </c>
      <c r="AS5348" t="s">
        <v>9926</v>
      </c>
      <c r="BA5348" t="s">
        <v>11738</v>
      </c>
      <c r="BB5348">
        <v>0</v>
      </c>
      <c r="BC5348">
        <v>0</v>
      </c>
      <c r="BD5348">
        <v>0</v>
      </c>
      <c r="BE5348">
        <v>0</v>
      </c>
      <c r="BF5348">
        <v>5</v>
      </c>
      <c r="BG5348">
        <v>0</v>
      </c>
    </row>
    <row r="5349" spans="1:59">
      <c r="A5349" s="1">
        <f>HYPERLINK("https://lsnyc.legalserver.org/matter/dynamic-profile/view/1909596","19-1909596")</f>
        <v>0</v>
      </c>
      <c r="B5349" t="s">
        <v>365</v>
      </c>
      <c r="C5349" t="s">
        <v>9068</v>
      </c>
      <c r="D5349" t="s">
        <v>9928</v>
      </c>
      <c r="E5349" t="s">
        <v>10075</v>
      </c>
      <c r="F5349">
        <v>11233</v>
      </c>
      <c r="G5349" t="s">
        <v>10093</v>
      </c>
      <c r="H5349" t="s">
        <v>10116</v>
      </c>
      <c r="I5349" t="s">
        <v>10168</v>
      </c>
      <c r="J5349" t="s">
        <v>10213</v>
      </c>
      <c r="K5349" t="s">
        <v>10217</v>
      </c>
      <c r="M5349" t="s">
        <v>10405</v>
      </c>
      <c r="N5349" t="s">
        <v>10646</v>
      </c>
      <c r="P5349" t="s">
        <v>10749</v>
      </c>
      <c r="Q5349" t="s">
        <v>10765</v>
      </c>
      <c r="R5349" t="s">
        <v>10824</v>
      </c>
      <c r="T5349">
        <v>55562</v>
      </c>
      <c r="U5349">
        <v>4630.17</v>
      </c>
      <c r="V5349">
        <v>36</v>
      </c>
      <c r="W5349">
        <v>1</v>
      </c>
      <c r="X5349">
        <v>3</v>
      </c>
      <c r="Z5349">
        <v>215.77</v>
      </c>
      <c r="AA5349">
        <v>40.684682</v>
      </c>
      <c r="AB5349">
        <v>-73.92594699999999</v>
      </c>
      <c r="AD5349" t="s">
        <v>10839</v>
      </c>
      <c r="AG5349" t="s">
        <v>10858</v>
      </c>
      <c r="AH5349" t="s">
        <v>10861</v>
      </c>
      <c r="AI5349">
        <v>234</v>
      </c>
      <c r="AJ5349" t="s">
        <v>10214</v>
      </c>
      <c r="AL5349">
        <v>1.2</v>
      </c>
      <c r="AM5349" t="s">
        <v>10889</v>
      </c>
      <c r="AN5349" t="s">
        <v>10914</v>
      </c>
      <c r="AO5349" t="s">
        <v>11007</v>
      </c>
      <c r="AP5349" t="s">
        <v>11064</v>
      </c>
      <c r="AR5349" t="s">
        <v>11335</v>
      </c>
      <c r="AS5349" t="s">
        <v>11595</v>
      </c>
      <c r="AT5349" t="s">
        <v>11641</v>
      </c>
      <c r="AX5349" t="s">
        <v>10838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</row>
    <row r="5350" spans="1:59">
      <c r="A5350" s="1">
        <f>HYPERLINK("https://lsnyc.legalserver.org/matter/dynamic-profile/view/1909597","19-1909597")</f>
        <v>0</v>
      </c>
      <c r="B5350" t="s">
        <v>4230</v>
      </c>
      <c r="C5350" t="s">
        <v>8603</v>
      </c>
      <c r="D5350" t="s">
        <v>9925</v>
      </c>
      <c r="E5350" t="s">
        <v>10075</v>
      </c>
      <c r="F5350">
        <v>10035</v>
      </c>
      <c r="G5350" t="s">
        <v>10089</v>
      </c>
      <c r="H5350" t="s">
        <v>10163</v>
      </c>
      <c r="I5350" t="s">
        <v>10168</v>
      </c>
      <c r="J5350" t="s">
        <v>10209</v>
      </c>
      <c r="K5350" t="s">
        <v>10217</v>
      </c>
      <c r="M5350" t="s">
        <v>10589</v>
      </c>
      <c r="N5350" t="s">
        <v>10650</v>
      </c>
      <c r="P5350" t="s">
        <v>10749</v>
      </c>
      <c r="Q5350" t="s">
        <v>10765</v>
      </c>
      <c r="R5350" t="s">
        <v>10824</v>
      </c>
      <c r="T5350">
        <v>35000</v>
      </c>
      <c r="U5350">
        <v>2916.67</v>
      </c>
      <c r="V5350">
        <v>57</v>
      </c>
      <c r="W5350">
        <v>2</v>
      </c>
      <c r="X5350">
        <v>1</v>
      </c>
      <c r="Z5350">
        <v>164.09</v>
      </c>
      <c r="AA5350">
        <v>40.800002</v>
      </c>
      <c r="AB5350">
        <v>-73.943319</v>
      </c>
      <c r="AD5350" t="s">
        <v>10839</v>
      </c>
      <c r="AG5350" t="s">
        <v>10858</v>
      </c>
      <c r="AH5350" t="s">
        <v>10862</v>
      </c>
      <c r="AI5350">
        <v>236</v>
      </c>
      <c r="AJ5350" t="s">
        <v>10209</v>
      </c>
      <c r="AL5350">
        <v>0</v>
      </c>
      <c r="AM5350" t="s">
        <v>10887</v>
      </c>
      <c r="AN5350" t="s">
        <v>10926</v>
      </c>
      <c r="AO5350" t="s">
        <v>11016</v>
      </c>
      <c r="AP5350" t="s">
        <v>11066</v>
      </c>
      <c r="AR5350" t="s">
        <v>11257</v>
      </c>
      <c r="AS5350" t="s">
        <v>9925</v>
      </c>
      <c r="AT5350" t="s">
        <v>11641</v>
      </c>
      <c r="AX5350" t="s">
        <v>10838</v>
      </c>
      <c r="BA5350" t="s">
        <v>11742</v>
      </c>
      <c r="BB5350">
        <v>0</v>
      </c>
      <c r="BC5350">
        <v>0</v>
      </c>
      <c r="BD5350">
        <v>0</v>
      </c>
      <c r="BE5350">
        <v>0</v>
      </c>
      <c r="BF5350">
        <v>7</v>
      </c>
      <c r="BG5350">
        <v>0</v>
      </c>
    </row>
    <row r="5351" spans="1:59">
      <c r="A5351" s="1">
        <f>HYPERLINK("https://lsnyc.legalserver.org/matter/dynamic-profile/view/1909599","19-1909599")</f>
        <v>0</v>
      </c>
      <c r="B5351" t="s">
        <v>4231</v>
      </c>
      <c r="C5351" t="s">
        <v>9069</v>
      </c>
      <c r="D5351" t="s">
        <v>9926</v>
      </c>
      <c r="E5351" t="s">
        <v>10075</v>
      </c>
      <c r="F5351">
        <v>10458</v>
      </c>
      <c r="G5351" t="s">
        <v>10090</v>
      </c>
      <c r="H5351" t="s">
        <v>10163</v>
      </c>
      <c r="I5351" t="s">
        <v>10168</v>
      </c>
      <c r="J5351" t="s">
        <v>10210</v>
      </c>
      <c r="K5351" t="s">
        <v>10217</v>
      </c>
      <c r="M5351" t="s">
        <v>10524</v>
      </c>
      <c r="N5351" t="s">
        <v>10671</v>
      </c>
      <c r="O5351" t="s">
        <v>10690</v>
      </c>
      <c r="P5351" t="s">
        <v>10749</v>
      </c>
      <c r="Q5351" t="s">
        <v>10765</v>
      </c>
      <c r="R5351" t="s">
        <v>10822</v>
      </c>
      <c r="T5351">
        <v>13584</v>
      </c>
      <c r="U5351">
        <v>1132</v>
      </c>
      <c r="V5351">
        <v>74</v>
      </c>
      <c r="W5351">
        <v>1</v>
      </c>
      <c r="X5351">
        <v>0</v>
      </c>
      <c r="Z5351">
        <v>108.76</v>
      </c>
      <c r="AA5351">
        <v>40.863968</v>
      </c>
      <c r="AB5351">
        <v>-73.890604</v>
      </c>
      <c r="AC5351" t="s">
        <v>10837</v>
      </c>
      <c r="AD5351" t="s">
        <v>10840</v>
      </c>
      <c r="AG5351" t="s">
        <v>10858</v>
      </c>
      <c r="AH5351" t="s">
        <v>10861</v>
      </c>
      <c r="AI5351">
        <v>234</v>
      </c>
      <c r="AJ5351" t="s">
        <v>10214</v>
      </c>
      <c r="AL5351">
        <v>1.45</v>
      </c>
      <c r="AM5351" t="s">
        <v>10887</v>
      </c>
      <c r="AN5351" t="s">
        <v>10907</v>
      </c>
      <c r="AO5351" t="s">
        <v>11000</v>
      </c>
      <c r="AP5351" t="s">
        <v>11056</v>
      </c>
      <c r="AR5351" t="s">
        <v>11565</v>
      </c>
      <c r="AS5351" t="s">
        <v>9926</v>
      </c>
      <c r="AT5351" t="s">
        <v>11642</v>
      </c>
      <c r="AX5351" t="s">
        <v>10838</v>
      </c>
      <c r="BA5351" t="s">
        <v>11741</v>
      </c>
      <c r="BB5351">
        <v>0</v>
      </c>
      <c r="BC5351">
        <v>0</v>
      </c>
      <c r="BD5351">
        <v>0</v>
      </c>
      <c r="BE5351">
        <v>0</v>
      </c>
      <c r="BF5351">
        <v>1</v>
      </c>
      <c r="BG5351">
        <v>0</v>
      </c>
    </row>
    <row r="5352" spans="1:59">
      <c r="A5352" s="1">
        <f>HYPERLINK("https://lsnyc.legalserver.org/matter/dynamic-profile/view/1909600","19-1909600")</f>
        <v>0</v>
      </c>
      <c r="B5352" t="s">
        <v>4203</v>
      </c>
      <c r="C5352" t="s">
        <v>9034</v>
      </c>
      <c r="D5352" t="s">
        <v>9926</v>
      </c>
      <c r="E5352" t="s">
        <v>10075</v>
      </c>
      <c r="F5352">
        <v>10452</v>
      </c>
      <c r="G5352" t="s">
        <v>10090</v>
      </c>
      <c r="H5352" t="s">
        <v>10163</v>
      </c>
      <c r="I5352" t="s">
        <v>10168</v>
      </c>
      <c r="J5352" t="s">
        <v>10210</v>
      </c>
      <c r="K5352" t="s">
        <v>10217</v>
      </c>
      <c r="M5352" t="s">
        <v>10513</v>
      </c>
      <c r="N5352" t="s">
        <v>10671</v>
      </c>
      <c r="P5352" t="s">
        <v>10751</v>
      </c>
      <c r="Q5352" t="s">
        <v>10761</v>
      </c>
      <c r="R5352" t="s">
        <v>10824</v>
      </c>
      <c r="T5352">
        <v>31200</v>
      </c>
      <c r="U5352">
        <v>2600</v>
      </c>
      <c r="V5352">
        <v>51</v>
      </c>
      <c r="W5352">
        <v>2</v>
      </c>
      <c r="X5352">
        <v>2</v>
      </c>
      <c r="Z5352">
        <v>121.17</v>
      </c>
      <c r="AA5352">
        <v>40.831636</v>
      </c>
      <c r="AB5352">
        <v>-73.930448</v>
      </c>
      <c r="AC5352" t="s">
        <v>10837</v>
      </c>
      <c r="AD5352" t="s">
        <v>10840</v>
      </c>
      <c r="AG5352" t="s">
        <v>10858</v>
      </c>
      <c r="AH5352" t="s">
        <v>10862</v>
      </c>
      <c r="AI5352">
        <v>230</v>
      </c>
      <c r="AJ5352" t="s">
        <v>10210</v>
      </c>
      <c r="AL5352">
        <v>0</v>
      </c>
      <c r="AM5352" t="s">
        <v>10884</v>
      </c>
      <c r="AN5352" t="s">
        <v>10924</v>
      </c>
      <c r="AO5352" t="s">
        <v>11013</v>
      </c>
      <c r="AP5352" t="s">
        <v>11066</v>
      </c>
      <c r="AR5352" t="s">
        <v>11257</v>
      </c>
      <c r="AS5352" t="s">
        <v>9926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</row>
    <row r="5353" spans="1:59">
      <c r="A5353" s="1">
        <f>HYPERLINK("https://lsnyc.legalserver.org/matter/dynamic-profile/view/1909601","19-1909601")</f>
        <v>0</v>
      </c>
      <c r="B5353" t="s">
        <v>4232</v>
      </c>
      <c r="C5353" t="s">
        <v>5754</v>
      </c>
      <c r="D5353" t="s">
        <v>9925</v>
      </c>
      <c r="E5353" t="s">
        <v>10075</v>
      </c>
      <c r="F5353">
        <v>10035</v>
      </c>
      <c r="G5353" t="s">
        <v>10089</v>
      </c>
      <c r="H5353" t="s">
        <v>10163</v>
      </c>
      <c r="I5353" t="s">
        <v>10168</v>
      </c>
      <c r="J5353" t="s">
        <v>10209</v>
      </c>
      <c r="K5353" t="s">
        <v>10218</v>
      </c>
      <c r="L5353" t="s">
        <v>10135</v>
      </c>
      <c r="M5353" t="s">
        <v>10301</v>
      </c>
      <c r="N5353" t="s">
        <v>10665</v>
      </c>
      <c r="P5353" t="s">
        <v>10751</v>
      </c>
      <c r="Q5353" t="s">
        <v>10773</v>
      </c>
      <c r="R5353" t="s">
        <v>10826</v>
      </c>
      <c r="T5353">
        <v>8136</v>
      </c>
      <c r="U5353">
        <v>678</v>
      </c>
      <c r="V5353">
        <v>85</v>
      </c>
      <c r="W5353">
        <v>1</v>
      </c>
      <c r="X5353">
        <v>0</v>
      </c>
      <c r="Y5353" t="s">
        <v>10829</v>
      </c>
      <c r="Z5353">
        <v>65.14</v>
      </c>
      <c r="AA5353">
        <v>40.802358</v>
      </c>
      <c r="AB5353">
        <v>-73.94557399999999</v>
      </c>
      <c r="AD5353" t="s">
        <v>10839</v>
      </c>
      <c r="AG5353" t="s">
        <v>10858</v>
      </c>
      <c r="AH5353" t="s">
        <v>10861</v>
      </c>
      <c r="AI5353">
        <v>234</v>
      </c>
      <c r="AJ5353" t="s">
        <v>10214</v>
      </c>
      <c r="AK5353" t="s">
        <v>10838</v>
      </c>
      <c r="AL5353">
        <v>3.5</v>
      </c>
      <c r="AM5353" t="s">
        <v>10887</v>
      </c>
      <c r="AN5353" t="s">
        <v>10936</v>
      </c>
      <c r="AO5353" t="s">
        <v>11016</v>
      </c>
      <c r="AP5353" t="s">
        <v>11076</v>
      </c>
      <c r="AQ5353" t="s">
        <v>11115</v>
      </c>
      <c r="AR5353" t="s">
        <v>11253</v>
      </c>
      <c r="AS5353" t="s">
        <v>9925</v>
      </c>
      <c r="AT5353" t="s">
        <v>11641</v>
      </c>
      <c r="AX5353" t="s">
        <v>10838</v>
      </c>
      <c r="AY5353" t="s">
        <v>10829</v>
      </c>
      <c r="AZ5353" t="s">
        <v>11682</v>
      </c>
      <c r="BA5353" t="s">
        <v>11741</v>
      </c>
      <c r="BB5353">
        <v>0</v>
      </c>
      <c r="BC5353">
        <v>0</v>
      </c>
      <c r="BD5353">
        <v>0</v>
      </c>
      <c r="BE5353">
        <v>0</v>
      </c>
      <c r="BF5353">
        <v>1</v>
      </c>
      <c r="BG5353">
        <v>0</v>
      </c>
    </row>
    <row r="5354" spans="1:59">
      <c r="A5354" s="1">
        <f>HYPERLINK("https://lsnyc.legalserver.org/matter/dynamic-profile/view/1909602","19-1909602")</f>
        <v>0</v>
      </c>
      <c r="B5354" t="s">
        <v>4233</v>
      </c>
      <c r="C5354" t="s">
        <v>9070</v>
      </c>
      <c r="D5354" t="s">
        <v>9932</v>
      </c>
      <c r="E5354" t="s">
        <v>10075</v>
      </c>
      <c r="F5354">
        <v>11368</v>
      </c>
      <c r="G5354" t="s">
        <v>10092</v>
      </c>
      <c r="H5354" t="s">
        <v>10163</v>
      </c>
      <c r="I5354" t="s">
        <v>10168</v>
      </c>
      <c r="J5354" t="s">
        <v>10212</v>
      </c>
      <c r="K5354" t="s">
        <v>10217</v>
      </c>
      <c r="M5354" t="s">
        <v>10312</v>
      </c>
      <c r="N5354" t="s">
        <v>10695</v>
      </c>
      <c r="P5354" t="s">
        <v>10749</v>
      </c>
      <c r="Q5354" t="s">
        <v>10765</v>
      </c>
      <c r="R5354" t="s">
        <v>10824</v>
      </c>
      <c r="T5354">
        <v>45820</v>
      </c>
      <c r="U5354">
        <v>3818.33</v>
      </c>
      <c r="V5354">
        <v>49</v>
      </c>
      <c r="W5354">
        <v>3</v>
      </c>
      <c r="X5354">
        <v>1</v>
      </c>
      <c r="Z5354">
        <v>177.94</v>
      </c>
      <c r="AA5354">
        <v>40.75631</v>
      </c>
      <c r="AB5354">
        <v>-73.86268099999999</v>
      </c>
      <c r="AD5354" t="s">
        <v>10840</v>
      </c>
      <c r="AG5354" t="s">
        <v>10858</v>
      </c>
      <c r="AH5354" t="s">
        <v>10862</v>
      </c>
      <c r="AI5354">
        <v>237</v>
      </c>
      <c r="AJ5354" t="s">
        <v>10212</v>
      </c>
      <c r="AL5354">
        <v>0.75</v>
      </c>
      <c r="AM5354" t="s">
        <v>10885</v>
      </c>
      <c r="AN5354" t="s">
        <v>10916</v>
      </c>
      <c r="AO5354" t="s">
        <v>11014</v>
      </c>
      <c r="AP5354" t="s">
        <v>11068</v>
      </c>
      <c r="AR5354" t="s">
        <v>11287</v>
      </c>
      <c r="AS5354" t="s">
        <v>11594</v>
      </c>
      <c r="BA5354" t="s">
        <v>11742</v>
      </c>
      <c r="BB5354">
        <v>0</v>
      </c>
      <c r="BC5354">
        <v>0</v>
      </c>
      <c r="BD5354">
        <v>0</v>
      </c>
      <c r="BE5354">
        <v>0</v>
      </c>
      <c r="BF5354">
        <v>7</v>
      </c>
      <c r="BG5354">
        <v>0</v>
      </c>
    </row>
    <row r="5355" spans="1:59">
      <c r="A5355" s="1">
        <f>HYPERLINK("https://lsnyc.legalserver.org/matter/dynamic-profile/view/1909603","19-1909603")</f>
        <v>0</v>
      </c>
      <c r="B5355" t="s">
        <v>1019</v>
      </c>
      <c r="C5355" t="s">
        <v>5894</v>
      </c>
      <c r="D5355" t="s">
        <v>9925</v>
      </c>
      <c r="E5355" t="s">
        <v>10075</v>
      </c>
      <c r="F5355">
        <v>10039</v>
      </c>
      <c r="G5355" t="s">
        <v>10089</v>
      </c>
      <c r="H5355" t="s">
        <v>10163</v>
      </c>
      <c r="I5355" t="s">
        <v>10168</v>
      </c>
      <c r="J5355" t="s">
        <v>10209</v>
      </c>
      <c r="K5355" t="s">
        <v>10217</v>
      </c>
      <c r="M5355" t="s">
        <v>10440</v>
      </c>
      <c r="N5355" t="s">
        <v>10711</v>
      </c>
      <c r="P5355" t="s">
        <v>10749</v>
      </c>
      <c r="Q5355" t="s">
        <v>10767</v>
      </c>
      <c r="R5355" t="s">
        <v>10824</v>
      </c>
      <c r="T5355">
        <v>18504</v>
      </c>
      <c r="U5355">
        <v>1542</v>
      </c>
      <c r="V5355">
        <v>54</v>
      </c>
      <c r="W5355">
        <v>1</v>
      </c>
      <c r="X5355">
        <v>3</v>
      </c>
      <c r="Z5355">
        <v>71.86</v>
      </c>
      <c r="AA5355">
        <v>40.83207</v>
      </c>
      <c r="AB5355">
        <v>-73.937802</v>
      </c>
      <c r="AD5355" t="s">
        <v>10839</v>
      </c>
      <c r="AG5355" t="s">
        <v>10858</v>
      </c>
      <c r="AH5355" t="s">
        <v>10862</v>
      </c>
      <c r="AI5355">
        <v>236</v>
      </c>
      <c r="AJ5355" t="s">
        <v>10209</v>
      </c>
      <c r="AL5355">
        <v>0</v>
      </c>
      <c r="AM5355" t="s">
        <v>10887</v>
      </c>
      <c r="AN5355" t="s">
        <v>10943</v>
      </c>
      <c r="AO5355" t="s">
        <v>11016</v>
      </c>
      <c r="AP5355" t="s">
        <v>11076</v>
      </c>
      <c r="AR5355" t="s">
        <v>11263</v>
      </c>
      <c r="AS5355" t="s">
        <v>9925</v>
      </c>
      <c r="AT5355" t="s">
        <v>11641</v>
      </c>
      <c r="AX5355" t="s">
        <v>10838</v>
      </c>
      <c r="BA5355" t="s">
        <v>11738</v>
      </c>
      <c r="BB5355">
        <v>0</v>
      </c>
      <c r="BC5355">
        <v>0</v>
      </c>
      <c r="BD5355">
        <v>0</v>
      </c>
      <c r="BE5355">
        <v>0</v>
      </c>
      <c r="BF5355">
        <v>5</v>
      </c>
      <c r="BG5355">
        <v>0</v>
      </c>
    </row>
    <row r="5356" spans="1:59">
      <c r="A5356" s="1">
        <f>HYPERLINK("https://lsnyc.legalserver.org/matter/dynamic-profile/view/1909604","19-1909604")</f>
        <v>0</v>
      </c>
      <c r="B5356" t="s">
        <v>4234</v>
      </c>
      <c r="C5356" t="s">
        <v>9071</v>
      </c>
      <c r="D5356" t="s">
        <v>9926</v>
      </c>
      <c r="E5356" t="s">
        <v>10075</v>
      </c>
      <c r="F5356">
        <v>10457</v>
      </c>
      <c r="G5356" t="s">
        <v>10090</v>
      </c>
      <c r="H5356" t="s">
        <v>10163</v>
      </c>
      <c r="J5356" t="s">
        <v>10210</v>
      </c>
      <c r="K5356" t="s">
        <v>10217</v>
      </c>
      <c r="M5356" t="s">
        <v>10287</v>
      </c>
      <c r="N5356" t="s">
        <v>10671</v>
      </c>
      <c r="P5356" t="s">
        <v>10751</v>
      </c>
      <c r="Q5356" t="s">
        <v>10761</v>
      </c>
      <c r="R5356" t="s">
        <v>10824</v>
      </c>
      <c r="T5356">
        <v>24231.96</v>
      </c>
      <c r="U5356">
        <v>2019.33</v>
      </c>
      <c r="V5356">
        <v>30</v>
      </c>
      <c r="W5356">
        <v>1</v>
      </c>
      <c r="X5356">
        <v>0</v>
      </c>
      <c r="Z5356">
        <v>194.01</v>
      </c>
      <c r="AA5356">
        <v>40.850187</v>
      </c>
      <c r="AB5356">
        <v>-73.89071300000001</v>
      </c>
      <c r="AD5356" t="s">
        <v>10840</v>
      </c>
      <c r="AG5356" t="s">
        <v>10858</v>
      </c>
      <c r="AH5356" t="s">
        <v>10862</v>
      </c>
      <c r="AI5356">
        <v>230</v>
      </c>
      <c r="AJ5356" t="s">
        <v>10210</v>
      </c>
      <c r="AL5356">
        <v>11.25</v>
      </c>
      <c r="AM5356" t="s">
        <v>10884</v>
      </c>
      <c r="AN5356" t="s">
        <v>10931</v>
      </c>
      <c r="AO5356" t="s">
        <v>11000</v>
      </c>
      <c r="AP5356" t="s">
        <v>11056</v>
      </c>
      <c r="AR5356" t="s">
        <v>11257</v>
      </c>
      <c r="AS5356" t="s">
        <v>9926</v>
      </c>
      <c r="AT5356" t="s">
        <v>11642</v>
      </c>
      <c r="BA5356" t="s">
        <v>11737</v>
      </c>
      <c r="BB5356">
        <v>0</v>
      </c>
      <c r="BC5356">
        <v>0</v>
      </c>
      <c r="BD5356">
        <v>0</v>
      </c>
      <c r="BE5356">
        <v>0</v>
      </c>
      <c r="BF5356">
        <v>3</v>
      </c>
      <c r="BG5356">
        <v>0</v>
      </c>
    </row>
    <row r="5357" spans="1:59">
      <c r="A5357" s="1">
        <f>HYPERLINK("https://lsnyc.legalserver.org/matter/dynamic-profile/view/1909605","19-1909605")</f>
        <v>0</v>
      </c>
      <c r="B5357" t="s">
        <v>4235</v>
      </c>
      <c r="C5357" t="s">
        <v>9072</v>
      </c>
      <c r="D5357" t="s">
        <v>9939</v>
      </c>
      <c r="E5357" t="s">
        <v>10075</v>
      </c>
      <c r="F5357">
        <v>11419</v>
      </c>
      <c r="G5357" t="s">
        <v>10092</v>
      </c>
      <c r="H5357" t="s">
        <v>10163</v>
      </c>
      <c r="I5357" t="s">
        <v>10168</v>
      </c>
      <c r="J5357" t="s">
        <v>10212</v>
      </c>
      <c r="K5357" t="s">
        <v>10217</v>
      </c>
      <c r="M5357" t="s">
        <v>10318</v>
      </c>
      <c r="N5357" t="s">
        <v>10684</v>
      </c>
      <c r="P5357" t="s">
        <v>10751</v>
      </c>
      <c r="Q5357" t="s">
        <v>10786</v>
      </c>
      <c r="R5357" t="s">
        <v>10827</v>
      </c>
      <c r="T5357">
        <v>0</v>
      </c>
      <c r="U5357">
        <v>0</v>
      </c>
      <c r="V5357">
        <v>81</v>
      </c>
      <c r="W5357">
        <v>1</v>
      </c>
      <c r="X5357">
        <v>0</v>
      </c>
      <c r="Z5357">
        <v>0</v>
      </c>
      <c r="AA5357">
        <v>40.692578</v>
      </c>
      <c r="AB5357">
        <v>-73.825554</v>
      </c>
      <c r="AD5357" t="s">
        <v>10840</v>
      </c>
      <c r="AF5357" t="s">
        <v>10843</v>
      </c>
      <c r="AG5357" t="s">
        <v>10859</v>
      </c>
      <c r="AH5357" t="s">
        <v>10873</v>
      </c>
      <c r="AI5357">
        <v>237</v>
      </c>
      <c r="AJ5357" t="s">
        <v>10212</v>
      </c>
      <c r="AL5357">
        <v>1.25</v>
      </c>
      <c r="AM5357" t="s">
        <v>10892</v>
      </c>
      <c r="AN5357" t="s">
        <v>10944</v>
      </c>
      <c r="AO5357" t="s">
        <v>11017</v>
      </c>
      <c r="AP5357" t="s">
        <v>11070</v>
      </c>
      <c r="AR5357" t="s">
        <v>11267</v>
      </c>
      <c r="AS5357" t="s">
        <v>11594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</row>
    <row r="5358" spans="1:59">
      <c r="A5358" s="1">
        <f>HYPERLINK("https://lsnyc.legalserver.org/matter/dynamic-profile/view/1909606","19-1909606")</f>
        <v>0</v>
      </c>
      <c r="B5358" t="s">
        <v>4236</v>
      </c>
      <c r="C5358" t="s">
        <v>5248</v>
      </c>
      <c r="D5358" t="s">
        <v>9926</v>
      </c>
      <c r="E5358" t="s">
        <v>10075</v>
      </c>
      <c r="F5358">
        <v>10456</v>
      </c>
      <c r="G5358" t="s">
        <v>10091</v>
      </c>
      <c r="H5358" t="s">
        <v>10163</v>
      </c>
      <c r="I5358" t="s">
        <v>10169</v>
      </c>
      <c r="J5358" t="s">
        <v>10214</v>
      </c>
      <c r="K5358" t="s">
        <v>10217</v>
      </c>
      <c r="M5358" t="s">
        <v>10286</v>
      </c>
      <c r="N5358" t="s">
        <v>10671</v>
      </c>
      <c r="P5358" t="s">
        <v>10749</v>
      </c>
      <c r="Q5358" t="s">
        <v>10767</v>
      </c>
      <c r="R5358" t="s">
        <v>10821</v>
      </c>
      <c r="T5358">
        <v>18200</v>
      </c>
      <c r="U5358">
        <v>1516.67</v>
      </c>
      <c r="V5358">
        <v>24</v>
      </c>
      <c r="W5358">
        <v>1</v>
      </c>
      <c r="X5358">
        <v>3</v>
      </c>
      <c r="Z5358">
        <v>70.68000000000001</v>
      </c>
      <c r="AA5358">
        <v>40.83003</v>
      </c>
      <c r="AB5358">
        <v>-73.90730000000001</v>
      </c>
      <c r="AD5358" t="s">
        <v>10839</v>
      </c>
      <c r="AF5358" t="s">
        <v>10843</v>
      </c>
      <c r="AG5358" t="s">
        <v>10859</v>
      </c>
      <c r="AH5358" t="s">
        <v>10861</v>
      </c>
      <c r="AI5358">
        <v>234</v>
      </c>
      <c r="AJ5358" t="s">
        <v>10214</v>
      </c>
      <c r="AL5358">
        <v>0.4</v>
      </c>
      <c r="AM5358" t="s">
        <v>10884</v>
      </c>
      <c r="AN5358" t="s">
        <v>10918</v>
      </c>
      <c r="AO5358" t="s">
        <v>11001</v>
      </c>
      <c r="AP5358" t="s">
        <v>11055</v>
      </c>
      <c r="AR5358" t="s">
        <v>10180</v>
      </c>
      <c r="AS5358" t="s">
        <v>9926</v>
      </c>
      <c r="AT5358" t="s">
        <v>11641</v>
      </c>
      <c r="AX5358" t="s">
        <v>10838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</row>
    <row r="5359" spans="1:59">
      <c r="A5359" s="1">
        <f>HYPERLINK("https://lsnyc.legalserver.org/matter/dynamic-profile/view/1909607","19-1909607")</f>
        <v>0</v>
      </c>
      <c r="B5359" t="s">
        <v>4093</v>
      </c>
      <c r="C5359" t="s">
        <v>9073</v>
      </c>
      <c r="D5359" t="s">
        <v>9926</v>
      </c>
      <c r="E5359" t="s">
        <v>10075</v>
      </c>
      <c r="F5359">
        <v>10468</v>
      </c>
      <c r="G5359" t="s">
        <v>10090</v>
      </c>
      <c r="H5359" t="s">
        <v>10163</v>
      </c>
      <c r="I5359" t="s">
        <v>10168</v>
      </c>
      <c r="J5359" t="s">
        <v>10210</v>
      </c>
      <c r="K5359" t="s">
        <v>10217</v>
      </c>
      <c r="M5359" t="s">
        <v>10316</v>
      </c>
      <c r="N5359" t="s">
        <v>10651</v>
      </c>
      <c r="P5359" t="s">
        <v>10749</v>
      </c>
      <c r="Q5359" t="s">
        <v>10765</v>
      </c>
      <c r="R5359" t="s">
        <v>10823</v>
      </c>
      <c r="T5359">
        <v>21600</v>
      </c>
      <c r="U5359">
        <v>1800</v>
      </c>
      <c r="V5359">
        <v>31</v>
      </c>
      <c r="W5359">
        <v>1</v>
      </c>
      <c r="X5359">
        <v>1</v>
      </c>
      <c r="Z5359">
        <v>127.74</v>
      </c>
      <c r="AA5359">
        <v>40.870453</v>
      </c>
      <c r="AB5359">
        <v>-73.89196099999999</v>
      </c>
      <c r="AD5359" t="s">
        <v>10839</v>
      </c>
      <c r="AG5359" t="s">
        <v>10858</v>
      </c>
      <c r="AH5359" t="s">
        <v>10862</v>
      </c>
      <c r="AI5359">
        <v>230</v>
      </c>
      <c r="AJ5359" t="s">
        <v>10210</v>
      </c>
      <c r="AL5359">
        <v>2</v>
      </c>
      <c r="AM5359" t="s">
        <v>10887</v>
      </c>
      <c r="AN5359" t="s">
        <v>10907</v>
      </c>
      <c r="AO5359" t="s">
        <v>11000</v>
      </c>
      <c r="AP5359" t="s">
        <v>11045</v>
      </c>
      <c r="AR5359" t="s">
        <v>11262</v>
      </c>
      <c r="AS5359" t="s">
        <v>9926</v>
      </c>
      <c r="AT5359" t="s">
        <v>11641</v>
      </c>
      <c r="AX5359" t="s">
        <v>10838</v>
      </c>
      <c r="BA5359" t="s">
        <v>11738</v>
      </c>
      <c r="BB5359">
        <v>0</v>
      </c>
      <c r="BC5359">
        <v>0</v>
      </c>
      <c r="BD5359">
        <v>0</v>
      </c>
      <c r="BE5359">
        <v>0</v>
      </c>
      <c r="BF5359">
        <v>5</v>
      </c>
      <c r="BG5359">
        <v>0</v>
      </c>
    </row>
    <row r="5360" spans="1:59">
      <c r="A5360" s="1">
        <f>HYPERLINK("https://lsnyc.legalserver.org/matter/dynamic-profile/view/1909608","19-1909608")</f>
        <v>0</v>
      </c>
      <c r="B5360" t="s">
        <v>4237</v>
      </c>
      <c r="C5360" t="s">
        <v>9074</v>
      </c>
      <c r="D5360" t="s">
        <v>9962</v>
      </c>
      <c r="E5360" t="s">
        <v>10075</v>
      </c>
      <c r="F5360">
        <v>11423</v>
      </c>
      <c r="G5360" t="s">
        <v>10092</v>
      </c>
      <c r="H5360" t="s">
        <v>10163</v>
      </c>
      <c r="I5360" t="s">
        <v>10168</v>
      </c>
      <c r="J5360" t="s">
        <v>10212</v>
      </c>
      <c r="K5360" t="s">
        <v>10217</v>
      </c>
      <c r="M5360" t="s">
        <v>10258</v>
      </c>
      <c r="N5360" t="s">
        <v>10646</v>
      </c>
      <c r="P5360" t="s">
        <v>10749</v>
      </c>
      <c r="Q5360" t="s">
        <v>10765</v>
      </c>
      <c r="R5360" t="s">
        <v>10824</v>
      </c>
      <c r="T5360">
        <v>40000</v>
      </c>
      <c r="U5360">
        <v>3333.33</v>
      </c>
      <c r="V5360">
        <v>46</v>
      </c>
      <c r="W5360">
        <v>1</v>
      </c>
      <c r="X5360">
        <v>1</v>
      </c>
      <c r="Z5360">
        <v>236.55</v>
      </c>
      <c r="AA5360">
        <v>40.707165</v>
      </c>
      <c r="AB5360">
        <v>-73.771376</v>
      </c>
      <c r="AD5360" t="s">
        <v>10839</v>
      </c>
      <c r="AG5360" t="s">
        <v>10858</v>
      </c>
      <c r="AH5360" t="s">
        <v>10861</v>
      </c>
      <c r="AI5360">
        <v>234</v>
      </c>
      <c r="AJ5360" t="s">
        <v>10214</v>
      </c>
      <c r="AL5360">
        <v>1</v>
      </c>
      <c r="AM5360" t="s">
        <v>10892</v>
      </c>
      <c r="AN5360" t="s">
        <v>10940</v>
      </c>
      <c r="AO5360" t="s">
        <v>11020</v>
      </c>
      <c r="AP5360" t="s">
        <v>11075</v>
      </c>
      <c r="AR5360" t="s">
        <v>11257</v>
      </c>
      <c r="AS5360" t="s">
        <v>11594</v>
      </c>
      <c r="AT5360" t="s">
        <v>11641</v>
      </c>
      <c r="AX5360" t="s">
        <v>10838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</row>
    <row r="5361" spans="1:59">
      <c r="A5361" s="1">
        <f>HYPERLINK("https://lsnyc.legalserver.org/matter/dynamic-profile/view/1909609","19-1909609")</f>
        <v>0</v>
      </c>
      <c r="B5361" t="s">
        <v>1164</v>
      </c>
      <c r="C5361" t="s">
        <v>6999</v>
      </c>
      <c r="D5361" t="s">
        <v>9926</v>
      </c>
      <c r="E5361" t="s">
        <v>10075</v>
      </c>
      <c r="F5361">
        <v>10452</v>
      </c>
      <c r="G5361" t="s">
        <v>10090</v>
      </c>
      <c r="H5361" t="s">
        <v>10110</v>
      </c>
      <c r="J5361" t="s">
        <v>10210</v>
      </c>
      <c r="K5361" t="s">
        <v>10217</v>
      </c>
      <c r="M5361" t="s">
        <v>10498</v>
      </c>
      <c r="N5361" t="s">
        <v>10650</v>
      </c>
      <c r="P5361" t="s">
        <v>10749</v>
      </c>
      <c r="Q5361" t="s">
        <v>10765</v>
      </c>
      <c r="R5361" t="s">
        <v>10821</v>
      </c>
      <c r="T5361">
        <v>20000</v>
      </c>
      <c r="U5361">
        <v>1666.67</v>
      </c>
      <c r="V5361">
        <v>55</v>
      </c>
      <c r="W5361">
        <v>1</v>
      </c>
      <c r="X5361">
        <v>0</v>
      </c>
      <c r="Z5361">
        <v>160.13</v>
      </c>
      <c r="AA5361">
        <v>40.828115</v>
      </c>
      <c r="AB5361">
        <v>-73.923996</v>
      </c>
      <c r="AD5361" t="s">
        <v>10839</v>
      </c>
      <c r="AG5361" t="s">
        <v>10858</v>
      </c>
      <c r="AH5361" t="s">
        <v>10862</v>
      </c>
      <c r="AI5361">
        <v>230</v>
      </c>
      <c r="AJ5361" t="s">
        <v>10210</v>
      </c>
      <c r="AL5361">
        <v>0</v>
      </c>
      <c r="AM5361" t="s">
        <v>10884</v>
      </c>
      <c r="AN5361" t="s">
        <v>10924</v>
      </c>
      <c r="AO5361" t="s">
        <v>11013</v>
      </c>
      <c r="AP5361" t="s">
        <v>11066</v>
      </c>
      <c r="AR5361" t="s">
        <v>11268</v>
      </c>
      <c r="AS5361" t="s">
        <v>9926</v>
      </c>
      <c r="AT5361" t="s">
        <v>11641</v>
      </c>
      <c r="AX5361" t="s">
        <v>10838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</row>
    <row r="5362" spans="1:59">
      <c r="A5362" s="1">
        <f>HYPERLINK("https://lsnyc.legalserver.org/matter/dynamic-profile/view/1909610","19-1909610")</f>
        <v>0</v>
      </c>
      <c r="B5362" t="s">
        <v>4238</v>
      </c>
      <c r="C5362" t="s">
        <v>9075</v>
      </c>
      <c r="D5362" t="s">
        <v>9933</v>
      </c>
      <c r="E5362" t="s">
        <v>10075</v>
      </c>
      <c r="F5362">
        <v>11420</v>
      </c>
      <c r="G5362" t="s">
        <v>10092</v>
      </c>
      <c r="H5362" t="s">
        <v>10163</v>
      </c>
      <c r="I5362" t="s">
        <v>10168</v>
      </c>
      <c r="J5362" t="s">
        <v>10212</v>
      </c>
      <c r="K5362" t="s">
        <v>10217</v>
      </c>
      <c r="M5362" t="s">
        <v>10335</v>
      </c>
      <c r="N5362" t="s">
        <v>10695</v>
      </c>
      <c r="P5362" t="s">
        <v>10749</v>
      </c>
      <c r="Q5362" t="s">
        <v>10765</v>
      </c>
      <c r="R5362" t="s">
        <v>10824</v>
      </c>
      <c r="T5362">
        <v>19968</v>
      </c>
      <c r="U5362">
        <v>1664</v>
      </c>
      <c r="V5362">
        <v>49</v>
      </c>
      <c r="W5362">
        <v>2</v>
      </c>
      <c r="X5362">
        <v>1</v>
      </c>
      <c r="Z5362">
        <v>93.61</v>
      </c>
      <c r="AA5362">
        <v>40.677746</v>
      </c>
      <c r="AB5362">
        <v>-73.82818</v>
      </c>
      <c r="AD5362" t="s">
        <v>10839</v>
      </c>
      <c r="AG5362" t="s">
        <v>10858</v>
      </c>
      <c r="AH5362" t="s">
        <v>10862</v>
      </c>
      <c r="AI5362">
        <v>237</v>
      </c>
      <c r="AJ5362" t="s">
        <v>10212</v>
      </c>
      <c r="AL5362">
        <v>0.9</v>
      </c>
      <c r="AM5362" t="s">
        <v>10892</v>
      </c>
      <c r="AN5362" t="s">
        <v>10930</v>
      </c>
      <c r="AO5362" t="s">
        <v>11024</v>
      </c>
      <c r="AP5362" t="s">
        <v>11070</v>
      </c>
      <c r="AR5362" t="s">
        <v>11293</v>
      </c>
      <c r="AS5362" t="s">
        <v>11594</v>
      </c>
      <c r="BA5362" t="s">
        <v>11742</v>
      </c>
      <c r="BB5362">
        <v>0</v>
      </c>
      <c r="BC5362">
        <v>0</v>
      </c>
      <c r="BD5362">
        <v>0</v>
      </c>
      <c r="BE5362">
        <v>0</v>
      </c>
      <c r="BF5362">
        <v>7</v>
      </c>
      <c r="BG5362">
        <v>0</v>
      </c>
    </row>
    <row r="5363" spans="1:59">
      <c r="A5363" s="1">
        <f>HYPERLINK("https://lsnyc.legalserver.org/matter/dynamic-profile/view/1909611","19-1909611")</f>
        <v>0</v>
      </c>
      <c r="B5363" t="s">
        <v>4239</v>
      </c>
      <c r="C5363" t="s">
        <v>9076</v>
      </c>
      <c r="D5363" t="s">
        <v>9929</v>
      </c>
      <c r="E5363" t="s">
        <v>10075</v>
      </c>
      <c r="F5363">
        <v>10312</v>
      </c>
      <c r="G5363" t="s">
        <v>10088</v>
      </c>
      <c r="H5363" t="s">
        <v>10163</v>
      </c>
      <c r="I5363" t="s">
        <v>10168</v>
      </c>
      <c r="J5363" t="s">
        <v>10208</v>
      </c>
      <c r="K5363" t="s">
        <v>10217</v>
      </c>
      <c r="M5363" t="s">
        <v>10478</v>
      </c>
      <c r="N5363" t="s">
        <v>10663</v>
      </c>
      <c r="P5363" t="s">
        <v>10755</v>
      </c>
      <c r="Q5363" t="s">
        <v>10772</v>
      </c>
      <c r="R5363" t="s">
        <v>10820</v>
      </c>
      <c r="T5363">
        <v>65000</v>
      </c>
      <c r="U5363">
        <v>5416.67</v>
      </c>
      <c r="V5363">
        <v>8</v>
      </c>
      <c r="W5363">
        <v>1</v>
      </c>
      <c r="X5363">
        <v>1</v>
      </c>
      <c r="Z5363">
        <v>384.39</v>
      </c>
      <c r="AA5363">
        <v>40.561828</v>
      </c>
      <c r="AB5363">
        <v>-74.17800099999999</v>
      </c>
      <c r="AD5363" t="s">
        <v>10840</v>
      </c>
      <c r="AG5363" t="s">
        <v>10858</v>
      </c>
      <c r="AH5363" t="s">
        <v>10877</v>
      </c>
      <c r="AI5363">
        <v>285</v>
      </c>
      <c r="AJ5363" t="s">
        <v>10208</v>
      </c>
      <c r="AL5363">
        <v>0.3</v>
      </c>
      <c r="AM5363" t="s">
        <v>10883</v>
      </c>
      <c r="AN5363" t="s">
        <v>10928</v>
      </c>
      <c r="AO5363" t="s">
        <v>10999</v>
      </c>
      <c r="AP5363" t="s">
        <v>11044</v>
      </c>
      <c r="AR5363" t="s">
        <v>11270</v>
      </c>
      <c r="AS5363" t="s">
        <v>11593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</row>
    <row r="5364" spans="1:59">
      <c r="A5364" s="1">
        <f>HYPERLINK("https://lsnyc.legalserver.org/matter/dynamic-profile/view/1909612","19-1909612")</f>
        <v>0</v>
      </c>
      <c r="B5364" t="s">
        <v>1610</v>
      </c>
      <c r="C5364" t="s">
        <v>6418</v>
      </c>
      <c r="D5364" t="s">
        <v>9926</v>
      </c>
      <c r="E5364" t="s">
        <v>10075</v>
      </c>
      <c r="F5364">
        <v>10452</v>
      </c>
      <c r="G5364" t="s">
        <v>10090</v>
      </c>
      <c r="H5364" t="s">
        <v>10163</v>
      </c>
      <c r="I5364" t="s">
        <v>10168</v>
      </c>
      <c r="J5364" t="s">
        <v>10210</v>
      </c>
      <c r="K5364" t="s">
        <v>10217</v>
      </c>
      <c r="M5364" t="s">
        <v>10401</v>
      </c>
      <c r="N5364" t="s">
        <v>10677</v>
      </c>
      <c r="P5364" t="s">
        <v>10757</v>
      </c>
      <c r="Q5364" t="s">
        <v>10797</v>
      </c>
      <c r="R5364" t="s">
        <v>10824</v>
      </c>
      <c r="T5364">
        <v>13728</v>
      </c>
      <c r="U5364">
        <v>1144</v>
      </c>
      <c r="V5364">
        <v>71</v>
      </c>
      <c r="W5364">
        <v>1</v>
      </c>
      <c r="X5364">
        <v>0</v>
      </c>
      <c r="Z5364">
        <v>109.91</v>
      </c>
      <c r="AA5364">
        <v>40.82923</v>
      </c>
      <c r="AB5364">
        <v>-73.923169</v>
      </c>
      <c r="AD5364" t="s">
        <v>10839</v>
      </c>
      <c r="AG5364" t="s">
        <v>10858</v>
      </c>
      <c r="AH5364" t="s">
        <v>10874</v>
      </c>
      <c r="AI5364">
        <v>230</v>
      </c>
      <c r="AJ5364" t="s">
        <v>10210</v>
      </c>
      <c r="AL5364">
        <v>3.75</v>
      </c>
      <c r="AM5364" t="s">
        <v>10884</v>
      </c>
      <c r="AN5364" t="s">
        <v>10924</v>
      </c>
      <c r="AO5364" t="s">
        <v>11013</v>
      </c>
      <c r="AP5364" t="s">
        <v>11066</v>
      </c>
      <c r="AR5364" t="s">
        <v>11300</v>
      </c>
      <c r="AS5364" t="s">
        <v>9926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</row>
    <row r="5365" spans="1:59">
      <c r="A5365" s="1">
        <f>HYPERLINK("https://lsnyc.legalserver.org/matter/dynamic-profile/view/1909614","19-1909614")</f>
        <v>0</v>
      </c>
      <c r="B5365" t="s">
        <v>1030</v>
      </c>
      <c r="C5365" t="s">
        <v>9077</v>
      </c>
      <c r="D5365" t="s">
        <v>9925</v>
      </c>
      <c r="E5365" t="s">
        <v>10075</v>
      </c>
      <c r="F5365">
        <v>10033</v>
      </c>
      <c r="G5365" t="s">
        <v>10089</v>
      </c>
      <c r="H5365" t="s">
        <v>10163</v>
      </c>
      <c r="I5365" t="s">
        <v>10169</v>
      </c>
      <c r="J5365" t="s">
        <v>10209</v>
      </c>
      <c r="K5365" t="s">
        <v>10217</v>
      </c>
      <c r="M5365" t="s">
        <v>10460</v>
      </c>
      <c r="N5365" t="s">
        <v>10650</v>
      </c>
      <c r="P5365" t="s">
        <v>10749</v>
      </c>
      <c r="Q5365" t="s">
        <v>10765</v>
      </c>
      <c r="R5365" t="s">
        <v>10821</v>
      </c>
      <c r="T5365">
        <v>23998</v>
      </c>
      <c r="U5365">
        <v>1999.83</v>
      </c>
      <c r="V5365">
        <v>61</v>
      </c>
      <c r="W5365">
        <v>4</v>
      </c>
      <c r="X5365">
        <v>0</v>
      </c>
      <c r="Z5365">
        <v>93.2</v>
      </c>
      <c r="AA5365">
        <v>40.844823</v>
      </c>
      <c r="AB5365">
        <v>-73.93373</v>
      </c>
      <c r="AD5365" t="s">
        <v>10840</v>
      </c>
      <c r="AF5365" t="s">
        <v>10843</v>
      </c>
      <c r="AG5365" t="s">
        <v>10859</v>
      </c>
      <c r="AH5365" t="s">
        <v>10862</v>
      </c>
      <c r="AI5365">
        <v>236</v>
      </c>
      <c r="AJ5365" t="s">
        <v>10209</v>
      </c>
      <c r="AL5365">
        <v>0</v>
      </c>
      <c r="AM5365" t="s">
        <v>10887</v>
      </c>
      <c r="AN5365" t="s">
        <v>10937</v>
      </c>
      <c r="AO5365" t="s">
        <v>11019</v>
      </c>
      <c r="AP5365" t="s">
        <v>11074</v>
      </c>
      <c r="AR5365" t="s">
        <v>11257</v>
      </c>
      <c r="AS5365" t="s">
        <v>9925</v>
      </c>
      <c r="AT5365" t="s">
        <v>11642</v>
      </c>
      <c r="AX5365" t="s">
        <v>10838</v>
      </c>
      <c r="BA5365" t="s">
        <v>11742</v>
      </c>
      <c r="BB5365">
        <v>0</v>
      </c>
      <c r="BC5365">
        <v>0</v>
      </c>
      <c r="BD5365">
        <v>0</v>
      </c>
      <c r="BE5365">
        <v>0</v>
      </c>
      <c r="BF5365">
        <v>7</v>
      </c>
      <c r="BG5365">
        <v>0</v>
      </c>
    </row>
    <row r="5366" spans="1:59">
      <c r="A5366" s="1">
        <f>HYPERLINK("https://lsnyc.legalserver.org/matter/dynamic-profile/view/1909615","19-1909615")</f>
        <v>0</v>
      </c>
      <c r="B5366" t="s">
        <v>4240</v>
      </c>
      <c r="C5366" t="s">
        <v>9078</v>
      </c>
      <c r="D5366" t="s">
        <v>9928</v>
      </c>
      <c r="E5366" t="s">
        <v>10075</v>
      </c>
      <c r="F5366">
        <v>11216</v>
      </c>
      <c r="G5366" t="s">
        <v>10093</v>
      </c>
      <c r="H5366" t="s">
        <v>10163</v>
      </c>
      <c r="I5366" t="s">
        <v>10168</v>
      </c>
      <c r="J5366" t="s">
        <v>10213</v>
      </c>
      <c r="K5366" t="s">
        <v>10217</v>
      </c>
      <c r="M5366" t="s">
        <v>10361</v>
      </c>
      <c r="N5366" t="s">
        <v>10667</v>
      </c>
      <c r="P5366" t="s">
        <v>10749</v>
      </c>
      <c r="Q5366" t="s">
        <v>10765</v>
      </c>
      <c r="R5366" t="s">
        <v>10824</v>
      </c>
      <c r="T5366">
        <v>5200</v>
      </c>
      <c r="U5366">
        <v>433.33</v>
      </c>
      <c r="V5366">
        <v>53</v>
      </c>
      <c r="W5366">
        <v>1</v>
      </c>
      <c r="X5366">
        <v>0</v>
      </c>
      <c r="Z5366">
        <v>41.63</v>
      </c>
      <c r="AA5366">
        <v>40.679206</v>
      </c>
      <c r="AB5366">
        <v>-73.94485299999999</v>
      </c>
      <c r="AD5366" t="s">
        <v>10839</v>
      </c>
      <c r="AG5366" t="s">
        <v>10858</v>
      </c>
      <c r="AH5366" t="s">
        <v>10862</v>
      </c>
      <c r="AI5366">
        <v>239</v>
      </c>
      <c r="AJ5366" t="s">
        <v>10213</v>
      </c>
      <c r="AL5366">
        <v>2.7</v>
      </c>
      <c r="AM5366" t="s">
        <v>10889</v>
      </c>
      <c r="AN5366" t="s">
        <v>10914</v>
      </c>
      <c r="AO5366" t="s">
        <v>11007</v>
      </c>
      <c r="AP5366" t="s">
        <v>11052</v>
      </c>
      <c r="AQ5366" t="s">
        <v>11101</v>
      </c>
      <c r="AR5366" t="s">
        <v>10180</v>
      </c>
      <c r="AS5366" t="s">
        <v>11595</v>
      </c>
      <c r="BA5366" t="s">
        <v>11738</v>
      </c>
      <c r="BB5366">
        <v>0</v>
      </c>
      <c r="BC5366">
        <v>0</v>
      </c>
      <c r="BD5366">
        <v>0</v>
      </c>
      <c r="BE5366">
        <v>0</v>
      </c>
      <c r="BF5366">
        <v>5</v>
      </c>
      <c r="BG5366">
        <v>0</v>
      </c>
    </row>
    <row r="5367" spans="1:59">
      <c r="A5367" s="1">
        <f>HYPERLINK("https://lsnyc.legalserver.org/matter/dynamic-profile/view/1909616","19-1909616")</f>
        <v>0</v>
      </c>
      <c r="B5367" t="s">
        <v>4241</v>
      </c>
      <c r="C5367" t="s">
        <v>9079</v>
      </c>
      <c r="D5367" t="s">
        <v>9928</v>
      </c>
      <c r="E5367" t="s">
        <v>10075</v>
      </c>
      <c r="F5367">
        <v>11208</v>
      </c>
      <c r="G5367" t="s">
        <v>10093</v>
      </c>
      <c r="H5367" t="s">
        <v>10163</v>
      </c>
      <c r="I5367" t="s">
        <v>10168</v>
      </c>
      <c r="J5367" t="s">
        <v>10213</v>
      </c>
      <c r="K5367" t="s">
        <v>10217</v>
      </c>
      <c r="M5367" t="s">
        <v>10405</v>
      </c>
      <c r="N5367" t="s">
        <v>10671</v>
      </c>
      <c r="P5367" t="s">
        <v>10749</v>
      </c>
      <c r="Q5367" t="s">
        <v>10765</v>
      </c>
      <c r="R5367" t="s">
        <v>10821</v>
      </c>
      <c r="T5367">
        <v>13800</v>
      </c>
      <c r="U5367">
        <v>1150</v>
      </c>
      <c r="V5367">
        <v>68</v>
      </c>
      <c r="W5367">
        <v>1</v>
      </c>
      <c r="X5367">
        <v>0</v>
      </c>
      <c r="Z5367">
        <v>110.49</v>
      </c>
      <c r="AA5367">
        <v>40.671616</v>
      </c>
      <c r="AB5367">
        <v>-73.875676</v>
      </c>
      <c r="AD5367" t="s">
        <v>10839</v>
      </c>
      <c r="AG5367" t="s">
        <v>10858</v>
      </c>
      <c r="AH5367" t="s">
        <v>10861</v>
      </c>
      <c r="AI5367">
        <v>234</v>
      </c>
      <c r="AJ5367" t="s">
        <v>10214</v>
      </c>
      <c r="AL5367">
        <v>1.2</v>
      </c>
      <c r="AM5367" t="s">
        <v>10889</v>
      </c>
      <c r="AN5367" t="s">
        <v>10946</v>
      </c>
      <c r="AO5367" t="s">
        <v>11012</v>
      </c>
      <c r="AP5367" t="s">
        <v>11060</v>
      </c>
      <c r="AR5367" t="s">
        <v>11268</v>
      </c>
      <c r="AS5367" t="s">
        <v>11595</v>
      </c>
      <c r="AT5367" t="s">
        <v>11641</v>
      </c>
      <c r="AX5367" t="s">
        <v>10838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</row>
    <row r="5368" spans="1:59">
      <c r="A5368" s="1">
        <f>HYPERLINK("https://lsnyc.legalserver.org/matter/dynamic-profile/view/1909617","19-1909617")</f>
        <v>0</v>
      </c>
      <c r="B5368" t="s">
        <v>4242</v>
      </c>
      <c r="C5368" t="s">
        <v>9080</v>
      </c>
      <c r="D5368" t="s">
        <v>9928</v>
      </c>
      <c r="E5368" t="s">
        <v>10075</v>
      </c>
      <c r="F5368">
        <v>11229</v>
      </c>
      <c r="G5368" t="s">
        <v>10093</v>
      </c>
      <c r="H5368" t="s">
        <v>10163</v>
      </c>
      <c r="I5368" t="s">
        <v>10174</v>
      </c>
      <c r="J5368" t="s">
        <v>10213</v>
      </c>
      <c r="K5368" t="s">
        <v>10217</v>
      </c>
      <c r="M5368" t="s">
        <v>10314</v>
      </c>
      <c r="N5368" t="s">
        <v>10664</v>
      </c>
      <c r="P5368" t="s">
        <v>10749</v>
      </c>
      <c r="Q5368" t="s">
        <v>10765</v>
      </c>
      <c r="R5368" t="s">
        <v>10822</v>
      </c>
      <c r="T5368">
        <v>0</v>
      </c>
      <c r="U5368">
        <v>0</v>
      </c>
      <c r="V5368">
        <v>49</v>
      </c>
      <c r="W5368">
        <v>1</v>
      </c>
      <c r="X5368">
        <v>2</v>
      </c>
      <c r="Z5368">
        <v>0</v>
      </c>
      <c r="AA5368">
        <v>40.609566</v>
      </c>
      <c r="AB5368">
        <v>-73.955821</v>
      </c>
      <c r="AD5368" t="s">
        <v>10839</v>
      </c>
      <c r="AF5368" t="s">
        <v>10843</v>
      </c>
      <c r="AG5368" t="s">
        <v>10859</v>
      </c>
      <c r="AH5368" t="s">
        <v>10861</v>
      </c>
      <c r="AI5368">
        <v>239</v>
      </c>
      <c r="AJ5368" t="s">
        <v>10213</v>
      </c>
      <c r="AL5368">
        <v>5.5</v>
      </c>
      <c r="AM5368" t="s">
        <v>10888</v>
      </c>
      <c r="AN5368" t="s">
        <v>10965</v>
      </c>
      <c r="AO5368" t="s">
        <v>11015</v>
      </c>
      <c r="AP5368" t="s">
        <v>11092</v>
      </c>
      <c r="AR5368" t="s">
        <v>11279</v>
      </c>
      <c r="AS5368" t="s">
        <v>11595</v>
      </c>
      <c r="BA5368" t="s">
        <v>11738</v>
      </c>
      <c r="BB5368">
        <v>0</v>
      </c>
      <c r="BC5368">
        <v>0</v>
      </c>
      <c r="BD5368">
        <v>0</v>
      </c>
      <c r="BE5368">
        <v>0</v>
      </c>
      <c r="BF5368">
        <v>5</v>
      </c>
      <c r="BG5368">
        <v>0</v>
      </c>
    </row>
    <row r="5369" spans="1:59">
      <c r="A5369" s="1">
        <f>HYPERLINK("https://lsnyc.legalserver.org/matter/dynamic-profile/view/1909618","19-1909618")</f>
        <v>0</v>
      </c>
      <c r="B5369" t="s">
        <v>4240</v>
      </c>
      <c r="C5369" t="s">
        <v>9078</v>
      </c>
      <c r="D5369" t="s">
        <v>9928</v>
      </c>
      <c r="E5369" t="s">
        <v>10075</v>
      </c>
      <c r="F5369">
        <v>11216</v>
      </c>
      <c r="G5369" t="s">
        <v>10093</v>
      </c>
      <c r="H5369" t="s">
        <v>10163</v>
      </c>
      <c r="I5369" t="s">
        <v>10168</v>
      </c>
      <c r="J5369" t="s">
        <v>10213</v>
      </c>
      <c r="K5369" t="s">
        <v>10217</v>
      </c>
      <c r="M5369" t="s">
        <v>10361</v>
      </c>
      <c r="N5369" t="s">
        <v>10668</v>
      </c>
      <c r="P5369" t="s">
        <v>10751</v>
      </c>
      <c r="Q5369" t="s">
        <v>10761</v>
      </c>
      <c r="R5369" t="s">
        <v>10824</v>
      </c>
      <c r="T5369">
        <v>5200</v>
      </c>
      <c r="U5369">
        <v>433.33</v>
      </c>
      <c r="V5369">
        <v>53</v>
      </c>
      <c r="W5369">
        <v>1</v>
      </c>
      <c r="X5369">
        <v>0</v>
      </c>
      <c r="Z5369">
        <v>41.63</v>
      </c>
      <c r="AA5369">
        <v>40.679206</v>
      </c>
      <c r="AB5369">
        <v>-73.94485299999999</v>
      </c>
      <c r="AD5369" t="s">
        <v>10839</v>
      </c>
      <c r="AG5369" t="s">
        <v>10858</v>
      </c>
      <c r="AH5369" t="s">
        <v>10862</v>
      </c>
      <c r="AI5369">
        <v>239</v>
      </c>
      <c r="AJ5369" t="s">
        <v>10213</v>
      </c>
      <c r="AL5369">
        <v>0</v>
      </c>
      <c r="AM5369" t="s">
        <v>10889</v>
      </c>
      <c r="AN5369" t="s">
        <v>10914</v>
      </c>
      <c r="AO5369" t="s">
        <v>11007</v>
      </c>
      <c r="AP5369" t="s">
        <v>11052</v>
      </c>
      <c r="AR5369" t="s">
        <v>10180</v>
      </c>
      <c r="AS5369" t="s">
        <v>11595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</row>
    <row r="5370" spans="1:59">
      <c r="A5370" s="1">
        <f>HYPERLINK("https://lsnyc.legalserver.org/matter/dynamic-profile/view/1909619","19-1909619")</f>
        <v>0</v>
      </c>
      <c r="B5370" t="s">
        <v>4243</v>
      </c>
      <c r="C5370" t="s">
        <v>9081</v>
      </c>
      <c r="D5370" t="s">
        <v>9929</v>
      </c>
      <c r="E5370" t="s">
        <v>10075</v>
      </c>
      <c r="F5370">
        <v>10306</v>
      </c>
      <c r="G5370" t="s">
        <v>10088</v>
      </c>
      <c r="H5370" t="s">
        <v>10115</v>
      </c>
      <c r="I5370" t="s">
        <v>10168</v>
      </c>
      <c r="J5370" t="s">
        <v>10208</v>
      </c>
      <c r="K5370" t="s">
        <v>10217</v>
      </c>
      <c r="M5370" t="s">
        <v>10478</v>
      </c>
      <c r="N5370" t="s">
        <v>10663</v>
      </c>
      <c r="P5370" t="s">
        <v>10755</v>
      </c>
      <c r="Q5370" t="s">
        <v>10772</v>
      </c>
      <c r="R5370" t="s">
        <v>10822</v>
      </c>
      <c r="T5370">
        <v>0</v>
      </c>
      <c r="U5370">
        <v>0</v>
      </c>
      <c r="V5370">
        <v>14</v>
      </c>
      <c r="W5370">
        <v>1</v>
      </c>
      <c r="X5370">
        <v>1</v>
      </c>
      <c r="Z5370">
        <v>0</v>
      </c>
      <c r="AA5370">
        <v>40.586792</v>
      </c>
      <c r="AB5370">
        <v>-74.101213</v>
      </c>
      <c r="AD5370" t="s">
        <v>10841</v>
      </c>
      <c r="AG5370" t="s">
        <v>10858</v>
      </c>
      <c r="AH5370" t="s">
        <v>10877</v>
      </c>
      <c r="AI5370">
        <v>285</v>
      </c>
      <c r="AJ5370" t="s">
        <v>10208</v>
      </c>
      <c r="AL5370">
        <v>0.9</v>
      </c>
      <c r="AM5370" t="s">
        <v>10883</v>
      </c>
      <c r="AN5370" t="s">
        <v>10928</v>
      </c>
      <c r="AO5370" t="s">
        <v>10999</v>
      </c>
      <c r="AP5370" t="s">
        <v>11063</v>
      </c>
      <c r="AR5370" t="s">
        <v>11267</v>
      </c>
      <c r="AS5370" t="s">
        <v>11593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</row>
    <row r="5371" spans="1:59">
      <c r="A5371" s="1">
        <f>HYPERLINK("https://lsnyc.legalserver.org/matter/dynamic-profile/view/1909620","19-1909620")</f>
        <v>0</v>
      </c>
      <c r="B5371" t="s">
        <v>4244</v>
      </c>
      <c r="C5371" t="s">
        <v>9082</v>
      </c>
      <c r="D5371" t="s">
        <v>9943</v>
      </c>
      <c r="E5371" t="s">
        <v>10075</v>
      </c>
      <c r="F5371">
        <v>11372</v>
      </c>
      <c r="G5371" t="s">
        <v>10092</v>
      </c>
      <c r="H5371" t="s">
        <v>10163</v>
      </c>
      <c r="I5371" t="s">
        <v>10168</v>
      </c>
      <c r="J5371" t="s">
        <v>10212</v>
      </c>
      <c r="K5371" t="s">
        <v>10217</v>
      </c>
      <c r="M5371" t="s">
        <v>10325</v>
      </c>
      <c r="N5371" t="s">
        <v>10671</v>
      </c>
      <c r="P5371" t="s">
        <v>10751</v>
      </c>
      <c r="Q5371" t="s">
        <v>10776</v>
      </c>
      <c r="R5371" t="s">
        <v>10827</v>
      </c>
      <c r="T5371">
        <v>2196</v>
      </c>
      <c r="U5371">
        <v>183</v>
      </c>
      <c r="V5371">
        <v>32</v>
      </c>
      <c r="W5371">
        <v>1</v>
      </c>
      <c r="X5371">
        <v>0</v>
      </c>
      <c r="Z5371">
        <v>17.58</v>
      </c>
      <c r="AA5371">
        <v>40.750115</v>
      </c>
      <c r="AB5371">
        <v>-73.87075299999999</v>
      </c>
      <c r="AD5371" t="s">
        <v>10840</v>
      </c>
      <c r="AF5371" t="s">
        <v>10846</v>
      </c>
      <c r="AG5371" t="s">
        <v>10859</v>
      </c>
      <c r="AH5371" t="s">
        <v>10861</v>
      </c>
      <c r="AI5371">
        <v>234</v>
      </c>
      <c r="AJ5371" t="s">
        <v>10214</v>
      </c>
      <c r="AL5371">
        <v>1.6</v>
      </c>
      <c r="AM5371" t="s">
        <v>10885</v>
      </c>
      <c r="AN5371" t="s">
        <v>10909</v>
      </c>
      <c r="AO5371" t="s">
        <v>11014</v>
      </c>
      <c r="AP5371" t="s">
        <v>11068</v>
      </c>
      <c r="AR5371" t="s">
        <v>11255</v>
      </c>
      <c r="AS5371" t="s">
        <v>11594</v>
      </c>
      <c r="AT5371" t="s">
        <v>11642</v>
      </c>
      <c r="AX5371" t="s">
        <v>11678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</row>
    <row r="5372" spans="1:59">
      <c r="A5372" s="1">
        <f>HYPERLINK("https://lsnyc.legalserver.org/matter/dynamic-profile/view/1909621","19-1909621")</f>
        <v>0</v>
      </c>
      <c r="B5372" t="s">
        <v>4245</v>
      </c>
      <c r="C5372" t="s">
        <v>9083</v>
      </c>
      <c r="D5372" t="s">
        <v>9929</v>
      </c>
      <c r="E5372" t="s">
        <v>10075</v>
      </c>
      <c r="F5372">
        <v>10306</v>
      </c>
      <c r="G5372" t="s">
        <v>10088</v>
      </c>
      <c r="H5372" t="s">
        <v>10163</v>
      </c>
      <c r="I5372" t="s">
        <v>10168</v>
      </c>
      <c r="J5372" t="s">
        <v>10208</v>
      </c>
      <c r="K5372" t="s">
        <v>10217</v>
      </c>
      <c r="M5372" t="s">
        <v>10478</v>
      </c>
      <c r="N5372" t="s">
        <v>10663</v>
      </c>
      <c r="P5372" t="s">
        <v>10755</v>
      </c>
      <c r="Q5372" t="s">
        <v>10772</v>
      </c>
      <c r="R5372" t="s">
        <v>10821</v>
      </c>
      <c r="T5372">
        <v>20800</v>
      </c>
      <c r="U5372">
        <v>1733.33</v>
      </c>
      <c r="V5372">
        <v>9</v>
      </c>
      <c r="W5372">
        <v>2</v>
      </c>
      <c r="X5372">
        <v>1</v>
      </c>
      <c r="Z5372">
        <v>97.52</v>
      </c>
      <c r="AA5372">
        <v>40.564222</v>
      </c>
      <c r="AB5372">
        <v>-74.111794</v>
      </c>
      <c r="AD5372" t="s">
        <v>10839</v>
      </c>
      <c r="AG5372" t="s">
        <v>10858</v>
      </c>
      <c r="AH5372" t="s">
        <v>10877</v>
      </c>
      <c r="AI5372">
        <v>285</v>
      </c>
      <c r="AJ5372" t="s">
        <v>10208</v>
      </c>
      <c r="AL5372">
        <v>0.3</v>
      </c>
      <c r="AM5372" t="s">
        <v>10883</v>
      </c>
      <c r="AN5372" t="s">
        <v>10915</v>
      </c>
      <c r="AO5372" t="s">
        <v>10999</v>
      </c>
      <c r="AP5372" t="s">
        <v>11063</v>
      </c>
      <c r="AR5372" t="s">
        <v>11257</v>
      </c>
      <c r="AS5372" t="s">
        <v>11593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</row>
    <row r="5373" spans="1:59">
      <c r="A5373" s="1">
        <f>HYPERLINK("https://lsnyc.legalserver.org/matter/dynamic-profile/view/1909622","19-1909622")</f>
        <v>0</v>
      </c>
      <c r="B5373" t="s">
        <v>4246</v>
      </c>
      <c r="C5373" t="s">
        <v>9084</v>
      </c>
      <c r="D5373" t="s">
        <v>9926</v>
      </c>
      <c r="E5373" t="s">
        <v>10075</v>
      </c>
      <c r="F5373">
        <v>10475</v>
      </c>
      <c r="G5373" t="s">
        <v>10090</v>
      </c>
      <c r="H5373" t="s">
        <v>10163</v>
      </c>
      <c r="I5373" t="s">
        <v>10168</v>
      </c>
      <c r="J5373" t="s">
        <v>10210</v>
      </c>
      <c r="K5373" t="s">
        <v>10217</v>
      </c>
      <c r="M5373" t="s">
        <v>10262</v>
      </c>
      <c r="N5373" t="s">
        <v>10666</v>
      </c>
      <c r="P5373" t="s">
        <v>10749</v>
      </c>
      <c r="Q5373" t="s">
        <v>10765</v>
      </c>
      <c r="R5373" t="s">
        <v>10824</v>
      </c>
      <c r="T5373">
        <v>23400</v>
      </c>
      <c r="U5373">
        <v>1950</v>
      </c>
      <c r="V5373">
        <v>24</v>
      </c>
      <c r="W5373">
        <v>1</v>
      </c>
      <c r="X5373">
        <v>0</v>
      </c>
      <c r="Z5373">
        <v>187.35</v>
      </c>
      <c r="AA5373">
        <v>40.876849</v>
      </c>
      <c r="AB5373">
        <v>-73.833314</v>
      </c>
      <c r="AC5373" t="s">
        <v>10837</v>
      </c>
      <c r="AD5373" t="s">
        <v>10839</v>
      </c>
      <c r="AG5373" t="s">
        <v>10858</v>
      </c>
      <c r="AH5373" t="s">
        <v>10861</v>
      </c>
      <c r="AI5373">
        <v>230</v>
      </c>
      <c r="AJ5373" t="s">
        <v>10210</v>
      </c>
      <c r="AL5373">
        <v>0.3</v>
      </c>
      <c r="AM5373" t="s">
        <v>10893</v>
      </c>
      <c r="AN5373" t="s">
        <v>10911</v>
      </c>
      <c r="AO5373" t="s">
        <v>11010</v>
      </c>
      <c r="AP5373" t="s">
        <v>11085</v>
      </c>
      <c r="AR5373" t="s">
        <v>11257</v>
      </c>
      <c r="AS5373" t="s">
        <v>9926</v>
      </c>
      <c r="AT5373" t="s">
        <v>11641</v>
      </c>
      <c r="BA5373" t="s">
        <v>11741</v>
      </c>
      <c r="BB5373">
        <v>0</v>
      </c>
      <c r="BC5373">
        <v>0</v>
      </c>
      <c r="BD5373">
        <v>0</v>
      </c>
      <c r="BE5373">
        <v>0</v>
      </c>
      <c r="BF5373">
        <v>1</v>
      </c>
      <c r="BG5373">
        <v>0</v>
      </c>
    </row>
    <row r="5374" spans="1:59">
      <c r="A5374" s="1">
        <f>HYPERLINK("https://lsnyc.legalserver.org/matter/dynamic-profile/view/1909624","19-1909624")</f>
        <v>0</v>
      </c>
      <c r="B5374" t="s">
        <v>1665</v>
      </c>
      <c r="C5374" t="s">
        <v>9085</v>
      </c>
      <c r="D5374" t="s">
        <v>9928</v>
      </c>
      <c r="E5374" t="s">
        <v>10075</v>
      </c>
      <c r="F5374">
        <v>11206</v>
      </c>
      <c r="G5374" t="s">
        <v>10093</v>
      </c>
      <c r="H5374" t="s">
        <v>10163</v>
      </c>
      <c r="I5374" t="s">
        <v>10168</v>
      </c>
      <c r="J5374" t="s">
        <v>10213</v>
      </c>
      <c r="K5374" t="s">
        <v>10217</v>
      </c>
      <c r="M5374" t="s">
        <v>10317</v>
      </c>
      <c r="N5374" t="s">
        <v>10671</v>
      </c>
      <c r="P5374" t="s">
        <v>10757</v>
      </c>
      <c r="Q5374" t="s">
        <v>10789</v>
      </c>
      <c r="R5374" t="s">
        <v>10825</v>
      </c>
      <c r="T5374">
        <v>4044</v>
      </c>
      <c r="U5374">
        <v>337</v>
      </c>
      <c r="V5374">
        <v>63</v>
      </c>
      <c r="W5374">
        <v>2</v>
      </c>
      <c r="X5374">
        <v>0</v>
      </c>
      <c r="Z5374">
        <v>23.91</v>
      </c>
      <c r="AA5374">
        <v>40.693174</v>
      </c>
      <c r="AB5374">
        <v>-73.95066</v>
      </c>
      <c r="AD5374" t="s">
        <v>10839</v>
      </c>
      <c r="AG5374" t="s">
        <v>10858</v>
      </c>
      <c r="AH5374" t="s">
        <v>10861</v>
      </c>
      <c r="AI5374">
        <v>234</v>
      </c>
      <c r="AJ5374" t="s">
        <v>10214</v>
      </c>
      <c r="AL5374">
        <v>8.050000000000001</v>
      </c>
      <c r="AR5374" t="s">
        <v>11298</v>
      </c>
      <c r="AS5374" t="s">
        <v>11595</v>
      </c>
      <c r="AT5374" t="s">
        <v>11641</v>
      </c>
      <c r="AX5374" t="s">
        <v>10838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</row>
    <row r="5375" spans="1:59">
      <c r="A5375" s="1">
        <f>HYPERLINK("https://lsnyc.legalserver.org/matter/dynamic-profile/view/1909625","19-1909625")</f>
        <v>0</v>
      </c>
      <c r="B5375" t="s">
        <v>3943</v>
      </c>
      <c r="C5375" t="s">
        <v>9086</v>
      </c>
      <c r="D5375" t="s">
        <v>9962</v>
      </c>
      <c r="E5375" t="s">
        <v>10075</v>
      </c>
      <c r="F5375">
        <v>11423</v>
      </c>
      <c r="G5375" t="s">
        <v>10091</v>
      </c>
      <c r="H5375" t="s">
        <v>10163</v>
      </c>
      <c r="I5375" t="s">
        <v>10168</v>
      </c>
      <c r="J5375" t="s">
        <v>10211</v>
      </c>
      <c r="K5375" t="s">
        <v>10217</v>
      </c>
      <c r="M5375" t="s">
        <v>10307</v>
      </c>
      <c r="N5375" t="s">
        <v>10671</v>
      </c>
      <c r="P5375" t="s">
        <v>10752</v>
      </c>
      <c r="Q5375" t="s">
        <v>10762</v>
      </c>
      <c r="R5375" t="s">
        <v>10824</v>
      </c>
      <c r="T5375">
        <v>0</v>
      </c>
      <c r="U5375">
        <v>0</v>
      </c>
      <c r="V5375">
        <v>31</v>
      </c>
      <c r="W5375">
        <v>1</v>
      </c>
      <c r="X5375">
        <v>0</v>
      </c>
      <c r="Z5375">
        <v>0</v>
      </c>
      <c r="AA5375">
        <v>40.711389</v>
      </c>
      <c r="AB5375">
        <v>-73.769051</v>
      </c>
      <c r="AD5375" t="s">
        <v>10839</v>
      </c>
      <c r="AG5375" t="s">
        <v>10858</v>
      </c>
      <c r="AH5375" t="s">
        <v>10861</v>
      </c>
      <c r="AI5375">
        <v>234</v>
      </c>
      <c r="AJ5375" t="s">
        <v>10214</v>
      </c>
      <c r="AL5375">
        <v>1.2</v>
      </c>
      <c r="AM5375" t="s">
        <v>10892</v>
      </c>
      <c r="AN5375" t="s">
        <v>10955</v>
      </c>
      <c r="AO5375" t="s">
        <v>11020</v>
      </c>
      <c r="AP5375" t="s">
        <v>11075</v>
      </c>
      <c r="AR5375" t="s">
        <v>11267</v>
      </c>
      <c r="AS5375" t="s">
        <v>11594</v>
      </c>
      <c r="AT5375" t="s">
        <v>11641</v>
      </c>
      <c r="AX5375" t="s">
        <v>10838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</row>
    <row r="5376" spans="1:59">
      <c r="A5376" s="1">
        <f>HYPERLINK("https://lsnyc.legalserver.org/matter/dynamic-profile/view/1909626","19-1909626")</f>
        <v>0</v>
      </c>
      <c r="B5376" t="s">
        <v>4247</v>
      </c>
      <c r="C5376" t="s">
        <v>9087</v>
      </c>
      <c r="D5376" t="s">
        <v>9950</v>
      </c>
      <c r="E5376" t="s">
        <v>10075</v>
      </c>
      <c r="F5376">
        <v>11418</v>
      </c>
      <c r="G5376" t="s">
        <v>10092</v>
      </c>
      <c r="H5376" t="s">
        <v>10163</v>
      </c>
      <c r="I5376" t="s">
        <v>10168</v>
      </c>
      <c r="J5376" t="s">
        <v>10212</v>
      </c>
      <c r="K5376" t="s">
        <v>10217</v>
      </c>
      <c r="M5376" t="s">
        <v>10387</v>
      </c>
      <c r="N5376" t="s">
        <v>10695</v>
      </c>
      <c r="P5376" t="s">
        <v>10749</v>
      </c>
      <c r="Q5376" t="s">
        <v>10765</v>
      </c>
      <c r="R5376" t="s">
        <v>10824</v>
      </c>
      <c r="T5376">
        <v>15000</v>
      </c>
      <c r="U5376">
        <v>1250</v>
      </c>
      <c r="V5376">
        <v>57</v>
      </c>
      <c r="W5376">
        <v>1</v>
      </c>
      <c r="X5376">
        <v>0</v>
      </c>
      <c r="Z5376">
        <v>120.1</v>
      </c>
      <c r="AA5376">
        <v>40.700795</v>
      </c>
      <c r="AB5376">
        <v>-73.83478599999999</v>
      </c>
      <c r="AD5376" t="s">
        <v>10840</v>
      </c>
      <c r="AG5376" t="s">
        <v>10858</v>
      </c>
      <c r="AH5376" t="s">
        <v>10862</v>
      </c>
      <c r="AI5376">
        <v>237</v>
      </c>
      <c r="AJ5376" t="s">
        <v>10212</v>
      </c>
      <c r="AL5376">
        <v>0.3</v>
      </c>
      <c r="AM5376" t="s">
        <v>10892</v>
      </c>
      <c r="AN5376" t="s">
        <v>10952</v>
      </c>
      <c r="AO5376" t="s">
        <v>11017</v>
      </c>
      <c r="AP5376" t="s">
        <v>11083</v>
      </c>
      <c r="AR5376" t="s">
        <v>11257</v>
      </c>
      <c r="AS5376" t="s">
        <v>11594</v>
      </c>
      <c r="BA5376" t="s">
        <v>11742</v>
      </c>
      <c r="BB5376">
        <v>0</v>
      </c>
      <c r="BC5376">
        <v>0</v>
      </c>
      <c r="BD5376">
        <v>0</v>
      </c>
      <c r="BE5376">
        <v>0</v>
      </c>
      <c r="BF5376">
        <v>7</v>
      </c>
      <c r="BG5376">
        <v>0</v>
      </c>
    </row>
    <row r="5377" spans="1:59">
      <c r="A5377" s="1">
        <f>HYPERLINK("https://lsnyc.legalserver.org/matter/dynamic-profile/view/1909627","19-1909627")</f>
        <v>0</v>
      </c>
      <c r="B5377" t="s">
        <v>4248</v>
      </c>
      <c r="C5377" t="s">
        <v>9088</v>
      </c>
      <c r="D5377" t="s">
        <v>9928</v>
      </c>
      <c r="E5377" t="s">
        <v>10075</v>
      </c>
      <c r="F5377">
        <v>11221</v>
      </c>
      <c r="G5377" t="s">
        <v>10093</v>
      </c>
      <c r="H5377" t="s">
        <v>10163</v>
      </c>
      <c r="I5377" t="s">
        <v>10168</v>
      </c>
      <c r="J5377" t="s">
        <v>10213</v>
      </c>
      <c r="K5377" t="s">
        <v>10217</v>
      </c>
      <c r="M5377" t="s">
        <v>10528</v>
      </c>
      <c r="N5377" t="s">
        <v>10667</v>
      </c>
      <c r="P5377" t="s">
        <v>10749</v>
      </c>
      <c r="Q5377" t="s">
        <v>10765</v>
      </c>
      <c r="R5377" t="s">
        <v>10824</v>
      </c>
      <c r="T5377">
        <v>32000</v>
      </c>
      <c r="U5377">
        <v>2666.67</v>
      </c>
      <c r="V5377">
        <v>26</v>
      </c>
      <c r="W5377">
        <v>2</v>
      </c>
      <c r="X5377">
        <v>0</v>
      </c>
      <c r="Z5377">
        <v>189.24</v>
      </c>
      <c r="AA5377">
        <v>40.688889</v>
      </c>
      <c r="AB5377">
        <v>-73.935959</v>
      </c>
      <c r="AD5377" t="s">
        <v>10839</v>
      </c>
      <c r="AG5377" t="s">
        <v>10858</v>
      </c>
      <c r="AH5377" t="s">
        <v>10862</v>
      </c>
      <c r="AI5377">
        <v>239</v>
      </c>
      <c r="AJ5377" t="s">
        <v>10213</v>
      </c>
      <c r="AL5377">
        <v>2.5</v>
      </c>
      <c r="AM5377" t="s">
        <v>10889</v>
      </c>
      <c r="AN5377" t="s">
        <v>10914</v>
      </c>
      <c r="AO5377" t="s">
        <v>11007</v>
      </c>
      <c r="AP5377" t="s">
        <v>11052</v>
      </c>
      <c r="AQ5377" t="s">
        <v>11101</v>
      </c>
      <c r="AR5377" t="s">
        <v>11262</v>
      </c>
      <c r="AS5377" t="s">
        <v>11595</v>
      </c>
      <c r="BA5377" t="s">
        <v>11738</v>
      </c>
      <c r="BB5377">
        <v>0</v>
      </c>
      <c r="BC5377">
        <v>0</v>
      </c>
      <c r="BD5377">
        <v>0</v>
      </c>
      <c r="BE5377">
        <v>0</v>
      </c>
      <c r="BF5377">
        <v>5</v>
      </c>
      <c r="BG5377">
        <v>0</v>
      </c>
    </row>
    <row r="5378" spans="1:59">
      <c r="A5378" s="1">
        <f>HYPERLINK("https://lsnyc.legalserver.org/matter/dynamic-profile/view/1909628","19-1909628")</f>
        <v>0</v>
      </c>
      <c r="B5378" t="s">
        <v>4249</v>
      </c>
      <c r="C5378" t="s">
        <v>9089</v>
      </c>
      <c r="D5378" t="s">
        <v>9926</v>
      </c>
      <c r="E5378" t="s">
        <v>10075</v>
      </c>
      <c r="F5378">
        <v>10460</v>
      </c>
      <c r="G5378" t="s">
        <v>10090</v>
      </c>
      <c r="H5378" t="s">
        <v>10163</v>
      </c>
      <c r="I5378" t="s">
        <v>10168</v>
      </c>
      <c r="J5378" t="s">
        <v>10210</v>
      </c>
      <c r="K5378" t="s">
        <v>10218</v>
      </c>
      <c r="L5378" t="s">
        <v>4843</v>
      </c>
      <c r="M5378" t="s">
        <v>10262</v>
      </c>
      <c r="N5378" t="s">
        <v>10666</v>
      </c>
      <c r="P5378" t="s">
        <v>10749</v>
      </c>
      <c r="Q5378" t="s">
        <v>10765</v>
      </c>
      <c r="R5378" t="s">
        <v>10824</v>
      </c>
      <c r="T5378">
        <v>9252</v>
      </c>
      <c r="U5378">
        <v>771</v>
      </c>
      <c r="V5378">
        <v>58</v>
      </c>
      <c r="W5378">
        <v>1</v>
      </c>
      <c r="X5378">
        <v>0</v>
      </c>
      <c r="Y5378" t="s">
        <v>10829</v>
      </c>
      <c r="Z5378">
        <v>74.08</v>
      </c>
      <c r="AA5378">
        <v>40.843168</v>
      </c>
      <c r="AB5378">
        <v>-73.87819</v>
      </c>
      <c r="AD5378" t="s">
        <v>10840</v>
      </c>
      <c r="AG5378" t="s">
        <v>10858</v>
      </c>
      <c r="AH5378" t="s">
        <v>10861</v>
      </c>
      <c r="AI5378">
        <v>230</v>
      </c>
      <c r="AJ5378" t="s">
        <v>10210</v>
      </c>
      <c r="AK5378" t="s">
        <v>10838</v>
      </c>
      <c r="AL5378">
        <v>0.5</v>
      </c>
      <c r="AM5378" t="s">
        <v>10884</v>
      </c>
      <c r="AN5378" t="s">
        <v>10908</v>
      </c>
      <c r="AO5378" t="s">
        <v>11001</v>
      </c>
      <c r="AP5378" t="s">
        <v>11056</v>
      </c>
      <c r="AR5378" t="s">
        <v>11263</v>
      </c>
      <c r="AS5378" t="s">
        <v>9926</v>
      </c>
      <c r="AT5378" t="s">
        <v>11642</v>
      </c>
      <c r="AX5378" t="s">
        <v>10838</v>
      </c>
      <c r="AY5378" t="s">
        <v>10829</v>
      </c>
      <c r="AZ5378" t="s">
        <v>11681</v>
      </c>
      <c r="BA5378" t="s">
        <v>11741</v>
      </c>
      <c r="BB5378">
        <v>0</v>
      </c>
      <c r="BC5378">
        <v>0</v>
      </c>
      <c r="BD5378">
        <v>0</v>
      </c>
      <c r="BE5378">
        <v>0</v>
      </c>
      <c r="BF5378">
        <v>1</v>
      </c>
      <c r="BG5378">
        <v>0</v>
      </c>
    </row>
    <row r="5379" spans="1:59">
      <c r="A5379" s="1">
        <f>HYPERLINK("https://lsnyc.legalserver.org/matter/dynamic-profile/view/1909629","19-1909629")</f>
        <v>0</v>
      </c>
      <c r="B5379" t="s">
        <v>4250</v>
      </c>
      <c r="C5379" t="s">
        <v>9090</v>
      </c>
      <c r="D5379" t="s">
        <v>9926</v>
      </c>
      <c r="E5379" t="s">
        <v>10075</v>
      </c>
      <c r="F5379">
        <v>10456</v>
      </c>
      <c r="G5379" t="s">
        <v>10089</v>
      </c>
      <c r="H5379" t="s">
        <v>10163</v>
      </c>
      <c r="I5379" t="s">
        <v>10168</v>
      </c>
      <c r="J5379" t="s">
        <v>10209</v>
      </c>
      <c r="K5379" t="s">
        <v>10217</v>
      </c>
      <c r="M5379" t="s">
        <v>10301</v>
      </c>
      <c r="N5379" t="s">
        <v>10665</v>
      </c>
      <c r="P5379" t="s">
        <v>10751</v>
      </c>
      <c r="Q5379" t="s">
        <v>10773</v>
      </c>
      <c r="R5379" t="s">
        <v>10823</v>
      </c>
      <c r="T5379">
        <v>0</v>
      </c>
      <c r="U5379">
        <v>0</v>
      </c>
      <c r="V5379">
        <v>25</v>
      </c>
      <c r="W5379">
        <v>1</v>
      </c>
      <c r="X5379">
        <v>0</v>
      </c>
      <c r="Z5379">
        <v>0</v>
      </c>
      <c r="AA5379">
        <v>40.833037</v>
      </c>
      <c r="AB5379">
        <v>-73.917703</v>
      </c>
      <c r="AD5379" t="s">
        <v>10839</v>
      </c>
      <c r="AG5379" t="s">
        <v>10858</v>
      </c>
      <c r="AH5379" t="s">
        <v>10861</v>
      </c>
      <c r="AI5379">
        <v>234</v>
      </c>
      <c r="AJ5379" t="s">
        <v>10214</v>
      </c>
      <c r="AL5379">
        <v>4.35</v>
      </c>
      <c r="AM5379" t="s">
        <v>10884</v>
      </c>
      <c r="AN5379" t="s">
        <v>10929</v>
      </c>
      <c r="AO5379" t="s">
        <v>11013</v>
      </c>
      <c r="AP5379" t="s">
        <v>11055</v>
      </c>
      <c r="AQ5379" t="s">
        <v>11115</v>
      </c>
      <c r="AR5379" t="s">
        <v>11267</v>
      </c>
      <c r="AS5379" t="s">
        <v>9926</v>
      </c>
      <c r="AT5379" t="s">
        <v>11641</v>
      </c>
      <c r="AX5379" t="s">
        <v>10838</v>
      </c>
      <c r="BA5379" t="s">
        <v>11741</v>
      </c>
      <c r="BB5379">
        <v>0</v>
      </c>
      <c r="BC5379">
        <v>0</v>
      </c>
      <c r="BD5379">
        <v>0</v>
      </c>
      <c r="BE5379">
        <v>0</v>
      </c>
      <c r="BF5379">
        <v>1</v>
      </c>
      <c r="BG5379">
        <v>0</v>
      </c>
    </row>
    <row r="5380" spans="1:59">
      <c r="A5380" s="1">
        <f>HYPERLINK("https://lsnyc.legalserver.org/matter/dynamic-profile/view/1909630","19-1909630")</f>
        <v>0</v>
      </c>
      <c r="B5380" t="s">
        <v>4251</v>
      </c>
      <c r="C5380" t="s">
        <v>9091</v>
      </c>
      <c r="D5380" t="s">
        <v>9925</v>
      </c>
      <c r="E5380" t="s">
        <v>10075</v>
      </c>
      <c r="F5380">
        <v>10032</v>
      </c>
      <c r="G5380" t="s">
        <v>10089</v>
      </c>
      <c r="H5380" t="s">
        <v>10163</v>
      </c>
      <c r="I5380" t="s">
        <v>10168</v>
      </c>
      <c r="J5380" t="s">
        <v>10209</v>
      </c>
      <c r="K5380" t="s">
        <v>10217</v>
      </c>
      <c r="M5380" t="s">
        <v>10460</v>
      </c>
      <c r="N5380" t="s">
        <v>10650</v>
      </c>
      <c r="P5380" t="s">
        <v>10749</v>
      </c>
      <c r="Q5380" t="s">
        <v>10765</v>
      </c>
      <c r="R5380" t="s">
        <v>10824</v>
      </c>
      <c r="T5380">
        <v>20832</v>
      </c>
      <c r="U5380">
        <v>1736</v>
      </c>
      <c r="V5380">
        <v>81</v>
      </c>
      <c r="W5380">
        <v>1</v>
      </c>
      <c r="X5380">
        <v>0</v>
      </c>
      <c r="Z5380">
        <v>166.79</v>
      </c>
      <c r="AA5380">
        <v>40.833891</v>
      </c>
      <c r="AB5380">
        <v>-73.945741</v>
      </c>
      <c r="AD5380" t="s">
        <v>10839</v>
      </c>
      <c r="AG5380" t="s">
        <v>10858</v>
      </c>
      <c r="AH5380" t="s">
        <v>10862</v>
      </c>
      <c r="AI5380">
        <v>236</v>
      </c>
      <c r="AJ5380" t="s">
        <v>10209</v>
      </c>
      <c r="AL5380">
        <v>0</v>
      </c>
      <c r="AM5380" t="s">
        <v>10887</v>
      </c>
      <c r="AN5380" t="s">
        <v>10943</v>
      </c>
      <c r="AO5380" t="s">
        <v>11019</v>
      </c>
      <c r="AP5380" t="s">
        <v>11073</v>
      </c>
      <c r="AR5380" t="s">
        <v>11379</v>
      </c>
      <c r="AS5380" t="s">
        <v>9925</v>
      </c>
      <c r="AT5380" t="s">
        <v>11641</v>
      </c>
      <c r="AX5380" t="s">
        <v>10838</v>
      </c>
      <c r="BA5380" t="s">
        <v>11742</v>
      </c>
      <c r="BB5380">
        <v>0</v>
      </c>
      <c r="BC5380">
        <v>0</v>
      </c>
      <c r="BD5380">
        <v>0</v>
      </c>
      <c r="BE5380">
        <v>0</v>
      </c>
      <c r="BF5380">
        <v>7</v>
      </c>
      <c r="BG5380">
        <v>0</v>
      </c>
    </row>
    <row r="5381" spans="1:59">
      <c r="A5381" s="1">
        <f>HYPERLINK("https://lsnyc.legalserver.org/matter/dynamic-profile/view/1909631","19-1909631")</f>
        <v>0</v>
      </c>
      <c r="B5381" t="s">
        <v>4252</v>
      </c>
      <c r="C5381" t="s">
        <v>9092</v>
      </c>
      <c r="D5381" t="s">
        <v>9928</v>
      </c>
      <c r="E5381" t="s">
        <v>10075</v>
      </c>
      <c r="F5381">
        <v>11233</v>
      </c>
      <c r="G5381" t="s">
        <v>10093</v>
      </c>
      <c r="H5381" t="s">
        <v>10166</v>
      </c>
      <c r="I5381" t="s">
        <v>10169</v>
      </c>
      <c r="J5381" t="s">
        <v>10213</v>
      </c>
      <c r="K5381" t="s">
        <v>10218</v>
      </c>
      <c r="L5381" t="s">
        <v>10166</v>
      </c>
      <c r="M5381" t="s">
        <v>10564</v>
      </c>
      <c r="N5381" t="s">
        <v>10650</v>
      </c>
      <c r="P5381" t="s">
        <v>10749</v>
      </c>
      <c r="Q5381" t="s">
        <v>10765</v>
      </c>
      <c r="R5381" t="s">
        <v>10821</v>
      </c>
      <c r="T5381">
        <v>31200</v>
      </c>
      <c r="U5381">
        <v>2600</v>
      </c>
      <c r="V5381">
        <v>53</v>
      </c>
      <c r="W5381">
        <v>4</v>
      </c>
      <c r="X5381">
        <v>0</v>
      </c>
      <c r="Y5381" t="s">
        <v>10829</v>
      </c>
      <c r="Z5381">
        <v>121.17</v>
      </c>
      <c r="AA5381">
        <v>40.672052</v>
      </c>
      <c r="AB5381">
        <v>-73.91215099999999</v>
      </c>
      <c r="AD5381" t="s">
        <v>10839</v>
      </c>
      <c r="AG5381" t="s">
        <v>10858</v>
      </c>
      <c r="AH5381" t="s">
        <v>10862</v>
      </c>
      <c r="AI5381">
        <v>239</v>
      </c>
      <c r="AJ5381" t="s">
        <v>10213</v>
      </c>
      <c r="AK5381" t="s">
        <v>10838</v>
      </c>
      <c r="AL5381">
        <v>0.25</v>
      </c>
      <c r="AM5381" t="s">
        <v>10888</v>
      </c>
      <c r="AN5381" t="s">
        <v>10922</v>
      </c>
      <c r="AO5381" t="s">
        <v>11005</v>
      </c>
      <c r="AP5381" t="s">
        <v>11064</v>
      </c>
      <c r="AR5381" t="s">
        <v>11257</v>
      </c>
      <c r="AS5381" t="s">
        <v>11595</v>
      </c>
      <c r="AT5381" t="s">
        <v>11641</v>
      </c>
      <c r="AX5381" t="s">
        <v>10838</v>
      </c>
      <c r="AY5381" t="s">
        <v>10829</v>
      </c>
      <c r="AZ5381" t="s">
        <v>11681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</row>
    <row r="5382" spans="1:59">
      <c r="A5382" s="1">
        <f>HYPERLINK("https://lsnyc.legalserver.org/matter/dynamic-profile/view/1909632","19-1909632")</f>
        <v>0</v>
      </c>
      <c r="B5382" t="s">
        <v>4248</v>
      </c>
      <c r="C5382" t="s">
        <v>9088</v>
      </c>
      <c r="D5382" t="s">
        <v>9928</v>
      </c>
      <c r="E5382" t="s">
        <v>10075</v>
      </c>
      <c r="F5382">
        <v>11221</v>
      </c>
      <c r="G5382" t="s">
        <v>10093</v>
      </c>
      <c r="H5382" t="s">
        <v>10163</v>
      </c>
      <c r="I5382" t="s">
        <v>10168</v>
      </c>
      <c r="J5382" t="s">
        <v>10213</v>
      </c>
      <c r="K5382" t="s">
        <v>10217</v>
      </c>
      <c r="M5382" t="s">
        <v>10528</v>
      </c>
      <c r="N5382" t="s">
        <v>10668</v>
      </c>
      <c r="P5382" t="s">
        <v>10751</v>
      </c>
      <c r="Q5382" t="s">
        <v>10761</v>
      </c>
      <c r="R5382" t="s">
        <v>10824</v>
      </c>
      <c r="T5382">
        <v>32000</v>
      </c>
      <c r="U5382">
        <v>2666.67</v>
      </c>
      <c r="V5382">
        <v>26</v>
      </c>
      <c r="W5382">
        <v>2</v>
      </c>
      <c r="X5382">
        <v>0</v>
      </c>
      <c r="Z5382">
        <v>189.24</v>
      </c>
      <c r="AA5382">
        <v>40.688889</v>
      </c>
      <c r="AB5382">
        <v>-73.935959</v>
      </c>
      <c r="AD5382" t="s">
        <v>10839</v>
      </c>
      <c r="AG5382" t="s">
        <v>10858</v>
      </c>
      <c r="AH5382" t="s">
        <v>10862</v>
      </c>
      <c r="AI5382">
        <v>239</v>
      </c>
      <c r="AJ5382" t="s">
        <v>10213</v>
      </c>
      <c r="AL5382">
        <v>0</v>
      </c>
      <c r="AM5382" t="s">
        <v>10889</v>
      </c>
      <c r="AN5382" t="s">
        <v>10914</v>
      </c>
      <c r="AO5382" t="s">
        <v>11007</v>
      </c>
      <c r="AP5382" t="s">
        <v>11052</v>
      </c>
      <c r="AR5382" t="s">
        <v>11262</v>
      </c>
      <c r="AS5382" t="s">
        <v>11595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</row>
    <row r="5383" spans="1:59">
      <c r="A5383" s="1">
        <f>HYPERLINK("https://lsnyc.legalserver.org/matter/dynamic-profile/view/1909633","19-1909633")</f>
        <v>0</v>
      </c>
      <c r="B5383" t="s">
        <v>4253</v>
      </c>
      <c r="C5383" t="s">
        <v>9093</v>
      </c>
      <c r="D5383" t="s">
        <v>9926</v>
      </c>
      <c r="E5383" t="s">
        <v>10075</v>
      </c>
      <c r="F5383">
        <v>10452</v>
      </c>
      <c r="G5383" t="s">
        <v>10090</v>
      </c>
      <c r="H5383" t="s">
        <v>10163</v>
      </c>
      <c r="I5383" t="s">
        <v>10168</v>
      </c>
      <c r="J5383" t="s">
        <v>10210</v>
      </c>
      <c r="K5383" t="s">
        <v>10217</v>
      </c>
      <c r="M5383" t="s">
        <v>10517</v>
      </c>
      <c r="N5383" t="s">
        <v>10650</v>
      </c>
      <c r="P5383" t="s">
        <v>10749</v>
      </c>
      <c r="Q5383" t="s">
        <v>10765</v>
      </c>
      <c r="R5383" t="s">
        <v>10821</v>
      </c>
      <c r="T5383">
        <v>1997.28</v>
      </c>
      <c r="U5383">
        <v>166.44</v>
      </c>
      <c r="V5383">
        <v>85</v>
      </c>
      <c r="W5383">
        <v>1</v>
      </c>
      <c r="X5383">
        <v>0</v>
      </c>
      <c r="Z5383">
        <v>15.99</v>
      </c>
      <c r="AA5383">
        <v>40.839453</v>
      </c>
      <c r="AB5383">
        <v>-73.913893</v>
      </c>
      <c r="AD5383" t="s">
        <v>10839</v>
      </c>
      <c r="AG5383" t="s">
        <v>10858</v>
      </c>
      <c r="AH5383" t="s">
        <v>10862</v>
      </c>
      <c r="AI5383">
        <v>230</v>
      </c>
      <c r="AJ5383" t="s">
        <v>10210</v>
      </c>
      <c r="AL5383">
        <v>1</v>
      </c>
      <c r="AM5383" t="s">
        <v>10884</v>
      </c>
      <c r="AN5383" t="s">
        <v>10929</v>
      </c>
      <c r="AO5383" t="s">
        <v>11013</v>
      </c>
      <c r="AP5383" t="s">
        <v>11045</v>
      </c>
      <c r="AR5383" t="s">
        <v>11300</v>
      </c>
      <c r="AS5383" t="s">
        <v>9926</v>
      </c>
      <c r="AT5383" t="s">
        <v>11641</v>
      </c>
      <c r="AX5383" t="s">
        <v>10838</v>
      </c>
      <c r="BA5383" t="s">
        <v>11741</v>
      </c>
      <c r="BB5383">
        <v>0</v>
      </c>
      <c r="BC5383">
        <v>0</v>
      </c>
      <c r="BD5383">
        <v>0</v>
      </c>
      <c r="BE5383">
        <v>0</v>
      </c>
      <c r="BF5383">
        <v>1</v>
      </c>
      <c r="BG5383">
        <v>0</v>
      </c>
    </row>
    <row r="5384" spans="1:59">
      <c r="A5384" s="1">
        <f>HYPERLINK("https://lsnyc.legalserver.org/matter/dynamic-profile/view/1909634","19-1909634")</f>
        <v>0</v>
      </c>
      <c r="B5384" t="s">
        <v>4254</v>
      </c>
      <c r="C5384" t="s">
        <v>9094</v>
      </c>
      <c r="D5384" t="s">
        <v>9938</v>
      </c>
      <c r="E5384" t="s">
        <v>10075</v>
      </c>
      <c r="F5384">
        <v>11435</v>
      </c>
      <c r="G5384" t="s">
        <v>10091</v>
      </c>
      <c r="H5384" t="s">
        <v>10163</v>
      </c>
      <c r="I5384" t="s">
        <v>10169</v>
      </c>
      <c r="J5384" t="s">
        <v>10211</v>
      </c>
      <c r="K5384" t="s">
        <v>10217</v>
      </c>
      <c r="M5384" t="s">
        <v>10307</v>
      </c>
      <c r="N5384" t="s">
        <v>10671</v>
      </c>
      <c r="P5384" t="s">
        <v>10752</v>
      </c>
      <c r="Q5384" t="s">
        <v>10762</v>
      </c>
      <c r="R5384" t="s">
        <v>10823</v>
      </c>
      <c r="T5384">
        <v>23400</v>
      </c>
      <c r="U5384">
        <v>1950</v>
      </c>
      <c r="V5384">
        <v>47</v>
      </c>
      <c r="W5384">
        <v>2</v>
      </c>
      <c r="X5384">
        <v>1</v>
      </c>
      <c r="Z5384">
        <v>109.7</v>
      </c>
      <c r="AA5384">
        <v>40.71385</v>
      </c>
      <c r="AB5384">
        <v>-73.82336599999999</v>
      </c>
      <c r="AD5384" t="s">
        <v>10840</v>
      </c>
      <c r="AG5384" t="s">
        <v>10858</v>
      </c>
      <c r="AH5384" t="s">
        <v>10861</v>
      </c>
      <c r="AI5384">
        <v>234</v>
      </c>
      <c r="AJ5384" t="s">
        <v>10214</v>
      </c>
      <c r="AL5384">
        <v>0.4</v>
      </c>
      <c r="AM5384" t="s">
        <v>10890</v>
      </c>
      <c r="AN5384" t="s">
        <v>10962</v>
      </c>
      <c r="AO5384" t="s">
        <v>11020</v>
      </c>
      <c r="AP5384" t="s">
        <v>11081</v>
      </c>
      <c r="AR5384" t="s">
        <v>11257</v>
      </c>
      <c r="AS5384" t="s">
        <v>11594</v>
      </c>
      <c r="AT5384" t="s">
        <v>11642</v>
      </c>
      <c r="AX5384" t="s">
        <v>10838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</row>
    <row r="5385" spans="1:59">
      <c r="A5385" s="1">
        <f>HYPERLINK("https://lsnyc.legalserver.org/matter/dynamic-profile/view/1909635","19-1909635")</f>
        <v>0</v>
      </c>
      <c r="B5385" t="s">
        <v>4255</v>
      </c>
      <c r="C5385" t="s">
        <v>5675</v>
      </c>
      <c r="D5385" t="s">
        <v>9925</v>
      </c>
      <c r="E5385" t="s">
        <v>10075</v>
      </c>
      <c r="F5385">
        <v>10032</v>
      </c>
      <c r="G5385" t="s">
        <v>10091</v>
      </c>
      <c r="H5385" t="s">
        <v>10163</v>
      </c>
      <c r="I5385" t="s">
        <v>10168</v>
      </c>
      <c r="J5385" t="s">
        <v>10214</v>
      </c>
      <c r="K5385" t="s">
        <v>10217</v>
      </c>
      <c r="M5385" t="s">
        <v>10550</v>
      </c>
      <c r="N5385" t="s">
        <v>10673</v>
      </c>
      <c r="P5385" t="s">
        <v>10753</v>
      </c>
      <c r="Q5385" t="s">
        <v>10763</v>
      </c>
      <c r="R5385" t="s">
        <v>10824</v>
      </c>
      <c r="T5385">
        <v>4888</v>
      </c>
      <c r="U5385">
        <v>407.33</v>
      </c>
      <c r="V5385">
        <v>34</v>
      </c>
      <c r="W5385">
        <v>1</v>
      </c>
      <c r="X5385">
        <v>0</v>
      </c>
      <c r="Z5385">
        <v>39.14</v>
      </c>
      <c r="AA5385">
        <v>40.830754</v>
      </c>
      <c r="AB5385">
        <v>-73.941712</v>
      </c>
      <c r="AD5385" t="s">
        <v>10840</v>
      </c>
      <c r="AF5385" t="s">
        <v>10842</v>
      </c>
      <c r="AG5385" t="s">
        <v>10859</v>
      </c>
      <c r="AH5385" t="s">
        <v>10861</v>
      </c>
      <c r="AI5385">
        <v>234</v>
      </c>
      <c r="AJ5385" t="s">
        <v>10214</v>
      </c>
      <c r="AL5385">
        <v>0.4</v>
      </c>
      <c r="AM5385" t="s">
        <v>10887</v>
      </c>
      <c r="AN5385" t="s">
        <v>10943</v>
      </c>
      <c r="AO5385" t="s">
        <v>11016</v>
      </c>
      <c r="AP5385" t="s">
        <v>11073</v>
      </c>
      <c r="AQ5385" t="s">
        <v>11198</v>
      </c>
      <c r="AR5385" t="s">
        <v>11382</v>
      </c>
      <c r="AS5385" t="s">
        <v>9925</v>
      </c>
      <c r="AT5385" t="s">
        <v>11642</v>
      </c>
      <c r="BA5385" t="s">
        <v>11739</v>
      </c>
      <c r="BB5385">
        <v>0</v>
      </c>
      <c r="BC5385">
        <v>0</v>
      </c>
      <c r="BD5385">
        <v>0</v>
      </c>
      <c r="BE5385">
        <v>0</v>
      </c>
      <c r="BF5385">
        <v>4</v>
      </c>
      <c r="BG5385">
        <v>0</v>
      </c>
    </row>
    <row r="5386" spans="1:59">
      <c r="A5386" s="1">
        <f>HYPERLINK("https://lsnyc.legalserver.org/matter/dynamic-profile/view/1909636","19-1909636")</f>
        <v>0</v>
      </c>
      <c r="B5386" t="s">
        <v>4256</v>
      </c>
      <c r="C5386" t="s">
        <v>9095</v>
      </c>
      <c r="D5386" t="s">
        <v>9928</v>
      </c>
      <c r="E5386" t="s">
        <v>10075</v>
      </c>
      <c r="F5386">
        <v>11226</v>
      </c>
      <c r="G5386" t="s">
        <v>10093</v>
      </c>
      <c r="H5386" t="s">
        <v>10163</v>
      </c>
      <c r="I5386" t="s">
        <v>10168</v>
      </c>
      <c r="J5386" t="s">
        <v>10213</v>
      </c>
      <c r="K5386" t="s">
        <v>10217</v>
      </c>
      <c r="M5386" t="s">
        <v>10429</v>
      </c>
      <c r="N5386" t="s">
        <v>10667</v>
      </c>
      <c r="P5386" t="s">
        <v>10749</v>
      </c>
      <c r="Q5386" t="s">
        <v>10765</v>
      </c>
      <c r="R5386" t="s">
        <v>10824</v>
      </c>
      <c r="T5386">
        <v>13800</v>
      </c>
      <c r="U5386">
        <v>1150</v>
      </c>
      <c r="V5386">
        <v>66</v>
      </c>
      <c r="W5386">
        <v>1</v>
      </c>
      <c r="X5386">
        <v>0</v>
      </c>
      <c r="Z5386">
        <v>110.49</v>
      </c>
      <c r="AA5386">
        <v>40.643174</v>
      </c>
      <c r="AB5386">
        <v>-73.94617700000001</v>
      </c>
      <c r="AD5386" t="s">
        <v>10839</v>
      </c>
      <c r="AF5386" t="s">
        <v>10843</v>
      </c>
      <c r="AG5386" t="s">
        <v>10859</v>
      </c>
      <c r="AH5386" t="s">
        <v>10862</v>
      </c>
      <c r="AI5386">
        <v>239</v>
      </c>
      <c r="AJ5386" t="s">
        <v>10213</v>
      </c>
      <c r="AL5386">
        <v>0</v>
      </c>
      <c r="AM5386" t="s">
        <v>10888</v>
      </c>
      <c r="AN5386" t="s">
        <v>10932</v>
      </c>
      <c r="AO5386" t="s">
        <v>11008</v>
      </c>
      <c r="AP5386" t="s">
        <v>11065</v>
      </c>
      <c r="AR5386" t="s">
        <v>10180</v>
      </c>
      <c r="AS5386" t="s">
        <v>11595</v>
      </c>
      <c r="BA5386" t="s">
        <v>11742</v>
      </c>
      <c r="BB5386">
        <v>0</v>
      </c>
      <c r="BC5386">
        <v>0</v>
      </c>
      <c r="BD5386">
        <v>0</v>
      </c>
      <c r="BE5386">
        <v>0</v>
      </c>
      <c r="BF5386">
        <v>7</v>
      </c>
      <c r="BG5386">
        <v>0</v>
      </c>
    </row>
    <row r="5387" spans="1:59">
      <c r="A5387" s="1">
        <f>HYPERLINK("https://lsnyc.legalserver.org/matter/dynamic-profile/view/1909637","19-1909637")</f>
        <v>0</v>
      </c>
      <c r="B5387" t="s">
        <v>4257</v>
      </c>
      <c r="C5387" t="s">
        <v>9096</v>
      </c>
      <c r="D5387" t="s">
        <v>9928</v>
      </c>
      <c r="E5387" t="s">
        <v>10075</v>
      </c>
      <c r="F5387">
        <v>11229</v>
      </c>
      <c r="G5387" t="s">
        <v>10093</v>
      </c>
      <c r="H5387" t="s">
        <v>10163</v>
      </c>
      <c r="J5387" t="s">
        <v>10213</v>
      </c>
      <c r="K5387" t="s">
        <v>10217</v>
      </c>
      <c r="M5387" t="s">
        <v>10390</v>
      </c>
      <c r="N5387" t="s">
        <v>10725</v>
      </c>
      <c r="P5387" t="s">
        <v>10749</v>
      </c>
      <c r="Q5387" t="s">
        <v>10765</v>
      </c>
      <c r="R5387" t="s">
        <v>10824</v>
      </c>
      <c r="T5387">
        <v>72000</v>
      </c>
      <c r="U5387">
        <v>6000</v>
      </c>
      <c r="V5387">
        <v>36</v>
      </c>
      <c r="W5387">
        <v>2</v>
      </c>
      <c r="X5387">
        <v>1</v>
      </c>
      <c r="Z5387">
        <v>337.55</v>
      </c>
      <c r="AA5387">
        <v>40.596966</v>
      </c>
      <c r="AB5387">
        <v>-73.95579600000001</v>
      </c>
      <c r="AD5387" t="s">
        <v>10840</v>
      </c>
      <c r="AG5387" t="s">
        <v>10858</v>
      </c>
      <c r="AH5387" t="s">
        <v>10869</v>
      </c>
      <c r="AI5387">
        <v>239</v>
      </c>
      <c r="AJ5387" t="s">
        <v>10213</v>
      </c>
      <c r="AL5387">
        <v>1.5</v>
      </c>
      <c r="AM5387" t="s">
        <v>10883</v>
      </c>
      <c r="AN5387" t="s">
        <v>10965</v>
      </c>
      <c r="AO5387" t="s">
        <v>11012</v>
      </c>
      <c r="AP5387" t="s">
        <v>11092</v>
      </c>
      <c r="AQ5387" t="s">
        <v>11101</v>
      </c>
      <c r="AR5387" t="s">
        <v>11257</v>
      </c>
      <c r="AS5387" t="s">
        <v>11595</v>
      </c>
      <c r="BA5387" t="s">
        <v>11741</v>
      </c>
      <c r="BB5387">
        <v>0</v>
      </c>
      <c r="BC5387">
        <v>0</v>
      </c>
      <c r="BD5387">
        <v>0</v>
      </c>
      <c r="BE5387">
        <v>0</v>
      </c>
      <c r="BF5387">
        <v>1</v>
      </c>
      <c r="BG5387">
        <v>0</v>
      </c>
    </row>
    <row r="5388" spans="1:59">
      <c r="A5388" s="1">
        <f>HYPERLINK("https://lsnyc.legalserver.org/matter/dynamic-profile/view/1909638","19-1909638")</f>
        <v>0</v>
      </c>
      <c r="B5388" t="s">
        <v>547</v>
      </c>
      <c r="C5388" t="s">
        <v>9097</v>
      </c>
      <c r="D5388" t="s">
        <v>9982</v>
      </c>
      <c r="E5388" t="s">
        <v>10075</v>
      </c>
      <c r="F5388">
        <v>11375</v>
      </c>
      <c r="G5388" t="s">
        <v>10089</v>
      </c>
      <c r="H5388" t="s">
        <v>10163</v>
      </c>
      <c r="I5388" t="s">
        <v>10171</v>
      </c>
      <c r="J5388" t="s">
        <v>10209</v>
      </c>
      <c r="K5388" t="s">
        <v>10217</v>
      </c>
      <c r="M5388" t="s">
        <v>10490</v>
      </c>
      <c r="N5388" t="s">
        <v>10718</v>
      </c>
      <c r="P5388" t="s">
        <v>10750</v>
      </c>
      <c r="Q5388" t="s">
        <v>10760</v>
      </c>
      <c r="R5388" t="s">
        <v>10820</v>
      </c>
      <c r="T5388">
        <v>39000</v>
      </c>
      <c r="U5388">
        <v>3250</v>
      </c>
      <c r="V5388">
        <v>36</v>
      </c>
      <c r="W5388">
        <v>2</v>
      </c>
      <c r="X5388">
        <v>4</v>
      </c>
      <c r="Z5388">
        <v>112.75</v>
      </c>
      <c r="AA5388">
        <v>0</v>
      </c>
      <c r="AB5388">
        <v>0</v>
      </c>
      <c r="AD5388" t="s">
        <v>10840</v>
      </c>
      <c r="AG5388" t="s">
        <v>10858</v>
      </c>
      <c r="AH5388" t="s">
        <v>10861</v>
      </c>
      <c r="AI5388">
        <v>234</v>
      </c>
      <c r="AJ5388" t="s">
        <v>10214</v>
      </c>
      <c r="AL5388">
        <v>2.5</v>
      </c>
      <c r="AR5388" t="s">
        <v>11257</v>
      </c>
      <c r="AS5388" t="s">
        <v>11594</v>
      </c>
      <c r="AT5388" t="s">
        <v>11642</v>
      </c>
      <c r="AX5388" t="s">
        <v>10838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</row>
    <row r="5389" spans="1:59">
      <c r="A5389" s="1">
        <f>HYPERLINK("https://lsnyc.legalserver.org/matter/dynamic-profile/view/1909639","19-1909639")</f>
        <v>0</v>
      </c>
      <c r="B5389" t="s">
        <v>4258</v>
      </c>
      <c r="C5389" t="s">
        <v>9098</v>
      </c>
      <c r="D5389" t="s">
        <v>9929</v>
      </c>
      <c r="E5389" t="s">
        <v>10075</v>
      </c>
      <c r="F5389">
        <v>10302</v>
      </c>
      <c r="G5389" t="s">
        <v>10088</v>
      </c>
      <c r="H5389" t="s">
        <v>10156</v>
      </c>
      <c r="I5389" t="s">
        <v>10168</v>
      </c>
      <c r="J5389" t="s">
        <v>10208</v>
      </c>
      <c r="K5389" t="s">
        <v>10217</v>
      </c>
      <c r="M5389" t="s">
        <v>10228</v>
      </c>
      <c r="N5389" t="s">
        <v>10742</v>
      </c>
      <c r="P5389" t="s">
        <v>10749</v>
      </c>
      <c r="Q5389" t="s">
        <v>10759</v>
      </c>
      <c r="R5389" t="s">
        <v>10820</v>
      </c>
      <c r="T5389">
        <v>28104</v>
      </c>
      <c r="U5389">
        <v>2342</v>
      </c>
      <c r="V5389">
        <v>54</v>
      </c>
      <c r="W5389">
        <v>4</v>
      </c>
      <c r="X5389">
        <v>0</v>
      </c>
      <c r="Z5389">
        <v>109.14</v>
      </c>
      <c r="AA5389">
        <v>40.628323</v>
      </c>
      <c r="AB5389">
        <v>-74.136819</v>
      </c>
      <c r="AD5389" t="s">
        <v>10840</v>
      </c>
      <c r="AG5389" t="s">
        <v>10858</v>
      </c>
      <c r="AH5389" t="s">
        <v>10860</v>
      </c>
      <c r="AI5389">
        <v>285</v>
      </c>
      <c r="AJ5389" t="s">
        <v>10208</v>
      </c>
      <c r="AL5389">
        <v>1</v>
      </c>
      <c r="AM5389" t="s">
        <v>10883</v>
      </c>
      <c r="AN5389" t="s">
        <v>10913</v>
      </c>
      <c r="AO5389" t="s">
        <v>11006</v>
      </c>
      <c r="AP5389" t="s">
        <v>11051</v>
      </c>
      <c r="AR5389" t="s">
        <v>11549</v>
      </c>
      <c r="AS5389" t="s">
        <v>11593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</row>
    <row r="5390" spans="1:59">
      <c r="A5390" s="1">
        <f>HYPERLINK("https://lsnyc.legalserver.org/matter/dynamic-profile/view/1909640","19-1909640")</f>
        <v>0</v>
      </c>
      <c r="B5390" t="s">
        <v>4259</v>
      </c>
      <c r="C5390" t="s">
        <v>9099</v>
      </c>
      <c r="D5390" t="s">
        <v>9928</v>
      </c>
      <c r="E5390" t="s">
        <v>10075</v>
      </c>
      <c r="F5390">
        <v>11210</v>
      </c>
      <c r="G5390" t="s">
        <v>10093</v>
      </c>
      <c r="H5390" t="s">
        <v>10163</v>
      </c>
      <c r="I5390" t="s">
        <v>10177</v>
      </c>
      <c r="J5390" t="s">
        <v>10213</v>
      </c>
      <c r="K5390" t="s">
        <v>10217</v>
      </c>
      <c r="M5390" t="s">
        <v>10411</v>
      </c>
      <c r="N5390" t="s">
        <v>10650</v>
      </c>
      <c r="P5390" t="s">
        <v>10749</v>
      </c>
      <c r="Q5390" t="s">
        <v>10765</v>
      </c>
      <c r="R5390" t="s">
        <v>10824</v>
      </c>
      <c r="T5390">
        <v>32000</v>
      </c>
      <c r="U5390">
        <v>2666.67</v>
      </c>
      <c r="V5390">
        <v>64</v>
      </c>
      <c r="W5390">
        <v>2</v>
      </c>
      <c r="X5390">
        <v>3</v>
      </c>
      <c r="Z5390">
        <v>106.07</v>
      </c>
      <c r="AA5390">
        <v>40.634683</v>
      </c>
      <c r="AB5390">
        <v>-73.94615400000001</v>
      </c>
      <c r="AD5390" t="s">
        <v>10839</v>
      </c>
      <c r="AF5390" t="s">
        <v>10843</v>
      </c>
      <c r="AG5390" t="s">
        <v>10859</v>
      </c>
      <c r="AH5390" t="s">
        <v>10862</v>
      </c>
      <c r="AI5390">
        <v>239</v>
      </c>
      <c r="AJ5390" t="s">
        <v>10213</v>
      </c>
      <c r="AL5390">
        <v>5</v>
      </c>
      <c r="AM5390" t="s">
        <v>10888</v>
      </c>
      <c r="AN5390" t="s">
        <v>10932</v>
      </c>
      <c r="AO5390" t="s">
        <v>11008</v>
      </c>
      <c r="AP5390" t="s">
        <v>11065</v>
      </c>
      <c r="AQ5390" t="s">
        <v>11101</v>
      </c>
      <c r="AR5390" t="s">
        <v>11257</v>
      </c>
      <c r="AS5390" t="s">
        <v>11595</v>
      </c>
      <c r="AT5390" t="s">
        <v>11641</v>
      </c>
      <c r="AX5390" t="s">
        <v>10838</v>
      </c>
      <c r="BA5390" t="s">
        <v>11740</v>
      </c>
      <c r="BB5390">
        <v>0</v>
      </c>
      <c r="BC5390">
        <v>0</v>
      </c>
      <c r="BD5390">
        <v>0</v>
      </c>
      <c r="BE5390">
        <v>0</v>
      </c>
      <c r="BF5390">
        <v>2</v>
      </c>
      <c r="BG5390">
        <v>0</v>
      </c>
    </row>
    <row r="5391" spans="1:59">
      <c r="A5391" s="1">
        <f>HYPERLINK("https://lsnyc.legalserver.org/matter/dynamic-profile/view/1909641","19-1909641")</f>
        <v>0</v>
      </c>
      <c r="B5391" t="s">
        <v>4260</v>
      </c>
      <c r="C5391" t="s">
        <v>9100</v>
      </c>
      <c r="D5391" t="s">
        <v>9925</v>
      </c>
      <c r="E5391" t="s">
        <v>10075</v>
      </c>
      <c r="F5391">
        <v>10027</v>
      </c>
      <c r="G5391" t="s">
        <v>10089</v>
      </c>
      <c r="H5391" t="s">
        <v>10163</v>
      </c>
      <c r="I5391" t="s">
        <v>10168</v>
      </c>
      <c r="J5391" t="s">
        <v>10209</v>
      </c>
      <c r="K5391" t="s">
        <v>10217</v>
      </c>
      <c r="M5391" t="s">
        <v>10266</v>
      </c>
      <c r="N5391" t="s">
        <v>10673</v>
      </c>
      <c r="P5391" t="s">
        <v>10753</v>
      </c>
      <c r="Q5391" t="s">
        <v>10763</v>
      </c>
      <c r="R5391" t="s">
        <v>10824</v>
      </c>
      <c r="T5391">
        <v>7140</v>
      </c>
      <c r="U5391">
        <v>595</v>
      </c>
      <c r="V5391">
        <v>48</v>
      </c>
      <c r="W5391">
        <v>1</v>
      </c>
      <c r="X5391">
        <v>0</v>
      </c>
      <c r="Z5391">
        <v>57.17</v>
      </c>
      <c r="AA5391">
        <v>40.81432</v>
      </c>
      <c r="AB5391">
        <v>-73.951775</v>
      </c>
      <c r="AD5391" t="s">
        <v>10840</v>
      </c>
      <c r="AF5391" t="s">
        <v>10843</v>
      </c>
      <c r="AG5391" t="s">
        <v>10859</v>
      </c>
      <c r="AH5391" t="s">
        <v>10864</v>
      </c>
      <c r="AI5391">
        <v>236</v>
      </c>
      <c r="AJ5391" t="s">
        <v>10209</v>
      </c>
      <c r="AL5391">
        <v>0.3</v>
      </c>
      <c r="AM5391" t="s">
        <v>10887</v>
      </c>
      <c r="AN5391" t="s">
        <v>10936</v>
      </c>
      <c r="AO5391" t="s">
        <v>11016</v>
      </c>
      <c r="AP5391" t="s">
        <v>11076</v>
      </c>
      <c r="AQ5391" t="s">
        <v>11230</v>
      </c>
      <c r="AR5391" t="s">
        <v>11298</v>
      </c>
      <c r="AS5391" t="s">
        <v>9925</v>
      </c>
      <c r="AX5391" t="s">
        <v>10837</v>
      </c>
      <c r="BA5391" t="s">
        <v>11739</v>
      </c>
      <c r="BB5391">
        <v>0</v>
      </c>
      <c r="BC5391">
        <v>0</v>
      </c>
      <c r="BD5391">
        <v>0</v>
      </c>
      <c r="BE5391">
        <v>0</v>
      </c>
      <c r="BF5391">
        <v>4</v>
      </c>
      <c r="BG5391">
        <v>0</v>
      </c>
    </row>
    <row r="5392" spans="1:59">
      <c r="A5392" s="1">
        <f>HYPERLINK("https://lsnyc.legalserver.org/matter/dynamic-profile/view/1909642","19-1909642")</f>
        <v>0</v>
      </c>
      <c r="B5392" t="s">
        <v>4261</v>
      </c>
      <c r="C5392" t="s">
        <v>9101</v>
      </c>
      <c r="D5392" t="s">
        <v>9928</v>
      </c>
      <c r="E5392" t="s">
        <v>10075</v>
      </c>
      <c r="F5392">
        <v>11235</v>
      </c>
      <c r="G5392" t="s">
        <v>10093</v>
      </c>
      <c r="H5392" t="s">
        <v>10163</v>
      </c>
      <c r="I5392" t="s">
        <v>10171</v>
      </c>
      <c r="J5392" t="s">
        <v>10213</v>
      </c>
      <c r="K5392" t="s">
        <v>10217</v>
      </c>
      <c r="M5392" t="s">
        <v>10390</v>
      </c>
      <c r="N5392" t="s">
        <v>10644</v>
      </c>
      <c r="P5392" t="s">
        <v>10749</v>
      </c>
      <c r="Q5392" t="s">
        <v>10791</v>
      </c>
      <c r="R5392" t="s">
        <v>10820</v>
      </c>
      <c r="T5392">
        <v>19200</v>
      </c>
      <c r="U5392">
        <v>1600</v>
      </c>
      <c r="V5392">
        <v>72</v>
      </c>
      <c r="W5392">
        <v>1</v>
      </c>
      <c r="X5392">
        <v>0</v>
      </c>
      <c r="Z5392">
        <v>153.72</v>
      </c>
      <c r="AA5392">
        <v>40.575735</v>
      </c>
      <c r="AB5392">
        <v>-73.96592800000001</v>
      </c>
      <c r="AD5392" t="s">
        <v>10839</v>
      </c>
      <c r="AF5392" t="s">
        <v>10843</v>
      </c>
      <c r="AG5392" t="s">
        <v>10858</v>
      </c>
      <c r="AH5392" t="s">
        <v>10869</v>
      </c>
      <c r="AI5392">
        <v>239</v>
      </c>
      <c r="AJ5392" t="s">
        <v>10213</v>
      </c>
      <c r="AL5392">
        <v>1.5</v>
      </c>
      <c r="AM5392" t="s">
        <v>10889</v>
      </c>
      <c r="AN5392" t="s">
        <v>10960</v>
      </c>
      <c r="AO5392" t="s">
        <v>11006</v>
      </c>
      <c r="AP5392" t="s">
        <v>11092</v>
      </c>
      <c r="AQ5392" t="s">
        <v>11133</v>
      </c>
      <c r="AR5392" t="s">
        <v>11268</v>
      </c>
      <c r="AS5392" t="s">
        <v>11595</v>
      </c>
      <c r="BA5392" t="s">
        <v>11741</v>
      </c>
      <c r="BB5392">
        <v>0</v>
      </c>
      <c r="BC5392">
        <v>0</v>
      </c>
      <c r="BD5392">
        <v>0</v>
      </c>
      <c r="BE5392">
        <v>0</v>
      </c>
      <c r="BF5392">
        <v>1</v>
      </c>
      <c r="BG5392">
        <v>0</v>
      </c>
    </row>
    <row r="5393" spans="1:59">
      <c r="A5393" s="1">
        <f>HYPERLINK("https://lsnyc.legalserver.org/matter/dynamic-profile/view/1909643","19-1909643")</f>
        <v>0</v>
      </c>
      <c r="B5393" t="s">
        <v>1725</v>
      </c>
      <c r="C5393" t="s">
        <v>9102</v>
      </c>
      <c r="D5393" t="s">
        <v>9928</v>
      </c>
      <c r="E5393" t="s">
        <v>10075</v>
      </c>
      <c r="F5393">
        <v>11239</v>
      </c>
      <c r="G5393" t="s">
        <v>10093</v>
      </c>
      <c r="H5393" t="s">
        <v>10100</v>
      </c>
      <c r="I5393" t="s">
        <v>10168</v>
      </c>
      <c r="J5393" t="s">
        <v>10213</v>
      </c>
      <c r="K5393" t="s">
        <v>10217</v>
      </c>
      <c r="M5393" t="s">
        <v>10425</v>
      </c>
      <c r="N5393" t="s">
        <v>10664</v>
      </c>
      <c r="P5393" t="s">
        <v>10749</v>
      </c>
      <c r="Q5393" t="s">
        <v>10765</v>
      </c>
      <c r="R5393" t="s">
        <v>10824</v>
      </c>
      <c r="T5393">
        <v>40000</v>
      </c>
      <c r="U5393">
        <v>3333.33</v>
      </c>
      <c r="V5393">
        <v>45</v>
      </c>
      <c r="W5393">
        <v>2</v>
      </c>
      <c r="X5393">
        <v>1</v>
      </c>
      <c r="Z5393">
        <v>187.53</v>
      </c>
      <c r="AA5393">
        <v>40.646737</v>
      </c>
      <c r="AB5393">
        <v>-73.87815500000001</v>
      </c>
      <c r="AD5393" t="s">
        <v>10839</v>
      </c>
      <c r="AG5393" t="s">
        <v>10858</v>
      </c>
      <c r="AH5393" t="s">
        <v>10862</v>
      </c>
      <c r="AI5393">
        <v>239</v>
      </c>
      <c r="AJ5393" t="s">
        <v>10213</v>
      </c>
      <c r="AL5393">
        <v>3.5</v>
      </c>
      <c r="AM5393" t="s">
        <v>10889</v>
      </c>
      <c r="AN5393" t="s">
        <v>10946</v>
      </c>
      <c r="AO5393" t="s">
        <v>11012</v>
      </c>
      <c r="AP5393" t="s">
        <v>11060</v>
      </c>
      <c r="AR5393" t="s">
        <v>11257</v>
      </c>
      <c r="AS5393" t="s">
        <v>11595</v>
      </c>
      <c r="AX5393" t="s">
        <v>10838</v>
      </c>
      <c r="BA5393" t="s">
        <v>11742</v>
      </c>
      <c r="BB5393">
        <v>0</v>
      </c>
      <c r="BC5393">
        <v>0</v>
      </c>
      <c r="BD5393">
        <v>0</v>
      </c>
      <c r="BE5393">
        <v>0</v>
      </c>
      <c r="BF5393">
        <v>7</v>
      </c>
      <c r="BG5393">
        <v>0</v>
      </c>
    </row>
    <row r="5394" spans="1:59">
      <c r="A5394" s="1">
        <f>HYPERLINK("https://lsnyc.legalserver.org/matter/dynamic-profile/view/1909644","19-1909644")</f>
        <v>0</v>
      </c>
      <c r="B5394" t="s">
        <v>4262</v>
      </c>
      <c r="C5394" t="s">
        <v>9103</v>
      </c>
      <c r="D5394" t="s">
        <v>9928</v>
      </c>
      <c r="E5394" t="s">
        <v>10075</v>
      </c>
      <c r="F5394">
        <v>11219</v>
      </c>
      <c r="G5394" t="s">
        <v>10091</v>
      </c>
      <c r="H5394" t="s">
        <v>10163</v>
      </c>
      <c r="I5394" t="s">
        <v>10168</v>
      </c>
      <c r="J5394" t="s">
        <v>10214</v>
      </c>
      <c r="K5394" t="s">
        <v>10217</v>
      </c>
      <c r="M5394" t="s">
        <v>10286</v>
      </c>
      <c r="N5394" t="s">
        <v>10671</v>
      </c>
      <c r="P5394" t="s">
        <v>10752</v>
      </c>
      <c r="Q5394" t="s">
        <v>10762</v>
      </c>
      <c r="R5394" t="s">
        <v>10821</v>
      </c>
      <c r="T5394">
        <v>7800</v>
      </c>
      <c r="U5394">
        <v>650</v>
      </c>
      <c r="V5394">
        <v>62</v>
      </c>
      <c r="W5394">
        <v>1</v>
      </c>
      <c r="X5394">
        <v>0</v>
      </c>
      <c r="Z5394">
        <v>62.45</v>
      </c>
      <c r="AA5394">
        <v>40.622369</v>
      </c>
      <c r="AB5394">
        <v>-73.999106</v>
      </c>
      <c r="AD5394" t="s">
        <v>10840</v>
      </c>
      <c r="AG5394" t="s">
        <v>10858</v>
      </c>
      <c r="AH5394" t="s">
        <v>10871</v>
      </c>
      <c r="AI5394">
        <v>234</v>
      </c>
      <c r="AJ5394" t="s">
        <v>10214</v>
      </c>
      <c r="AL5394">
        <v>1</v>
      </c>
      <c r="AM5394" t="s">
        <v>10894</v>
      </c>
      <c r="AN5394" t="s">
        <v>10974</v>
      </c>
      <c r="AO5394" t="s">
        <v>11023</v>
      </c>
      <c r="AP5394" t="s">
        <v>11086</v>
      </c>
      <c r="AR5394" t="s">
        <v>11270</v>
      </c>
      <c r="AS5394" t="s">
        <v>11595</v>
      </c>
      <c r="AT5394" t="s">
        <v>11642</v>
      </c>
      <c r="AX5394" t="s">
        <v>10838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</row>
    <row r="5395" spans="1:59">
      <c r="A5395" s="1">
        <f>HYPERLINK("https://lsnyc.legalserver.org/matter/dynamic-profile/view/1909646","19-1909646")</f>
        <v>0</v>
      </c>
      <c r="B5395" t="s">
        <v>4263</v>
      </c>
      <c r="C5395" t="s">
        <v>9012</v>
      </c>
      <c r="D5395" t="s">
        <v>9928</v>
      </c>
      <c r="E5395" t="s">
        <v>10075</v>
      </c>
      <c r="F5395">
        <v>11233</v>
      </c>
      <c r="G5395" t="s">
        <v>10093</v>
      </c>
      <c r="H5395" t="s">
        <v>10163</v>
      </c>
      <c r="I5395" t="s">
        <v>10169</v>
      </c>
      <c r="J5395" t="s">
        <v>10213</v>
      </c>
      <c r="K5395" t="s">
        <v>10217</v>
      </c>
      <c r="M5395" t="s">
        <v>10315</v>
      </c>
      <c r="N5395" t="s">
        <v>10686</v>
      </c>
      <c r="P5395" t="s">
        <v>10750</v>
      </c>
      <c r="Q5395" t="s">
        <v>10778</v>
      </c>
      <c r="R5395" t="s">
        <v>10821</v>
      </c>
      <c r="T5395">
        <v>13452</v>
      </c>
      <c r="U5395">
        <v>1121</v>
      </c>
      <c r="V5395">
        <v>62</v>
      </c>
      <c r="W5395">
        <v>1</v>
      </c>
      <c r="X5395">
        <v>0</v>
      </c>
      <c r="Z5395">
        <v>107.7</v>
      </c>
      <c r="AA5395">
        <v>40.672353</v>
      </c>
      <c r="AB5395">
        <v>-73.917382</v>
      </c>
      <c r="AD5395" t="s">
        <v>10839</v>
      </c>
      <c r="AG5395" t="s">
        <v>10858</v>
      </c>
      <c r="AH5395" t="s">
        <v>10861</v>
      </c>
      <c r="AI5395">
        <v>234</v>
      </c>
      <c r="AJ5395" t="s">
        <v>10214</v>
      </c>
      <c r="AL5395">
        <v>3.95</v>
      </c>
      <c r="AR5395" t="s">
        <v>11298</v>
      </c>
      <c r="AS5395" t="s">
        <v>11595</v>
      </c>
      <c r="AT5395" t="s">
        <v>11641</v>
      </c>
      <c r="AX5395" t="s">
        <v>10838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</row>
    <row r="5396" spans="1:59">
      <c r="A5396" s="1">
        <f>HYPERLINK("https://lsnyc.legalserver.org/matter/dynamic-profile/view/1909647","19-1909647")</f>
        <v>0</v>
      </c>
      <c r="B5396" t="s">
        <v>810</v>
      </c>
      <c r="C5396" t="s">
        <v>9104</v>
      </c>
      <c r="D5396" t="s">
        <v>9928</v>
      </c>
      <c r="E5396" t="s">
        <v>10075</v>
      </c>
      <c r="F5396">
        <v>11220</v>
      </c>
      <c r="G5396" t="s">
        <v>10093</v>
      </c>
      <c r="H5396" t="s">
        <v>10163</v>
      </c>
      <c r="I5396" t="s">
        <v>10168</v>
      </c>
      <c r="J5396" t="s">
        <v>10213</v>
      </c>
      <c r="K5396" t="s">
        <v>10217</v>
      </c>
      <c r="M5396" t="s">
        <v>10528</v>
      </c>
      <c r="N5396" t="s">
        <v>10664</v>
      </c>
      <c r="P5396" t="s">
        <v>10749</v>
      </c>
      <c r="Q5396" t="s">
        <v>10765</v>
      </c>
      <c r="R5396" t="s">
        <v>10821</v>
      </c>
      <c r="T5396">
        <v>30264</v>
      </c>
      <c r="U5396">
        <v>2522</v>
      </c>
      <c r="V5396">
        <v>27</v>
      </c>
      <c r="W5396">
        <v>3</v>
      </c>
      <c r="X5396">
        <v>0</v>
      </c>
      <c r="Z5396">
        <v>141.88</v>
      </c>
      <c r="AA5396">
        <v>40.640143</v>
      </c>
      <c r="AB5396">
        <v>-74.01246500000001</v>
      </c>
      <c r="AD5396" t="s">
        <v>10840</v>
      </c>
      <c r="AG5396" t="s">
        <v>10858</v>
      </c>
      <c r="AH5396" t="s">
        <v>10861</v>
      </c>
      <c r="AI5396">
        <v>239</v>
      </c>
      <c r="AJ5396" t="s">
        <v>10213</v>
      </c>
      <c r="AL5396">
        <v>2.3</v>
      </c>
      <c r="AM5396" t="s">
        <v>10886</v>
      </c>
      <c r="AN5396" t="s">
        <v>10921</v>
      </c>
      <c r="AO5396" t="s">
        <v>11005</v>
      </c>
      <c r="AP5396" t="s">
        <v>11069</v>
      </c>
      <c r="AR5396" t="s">
        <v>11332</v>
      </c>
      <c r="AS5396" t="s">
        <v>11595</v>
      </c>
      <c r="BA5396" t="s">
        <v>11738</v>
      </c>
      <c r="BB5396">
        <v>0</v>
      </c>
      <c r="BC5396">
        <v>0</v>
      </c>
      <c r="BD5396">
        <v>0</v>
      </c>
      <c r="BE5396">
        <v>0</v>
      </c>
      <c r="BF5396">
        <v>5</v>
      </c>
      <c r="BG5396">
        <v>0</v>
      </c>
    </row>
    <row r="5397" spans="1:59">
      <c r="A5397" s="1">
        <f>HYPERLINK("https://lsnyc.legalserver.org/matter/dynamic-profile/view/1909648","19-1909648")</f>
        <v>0</v>
      </c>
      <c r="B5397" t="s">
        <v>3631</v>
      </c>
      <c r="C5397" t="s">
        <v>8439</v>
      </c>
      <c r="D5397" t="s">
        <v>9926</v>
      </c>
      <c r="E5397" t="s">
        <v>10075</v>
      </c>
      <c r="F5397">
        <v>10468</v>
      </c>
      <c r="G5397" t="s">
        <v>10090</v>
      </c>
      <c r="H5397" t="s">
        <v>10163</v>
      </c>
      <c r="I5397" t="s">
        <v>10169</v>
      </c>
      <c r="J5397" t="s">
        <v>10210</v>
      </c>
      <c r="K5397" t="s">
        <v>10217</v>
      </c>
      <c r="M5397" t="s">
        <v>10401</v>
      </c>
      <c r="N5397" t="s">
        <v>10688</v>
      </c>
      <c r="P5397" t="s">
        <v>10751</v>
      </c>
      <c r="Q5397" t="s">
        <v>10761</v>
      </c>
      <c r="R5397" t="s">
        <v>10821</v>
      </c>
      <c r="T5397">
        <v>23000</v>
      </c>
      <c r="U5397">
        <v>1916.67</v>
      </c>
      <c r="V5397">
        <v>45</v>
      </c>
      <c r="W5397">
        <v>2</v>
      </c>
      <c r="X5397">
        <v>0</v>
      </c>
      <c r="Z5397">
        <v>136.01</v>
      </c>
      <c r="AA5397">
        <v>40.871439</v>
      </c>
      <c r="AB5397">
        <v>-73.902496</v>
      </c>
      <c r="AD5397" t="s">
        <v>10839</v>
      </c>
      <c r="AG5397" t="s">
        <v>10858</v>
      </c>
      <c r="AH5397" t="s">
        <v>10861</v>
      </c>
      <c r="AI5397">
        <v>230</v>
      </c>
      <c r="AJ5397" t="s">
        <v>10210</v>
      </c>
      <c r="AL5397">
        <v>2.5</v>
      </c>
      <c r="AR5397" t="s">
        <v>11262</v>
      </c>
      <c r="AS5397" t="s">
        <v>9926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</row>
    <row r="5398" spans="1:59">
      <c r="A5398" s="1">
        <f>HYPERLINK("https://lsnyc.legalserver.org/matter/dynamic-profile/view/1909649","19-1909649")</f>
        <v>0</v>
      </c>
      <c r="B5398" t="s">
        <v>4264</v>
      </c>
      <c r="C5398" t="s">
        <v>9105</v>
      </c>
      <c r="D5398" t="s">
        <v>9926</v>
      </c>
      <c r="E5398" t="s">
        <v>10075</v>
      </c>
      <c r="F5398">
        <v>10456</v>
      </c>
      <c r="G5398" t="s">
        <v>10090</v>
      </c>
      <c r="H5398" t="s">
        <v>10163</v>
      </c>
      <c r="I5398" t="s">
        <v>10169</v>
      </c>
      <c r="J5398" t="s">
        <v>10210</v>
      </c>
      <c r="K5398" t="s">
        <v>10217</v>
      </c>
      <c r="M5398" t="s">
        <v>10517</v>
      </c>
      <c r="N5398" t="s">
        <v>10650</v>
      </c>
      <c r="P5398" t="s">
        <v>10749</v>
      </c>
      <c r="Q5398" t="s">
        <v>10765</v>
      </c>
      <c r="R5398" t="s">
        <v>10821</v>
      </c>
      <c r="T5398">
        <v>0</v>
      </c>
      <c r="U5398">
        <v>0</v>
      </c>
      <c r="V5398">
        <v>57</v>
      </c>
      <c r="W5398">
        <v>1</v>
      </c>
      <c r="X5398">
        <v>0</v>
      </c>
      <c r="Z5398">
        <v>0</v>
      </c>
      <c r="AA5398">
        <v>40.837856</v>
      </c>
      <c r="AB5398">
        <v>-73.913876</v>
      </c>
      <c r="AD5398" t="s">
        <v>10839</v>
      </c>
      <c r="AG5398" t="s">
        <v>10858</v>
      </c>
      <c r="AH5398" t="s">
        <v>10862</v>
      </c>
      <c r="AI5398">
        <v>230</v>
      </c>
      <c r="AJ5398" t="s">
        <v>10210</v>
      </c>
      <c r="AL5398">
        <v>0</v>
      </c>
      <c r="AM5398" t="s">
        <v>10884</v>
      </c>
      <c r="AN5398" t="s">
        <v>10929</v>
      </c>
      <c r="AO5398" t="s">
        <v>11013</v>
      </c>
      <c r="AP5398" t="s">
        <v>11055</v>
      </c>
      <c r="AR5398" t="s">
        <v>11267</v>
      </c>
      <c r="AS5398" t="s">
        <v>9926</v>
      </c>
      <c r="AT5398" t="s">
        <v>11641</v>
      </c>
      <c r="BA5398" t="s">
        <v>11741</v>
      </c>
      <c r="BB5398">
        <v>0</v>
      </c>
      <c r="BC5398">
        <v>0</v>
      </c>
      <c r="BD5398">
        <v>0</v>
      </c>
      <c r="BE5398">
        <v>0</v>
      </c>
      <c r="BF5398">
        <v>1</v>
      </c>
      <c r="BG5398">
        <v>0</v>
      </c>
    </row>
    <row r="5399" spans="1:59">
      <c r="A5399" s="1">
        <f>HYPERLINK("https://lsnyc.legalserver.org/matter/dynamic-profile/view/1909650","19-1909650")</f>
        <v>0</v>
      </c>
      <c r="B5399" t="s">
        <v>4265</v>
      </c>
      <c r="C5399" t="s">
        <v>6515</v>
      </c>
      <c r="D5399" t="s">
        <v>9926</v>
      </c>
      <c r="E5399" t="s">
        <v>10075</v>
      </c>
      <c r="F5399">
        <v>10453</v>
      </c>
      <c r="G5399" t="s">
        <v>10090</v>
      </c>
      <c r="H5399" t="s">
        <v>10163</v>
      </c>
      <c r="I5399" t="s">
        <v>10168</v>
      </c>
      <c r="J5399" t="s">
        <v>10210</v>
      </c>
      <c r="K5399" t="s">
        <v>10217</v>
      </c>
      <c r="M5399" t="s">
        <v>10262</v>
      </c>
      <c r="N5399" t="s">
        <v>10666</v>
      </c>
      <c r="P5399" t="s">
        <v>10749</v>
      </c>
      <c r="Q5399" t="s">
        <v>10765</v>
      </c>
      <c r="R5399" t="s">
        <v>10824</v>
      </c>
      <c r="T5399">
        <v>13872</v>
      </c>
      <c r="U5399">
        <v>1156</v>
      </c>
      <c r="V5399">
        <v>32</v>
      </c>
      <c r="W5399">
        <v>1</v>
      </c>
      <c r="X5399">
        <v>3</v>
      </c>
      <c r="Z5399">
        <v>53.87</v>
      </c>
      <c r="AA5399">
        <v>40.85153</v>
      </c>
      <c r="AB5399">
        <v>-73.923373</v>
      </c>
      <c r="AD5399" t="s">
        <v>10839</v>
      </c>
      <c r="AG5399" t="s">
        <v>10858</v>
      </c>
      <c r="AH5399" t="s">
        <v>10861</v>
      </c>
      <c r="AI5399">
        <v>230</v>
      </c>
      <c r="AJ5399" t="s">
        <v>10210</v>
      </c>
      <c r="AL5399">
        <v>0.9</v>
      </c>
      <c r="AM5399" t="s">
        <v>10887</v>
      </c>
      <c r="AN5399" t="s">
        <v>10937</v>
      </c>
      <c r="AO5399" t="s">
        <v>11019</v>
      </c>
      <c r="AP5399" t="s">
        <v>11055</v>
      </c>
      <c r="AR5399" t="s">
        <v>11320</v>
      </c>
      <c r="AS5399" t="s">
        <v>9926</v>
      </c>
      <c r="AT5399" t="s">
        <v>11641</v>
      </c>
      <c r="AX5399" t="s">
        <v>10838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</row>
    <row r="5400" spans="1:59">
      <c r="A5400" s="1">
        <f>HYPERLINK("https://lsnyc.legalserver.org/matter/dynamic-profile/view/1909651","19-1909651")</f>
        <v>0</v>
      </c>
      <c r="B5400" t="s">
        <v>4266</v>
      </c>
      <c r="C5400" t="s">
        <v>9106</v>
      </c>
      <c r="D5400" t="s">
        <v>9926</v>
      </c>
      <c r="E5400" t="s">
        <v>10075</v>
      </c>
      <c r="F5400">
        <v>10459</v>
      </c>
      <c r="G5400" t="s">
        <v>10090</v>
      </c>
      <c r="H5400" t="s">
        <v>10163</v>
      </c>
      <c r="I5400" t="s">
        <v>10169</v>
      </c>
      <c r="J5400" t="s">
        <v>10210</v>
      </c>
      <c r="K5400" t="s">
        <v>10217</v>
      </c>
      <c r="M5400" t="s">
        <v>10558</v>
      </c>
      <c r="N5400" t="s">
        <v>10683</v>
      </c>
      <c r="P5400" t="s">
        <v>10754</v>
      </c>
      <c r="Q5400" t="s">
        <v>10777</v>
      </c>
      <c r="R5400" t="s">
        <v>10821</v>
      </c>
      <c r="T5400">
        <v>26000</v>
      </c>
      <c r="U5400">
        <v>2166.67</v>
      </c>
      <c r="V5400">
        <v>35</v>
      </c>
      <c r="W5400">
        <v>1</v>
      </c>
      <c r="X5400">
        <v>2</v>
      </c>
      <c r="Z5400">
        <v>121.89</v>
      </c>
      <c r="AA5400">
        <v>40.824421</v>
      </c>
      <c r="AB5400">
        <v>-73.898555</v>
      </c>
      <c r="AD5400" t="s">
        <v>10839</v>
      </c>
      <c r="AF5400" t="s">
        <v>10842</v>
      </c>
      <c r="AG5400" t="s">
        <v>10859</v>
      </c>
      <c r="AH5400" t="s">
        <v>10865</v>
      </c>
      <c r="AI5400">
        <v>230</v>
      </c>
      <c r="AJ5400" t="s">
        <v>10210</v>
      </c>
      <c r="AL5400">
        <v>4</v>
      </c>
      <c r="AQ5400" t="s">
        <v>11128</v>
      </c>
      <c r="AR5400" t="s">
        <v>10180</v>
      </c>
      <c r="AS5400" t="s">
        <v>9926</v>
      </c>
      <c r="AT5400" t="s">
        <v>11641</v>
      </c>
      <c r="AV5400" t="s">
        <v>11656</v>
      </c>
      <c r="AW5400" t="s">
        <v>11645</v>
      </c>
      <c r="AX5400" t="s">
        <v>10838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</row>
    <row r="5401" spans="1:59">
      <c r="A5401" s="1">
        <f>HYPERLINK("https://lsnyc.legalserver.org/matter/dynamic-profile/view/1909653","19-1909653")</f>
        <v>0</v>
      </c>
      <c r="B5401" t="s">
        <v>4267</v>
      </c>
      <c r="C5401" t="s">
        <v>9107</v>
      </c>
      <c r="D5401" t="s">
        <v>9928</v>
      </c>
      <c r="E5401" t="s">
        <v>10075</v>
      </c>
      <c r="F5401">
        <v>11212</v>
      </c>
      <c r="G5401" t="s">
        <v>10093</v>
      </c>
      <c r="H5401" t="s">
        <v>10163</v>
      </c>
      <c r="I5401" t="s">
        <v>10168</v>
      </c>
      <c r="J5401" t="s">
        <v>10213</v>
      </c>
      <c r="K5401" t="s">
        <v>10217</v>
      </c>
      <c r="M5401" t="s">
        <v>10290</v>
      </c>
      <c r="N5401" t="s">
        <v>10665</v>
      </c>
      <c r="P5401" t="s">
        <v>10751</v>
      </c>
      <c r="Q5401" t="s">
        <v>10773</v>
      </c>
      <c r="R5401" t="s">
        <v>10824</v>
      </c>
      <c r="T5401">
        <v>0</v>
      </c>
      <c r="U5401">
        <v>0</v>
      </c>
      <c r="V5401">
        <v>28</v>
      </c>
      <c r="W5401">
        <v>1</v>
      </c>
      <c r="X5401">
        <v>1</v>
      </c>
      <c r="Z5401">
        <v>0</v>
      </c>
      <c r="AA5401">
        <v>40.661696</v>
      </c>
      <c r="AB5401">
        <v>-73.90984899999999</v>
      </c>
      <c r="AD5401" t="s">
        <v>10839</v>
      </c>
      <c r="AG5401" t="s">
        <v>10858</v>
      </c>
      <c r="AH5401" t="s">
        <v>10861</v>
      </c>
      <c r="AI5401">
        <v>234</v>
      </c>
      <c r="AJ5401" t="s">
        <v>10214</v>
      </c>
      <c r="AL5401">
        <v>1.1</v>
      </c>
      <c r="AM5401" t="s">
        <v>10888</v>
      </c>
      <c r="AN5401" t="s">
        <v>10922</v>
      </c>
      <c r="AO5401" t="s">
        <v>11012</v>
      </c>
      <c r="AP5401" t="s">
        <v>11060</v>
      </c>
      <c r="AR5401" t="s">
        <v>11267</v>
      </c>
      <c r="AS5401" t="s">
        <v>11595</v>
      </c>
      <c r="AT5401" t="s">
        <v>11641</v>
      </c>
      <c r="AX5401" t="s">
        <v>10838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</row>
    <row r="5402" spans="1:59">
      <c r="A5402" s="1">
        <f>HYPERLINK("https://lsnyc.legalserver.org/matter/dynamic-profile/view/1909654","19-1909654")</f>
        <v>0</v>
      </c>
      <c r="B5402" t="s">
        <v>135</v>
      </c>
      <c r="C5402" t="s">
        <v>9108</v>
      </c>
      <c r="D5402" t="s">
        <v>9926</v>
      </c>
      <c r="E5402" t="s">
        <v>10075</v>
      </c>
      <c r="F5402">
        <v>10460</v>
      </c>
      <c r="G5402" t="s">
        <v>10090</v>
      </c>
      <c r="H5402" t="s">
        <v>10163</v>
      </c>
      <c r="I5402" t="s">
        <v>10168</v>
      </c>
      <c r="J5402" t="s">
        <v>10210</v>
      </c>
      <c r="K5402" t="s">
        <v>10217</v>
      </c>
      <c r="M5402" t="s">
        <v>10629</v>
      </c>
      <c r="N5402" t="s">
        <v>10671</v>
      </c>
      <c r="P5402" t="s">
        <v>10749</v>
      </c>
      <c r="Q5402" t="s">
        <v>10765</v>
      </c>
      <c r="R5402" t="s">
        <v>10824</v>
      </c>
      <c r="T5402">
        <v>14307.6</v>
      </c>
      <c r="U5402">
        <v>1192.3</v>
      </c>
      <c r="V5402">
        <v>36</v>
      </c>
      <c r="W5402">
        <v>1</v>
      </c>
      <c r="X5402">
        <v>0</v>
      </c>
      <c r="Z5402">
        <v>114.55</v>
      </c>
      <c r="AA5402">
        <v>40.840316</v>
      </c>
      <c r="AB5402">
        <v>-73.86502</v>
      </c>
      <c r="AD5402" t="s">
        <v>10839</v>
      </c>
      <c r="AG5402" t="s">
        <v>10858</v>
      </c>
      <c r="AH5402" t="s">
        <v>10861</v>
      </c>
      <c r="AI5402">
        <v>234</v>
      </c>
      <c r="AJ5402" t="s">
        <v>10214</v>
      </c>
      <c r="AL5402">
        <v>0.5</v>
      </c>
      <c r="AM5402" t="s">
        <v>10884</v>
      </c>
      <c r="AN5402" t="s">
        <v>10908</v>
      </c>
      <c r="AO5402" t="s">
        <v>11001</v>
      </c>
      <c r="AP5402" t="s">
        <v>11046</v>
      </c>
      <c r="AR5402" t="s">
        <v>11352</v>
      </c>
      <c r="AS5402" t="s">
        <v>9926</v>
      </c>
      <c r="AT5402" t="s">
        <v>11641</v>
      </c>
      <c r="AX5402" t="s">
        <v>10838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</row>
    <row r="5403" spans="1:59">
      <c r="A5403" s="1">
        <f>HYPERLINK("https://lsnyc.legalserver.org/matter/dynamic-profile/view/1909655","19-1909655")</f>
        <v>0</v>
      </c>
      <c r="B5403" t="s">
        <v>4268</v>
      </c>
      <c r="C5403" t="s">
        <v>9109</v>
      </c>
      <c r="D5403" t="s">
        <v>9928</v>
      </c>
      <c r="E5403" t="s">
        <v>10075</v>
      </c>
      <c r="F5403">
        <v>11226</v>
      </c>
      <c r="G5403" t="s">
        <v>10093</v>
      </c>
      <c r="H5403" t="s">
        <v>10163</v>
      </c>
      <c r="I5403" t="s">
        <v>10168</v>
      </c>
      <c r="J5403" t="s">
        <v>10213</v>
      </c>
      <c r="K5403" t="s">
        <v>10217</v>
      </c>
      <c r="M5403" t="s">
        <v>10314</v>
      </c>
      <c r="N5403" t="s">
        <v>10667</v>
      </c>
      <c r="P5403" t="s">
        <v>10749</v>
      </c>
      <c r="Q5403" t="s">
        <v>10765</v>
      </c>
      <c r="R5403" t="s">
        <v>10824</v>
      </c>
      <c r="T5403">
        <v>6552</v>
      </c>
      <c r="U5403">
        <v>546</v>
      </c>
      <c r="V5403">
        <v>36</v>
      </c>
      <c r="W5403">
        <v>1</v>
      </c>
      <c r="X5403">
        <v>1</v>
      </c>
      <c r="Z5403">
        <v>38.75</v>
      </c>
      <c r="AA5403">
        <v>40.641627</v>
      </c>
      <c r="AB5403">
        <v>-73.957431</v>
      </c>
      <c r="AD5403" t="s">
        <v>10839</v>
      </c>
      <c r="AG5403" t="s">
        <v>10858</v>
      </c>
      <c r="AH5403" t="s">
        <v>10862</v>
      </c>
      <c r="AI5403">
        <v>239</v>
      </c>
      <c r="AJ5403" t="s">
        <v>10213</v>
      </c>
      <c r="AL5403">
        <v>0</v>
      </c>
      <c r="AM5403" t="s">
        <v>10888</v>
      </c>
      <c r="AN5403" t="s">
        <v>10932</v>
      </c>
      <c r="AO5403" t="s">
        <v>11008</v>
      </c>
      <c r="AP5403" t="s">
        <v>11050</v>
      </c>
      <c r="AR5403" t="s">
        <v>11320</v>
      </c>
      <c r="AS5403" t="s">
        <v>11595</v>
      </c>
      <c r="AX5403" t="s">
        <v>10838</v>
      </c>
      <c r="BA5403" t="s">
        <v>11742</v>
      </c>
      <c r="BB5403">
        <v>0</v>
      </c>
      <c r="BC5403">
        <v>0</v>
      </c>
      <c r="BD5403">
        <v>0</v>
      </c>
      <c r="BE5403">
        <v>0</v>
      </c>
      <c r="BF5403">
        <v>7</v>
      </c>
      <c r="BG5403">
        <v>0</v>
      </c>
    </row>
    <row r="5404" spans="1:59">
      <c r="A5404" s="1">
        <f>HYPERLINK("https://lsnyc.legalserver.org/matter/dynamic-profile/view/1909656","19-1909656")</f>
        <v>0</v>
      </c>
      <c r="B5404" t="s">
        <v>4269</v>
      </c>
      <c r="C5404" t="s">
        <v>9110</v>
      </c>
      <c r="D5404" t="s">
        <v>9926</v>
      </c>
      <c r="E5404" t="s">
        <v>10075</v>
      </c>
      <c r="F5404">
        <v>10456</v>
      </c>
      <c r="G5404" t="s">
        <v>10090</v>
      </c>
      <c r="H5404" t="s">
        <v>10099</v>
      </c>
      <c r="I5404" t="s">
        <v>10169</v>
      </c>
      <c r="J5404" t="s">
        <v>10210</v>
      </c>
      <c r="K5404" t="s">
        <v>10217</v>
      </c>
      <c r="M5404" t="s">
        <v>10561</v>
      </c>
      <c r="N5404" t="s">
        <v>10683</v>
      </c>
      <c r="P5404" t="s">
        <v>10754</v>
      </c>
      <c r="Q5404" t="s">
        <v>10766</v>
      </c>
      <c r="R5404" t="s">
        <v>10823</v>
      </c>
      <c r="T5404">
        <v>0</v>
      </c>
      <c r="U5404">
        <v>0</v>
      </c>
      <c r="V5404">
        <v>39</v>
      </c>
      <c r="W5404">
        <v>2</v>
      </c>
      <c r="X5404">
        <v>1</v>
      </c>
      <c r="Z5404">
        <v>0</v>
      </c>
      <c r="AA5404">
        <v>40.832662</v>
      </c>
      <c r="AB5404">
        <v>-73.89760699999999</v>
      </c>
      <c r="AD5404" t="s">
        <v>10839</v>
      </c>
      <c r="AF5404" t="s">
        <v>10842</v>
      </c>
      <c r="AG5404" t="s">
        <v>10859</v>
      </c>
      <c r="AH5404" t="s">
        <v>10865</v>
      </c>
      <c r="AI5404">
        <v>230</v>
      </c>
      <c r="AJ5404" t="s">
        <v>10210</v>
      </c>
      <c r="AL5404">
        <v>4.5</v>
      </c>
      <c r="AM5404" t="s">
        <v>10884</v>
      </c>
      <c r="AN5404" t="s">
        <v>10918</v>
      </c>
      <c r="AO5404" t="s">
        <v>11001</v>
      </c>
      <c r="AP5404" t="s">
        <v>11055</v>
      </c>
      <c r="AQ5404" t="s">
        <v>11175</v>
      </c>
      <c r="AR5404" t="s">
        <v>11267</v>
      </c>
      <c r="AS5404" t="s">
        <v>9926</v>
      </c>
      <c r="AT5404" t="s">
        <v>11641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</row>
    <row r="5405" spans="1:59">
      <c r="A5405" s="1">
        <f>HYPERLINK("https://lsnyc.legalserver.org/matter/dynamic-profile/view/1909657","19-1909657")</f>
        <v>0</v>
      </c>
      <c r="B5405" t="s">
        <v>4270</v>
      </c>
      <c r="C5405" t="s">
        <v>9111</v>
      </c>
      <c r="D5405" t="s">
        <v>9973</v>
      </c>
      <c r="E5405" t="s">
        <v>10075</v>
      </c>
      <c r="F5405">
        <v>10705</v>
      </c>
      <c r="G5405" t="s">
        <v>10093</v>
      </c>
      <c r="H5405" t="s">
        <v>10163</v>
      </c>
      <c r="I5405" t="s">
        <v>10169</v>
      </c>
      <c r="J5405" t="s">
        <v>10213</v>
      </c>
      <c r="K5405" t="s">
        <v>10217</v>
      </c>
      <c r="M5405" t="s">
        <v>10309</v>
      </c>
      <c r="N5405" t="s">
        <v>10662</v>
      </c>
      <c r="P5405" t="s">
        <v>10750</v>
      </c>
      <c r="Q5405" t="s">
        <v>10760</v>
      </c>
      <c r="R5405" t="s">
        <v>10823</v>
      </c>
      <c r="T5405">
        <v>13200</v>
      </c>
      <c r="U5405">
        <v>1100</v>
      </c>
      <c r="V5405">
        <v>45</v>
      </c>
      <c r="W5405">
        <v>1</v>
      </c>
      <c r="X5405">
        <v>0</v>
      </c>
      <c r="Z5405">
        <v>105.68</v>
      </c>
      <c r="AA5405">
        <v>0</v>
      </c>
      <c r="AB5405">
        <v>0</v>
      </c>
      <c r="AD5405" t="s">
        <v>10839</v>
      </c>
      <c r="AF5405" t="s">
        <v>10843</v>
      </c>
      <c r="AG5405" t="s">
        <v>10859</v>
      </c>
      <c r="AH5405" t="s">
        <v>10876</v>
      </c>
      <c r="AI5405">
        <v>239</v>
      </c>
      <c r="AJ5405" t="s">
        <v>10213</v>
      </c>
      <c r="AL5405">
        <v>3.45</v>
      </c>
      <c r="AQ5405" t="s">
        <v>11095</v>
      </c>
      <c r="AR5405" t="s">
        <v>11296</v>
      </c>
      <c r="AS5405" t="s">
        <v>11604</v>
      </c>
      <c r="AT5405" t="s">
        <v>11641</v>
      </c>
      <c r="AU5405" t="s">
        <v>11652</v>
      </c>
      <c r="AW5405" t="s">
        <v>11645</v>
      </c>
      <c r="AX5405" t="s">
        <v>10837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</row>
    <row r="5406" spans="1:59">
      <c r="A5406" s="1">
        <f>HYPERLINK("https://lsnyc.legalserver.org/matter/dynamic-profile/view/1909658","19-1909658")</f>
        <v>0</v>
      </c>
      <c r="B5406" t="s">
        <v>4271</v>
      </c>
      <c r="C5406" t="s">
        <v>9112</v>
      </c>
      <c r="D5406" t="s">
        <v>9936</v>
      </c>
      <c r="E5406" t="s">
        <v>10075</v>
      </c>
      <c r="F5406">
        <v>11103</v>
      </c>
      <c r="G5406" t="s">
        <v>10092</v>
      </c>
      <c r="H5406" t="s">
        <v>10163</v>
      </c>
      <c r="I5406" t="s">
        <v>10168</v>
      </c>
      <c r="J5406" t="s">
        <v>10212</v>
      </c>
      <c r="K5406" t="s">
        <v>10217</v>
      </c>
      <c r="M5406" t="s">
        <v>10461</v>
      </c>
      <c r="N5406" t="s">
        <v>10714</v>
      </c>
      <c r="P5406" t="s">
        <v>10753</v>
      </c>
      <c r="Q5406" t="s">
        <v>10763</v>
      </c>
      <c r="R5406" t="s">
        <v>10820</v>
      </c>
      <c r="T5406">
        <v>14400</v>
      </c>
      <c r="U5406">
        <v>1200</v>
      </c>
      <c r="V5406">
        <v>49</v>
      </c>
      <c r="W5406">
        <v>2</v>
      </c>
      <c r="X5406">
        <v>0</v>
      </c>
      <c r="Z5406">
        <v>85.16</v>
      </c>
      <c r="AA5406">
        <v>40.757385</v>
      </c>
      <c r="AB5406">
        <v>-73.9118</v>
      </c>
      <c r="AD5406" t="s">
        <v>10839</v>
      </c>
      <c r="AF5406" t="s">
        <v>10843</v>
      </c>
      <c r="AG5406" t="s">
        <v>10859</v>
      </c>
      <c r="AH5406" t="s">
        <v>10865</v>
      </c>
      <c r="AI5406">
        <v>237</v>
      </c>
      <c r="AJ5406" t="s">
        <v>10212</v>
      </c>
      <c r="AL5406">
        <v>3.51</v>
      </c>
      <c r="AM5406" t="s">
        <v>10885</v>
      </c>
      <c r="AN5406" t="s">
        <v>10954</v>
      </c>
      <c r="AO5406" t="s">
        <v>11003</v>
      </c>
      <c r="AP5406" t="s">
        <v>11047</v>
      </c>
      <c r="AQ5406" t="s">
        <v>11131</v>
      </c>
      <c r="AR5406" t="s">
        <v>11257</v>
      </c>
      <c r="AS5406" t="s">
        <v>11594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</row>
    <row r="5407" spans="1:59">
      <c r="A5407" s="1">
        <f>HYPERLINK("https://lsnyc.legalserver.org/matter/dynamic-profile/view/1909659","19-1909659")</f>
        <v>0</v>
      </c>
      <c r="B5407" t="s">
        <v>4272</v>
      </c>
      <c r="C5407" t="s">
        <v>9113</v>
      </c>
      <c r="D5407" t="s">
        <v>9929</v>
      </c>
      <c r="E5407" t="s">
        <v>10075</v>
      </c>
      <c r="F5407">
        <v>10301</v>
      </c>
      <c r="G5407" t="s">
        <v>10088</v>
      </c>
      <c r="H5407" t="s">
        <v>10166</v>
      </c>
      <c r="I5407" t="s">
        <v>10168</v>
      </c>
      <c r="J5407" t="s">
        <v>10208</v>
      </c>
      <c r="K5407" t="s">
        <v>10217</v>
      </c>
      <c r="M5407" t="s">
        <v>10259</v>
      </c>
      <c r="N5407" t="s">
        <v>10650</v>
      </c>
      <c r="P5407" t="s">
        <v>10749</v>
      </c>
      <c r="Q5407" t="s">
        <v>10765</v>
      </c>
      <c r="R5407" t="s">
        <v>10824</v>
      </c>
      <c r="T5407">
        <v>14400</v>
      </c>
      <c r="U5407">
        <v>1200</v>
      </c>
      <c r="V5407">
        <v>79</v>
      </c>
      <c r="W5407">
        <v>1</v>
      </c>
      <c r="X5407">
        <v>1</v>
      </c>
      <c r="Z5407">
        <v>85.16</v>
      </c>
      <c r="AA5407">
        <v>40.64341</v>
      </c>
      <c r="AB5407">
        <v>-74.084834</v>
      </c>
      <c r="AD5407" t="s">
        <v>10839</v>
      </c>
      <c r="AG5407" t="s">
        <v>10858</v>
      </c>
      <c r="AH5407" t="s">
        <v>10862</v>
      </c>
      <c r="AI5407">
        <v>285</v>
      </c>
      <c r="AJ5407" t="s">
        <v>10208</v>
      </c>
      <c r="AL5407">
        <v>2.35</v>
      </c>
      <c r="AM5407" t="s">
        <v>10883</v>
      </c>
      <c r="AN5407" t="s">
        <v>10913</v>
      </c>
      <c r="AO5407" t="s">
        <v>11006</v>
      </c>
      <c r="AP5407" t="s">
        <v>11051</v>
      </c>
      <c r="AR5407" t="s">
        <v>11427</v>
      </c>
      <c r="AS5407" t="s">
        <v>11593</v>
      </c>
      <c r="BA5407" t="s">
        <v>11738</v>
      </c>
      <c r="BB5407">
        <v>0</v>
      </c>
      <c r="BC5407">
        <v>0</v>
      </c>
      <c r="BD5407">
        <v>0</v>
      </c>
      <c r="BE5407">
        <v>0</v>
      </c>
      <c r="BF5407">
        <v>5</v>
      </c>
      <c r="BG5407">
        <v>0</v>
      </c>
    </row>
    <row r="5408" spans="1:59">
      <c r="A5408" s="1">
        <f>HYPERLINK("https://lsnyc.legalserver.org/matter/dynamic-profile/view/1909660","19-1909660")</f>
        <v>0</v>
      </c>
      <c r="B5408" t="s">
        <v>3670</v>
      </c>
      <c r="C5408" t="s">
        <v>9114</v>
      </c>
      <c r="D5408" t="s">
        <v>9928</v>
      </c>
      <c r="E5408" t="s">
        <v>10075</v>
      </c>
      <c r="F5408">
        <v>11215</v>
      </c>
      <c r="G5408" t="s">
        <v>10093</v>
      </c>
      <c r="H5408" t="s">
        <v>10163</v>
      </c>
      <c r="I5408" t="s">
        <v>10168</v>
      </c>
      <c r="J5408" t="s">
        <v>10213</v>
      </c>
      <c r="K5408" t="s">
        <v>10217</v>
      </c>
      <c r="M5408" t="s">
        <v>10304</v>
      </c>
      <c r="N5408" t="s">
        <v>10671</v>
      </c>
      <c r="P5408" t="s">
        <v>10749</v>
      </c>
      <c r="Q5408" t="s">
        <v>10765</v>
      </c>
      <c r="R5408" t="s">
        <v>10821</v>
      </c>
      <c r="T5408">
        <v>13560</v>
      </c>
      <c r="U5408">
        <v>1130</v>
      </c>
      <c r="V5408">
        <v>56</v>
      </c>
      <c r="W5408">
        <v>1</v>
      </c>
      <c r="X5408">
        <v>0</v>
      </c>
      <c r="Z5408">
        <v>108.57</v>
      </c>
      <c r="AA5408">
        <v>40.67681</v>
      </c>
      <c r="AB5408">
        <v>-73.980874</v>
      </c>
      <c r="AD5408" t="s">
        <v>10840</v>
      </c>
      <c r="AG5408" t="s">
        <v>10858</v>
      </c>
      <c r="AH5408" t="s">
        <v>10861</v>
      </c>
      <c r="AI5408">
        <v>234</v>
      </c>
      <c r="AJ5408" t="s">
        <v>10214</v>
      </c>
      <c r="AL5408">
        <v>1</v>
      </c>
      <c r="AM5408" t="s">
        <v>10886</v>
      </c>
      <c r="AN5408" t="s">
        <v>10917</v>
      </c>
      <c r="AO5408" t="s">
        <v>11007</v>
      </c>
      <c r="AP5408" t="s">
        <v>11059</v>
      </c>
      <c r="AR5408" t="s">
        <v>11298</v>
      </c>
      <c r="AS5408" t="s">
        <v>11595</v>
      </c>
      <c r="AT5408" t="s">
        <v>11642</v>
      </c>
      <c r="AX5408" t="s">
        <v>10838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</row>
    <row r="5409" spans="1:59">
      <c r="A5409" s="1">
        <f>HYPERLINK("https://lsnyc.legalserver.org/matter/dynamic-profile/view/1909661","19-1909661")</f>
        <v>0</v>
      </c>
      <c r="B5409" t="s">
        <v>4273</v>
      </c>
      <c r="C5409" t="s">
        <v>9115</v>
      </c>
      <c r="D5409" t="s">
        <v>9928</v>
      </c>
      <c r="E5409" t="s">
        <v>10075</v>
      </c>
      <c r="F5409">
        <v>11212</v>
      </c>
      <c r="G5409" t="s">
        <v>10093</v>
      </c>
      <c r="H5409" t="s">
        <v>10163</v>
      </c>
      <c r="I5409" t="s">
        <v>10168</v>
      </c>
      <c r="J5409" t="s">
        <v>10213</v>
      </c>
      <c r="K5409" t="s">
        <v>10217</v>
      </c>
      <c r="M5409" t="s">
        <v>10359</v>
      </c>
      <c r="N5409" t="s">
        <v>10664</v>
      </c>
      <c r="P5409" t="s">
        <v>10749</v>
      </c>
      <c r="Q5409" t="s">
        <v>10767</v>
      </c>
      <c r="R5409" t="s">
        <v>10824</v>
      </c>
      <c r="T5409">
        <v>23400</v>
      </c>
      <c r="U5409">
        <v>1950</v>
      </c>
      <c r="V5409">
        <v>40</v>
      </c>
      <c r="W5409">
        <v>2</v>
      </c>
      <c r="X5409">
        <v>2</v>
      </c>
      <c r="Z5409">
        <v>90.87</v>
      </c>
      <c r="AA5409">
        <v>40.662116</v>
      </c>
      <c r="AB5409">
        <v>-73.921745</v>
      </c>
      <c r="AD5409" t="s">
        <v>10839</v>
      </c>
      <c r="AG5409" t="s">
        <v>10858</v>
      </c>
      <c r="AH5409" t="s">
        <v>10861</v>
      </c>
      <c r="AI5409">
        <v>239</v>
      </c>
      <c r="AJ5409" t="s">
        <v>10213</v>
      </c>
      <c r="AL5409">
        <v>0</v>
      </c>
      <c r="AM5409" t="s">
        <v>10888</v>
      </c>
      <c r="AN5409" t="s">
        <v>10925</v>
      </c>
      <c r="AO5409" t="s">
        <v>11005</v>
      </c>
      <c r="AP5409" t="s">
        <v>11064</v>
      </c>
      <c r="AR5409" t="s">
        <v>11257</v>
      </c>
      <c r="AS5409" t="s">
        <v>11595</v>
      </c>
      <c r="BA5409" t="s">
        <v>11741</v>
      </c>
      <c r="BB5409">
        <v>0</v>
      </c>
      <c r="BC5409">
        <v>0</v>
      </c>
      <c r="BD5409">
        <v>0</v>
      </c>
      <c r="BE5409">
        <v>0</v>
      </c>
      <c r="BF5409">
        <v>1</v>
      </c>
      <c r="BG5409">
        <v>0</v>
      </c>
    </row>
    <row r="5410" spans="1:59">
      <c r="A5410" s="1">
        <f>HYPERLINK("https://lsnyc.legalserver.org/matter/dynamic-profile/view/1909663","19-1909663")</f>
        <v>0</v>
      </c>
      <c r="B5410" t="s">
        <v>4274</v>
      </c>
      <c r="C5410" t="s">
        <v>9116</v>
      </c>
      <c r="D5410" t="s">
        <v>9928</v>
      </c>
      <c r="E5410" t="s">
        <v>10075</v>
      </c>
      <c r="F5410">
        <v>11237</v>
      </c>
      <c r="G5410" t="s">
        <v>10093</v>
      </c>
      <c r="H5410" t="s">
        <v>10163</v>
      </c>
      <c r="I5410" t="s">
        <v>10168</v>
      </c>
      <c r="J5410" t="s">
        <v>10213</v>
      </c>
      <c r="K5410" t="s">
        <v>10217</v>
      </c>
      <c r="M5410" t="s">
        <v>10290</v>
      </c>
      <c r="N5410" t="s">
        <v>10665</v>
      </c>
      <c r="P5410" t="s">
        <v>10751</v>
      </c>
      <c r="Q5410" t="s">
        <v>10773</v>
      </c>
      <c r="R5410" t="s">
        <v>10820</v>
      </c>
      <c r="T5410">
        <v>20280</v>
      </c>
      <c r="U5410">
        <v>1690</v>
      </c>
      <c r="V5410">
        <v>27</v>
      </c>
      <c r="W5410">
        <v>1</v>
      </c>
      <c r="X5410">
        <v>0</v>
      </c>
      <c r="Z5410">
        <v>162.37</v>
      </c>
      <c r="AA5410">
        <v>40.702025</v>
      </c>
      <c r="AB5410">
        <v>-73.926418</v>
      </c>
      <c r="AD5410" t="s">
        <v>10840</v>
      </c>
      <c r="AG5410" t="s">
        <v>10858</v>
      </c>
      <c r="AH5410" t="s">
        <v>10871</v>
      </c>
      <c r="AI5410">
        <v>234</v>
      </c>
      <c r="AJ5410" t="s">
        <v>10214</v>
      </c>
      <c r="AL5410">
        <v>14.25</v>
      </c>
      <c r="AM5410" t="s">
        <v>10886</v>
      </c>
      <c r="AN5410" t="s">
        <v>10942</v>
      </c>
      <c r="AO5410" t="s">
        <v>11011</v>
      </c>
      <c r="AP5410" t="s">
        <v>11071</v>
      </c>
      <c r="AR5410" t="s">
        <v>11293</v>
      </c>
      <c r="AS5410" t="s">
        <v>11595</v>
      </c>
      <c r="AT5410" t="s">
        <v>11642</v>
      </c>
      <c r="AX5410" t="s">
        <v>10838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</row>
    <row r="5411" spans="1:59">
      <c r="A5411" s="1">
        <f>HYPERLINK("https://lsnyc.legalserver.org/matter/dynamic-profile/view/1909664","19-1909664")</f>
        <v>0</v>
      </c>
      <c r="B5411" t="s">
        <v>135</v>
      </c>
      <c r="C5411" t="s">
        <v>9108</v>
      </c>
      <c r="D5411" t="s">
        <v>9926</v>
      </c>
      <c r="E5411" t="s">
        <v>10075</v>
      </c>
      <c r="F5411">
        <v>10460</v>
      </c>
      <c r="G5411" t="s">
        <v>10090</v>
      </c>
      <c r="H5411" t="s">
        <v>10163</v>
      </c>
      <c r="I5411" t="s">
        <v>10168</v>
      </c>
      <c r="J5411" t="s">
        <v>10210</v>
      </c>
      <c r="K5411" t="s">
        <v>10218</v>
      </c>
      <c r="L5411" t="s">
        <v>10158</v>
      </c>
      <c r="M5411" t="s">
        <v>10548</v>
      </c>
      <c r="N5411" t="s">
        <v>10671</v>
      </c>
      <c r="P5411" t="s">
        <v>10751</v>
      </c>
      <c r="Q5411" t="s">
        <v>10761</v>
      </c>
      <c r="R5411" t="s">
        <v>10824</v>
      </c>
      <c r="T5411">
        <v>14307.6</v>
      </c>
      <c r="U5411">
        <v>1192.3</v>
      </c>
      <c r="V5411">
        <v>36</v>
      </c>
      <c r="W5411">
        <v>1</v>
      </c>
      <c r="X5411">
        <v>0</v>
      </c>
      <c r="Y5411" t="s">
        <v>10829</v>
      </c>
      <c r="Z5411">
        <v>114.55</v>
      </c>
      <c r="AA5411">
        <v>40.840316</v>
      </c>
      <c r="AB5411">
        <v>-73.86502</v>
      </c>
      <c r="AC5411" t="s">
        <v>10838</v>
      </c>
      <c r="AD5411" t="s">
        <v>10839</v>
      </c>
      <c r="AG5411" t="s">
        <v>10858</v>
      </c>
      <c r="AH5411" t="s">
        <v>10861</v>
      </c>
      <c r="AI5411">
        <v>234</v>
      </c>
      <c r="AJ5411" t="s">
        <v>10214</v>
      </c>
      <c r="AK5411" t="s">
        <v>10882</v>
      </c>
      <c r="AL5411">
        <v>5.5</v>
      </c>
      <c r="AR5411" t="s">
        <v>11352</v>
      </c>
      <c r="AS5411" t="s">
        <v>9926</v>
      </c>
      <c r="AT5411" t="s">
        <v>11641</v>
      </c>
      <c r="AX5411" t="s">
        <v>10838</v>
      </c>
      <c r="AY5411" t="s">
        <v>10829</v>
      </c>
      <c r="AZ5411" t="s">
        <v>11682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</row>
    <row r="5412" spans="1:59">
      <c r="A5412" s="1">
        <f>HYPERLINK("https://lsnyc.legalserver.org/matter/dynamic-profile/view/1909665","19-1909665")</f>
        <v>0</v>
      </c>
      <c r="B5412" t="s">
        <v>4275</v>
      </c>
      <c r="C5412" t="s">
        <v>9117</v>
      </c>
      <c r="D5412" t="s">
        <v>9926</v>
      </c>
      <c r="E5412" t="s">
        <v>10075</v>
      </c>
      <c r="F5412">
        <v>10467</v>
      </c>
      <c r="G5412" t="s">
        <v>10090</v>
      </c>
      <c r="H5412" t="s">
        <v>10108</v>
      </c>
      <c r="I5412" t="s">
        <v>10168</v>
      </c>
      <c r="J5412" t="s">
        <v>10210</v>
      </c>
      <c r="K5412" t="s">
        <v>10217</v>
      </c>
      <c r="M5412" t="s">
        <v>10385</v>
      </c>
      <c r="N5412" t="s">
        <v>10651</v>
      </c>
      <c r="P5412" t="s">
        <v>10749</v>
      </c>
      <c r="Q5412" t="s">
        <v>10765</v>
      </c>
      <c r="R5412" t="s">
        <v>10821</v>
      </c>
      <c r="T5412">
        <v>26632</v>
      </c>
      <c r="U5412">
        <v>2219.33</v>
      </c>
      <c r="V5412">
        <v>27</v>
      </c>
      <c r="W5412">
        <v>1</v>
      </c>
      <c r="X5412">
        <v>2</v>
      </c>
      <c r="Z5412">
        <v>124.86</v>
      </c>
      <c r="AA5412">
        <v>40.867984</v>
      </c>
      <c r="AB5412">
        <v>-73.865514</v>
      </c>
      <c r="AD5412" t="s">
        <v>10840</v>
      </c>
      <c r="AG5412" t="s">
        <v>10858</v>
      </c>
      <c r="AH5412" t="s">
        <v>10862</v>
      </c>
      <c r="AI5412">
        <v>230</v>
      </c>
      <c r="AJ5412" t="s">
        <v>10210</v>
      </c>
      <c r="AL5412">
        <v>1.5</v>
      </c>
      <c r="AM5412" t="s">
        <v>10885</v>
      </c>
      <c r="AN5412" t="s">
        <v>10938</v>
      </c>
      <c r="AO5412" t="s">
        <v>11010</v>
      </c>
      <c r="AP5412" t="s">
        <v>11056</v>
      </c>
      <c r="AR5412" t="s">
        <v>11257</v>
      </c>
      <c r="AS5412" t="s">
        <v>9926</v>
      </c>
      <c r="AT5412" t="s">
        <v>11642</v>
      </c>
      <c r="AX5412" t="s">
        <v>10838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</row>
    <row r="5413" spans="1:59">
      <c r="A5413" s="1">
        <f>HYPERLINK("https://lsnyc.legalserver.org/matter/dynamic-profile/view/1909666","19-1909666")</f>
        <v>0</v>
      </c>
      <c r="B5413" t="s">
        <v>4276</v>
      </c>
      <c r="C5413" t="s">
        <v>9118</v>
      </c>
      <c r="D5413" t="s">
        <v>9932</v>
      </c>
      <c r="E5413" t="s">
        <v>10075</v>
      </c>
      <c r="F5413">
        <v>11368</v>
      </c>
      <c r="G5413" t="s">
        <v>10093</v>
      </c>
      <c r="H5413" t="s">
        <v>10163</v>
      </c>
      <c r="I5413" t="s">
        <v>10169</v>
      </c>
      <c r="J5413" t="s">
        <v>10213</v>
      </c>
      <c r="K5413" t="s">
        <v>10217</v>
      </c>
      <c r="M5413" t="s">
        <v>10420</v>
      </c>
      <c r="N5413" t="s">
        <v>10649</v>
      </c>
      <c r="P5413" t="s">
        <v>10753</v>
      </c>
      <c r="Q5413" t="s">
        <v>10763</v>
      </c>
      <c r="R5413" t="s">
        <v>10821</v>
      </c>
      <c r="T5413">
        <v>14400</v>
      </c>
      <c r="U5413">
        <v>1200</v>
      </c>
      <c r="V5413">
        <v>27</v>
      </c>
      <c r="W5413">
        <v>1</v>
      </c>
      <c r="X5413">
        <v>1</v>
      </c>
      <c r="Z5413">
        <v>85.16</v>
      </c>
      <c r="AA5413">
        <v>40.754077</v>
      </c>
      <c r="AB5413">
        <v>-73.86226499999999</v>
      </c>
      <c r="AD5413" t="s">
        <v>10839</v>
      </c>
      <c r="AF5413" t="s">
        <v>10844</v>
      </c>
      <c r="AG5413" t="s">
        <v>10859</v>
      </c>
      <c r="AH5413" t="s">
        <v>10864</v>
      </c>
      <c r="AI5413">
        <v>239</v>
      </c>
      <c r="AJ5413" t="s">
        <v>10213</v>
      </c>
      <c r="AL5413">
        <v>2</v>
      </c>
      <c r="AM5413" t="s">
        <v>10885</v>
      </c>
      <c r="AN5413" t="s">
        <v>10916</v>
      </c>
      <c r="AO5413" t="s">
        <v>11014</v>
      </c>
      <c r="AP5413" t="s">
        <v>11068</v>
      </c>
      <c r="AQ5413" t="s">
        <v>11109</v>
      </c>
      <c r="AR5413" t="s">
        <v>11257</v>
      </c>
      <c r="AS5413" t="s">
        <v>11594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</row>
    <row r="5414" spans="1:59">
      <c r="A5414" s="1">
        <f>HYPERLINK("https://lsnyc.legalserver.org/matter/dynamic-profile/view/1909667","19-1909667")</f>
        <v>0</v>
      </c>
      <c r="B5414" t="s">
        <v>4277</v>
      </c>
      <c r="C5414" t="s">
        <v>9119</v>
      </c>
      <c r="D5414" t="s">
        <v>9926</v>
      </c>
      <c r="E5414" t="s">
        <v>10075</v>
      </c>
      <c r="F5414">
        <v>10457</v>
      </c>
      <c r="G5414" t="s">
        <v>10090</v>
      </c>
      <c r="H5414" t="s">
        <v>10163</v>
      </c>
      <c r="J5414" t="s">
        <v>10210</v>
      </c>
      <c r="K5414" t="s">
        <v>10217</v>
      </c>
      <c r="M5414" t="s">
        <v>10477</v>
      </c>
      <c r="N5414" t="s">
        <v>10651</v>
      </c>
      <c r="P5414" t="s">
        <v>10749</v>
      </c>
      <c r="Q5414" t="s">
        <v>10765</v>
      </c>
      <c r="R5414" t="s">
        <v>10821</v>
      </c>
      <c r="T5414">
        <v>10200</v>
      </c>
      <c r="U5414">
        <v>850</v>
      </c>
      <c r="V5414">
        <v>40</v>
      </c>
      <c r="W5414">
        <v>2</v>
      </c>
      <c r="X5414">
        <v>0</v>
      </c>
      <c r="Z5414">
        <v>60.32</v>
      </c>
      <c r="AA5414">
        <v>40.846071</v>
      </c>
      <c r="AB5414">
        <v>-73.90684899999999</v>
      </c>
      <c r="AD5414" t="s">
        <v>10839</v>
      </c>
      <c r="AG5414" t="s">
        <v>10858</v>
      </c>
      <c r="AH5414" t="s">
        <v>10862</v>
      </c>
      <c r="AI5414">
        <v>230</v>
      </c>
      <c r="AJ5414" t="s">
        <v>10210</v>
      </c>
      <c r="AL5414">
        <v>8.699999999999999</v>
      </c>
      <c r="AM5414" t="s">
        <v>10884</v>
      </c>
      <c r="AN5414" t="s">
        <v>10931</v>
      </c>
      <c r="AO5414" t="s">
        <v>11000</v>
      </c>
      <c r="AP5414" t="s">
        <v>11056</v>
      </c>
      <c r="AR5414" t="s">
        <v>11274</v>
      </c>
      <c r="AS5414" t="s">
        <v>9926</v>
      </c>
      <c r="AT5414" t="s">
        <v>11641</v>
      </c>
      <c r="AX5414" t="s">
        <v>10837</v>
      </c>
      <c r="BA5414" t="s">
        <v>11738</v>
      </c>
      <c r="BB5414">
        <v>0</v>
      </c>
      <c r="BC5414">
        <v>0</v>
      </c>
      <c r="BD5414">
        <v>0</v>
      </c>
      <c r="BE5414">
        <v>0</v>
      </c>
      <c r="BF5414">
        <v>5</v>
      </c>
      <c r="BG5414">
        <v>0</v>
      </c>
    </row>
    <row r="5415" spans="1:59">
      <c r="A5415" s="1">
        <f>HYPERLINK("https://lsnyc.legalserver.org/matter/dynamic-profile/view/1909669","19-1909669")</f>
        <v>0</v>
      </c>
      <c r="B5415" t="s">
        <v>4275</v>
      </c>
      <c r="C5415" t="s">
        <v>9117</v>
      </c>
      <c r="D5415" t="s">
        <v>9926</v>
      </c>
      <c r="E5415" t="s">
        <v>10075</v>
      </c>
      <c r="F5415">
        <v>10467</v>
      </c>
      <c r="G5415" t="s">
        <v>10090</v>
      </c>
      <c r="H5415" t="s">
        <v>10108</v>
      </c>
      <c r="I5415" t="s">
        <v>10168</v>
      </c>
      <c r="J5415" t="s">
        <v>10210</v>
      </c>
      <c r="K5415" t="s">
        <v>10217</v>
      </c>
      <c r="M5415" t="s">
        <v>10385</v>
      </c>
      <c r="N5415" t="s">
        <v>10671</v>
      </c>
      <c r="P5415" t="s">
        <v>10751</v>
      </c>
      <c r="Q5415" t="s">
        <v>10761</v>
      </c>
      <c r="R5415" t="s">
        <v>10821</v>
      </c>
      <c r="T5415">
        <v>26632</v>
      </c>
      <c r="U5415">
        <v>2219.33</v>
      </c>
      <c r="V5415">
        <v>27</v>
      </c>
      <c r="W5415">
        <v>1</v>
      </c>
      <c r="X5415">
        <v>2</v>
      </c>
      <c r="Z5415">
        <v>124.86</v>
      </c>
      <c r="AA5415">
        <v>40.867984</v>
      </c>
      <c r="AB5415">
        <v>-73.865514</v>
      </c>
      <c r="AD5415" t="s">
        <v>10840</v>
      </c>
      <c r="AG5415" t="s">
        <v>10858</v>
      </c>
      <c r="AH5415" t="s">
        <v>10862</v>
      </c>
      <c r="AI5415">
        <v>230</v>
      </c>
      <c r="AJ5415" t="s">
        <v>10210</v>
      </c>
      <c r="AL5415">
        <v>0</v>
      </c>
      <c r="AM5415" t="s">
        <v>10885</v>
      </c>
      <c r="AN5415" t="s">
        <v>10938</v>
      </c>
      <c r="AO5415" t="s">
        <v>11010</v>
      </c>
      <c r="AP5415" t="s">
        <v>11056</v>
      </c>
      <c r="AR5415" t="s">
        <v>11257</v>
      </c>
      <c r="AS5415" t="s">
        <v>9926</v>
      </c>
      <c r="AT5415" t="s">
        <v>11642</v>
      </c>
      <c r="AX5415" t="s">
        <v>10838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</row>
    <row r="5416" spans="1:59">
      <c r="A5416" s="1">
        <f>HYPERLINK("https://lsnyc.legalserver.org/matter/dynamic-profile/view/1909670","19-1909670")</f>
        <v>0</v>
      </c>
      <c r="B5416" t="s">
        <v>4278</v>
      </c>
      <c r="C5416" t="s">
        <v>9120</v>
      </c>
      <c r="D5416" t="s">
        <v>9940</v>
      </c>
      <c r="E5416" t="s">
        <v>10075</v>
      </c>
      <c r="F5416">
        <v>11421</v>
      </c>
      <c r="G5416" t="s">
        <v>10092</v>
      </c>
      <c r="H5416" t="s">
        <v>10163</v>
      </c>
      <c r="I5416" t="s">
        <v>10168</v>
      </c>
      <c r="J5416" t="s">
        <v>10212</v>
      </c>
      <c r="K5416" t="s">
        <v>10217</v>
      </c>
      <c r="M5416" t="s">
        <v>10416</v>
      </c>
      <c r="N5416" t="s">
        <v>10671</v>
      </c>
      <c r="P5416" t="s">
        <v>10749</v>
      </c>
      <c r="Q5416" t="s">
        <v>10769</v>
      </c>
      <c r="R5416" t="s">
        <v>10821</v>
      </c>
      <c r="T5416">
        <v>13740</v>
      </c>
      <c r="U5416">
        <v>1145</v>
      </c>
      <c r="V5416">
        <v>69</v>
      </c>
      <c r="W5416">
        <v>1</v>
      </c>
      <c r="X5416">
        <v>0</v>
      </c>
      <c r="Z5416">
        <v>110.01</v>
      </c>
      <c r="AA5416">
        <v>40.695423</v>
      </c>
      <c r="AB5416">
        <v>-73.847737</v>
      </c>
      <c r="AD5416" t="s">
        <v>10840</v>
      </c>
      <c r="AG5416" t="s">
        <v>10858</v>
      </c>
      <c r="AH5416" t="s">
        <v>10861</v>
      </c>
      <c r="AI5416">
        <v>234</v>
      </c>
      <c r="AJ5416" t="s">
        <v>10214</v>
      </c>
      <c r="AL5416">
        <v>5.55</v>
      </c>
      <c r="AM5416" t="s">
        <v>10886</v>
      </c>
      <c r="AN5416" t="s">
        <v>10945</v>
      </c>
      <c r="AO5416" t="s">
        <v>11024</v>
      </c>
      <c r="AP5416" t="s">
        <v>11088</v>
      </c>
      <c r="AR5416" t="s">
        <v>11274</v>
      </c>
      <c r="AS5416" t="s">
        <v>11594</v>
      </c>
      <c r="AT5416" t="s">
        <v>11642</v>
      </c>
      <c r="AX5416" t="s">
        <v>10838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</row>
    <row r="5417" spans="1:59">
      <c r="A5417" s="1">
        <f>HYPERLINK("https://lsnyc.legalserver.org/matter/dynamic-profile/view/1909672","19-1909672")</f>
        <v>0</v>
      </c>
      <c r="B5417" t="s">
        <v>4279</v>
      </c>
      <c r="C5417" t="s">
        <v>9121</v>
      </c>
      <c r="D5417" t="s">
        <v>9926</v>
      </c>
      <c r="E5417" t="s">
        <v>10075</v>
      </c>
      <c r="F5417">
        <v>10457</v>
      </c>
      <c r="G5417" t="s">
        <v>10090</v>
      </c>
      <c r="H5417" t="s">
        <v>10163</v>
      </c>
      <c r="I5417" t="s">
        <v>10169</v>
      </c>
      <c r="J5417" t="s">
        <v>10210</v>
      </c>
      <c r="K5417" t="s">
        <v>10217</v>
      </c>
      <c r="M5417" t="s">
        <v>10537</v>
      </c>
      <c r="N5417" t="s">
        <v>10671</v>
      </c>
      <c r="P5417" t="s">
        <v>10753</v>
      </c>
      <c r="Q5417" t="s">
        <v>10763</v>
      </c>
      <c r="R5417" t="s">
        <v>10821</v>
      </c>
      <c r="T5417">
        <v>2392</v>
      </c>
      <c r="U5417">
        <v>199.33</v>
      </c>
      <c r="V5417">
        <v>77</v>
      </c>
      <c r="W5417">
        <v>1</v>
      </c>
      <c r="X5417">
        <v>0</v>
      </c>
      <c r="Z5417">
        <v>19.15</v>
      </c>
      <c r="AA5417">
        <v>40.853261</v>
      </c>
      <c r="AB5417">
        <v>-73.89260899999999</v>
      </c>
      <c r="AD5417" t="s">
        <v>10840</v>
      </c>
      <c r="AF5417" t="s">
        <v>10843</v>
      </c>
      <c r="AG5417" t="s">
        <v>10859</v>
      </c>
      <c r="AH5417" t="s">
        <v>10871</v>
      </c>
      <c r="AI5417">
        <v>234</v>
      </c>
      <c r="AJ5417" t="s">
        <v>10214</v>
      </c>
      <c r="AL5417">
        <v>1.05</v>
      </c>
      <c r="AM5417" t="s">
        <v>10884</v>
      </c>
      <c r="AN5417" t="s">
        <v>10907</v>
      </c>
      <c r="AO5417" t="s">
        <v>11000</v>
      </c>
      <c r="AP5417" t="s">
        <v>11056</v>
      </c>
      <c r="AR5417" t="s">
        <v>11311</v>
      </c>
      <c r="AS5417" t="s">
        <v>9926</v>
      </c>
      <c r="AT5417" t="s">
        <v>11642</v>
      </c>
      <c r="AX5417" t="s">
        <v>10838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</row>
    <row r="5418" spans="1:59">
      <c r="A5418" s="1">
        <f>HYPERLINK("https://lsnyc.legalserver.org/matter/dynamic-profile/view/1909673","19-1909673")</f>
        <v>0</v>
      </c>
      <c r="B5418" t="s">
        <v>1332</v>
      </c>
      <c r="C5418" t="s">
        <v>9122</v>
      </c>
      <c r="D5418" t="s">
        <v>9926</v>
      </c>
      <c r="E5418" t="s">
        <v>10075</v>
      </c>
      <c r="F5418">
        <v>10468</v>
      </c>
      <c r="G5418" t="s">
        <v>10090</v>
      </c>
      <c r="H5418" t="s">
        <v>10108</v>
      </c>
      <c r="I5418" t="s">
        <v>10168</v>
      </c>
      <c r="J5418" t="s">
        <v>10210</v>
      </c>
      <c r="K5418" t="s">
        <v>10217</v>
      </c>
      <c r="M5418" t="s">
        <v>10417</v>
      </c>
      <c r="N5418" t="s">
        <v>10651</v>
      </c>
      <c r="P5418" t="s">
        <v>10749</v>
      </c>
      <c r="Q5418" t="s">
        <v>10765</v>
      </c>
      <c r="R5418" t="s">
        <v>10825</v>
      </c>
      <c r="T5418">
        <v>14364</v>
      </c>
      <c r="U5418">
        <v>1197</v>
      </c>
      <c r="V5418">
        <v>62</v>
      </c>
      <c r="W5418">
        <v>1</v>
      </c>
      <c r="X5418">
        <v>0</v>
      </c>
      <c r="Z5418">
        <v>115</v>
      </c>
      <c r="AA5418">
        <v>40.873278</v>
      </c>
      <c r="AB5418">
        <v>-73.90208199999999</v>
      </c>
      <c r="AD5418" t="s">
        <v>10839</v>
      </c>
      <c r="AG5418" t="s">
        <v>10858</v>
      </c>
      <c r="AH5418" t="s">
        <v>10862</v>
      </c>
      <c r="AI5418">
        <v>230</v>
      </c>
      <c r="AJ5418" t="s">
        <v>10210</v>
      </c>
      <c r="AL5418">
        <v>4.5</v>
      </c>
      <c r="AM5418" t="s">
        <v>10887</v>
      </c>
      <c r="AN5418" t="s">
        <v>10907</v>
      </c>
      <c r="AO5418" t="s">
        <v>11000</v>
      </c>
      <c r="AP5418" t="s">
        <v>11045</v>
      </c>
      <c r="AR5418" t="s">
        <v>11253</v>
      </c>
      <c r="AS5418" t="s">
        <v>9926</v>
      </c>
      <c r="AT5418" t="s">
        <v>11641</v>
      </c>
      <c r="AX5418" t="s">
        <v>10838</v>
      </c>
      <c r="BA5418" t="s">
        <v>11738</v>
      </c>
      <c r="BB5418">
        <v>0</v>
      </c>
      <c r="BC5418">
        <v>0</v>
      </c>
      <c r="BD5418">
        <v>0</v>
      </c>
      <c r="BE5418">
        <v>0</v>
      </c>
      <c r="BF5418">
        <v>5</v>
      </c>
      <c r="BG5418">
        <v>0</v>
      </c>
    </row>
    <row r="5419" spans="1:59">
      <c r="A5419" s="1">
        <f>HYPERLINK("https://lsnyc.legalserver.org/matter/dynamic-profile/view/1909674","19-1909674")</f>
        <v>0</v>
      </c>
      <c r="B5419" t="s">
        <v>4280</v>
      </c>
      <c r="D5419" t="s">
        <v>9926</v>
      </c>
      <c r="E5419" t="s">
        <v>10075</v>
      </c>
      <c r="F5419">
        <v>10451</v>
      </c>
      <c r="G5419" t="s">
        <v>10090</v>
      </c>
      <c r="H5419" t="s">
        <v>10155</v>
      </c>
      <c r="I5419" t="s">
        <v>10168</v>
      </c>
      <c r="J5419" t="s">
        <v>10210</v>
      </c>
      <c r="K5419" t="s">
        <v>10217</v>
      </c>
      <c r="M5419" t="s">
        <v>10561</v>
      </c>
      <c r="N5419" t="s">
        <v>10683</v>
      </c>
      <c r="P5419" t="s">
        <v>10754</v>
      </c>
      <c r="Q5419" t="s">
        <v>10766</v>
      </c>
      <c r="R5419" t="s">
        <v>10820</v>
      </c>
      <c r="T5419">
        <v>0</v>
      </c>
      <c r="U5419">
        <v>0</v>
      </c>
      <c r="V5419">
        <v>36</v>
      </c>
      <c r="W5419">
        <v>1</v>
      </c>
      <c r="X5419">
        <v>1</v>
      </c>
      <c r="Z5419">
        <v>0</v>
      </c>
      <c r="AA5419">
        <v>0</v>
      </c>
      <c r="AB5419">
        <v>0</v>
      </c>
      <c r="AD5419" t="s">
        <v>10839</v>
      </c>
      <c r="AF5419" t="s">
        <v>10842</v>
      </c>
      <c r="AG5419" t="s">
        <v>10859</v>
      </c>
      <c r="AH5419" t="s">
        <v>10865</v>
      </c>
      <c r="AI5419">
        <v>230</v>
      </c>
      <c r="AJ5419" t="s">
        <v>10210</v>
      </c>
      <c r="AL5419">
        <v>2.75</v>
      </c>
      <c r="AQ5419" t="s">
        <v>11175</v>
      </c>
      <c r="AR5419" t="s">
        <v>11267</v>
      </c>
      <c r="AS5419" t="s">
        <v>9926</v>
      </c>
      <c r="AT5419" t="s">
        <v>11641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</row>
    <row r="5420" spans="1:59">
      <c r="A5420" s="1">
        <f>HYPERLINK("https://lsnyc.legalserver.org/matter/dynamic-profile/view/1909675","19-1909675")</f>
        <v>0</v>
      </c>
      <c r="B5420" t="s">
        <v>1332</v>
      </c>
      <c r="C5420" t="s">
        <v>9122</v>
      </c>
      <c r="D5420" t="s">
        <v>9926</v>
      </c>
      <c r="E5420" t="s">
        <v>10075</v>
      </c>
      <c r="F5420">
        <v>10468</v>
      </c>
      <c r="G5420" t="s">
        <v>10090</v>
      </c>
      <c r="H5420" t="s">
        <v>10108</v>
      </c>
      <c r="I5420" t="s">
        <v>10168</v>
      </c>
      <c r="J5420" t="s">
        <v>10210</v>
      </c>
      <c r="K5420" t="s">
        <v>10217</v>
      </c>
      <c r="M5420" t="s">
        <v>10417</v>
      </c>
      <c r="N5420" t="s">
        <v>10671</v>
      </c>
      <c r="P5420" t="s">
        <v>10751</v>
      </c>
      <c r="Q5420" t="s">
        <v>10761</v>
      </c>
      <c r="R5420" t="s">
        <v>10825</v>
      </c>
      <c r="T5420">
        <v>14364</v>
      </c>
      <c r="U5420">
        <v>1197</v>
      </c>
      <c r="V5420">
        <v>62</v>
      </c>
      <c r="W5420">
        <v>1</v>
      </c>
      <c r="X5420">
        <v>0</v>
      </c>
      <c r="Z5420">
        <v>115</v>
      </c>
      <c r="AA5420">
        <v>40.873278</v>
      </c>
      <c r="AB5420">
        <v>-73.90208199999999</v>
      </c>
      <c r="AD5420" t="s">
        <v>10839</v>
      </c>
      <c r="AG5420" t="s">
        <v>10858</v>
      </c>
      <c r="AH5420" t="s">
        <v>10862</v>
      </c>
      <c r="AI5420">
        <v>230</v>
      </c>
      <c r="AJ5420" t="s">
        <v>10210</v>
      </c>
      <c r="AL5420">
        <v>0</v>
      </c>
      <c r="AR5420" t="s">
        <v>11268</v>
      </c>
      <c r="AS5420" t="s">
        <v>9926</v>
      </c>
      <c r="AT5420" t="s">
        <v>11641</v>
      </c>
      <c r="AX5420" t="s">
        <v>10838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</row>
    <row r="5421" spans="1:59">
      <c r="A5421" s="1">
        <f>HYPERLINK("https://lsnyc.legalserver.org/matter/dynamic-profile/view/1909676","19-1909676")</f>
        <v>0</v>
      </c>
      <c r="B5421" t="s">
        <v>155</v>
      </c>
      <c r="C5421" t="s">
        <v>9123</v>
      </c>
      <c r="D5421" t="s">
        <v>9926</v>
      </c>
      <c r="E5421" t="s">
        <v>10075</v>
      </c>
      <c r="F5421">
        <v>10467</v>
      </c>
      <c r="G5421" t="s">
        <v>10090</v>
      </c>
      <c r="H5421" t="s">
        <v>10163</v>
      </c>
      <c r="I5421" t="s">
        <v>10168</v>
      </c>
      <c r="J5421" t="s">
        <v>10210</v>
      </c>
      <c r="K5421" t="s">
        <v>10218</v>
      </c>
      <c r="L5421" t="s">
        <v>10137</v>
      </c>
      <c r="M5421" t="s">
        <v>10586</v>
      </c>
      <c r="N5421" t="s">
        <v>10671</v>
      </c>
      <c r="P5421" t="s">
        <v>10749</v>
      </c>
      <c r="Q5421" t="s">
        <v>10765</v>
      </c>
      <c r="R5421" t="s">
        <v>10823</v>
      </c>
      <c r="T5421">
        <v>3288</v>
      </c>
      <c r="U5421">
        <v>274</v>
      </c>
      <c r="V5421">
        <v>33</v>
      </c>
      <c r="W5421">
        <v>1</v>
      </c>
      <c r="X5421">
        <v>0</v>
      </c>
      <c r="Y5421" t="s">
        <v>10829</v>
      </c>
      <c r="Z5421">
        <v>26.33</v>
      </c>
      <c r="AA5421">
        <v>40.863406</v>
      </c>
      <c r="AB5421">
        <v>-73.86425800000001</v>
      </c>
      <c r="AC5421" t="s">
        <v>10837</v>
      </c>
      <c r="AD5421" t="s">
        <v>10839</v>
      </c>
      <c r="AG5421" t="s">
        <v>10858</v>
      </c>
      <c r="AH5421" t="s">
        <v>10861</v>
      </c>
      <c r="AI5421">
        <v>234</v>
      </c>
      <c r="AJ5421" t="s">
        <v>10214</v>
      </c>
      <c r="AK5421" t="s">
        <v>10838</v>
      </c>
      <c r="AL5421">
        <v>0.7</v>
      </c>
      <c r="AM5421" t="s">
        <v>10885</v>
      </c>
      <c r="AN5421" t="s">
        <v>10938</v>
      </c>
      <c r="AO5421" t="s">
        <v>11002</v>
      </c>
      <c r="AP5421" t="s">
        <v>11049</v>
      </c>
      <c r="AR5421" t="s">
        <v>11302</v>
      </c>
      <c r="AS5421" t="s">
        <v>9926</v>
      </c>
      <c r="AT5421" t="s">
        <v>11641</v>
      </c>
      <c r="AX5421" t="s">
        <v>10838</v>
      </c>
      <c r="AY5421" t="s">
        <v>10829</v>
      </c>
      <c r="AZ5421" t="s">
        <v>11681</v>
      </c>
      <c r="BA5421" t="s">
        <v>11741</v>
      </c>
      <c r="BB5421">
        <v>0</v>
      </c>
      <c r="BC5421">
        <v>0</v>
      </c>
      <c r="BD5421">
        <v>0</v>
      </c>
      <c r="BE5421">
        <v>0</v>
      </c>
      <c r="BF5421">
        <v>1</v>
      </c>
      <c r="BG5421">
        <v>0</v>
      </c>
    </row>
    <row r="5422" spans="1:59">
      <c r="A5422" s="1">
        <f>HYPERLINK("https://lsnyc.legalserver.org/matter/dynamic-profile/view/1909677","19-1909677")</f>
        <v>0</v>
      </c>
      <c r="B5422" t="s">
        <v>3535</v>
      </c>
      <c r="C5422" t="s">
        <v>9124</v>
      </c>
      <c r="D5422" t="s">
        <v>9929</v>
      </c>
      <c r="E5422" t="s">
        <v>10075</v>
      </c>
      <c r="F5422">
        <v>10301</v>
      </c>
      <c r="G5422" t="s">
        <v>10088</v>
      </c>
      <c r="H5422" t="s">
        <v>10166</v>
      </c>
      <c r="I5422" t="s">
        <v>10168</v>
      </c>
      <c r="J5422" t="s">
        <v>10208</v>
      </c>
      <c r="K5422" t="s">
        <v>10217</v>
      </c>
      <c r="M5422" t="s">
        <v>10259</v>
      </c>
      <c r="N5422" t="s">
        <v>10650</v>
      </c>
      <c r="P5422" t="s">
        <v>10749</v>
      </c>
      <c r="Q5422" t="s">
        <v>10765</v>
      </c>
      <c r="R5422" t="s">
        <v>10824</v>
      </c>
      <c r="T5422">
        <v>12576</v>
      </c>
      <c r="U5422">
        <v>1048</v>
      </c>
      <c r="V5422">
        <v>39</v>
      </c>
      <c r="W5422">
        <v>1</v>
      </c>
      <c r="X5422">
        <v>2</v>
      </c>
      <c r="Z5422">
        <v>58.96</v>
      </c>
      <c r="AA5422">
        <v>40.638382</v>
      </c>
      <c r="AB5422">
        <v>-74.087312</v>
      </c>
      <c r="AD5422" t="s">
        <v>10839</v>
      </c>
      <c r="AG5422" t="s">
        <v>10858</v>
      </c>
      <c r="AH5422" t="s">
        <v>10861</v>
      </c>
      <c r="AI5422">
        <v>285</v>
      </c>
      <c r="AJ5422" t="s">
        <v>10208</v>
      </c>
      <c r="AL5422">
        <v>9.6</v>
      </c>
      <c r="AM5422" t="s">
        <v>10883</v>
      </c>
      <c r="AN5422" t="s">
        <v>10913</v>
      </c>
      <c r="AO5422" t="s">
        <v>11006</v>
      </c>
      <c r="AP5422" t="s">
        <v>11051</v>
      </c>
      <c r="AR5422" t="s">
        <v>11434</v>
      </c>
      <c r="AS5422" t="s">
        <v>11593</v>
      </c>
      <c r="BA5422" t="s">
        <v>11738</v>
      </c>
      <c r="BB5422">
        <v>0</v>
      </c>
      <c r="BC5422">
        <v>0</v>
      </c>
      <c r="BD5422">
        <v>0</v>
      </c>
      <c r="BE5422">
        <v>0</v>
      </c>
      <c r="BF5422">
        <v>5</v>
      </c>
      <c r="BG5422">
        <v>0</v>
      </c>
    </row>
    <row r="5423" spans="1:59">
      <c r="A5423" s="1">
        <f>HYPERLINK("https://lsnyc.legalserver.org/matter/dynamic-profile/view/1909678","19-1909678")</f>
        <v>0</v>
      </c>
      <c r="B5423" t="s">
        <v>241</v>
      </c>
      <c r="C5423" t="s">
        <v>9125</v>
      </c>
      <c r="D5423" t="s">
        <v>9929</v>
      </c>
      <c r="E5423" t="s">
        <v>10075</v>
      </c>
      <c r="F5423">
        <v>10302</v>
      </c>
      <c r="G5423" t="s">
        <v>10091</v>
      </c>
      <c r="H5423" t="s">
        <v>10163</v>
      </c>
      <c r="I5423" t="s">
        <v>10168</v>
      </c>
      <c r="J5423" t="s">
        <v>10211</v>
      </c>
      <c r="K5423" t="s">
        <v>10217</v>
      </c>
      <c r="M5423" t="s">
        <v>10307</v>
      </c>
      <c r="N5423" t="s">
        <v>10671</v>
      </c>
      <c r="P5423" t="s">
        <v>10752</v>
      </c>
      <c r="Q5423" t="s">
        <v>10762</v>
      </c>
      <c r="R5423" t="s">
        <v>10820</v>
      </c>
      <c r="T5423">
        <v>1800</v>
      </c>
      <c r="U5423">
        <v>150</v>
      </c>
      <c r="V5423">
        <v>29</v>
      </c>
      <c r="W5423">
        <v>1</v>
      </c>
      <c r="X5423">
        <v>0</v>
      </c>
      <c r="Z5423">
        <v>14.41</v>
      </c>
      <c r="AA5423">
        <v>40.629676</v>
      </c>
      <c r="AB5423">
        <v>-74.14315000000001</v>
      </c>
      <c r="AD5423" t="s">
        <v>10840</v>
      </c>
      <c r="AG5423" t="s">
        <v>10858</v>
      </c>
      <c r="AH5423" t="s">
        <v>10861</v>
      </c>
      <c r="AI5423">
        <v>234</v>
      </c>
      <c r="AJ5423" t="s">
        <v>10214</v>
      </c>
      <c r="AL5423">
        <v>1.2</v>
      </c>
      <c r="AM5423" t="s">
        <v>10883</v>
      </c>
      <c r="AN5423" t="s">
        <v>10913</v>
      </c>
      <c r="AO5423" t="s">
        <v>11006</v>
      </c>
      <c r="AP5423" t="s">
        <v>11051</v>
      </c>
      <c r="AR5423" t="s">
        <v>11276</v>
      </c>
      <c r="AS5423" t="s">
        <v>11593</v>
      </c>
      <c r="AT5423" t="s">
        <v>11642</v>
      </c>
      <c r="AX5423" t="s">
        <v>10838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</row>
    <row r="5424" spans="1:59">
      <c r="A5424" s="1">
        <f>HYPERLINK("https://lsnyc.legalserver.org/matter/dynamic-profile/view/1909679","19-1909679")</f>
        <v>0</v>
      </c>
      <c r="B5424" t="s">
        <v>4281</v>
      </c>
      <c r="C5424" t="s">
        <v>9126</v>
      </c>
      <c r="D5424" t="s">
        <v>9928</v>
      </c>
      <c r="E5424" t="s">
        <v>10075</v>
      </c>
      <c r="F5424">
        <v>11212</v>
      </c>
      <c r="G5424" t="s">
        <v>10089</v>
      </c>
      <c r="H5424" t="s">
        <v>10163</v>
      </c>
      <c r="I5424" t="s">
        <v>10168</v>
      </c>
      <c r="J5424" t="s">
        <v>10209</v>
      </c>
      <c r="K5424" t="s">
        <v>10217</v>
      </c>
      <c r="M5424" t="s">
        <v>10341</v>
      </c>
      <c r="N5424" t="s">
        <v>10703</v>
      </c>
      <c r="P5424" t="s">
        <v>10749</v>
      </c>
      <c r="Q5424" t="s">
        <v>10765</v>
      </c>
      <c r="R5424" t="s">
        <v>10824</v>
      </c>
      <c r="T5424">
        <v>61380</v>
      </c>
      <c r="U5424">
        <v>5115</v>
      </c>
      <c r="V5424">
        <v>60</v>
      </c>
      <c r="W5424">
        <v>6</v>
      </c>
      <c r="X5424">
        <v>1</v>
      </c>
      <c r="Z5424">
        <v>157.34</v>
      </c>
      <c r="AA5424">
        <v>40.662784</v>
      </c>
      <c r="AB5424">
        <v>-73.91050300000001</v>
      </c>
      <c r="AD5424" t="s">
        <v>10839</v>
      </c>
      <c r="AG5424" t="s">
        <v>10858</v>
      </c>
      <c r="AH5424" t="s">
        <v>10862</v>
      </c>
      <c r="AI5424">
        <v>236</v>
      </c>
      <c r="AJ5424" t="s">
        <v>10209</v>
      </c>
      <c r="AL5424">
        <v>1</v>
      </c>
      <c r="AM5424" t="s">
        <v>10888</v>
      </c>
      <c r="AN5424" t="s">
        <v>10922</v>
      </c>
      <c r="AO5424" t="s">
        <v>11005</v>
      </c>
      <c r="AP5424" t="s">
        <v>11064</v>
      </c>
      <c r="AR5424" t="s">
        <v>11566</v>
      </c>
      <c r="AS5424" t="s">
        <v>11595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</row>
    <row r="5425" spans="1:59">
      <c r="A5425" s="1">
        <f>HYPERLINK("https://lsnyc.legalserver.org/matter/dynamic-profile/view/1909680","19-1909680")</f>
        <v>0</v>
      </c>
      <c r="B5425" t="s">
        <v>4282</v>
      </c>
      <c r="C5425" t="s">
        <v>9127</v>
      </c>
      <c r="D5425" t="s">
        <v>9928</v>
      </c>
      <c r="E5425" t="s">
        <v>10075</v>
      </c>
      <c r="F5425">
        <v>11221</v>
      </c>
      <c r="G5425" t="s">
        <v>10093</v>
      </c>
      <c r="H5425" t="s">
        <v>10163</v>
      </c>
      <c r="I5425" t="s">
        <v>10168</v>
      </c>
      <c r="J5425" t="s">
        <v>10213</v>
      </c>
      <c r="K5425" t="s">
        <v>10217</v>
      </c>
      <c r="M5425" t="s">
        <v>10378</v>
      </c>
      <c r="N5425" t="s">
        <v>10698</v>
      </c>
      <c r="P5425" t="s">
        <v>10749</v>
      </c>
      <c r="Q5425" t="s">
        <v>10765</v>
      </c>
      <c r="R5425" t="s">
        <v>10821</v>
      </c>
      <c r="T5425">
        <v>4920</v>
      </c>
      <c r="U5425">
        <v>410</v>
      </c>
      <c r="V5425">
        <v>52</v>
      </c>
      <c r="W5425">
        <v>1</v>
      </c>
      <c r="X5425">
        <v>0</v>
      </c>
      <c r="Z5425">
        <v>39.39</v>
      </c>
      <c r="AA5425">
        <v>40.694966</v>
      </c>
      <c r="AB5425">
        <v>-73.917738</v>
      </c>
      <c r="AD5425" t="s">
        <v>10841</v>
      </c>
      <c r="AG5425" t="s">
        <v>10858</v>
      </c>
      <c r="AH5425" t="s">
        <v>10868</v>
      </c>
      <c r="AI5425">
        <v>239</v>
      </c>
      <c r="AJ5425" t="s">
        <v>10213</v>
      </c>
      <c r="AL5425">
        <v>0.5</v>
      </c>
      <c r="AM5425" t="s">
        <v>10886</v>
      </c>
      <c r="AN5425" t="s">
        <v>10942</v>
      </c>
      <c r="AO5425" t="s">
        <v>11011</v>
      </c>
      <c r="AP5425" t="s">
        <v>11058</v>
      </c>
      <c r="AR5425" t="s">
        <v>11274</v>
      </c>
      <c r="AS5425" t="s">
        <v>11595</v>
      </c>
      <c r="AT5425" t="s">
        <v>11641</v>
      </c>
      <c r="AX5425" t="s">
        <v>10837</v>
      </c>
      <c r="BA5425" t="s">
        <v>11742</v>
      </c>
      <c r="BB5425">
        <v>0</v>
      </c>
      <c r="BC5425">
        <v>0</v>
      </c>
      <c r="BD5425">
        <v>0</v>
      </c>
      <c r="BE5425">
        <v>0</v>
      </c>
      <c r="BF5425">
        <v>7</v>
      </c>
      <c r="BG5425">
        <v>0</v>
      </c>
    </row>
    <row r="5426" spans="1:59">
      <c r="A5426" s="1">
        <f>HYPERLINK("https://lsnyc.legalserver.org/matter/dynamic-profile/view/1909681","19-1909681")</f>
        <v>0</v>
      </c>
      <c r="B5426" t="s">
        <v>4283</v>
      </c>
      <c r="C5426" t="s">
        <v>8054</v>
      </c>
      <c r="D5426" t="s">
        <v>9931</v>
      </c>
      <c r="E5426" t="s">
        <v>10075</v>
      </c>
      <c r="F5426">
        <v>11367</v>
      </c>
      <c r="G5426" t="s">
        <v>10092</v>
      </c>
      <c r="H5426" t="s">
        <v>10163</v>
      </c>
      <c r="I5426" t="s">
        <v>10168</v>
      </c>
      <c r="J5426" t="s">
        <v>10212</v>
      </c>
      <c r="K5426" t="s">
        <v>10217</v>
      </c>
      <c r="M5426" t="s">
        <v>10340</v>
      </c>
      <c r="N5426" t="s">
        <v>10671</v>
      </c>
      <c r="P5426" t="s">
        <v>10751</v>
      </c>
      <c r="Q5426" t="s">
        <v>10780</v>
      </c>
      <c r="R5426" t="s">
        <v>10824</v>
      </c>
      <c r="T5426">
        <v>41859.96</v>
      </c>
      <c r="U5426">
        <v>3488.33</v>
      </c>
      <c r="V5426">
        <v>54</v>
      </c>
      <c r="W5426">
        <v>3</v>
      </c>
      <c r="X5426">
        <v>0</v>
      </c>
      <c r="Z5426">
        <v>196.25</v>
      </c>
      <c r="AA5426">
        <v>40.732461</v>
      </c>
      <c r="AB5426">
        <v>-73.81220500000001</v>
      </c>
      <c r="AD5426" t="s">
        <v>10840</v>
      </c>
      <c r="AG5426" t="s">
        <v>10858</v>
      </c>
      <c r="AH5426" t="s">
        <v>10861</v>
      </c>
      <c r="AI5426">
        <v>234</v>
      </c>
      <c r="AJ5426" t="s">
        <v>10214</v>
      </c>
      <c r="AL5426">
        <v>0.6</v>
      </c>
      <c r="AM5426" t="s">
        <v>10890</v>
      </c>
      <c r="AN5426" t="s">
        <v>10962</v>
      </c>
      <c r="AO5426" t="s">
        <v>11009</v>
      </c>
      <c r="AP5426" t="s">
        <v>11081</v>
      </c>
      <c r="AR5426" t="s">
        <v>11257</v>
      </c>
      <c r="AS5426" t="s">
        <v>11594</v>
      </c>
      <c r="AT5426" t="s">
        <v>11642</v>
      </c>
      <c r="AX5426" t="s">
        <v>10838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</row>
    <row r="5427" spans="1:59">
      <c r="A5427" s="1">
        <f>HYPERLINK("https://lsnyc.legalserver.org/matter/dynamic-profile/view/1909682","19-1909682")</f>
        <v>0</v>
      </c>
      <c r="B5427" t="s">
        <v>4284</v>
      </c>
      <c r="C5427">
        <v>109</v>
      </c>
      <c r="D5427" t="s">
        <v>9928</v>
      </c>
      <c r="E5427" t="s">
        <v>10075</v>
      </c>
      <c r="F5427">
        <v>11206</v>
      </c>
      <c r="G5427" t="s">
        <v>10093</v>
      </c>
      <c r="H5427" t="s">
        <v>10163</v>
      </c>
      <c r="I5427" t="s">
        <v>10168</v>
      </c>
      <c r="J5427" t="s">
        <v>10213</v>
      </c>
      <c r="K5427" t="s">
        <v>10217</v>
      </c>
      <c r="M5427" t="s">
        <v>10359</v>
      </c>
      <c r="N5427" t="s">
        <v>10664</v>
      </c>
      <c r="P5427" t="s">
        <v>10749</v>
      </c>
      <c r="Q5427" t="s">
        <v>10767</v>
      </c>
      <c r="R5427" t="s">
        <v>10824</v>
      </c>
      <c r="T5427">
        <v>5200</v>
      </c>
      <c r="U5427">
        <v>433.33</v>
      </c>
      <c r="V5427">
        <v>43</v>
      </c>
      <c r="W5427">
        <v>2</v>
      </c>
      <c r="X5427">
        <v>2</v>
      </c>
      <c r="Z5427">
        <v>20.19</v>
      </c>
      <c r="AA5427">
        <v>40.707892</v>
      </c>
      <c r="AB5427">
        <v>-73.94534</v>
      </c>
      <c r="AD5427" t="s">
        <v>10839</v>
      </c>
      <c r="AG5427" t="s">
        <v>10858</v>
      </c>
      <c r="AH5427" t="s">
        <v>10861</v>
      </c>
      <c r="AI5427">
        <v>239</v>
      </c>
      <c r="AJ5427" t="s">
        <v>10213</v>
      </c>
      <c r="AL5427">
        <v>0</v>
      </c>
      <c r="AR5427" t="s">
        <v>11320</v>
      </c>
      <c r="AS5427" t="s">
        <v>11595</v>
      </c>
      <c r="BA5427" t="s">
        <v>11737</v>
      </c>
      <c r="BB5427">
        <v>0</v>
      </c>
      <c r="BC5427">
        <v>0</v>
      </c>
      <c r="BD5427">
        <v>0</v>
      </c>
      <c r="BE5427">
        <v>0</v>
      </c>
      <c r="BF5427">
        <v>3</v>
      </c>
      <c r="BG5427">
        <v>0</v>
      </c>
    </row>
    <row r="5428" spans="1:59">
      <c r="A5428" s="1">
        <f>HYPERLINK("https://lsnyc.legalserver.org/matter/dynamic-profile/view/1909683","19-1909683")</f>
        <v>0</v>
      </c>
      <c r="B5428" t="s">
        <v>1209</v>
      </c>
      <c r="C5428" t="s">
        <v>9128</v>
      </c>
      <c r="D5428" t="s">
        <v>9938</v>
      </c>
      <c r="E5428" t="s">
        <v>10075</v>
      </c>
      <c r="F5428">
        <v>11432</v>
      </c>
      <c r="G5428" t="s">
        <v>10092</v>
      </c>
      <c r="H5428" t="s">
        <v>10163</v>
      </c>
      <c r="I5428" t="s">
        <v>10168</v>
      </c>
      <c r="J5428" t="s">
        <v>10212</v>
      </c>
      <c r="K5428" t="s">
        <v>10218</v>
      </c>
      <c r="L5428" t="s">
        <v>10135</v>
      </c>
      <c r="M5428" t="s">
        <v>10340</v>
      </c>
      <c r="N5428" t="s">
        <v>10694</v>
      </c>
      <c r="P5428" t="s">
        <v>10751</v>
      </c>
      <c r="Q5428" t="s">
        <v>10780</v>
      </c>
      <c r="R5428" t="s">
        <v>10826</v>
      </c>
      <c r="T5428">
        <v>0</v>
      </c>
      <c r="U5428">
        <v>0</v>
      </c>
      <c r="V5428">
        <v>62</v>
      </c>
      <c r="W5428">
        <v>3</v>
      </c>
      <c r="X5428">
        <v>0</v>
      </c>
      <c r="Y5428" t="s">
        <v>10829</v>
      </c>
      <c r="Z5428">
        <v>0</v>
      </c>
      <c r="AA5428">
        <v>40.711106</v>
      </c>
      <c r="AB5428">
        <v>-73.800487</v>
      </c>
      <c r="AD5428" t="s">
        <v>10840</v>
      </c>
      <c r="AG5428" t="s">
        <v>10858</v>
      </c>
      <c r="AH5428" t="s">
        <v>10861</v>
      </c>
      <c r="AI5428">
        <v>237</v>
      </c>
      <c r="AJ5428" t="s">
        <v>10212</v>
      </c>
      <c r="AK5428" t="s">
        <v>10838</v>
      </c>
      <c r="AL5428">
        <v>2</v>
      </c>
      <c r="AM5428" t="s">
        <v>10890</v>
      </c>
      <c r="AN5428" t="s">
        <v>10944</v>
      </c>
      <c r="AO5428" t="s">
        <v>11020</v>
      </c>
      <c r="AP5428" t="s">
        <v>11081</v>
      </c>
      <c r="AR5428" t="s">
        <v>11267</v>
      </c>
      <c r="AS5428" t="s">
        <v>11594</v>
      </c>
      <c r="AY5428" t="s">
        <v>10829</v>
      </c>
      <c r="AZ5428" t="s">
        <v>11682</v>
      </c>
      <c r="BA5428" t="s">
        <v>11741</v>
      </c>
      <c r="BB5428">
        <v>0</v>
      </c>
      <c r="BC5428">
        <v>0</v>
      </c>
      <c r="BD5428">
        <v>0</v>
      </c>
      <c r="BE5428">
        <v>0</v>
      </c>
      <c r="BF5428">
        <v>1</v>
      </c>
      <c r="BG5428">
        <v>0</v>
      </c>
    </row>
    <row r="5429" spans="1:59">
      <c r="A5429" s="1">
        <f>HYPERLINK("https://lsnyc.legalserver.org/matter/dynamic-profile/view/1909684","19-1909684")</f>
        <v>0</v>
      </c>
      <c r="B5429" t="s">
        <v>4285</v>
      </c>
      <c r="C5429" t="s">
        <v>9129</v>
      </c>
      <c r="D5429" t="s">
        <v>9926</v>
      </c>
      <c r="E5429" t="s">
        <v>10075</v>
      </c>
      <c r="F5429">
        <v>10460</v>
      </c>
      <c r="G5429" t="s">
        <v>10092</v>
      </c>
      <c r="H5429" t="s">
        <v>10163</v>
      </c>
      <c r="I5429" t="s">
        <v>10169</v>
      </c>
      <c r="J5429" t="s">
        <v>10212</v>
      </c>
      <c r="K5429" t="s">
        <v>10217</v>
      </c>
      <c r="M5429" t="s">
        <v>10282</v>
      </c>
      <c r="N5429" t="s">
        <v>10714</v>
      </c>
      <c r="P5429" t="s">
        <v>10753</v>
      </c>
      <c r="Q5429" t="s">
        <v>10763</v>
      </c>
      <c r="R5429" t="s">
        <v>10823</v>
      </c>
      <c r="T5429">
        <v>0</v>
      </c>
      <c r="U5429">
        <v>0</v>
      </c>
      <c r="V5429">
        <v>34</v>
      </c>
      <c r="W5429">
        <v>1</v>
      </c>
      <c r="X5429">
        <v>2</v>
      </c>
      <c r="Z5429">
        <v>0</v>
      </c>
      <c r="AA5429">
        <v>40.842468</v>
      </c>
      <c r="AB5429">
        <v>-73.88640599999999</v>
      </c>
      <c r="AD5429" t="s">
        <v>10839</v>
      </c>
      <c r="AF5429" t="s">
        <v>10844</v>
      </c>
      <c r="AG5429" t="s">
        <v>10859</v>
      </c>
      <c r="AH5429" t="s">
        <v>10864</v>
      </c>
      <c r="AI5429">
        <v>237</v>
      </c>
      <c r="AJ5429" t="s">
        <v>10212</v>
      </c>
      <c r="AL5429">
        <v>1.5</v>
      </c>
      <c r="AM5429" t="s">
        <v>10884</v>
      </c>
      <c r="AN5429" t="s">
        <v>10918</v>
      </c>
      <c r="AO5429" t="s">
        <v>11001</v>
      </c>
      <c r="AP5429" t="s">
        <v>11062</v>
      </c>
      <c r="AQ5429" t="s">
        <v>11109</v>
      </c>
      <c r="AR5429" t="s">
        <v>11267</v>
      </c>
      <c r="AS5429" t="s">
        <v>9926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</row>
    <row r="5430" spans="1:59">
      <c r="A5430" s="1">
        <f>HYPERLINK("https://lsnyc.legalserver.org/matter/dynamic-profile/view/1909685","19-1909685")</f>
        <v>0</v>
      </c>
      <c r="B5430" t="s">
        <v>4286</v>
      </c>
      <c r="C5430" t="s">
        <v>9130</v>
      </c>
      <c r="D5430" t="s">
        <v>9938</v>
      </c>
      <c r="E5430" t="s">
        <v>10075</v>
      </c>
      <c r="F5430">
        <v>11435</v>
      </c>
      <c r="G5430" t="s">
        <v>10092</v>
      </c>
      <c r="H5430" t="s">
        <v>10163</v>
      </c>
      <c r="I5430" t="s">
        <v>10168</v>
      </c>
      <c r="J5430" t="s">
        <v>10212</v>
      </c>
      <c r="K5430" t="s">
        <v>10217</v>
      </c>
      <c r="M5430" t="s">
        <v>10428</v>
      </c>
      <c r="N5430" t="s">
        <v>10695</v>
      </c>
      <c r="P5430" t="s">
        <v>10749</v>
      </c>
      <c r="Q5430" t="s">
        <v>10765</v>
      </c>
      <c r="R5430" t="s">
        <v>10820</v>
      </c>
      <c r="T5430">
        <v>28000</v>
      </c>
      <c r="U5430">
        <v>2333.33</v>
      </c>
      <c r="V5430">
        <v>40</v>
      </c>
      <c r="W5430">
        <v>2</v>
      </c>
      <c r="X5430">
        <v>1</v>
      </c>
      <c r="Z5430">
        <v>131.27</v>
      </c>
      <c r="AA5430">
        <v>40.709057</v>
      </c>
      <c r="AB5430">
        <v>-73.816851</v>
      </c>
      <c r="AD5430" t="s">
        <v>10839</v>
      </c>
      <c r="AF5430" t="s">
        <v>10842</v>
      </c>
      <c r="AG5430" t="s">
        <v>10859</v>
      </c>
      <c r="AH5430" t="s">
        <v>10862</v>
      </c>
      <c r="AI5430">
        <v>237</v>
      </c>
      <c r="AJ5430" t="s">
        <v>10212</v>
      </c>
      <c r="AL5430">
        <v>2.03</v>
      </c>
      <c r="AM5430" t="s">
        <v>10890</v>
      </c>
      <c r="AN5430" t="s">
        <v>10944</v>
      </c>
      <c r="AO5430" t="s">
        <v>11020</v>
      </c>
      <c r="AP5430" t="s">
        <v>11081</v>
      </c>
      <c r="AR5430" t="s">
        <v>11257</v>
      </c>
      <c r="AS5430" t="s">
        <v>11594</v>
      </c>
      <c r="AX5430" t="s">
        <v>10838</v>
      </c>
      <c r="BA5430" t="s">
        <v>11741</v>
      </c>
      <c r="BB5430">
        <v>0</v>
      </c>
      <c r="BC5430">
        <v>0</v>
      </c>
      <c r="BD5430">
        <v>0</v>
      </c>
      <c r="BE5430">
        <v>0</v>
      </c>
      <c r="BF5430">
        <v>1</v>
      </c>
      <c r="BG5430">
        <v>0</v>
      </c>
    </row>
    <row r="5431" spans="1:59">
      <c r="A5431" s="1">
        <f>HYPERLINK("https://lsnyc.legalserver.org/matter/dynamic-profile/view/1909686","19-1909686")</f>
        <v>0</v>
      </c>
      <c r="B5431" t="s">
        <v>4287</v>
      </c>
      <c r="C5431" t="s">
        <v>9131</v>
      </c>
      <c r="D5431" t="s">
        <v>9977</v>
      </c>
      <c r="E5431" t="s">
        <v>10075</v>
      </c>
      <c r="F5431">
        <v>11361</v>
      </c>
      <c r="G5431" t="s">
        <v>10092</v>
      </c>
      <c r="H5431" t="s">
        <v>10116</v>
      </c>
      <c r="I5431" t="s">
        <v>10189</v>
      </c>
      <c r="J5431" t="s">
        <v>10212</v>
      </c>
      <c r="K5431" t="s">
        <v>10217</v>
      </c>
      <c r="M5431" t="s">
        <v>10295</v>
      </c>
      <c r="N5431" t="s">
        <v>10674</v>
      </c>
      <c r="P5431" t="s">
        <v>10754</v>
      </c>
      <c r="Q5431" t="s">
        <v>10775</v>
      </c>
      <c r="R5431" t="s">
        <v>10827</v>
      </c>
      <c r="T5431">
        <v>0</v>
      </c>
      <c r="U5431">
        <v>0</v>
      </c>
      <c r="V5431">
        <v>30</v>
      </c>
      <c r="W5431">
        <v>2</v>
      </c>
      <c r="X5431">
        <v>1</v>
      </c>
      <c r="Z5431">
        <v>0</v>
      </c>
      <c r="AA5431">
        <v>40.763739</v>
      </c>
      <c r="AB5431">
        <v>-73.77473999999999</v>
      </c>
      <c r="AD5431" t="s">
        <v>10839</v>
      </c>
      <c r="AF5431" t="s">
        <v>10842</v>
      </c>
      <c r="AG5431" t="s">
        <v>10859</v>
      </c>
      <c r="AH5431" t="s">
        <v>10865</v>
      </c>
      <c r="AI5431">
        <v>237</v>
      </c>
      <c r="AJ5431" t="s">
        <v>10212</v>
      </c>
      <c r="AL5431">
        <v>2.65</v>
      </c>
      <c r="AM5431" t="s">
        <v>10890</v>
      </c>
      <c r="AN5431" t="s">
        <v>10948</v>
      </c>
      <c r="AO5431" t="s">
        <v>11022</v>
      </c>
      <c r="AP5431" t="s">
        <v>11080</v>
      </c>
      <c r="AR5431" t="s">
        <v>11267</v>
      </c>
      <c r="AS5431" t="s">
        <v>11594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</row>
    <row r="5432" spans="1:59">
      <c r="A5432" s="1">
        <f>HYPERLINK("https://lsnyc.legalserver.org/matter/dynamic-profile/view/1909687","19-1909687")</f>
        <v>0</v>
      </c>
      <c r="B5432" t="s">
        <v>937</v>
      </c>
      <c r="C5432" t="s">
        <v>9132</v>
      </c>
      <c r="D5432" t="s">
        <v>9926</v>
      </c>
      <c r="E5432" t="s">
        <v>10075</v>
      </c>
      <c r="F5432">
        <v>10456</v>
      </c>
      <c r="G5432" t="s">
        <v>10090</v>
      </c>
      <c r="H5432" t="s">
        <v>10163</v>
      </c>
      <c r="I5432" t="s">
        <v>10168</v>
      </c>
      <c r="J5432" t="s">
        <v>10210</v>
      </c>
      <c r="K5432" t="s">
        <v>10218</v>
      </c>
      <c r="L5432" t="s">
        <v>10163</v>
      </c>
      <c r="M5432" t="s">
        <v>10283</v>
      </c>
      <c r="N5432" t="s">
        <v>10671</v>
      </c>
      <c r="P5432" t="s">
        <v>10751</v>
      </c>
      <c r="Q5432" t="s">
        <v>10786</v>
      </c>
      <c r="R5432" t="s">
        <v>10821</v>
      </c>
      <c r="T5432">
        <v>0</v>
      </c>
      <c r="U5432">
        <v>0</v>
      </c>
      <c r="V5432">
        <v>30</v>
      </c>
      <c r="W5432">
        <v>1</v>
      </c>
      <c r="X5432">
        <v>2</v>
      </c>
      <c r="Y5432" t="s">
        <v>10833</v>
      </c>
      <c r="Z5432">
        <v>0</v>
      </c>
      <c r="AA5432">
        <v>40.830683</v>
      </c>
      <c r="AB5432">
        <v>-73.90525599999999</v>
      </c>
      <c r="AD5432" t="s">
        <v>10839</v>
      </c>
      <c r="AG5432" t="s">
        <v>10858</v>
      </c>
      <c r="AH5432" t="s">
        <v>10862</v>
      </c>
      <c r="AI5432">
        <v>230</v>
      </c>
      <c r="AJ5432" t="s">
        <v>10210</v>
      </c>
      <c r="AK5432" t="s">
        <v>10838</v>
      </c>
      <c r="AL5432">
        <v>1.5</v>
      </c>
      <c r="AM5432" t="s">
        <v>10884</v>
      </c>
      <c r="AN5432" t="s">
        <v>10918</v>
      </c>
      <c r="AO5432" t="s">
        <v>11001</v>
      </c>
      <c r="AP5432" t="s">
        <v>11055</v>
      </c>
      <c r="AR5432" t="s">
        <v>11267</v>
      </c>
      <c r="AS5432" t="s">
        <v>9926</v>
      </c>
      <c r="AY5432" t="s">
        <v>10833</v>
      </c>
      <c r="AZ5432" t="s">
        <v>11688</v>
      </c>
      <c r="BB5432">
        <v>0</v>
      </c>
      <c r="BC5432">
        <v>0</v>
      </c>
      <c r="BD5432">
        <v>0</v>
      </c>
      <c r="BE5432">
        <v>483</v>
      </c>
      <c r="BF5432">
        <v>0</v>
      </c>
      <c r="BG5432">
        <v>0</v>
      </c>
    </row>
    <row r="5433" spans="1:59">
      <c r="A5433" s="1">
        <f>HYPERLINK("https://lsnyc.legalserver.org/matter/dynamic-profile/view/1909688","19-1909688")</f>
        <v>0</v>
      </c>
      <c r="B5433" t="s">
        <v>4288</v>
      </c>
      <c r="C5433" t="s">
        <v>9129</v>
      </c>
      <c r="D5433" t="s">
        <v>9926</v>
      </c>
      <c r="E5433" t="s">
        <v>10075</v>
      </c>
      <c r="F5433">
        <v>10460</v>
      </c>
      <c r="G5433" t="s">
        <v>10092</v>
      </c>
      <c r="H5433" t="s">
        <v>10163</v>
      </c>
      <c r="I5433" t="s">
        <v>10169</v>
      </c>
      <c r="J5433" t="s">
        <v>10212</v>
      </c>
      <c r="K5433" t="s">
        <v>10217</v>
      </c>
      <c r="M5433" t="s">
        <v>10282</v>
      </c>
      <c r="N5433" t="s">
        <v>10714</v>
      </c>
      <c r="P5433" t="s">
        <v>10753</v>
      </c>
      <c r="Q5433" t="s">
        <v>10763</v>
      </c>
      <c r="R5433" t="s">
        <v>10821</v>
      </c>
      <c r="T5433">
        <v>0</v>
      </c>
      <c r="U5433">
        <v>0</v>
      </c>
      <c r="V5433">
        <v>4</v>
      </c>
      <c r="W5433">
        <v>1</v>
      </c>
      <c r="X5433">
        <v>2</v>
      </c>
      <c r="Z5433">
        <v>0</v>
      </c>
      <c r="AA5433">
        <v>40.842468</v>
      </c>
      <c r="AB5433">
        <v>-73.88640599999999</v>
      </c>
      <c r="AD5433" t="s">
        <v>10839</v>
      </c>
      <c r="AF5433" t="s">
        <v>10851</v>
      </c>
      <c r="AG5433" t="s">
        <v>10859</v>
      </c>
      <c r="AH5433" t="s">
        <v>10864</v>
      </c>
      <c r="AI5433">
        <v>237</v>
      </c>
      <c r="AJ5433" t="s">
        <v>10212</v>
      </c>
      <c r="AL5433">
        <v>1.2</v>
      </c>
      <c r="AM5433" t="s">
        <v>10884</v>
      </c>
      <c r="AN5433" t="s">
        <v>10918</v>
      </c>
      <c r="AO5433" t="s">
        <v>11001</v>
      </c>
      <c r="AP5433" t="s">
        <v>11062</v>
      </c>
      <c r="AQ5433" t="s">
        <v>11109</v>
      </c>
      <c r="AR5433" t="s">
        <v>11267</v>
      </c>
      <c r="AS5433" t="s">
        <v>9926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</row>
    <row r="5434" spans="1:59">
      <c r="A5434" s="1">
        <f>HYPERLINK("https://lsnyc.legalserver.org/matter/dynamic-profile/view/1909689","19-1909689")</f>
        <v>0</v>
      </c>
      <c r="B5434" t="s">
        <v>1670</v>
      </c>
      <c r="C5434" t="s">
        <v>9133</v>
      </c>
      <c r="D5434" t="s">
        <v>9928</v>
      </c>
      <c r="E5434" t="s">
        <v>10075</v>
      </c>
      <c r="F5434">
        <v>11238</v>
      </c>
      <c r="G5434" t="s">
        <v>10093</v>
      </c>
      <c r="H5434" t="s">
        <v>10163</v>
      </c>
      <c r="I5434" t="s">
        <v>10168</v>
      </c>
      <c r="J5434" t="s">
        <v>10213</v>
      </c>
      <c r="K5434" t="s">
        <v>10217</v>
      </c>
      <c r="M5434" t="s">
        <v>10314</v>
      </c>
      <c r="N5434" t="s">
        <v>10664</v>
      </c>
      <c r="P5434" t="s">
        <v>10749</v>
      </c>
      <c r="Q5434" t="s">
        <v>10765</v>
      </c>
      <c r="R5434" t="s">
        <v>10824</v>
      </c>
      <c r="T5434">
        <v>67000</v>
      </c>
      <c r="U5434">
        <v>5583.33</v>
      </c>
      <c r="V5434">
        <v>53</v>
      </c>
      <c r="W5434">
        <v>2</v>
      </c>
      <c r="X5434">
        <v>0</v>
      </c>
      <c r="Z5434">
        <v>396.22</v>
      </c>
      <c r="AA5434">
        <v>40.685107</v>
      </c>
      <c r="AB5434">
        <v>-73.961928</v>
      </c>
      <c r="AC5434" t="s">
        <v>10837</v>
      </c>
      <c r="AD5434" t="s">
        <v>10839</v>
      </c>
      <c r="AG5434" t="s">
        <v>10858</v>
      </c>
      <c r="AH5434" t="s">
        <v>10862</v>
      </c>
      <c r="AI5434">
        <v>239</v>
      </c>
      <c r="AJ5434" t="s">
        <v>10213</v>
      </c>
      <c r="AL5434">
        <v>5</v>
      </c>
      <c r="AM5434" t="s">
        <v>10889</v>
      </c>
      <c r="AN5434" t="s">
        <v>10923</v>
      </c>
      <c r="AO5434" t="s">
        <v>11007</v>
      </c>
      <c r="AP5434" t="s">
        <v>11061</v>
      </c>
      <c r="AR5434" t="s">
        <v>11257</v>
      </c>
      <c r="AS5434" t="s">
        <v>11595</v>
      </c>
      <c r="BA5434" t="s">
        <v>11738</v>
      </c>
      <c r="BB5434">
        <v>0</v>
      </c>
      <c r="BC5434">
        <v>0</v>
      </c>
      <c r="BD5434">
        <v>0</v>
      </c>
      <c r="BE5434">
        <v>0</v>
      </c>
      <c r="BF5434">
        <v>5</v>
      </c>
      <c r="BG5434">
        <v>0</v>
      </c>
    </row>
    <row r="5435" spans="1:59">
      <c r="A5435" s="1">
        <f>HYPERLINK("https://lsnyc.legalserver.org/matter/dynamic-profile/view/1909690","19-1909690")</f>
        <v>0</v>
      </c>
      <c r="B5435" t="s">
        <v>2910</v>
      </c>
      <c r="C5435" t="s">
        <v>7699</v>
      </c>
      <c r="D5435" t="s">
        <v>9930</v>
      </c>
      <c r="E5435" t="s">
        <v>10075</v>
      </c>
      <c r="F5435">
        <v>11373</v>
      </c>
      <c r="G5435" t="s">
        <v>10092</v>
      </c>
      <c r="H5435" t="s">
        <v>10159</v>
      </c>
      <c r="I5435" t="s">
        <v>10169</v>
      </c>
      <c r="J5435" t="s">
        <v>10212</v>
      </c>
      <c r="K5435" t="s">
        <v>10217</v>
      </c>
      <c r="M5435" t="s">
        <v>10422</v>
      </c>
      <c r="N5435" t="s">
        <v>10714</v>
      </c>
      <c r="P5435" t="s">
        <v>10753</v>
      </c>
      <c r="Q5435" t="s">
        <v>10763</v>
      </c>
      <c r="R5435" t="s">
        <v>10823</v>
      </c>
      <c r="T5435">
        <v>15600</v>
      </c>
      <c r="U5435">
        <v>1300</v>
      </c>
      <c r="V5435">
        <v>49</v>
      </c>
      <c r="W5435">
        <v>1</v>
      </c>
      <c r="X5435">
        <v>1</v>
      </c>
      <c r="Z5435">
        <v>92.25</v>
      </c>
      <c r="AA5435">
        <v>40.747595</v>
      </c>
      <c r="AB5435">
        <v>-73.877512</v>
      </c>
      <c r="AD5435" t="s">
        <v>10839</v>
      </c>
      <c r="AF5435" t="s">
        <v>10842</v>
      </c>
      <c r="AG5435" t="s">
        <v>10859</v>
      </c>
      <c r="AH5435" t="s">
        <v>10864</v>
      </c>
      <c r="AI5435">
        <v>237</v>
      </c>
      <c r="AJ5435" t="s">
        <v>10212</v>
      </c>
      <c r="AL5435">
        <v>3</v>
      </c>
      <c r="AQ5435" t="s">
        <v>11109</v>
      </c>
      <c r="AR5435" t="s">
        <v>11257</v>
      </c>
      <c r="AS5435" t="s">
        <v>11594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</row>
    <row r="5436" spans="1:59">
      <c r="A5436" s="1">
        <f>HYPERLINK("https://lsnyc.legalserver.org/matter/dynamic-profile/view/1909691","19-1909691")</f>
        <v>0</v>
      </c>
      <c r="B5436" t="s">
        <v>4289</v>
      </c>
      <c r="C5436" t="s">
        <v>9134</v>
      </c>
      <c r="D5436" t="s">
        <v>9938</v>
      </c>
      <c r="E5436" t="s">
        <v>10075</v>
      </c>
      <c r="F5436">
        <v>11432</v>
      </c>
      <c r="G5436" t="s">
        <v>10092</v>
      </c>
      <c r="H5436" t="s">
        <v>10116</v>
      </c>
      <c r="I5436" t="s">
        <v>10168</v>
      </c>
      <c r="J5436" t="s">
        <v>10212</v>
      </c>
      <c r="K5436" t="s">
        <v>10217</v>
      </c>
      <c r="M5436" t="s">
        <v>10318</v>
      </c>
      <c r="N5436" t="s">
        <v>10684</v>
      </c>
      <c r="P5436" t="s">
        <v>10751</v>
      </c>
      <c r="Q5436" t="s">
        <v>10786</v>
      </c>
      <c r="R5436" t="s">
        <v>10827</v>
      </c>
      <c r="T5436">
        <v>6480</v>
      </c>
      <c r="U5436">
        <v>540</v>
      </c>
      <c r="V5436">
        <v>27</v>
      </c>
      <c r="W5436">
        <v>1</v>
      </c>
      <c r="X5436">
        <v>0</v>
      </c>
      <c r="Z5436">
        <v>51.88</v>
      </c>
      <c r="AA5436">
        <v>40.708632</v>
      </c>
      <c r="AB5436">
        <v>-73.786821</v>
      </c>
      <c r="AD5436" t="s">
        <v>10840</v>
      </c>
      <c r="AG5436" t="s">
        <v>10858</v>
      </c>
      <c r="AH5436" t="s">
        <v>10873</v>
      </c>
      <c r="AI5436">
        <v>237</v>
      </c>
      <c r="AJ5436" t="s">
        <v>10212</v>
      </c>
      <c r="AL5436">
        <v>2</v>
      </c>
      <c r="AM5436" t="s">
        <v>10892</v>
      </c>
      <c r="AN5436" t="s">
        <v>10955</v>
      </c>
      <c r="AO5436" t="s">
        <v>11020</v>
      </c>
      <c r="AP5436" t="s">
        <v>11075</v>
      </c>
      <c r="AR5436" t="s">
        <v>11254</v>
      </c>
      <c r="AS5436" t="s">
        <v>11594</v>
      </c>
      <c r="AT5436" t="s">
        <v>11642</v>
      </c>
      <c r="AX5436" t="s">
        <v>10838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</row>
    <row r="5437" spans="1:59">
      <c r="A5437" s="1">
        <f>HYPERLINK("https://lsnyc.legalserver.org/matter/dynamic-profile/view/1909692","19-1909692")</f>
        <v>0</v>
      </c>
      <c r="B5437" t="s">
        <v>4290</v>
      </c>
      <c r="C5437" t="s">
        <v>9135</v>
      </c>
      <c r="D5437" t="s">
        <v>9933</v>
      </c>
      <c r="E5437" t="s">
        <v>10075</v>
      </c>
      <c r="F5437">
        <v>11420</v>
      </c>
      <c r="G5437" t="s">
        <v>10092</v>
      </c>
      <c r="H5437" t="s">
        <v>10116</v>
      </c>
      <c r="I5437" t="s">
        <v>10168</v>
      </c>
      <c r="J5437" t="s">
        <v>10212</v>
      </c>
      <c r="K5437" t="s">
        <v>10217</v>
      </c>
      <c r="M5437" t="s">
        <v>10318</v>
      </c>
      <c r="N5437" t="s">
        <v>10684</v>
      </c>
      <c r="P5437" t="s">
        <v>10751</v>
      </c>
      <c r="Q5437" t="s">
        <v>10786</v>
      </c>
      <c r="R5437" t="s">
        <v>10827</v>
      </c>
      <c r="T5437">
        <v>5208</v>
      </c>
      <c r="U5437">
        <v>434</v>
      </c>
      <c r="V5437">
        <v>52</v>
      </c>
      <c r="W5437">
        <v>2</v>
      </c>
      <c r="X5437">
        <v>1</v>
      </c>
      <c r="Z5437">
        <v>24.42</v>
      </c>
      <c r="AA5437">
        <v>40.680089</v>
      </c>
      <c r="AB5437">
        <v>-73.812421</v>
      </c>
      <c r="AD5437" t="s">
        <v>10839</v>
      </c>
      <c r="AF5437" t="s">
        <v>10843</v>
      </c>
      <c r="AG5437" t="s">
        <v>10859</v>
      </c>
      <c r="AH5437" t="s">
        <v>10873</v>
      </c>
      <c r="AI5437">
        <v>237</v>
      </c>
      <c r="AJ5437" t="s">
        <v>10212</v>
      </c>
      <c r="AL5437">
        <v>2</v>
      </c>
      <c r="AM5437" t="s">
        <v>10892</v>
      </c>
      <c r="AN5437" t="s">
        <v>10930</v>
      </c>
      <c r="AO5437" t="s">
        <v>11017</v>
      </c>
      <c r="AP5437" t="s">
        <v>11070</v>
      </c>
      <c r="AR5437" t="s">
        <v>11567</v>
      </c>
      <c r="AS5437" t="s">
        <v>11594</v>
      </c>
      <c r="AT5437" t="s">
        <v>11641</v>
      </c>
      <c r="AX5437" t="s">
        <v>10838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</row>
    <row r="5438" spans="1:59">
      <c r="A5438" s="1">
        <f>HYPERLINK("https://lsnyc.legalserver.org/matter/dynamic-profile/view/1909693","19-1909693")</f>
        <v>0</v>
      </c>
      <c r="B5438" t="s">
        <v>2066</v>
      </c>
      <c r="C5438" t="s">
        <v>6858</v>
      </c>
      <c r="D5438" t="s">
        <v>9956</v>
      </c>
      <c r="E5438" t="s">
        <v>10075</v>
      </c>
      <c r="F5438">
        <v>11365</v>
      </c>
      <c r="G5438" t="s">
        <v>10092</v>
      </c>
      <c r="H5438" t="s">
        <v>10116</v>
      </c>
      <c r="I5438" t="s">
        <v>10168</v>
      </c>
      <c r="J5438" t="s">
        <v>10212</v>
      </c>
      <c r="K5438" t="s">
        <v>10217</v>
      </c>
      <c r="M5438" t="s">
        <v>10428</v>
      </c>
      <c r="N5438" t="s">
        <v>10695</v>
      </c>
      <c r="P5438" t="s">
        <v>10749</v>
      </c>
      <c r="Q5438" t="s">
        <v>10765</v>
      </c>
      <c r="R5438" t="s">
        <v>10820</v>
      </c>
      <c r="T5438">
        <v>10236</v>
      </c>
      <c r="U5438">
        <v>853</v>
      </c>
      <c r="V5438">
        <v>51</v>
      </c>
      <c r="W5438">
        <v>3</v>
      </c>
      <c r="X5438">
        <v>1</v>
      </c>
      <c r="Z5438">
        <v>39.75</v>
      </c>
      <c r="AA5438">
        <v>40.731987</v>
      </c>
      <c r="AB5438">
        <v>-73.802875</v>
      </c>
      <c r="AD5438" t="s">
        <v>10839</v>
      </c>
      <c r="AG5438" t="s">
        <v>10858</v>
      </c>
      <c r="AH5438" t="s">
        <v>10862</v>
      </c>
      <c r="AI5438">
        <v>237</v>
      </c>
      <c r="AJ5438" t="s">
        <v>10212</v>
      </c>
      <c r="AL5438">
        <v>6.72</v>
      </c>
      <c r="AM5438" t="s">
        <v>10890</v>
      </c>
      <c r="AN5438" t="s">
        <v>10934</v>
      </c>
      <c r="AO5438" t="s">
        <v>11009</v>
      </c>
      <c r="AP5438" t="s">
        <v>11081</v>
      </c>
      <c r="AR5438" t="s">
        <v>11263</v>
      </c>
      <c r="AS5438" t="s">
        <v>11594</v>
      </c>
      <c r="BA5438" t="s">
        <v>11742</v>
      </c>
      <c r="BB5438">
        <v>0</v>
      </c>
      <c r="BC5438">
        <v>0</v>
      </c>
      <c r="BD5438">
        <v>0</v>
      </c>
      <c r="BE5438">
        <v>0</v>
      </c>
      <c r="BF5438">
        <v>7</v>
      </c>
      <c r="BG5438">
        <v>0</v>
      </c>
    </row>
    <row r="5439" spans="1:59">
      <c r="A5439" s="1">
        <f>HYPERLINK("https://lsnyc.legalserver.org/matter/dynamic-profile/view/1909694","19-1909694")</f>
        <v>0</v>
      </c>
      <c r="B5439" t="s">
        <v>4291</v>
      </c>
      <c r="C5439" t="s">
        <v>5752</v>
      </c>
      <c r="D5439" t="s">
        <v>9938</v>
      </c>
      <c r="E5439" t="s">
        <v>10075</v>
      </c>
      <c r="F5439">
        <v>11435</v>
      </c>
      <c r="G5439" t="s">
        <v>10092</v>
      </c>
      <c r="H5439" t="s">
        <v>10108</v>
      </c>
      <c r="I5439" t="s">
        <v>10169</v>
      </c>
      <c r="J5439" t="s">
        <v>10212</v>
      </c>
      <c r="K5439" t="s">
        <v>10217</v>
      </c>
      <c r="M5439" t="s">
        <v>10232</v>
      </c>
      <c r="N5439" t="s">
        <v>10679</v>
      </c>
      <c r="P5439" t="s">
        <v>10753</v>
      </c>
      <c r="Q5439" t="s">
        <v>10763</v>
      </c>
      <c r="R5439" t="s">
        <v>10823</v>
      </c>
      <c r="T5439">
        <v>86580</v>
      </c>
      <c r="U5439">
        <v>7215</v>
      </c>
      <c r="V5439">
        <v>18</v>
      </c>
      <c r="W5439">
        <v>3</v>
      </c>
      <c r="X5439">
        <v>5</v>
      </c>
      <c r="Z5439">
        <v>199.36</v>
      </c>
      <c r="AA5439">
        <v>40.703069</v>
      </c>
      <c r="AB5439">
        <v>-73.806708</v>
      </c>
      <c r="AD5439" t="s">
        <v>10840</v>
      </c>
      <c r="AF5439" t="s">
        <v>10842</v>
      </c>
      <c r="AG5439" t="s">
        <v>10859</v>
      </c>
      <c r="AH5439" t="s">
        <v>10864</v>
      </c>
      <c r="AI5439">
        <v>237</v>
      </c>
      <c r="AJ5439" t="s">
        <v>10212</v>
      </c>
      <c r="AL5439">
        <v>3.45</v>
      </c>
      <c r="AM5439" t="s">
        <v>10892</v>
      </c>
      <c r="AN5439" t="s">
        <v>10951</v>
      </c>
      <c r="AO5439" t="s">
        <v>11020</v>
      </c>
      <c r="AP5439" t="s">
        <v>11081</v>
      </c>
      <c r="AQ5439" t="s">
        <v>11119</v>
      </c>
      <c r="AR5439" t="s">
        <v>11257</v>
      </c>
      <c r="AS5439" t="s">
        <v>11594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</row>
    <row r="5440" spans="1:59">
      <c r="A5440" s="1">
        <f>HYPERLINK("https://lsnyc.legalserver.org/matter/dynamic-profile/view/1909695","19-1909695")</f>
        <v>0</v>
      </c>
      <c r="B5440" t="s">
        <v>4292</v>
      </c>
      <c r="C5440" t="s">
        <v>9136</v>
      </c>
      <c r="D5440" t="s">
        <v>9928</v>
      </c>
      <c r="E5440" t="s">
        <v>10075</v>
      </c>
      <c r="F5440">
        <v>11216</v>
      </c>
      <c r="G5440" t="s">
        <v>10093</v>
      </c>
      <c r="H5440" t="s">
        <v>10116</v>
      </c>
      <c r="I5440" t="s">
        <v>10168</v>
      </c>
      <c r="J5440" t="s">
        <v>10213</v>
      </c>
      <c r="K5440" t="s">
        <v>10218</v>
      </c>
      <c r="L5440" t="s">
        <v>10220</v>
      </c>
      <c r="M5440" t="s">
        <v>10361</v>
      </c>
      <c r="N5440" t="s">
        <v>10667</v>
      </c>
      <c r="P5440" t="s">
        <v>10749</v>
      </c>
      <c r="Q5440" t="s">
        <v>10765</v>
      </c>
      <c r="R5440" t="s">
        <v>10824</v>
      </c>
      <c r="T5440">
        <v>28800</v>
      </c>
      <c r="U5440">
        <v>2400</v>
      </c>
      <c r="V5440">
        <v>31</v>
      </c>
      <c r="W5440">
        <v>1</v>
      </c>
      <c r="X5440">
        <v>1</v>
      </c>
      <c r="Y5440" t="s">
        <v>10836</v>
      </c>
      <c r="Z5440">
        <v>170.31</v>
      </c>
      <c r="AA5440">
        <v>40.680106</v>
      </c>
      <c r="AB5440">
        <v>-73.955262</v>
      </c>
      <c r="AD5440" t="s">
        <v>10840</v>
      </c>
      <c r="AG5440" t="s">
        <v>10858</v>
      </c>
      <c r="AH5440" t="s">
        <v>10862</v>
      </c>
      <c r="AI5440">
        <v>239</v>
      </c>
      <c r="AJ5440" t="s">
        <v>10213</v>
      </c>
      <c r="AK5440" t="s">
        <v>10838</v>
      </c>
      <c r="AL5440">
        <v>3.1</v>
      </c>
      <c r="AM5440" t="s">
        <v>10889</v>
      </c>
      <c r="AN5440" t="s">
        <v>10923</v>
      </c>
      <c r="AO5440" t="s">
        <v>11007</v>
      </c>
      <c r="AP5440" t="s">
        <v>11052</v>
      </c>
      <c r="AQ5440" t="s">
        <v>11101</v>
      </c>
      <c r="AR5440" t="s">
        <v>11257</v>
      </c>
      <c r="AS5440" t="s">
        <v>11595</v>
      </c>
      <c r="AY5440" t="s">
        <v>10836</v>
      </c>
      <c r="AZ5440" t="s">
        <v>11687</v>
      </c>
      <c r="BA5440" t="s">
        <v>11738</v>
      </c>
      <c r="BB5440">
        <v>0</v>
      </c>
      <c r="BC5440">
        <v>0</v>
      </c>
      <c r="BD5440">
        <v>0</v>
      </c>
      <c r="BE5440">
        <v>0</v>
      </c>
      <c r="BF5440">
        <v>5</v>
      </c>
      <c r="BG5440">
        <v>0</v>
      </c>
    </row>
    <row r="5441" spans="1:59">
      <c r="A5441" s="1">
        <f>HYPERLINK("https://lsnyc.legalserver.org/matter/dynamic-profile/view/1909696","19-1909696")</f>
        <v>0</v>
      </c>
      <c r="B5441" t="s">
        <v>4293</v>
      </c>
      <c r="C5441" t="s">
        <v>9137</v>
      </c>
      <c r="D5441" t="s">
        <v>9928</v>
      </c>
      <c r="E5441" t="s">
        <v>10075</v>
      </c>
      <c r="F5441">
        <v>11223</v>
      </c>
      <c r="G5441" t="s">
        <v>10093</v>
      </c>
      <c r="H5441" t="s">
        <v>10116</v>
      </c>
      <c r="I5441" t="s">
        <v>10169</v>
      </c>
      <c r="J5441" t="s">
        <v>10213</v>
      </c>
      <c r="K5441" t="s">
        <v>10217</v>
      </c>
      <c r="M5441" t="s">
        <v>10630</v>
      </c>
      <c r="N5441" t="s">
        <v>10664</v>
      </c>
      <c r="P5441" t="s">
        <v>10749</v>
      </c>
      <c r="Q5441" t="s">
        <v>10765</v>
      </c>
      <c r="R5441" t="s">
        <v>10821</v>
      </c>
      <c r="T5441">
        <v>6240</v>
      </c>
      <c r="U5441">
        <v>520</v>
      </c>
      <c r="V5441">
        <v>47</v>
      </c>
      <c r="W5441">
        <v>2</v>
      </c>
      <c r="X5441">
        <v>0</v>
      </c>
      <c r="Z5441">
        <v>36.9</v>
      </c>
      <c r="AA5441">
        <v>40.608017</v>
      </c>
      <c r="AB5441">
        <v>-73.97848999999999</v>
      </c>
      <c r="AD5441" t="s">
        <v>10839</v>
      </c>
      <c r="AF5441" t="s">
        <v>10843</v>
      </c>
      <c r="AG5441" t="s">
        <v>10859</v>
      </c>
      <c r="AH5441" t="s">
        <v>10862</v>
      </c>
      <c r="AI5441">
        <v>239</v>
      </c>
      <c r="AJ5441" t="s">
        <v>10213</v>
      </c>
      <c r="AL5441">
        <v>31.7</v>
      </c>
      <c r="AM5441" t="s">
        <v>10894</v>
      </c>
      <c r="AN5441" t="s">
        <v>10969</v>
      </c>
      <c r="AO5441" t="s">
        <v>11015</v>
      </c>
      <c r="AP5441" t="s">
        <v>11079</v>
      </c>
      <c r="AR5441" t="s">
        <v>11262</v>
      </c>
      <c r="AS5441" t="s">
        <v>11595</v>
      </c>
      <c r="BA5441" t="s">
        <v>11742</v>
      </c>
      <c r="BB5441">
        <v>0</v>
      </c>
      <c r="BC5441">
        <v>0</v>
      </c>
      <c r="BD5441">
        <v>0</v>
      </c>
      <c r="BE5441">
        <v>0</v>
      </c>
      <c r="BF5441">
        <v>7</v>
      </c>
      <c r="BG5441">
        <v>0</v>
      </c>
    </row>
    <row r="5442" spans="1:59">
      <c r="A5442" s="1">
        <f>HYPERLINK("https://lsnyc.legalserver.org/matter/dynamic-profile/view/1909697","19-1909697")</f>
        <v>0</v>
      </c>
      <c r="B5442" t="s">
        <v>4294</v>
      </c>
      <c r="C5442" t="s">
        <v>9138</v>
      </c>
      <c r="D5442" t="s">
        <v>9928</v>
      </c>
      <c r="E5442" t="s">
        <v>10075</v>
      </c>
      <c r="F5442">
        <v>11206</v>
      </c>
      <c r="G5442" t="s">
        <v>10093</v>
      </c>
      <c r="H5442" t="s">
        <v>10116</v>
      </c>
      <c r="I5442" t="s">
        <v>10168</v>
      </c>
      <c r="J5442" t="s">
        <v>10213</v>
      </c>
      <c r="K5442" t="s">
        <v>10217</v>
      </c>
      <c r="M5442" t="s">
        <v>10280</v>
      </c>
      <c r="N5442" t="s">
        <v>10671</v>
      </c>
      <c r="P5442" t="s">
        <v>10751</v>
      </c>
      <c r="Q5442" t="s">
        <v>10768</v>
      </c>
      <c r="R5442" t="s">
        <v>10821</v>
      </c>
      <c r="T5442">
        <v>0</v>
      </c>
      <c r="U5442">
        <v>0</v>
      </c>
      <c r="V5442">
        <v>47</v>
      </c>
      <c r="W5442">
        <v>1</v>
      </c>
      <c r="X5442">
        <v>0</v>
      </c>
      <c r="Z5442">
        <v>0</v>
      </c>
      <c r="AA5442">
        <v>0</v>
      </c>
      <c r="AB5442">
        <v>0</v>
      </c>
      <c r="AD5442" t="s">
        <v>10839</v>
      </c>
      <c r="AG5442" t="s">
        <v>10858</v>
      </c>
      <c r="AH5442" t="s">
        <v>10861</v>
      </c>
      <c r="AI5442">
        <v>234</v>
      </c>
      <c r="AJ5442" t="s">
        <v>10214</v>
      </c>
      <c r="AL5442">
        <v>1</v>
      </c>
      <c r="AR5442" t="s">
        <v>11279</v>
      </c>
      <c r="AS5442" t="s">
        <v>11595</v>
      </c>
      <c r="AT5442" t="s">
        <v>11641</v>
      </c>
      <c r="AX5442" t="s">
        <v>10838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</row>
    <row r="5443" spans="1:59">
      <c r="A5443" s="1">
        <f>HYPERLINK("https://lsnyc.legalserver.org/matter/dynamic-profile/view/1909698","19-1909698")</f>
        <v>0</v>
      </c>
      <c r="B5443" t="s">
        <v>4295</v>
      </c>
      <c r="C5443" t="s">
        <v>9139</v>
      </c>
      <c r="D5443" t="s">
        <v>9928</v>
      </c>
      <c r="E5443" t="s">
        <v>10075</v>
      </c>
      <c r="F5443">
        <v>11225</v>
      </c>
      <c r="G5443" t="s">
        <v>10093</v>
      </c>
      <c r="H5443" t="s">
        <v>10116</v>
      </c>
      <c r="I5443" t="s">
        <v>10168</v>
      </c>
      <c r="J5443" t="s">
        <v>10213</v>
      </c>
      <c r="K5443" t="s">
        <v>10217</v>
      </c>
      <c r="M5443" t="s">
        <v>10528</v>
      </c>
      <c r="N5443" t="s">
        <v>10667</v>
      </c>
      <c r="P5443" t="s">
        <v>10749</v>
      </c>
      <c r="Q5443" t="s">
        <v>10765</v>
      </c>
      <c r="R5443" t="s">
        <v>10824</v>
      </c>
      <c r="T5443">
        <v>11160</v>
      </c>
      <c r="U5443">
        <v>930</v>
      </c>
      <c r="V5443">
        <v>59</v>
      </c>
      <c r="W5443">
        <v>2</v>
      </c>
      <c r="X5443">
        <v>0</v>
      </c>
      <c r="Z5443">
        <v>66</v>
      </c>
      <c r="AA5443">
        <v>40.657854</v>
      </c>
      <c r="AB5443">
        <v>-73.95480999999999</v>
      </c>
      <c r="AD5443" t="s">
        <v>10839</v>
      </c>
      <c r="AG5443" t="s">
        <v>10858</v>
      </c>
      <c r="AH5443" t="s">
        <v>10862</v>
      </c>
      <c r="AI5443">
        <v>239</v>
      </c>
      <c r="AJ5443" t="s">
        <v>10213</v>
      </c>
      <c r="AL5443">
        <v>3</v>
      </c>
      <c r="AM5443" t="s">
        <v>10888</v>
      </c>
      <c r="AN5443" t="s">
        <v>10912</v>
      </c>
      <c r="AO5443" t="s">
        <v>11005</v>
      </c>
      <c r="AP5443" t="s">
        <v>11050</v>
      </c>
      <c r="AQ5443" t="s">
        <v>11101</v>
      </c>
      <c r="AR5443" t="s">
        <v>11298</v>
      </c>
      <c r="AS5443" t="s">
        <v>11595</v>
      </c>
      <c r="BA5443" t="s">
        <v>11738</v>
      </c>
      <c r="BB5443">
        <v>0</v>
      </c>
      <c r="BC5443">
        <v>0</v>
      </c>
      <c r="BD5443">
        <v>0</v>
      </c>
      <c r="BE5443">
        <v>0</v>
      </c>
      <c r="BF5443">
        <v>5</v>
      </c>
      <c r="BG5443">
        <v>0</v>
      </c>
    </row>
    <row r="5444" spans="1:59">
      <c r="A5444" s="1">
        <f>HYPERLINK("https://lsnyc.legalserver.org/matter/dynamic-profile/view/1909699","19-1909699")</f>
        <v>0</v>
      </c>
      <c r="B5444" t="s">
        <v>4296</v>
      </c>
      <c r="C5444" t="s">
        <v>9140</v>
      </c>
      <c r="D5444" t="s">
        <v>9926</v>
      </c>
      <c r="E5444" t="s">
        <v>10075</v>
      </c>
      <c r="F5444">
        <v>10452</v>
      </c>
      <c r="G5444" t="s">
        <v>10090</v>
      </c>
      <c r="H5444" t="s">
        <v>10116</v>
      </c>
      <c r="I5444" t="s">
        <v>10169</v>
      </c>
      <c r="J5444" t="s">
        <v>10210</v>
      </c>
      <c r="K5444" t="s">
        <v>10217</v>
      </c>
      <c r="M5444" t="s">
        <v>10629</v>
      </c>
      <c r="N5444" t="s">
        <v>10650</v>
      </c>
      <c r="P5444" t="s">
        <v>10749</v>
      </c>
      <c r="Q5444" t="s">
        <v>10765</v>
      </c>
      <c r="R5444" t="s">
        <v>10821</v>
      </c>
      <c r="T5444">
        <v>23088</v>
      </c>
      <c r="U5444">
        <v>1924</v>
      </c>
      <c r="V5444">
        <v>40</v>
      </c>
      <c r="W5444">
        <v>1</v>
      </c>
      <c r="X5444">
        <v>2</v>
      </c>
      <c r="Z5444">
        <v>108.24</v>
      </c>
      <c r="AA5444">
        <v>40.841701</v>
      </c>
      <c r="AB5444">
        <v>-73.92073000000001</v>
      </c>
      <c r="AD5444" t="s">
        <v>10839</v>
      </c>
      <c r="AF5444" t="s">
        <v>10843</v>
      </c>
      <c r="AG5444" t="s">
        <v>10859</v>
      </c>
      <c r="AH5444" t="s">
        <v>10861</v>
      </c>
      <c r="AI5444">
        <v>234</v>
      </c>
      <c r="AJ5444" t="s">
        <v>10214</v>
      </c>
      <c r="AL5444">
        <v>2.15</v>
      </c>
      <c r="AM5444" t="s">
        <v>10884</v>
      </c>
      <c r="AN5444" t="s">
        <v>10929</v>
      </c>
      <c r="AO5444" t="s">
        <v>11013</v>
      </c>
      <c r="AP5444" t="s">
        <v>11055</v>
      </c>
      <c r="AR5444" t="s">
        <v>11257</v>
      </c>
      <c r="AS5444" t="s">
        <v>9926</v>
      </c>
      <c r="AT5444" t="s">
        <v>11641</v>
      </c>
      <c r="AX5444" t="s">
        <v>10838</v>
      </c>
      <c r="BA5444" t="s">
        <v>11741</v>
      </c>
      <c r="BB5444">
        <v>0</v>
      </c>
      <c r="BC5444">
        <v>0</v>
      </c>
      <c r="BD5444">
        <v>0</v>
      </c>
      <c r="BE5444">
        <v>0</v>
      </c>
      <c r="BF5444">
        <v>1</v>
      </c>
      <c r="BG5444">
        <v>0</v>
      </c>
    </row>
    <row r="5445" spans="1:59">
      <c r="A5445" s="1">
        <f>HYPERLINK("https://lsnyc.legalserver.org/matter/dynamic-profile/view/1909700","19-1909700")</f>
        <v>0</v>
      </c>
      <c r="B5445" t="s">
        <v>3276</v>
      </c>
      <c r="C5445" t="s">
        <v>7355</v>
      </c>
      <c r="D5445" t="s">
        <v>9925</v>
      </c>
      <c r="E5445" t="s">
        <v>10075</v>
      </c>
      <c r="F5445">
        <v>10039</v>
      </c>
      <c r="G5445" t="s">
        <v>10089</v>
      </c>
      <c r="H5445" t="s">
        <v>10116</v>
      </c>
      <c r="I5445" t="s">
        <v>10168</v>
      </c>
      <c r="J5445" t="s">
        <v>10209</v>
      </c>
      <c r="K5445" t="s">
        <v>10217</v>
      </c>
      <c r="M5445" t="s">
        <v>10270</v>
      </c>
      <c r="N5445" t="s">
        <v>10721</v>
      </c>
      <c r="P5445" t="s">
        <v>10754</v>
      </c>
      <c r="Q5445" t="s">
        <v>10766</v>
      </c>
      <c r="R5445" t="s">
        <v>10825</v>
      </c>
      <c r="T5445">
        <v>50000</v>
      </c>
      <c r="U5445">
        <v>4166.67</v>
      </c>
      <c r="V5445">
        <v>34</v>
      </c>
      <c r="W5445">
        <v>1</v>
      </c>
      <c r="X5445">
        <v>3</v>
      </c>
      <c r="Z5445">
        <v>194.17</v>
      </c>
      <c r="AA5445">
        <v>40.823484</v>
      </c>
      <c r="AB5445">
        <v>-73.936395</v>
      </c>
      <c r="AD5445" t="s">
        <v>10839</v>
      </c>
      <c r="AG5445" t="s">
        <v>10858</v>
      </c>
      <c r="AH5445" t="s">
        <v>10865</v>
      </c>
      <c r="AI5445">
        <v>236</v>
      </c>
      <c r="AJ5445" t="s">
        <v>10209</v>
      </c>
      <c r="AK5445" t="s">
        <v>10837</v>
      </c>
      <c r="AL5445">
        <v>0</v>
      </c>
      <c r="AM5445" t="s">
        <v>10887</v>
      </c>
      <c r="AN5445" t="s">
        <v>10943</v>
      </c>
      <c r="AO5445" t="s">
        <v>11016</v>
      </c>
      <c r="AP5445" t="s">
        <v>11076</v>
      </c>
      <c r="AQ5445" t="s">
        <v>11175</v>
      </c>
      <c r="AR5445" t="s">
        <v>11257</v>
      </c>
      <c r="AS5445" t="s">
        <v>9925</v>
      </c>
      <c r="AT5445" t="s">
        <v>11641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</row>
    <row r="5446" spans="1:59">
      <c r="A5446" s="1">
        <f>HYPERLINK("https://lsnyc.legalserver.org/matter/dynamic-profile/view/1909701","19-1909701")</f>
        <v>0</v>
      </c>
      <c r="B5446" t="s">
        <v>4297</v>
      </c>
      <c r="C5446" t="s">
        <v>9141</v>
      </c>
      <c r="D5446" t="s">
        <v>9928</v>
      </c>
      <c r="E5446" t="s">
        <v>10075</v>
      </c>
      <c r="F5446">
        <v>11221</v>
      </c>
      <c r="G5446" t="s">
        <v>10091</v>
      </c>
      <c r="H5446" t="s">
        <v>10116</v>
      </c>
      <c r="I5446" t="s">
        <v>10168</v>
      </c>
      <c r="J5446" t="s">
        <v>10214</v>
      </c>
      <c r="K5446" t="s">
        <v>10217</v>
      </c>
      <c r="M5446" t="s">
        <v>10286</v>
      </c>
      <c r="N5446" t="s">
        <v>10671</v>
      </c>
      <c r="P5446" t="s">
        <v>10751</v>
      </c>
      <c r="Q5446" t="s">
        <v>10768</v>
      </c>
      <c r="R5446" t="s">
        <v>10824</v>
      </c>
      <c r="T5446">
        <v>10092</v>
      </c>
      <c r="U5446">
        <v>841</v>
      </c>
      <c r="V5446">
        <v>63</v>
      </c>
      <c r="W5446">
        <v>1</v>
      </c>
      <c r="X5446">
        <v>0</v>
      </c>
      <c r="Z5446">
        <v>80.8</v>
      </c>
      <c r="AA5446">
        <v>40.686513</v>
      </c>
      <c r="AB5446">
        <v>-73.943324</v>
      </c>
      <c r="AD5446" t="s">
        <v>10839</v>
      </c>
      <c r="AG5446" t="s">
        <v>10858</v>
      </c>
      <c r="AH5446" t="s">
        <v>10861</v>
      </c>
      <c r="AI5446">
        <v>234</v>
      </c>
      <c r="AJ5446" t="s">
        <v>10214</v>
      </c>
      <c r="AL5446">
        <v>1</v>
      </c>
      <c r="AM5446" t="s">
        <v>10889</v>
      </c>
      <c r="AN5446" t="s">
        <v>10914</v>
      </c>
      <c r="AO5446" t="s">
        <v>11007</v>
      </c>
      <c r="AP5446" t="s">
        <v>11052</v>
      </c>
      <c r="AR5446" t="s">
        <v>11270</v>
      </c>
      <c r="AS5446" t="s">
        <v>11595</v>
      </c>
      <c r="AT5446" t="s">
        <v>11641</v>
      </c>
      <c r="AX5446" t="s">
        <v>10838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</row>
    <row r="5447" spans="1:59">
      <c r="A5447" s="1">
        <f>HYPERLINK("https://lsnyc.legalserver.org/matter/dynamic-profile/view/1909702","19-1909702")</f>
        <v>0</v>
      </c>
      <c r="B5447" t="s">
        <v>4298</v>
      </c>
      <c r="C5447" t="s">
        <v>9142</v>
      </c>
      <c r="D5447" t="s">
        <v>9951</v>
      </c>
      <c r="E5447" t="s">
        <v>10075</v>
      </c>
      <c r="F5447">
        <v>11417</v>
      </c>
      <c r="G5447" t="s">
        <v>10092</v>
      </c>
      <c r="H5447" t="s">
        <v>10116</v>
      </c>
      <c r="I5447" t="s">
        <v>10168</v>
      </c>
      <c r="J5447" t="s">
        <v>10212</v>
      </c>
      <c r="K5447" t="s">
        <v>10217</v>
      </c>
      <c r="M5447" t="s">
        <v>10318</v>
      </c>
      <c r="N5447" t="s">
        <v>10684</v>
      </c>
      <c r="P5447" t="s">
        <v>10751</v>
      </c>
      <c r="Q5447" t="s">
        <v>10786</v>
      </c>
      <c r="R5447" t="s">
        <v>10827</v>
      </c>
      <c r="T5447">
        <v>9100</v>
      </c>
      <c r="U5447">
        <v>758.33</v>
      </c>
      <c r="V5447">
        <v>58</v>
      </c>
      <c r="W5447">
        <v>1</v>
      </c>
      <c r="X5447">
        <v>0</v>
      </c>
      <c r="Z5447">
        <v>72.86</v>
      </c>
      <c r="AA5447">
        <v>40.677152</v>
      </c>
      <c r="AB5447">
        <v>-73.862099</v>
      </c>
      <c r="AD5447" t="s">
        <v>10839</v>
      </c>
      <c r="AG5447" t="s">
        <v>10858</v>
      </c>
      <c r="AH5447" t="s">
        <v>10873</v>
      </c>
      <c r="AI5447">
        <v>237</v>
      </c>
      <c r="AJ5447" t="s">
        <v>10212</v>
      </c>
      <c r="AL5447">
        <v>1.25</v>
      </c>
      <c r="AM5447" t="s">
        <v>10889</v>
      </c>
      <c r="AN5447" t="s">
        <v>10920</v>
      </c>
      <c r="AO5447" t="s">
        <v>11012</v>
      </c>
      <c r="AP5447" t="s">
        <v>11058</v>
      </c>
      <c r="AR5447" t="s">
        <v>10180</v>
      </c>
      <c r="AS5447" t="s">
        <v>11594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</row>
    <row r="5448" spans="1:59">
      <c r="A5448" s="1">
        <f>HYPERLINK("https://lsnyc.legalserver.org/matter/dynamic-profile/view/1909704","19-1909704")</f>
        <v>0</v>
      </c>
      <c r="B5448" t="s">
        <v>4299</v>
      </c>
      <c r="C5448" t="s">
        <v>9143</v>
      </c>
      <c r="D5448" t="s">
        <v>9928</v>
      </c>
      <c r="E5448" t="s">
        <v>10075</v>
      </c>
      <c r="F5448">
        <v>11207</v>
      </c>
      <c r="G5448" t="s">
        <v>10093</v>
      </c>
      <c r="H5448" t="s">
        <v>10116</v>
      </c>
      <c r="I5448" t="s">
        <v>10168</v>
      </c>
      <c r="J5448" t="s">
        <v>10213</v>
      </c>
      <c r="K5448" t="s">
        <v>10217</v>
      </c>
      <c r="M5448" t="s">
        <v>10280</v>
      </c>
      <c r="N5448" t="s">
        <v>10671</v>
      </c>
      <c r="P5448" t="s">
        <v>10751</v>
      </c>
      <c r="Q5448" t="s">
        <v>10780</v>
      </c>
      <c r="R5448" t="s">
        <v>10822</v>
      </c>
      <c r="T5448">
        <v>5220</v>
      </c>
      <c r="U5448">
        <v>435</v>
      </c>
      <c r="V5448">
        <v>20</v>
      </c>
      <c r="W5448">
        <v>2</v>
      </c>
      <c r="X5448">
        <v>2</v>
      </c>
      <c r="Z5448">
        <v>20.27</v>
      </c>
      <c r="AA5448">
        <v>40.666963</v>
      </c>
      <c r="AB5448">
        <v>-73.896691</v>
      </c>
      <c r="AD5448" t="s">
        <v>10840</v>
      </c>
      <c r="AG5448" t="s">
        <v>10858</v>
      </c>
      <c r="AH5448" t="s">
        <v>10861</v>
      </c>
      <c r="AI5448">
        <v>234</v>
      </c>
      <c r="AJ5448" t="s">
        <v>10214</v>
      </c>
      <c r="AL5448">
        <v>1</v>
      </c>
      <c r="AM5448" t="s">
        <v>10889</v>
      </c>
      <c r="AN5448" t="s">
        <v>10946</v>
      </c>
      <c r="AO5448" t="s">
        <v>11012</v>
      </c>
      <c r="AP5448" t="s">
        <v>11060</v>
      </c>
      <c r="AR5448" t="s">
        <v>11263</v>
      </c>
      <c r="AS5448" t="s">
        <v>11595</v>
      </c>
      <c r="AT5448" t="s">
        <v>11642</v>
      </c>
      <c r="AX5448" t="s">
        <v>10838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</row>
    <row r="5449" spans="1:59">
      <c r="A5449" s="1">
        <f>HYPERLINK("https://lsnyc.legalserver.org/matter/dynamic-profile/view/1909705","19-1909705")</f>
        <v>0</v>
      </c>
      <c r="B5449" t="s">
        <v>4300</v>
      </c>
      <c r="C5449" t="s">
        <v>9144</v>
      </c>
      <c r="D5449" t="s">
        <v>9929</v>
      </c>
      <c r="E5449" t="s">
        <v>10075</v>
      </c>
      <c r="F5449">
        <v>10314</v>
      </c>
      <c r="G5449" t="s">
        <v>10088</v>
      </c>
      <c r="H5449" t="s">
        <v>10137</v>
      </c>
      <c r="I5449" t="s">
        <v>10168</v>
      </c>
      <c r="J5449" t="s">
        <v>10208</v>
      </c>
      <c r="K5449" t="s">
        <v>10217</v>
      </c>
      <c r="M5449" t="s">
        <v>10542</v>
      </c>
      <c r="N5449" t="s">
        <v>10729</v>
      </c>
      <c r="P5449" t="s">
        <v>10754</v>
      </c>
      <c r="Q5449" t="s">
        <v>10770</v>
      </c>
      <c r="R5449" t="s">
        <v>10821</v>
      </c>
      <c r="T5449">
        <v>8436</v>
      </c>
      <c r="U5449">
        <v>703</v>
      </c>
      <c r="V5449">
        <v>29</v>
      </c>
      <c r="W5449">
        <v>1</v>
      </c>
      <c r="X5449">
        <v>4</v>
      </c>
      <c r="Z5449">
        <v>27.96</v>
      </c>
      <c r="AA5449">
        <v>40.58661</v>
      </c>
      <c r="AB5449">
        <v>-74.165237</v>
      </c>
      <c r="AD5449" t="s">
        <v>10839</v>
      </c>
      <c r="AG5449" t="s">
        <v>10858</v>
      </c>
      <c r="AH5449" t="s">
        <v>10867</v>
      </c>
      <c r="AI5449">
        <v>285</v>
      </c>
      <c r="AJ5449" t="s">
        <v>10208</v>
      </c>
      <c r="AL5449">
        <v>0.5</v>
      </c>
      <c r="AM5449" t="s">
        <v>10883</v>
      </c>
      <c r="AN5449" t="s">
        <v>10928</v>
      </c>
      <c r="AO5449" t="s">
        <v>10999</v>
      </c>
      <c r="AP5449" t="s">
        <v>11044</v>
      </c>
      <c r="AR5449" t="s">
        <v>11383</v>
      </c>
      <c r="AS5449" t="s">
        <v>11593</v>
      </c>
      <c r="AT5449" t="s">
        <v>11641</v>
      </c>
      <c r="AX5449" t="s">
        <v>10838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</row>
    <row r="5450" spans="1:59">
      <c r="A5450" s="1">
        <f>HYPERLINK("https://lsnyc.legalserver.org/matter/dynamic-profile/view/1909706","19-1909706")</f>
        <v>0</v>
      </c>
      <c r="B5450" t="s">
        <v>4301</v>
      </c>
      <c r="C5450" t="s">
        <v>9145</v>
      </c>
      <c r="D5450" t="s">
        <v>9926</v>
      </c>
      <c r="E5450" t="s">
        <v>10075</v>
      </c>
      <c r="F5450">
        <v>10458</v>
      </c>
      <c r="G5450" t="s">
        <v>10090</v>
      </c>
      <c r="H5450" t="s">
        <v>10155</v>
      </c>
      <c r="I5450" t="s">
        <v>10168</v>
      </c>
      <c r="J5450" t="s">
        <v>10210</v>
      </c>
      <c r="K5450" t="s">
        <v>10217</v>
      </c>
      <c r="M5450" t="s">
        <v>10561</v>
      </c>
      <c r="N5450" t="s">
        <v>10683</v>
      </c>
      <c r="P5450" t="s">
        <v>10754</v>
      </c>
      <c r="Q5450" t="s">
        <v>10766</v>
      </c>
      <c r="R5450" t="s">
        <v>10824</v>
      </c>
      <c r="T5450">
        <v>0</v>
      </c>
      <c r="U5450">
        <v>0</v>
      </c>
      <c r="V5450">
        <v>46</v>
      </c>
      <c r="W5450">
        <v>3</v>
      </c>
      <c r="X5450">
        <v>1</v>
      </c>
      <c r="Z5450">
        <v>0</v>
      </c>
      <c r="AA5450">
        <v>40.853594</v>
      </c>
      <c r="AB5450">
        <v>-73.883135</v>
      </c>
      <c r="AD5450" t="s">
        <v>10839</v>
      </c>
      <c r="AG5450" t="s">
        <v>10858</v>
      </c>
      <c r="AH5450" t="s">
        <v>10865</v>
      </c>
      <c r="AI5450">
        <v>230</v>
      </c>
      <c r="AJ5450" t="s">
        <v>10210</v>
      </c>
      <c r="AL5450">
        <v>3</v>
      </c>
      <c r="AM5450" t="s">
        <v>10884</v>
      </c>
      <c r="AN5450" t="s">
        <v>10907</v>
      </c>
      <c r="AO5450" t="s">
        <v>11000</v>
      </c>
      <c r="AP5450" t="s">
        <v>11056</v>
      </c>
      <c r="AQ5450" t="s">
        <v>11112</v>
      </c>
      <c r="AR5450" t="s">
        <v>11279</v>
      </c>
      <c r="AS5450" t="s">
        <v>9926</v>
      </c>
      <c r="AT5450" t="s">
        <v>11641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</row>
    <row r="5451" spans="1:59">
      <c r="A5451" s="1">
        <f>HYPERLINK("https://lsnyc.legalserver.org/matter/dynamic-profile/view/1909707","19-1909707")</f>
        <v>0</v>
      </c>
      <c r="B5451" t="s">
        <v>4302</v>
      </c>
      <c r="C5451" t="s">
        <v>9146</v>
      </c>
      <c r="D5451" t="s">
        <v>9926</v>
      </c>
      <c r="E5451" t="s">
        <v>10075</v>
      </c>
      <c r="F5451">
        <v>10457</v>
      </c>
      <c r="G5451" t="s">
        <v>10090</v>
      </c>
      <c r="H5451" t="s">
        <v>10116</v>
      </c>
      <c r="I5451" t="s">
        <v>10168</v>
      </c>
      <c r="J5451" t="s">
        <v>10210</v>
      </c>
      <c r="K5451" t="s">
        <v>10217</v>
      </c>
      <c r="M5451" t="s">
        <v>10279</v>
      </c>
      <c r="N5451" t="s">
        <v>10651</v>
      </c>
      <c r="P5451" t="s">
        <v>10749</v>
      </c>
      <c r="Q5451" t="s">
        <v>10765</v>
      </c>
      <c r="R5451" t="s">
        <v>10823</v>
      </c>
      <c r="T5451">
        <v>9528</v>
      </c>
      <c r="U5451">
        <v>794</v>
      </c>
      <c r="V5451">
        <v>49</v>
      </c>
      <c r="W5451">
        <v>1</v>
      </c>
      <c r="X5451">
        <v>0</v>
      </c>
      <c r="Z5451">
        <v>76.29000000000001</v>
      </c>
      <c r="AA5451">
        <v>40.855302</v>
      </c>
      <c r="AB5451">
        <v>-73.89771500000001</v>
      </c>
      <c r="AD5451" t="s">
        <v>10839</v>
      </c>
      <c r="AG5451" t="s">
        <v>10858</v>
      </c>
      <c r="AH5451" t="s">
        <v>10861</v>
      </c>
      <c r="AI5451">
        <v>230</v>
      </c>
      <c r="AJ5451" t="s">
        <v>10210</v>
      </c>
      <c r="AL5451">
        <v>2.4</v>
      </c>
      <c r="AM5451" t="s">
        <v>10884</v>
      </c>
      <c r="AN5451" t="s">
        <v>10931</v>
      </c>
      <c r="AO5451" t="s">
        <v>11000</v>
      </c>
      <c r="AP5451" t="s">
        <v>11056</v>
      </c>
      <c r="AR5451" t="s">
        <v>11318</v>
      </c>
      <c r="AS5451" t="s">
        <v>9926</v>
      </c>
      <c r="AT5451" t="s">
        <v>11641</v>
      </c>
      <c r="AX5451" t="s">
        <v>11678</v>
      </c>
      <c r="BA5451" t="s">
        <v>11738</v>
      </c>
      <c r="BB5451">
        <v>0</v>
      </c>
      <c r="BC5451">
        <v>0</v>
      </c>
      <c r="BD5451">
        <v>0</v>
      </c>
      <c r="BE5451">
        <v>0</v>
      </c>
      <c r="BF5451">
        <v>5</v>
      </c>
      <c r="BG5451">
        <v>0</v>
      </c>
    </row>
    <row r="5452" spans="1:59">
      <c r="A5452" s="1">
        <f>HYPERLINK("https://lsnyc.legalserver.org/matter/dynamic-profile/view/1909708","19-1909708")</f>
        <v>0</v>
      </c>
      <c r="B5452" t="s">
        <v>2058</v>
      </c>
      <c r="C5452" t="s">
        <v>9147</v>
      </c>
      <c r="D5452" t="s">
        <v>9926</v>
      </c>
      <c r="E5452" t="s">
        <v>10075</v>
      </c>
      <c r="F5452">
        <v>10473</v>
      </c>
      <c r="G5452" t="s">
        <v>10091</v>
      </c>
      <c r="H5452" t="s">
        <v>10116</v>
      </c>
      <c r="I5452" t="s">
        <v>10168</v>
      </c>
      <c r="J5452" t="s">
        <v>10214</v>
      </c>
      <c r="K5452" t="s">
        <v>10217</v>
      </c>
      <c r="M5452" t="s">
        <v>10286</v>
      </c>
      <c r="N5452" t="s">
        <v>10671</v>
      </c>
      <c r="P5452" t="s">
        <v>10749</v>
      </c>
      <c r="Q5452" t="s">
        <v>10765</v>
      </c>
      <c r="R5452" t="s">
        <v>10824</v>
      </c>
      <c r="T5452">
        <v>8040</v>
      </c>
      <c r="U5452">
        <v>670</v>
      </c>
      <c r="V5452">
        <v>39</v>
      </c>
      <c r="W5452">
        <v>1</v>
      </c>
      <c r="X5452">
        <v>0</v>
      </c>
      <c r="Z5452">
        <v>64.37</v>
      </c>
      <c r="AA5452">
        <v>40.819043</v>
      </c>
      <c r="AB5452">
        <v>-73.867497</v>
      </c>
      <c r="AD5452" t="s">
        <v>10839</v>
      </c>
      <c r="AG5452" t="s">
        <v>10858</v>
      </c>
      <c r="AH5452" t="s">
        <v>10871</v>
      </c>
      <c r="AI5452">
        <v>234</v>
      </c>
      <c r="AJ5452" t="s">
        <v>10214</v>
      </c>
      <c r="AL5452">
        <v>1</v>
      </c>
      <c r="AM5452" t="s">
        <v>10884</v>
      </c>
      <c r="AN5452" t="s">
        <v>10968</v>
      </c>
      <c r="AO5452" t="s">
        <v>11002</v>
      </c>
      <c r="AP5452" t="s">
        <v>11046</v>
      </c>
      <c r="AR5452" t="s">
        <v>11263</v>
      </c>
      <c r="AS5452" t="s">
        <v>9926</v>
      </c>
      <c r="AT5452" t="s">
        <v>11641</v>
      </c>
      <c r="AX5452" t="s">
        <v>10838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</row>
    <row r="5453" spans="1:59">
      <c r="A5453" s="1">
        <f>HYPERLINK("https://lsnyc.legalserver.org/matter/dynamic-profile/view/1909709","19-1909709")</f>
        <v>0</v>
      </c>
      <c r="B5453" t="s">
        <v>4303</v>
      </c>
      <c r="C5453" t="s">
        <v>9148</v>
      </c>
      <c r="D5453" t="s">
        <v>9926</v>
      </c>
      <c r="E5453" t="s">
        <v>10075</v>
      </c>
      <c r="F5453">
        <v>10452</v>
      </c>
      <c r="G5453" t="s">
        <v>10089</v>
      </c>
      <c r="H5453" t="s">
        <v>10116</v>
      </c>
      <c r="I5453" t="s">
        <v>10168</v>
      </c>
      <c r="J5453" t="s">
        <v>10209</v>
      </c>
      <c r="K5453" t="s">
        <v>10217</v>
      </c>
      <c r="M5453" t="s">
        <v>10490</v>
      </c>
      <c r="N5453" t="s">
        <v>10718</v>
      </c>
      <c r="P5453" t="s">
        <v>10750</v>
      </c>
      <c r="Q5453" t="s">
        <v>10760</v>
      </c>
      <c r="R5453" t="s">
        <v>10824</v>
      </c>
      <c r="T5453">
        <v>76800</v>
      </c>
      <c r="U5453">
        <v>6400</v>
      </c>
      <c r="V5453">
        <v>44</v>
      </c>
      <c r="W5453">
        <v>3</v>
      </c>
      <c r="X5453">
        <v>2</v>
      </c>
      <c r="Z5453">
        <v>254.56</v>
      </c>
      <c r="AA5453">
        <v>40.837376</v>
      </c>
      <c r="AB5453">
        <v>-73.924087</v>
      </c>
      <c r="AD5453" t="s">
        <v>10839</v>
      </c>
      <c r="AG5453" t="s">
        <v>10858</v>
      </c>
      <c r="AH5453" t="s">
        <v>10861</v>
      </c>
      <c r="AI5453">
        <v>234</v>
      </c>
      <c r="AJ5453" t="s">
        <v>10214</v>
      </c>
      <c r="AL5453">
        <v>2</v>
      </c>
      <c r="AR5453" t="s">
        <v>11343</v>
      </c>
      <c r="AS5453" t="s">
        <v>9926</v>
      </c>
      <c r="AT5453" t="s">
        <v>11641</v>
      </c>
      <c r="AX5453" t="s">
        <v>10838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</row>
    <row r="5454" spans="1:59">
      <c r="A5454" s="1">
        <f>HYPERLINK("https://lsnyc.legalserver.org/matter/dynamic-profile/view/1909710","19-1909710")</f>
        <v>0</v>
      </c>
      <c r="B5454" t="s">
        <v>4304</v>
      </c>
      <c r="C5454" t="s">
        <v>7809</v>
      </c>
      <c r="D5454" t="s">
        <v>9928</v>
      </c>
      <c r="E5454" t="s">
        <v>10075</v>
      </c>
      <c r="F5454">
        <v>11221</v>
      </c>
      <c r="G5454" t="s">
        <v>10093</v>
      </c>
      <c r="H5454" t="s">
        <v>10116</v>
      </c>
      <c r="I5454" t="s">
        <v>10168</v>
      </c>
      <c r="J5454" t="s">
        <v>10213</v>
      </c>
      <c r="K5454" t="s">
        <v>10217</v>
      </c>
      <c r="M5454" t="s">
        <v>10361</v>
      </c>
      <c r="N5454" t="s">
        <v>10667</v>
      </c>
      <c r="P5454" t="s">
        <v>10749</v>
      </c>
      <c r="Q5454" t="s">
        <v>10765</v>
      </c>
      <c r="R5454" t="s">
        <v>10824</v>
      </c>
      <c r="T5454">
        <v>29000</v>
      </c>
      <c r="U5454">
        <v>2416.67</v>
      </c>
      <c r="V5454">
        <v>57</v>
      </c>
      <c r="W5454">
        <v>2</v>
      </c>
      <c r="X5454">
        <v>2</v>
      </c>
      <c r="Z5454">
        <v>112.62</v>
      </c>
      <c r="AA5454">
        <v>40.687649</v>
      </c>
      <c r="AB5454">
        <v>-73.936942</v>
      </c>
      <c r="AD5454" t="s">
        <v>10839</v>
      </c>
      <c r="AG5454" t="s">
        <v>10858</v>
      </c>
      <c r="AH5454" t="s">
        <v>10862</v>
      </c>
      <c r="AI5454">
        <v>239</v>
      </c>
      <c r="AJ5454" t="s">
        <v>10213</v>
      </c>
      <c r="AL5454">
        <v>3.6</v>
      </c>
      <c r="AM5454" t="s">
        <v>10889</v>
      </c>
      <c r="AN5454" t="s">
        <v>10914</v>
      </c>
      <c r="AO5454" t="s">
        <v>11007</v>
      </c>
      <c r="AP5454" t="s">
        <v>11052</v>
      </c>
      <c r="AQ5454" t="s">
        <v>11101</v>
      </c>
      <c r="AR5454" t="s">
        <v>11257</v>
      </c>
      <c r="AS5454" t="s">
        <v>11595</v>
      </c>
      <c r="BA5454" t="s">
        <v>11738</v>
      </c>
      <c r="BB5454">
        <v>0</v>
      </c>
      <c r="BC5454">
        <v>0</v>
      </c>
      <c r="BD5454">
        <v>0</v>
      </c>
      <c r="BE5454">
        <v>0</v>
      </c>
      <c r="BF5454">
        <v>5</v>
      </c>
      <c r="BG5454">
        <v>0</v>
      </c>
    </row>
    <row r="5455" spans="1:59">
      <c r="A5455" s="1">
        <f>HYPERLINK("https://lsnyc.legalserver.org/matter/dynamic-profile/view/1909711","19-1909711")</f>
        <v>0</v>
      </c>
      <c r="B5455" t="s">
        <v>4304</v>
      </c>
      <c r="C5455" t="s">
        <v>7809</v>
      </c>
      <c r="D5455" t="s">
        <v>9928</v>
      </c>
      <c r="E5455" t="s">
        <v>10075</v>
      </c>
      <c r="F5455">
        <v>11221</v>
      </c>
      <c r="G5455" t="s">
        <v>10093</v>
      </c>
      <c r="H5455" t="s">
        <v>10116</v>
      </c>
      <c r="I5455" t="s">
        <v>10168</v>
      </c>
      <c r="J5455" t="s">
        <v>10213</v>
      </c>
      <c r="K5455" t="s">
        <v>10217</v>
      </c>
      <c r="M5455" t="s">
        <v>10361</v>
      </c>
      <c r="N5455" t="s">
        <v>10668</v>
      </c>
      <c r="P5455" t="s">
        <v>10751</v>
      </c>
      <c r="Q5455" t="s">
        <v>10761</v>
      </c>
      <c r="R5455" t="s">
        <v>10824</v>
      </c>
      <c r="T5455">
        <v>29000</v>
      </c>
      <c r="U5455">
        <v>2416.67</v>
      </c>
      <c r="V5455">
        <v>57</v>
      </c>
      <c r="W5455">
        <v>2</v>
      </c>
      <c r="X5455">
        <v>2</v>
      </c>
      <c r="Z5455">
        <v>112.62</v>
      </c>
      <c r="AA5455">
        <v>40.687649</v>
      </c>
      <c r="AB5455">
        <v>-73.936942</v>
      </c>
      <c r="AD5455" t="s">
        <v>10839</v>
      </c>
      <c r="AG5455" t="s">
        <v>10858</v>
      </c>
      <c r="AH5455" t="s">
        <v>10862</v>
      </c>
      <c r="AI5455">
        <v>239</v>
      </c>
      <c r="AJ5455" t="s">
        <v>10213</v>
      </c>
      <c r="AL5455">
        <v>0</v>
      </c>
      <c r="AM5455" t="s">
        <v>10889</v>
      </c>
      <c r="AN5455" t="s">
        <v>10914</v>
      </c>
      <c r="AO5455" t="s">
        <v>11007</v>
      </c>
      <c r="AP5455" t="s">
        <v>11052</v>
      </c>
      <c r="AR5455" t="s">
        <v>11257</v>
      </c>
      <c r="AS5455" t="s">
        <v>11595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</row>
    <row r="5456" spans="1:59">
      <c r="A5456" s="1">
        <f>HYPERLINK("https://lsnyc.legalserver.org/matter/dynamic-profile/view/1909712","19-1909712")</f>
        <v>0</v>
      </c>
      <c r="B5456" t="s">
        <v>3747</v>
      </c>
      <c r="C5456" t="s">
        <v>9149</v>
      </c>
      <c r="D5456" t="s">
        <v>9928</v>
      </c>
      <c r="E5456" t="s">
        <v>10075</v>
      </c>
      <c r="F5456">
        <v>11226</v>
      </c>
      <c r="G5456" t="s">
        <v>10091</v>
      </c>
      <c r="H5456" t="s">
        <v>10116</v>
      </c>
      <c r="I5456" t="s">
        <v>10168</v>
      </c>
      <c r="J5456" t="s">
        <v>10214</v>
      </c>
      <c r="K5456" t="s">
        <v>10217</v>
      </c>
      <c r="M5456" t="s">
        <v>10286</v>
      </c>
      <c r="N5456" t="s">
        <v>10671</v>
      </c>
      <c r="P5456" t="s">
        <v>10751</v>
      </c>
      <c r="Q5456" t="s">
        <v>10768</v>
      </c>
      <c r="R5456" t="s">
        <v>10820</v>
      </c>
      <c r="T5456">
        <v>2340</v>
      </c>
      <c r="U5456">
        <v>195</v>
      </c>
      <c r="V5456">
        <v>43</v>
      </c>
      <c r="W5456">
        <v>1</v>
      </c>
      <c r="X5456">
        <v>0</v>
      </c>
      <c r="Z5456">
        <v>18.73</v>
      </c>
      <c r="AA5456">
        <v>40.648089</v>
      </c>
      <c r="AB5456">
        <v>-73.95981500000001</v>
      </c>
      <c r="AD5456" t="s">
        <v>10839</v>
      </c>
      <c r="AG5456" t="s">
        <v>10858</v>
      </c>
      <c r="AH5456" t="s">
        <v>10871</v>
      </c>
      <c r="AI5456">
        <v>234</v>
      </c>
      <c r="AJ5456" t="s">
        <v>10214</v>
      </c>
      <c r="AL5456">
        <v>1</v>
      </c>
      <c r="AM5456" t="s">
        <v>10888</v>
      </c>
      <c r="AN5456" t="s">
        <v>10932</v>
      </c>
      <c r="AO5456" t="s">
        <v>11008</v>
      </c>
      <c r="AP5456" t="s">
        <v>11050</v>
      </c>
      <c r="AR5456" t="s">
        <v>11311</v>
      </c>
      <c r="AS5456" t="s">
        <v>11595</v>
      </c>
      <c r="AT5456" t="s">
        <v>11641</v>
      </c>
      <c r="AX5456" t="s">
        <v>10838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</row>
    <row r="5457" spans="1:59">
      <c r="A5457" s="1">
        <f>HYPERLINK("https://lsnyc.legalserver.org/matter/dynamic-profile/view/1909713","19-1909713")</f>
        <v>0</v>
      </c>
      <c r="B5457" t="s">
        <v>4305</v>
      </c>
      <c r="C5457" t="s">
        <v>9150</v>
      </c>
      <c r="D5457" t="s">
        <v>9926</v>
      </c>
      <c r="E5457" t="s">
        <v>10075</v>
      </c>
      <c r="F5457">
        <v>10463</v>
      </c>
      <c r="G5457" t="s">
        <v>10093</v>
      </c>
      <c r="H5457" t="s">
        <v>10116</v>
      </c>
      <c r="I5457" t="s">
        <v>10168</v>
      </c>
      <c r="J5457" t="s">
        <v>10213</v>
      </c>
      <c r="K5457" t="s">
        <v>10217</v>
      </c>
      <c r="M5457" t="s">
        <v>10358</v>
      </c>
      <c r="N5457" t="s">
        <v>10671</v>
      </c>
      <c r="P5457" t="s">
        <v>10752</v>
      </c>
      <c r="Q5457" t="s">
        <v>10783</v>
      </c>
      <c r="R5457" t="s">
        <v>10824</v>
      </c>
      <c r="T5457">
        <v>17654</v>
      </c>
      <c r="U5457">
        <v>1471.17</v>
      </c>
      <c r="V5457">
        <v>56</v>
      </c>
      <c r="W5457">
        <v>1</v>
      </c>
      <c r="X5457">
        <v>1</v>
      </c>
      <c r="Z5457">
        <v>104.4</v>
      </c>
      <c r="AA5457">
        <v>40.879903</v>
      </c>
      <c r="AB5457">
        <v>-73.90029</v>
      </c>
      <c r="AD5457" t="s">
        <v>10840</v>
      </c>
      <c r="AG5457" t="s">
        <v>10858</v>
      </c>
      <c r="AH5457" t="s">
        <v>10871</v>
      </c>
      <c r="AI5457">
        <v>234</v>
      </c>
      <c r="AJ5457" t="s">
        <v>10214</v>
      </c>
      <c r="AL5457">
        <v>2.25</v>
      </c>
      <c r="AM5457" t="s">
        <v>10887</v>
      </c>
      <c r="AN5457" t="s">
        <v>10919</v>
      </c>
      <c r="AO5457" t="s">
        <v>11000</v>
      </c>
      <c r="AP5457" t="s">
        <v>11045</v>
      </c>
      <c r="AR5457" t="s">
        <v>11568</v>
      </c>
      <c r="AS5457" t="s">
        <v>9926</v>
      </c>
      <c r="AT5457" t="s">
        <v>11642</v>
      </c>
      <c r="AX5457" t="s">
        <v>10838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</row>
    <row r="5458" spans="1:59">
      <c r="A5458" s="1">
        <f>HYPERLINK("https://lsnyc.legalserver.org/matter/dynamic-profile/view/1909714","19-1909714")</f>
        <v>0</v>
      </c>
      <c r="B5458" t="s">
        <v>4306</v>
      </c>
      <c r="C5458" t="s">
        <v>9151</v>
      </c>
      <c r="D5458" t="s">
        <v>9926</v>
      </c>
      <c r="E5458" t="s">
        <v>10075</v>
      </c>
      <c r="F5458">
        <v>10467</v>
      </c>
      <c r="G5458" t="s">
        <v>10090</v>
      </c>
      <c r="H5458" t="s">
        <v>10116</v>
      </c>
      <c r="I5458" t="s">
        <v>10168</v>
      </c>
      <c r="J5458" t="s">
        <v>10210</v>
      </c>
      <c r="K5458" t="s">
        <v>10217</v>
      </c>
      <c r="M5458" t="s">
        <v>10469</v>
      </c>
      <c r="N5458" t="s">
        <v>10651</v>
      </c>
      <c r="P5458" t="s">
        <v>10749</v>
      </c>
      <c r="Q5458" t="s">
        <v>10765</v>
      </c>
      <c r="R5458" t="s">
        <v>10824</v>
      </c>
      <c r="T5458">
        <v>10200</v>
      </c>
      <c r="U5458">
        <v>850</v>
      </c>
      <c r="V5458">
        <v>41</v>
      </c>
      <c r="W5458">
        <v>1</v>
      </c>
      <c r="X5458">
        <v>1</v>
      </c>
      <c r="Z5458">
        <v>60.32</v>
      </c>
      <c r="AA5458">
        <v>40.870569</v>
      </c>
      <c r="AB5458">
        <v>-73.86458</v>
      </c>
      <c r="AD5458" t="s">
        <v>10839</v>
      </c>
      <c r="AG5458" t="s">
        <v>10858</v>
      </c>
      <c r="AH5458" t="s">
        <v>10862</v>
      </c>
      <c r="AI5458">
        <v>230</v>
      </c>
      <c r="AJ5458" t="s">
        <v>10210</v>
      </c>
      <c r="AL5458">
        <v>2.5</v>
      </c>
      <c r="AM5458" t="s">
        <v>10893</v>
      </c>
      <c r="AN5458" t="s">
        <v>10938</v>
      </c>
      <c r="AO5458" t="s">
        <v>11010</v>
      </c>
      <c r="AP5458" t="s">
        <v>11056</v>
      </c>
      <c r="AR5458" t="s">
        <v>11274</v>
      </c>
      <c r="AS5458" t="s">
        <v>9926</v>
      </c>
      <c r="AT5458" t="s">
        <v>11641</v>
      </c>
      <c r="AX5458" t="s">
        <v>10838</v>
      </c>
      <c r="BA5458" t="s">
        <v>11738</v>
      </c>
      <c r="BB5458">
        <v>0</v>
      </c>
      <c r="BC5458">
        <v>0</v>
      </c>
      <c r="BD5458">
        <v>0</v>
      </c>
      <c r="BE5458">
        <v>0</v>
      </c>
      <c r="BF5458">
        <v>5</v>
      </c>
      <c r="BG5458">
        <v>0</v>
      </c>
    </row>
    <row r="5459" spans="1:59">
      <c r="A5459" s="1">
        <f>HYPERLINK("https://lsnyc.legalserver.org/matter/dynamic-profile/view/1909715","19-1909715")</f>
        <v>0</v>
      </c>
      <c r="B5459" t="s">
        <v>964</v>
      </c>
      <c r="C5459" t="s">
        <v>9152</v>
      </c>
      <c r="D5459" t="s">
        <v>9926</v>
      </c>
      <c r="E5459" t="s">
        <v>10075</v>
      </c>
      <c r="F5459">
        <v>10472</v>
      </c>
      <c r="G5459" t="s">
        <v>10090</v>
      </c>
      <c r="H5459" t="s">
        <v>10116</v>
      </c>
      <c r="I5459" t="s">
        <v>10168</v>
      </c>
      <c r="J5459" t="s">
        <v>10210</v>
      </c>
      <c r="K5459" t="s">
        <v>10218</v>
      </c>
      <c r="L5459" t="s">
        <v>10116</v>
      </c>
      <c r="M5459" t="s">
        <v>10510</v>
      </c>
      <c r="N5459" t="s">
        <v>10677</v>
      </c>
      <c r="P5459" t="s">
        <v>10751</v>
      </c>
      <c r="Q5459" t="s">
        <v>10786</v>
      </c>
      <c r="R5459" t="s">
        <v>10824</v>
      </c>
      <c r="T5459">
        <v>14976</v>
      </c>
      <c r="U5459">
        <v>1248</v>
      </c>
      <c r="V5459">
        <v>66</v>
      </c>
      <c r="W5459">
        <v>2</v>
      </c>
      <c r="X5459">
        <v>0</v>
      </c>
      <c r="Y5459" t="s">
        <v>10829</v>
      </c>
      <c r="Z5459">
        <v>88.56</v>
      </c>
      <c r="AA5459">
        <v>40.827121</v>
      </c>
      <c r="AB5459">
        <v>-73.867633</v>
      </c>
      <c r="AD5459" t="s">
        <v>10839</v>
      </c>
      <c r="AG5459" t="s">
        <v>10858</v>
      </c>
      <c r="AH5459" t="s">
        <v>10874</v>
      </c>
      <c r="AI5459">
        <v>230</v>
      </c>
      <c r="AJ5459" t="s">
        <v>10210</v>
      </c>
      <c r="AK5459" t="s">
        <v>10838</v>
      </c>
      <c r="AL5459">
        <v>1</v>
      </c>
      <c r="AM5459" t="s">
        <v>10884</v>
      </c>
      <c r="AN5459" t="s">
        <v>10968</v>
      </c>
      <c r="AO5459" t="s">
        <v>11001</v>
      </c>
      <c r="AP5459" t="s">
        <v>11046</v>
      </c>
      <c r="AQ5459" t="s">
        <v>11134</v>
      </c>
      <c r="AR5459" t="s">
        <v>11494</v>
      </c>
      <c r="AS5459" t="s">
        <v>9926</v>
      </c>
      <c r="AT5459" t="s">
        <v>11641</v>
      </c>
      <c r="AY5459" t="s">
        <v>10829</v>
      </c>
      <c r="AZ5459" t="s">
        <v>11682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</row>
    <row r="5460" spans="1:59">
      <c r="A5460" s="1">
        <f>HYPERLINK("https://lsnyc.legalserver.org/matter/dynamic-profile/view/1909716","19-1909716")</f>
        <v>0</v>
      </c>
      <c r="B5460" t="s">
        <v>4307</v>
      </c>
      <c r="C5460" t="s">
        <v>9153</v>
      </c>
      <c r="D5460" t="s">
        <v>9926</v>
      </c>
      <c r="E5460" t="s">
        <v>10075</v>
      </c>
      <c r="F5460">
        <v>10459</v>
      </c>
      <c r="G5460" t="s">
        <v>10090</v>
      </c>
      <c r="H5460" t="s">
        <v>10116</v>
      </c>
      <c r="I5460" t="s">
        <v>10168</v>
      </c>
      <c r="J5460" t="s">
        <v>10210</v>
      </c>
      <c r="K5460" t="s">
        <v>10217</v>
      </c>
      <c r="M5460" t="s">
        <v>10336</v>
      </c>
      <c r="N5460" t="s">
        <v>10646</v>
      </c>
      <c r="P5460" t="s">
        <v>10754</v>
      </c>
      <c r="Q5460" t="s">
        <v>10775</v>
      </c>
      <c r="R5460" t="s">
        <v>10823</v>
      </c>
      <c r="T5460">
        <v>46400</v>
      </c>
      <c r="U5460">
        <v>3866.67</v>
      </c>
      <c r="V5460">
        <v>26</v>
      </c>
      <c r="W5460">
        <v>1</v>
      </c>
      <c r="X5460">
        <v>1</v>
      </c>
      <c r="Z5460">
        <v>274.39</v>
      </c>
      <c r="AA5460">
        <v>40.816886</v>
      </c>
      <c r="AB5460">
        <v>-73.896587</v>
      </c>
      <c r="AC5460" t="s">
        <v>10837</v>
      </c>
      <c r="AD5460" t="s">
        <v>10840</v>
      </c>
      <c r="AG5460" t="s">
        <v>10858</v>
      </c>
      <c r="AH5460" t="s">
        <v>10861</v>
      </c>
      <c r="AI5460">
        <v>234</v>
      </c>
      <c r="AJ5460" t="s">
        <v>10214</v>
      </c>
      <c r="AL5460">
        <v>1.05</v>
      </c>
      <c r="AM5460" t="s">
        <v>10884</v>
      </c>
      <c r="AN5460" t="s">
        <v>10968</v>
      </c>
      <c r="AO5460" t="s">
        <v>11001</v>
      </c>
      <c r="AP5460" t="s">
        <v>11062</v>
      </c>
      <c r="AR5460" t="s">
        <v>11257</v>
      </c>
      <c r="AS5460" t="s">
        <v>9926</v>
      </c>
      <c r="AT5460" t="s">
        <v>11642</v>
      </c>
      <c r="AX5460" t="s">
        <v>10838</v>
      </c>
      <c r="BA5460" t="s">
        <v>11741</v>
      </c>
      <c r="BB5460">
        <v>0</v>
      </c>
      <c r="BC5460">
        <v>0</v>
      </c>
      <c r="BD5460">
        <v>0</v>
      </c>
      <c r="BE5460">
        <v>0</v>
      </c>
      <c r="BF5460">
        <v>1</v>
      </c>
      <c r="BG5460">
        <v>0</v>
      </c>
    </row>
    <row r="5461" spans="1:59">
      <c r="A5461" s="1">
        <f>HYPERLINK("https://lsnyc.legalserver.org/matter/dynamic-profile/view/1909717","19-1909717")</f>
        <v>0</v>
      </c>
      <c r="B5461" t="s">
        <v>3495</v>
      </c>
      <c r="C5461" t="s">
        <v>9154</v>
      </c>
      <c r="D5461" t="s">
        <v>9943</v>
      </c>
      <c r="E5461" t="s">
        <v>10075</v>
      </c>
      <c r="F5461">
        <v>11372</v>
      </c>
      <c r="G5461" t="s">
        <v>10092</v>
      </c>
      <c r="H5461" t="s">
        <v>10116</v>
      </c>
      <c r="I5461" t="s">
        <v>10169</v>
      </c>
      <c r="J5461" t="s">
        <v>10212</v>
      </c>
      <c r="K5461" t="s">
        <v>10217</v>
      </c>
      <c r="M5461" t="s">
        <v>10311</v>
      </c>
      <c r="N5461" t="s">
        <v>10684</v>
      </c>
      <c r="P5461" t="s">
        <v>10751</v>
      </c>
      <c r="Q5461" t="s">
        <v>10786</v>
      </c>
      <c r="R5461" t="s">
        <v>10823</v>
      </c>
      <c r="T5461">
        <v>0</v>
      </c>
      <c r="U5461">
        <v>0</v>
      </c>
      <c r="V5461">
        <v>24</v>
      </c>
      <c r="W5461">
        <v>1</v>
      </c>
      <c r="X5461">
        <v>1</v>
      </c>
      <c r="Z5461">
        <v>0</v>
      </c>
      <c r="AA5461">
        <v>40.752632</v>
      </c>
      <c r="AB5461">
        <v>-73.873594</v>
      </c>
      <c r="AD5461" t="s">
        <v>10839</v>
      </c>
      <c r="AG5461" t="s">
        <v>10858</v>
      </c>
      <c r="AH5461" t="s">
        <v>10873</v>
      </c>
      <c r="AI5461">
        <v>237</v>
      </c>
      <c r="AJ5461" t="s">
        <v>10212</v>
      </c>
      <c r="AL5461">
        <v>1.5</v>
      </c>
      <c r="AM5461" t="s">
        <v>10885</v>
      </c>
      <c r="AN5461" t="s">
        <v>10909</v>
      </c>
      <c r="AO5461" t="s">
        <v>11014</v>
      </c>
      <c r="AP5461" t="s">
        <v>11053</v>
      </c>
      <c r="AR5461" t="s">
        <v>11267</v>
      </c>
      <c r="AS5461" t="s">
        <v>11594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</row>
    <row r="5462" spans="1:59">
      <c r="A5462" s="1">
        <f>HYPERLINK("https://lsnyc.legalserver.org/matter/dynamic-profile/view/1909718","19-1909718")</f>
        <v>0</v>
      </c>
      <c r="B5462" t="s">
        <v>4308</v>
      </c>
      <c r="C5462" t="s">
        <v>9155</v>
      </c>
      <c r="D5462" t="s">
        <v>9929</v>
      </c>
      <c r="E5462" t="s">
        <v>10075</v>
      </c>
      <c r="F5462">
        <v>10314</v>
      </c>
      <c r="G5462" t="s">
        <v>10088</v>
      </c>
      <c r="H5462" t="s">
        <v>10116</v>
      </c>
      <c r="I5462" t="s">
        <v>10168</v>
      </c>
      <c r="J5462" t="s">
        <v>10208</v>
      </c>
      <c r="K5462" t="s">
        <v>10217</v>
      </c>
      <c r="M5462" t="s">
        <v>10358</v>
      </c>
      <c r="N5462" t="s">
        <v>10671</v>
      </c>
      <c r="P5462" t="s">
        <v>10752</v>
      </c>
      <c r="Q5462" t="s">
        <v>10783</v>
      </c>
      <c r="R5462" t="s">
        <v>10827</v>
      </c>
      <c r="T5462">
        <v>23400</v>
      </c>
      <c r="U5462">
        <v>1950</v>
      </c>
      <c r="V5462">
        <v>33</v>
      </c>
      <c r="W5462">
        <v>1</v>
      </c>
      <c r="X5462">
        <v>0</v>
      </c>
      <c r="Z5462">
        <v>187.35</v>
      </c>
      <c r="AA5462">
        <v>40.5784</v>
      </c>
      <c r="AB5462">
        <v>-74.162661</v>
      </c>
      <c r="AD5462" t="s">
        <v>10839</v>
      </c>
      <c r="AG5462" t="s">
        <v>10858</v>
      </c>
      <c r="AH5462" t="s">
        <v>10871</v>
      </c>
      <c r="AI5462">
        <v>234</v>
      </c>
      <c r="AJ5462" t="s">
        <v>10214</v>
      </c>
      <c r="AL5462">
        <v>4.5</v>
      </c>
      <c r="AM5462" t="s">
        <v>10883</v>
      </c>
      <c r="AN5462" t="s">
        <v>10928</v>
      </c>
      <c r="AO5462" t="s">
        <v>10999</v>
      </c>
      <c r="AP5462" t="s">
        <v>11044</v>
      </c>
      <c r="AR5462" t="s">
        <v>11257</v>
      </c>
      <c r="AS5462" t="s">
        <v>11593</v>
      </c>
      <c r="AT5462" t="s">
        <v>11641</v>
      </c>
      <c r="AX5462" t="s">
        <v>10838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</row>
    <row r="5463" spans="1:59">
      <c r="A5463" s="1">
        <f>HYPERLINK("https://lsnyc.legalserver.org/matter/dynamic-profile/view/1909719","19-1909719")</f>
        <v>0</v>
      </c>
      <c r="B5463" t="s">
        <v>4309</v>
      </c>
      <c r="C5463" t="s">
        <v>9156</v>
      </c>
      <c r="D5463" t="s">
        <v>9928</v>
      </c>
      <c r="E5463" t="s">
        <v>10075</v>
      </c>
      <c r="F5463">
        <v>11249</v>
      </c>
      <c r="G5463" t="s">
        <v>10093</v>
      </c>
      <c r="H5463" t="s">
        <v>10116</v>
      </c>
      <c r="I5463" t="s">
        <v>10168</v>
      </c>
      <c r="J5463" t="s">
        <v>10213</v>
      </c>
      <c r="K5463" t="s">
        <v>10217</v>
      </c>
      <c r="M5463" t="s">
        <v>10587</v>
      </c>
      <c r="N5463" t="s">
        <v>10671</v>
      </c>
      <c r="P5463" t="s">
        <v>10755</v>
      </c>
      <c r="Q5463" t="s">
        <v>10772</v>
      </c>
      <c r="R5463" t="s">
        <v>10821</v>
      </c>
      <c r="T5463">
        <v>3468</v>
      </c>
      <c r="U5463">
        <v>289</v>
      </c>
      <c r="V5463">
        <v>12</v>
      </c>
      <c r="W5463">
        <v>1</v>
      </c>
      <c r="X5463">
        <v>1</v>
      </c>
      <c r="Z5463">
        <v>20.51</v>
      </c>
      <c r="AA5463">
        <v>40.707267</v>
      </c>
      <c r="AB5463">
        <v>-73.966307</v>
      </c>
      <c r="AD5463" t="s">
        <v>10839</v>
      </c>
      <c r="AG5463" t="s">
        <v>10858</v>
      </c>
      <c r="AH5463" t="s">
        <v>10861</v>
      </c>
      <c r="AI5463">
        <v>234</v>
      </c>
      <c r="AJ5463" t="s">
        <v>10214</v>
      </c>
      <c r="AL5463">
        <v>1.1</v>
      </c>
      <c r="AM5463" t="s">
        <v>10886</v>
      </c>
      <c r="AN5463" t="s">
        <v>10939</v>
      </c>
      <c r="AO5463" t="s">
        <v>11011</v>
      </c>
      <c r="AP5463" t="s">
        <v>11054</v>
      </c>
      <c r="AR5463" t="s">
        <v>11255</v>
      </c>
      <c r="AS5463" t="s">
        <v>11595</v>
      </c>
      <c r="AT5463" t="s">
        <v>11641</v>
      </c>
      <c r="AX5463" t="s">
        <v>10838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</row>
    <row r="5464" spans="1:59">
      <c r="A5464" s="1">
        <f>HYPERLINK("https://lsnyc.legalserver.org/matter/dynamic-profile/view/1909720","19-1909720")</f>
        <v>0</v>
      </c>
      <c r="B5464" t="s">
        <v>4310</v>
      </c>
      <c r="C5464" t="s">
        <v>9157</v>
      </c>
      <c r="D5464" t="s">
        <v>9926</v>
      </c>
      <c r="E5464" t="s">
        <v>10075</v>
      </c>
      <c r="F5464">
        <v>10453</v>
      </c>
      <c r="G5464" t="s">
        <v>10090</v>
      </c>
      <c r="H5464" t="s">
        <v>10155</v>
      </c>
      <c r="I5464" t="s">
        <v>10168</v>
      </c>
      <c r="J5464" t="s">
        <v>10210</v>
      </c>
      <c r="K5464" t="s">
        <v>10217</v>
      </c>
      <c r="M5464" t="s">
        <v>10561</v>
      </c>
      <c r="N5464" t="s">
        <v>10683</v>
      </c>
      <c r="P5464" t="s">
        <v>10754</v>
      </c>
      <c r="Q5464" t="s">
        <v>10777</v>
      </c>
      <c r="R5464" t="s">
        <v>10823</v>
      </c>
      <c r="T5464">
        <v>0</v>
      </c>
      <c r="U5464">
        <v>0</v>
      </c>
      <c r="V5464">
        <v>24</v>
      </c>
      <c r="W5464">
        <v>2</v>
      </c>
      <c r="X5464">
        <v>1</v>
      </c>
      <c r="Z5464">
        <v>0</v>
      </c>
      <c r="AA5464">
        <v>40.854059</v>
      </c>
      <c r="AB5464">
        <v>-73.91608100000001</v>
      </c>
      <c r="AD5464" t="s">
        <v>10839</v>
      </c>
      <c r="AG5464" t="s">
        <v>10858</v>
      </c>
      <c r="AH5464" t="s">
        <v>10865</v>
      </c>
      <c r="AI5464">
        <v>230</v>
      </c>
      <c r="AJ5464" t="s">
        <v>10210</v>
      </c>
      <c r="AL5464">
        <v>1.75</v>
      </c>
      <c r="AM5464" t="s">
        <v>10884</v>
      </c>
      <c r="AN5464" t="s">
        <v>10931</v>
      </c>
      <c r="AO5464" t="s">
        <v>11013</v>
      </c>
      <c r="AP5464" t="s">
        <v>11045</v>
      </c>
      <c r="AQ5464" t="s">
        <v>11128</v>
      </c>
      <c r="AR5464" t="s">
        <v>11267</v>
      </c>
      <c r="AS5464" t="s">
        <v>9926</v>
      </c>
      <c r="AT5464" t="s">
        <v>11641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</row>
    <row r="5465" spans="1:59">
      <c r="A5465" s="1">
        <f>HYPERLINK("https://lsnyc.legalserver.org/matter/dynamic-profile/view/1909721","19-1909721")</f>
        <v>0</v>
      </c>
      <c r="B5465" t="s">
        <v>2068</v>
      </c>
      <c r="C5465" t="s">
        <v>9158</v>
      </c>
      <c r="D5465" t="s">
        <v>9928</v>
      </c>
      <c r="E5465" t="s">
        <v>10075</v>
      </c>
      <c r="F5465">
        <v>11226</v>
      </c>
      <c r="G5465" t="s">
        <v>10093</v>
      </c>
      <c r="H5465" t="s">
        <v>10116</v>
      </c>
      <c r="J5465" t="s">
        <v>10213</v>
      </c>
      <c r="K5465" t="s">
        <v>10217</v>
      </c>
      <c r="M5465" t="s">
        <v>10359</v>
      </c>
      <c r="N5465" t="s">
        <v>10667</v>
      </c>
      <c r="O5465" t="s">
        <v>10667</v>
      </c>
      <c r="P5465" t="s">
        <v>10749</v>
      </c>
      <c r="Q5465" t="s">
        <v>10765</v>
      </c>
      <c r="R5465" t="s">
        <v>10824</v>
      </c>
      <c r="T5465">
        <v>0</v>
      </c>
      <c r="U5465">
        <v>0</v>
      </c>
      <c r="V5465">
        <v>38</v>
      </c>
      <c r="W5465">
        <v>3</v>
      </c>
      <c r="X5465">
        <v>2</v>
      </c>
      <c r="Z5465">
        <v>0</v>
      </c>
      <c r="AA5465">
        <v>40.647457</v>
      </c>
      <c r="AB5465">
        <v>-73.96084500000001</v>
      </c>
      <c r="AD5465" t="s">
        <v>10839</v>
      </c>
      <c r="AG5465" t="s">
        <v>10858</v>
      </c>
      <c r="AH5465" t="s">
        <v>10861</v>
      </c>
      <c r="AI5465">
        <v>239</v>
      </c>
      <c r="AJ5465" t="s">
        <v>10213</v>
      </c>
      <c r="AL5465">
        <v>0</v>
      </c>
      <c r="AM5465" t="s">
        <v>10888</v>
      </c>
      <c r="AN5465" t="s">
        <v>10932</v>
      </c>
      <c r="AO5465" t="s">
        <v>11008</v>
      </c>
      <c r="AP5465" t="s">
        <v>11050</v>
      </c>
      <c r="AR5465" t="s">
        <v>11267</v>
      </c>
      <c r="AS5465" t="s">
        <v>11595</v>
      </c>
      <c r="BA5465" t="s">
        <v>11741</v>
      </c>
      <c r="BB5465">
        <v>0</v>
      </c>
      <c r="BC5465">
        <v>0</v>
      </c>
      <c r="BD5465">
        <v>0</v>
      </c>
      <c r="BE5465">
        <v>0</v>
      </c>
      <c r="BF5465">
        <v>1</v>
      </c>
      <c r="BG5465">
        <v>0</v>
      </c>
    </row>
    <row r="5466" spans="1:59">
      <c r="A5466" s="1">
        <f>HYPERLINK("https://lsnyc.legalserver.org/matter/dynamic-profile/view/1909722","19-1909722")</f>
        <v>0</v>
      </c>
      <c r="B5466" t="s">
        <v>4311</v>
      </c>
      <c r="C5466" t="s">
        <v>9159</v>
      </c>
      <c r="D5466" t="s">
        <v>9928</v>
      </c>
      <c r="E5466" t="s">
        <v>10075</v>
      </c>
      <c r="F5466">
        <v>11221</v>
      </c>
      <c r="G5466" t="s">
        <v>10093</v>
      </c>
      <c r="H5466" t="s">
        <v>10116</v>
      </c>
      <c r="I5466" t="s">
        <v>10169</v>
      </c>
      <c r="J5466" t="s">
        <v>10213</v>
      </c>
      <c r="K5466" t="s">
        <v>10217</v>
      </c>
      <c r="M5466" t="s">
        <v>10361</v>
      </c>
      <c r="N5466" t="s">
        <v>10667</v>
      </c>
      <c r="P5466" t="s">
        <v>10749</v>
      </c>
      <c r="Q5466" t="s">
        <v>10765</v>
      </c>
      <c r="R5466" t="s">
        <v>10823</v>
      </c>
      <c r="T5466">
        <v>8400</v>
      </c>
      <c r="U5466">
        <v>700</v>
      </c>
      <c r="V5466">
        <v>59</v>
      </c>
      <c r="W5466">
        <v>1</v>
      </c>
      <c r="X5466">
        <v>0</v>
      </c>
      <c r="Z5466">
        <v>67.25</v>
      </c>
      <c r="AA5466">
        <v>40.69669</v>
      </c>
      <c r="AB5466">
        <v>-73.926453</v>
      </c>
      <c r="AD5466" t="s">
        <v>10839</v>
      </c>
      <c r="AG5466" t="s">
        <v>10858</v>
      </c>
      <c r="AH5466" t="s">
        <v>10862</v>
      </c>
      <c r="AI5466">
        <v>239</v>
      </c>
      <c r="AJ5466" t="s">
        <v>10213</v>
      </c>
      <c r="AL5466">
        <v>3.9</v>
      </c>
      <c r="AM5466" t="s">
        <v>10886</v>
      </c>
      <c r="AN5466" t="s">
        <v>10942</v>
      </c>
      <c r="AO5466" t="s">
        <v>11011</v>
      </c>
      <c r="AP5466" t="s">
        <v>11071</v>
      </c>
      <c r="AQ5466" t="s">
        <v>11101</v>
      </c>
      <c r="AR5466" t="s">
        <v>11296</v>
      </c>
      <c r="AS5466" t="s">
        <v>11595</v>
      </c>
      <c r="BA5466" t="s">
        <v>11738</v>
      </c>
      <c r="BB5466">
        <v>0</v>
      </c>
      <c r="BC5466">
        <v>0</v>
      </c>
      <c r="BD5466">
        <v>0</v>
      </c>
      <c r="BE5466">
        <v>0</v>
      </c>
      <c r="BF5466">
        <v>5</v>
      </c>
      <c r="BG5466">
        <v>0</v>
      </c>
    </row>
    <row r="5467" spans="1:59">
      <c r="A5467" s="1">
        <f>HYPERLINK("https://lsnyc.legalserver.org/matter/dynamic-profile/view/1909723","19-1909723")</f>
        <v>0</v>
      </c>
      <c r="B5467" t="s">
        <v>4311</v>
      </c>
      <c r="C5467" t="s">
        <v>9159</v>
      </c>
      <c r="D5467" t="s">
        <v>9928</v>
      </c>
      <c r="E5467" t="s">
        <v>10075</v>
      </c>
      <c r="F5467">
        <v>11221</v>
      </c>
      <c r="G5467" t="s">
        <v>10093</v>
      </c>
      <c r="H5467" t="s">
        <v>10116</v>
      </c>
      <c r="I5467" t="s">
        <v>10169</v>
      </c>
      <c r="J5467" t="s">
        <v>10213</v>
      </c>
      <c r="K5467" t="s">
        <v>10217</v>
      </c>
      <c r="M5467" t="s">
        <v>10361</v>
      </c>
      <c r="N5467" t="s">
        <v>10668</v>
      </c>
      <c r="P5467" t="s">
        <v>10751</v>
      </c>
      <c r="Q5467" t="s">
        <v>10761</v>
      </c>
      <c r="R5467" t="s">
        <v>10823</v>
      </c>
      <c r="T5467">
        <v>8400</v>
      </c>
      <c r="U5467">
        <v>700</v>
      </c>
      <c r="V5467">
        <v>59</v>
      </c>
      <c r="W5467">
        <v>1</v>
      </c>
      <c r="X5467">
        <v>0</v>
      </c>
      <c r="Z5467">
        <v>67.25</v>
      </c>
      <c r="AA5467">
        <v>40.69669</v>
      </c>
      <c r="AB5467">
        <v>-73.926453</v>
      </c>
      <c r="AD5467" t="s">
        <v>10839</v>
      </c>
      <c r="AG5467" t="s">
        <v>10858</v>
      </c>
      <c r="AH5467" t="s">
        <v>10862</v>
      </c>
      <c r="AI5467">
        <v>239</v>
      </c>
      <c r="AJ5467" t="s">
        <v>10213</v>
      </c>
      <c r="AL5467">
        <v>0</v>
      </c>
      <c r="AM5467" t="s">
        <v>10886</v>
      </c>
      <c r="AN5467" t="s">
        <v>10942</v>
      </c>
      <c r="AO5467" t="s">
        <v>11011</v>
      </c>
      <c r="AP5467" t="s">
        <v>11071</v>
      </c>
      <c r="AR5467" t="s">
        <v>11296</v>
      </c>
      <c r="AS5467" t="s">
        <v>11595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</row>
    <row r="5468" spans="1:59">
      <c r="A5468" s="1">
        <f>HYPERLINK("https://lsnyc.legalserver.org/matter/dynamic-profile/view/1909724","19-1909724")</f>
        <v>0</v>
      </c>
      <c r="B5468" t="s">
        <v>4312</v>
      </c>
      <c r="C5468" t="s">
        <v>9160</v>
      </c>
      <c r="D5468" t="s">
        <v>9928</v>
      </c>
      <c r="E5468" t="s">
        <v>10075</v>
      </c>
      <c r="F5468">
        <v>11218</v>
      </c>
      <c r="G5468" t="s">
        <v>10091</v>
      </c>
      <c r="H5468" t="s">
        <v>10116</v>
      </c>
      <c r="I5468" t="s">
        <v>10168</v>
      </c>
      <c r="J5468" t="s">
        <v>10214</v>
      </c>
      <c r="K5468" t="s">
        <v>10217</v>
      </c>
      <c r="M5468" t="s">
        <v>10286</v>
      </c>
      <c r="N5468" t="s">
        <v>10671</v>
      </c>
      <c r="P5468" t="s">
        <v>10749</v>
      </c>
      <c r="Q5468" t="s">
        <v>10765</v>
      </c>
      <c r="R5468" t="s">
        <v>10820</v>
      </c>
      <c r="T5468">
        <v>23400</v>
      </c>
      <c r="U5468">
        <v>1950</v>
      </c>
      <c r="V5468">
        <v>30</v>
      </c>
      <c r="W5468">
        <v>1</v>
      </c>
      <c r="X5468">
        <v>0</v>
      </c>
      <c r="Z5468">
        <v>187.35</v>
      </c>
      <c r="AA5468">
        <v>40.647556</v>
      </c>
      <c r="AB5468">
        <v>-73.97554599999999</v>
      </c>
      <c r="AD5468" t="s">
        <v>10839</v>
      </c>
      <c r="AG5468" t="s">
        <v>10858</v>
      </c>
      <c r="AH5468" t="s">
        <v>10871</v>
      </c>
      <c r="AI5468">
        <v>234</v>
      </c>
      <c r="AJ5468" t="s">
        <v>10214</v>
      </c>
      <c r="AL5468">
        <v>1</v>
      </c>
      <c r="AM5468" t="s">
        <v>10888</v>
      </c>
      <c r="AN5468" t="s">
        <v>10941</v>
      </c>
      <c r="AO5468" t="s">
        <v>11008</v>
      </c>
      <c r="AP5468" t="s">
        <v>11059</v>
      </c>
      <c r="AR5468" t="s">
        <v>11257</v>
      </c>
      <c r="AS5468" t="s">
        <v>11595</v>
      </c>
      <c r="AT5468" t="s">
        <v>11641</v>
      </c>
      <c r="AX5468" t="s">
        <v>10838</v>
      </c>
      <c r="BA5468" t="s">
        <v>11741</v>
      </c>
      <c r="BB5468">
        <v>0</v>
      </c>
      <c r="BC5468">
        <v>0</v>
      </c>
      <c r="BD5468">
        <v>0</v>
      </c>
      <c r="BE5468">
        <v>0</v>
      </c>
      <c r="BF5468">
        <v>1</v>
      </c>
      <c r="BG5468">
        <v>0</v>
      </c>
    </row>
    <row r="5469" spans="1:59">
      <c r="A5469" s="1">
        <f>HYPERLINK("https://lsnyc.legalserver.org/matter/dynamic-profile/view/1909725","19-1909725")</f>
        <v>0</v>
      </c>
      <c r="B5469" t="s">
        <v>4302</v>
      </c>
      <c r="C5469" t="s">
        <v>9146</v>
      </c>
      <c r="D5469" t="s">
        <v>9926</v>
      </c>
      <c r="E5469" t="s">
        <v>10075</v>
      </c>
      <c r="F5469">
        <v>10457</v>
      </c>
      <c r="G5469" t="s">
        <v>10090</v>
      </c>
      <c r="H5469" t="s">
        <v>10116</v>
      </c>
      <c r="I5469" t="s">
        <v>10168</v>
      </c>
      <c r="J5469" t="s">
        <v>10210</v>
      </c>
      <c r="K5469" t="s">
        <v>10217</v>
      </c>
      <c r="M5469" t="s">
        <v>10279</v>
      </c>
      <c r="N5469" t="s">
        <v>10688</v>
      </c>
      <c r="P5469" t="s">
        <v>10751</v>
      </c>
      <c r="Q5469" t="s">
        <v>10761</v>
      </c>
      <c r="R5469" t="s">
        <v>10823</v>
      </c>
      <c r="T5469">
        <v>9528</v>
      </c>
      <c r="U5469">
        <v>794</v>
      </c>
      <c r="V5469">
        <v>49</v>
      </c>
      <c r="W5469">
        <v>1</v>
      </c>
      <c r="X5469">
        <v>0</v>
      </c>
      <c r="Z5469">
        <v>76.29000000000001</v>
      </c>
      <c r="AA5469">
        <v>40.855302</v>
      </c>
      <c r="AB5469">
        <v>-73.89771500000001</v>
      </c>
      <c r="AD5469" t="s">
        <v>10839</v>
      </c>
      <c r="AG5469" t="s">
        <v>10858</v>
      </c>
      <c r="AH5469" t="s">
        <v>10861</v>
      </c>
      <c r="AI5469">
        <v>230</v>
      </c>
      <c r="AJ5469" t="s">
        <v>10210</v>
      </c>
      <c r="AL5469">
        <v>0</v>
      </c>
      <c r="AR5469" t="s">
        <v>11318</v>
      </c>
      <c r="AS5469" t="s">
        <v>9926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</row>
    <row r="5470" spans="1:59">
      <c r="A5470" s="1">
        <f>HYPERLINK("https://lsnyc.legalserver.org/matter/dynamic-profile/view/1909726","19-1909726")</f>
        <v>0</v>
      </c>
      <c r="B5470" t="s">
        <v>4313</v>
      </c>
      <c r="C5470" t="s">
        <v>9161</v>
      </c>
      <c r="D5470" t="s">
        <v>9928</v>
      </c>
      <c r="E5470" t="s">
        <v>10075</v>
      </c>
      <c r="F5470">
        <v>11205</v>
      </c>
      <c r="G5470" t="s">
        <v>10089</v>
      </c>
      <c r="H5470" t="s">
        <v>10116</v>
      </c>
      <c r="I5470" t="s">
        <v>10168</v>
      </c>
      <c r="J5470" t="s">
        <v>10209</v>
      </c>
      <c r="K5470" t="s">
        <v>10218</v>
      </c>
      <c r="L5470" t="s">
        <v>10116</v>
      </c>
      <c r="M5470" t="s">
        <v>10631</v>
      </c>
      <c r="N5470" t="s">
        <v>10703</v>
      </c>
      <c r="P5470" t="s">
        <v>10749</v>
      </c>
      <c r="Q5470" t="s">
        <v>10767</v>
      </c>
      <c r="R5470" t="s">
        <v>10824</v>
      </c>
      <c r="T5470">
        <v>9252</v>
      </c>
      <c r="U5470">
        <v>771</v>
      </c>
      <c r="V5470">
        <v>60</v>
      </c>
      <c r="W5470">
        <v>1</v>
      </c>
      <c r="X5470">
        <v>0</v>
      </c>
      <c r="Y5470" t="s">
        <v>10829</v>
      </c>
      <c r="Z5470">
        <v>74.08</v>
      </c>
      <c r="AA5470">
        <v>40.695745</v>
      </c>
      <c r="AB5470">
        <v>-73.974788</v>
      </c>
      <c r="AD5470" t="s">
        <v>10840</v>
      </c>
      <c r="AG5470" t="s">
        <v>10858</v>
      </c>
      <c r="AH5470" t="s">
        <v>10862</v>
      </c>
      <c r="AI5470">
        <v>236</v>
      </c>
      <c r="AJ5470" t="s">
        <v>10209</v>
      </c>
      <c r="AK5470" t="s">
        <v>10882</v>
      </c>
      <c r="AL5470">
        <v>1.75</v>
      </c>
      <c r="AM5470" t="s">
        <v>10889</v>
      </c>
      <c r="AN5470" t="s">
        <v>10923</v>
      </c>
      <c r="AO5470" t="s">
        <v>11007</v>
      </c>
      <c r="AP5470" t="s">
        <v>11061</v>
      </c>
      <c r="AR5470" t="s">
        <v>11298</v>
      </c>
      <c r="AS5470" t="s">
        <v>11595</v>
      </c>
      <c r="AY5470" t="s">
        <v>10829</v>
      </c>
      <c r="AZ5470" t="s">
        <v>11681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</row>
    <row r="5471" spans="1:59">
      <c r="A5471" s="1">
        <f>HYPERLINK("https://lsnyc.legalserver.org/matter/dynamic-profile/view/1909727","19-1909727")</f>
        <v>0</v>
      </c>
      <c r="B5471" t="s">
        <v>4314</v>
      </c>
      <c r="C5471" t="s">
        <v>7429</v>
      </c>
      <c r="D5471" t="s">
        <v>9926</v>
      </c>
      <c r="E5471" t="s">
        <v>10075</v>
      </c>
      <c r="F5471">
        <v>10462</v>
      </c>
      <c r="G5471" t="s">
        <v>10091</v>
      </c>
      <c r="H5471" t="s">
        <v>10116</v>
      </c>
      <c r="I5471" t="s">
        <v>10168</v>
      </c>
      <c r="J5471" t="s">
        <v>10214</v>
      </c>
      <c r="K5471" t="s">
        <v>10217</v>
      </c>
      <c r="M5471" t="s">
        <v>10537</v>
      </c>
      <c r="N5471" t="s">
        <v>10671</v>
      </c>
      <c r="P5471" t="s">
        <v>10753</v>
      </c>
      <c r="Q5471" t="s">
        <v>10763</v>
      </c>
      <c r="R5471" t="s">
        <v>10823</v>
      </c>
      <c r="T5471">
        <v>20800</v>
      </c>
      <c r="U5471">
        <v>1733.33</v>
      </c>
      <c r="V5471">
        <v>42</v>
      </c>
      <c r="W5471">
        <v>1</v>
      </c>
      <c r="X5471">
        <v>0</v>
      </c>
      <c r="Z5471">
        <v>166.53</v>
      </c>
      <c r="AA5471">
        <v>40.853411</v>
      </c>
      <c r="AB5471">
        <v>-73.865482</v>
      </c>
      <c r="AD5471" t="s">
        <v>10840</v>
      </c>
      <c r="AF5471" t="s">
        <v>10843</v>
      </c>
      <c r="AG5471" t="s">
        <v>10859</v>
      </c>
      <c r="AH5471" t="s">
        <v>10861</v>
      </c>
      <c r="AI5471">
        <v>234</v>
      </c>
      <c r="AJ5471" t="s">
        <v>10214</v>
      </c>
      <c r="AL5471">
        <v>1.15</v>
      </c>
      <c r="AQ5471" t="s">
        <v>11097</v>
      </c>
      <c r="AR5471" t="s">
        <v>11276</v>
      </c>
      <c r="AS5471" t="s">
        <v>9926</v>
      </c>
      <c r="AT5471" t="s">
        <v>11642</v>
      </c>
      <c r="AX5471" t="s">
        <v>10838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</row>
    <row r="5472" spans="1:59">
      <c r="A5472" s="1">
        <f>HYPERLINK("https://lsnyc.legalserver.org/matter/dynamic-profile/view/1909728","19-1909728")</f>
        <v>0</v>
      </c>
      <c r="B5472" t="s">
        <v>4315</v>
      </c>
      <c r="C5472" t="s">
        <v>9162</v>
      </c>
      <c r="D5472" t="s">
        <v>9938</v>
      </c>
      <c r="E5472" t="s">
        <v>10075</v>
      </c>
      <c r="F5472">
        <v>11434</v>
      </c>
      <c r="G5472" t="s">
        <v>10092</v>
      </c>
      <c r="H5472" t="s">
        <v>10116</v>
      </c>
      <c r="I5472" t="s">
        <v>10168</v>
      </c>
      <c r="J5472" t="s">
        <v>10212</v>
      </c>
      <c r="K5472" t="s">
        <v>10217</v>
      </c>
      <c r="M5472" t="s">
        <v>10318</v>
      </c>
      <c r="N5472" t="s">
        <v>10684</v>
      </c>
      <c r="P5472" t="s">
        <v>10751</v>
      </c>
      <c r="Q5472" t="s">
        <v>10786</v>
      </c>
      <c r="R5472" t="s">
        <v>10827</v>
      </c>
      <c r="T5472">
        <v>0</v>
      </c>
      <c r="U5472">
        <v>0</v>
      </c>
      <c r="V5472">
        <v>18</v>
      </c>
      <c r="W5472">
        <v>1</v>
      </c>
      <c r="X5472">
        <v>0</v>
      </c>
      <c r="Z5472">
        <v>0</v>
      </c>
      <c r="AA5472">
        <v>40.682645</v>
      </c>
      <c r="AB5472">
        <v>-73.787408</v>
      </c>
      <c r="AD5472" t="s">
        <v>10839</v>
      </c>
      <c r="AF5472" t="s">
        <v>10843</v>
      </c>
      <c r="AG5472" t="s">
        <v>10859</v>
      </c>
      <c r="AH5472" t="s">
        <v>10873</v>
      </c>
      <c r="AI5472">
        <v>237</v>
      </c>
      <c r="AJ5472" t="s">
        <v>10212</v>
      </c>
      <c r="AL5472">
        <v>1.25</v>
      </c>
      <c r="AM5472" t="s">
        <v>10892</v>
      </c>
      <c r="AN5472" t="s">
        <v>10951</v>
      </c>
      <c r="AO5472" t="s">
        <v>11017</v>
      </c>
      <c r="AP5472" t="s">
        <v>11070</v>
      </c>
      <c r="AR5472" t="s">
        <v>11267</v>
      </c>
      <c r="AS5472" t="s">
        <v>11594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</row>
    <row r="5473" spans="1:59">
      <c r="A5473" s="1">
        <f>HYPERLINK("https://lsnyc.legalserver.org/matter/dynamic-profile/view/1909729","19-1909729")</f>
        <v>0</v>
      </c>
      <c r="B5473" t="s">
        <v>4306</v>
      </c>
      <c r="C5473" t="s">
        <v>9151</v>
      </c>
      <c r="D5473" t="s">
        <v>9926</v>
      </c>
      <c r="E5473" t="s">
        <v>10075</v>
      </c>
      <c r="F5473">
        <v>10467</v>
      </c>
      <c r="G5473" t="s">
        <v>10090</v>
      </c>
      <c r="H5473" t="s">
        <v>10116</v>
      </c>
      <c r="I5473" t="s">
        <v>10168</v>
      </c>
      <c r="J5473" t="s">
        <v>10210</v>
      </c>
      <c r="K5473" t="s">
        <v>10217</v>
      </c>
      <c r="M5473" t="s">
        <v>10230</v>
      </c>
      <c r="N5473" t="s">
        <v>10671</v>
      </c>
      <c r="P5473" t="s">
        <v>10751</v>
      </c>
      <c r="Q5473" t="s">
        <v>10761</v>
      </c>
      <c r="R5473" t="s">
        <v>10824</v>
      </c>
      <c r="T5473">
        <v>10200</v>
      </c>
      <c r="U5473">
        <v>850</v>
      </c>
      <c r="V5473">
        <v>41</v>
      </c>
      <c r="W5473">
        <v>1</v>
      </c>
      <c r="X5473">
        <v>1</v>
      </c>
      <c r="Z5473">
        <v>60.32</v>
      </c>
      <c r="AA5473">
        <v>40.870569</v>
      </c>
      <c r="AB5473">
        <v>-73.86458</v>
      </c>
      <c r="AD5473" t="s">
        <v>10839</v>
      </c>
      <c r="AG5473" t="s">
        <v>10858</v>
      </c>
      <c r="AH5473" t="s">
        <v>10862</v>
      </c>
      <c r="AI5473">
        <v>230</v>
      </c>
      <c r="AJ5473" t="s">
        <v>10210</v>
      </c>
      <c r="AL5473">
        <v>0.5</v>
      </c>
      <c r="AR5473" t="s">
        <v>11274</v>
      </c>
      <c r="AS5473" t="s">
        <v>9926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</row>
    <row r="5474" spans="1:59">
      <c r="A5474" s="1">
        <f>HYPERLINK("https://lsnyc.legalserver.org/matter/dynamic-profile/view/1909730","19-1909730")</f>
        <v>0</v>
      </c>
      <c r="B5474" t="s">
        <v>4316</v>
      </c>
      <c r="C5474" t="s">
        <v>9163</v>
      </c>
      <c r="D5474" t="s">
        <v>9939</v>
      </c>
      <c r="E5474" t="s">
        <v>10075</v>
      </c>
      <c r="F5474">
        <v>11419</v>
      </c>
      <c r="G5474" t="s">
        <v>10092</v>
      </c>
      <c r="H5474" t="s">
        <v>10116</v>
      </c>
      <c r="I5474" t="s">
        <v>10168</v>
      </c>
      <c r="J5474" t="s">
        <v>10212</v>
      </c>
      <c r="K5474" t="s">
        <v>10217</v>
      </c>
      <c r="M5474" t="s">
        <v>10311</v>
      </c>
      <c r="N5474" t="s">
        <v>10684</v>
      </c>
      <c r="P5474" t="s">
        <v>10751</v>
      </c>
      <c r="Q5474" t="s">
        <v>10786</v>
      </c>
      <c r="R5474" t="s">
        <v>10827</v>
      </c>
      <c r="T5474">
        <v>9599.76</v>
      </c>
      <c r="U5474">
        <v>799.98</v>
      </c>
      <c r="V5474">
        <v>85</v>
      </c>
      <c r="W5474">
        <v>1</v>
      </c>
      <c r="X5474">
        <v>0</v>
      </c>
      <c r="Z5474">
        <v>76.86</v>
      </c>
      <c r="AA5474">
        <v>40.686312</v>
      </c>
      <c r="AB5474">
        <v>-73.81548600000001</v>
      </c>
      <c r="AD5474" t="s">
        <v>10839</v>
      </c>
      <c r="AG5474" t="s">
        <v>10858</v>
      </c>
      <c r="AH5474" t="s">
        <v>10873</v>
      </c>
      <c r="AI5474">
        <v>237</v>
      </c>
      <c r="AJ5474" t="s">
        <v>10212</v>
      </c>
      <c r="AL5474">
        <v>0.75</v>
      </c>
      <c r="AM5474" t="s">
        <v>10892</v>
      </c>
      <c r="AN5474" t="s">
        <v>10944</v>
      </c>
      <c r="AO5474" t="s">
        <v>11017</v>
      </c>
      <c r="AP5474" t="s">
        <v>11070</v>
      </c>
      <c r="AR5474" t="s">
        <v>11263</v>
      </c>
      <c r="AS5474" t="s">
        <v>11594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</row>
    <row r="5475" spans="1:59">
      <c r="A5475" s="1">
        <f>HYPERLINK("https://lsnyc.legalserver.org/matter/dynamic-profile/view/1909731","19-1909731")</f>
        <v>0</v>
      </c>
      <c r="B5475" t="s">
        <v>4317</v>
      </c>
      <c r="C5475" t="s">
        <v>9164</v>
      </c>
      <c r="D5475" t="s">
        <v>9928</v>
      </c>
      <c r="E5475" t="s">
        <v>10075</v>
      </c>
      <c r="F5475">
        <v>11213</v>
      </c>
      <c r="G5475" t="s">
        <v>10093</v>
      </c>
      <c r="H5475" t="s">
        <v>10116</v>
      </c>
      <c r="I5475" t="s">
        <v>10168</v>
      </c>
      <c r="J5475" t="s">
        <v>10213</v>
      </c>
      <c r="K5475" t="s">
        <v>10217</v>
      </c>
      <c r="M5475" t="s">
        <v>10456</v>
      </c>
      <c r="N5475" t="s">
        <v>10650</v>
      </c>
      <c r="P5475" t="s">
        <v>10749</v>
      </c>
      <c r="Q5475" t="s">
        <v>10765</v>
      </c>
      <c r="R5475" t="s">
        <v>10824</v>
      </c>
      <c r="T5475">
        <v>24702</v>
      </c>
      <c r="U5475">
        <v>2058.5</v>
      </c>
      <c r="V5475">
        <v>78</v>
      </c>
      <c r="W5475">
        <v>2</v>
      </c>
      <c r="X5475">
        <v>0</v>
      </c>
      <c r="Z5475">
        <v>146.08</v>
      </c>
      <c r="AA5475">
        <v>40.66833</v>
      </c>
      <c r="AB5475">
        <v>-73.933089</v>
      </c>
      <c r="AD5475" t="s">
        <v>10839</v>
      </c>
      <c r="AG5475" t="s">
        <v>10858</v>
      </c>
      <c r="AH5475" t="s">
        <v>10862</v>
      </c>
      <c r="AI5475">
        <v>239</v>
      </c>
      <c r="AJ5475" t="s">
        <v>10213</v>
      </c>
      <c r="AL5475">
        <v>4.8</v>
      </c>
      <c r="AM5475" t="s">
        <v>10888</v>
      </c>
      <c r="AN5475" t="s">
        <v>10912</v>
      </c>
      <c r="AO5475" t="s">
        <v>11005</v>
      </c>
      <c r="AP5475" t="s">
        <v>11061</v>
      </c>
      <c r="AR5475" t="s">
        <v>11268</v>
      </c>
      <c r="AS5475" t="s">
        <v>11595</v>
      </c>
      <c r="AT5475" t="s">
        <v>11641</v>
      </c>
      <c r="BA5475" t="s">
        <v>11740</v>
      </c>
      <c r="BB5475">
        <v>0</v>
      </c>
      <c r="BC5475">
        <v>0</v>
      </c>
      <c r="BD5475">
        <v>0</v>
      </c>
      <c r="BE5475">
        <v>0</v>
      </c>
      <c r="BF5475">
        <v>2</v>
      </c>
      <c r="BG5475">
        <v>0</v>
      </c>
    </row>
    <row r="5476" spans="1:59">
      <c r="A5476" s="1">
        <f>HYPERLINK("https://lsnyc.legalserver.org/matter/dynamic-profile/view/1909732","19-1909732")</f>
        <v>0</v>
      </c>
      <c r="B5476" t="s">
        <v>989</v>
      </c>
      <c r="C5476" t="s">
        <v>5865</v>
      </c>
      <c r="D5476" t="s">
        <v>9926</v>
      </c>
      <c r="E5476" t="s">
        <v>10075</v>
      </c>
      <c r="F5476">
        <v>10456</v>
      </c>
      <c r="G5476" t="s">
        <v>10090</v>
      </c>
      <c r="H5476" t="s">
        <v>10116</v>
      </c>
      <c r="I5476" t="s">
        <v>10169</v>
      </c>
      <c r="J5476" t="s">
        <v>10210</v>
      </c>
      <c r="K5476" t="s">
        <v>10217</v>
      </c>
      <c r="M5476" t="s">
        <v>10549</v>
      </c>
      <c r="N5476" t="s">
        <v>10682</v>
      </c>
      <c r="P5476" t="s">
        <v>10751</v>
      </c>
      <c r="Q5476" t="s">
        <v>10761</v>
      </c>
      <c r="R5476" t="s">
        <v>10821</v>
      </c>
      <c r="T5476">
        <v>0</v>
      </c>
      <c r="U5476">
        <v>0</v>
      </c>
      <c r="V5476">
        <v>49</v>
      </c>
      <c r="W5476">
        <v>2</v>
      </c>
      <c r="X5476">
        <v>0</v>
      </c>
      <c r="Z5476">
        <v>0</v>
      </c>
      <c r="AA5476">
        <v>40.835974</v>
      </c>
      <c r="AB5476">
        <v>-73.9152</v>
      </c>
      <c r="AD5476" t="s">
        <v>10839</v>
      </c>
      <c r="AF5476" t="s">
        <v>10842</v>
      </c>
      <c r="AG5476" t="s">
        <v>10859</v>
      </c>
      <c r="AH5476" t="s">
        <v>10861</v>
      </c>
      <c r="AI5476">
        <v>230</v>
      </c>
      <c r="AJ5476" t="s">
        <v>10210</v>
      </c>
      <c r="AL5476">
        <v>8.25</v>
      </c>
      <c r="AM5476" t="s">
        <v>10884</v>
      </c>
      <c r="AN5476" t="s">
        <v>10929</v>
      </c>
      <c r="AO5476" t="s">
        <v>11013</v>
      </c>
      <c r="AP5476" t="s">
        <v>11055</v>
      </c>
      <c r="AR5476" t="s">
        <v>11267</v>
      </c>
      <c r="AS5476" t="s">
        <v>9926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</row>
    <row r="5477" spans="1:59">
      <c r="A5477" s="1">
        <f>HYPERLINK("https://lsnyc.legalserver.org/matter/dynamic-profile/view/1909733","19-1909733")</f>
        <v>0</v>
      </c>
      <c r="B5477" t="s">
        <v>4318</v>
      </c>
      <c r="C5477" t="s">
        <v>9165</v>
      </c>
      <c r="D5477" t="s">
        <v>9928</v>
      </c>
      <c r="E5477" t="s">
        <v>10075</v>
      </c>
      <c r="F5477">
        <v>11228</v>
      </c>
      <c r="G5477" t="s">
        <v>10093</v>
      </c>
      <c r="H5477" t="s">
        <v>10116</v>
      </c>
      <c r="I5477" t="s">
        <v>10168</v>
      </c>
      <c r="J5477" t="s">
        <v>10213</v>
      </c>
      <c r="K5477" t="s">
        <v>10217</v>
      </c>
      <c r="M5477" t="s">
        <v>10352</v>
      </c>
      <c r="N5477" t="s">
        <v>10650</v>
      </c>
      <c r="P5477" t="s">
        <v>10749</v>
      </c>
      <c r="Q5477" t="s">
        <v>10765</v>
      </c>
      <c r="R5477" t="s">
        <v>10821</v>
      </c>
      <c r="T5477">
        <v>22248</v>
      </c>
      <c r="U5477">
        <v>1854</v>
      </c>
      <c r="V5477">
        <v>48</v>
      </c>
      <c r="W5477">
        <v>1</v>
      </c>
      <c r="X5477">
        <v>0</v>
      </c>
      <c r="Z5477">
        <v>178.13</v>
      </c>
      <c r="AA5477">
        <v>40.6216</v>
      </c>
      <c r="AB5477">
        <v>-74.001666</v>
      </c>
      <c r="AD5477" t="s">
        <v>10839</v>
      </c>
      <c r="AG5477" t="s">
        <v>10858</v>
      </c>
      <c r="AH5477" t="s">
        <v>10862</v>
      </c>
      <c r="AI5477">
        <v>239</v>
      </c>
      <c r="AJ5477" t="s">
        <v>10213</v>
      </c>
      <c r="AL5477">
        <v>0.3</v>
      </c>
      <c r="AM5477" t="s">
        <v>10894</v>
      </c>
      <c r="AN5477" t="s">
        <v>10974</v>
      </c>
      <c r="AO5477" t="s">
        <v>11023</v>
      </c>
      <c r="AP5477" t="s">
        <v>11086</v>
      </c>
      <c r="AQ5477" t="s">
        <v>11123</v>
      </c>
      <c r="AR5477" t="s">
        <v>11296</v>
      </c>
      <c r="AS5477" t="s">
        <v>11595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</row>
    <row r="5478" spans="1:59">
      <c r="A5478" s="1">
        <f>HYPERLINK("https://lsnyc.legalserver.org/matter/dynamic-profile/view/1909734","19-1909734")</f>
        <v>0</v>
      </c>
      <c r="B5478" t="s">
        <v>266</v>
      </c>
      <c r="C5478" t="s">
        <v>9166</v>
      </c>
      <c r="D5478" t="s">
        <v>9928</v>
      </c>
      <c r="E5478" t="s">
        <v>10075</v>
      </c>
      <c r="F5478">
        <v>11233</v>
      </c>
      <c r="G5478" t="s">
        <v>10093</v>
      </c>
      <c r="H5478" t="s">
        <v>10116</v>
      </c>
      <c r="I5478" t="s">
        <v>10168</v>
      </c>
      <c r="J5478" t="s">
        <v>10213</v>
      </c>
      <c r="K5478" t="s">
        <v>10217</v>
      </c>
      <c r="M5478" t="s">
        <v>10505</v>
      </c>
      <c r="N5478" t="s">
        <v>10650</v>
      </c>
      <c r="P5478" t="s">
        <v>10749</v>
      </c>
      <c r="Q5478" t="s">
        <v>10765</v>
      </c>
      <c r="R5478" t="s">
        <v>10824</v>
      </c>
      <c r="T5478">
        <v>16800</v>
      </c>
      <c r="U5478">
        <v>1400</v>
      </c>
      <c r="V5478">
        <v>63</v>
      </c>
      <c r="W5478">
        <v>2</v>
      </c>
      <c r="X5478">
        <v>0</v>
      </c>
      <c r="Z5478">
        <v>99.34999999999999</v>
      </c>
      <c r="AA5478">
        <v>40.682619</v>
      </c>
      <c r="AB5478">
        <v>-73.92502899999999</v>
      </c>
      <c r="AD5478" t="s">
        <v>10839</v>
      </c>
      <c r="AG5478" t="s">
        <v>10858</v>
      </c>
      <c r="AH5478" t="s">
        <v>10862</v>
      </c>
      <c r="AI5478">
        <v>239</v>
      </c>
      <c r="AJ5478" t="s">
        <v>10213</v>
      </c>
      <c r="AL5478">
        <v>0</v>
      </c>
      <c r="AM5478" t="s">
        <v>10889</v>
      </c>
      <c r="AN5478" t="s">
        <v>10914</v>
      </c>
      <c r="AO5478" t="s">
        <v>11007</v>
      </c>
      <c r="AP5478" t="s">
        <v>11064</v>
      </c>
      <c r="AR5478" t="s">
        <v>11282</v>
      </c>
      <c r="AS5478" t="s">
        <v>11595</v>
      </c>
      <c r="AT5478" t="s">
        <v>11641</v>
      </c>
      <c r="AX5478" t="s">
        <v>10838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</row>
    <row r="5479" spans="1:59">
      <c r="A5479" s="1">
        <f>HYPERLINK("https://lsnyc.legalserver.org/matter/dynamic-profile/view/1909735","19-1909735")</f>
        <v>0</v>
      </c>
      <c r="B5479" t="s">
        <v>4319</v>
      </c>
      <c r="C5479" t="s">
        <v>9167</v>
      </c>
      <c r="D5479" t="s">
        <v>9925</v>
      </c>
      <c r="E5479" t="s">
        <v>10075</v>
      </c>
      <c r="F5479">
        <v>10034</v>
      </c>
      <c r="G5479" t="s">
        <v>10090</v>
      </c>
      <c r="H5479" t="s">
        <v>10116</v>
      </c>
      <c r="I5479" t="s">
        <v>10169</v>
      </c>
      <c r="J5479" t="s">
        <v>10210</v>
      </c>
      <c r="K5479" t="s">
        <v>10217</v>
      </c>
      <c r="M5479" t="s">
        <v>10615</v>
      </c>
      <c r="N5479" t="s">
        <v>10656</v>
      </c>
      <c r="P5479" t="s">
        <v>10751</v>
      </c>
      <c r="Q5479" t="s">
        <v>10780</v>
      </c>
      <c r="R5479" t="s">
        <v>10821</v>
      </c>
      <c r="T5479">
        <v>2366</v>
      </c>
      <c r="U5479">
        <v>197.17</v>
      </c>
      <c r="V5479">
        <v>34</v>
      </c>
      <c r="W5479">
        <v>1</v>
      </c>
      <c r="X5479">
        <v>0</v>
      </c>
      <c r="Z5479">
        <v>18.94</v>
      </c>
      <c r="AA5479">
        <v>40.862799</v>
      </c>
      <c r="AB5479">
        <v>-73.922371</v>
      </c>
      <c r="AD5479" t="s">
        <v>10840</v>
      </c>
      <c r="AG5479" t="s">
        <v>10858</v>
      </c>
      <c r="AH5479" t="s">
        <v>10861</v>
      </c>
      <c r="AI5479">
        <v>234</v>
      </c>
      <c r="AJ5479" t="s">
        <v>10214</v>
      </c>
      <c r="AL5479">
        <v>6.55</v>
      </c>
      <c r="AM5479" t="s">
        <v>10887</v>
      </c>
      <c r="AN5479" t="s">
        <v>10937</v>
      </c>
      <c r="AO5479" t="s">
        <v>11019</v>
      </c>
      <c r="AP5479" t="s">
        <v>11074</v>
      </c>
      <c r="AR5479" t="s">
        <v>11255</v>
      </c>
      <c r="AS5479" t="s">
        <v>9925</v>
      </c>
      <c r="AT5479" t="s">
        <v>11642</v>
      </c>
      <c r="AX5479" t="s">
        <v>10838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</row>
    <row r="5480" spans="1:59">
      <c r="A5480" s="1">
        <f>HYPERLINK("https://lsnyc.legalserver.org/matter/dynamic-profile/view/1909736","19-1909736")</f>
        <v>0</v>
      </c>
      <c r="B5480" t="s">
        <v>4320</v>
      </c>
      <c r="C5480" t="s">
        <v>9168</v>
      </c>
      <c r="D5480" t="s">
        <v>10060</v>
      </c>
      <c r="E5480" t="s">
        <v>10077</v>
      </c>
      <c r="F5480">
        <v>30909</v>
      </c>
      <c r="G5480" t="s">
        <v>10089</v>
      </c>
      <c r="H5480" t="s">
        <v>10116</v>
      </c>
      <c r="I5480" t="s">
        <v>10168</v>
      </c>
      <c r="J5480" t="s">
        <v>10209</v>
      </c>
      <c r="K5480" t="s">
        <v>10217</v>
      </c>
      <c r="M5480" t="s">
        <v>10332</v>
      </c>
      <c r="N5480" t="s">
        <v>10646</v>
      </c>
      <c r="P5480" t="s">
        <v>10754</v>
      </c>
      <c r="Q5480" t="s">
        <v>10775</v>
      </c>
      <c r="R5480" t="s">
        <v>10822</v>
      </c>
      <c r="T5480">
        <v>26400</v>
      </c>
      <c r="U5480">
        <v>2200</v>
      </c>
      <c r="V5480">
        <v>22</v>
      </c>
      <c r="W5480">
        <v>1</v>
      </c>
      <c r="X5480">
        <v>0</v>
      </c>
      <c r="Z5480">
        <v>211.37</v>
      </c>
      <c r="AA5480">
        <v>33.445871</v>
      </c>
      <c r="AB5480">
        <v>-82.145293</v>
      </c>
      <c r="AC5480" t="s">
        <v>10837</v>
      </c>
      <c r="AD5480" t="s">
        <v>10839</v>
      </c>
      <c r="AG5480" t="s">
        <v>10858</v>
      </c>
      <c r="AH5480" t="s">
        <v>10861</v>
      </c>
      <c r="AI5480">
        <v>234</v>
      </c>
      <c r="AJ5480" t="s">
        <v>10214</v>
      </c>
      <c r="AL5480">
        <v>0.5</v>
      </c>
      <c r="AR5480" t="s">
        <v>11257</v>
      </c>
      <c r="AS5480" t="s">
        <v>9950</v>
      </c>
      <c r="AT5480" t="s">
        <v>11641</v>
      </c>
      <c r="AX5480" t="s">
        <v>10838</v>
      </c>
      <c r="BA5480" t="s">
        <v>11741</v>
      </c>
      <c r="BB5480">
        <v>0</v>
      </c>
      <c r="BC5480">
        <v>0</v>
      </c>
      <c r="BD5480">
        <v>0</v>
      </c>
      <c r="BE5480">
        <v>0</v>
      </c>
      <c r="BF5480">
        <v>1</v>
      </c>
      <c r="BG5480">
        <v>0</v>
      </c>
    </row>
    <row r="5481" spans="1:59">
      <c r="A5481" s="1">
        <f>HYPERLINK("https://lsnyc.legalserver.org/matter/dynamic-profile/view/1909737","19-1909737")</f>
        <v>0</v>
      </c>
      <c r="B5481" t="s">
        <v>4321</v>
      </c>
      <c r="C5481" t="s">
        <v>9169</v>
      </c>
      <c r="D5481" t="s">
        <v>9928</v>
      </c>
      <c r="E5481" t="s">
        <v>10075</v>
      </c>
      <c r="F5481">
        <v>11217</v>
      </c>
      <c r="G5481" t="s">
        <v>10093</v>
      </c>
      <c r="H5481" t="s">
        <v>10116</v>
      </c>
      <c r="J5481" t="s">
        <v>10213</v>
      </c>
      <c r="K5481" t="s">
        <v>10218</v>
      </c>
      <c r="L5481" t="s">
        <v>10162</v>
      </c>
      <c r="M5481" t="s">
        <v>10309</v>
      </c>
      <c r="N5481" t="s">
        <v>10662</v>
      </c>
      <c r="P5481" t="s">
        <v>10752</v>
      </c>
      <c r="Q5481" t="s">
        <v>10783</v>
      </c>
      <c r="R5481" t="s">
        <v>10820</v>
      </c>
      <c r="T5481">
        <v>4888</v>
      </c>
      <c r="U5481">
        <v>407.33</v>
      </c>
      <c r="V5481">
        <v>58</v>
      </c>
      <c r="W5481">
        <v>1</v>
      </c>
      <c r="X5481">
        <v>0</v>
      </c>
      <c r="Y5481" t="s">
        <v>10829</v>
      </c>
      <c r="Z5481">
        <v>39.14</v>
      </c>
      <c r="AA5481">
        <v>40.68792</v>
      </c>
      <c r="AB5481">
        <v>-73.985817</v>
      </c>
      <c r="AD5481" t="s">
        <v>10840</v>
      </c>
      <c r="AG5481" t="s">
        <v>10858</v>
      </c>
      <c r="AH5481" t="s">
        <v>10868</v>
      </c>
      <c r="AI5481">
        <v>239</v>
      </c>
      <c r="AJ5481" t="s">
        <v>10213</v>
      </c>
      <c r="AK5481" t="s">
        <v>10838</v>
      </c>
      <c r="AL5481">
        <v>2.95</v>
      </c>
      <c r="AM5481" t="s">
        <v>10889</v>
      </c>
      <c r="AN5481" t="s">
        <v>10917</v>
      </c>
      <c r="AO5481" t="s">
        <v>11007</v>
      </c>
      <c r="AP5481" t="s">
        <v>11054</v>
      </c>
      <c r="AR5481" t="s">
        <v>11321</v>
      </c>
      <c r="AS5481" t="s">
        <v>11595</v>
      </c>
      <c r="AT5481" t="s">
        <v>11642</v>
      </c>
      <c r="AX5481" t="s">
        <v>10837</v>
      </c>
      <c r="AY5481" t="s">
        <v>10829</v>
      </c>
      <c r="AZ5481" t="s">
        <v>11680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</row>
    <row r="5482" spans="1:59">
      <c r="A5482" s="1">
        <f>HYPERLINK("https://lsnyc.legalserver.org/matter/dynamic-profile/view/1909738","19-1909738")</f>
        <v>0</v>
      </c>
      <c r="B5482" t="s">
        <v>4322</v>
      </c>
      <c r="C5482" t="s">
        <v>9170</v>
      </c>
      <c r="D5482" t="s">
        <v>9928</v>
      </c>
      <c r="E5482" t="s">
        <v>10075</v>
      </c>
      <c r="F5482">
        <v>11207</v>
      </c>
      <c r="G5482" t="s">
        <v>10093</v>
      </c>
      <c r="H5482" t="s">
        <v>10116</v>
      </c>
      <c r="I5482" t="s">
        <v>10168</v>
      </c>
      <c r="J5482" t="s">
        <v>10213</v>
      </c>
      <c r="K5482" t="s">
        <v>10217</v>
      </c>
      <c r="M5482" t="s">
        <v>10280</v>
      </c>
      <c r="N5482" t="s">
        <v>10671</v>
      </c>
      <c r="P5482" t="s">
        <v>10751</v>
      </c>
      <c r="Q5482" t="s">
        <v>10768</v>
      </c>
      <c r="R5482" t="s">
        <v>10822</v>
      </c>
      <c r="T5482">
        <v>10968</v>
      </c>
      <c r="U5482">
        <v>914</v>
      </c>
      <c r="V5482">
        <v>44</v>
      </c>
      <c r="W5482">
        <v>1</v>
      </c>
      <c r="X5482">
        <v>0</v>
      </c>
      <c r="Z5482">
        <v>87.81</v>
      </c>
      <c r="AA5482">
        <v>40.660029</v>
      </c>
      <c r="AB5482">
        <v>-73.88153699999999</v>
      </c>
      <c r="AD5482" t="s">
        <v>10839</v>
      </c>
      <c r="AG5482" t="s">
        <v>10858</v>
      </c>
      <c r="AH5482" t="s">
        <v>10861</v>
      </c>
      <c r="AI5482">
        <v>234</v>
      </c>
      <c r="AJ5482" t="s">
        <v>10214</v>
      </c>
      <c r="AL5482">
        <v>0.8</v>
      </c>
      <c r="AR5482" t="s">
        <v>11274</v>
      </c>
      <c r="AS5482" t="s">
        <v>11595</v>
      </c>
      <c r="AT5482" t="s">
        <v>11641</v>
      </c>
      <c r="AX5482" t="s">
        <v>10838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</row>
    <row r="5483" spans="1:59">
      <c r="A5483" s="1">
        <f>HYPERLINK("https://lsnyc.legalserver.org/matter/dynamic-profile/view/1909739","19-1909739")</f>
        <v>0</v>
      </c>
      <c r="B5483" t="s">
        <v>4323</v>
      </c>
      <c r="C5483" t="s">
        <v>9171</v>
      </c>
      <c r="D5483" t="s">
        <v>9928</v>
      </c>
      <c r="E5483" t="s">
        <v>10075</v>
      </c>
      <c r="F5483">
        <v>11203</v>
      </c>
      <c r="G5483" t="s">
        <v>10093</v>
      </c>
      <c r="H5483" t="s">
        <v>10116</v>
      </c>
      <c r="I5483" t="s">
        <v>10168</v>
      </c>
      <c r="J5483" t="s">
        <v>10213</v>
      </c>
      <c r="K5483" t="s">
        <v>10217</v>
      </c>
      <c r="M5483" t="s">
        <v>10435</v>
      </c>
      <c r="N5483" t="s">
        <v>10671</v>
      </c>
      <c r="P5483" t="s">
        <v>10750</v>
      </c>
      <c r="Q5483" t="s">
        <v>10799</v>
      </c>
      <c r="R5483" t="s">
        <v>10824</v>
      </c>
      <c r="T5483">
        <v>14400</v>
      </c>
      <c r="U5483">
        <v>1200</v>
      </c>
      <c r="V5483">
        <v>29</v>
      </c>
      <c r="W5483">
        <v>1</v>
      </c>
      <c r="X5483">
        <v>0</v>
      </c>
      <c r="Z5483">
        <v>115.29</v>
      </c>
      <c r="AA5483">
        <v>40.65261</v>
      </c>
      <c r="AB5483">
        <v>-73.930919</v>
      </c>
      <c r="AD5483" t="s">
        <v>10839</v>
      </c>
      <c r="AG5483" t="s">
        <v>10858</v>
      </c>
      <c r="AH5483" t="s">
        <v>10861</v>
      </c>
      <c r="AI5483">
        <v>234</v>
      </c>
      <c r="AJ5483" t="s">
        <v>10214</v>
      </c>
      <c r="AL5483">
        <v>1</v>
      </c>
      <c r="AM5483" t="s">
        <v>10888</v>
      </c>
      <c r="AN5483" t="s">
        <v>10925</v>
      </c>
      <c r="AO5483" t="s">
        <v>11005</v>
      </c>
      <c r="AP5483" t="s">
        <v>11064</v>
      </c>
      <c r="AR5483" t="s">
        <v>11257</v>
      </c>
      <c r="AS5483" t="s">
        <v>11595</v>
      </c>
      <c r="AT5483" t="s">
        <v>11641</v>
      </c>
      <c r="AX5483" t="s">
        <v>10838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</row>
    <row r="5484" spans="1:59">
      <c r="A5484" s="1">
        <f>HYPERLINK("https://lsnyc.legalserver.org/matter/dynamic-profile/view/1909741","19-1909741")</f>
        <v>0</v>
      </c>
      <c r="B5484" t="s">
        <v>4324</v>
      </c>
      <c r="C5484" t="s">
        <v>9172</v>
      </c>
      <c r="D5484" t="s">
        <v>9926</v>
      </c>
      <c r="E5484" t="s">
        <v>10075</v>
      </c>
      <c r="F5484">
        <v>10468</v>
      </c>
      <c r="G5484" t="s">
        <v>10090</v>
      </c>
      <c r="H5484" t="s">
        <v>10153</v>
      </c>
      <c r="I5484" t="s">
        <v>10168</v>
      </c>
      <c r="J5484" t="s">
        <v>10210</v>
      </c>
      <c r="K5484" t="s">
        <v>10217</v>
      </c>
      <c r="M5484" t="s">
        <v>10417</v>
      </c>
      <c r="N5484" t="s">
        <v>10651</v>
      </c>
      <c r="P5484" t="s">
        <v>10749</v>
      </c>
      <c r="Q5484" t="s">
        <v>10765</v>
      </c>
      <c r="R5484" t="s">
        <v>10824</v>
      </c>
      <c r="T5484">
        <v>9252</v>
      </c>
      <c r="U5484">
        <v>771</v>
      </c>
      <c r="V5484">
        <v>29</v>
      </c>
      <c r="W5484">
        <v>1</v>
      </c>
      <c r="X5484">
        <v>0</v>
      </c>
      <c r="Z5484">
        <v>74.08</v>
      </c>
      <c r="AA5484">
        <v>40.87526</v>
      </c>
      <c r="AB5484">
        <v>-73.887736</v>
      </c>
      <c r="AD5484" t="s">
        <v>10840</v>
      </c>
      <c r="AG5484" t="s">
        <v>10858</v>
      </c>
      <c r="AH5484" t="s">
        <v>10862</v>
      </c>
      <c r="AI5484">
        <v>230</v>
      </c>
      <c r="AJ5484" t="s">
        <v>10210</v>
      </c>
      <c r="AL5484">
        <v>3.5</v>
      </c>
      <c r="AM5484" t="s">
        <v>10887</v>
      </c>
      <c r="AN5484" t="s">
        <v>10907</v>
      </c>
      <c r="AO5484" t="s">
        <v>11010</v>
      </c>
      <c r="AP5484" t="s">
        <v>11057</v>
      </c>
      <c r="AR5484" t="s">
        <v>11263</v>
      </c>
      <c r="AS5484" t="s">
        <v>9926</v>
      </c>
      <c r="AT5484" t="s">
        <v>11641</v>
      </c>
      <c r="AX5484" t="s">
        <v>10838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</row>
    <row r="5485" spans="1:59">
      <c r="A5485" s="1">
        <f>HYPERLINK("https://lsnyc.legalserver.org/matter/dynamic-profile/view/1909742","19-1909742")</f>
        <v>0</v>
      </c>
      <c r="B5485" t="s">
        <v>2128</v>
      </c>
      <c r="C5485" t="s">
        <v>9152</v>
      </c>
      <c r="D5485" t="s">
        <v>9926</v>
      </c>
      <c r="E5485" t="s">
        <v>10075</v>
      </c>
      <c r="F5485">
        <v>10472</v>
      </c>
      <c r="G5485" t="s">
        <v>10090</v>
      </c>
      <c r="H5485" t="s">
        <v>10116</v>
      </c>
      <c r="I5485" t="s">
        <v>10168</v>
      </c>
      <c r="J5485" t="s">
        <v>10210</v>
      </c>
      <c r="K5485" t="s">
        <v>10217</v>
      </c>
      <c r="M5485" t="s">
        <v>10510</v>
      </c>
      <c r="N5485" t="s">
        <v>10688</v>
      </c>
      <c r="P5485" t="s">
        <v>10757</v>
      </c>
      <c r="Q5485" t="s">
        <v>10789</v>
      </c>
      <c r="R5485" t="s">
        <v>10824</v>
      </c>
      <c r="T5485">
        <v>14976</v>
      </c>
      <c r="U5485">
        <v>1248</v>
      </c>
      <c r="V5485">
        <v>42</v>
      </c>
      <c r="W5485">
        <v>2</v>
      </c>
      <c r="X5485">
        <v>0</v>
      </c>
      <c r="Z5485">
        <v>88.56</v>
      </c>
      <c r="AA5485">
        <v>40.827121</v>
      </c>
      <c r="AB5485">
        <v>-73.867633</v>
      </c>
      <c r="AD5485" t="s">
        <v>10840</v>
      </c>
      <c r="AG5485" t="s">
        <v>10858</v>
      </c>
      <c r="AH5485" t="s">
        <v>10874</v>
      </c>
      <c r="AI5485">
        <v>230</v>
      </c>
      <c r="AJ5485" t="s">
        <v>10210</v>
      </c>
      <c r="AL5485">
        <v>0.75</v>
      </c>
      <c r="AM5485" t="s">
        <v>10884</v>
      </c>
      <c r="AN5485" t="s">
        <v>10968</v>
      </c>
      <c r="AO5485" t="s">
        <v>11001</v>
      </c>
      <c r="AP5485" t="s">
        <v>11046</v>
      </c>
      <c r="AQ5485" t="s">
        <v>11196</v>
      </c>
      <c r="AR5485" t="s">
        <v>11432</v>
      </c>
      <c r="AS5485" t="s">
        <v>9926</v>
      </c>
      <c r="AT5485" t="s">
        <v>11642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</row>
    <row r="5486" spans="1:59">
      <c r="A5486" s="1">
        <f>HYPERLINK("https://lsnyc.legalserver.org/matter/dynamic-profile/view/1909743","19-1909743")</f>
        <v>0</v>
      </c>
      <c r="B5486" t="s">
        <v>4325</v>
      </c>
      <c r="C5486" t="s">
        <v>9173</v>
      </c>
      <c r="D5486" t="s">
        <v>9928</v>
      </c>
      <c r="E5486" t="s">
        <v>10075</v>
      </c>
      <c r="F5486">
        <v>11223</v>
      </c>
      <c r="G5486" t="s">
        <v>10093</v>
      </c>
      <c r="H5486" t="s">
        <v>10116</v>
      </c>
      <c r="I5486" t="s">
        <v>10168</v>
      </c>
      <c r="J5486" t="s">
        <v>10213</v>
      </c>
      <c r="K5486" t="s">
        <v>10217</v>
      </c>
      <c r="M5486" t="s">
        <v>10315</v>
      </c>
      <c r="N5486" t="s">
        <v>10686</v>
      </c>
      <c r="P5486" t="s">
        <v>10750</v>
      </c>
      <c r="Q5486" t="s">
        <v>10778</v>
      </c>
      <c r="R5486" t="s">
        <v>10820</v>
      </c>
      <c r="T5486">
        <v>21600</v>
      </c>
      <c r="U5486">
        <v>1800</v>
      </c>
      <c r="V5486">
        <v>61</v>
      </c>
      <c r="W5486">
        <v>1</v>
      </c>
      <c r="X5486">
        <v>0</v>
      </c>
      <c r="Z5486">
        <v>172.94</v>
      </c>
      <c r="AA5486">
        <v>40.58474</v>
      </c>
      <c r="AB5486">
        <v>-73.968081</v>
      </c>
      <c r="AD5486" t="s">
        <v>10840</v>
      </c>
      <c r="AG5486" t="s">
        <v>10858</v>
      </c>
      <c r="AH5486" t="s">
        <v>10861</v>
      </c>
      <c r="AI5486">
        <v>234</v>
      </c>
      <c r="AJ5486" t="s">
        <v>10214</v>
      </c>
      <c r="AL5486">
        <v>2.5</v>
      </c>
      <c r="AM5486" t="s">
        <v>10883</v>
      </c>
      <c r="AN5486" t="s">
        <v>10960</v>
      </c>
      <c r="AO5486" t="s">
        <v>11006</v>
      </c>
      <c r="AP5486" t="s">
        <v>11087</v>
      </c>
      <c r="AR5486" t="s">
        <v>11296</v>
      </c>
      <c r="AS5486" t="s">
        <v>11595</v>
      </c>
      <c r="AT5486" t="s">
        <v>11642</v>
      </c>
      <c r="AX5486" t="s">
        <v>10838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</row>
    <row r="5487" spans="1:59">
      <c r="A5487" s="1">
        <f>HYPERLINK("https://lsnyc.legalserver.org/matter/dynamic-profile/view/1909744","19-1909744")</f>
        <v>0</v>
      </c>
      <c r="B5487" t="s">
        <v>4326</v>
      </c>
      <c r="C5487" t="s">
        <v>9174</v>
      </c>
      <c r="D5487" t="s">
        <v>9928</v>
      </c>
      <c r="E5487" t="s">
        <v>10075</v>
      </c>
      <c r="F5487">
        <v>11218</v>
      </c>
      <c r="G5487" t="s">
        <v>10091</v>
      </c>
      <c r="H5487" t="s">
        <v>10116</v>
      </c>
      <c r="I5487" t="s">
        <v>10168</v>
      </c>
      <c r="J5487" t="s">
        <v>10211</v>
      </c>
      <c r="K5487" t="s">
        <v>10218</v>
      </c>
      <c r="L5487" t="s">
        <v>10223</v>
      </c>
      <c r="M5487" t="s">
        <v>10231</v>
      </c>
      <c r="N5487" t="s">
        <v>10647</v>
      </c>
      <c r="P5487" t="s">
        <v>10752</v>
      </c>
      <c r="Q5487" t="s">
        <v>10762</v>
      </c>
      <c r="R5487" t="s">
        <v>10821</v>
      </c>
      <c r="T5487">
        <v>0</v>
      </c>
      <c r="U5487">
        <v>0</v>
      </c>
      <c r="V5487">
        <v>32</v>
      </c>
      <c r="W5487">
        <v>1</v>
      </c>
      <c r="X5487">
        <v>2</v>
      </c>
      <c r="Y5487" t="s">
        <v>10829</v>
      </c>
      <c r="Z5487">
        <v>0</v>
      </c>
      <c r="AA5487">
        <v>40.638432</v>
      </c>
      <c r="AB5487">
        <v>-73.975756</v>
      </c>
      <c r="AD5487" t="s">
        <v>10839</v>
      </c>
      <c r="AG5487" t="s">
        <v>10858</v>
      </c>
      <c r="AH5487" t="s">
        <v>10871</v>
      </c>
      <c r="AI5487">
        <v>234</v>
      </c>
      <c r="AJ5487" t="s">
        <v>10214</v>
      </c>
      <c r="AK5487" t="s">
        <v>10882</v>
      </c>
      <c r="AL5487">
        <v>1.2</v>
      </c>
      <c r="AM5487" t="s">
        <v>10894</v>
      </c>
      <c r="AN5487" t="s">
        <v>10941</v>
      </c>
      <c r="AO5487" t="s">
        <v>11008</v>
      </c>
      <c r="AP5487" t="s">
        <v>11059</v>
      </c>
      <c r="AR5487" t="s">
        <v>11279</v>
      </c>
      <c r="AS5487" t="s">
        <v>11595</v>
      </c>
      <c r="AT5487" t="s">
        <v>11641</v>
      </c>
      <c r="AX5487" t="s">
        <v>10838</v>
      </c>
      <c r="AY5487" t="s">
        <v>10829</v>
      </c>
      <c r="AZ5487" t="s">
        <v>11680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</row>
    <row r="5488" spans="1:59">
      <c r="A5488" s="1">
        <f>HYPERLINK("https://lsnyc.legalserver.org/matter/dynamic-profile/view/1909745","19-1909745")</f>
        <v>0</v>
      </c>
      <c r="B5488" t="s">
        <v>4327</v>
      </c>
      <c r="C5488" t="s">
        <v>9175</v>
      </c>
      <c r="D5488" t="s">
        <v>9931</v>
      </c>
      <c r="E5488" t="s">
        <v>10075</v>
      </c>
      <c r="F5488">
        <v>11354</v>
      </c>
      <c r="G5488" t="s">
        <v>10092</v>
      </c>
      <c r="H5488" t="s">
        <v>10116</v>
      </c>
      <c r="I5488" t="s">
        <v>10189</v>
      </c>
      <c r="J5488" t="s">
        <v>10212</v>
      </c>
      <c r="K5488" t="s">
        <v>10217</v>
      </c>
      <c r="M5488" t="s">
        <v>10295</v>
      </c>
      <c r="N5488" t="s">
        <v>10674</v>
      </c>
      <c r="P5488" t="s">
        <v>10754</v>
      </c>
      <c r="Q5488" t="s">
        <v>10770</v>
      </c>
      <c r="R5488" t="s">
        <v>10827</v>
      </c>
      <c r="T5488">
        <v>18200</v>
      </c>
      <c r="U5488">
        <v>1516.67</v>
      </c>
      <c r="V5488">
        <v>48</v>
      </c>
      <c r="W5488">
        <v>1</v>
      </c>
      <c r="X5488">
        <v>1</v>
      </c>
      <c r="Z5488">
        <v>107.63</v>
      </c>
      <c r="AA5488">
        <v>40.760821</v>
      </c>
      <c r="AB5488">
        <v>-73.83108199999999</v>
      </c>
      <c r="AD5488" t="s">
        <v>10839</v>
      </c>
      <c r="AF5488" t="s">
        <v>10843</v>
      </c>
      <c r="AG5488" t="s">
        <v>10859</v>
      </c>
      <c r="AH5488" t="s">
        <v>10865</v>
      </c>
      <c r="AI5488">
        <v>237</v>
      </c>
      <c r="AJ5488" t="s">
        <v>10212</v>
      </c>
      <c r="AL5488">
        <v>1.25</v>
      </c>
      <c r="AR5488" t="s">
        <v>11257</v>
      </c>
      <c r="AS5488" t="s">
        <v>11594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</row>
    <row r="5489" spans="1:59">
      <c r="A5489" s="1">
        <f>HYPERLINK("https://lsnyc.legalserver.org/matter/dynamic-profile/view/1909746","19-1909746")</f>
        <v>0</v>
      </c>
      <c r="B5489" t="s">
        <v>4328</v>
      </c>
      <c r="C5489" t="s">
        <v>9176</v>
      </c>
      <c r="D5489" t="s">
        <v>9959</v>
      </c>
      <c r="E5489" t="s">
        <v>10075</v>
      </c>
      <c r="F5489">
        <v>11356</v>
      </c>
      <c r="G5489" t="s">
        <v>10092</v>
      </c>
      <c r="H5489" t="s">
        <v>10116</v>
      </c>
      <c r="I5489" t="s">
        <v>10189</v>
      </c>
      <c r="J5489" t="s">
        <v>10212</v>
      </c>
      <c r="K5489" t="s">
        <v>10217</v>
      </c>
      <c r="M5489" t="s">
        <v>10295</v>
      </c>
      <c r="N5489" t="s">
        <v>10674</v>
      </c>
      <c r="P5489" t="s">
        <v>10754</v>
      </c>
      <c r="Q5489" t="s">
        <v>10775</v>
      </c>
      <c r="R5489" t="s">
        <v>10827</v>
      </c>
      <c r="T5489">
        <v>0</v>
      </c>
      <c r="U5489">
        <v>0</v>
      </c>
      <c r="V5489">
        <v>48</v>
      </c>
      <c r="W5489">
        <v>3</v>
      </c>
      <c r="X5489">
        <v>0</v>
      </c>
      <c r="Z5489">
        <v>0</v>
      </c>
      <c r="AA5489">
        <v>40.783071</v>
      </c>
      <c r="AB5489">
        <v>-73.846891</v>
      </c>
      <c r="AD5489" t="s">
        <v>10839</v>
      </c>
      <c r="AG5489" t="s">
        <v>10858</v>
      </c>
      <c r="AH5489" t="s">
        <v>10865</v>
      </c>
      <c r="AI5489">
        <v>237</v>
      </c>
      <c r="AJ5489" t="s">
        <v>10212</v>
      </c>
      <c r="AL5489">
        <v>1.25</v>
      </c>
      <c r="AM5489" t="s">
        <v>10885</v>
      </c>
      <c r="AN5489" t="s">
        <v>10962</v>
      </c>
      <c r="AO5489" t="s">
        <v>11022</v>
      </c>
      <c r="AP5489" t="s">
        <v>11080</v>
      </c>
      <c r="AR5489" t="s">
        <v>11267</v>
      </c>
      <c r="AS5489" t="s">
        <v>11594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</row>
    <row r="5490" spans="1:59">
      <c r="A5490" s="1">
        <f>HYPERLINK("https://lsnyc.legalserver.org/matter/dynamic-profile/view/1909747","19-1909747")</f>
        <v>0</v>
      </c>
      <c r="B5490" t="s">
        <v>4329</v>
      </c>
      <c r="C5490" t="s">
        <v>9177</v>
      </c>
      <c r="D5490" t="s">
        <v>9928</v>
      </c>
      <c r="E5490" t="s">
        <v>10075</v>
      </c>
      <c r="F5490">
        <v>11210</v>
      </c>
      <c r="G5490" t="s">
        <v>10093</v>
      </c>
      <c r="H5490" t="s">
        <v>10116</v>
      </c>
      <c r="I5490" t="s">
        <v>10168</v>
      </c>
      <c r="J5490" t="s">
        <v>10213</v>
      </c>
      <c r="K5490" t="s">
        <v>10218</v>
      </c>
      <c r="L5490" t="s">
        <v>10156</v>
      </c>
      <c r="M5490" t="s">
        <v>10291</v>
      </c>
      <c r="N5490" t="s">
        <v>10664</v>
      </c>
      <c r="P5490" t="s">
        <v>10749</v>
      </c>
      <c r="Q5490" t="s">
        <v>10765</v>
      </c>
      <c r="R5490" t="s">
        <v>10824</v>
      </c>
      <c r="T5490">
        <v>20500</v>
      </c>
      <c r="U5490">
        <v>1708.33</v>
      </c>
      <c r="V5490">
        <v>30</v>
      </c>
      <c r="W5490">
        <v>4</v>
      </c>
      <c r="X5490">
        <v>1</v>
      </c>
      <c r="Y5490" t="s">
        <v>10829</v>
      </c>
      <c r="Z5490">
        <v>67.95</v>
      </c>
      <c r="AA5490">
        <v>40.636905</v>
      </c>
      <c r="AB5490">
        <v>-73.95165299999999</v>
      </c>
      <c r="AD5490" t="s">
        <v>10839</v>
      </c>
      <c r="AF5490" t="s">
        <v>10843</v>
      </c>
      <c r="AG5490" t="s">
        <v>10858</v>
      </c>
      <c r="AH5490" t="s">
        <v>10862</v>
      </c>
      <c r="AI5490">
        <v>239</v>
      </c>
      <c r="AJ5490" t="s">
        <v>10213</v>
      </c>
      <c r="AK5490" t="s">
        <v>10882</v>
      </c>
      <c r="AL5490">
        <v>0.5</v>
      </c>
      <c r="AM5490" t="s">
        <v>10888</v>
      </c>
      <c r="AN5490" t="s">
        <v>10932</v>
      </c>
      <c r="AO5490" t="s">
        <v>11008</v>
      </c>
      <c r="AP5490" t="s">
        <v>11065</v>
      </c>
      <c r="AR5490" t="s">
        <v>11257</v>
      </c>
      <c r="AS5490" t="s">
        <v>11595</v>
      </c>
      <c r="AX5490" t="s">
        <v>10838</v>
      </c>
      <c r="AY5490" t="s">
        <v>10829</v>
      </c>
      <c r="AZ5490" t="s">
        <v>11681</v>
      </c>
      <c r="BA5490" t="s">
        <v>11741</v>
      </c>
      <c r="BB5490">
        <v>0</v>
      </c>
      <c r="BC5490">
        <v>0</v>
      </c>
      <c r="BD5490">
        <v>0</v>
      </c>
      <c r="BE5490">
        <v>0</v>
      </c>
      <c r="BF5490">
        <v>1</v>
      </c>
      <c r="BG5490">
        <v>0</v>
      </c>
    </row>
    <row r="5491" spans="1:59">
      <c r="A5491" s="1">
        <f>HYPERLINK("https://lsnyc.legalserver.org/matter/dynamic-profile/view/1909748","19-1909748")</f>
        <v>0</v>
      </c>
      <c r="B5491" t="s">
        <v>4330</v>
      </c>
      <c r="C5491" t="s">
        <v>9178</v>
      </c>
      <c r="D5491" t="s">
        <v>9928</v>
      </c>
      <c r="E5491" t="s">
        <v>10075</v>
      </c>
      <c r="F5491">
        <v>11235</v>
      </c>
      <c r="G5491" t="s">
        <v>10093</v>
      </c>
      <c r="H5491" t="s">
        <v>10116</v>
      </c>
      <c r="I5491" t="s">
        <v>10171</v>
      </c>
      <c r="J5491" t="s">
        <v>10213</v>
      </c>
      <c r="K5491" t="s">
        <v>10218</v>
      </c>
      <c r="L5491" t="s">
        <v>10136</v>
      </c>
      <c r="M5491" t="s">
        <v>10317</v>
      </c>
      <c r="N5491" t="s">
        <v>10671</v>
      </c>
      <c r="P5491" t="s">
        <v>10757</v>
      </c>
      <c r="Q5491" t="s">
        <v>10808</v>
      </c>
      <c r="R5491" t="s">
        <v>10820</v>
      </c>
      <c r="T5491">
        <v>13200</v>
      </c>
      <c r="U5491">
        <v>1100</v>
      </c>
      <c r="V5491">
        <v>82</v>
      </c>
      <c r="W5491">
        <v>1</v>
      </c>
      <c r="X5491">
        <v>0</v>
      </c>
      <c r="Y5491" t="s">
        <v>10829</v>
      </c>
      <c r="Z5491">
        <v>105.68</v>
      </c>
      <c r="AA5491">
        <v>40.580909</v>
      </c>
      <c r="AB5491">
        <v>-73.968356</v>
      </c>
      <c r="AD5491" t="s">
        <v>10839</v>
      </c>
      <c r="AG5491" t="s">
        <v>10858</v>
      </c>
      <c r="AH5491" t="s">
        <v>10861</v>
      </c>
      <c r="AI5491">
        <v>234</v>
      </c>
      <c r="AJ5491" t="s">
        <v>10214</v>
      </c>
      <c r="AK5491" t="s">
        <v>10838</v>
      </c>
      <c r="AL5491">
        <v>2.85</v>
      </c>
      <c r="AM5491" t="s">
        <v>10889</v>
      </c>
      <c r="AN5491" t="s">
        <v>10960</v>
      </c>
      <c r="AO5491" t="s">
        <v>11006</v>
      </c>
      <c r="AP5491" t="s">
        <v>11087</v>
      </c>
      <c r="AR5491" t="s">
        <v>11316</v>
      </c>
      <c r="AS5491" t="s">
        <v>11595</v>
      </c>
      <c r="AT5491" t="s">
        <v>11641</v>
      </c>
      <c r="AX5491" t="s">
        <v>10838</v>
      </c>
      <c r="AY5491" t="s">
        <v>10829</v>
      </c>
      <c r="AZ5491" t="s">
        <v>11703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</row>
    <row r="5492" spans="1:59">
      <c r="A5492" s="1">
        <f>HYPERLINK("https://lsnyc.legalserver.org/matter/dynamic-profile/view/1909749","19-1909749")</f>
        <v>0</v>
      </c>
      <c r="B5492" t="s">
        <v>4331</v>
      </c>
      <c r="C5492" t="s">
        <v>9179</v>
      </c>
      <c r="D5492" t="s">
        <v>9931</v>
      </c>
      <c r="E5492" t="s">
        <v>10075</v>
      </c>
      <c r="F5492">
        <v>11355</v>
      </c>
      <c r="G5492" t="s">
        <v>10091</v>
      </c>
      <c r="H5492" t="s">
        <v>10116</v>
      </c>
      <c r="I5492" t="s">
        <v>10168</v>
      </c>
      <c r="J5492" t="s">
        <v>10214</v>
      </c>
      <c r="K5492" t="s">
        <v>10217</v>
      </c>
      <c r="M5492" t="s">
        <v>10286</v>
      </c>
      <c r="N5492" t="s">
        <v>10646</v>
      </c>
      <c r="P5492" t="s">
        <v>10752</v>
      </c>
      <c r="Q5492" t="s">
        <v>10762</v>
      </c>
      <c r="R5492" t="s">
        <v>10820</v>
      </c>
      <c r="T5492">
        <v>34000</v>
      </c>
      <c r="U5492">
        <v>2833.33</v>
      </c>
      <c r="V5492">
        <v>66</v>
      </c>
      <c r="W5492">
        <v>2</v>
      </c>
      <c r="X5492">
        <v>0</v>
      </c>
      <c r="Z5492">
        <v>201.06</v>
      </c>
      <c r="AA5492">
        <v>40.754464</v>
      </c>
      <c r="AB5492">
        <v>-73.824681</v>
      </c>
      <c r="AD5492" t="s">
        <v>10839</v>
      </c>
      <c r="AG5492" t="s">
        <v>10858</v>
      </c>
      <c r="AH5492" t="s">
        <v>10861</v>
      </c>
      <c r="AI5492">
        <v>234</v>
      </c>
      <c r="AJ5492" t="s">
        <v>10214</v>
      </c>
      <c r="AL5492">
        <v>0.5</v>
      </c>
      <c r="AM5492" t="s">
        <v>10890</v>
      </c>
      <c r="AN5492" t="s">
        <v>10927</v>
      </c>
      <c r="AO5492" t="s">
        <v>11009</v>
      </c>
      <c r="AP5492" t="s">
        <v>11067</v>
      </c>
      <c r="AR5492" t="s">
        <v>11300</v>
      </c>
      <c r="AS5492" t="s">
        <v>11594</v>
      </c>
      <c r="AT5492" t="s">
        <v>11641</v>
      </c>
      <c r="AX5492" t="s">
        <v>10838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</row>
    <row r="5493" spans="1:59">
      <c r="A5493" s="1">
        <f>HYPERLINK("https://lsnyc.legalserver.org/matter/dynamic-profile/view/1909750","19-1909750")</f>
        <v>0</v>
      </c>
      <c r="B5493" t="s">
        <v>4332</v>
      </c>
      <c r="C5493" t="s">
        <v>9180</v>
      </c>
      <c r="D5493" t="s">
        <v>9950</v>
      </c>
      <c r="E5493" t="s">
        <v>10075</v>
      </c>
      <c r="F5493">
        <v>11418</v>
      </c>
      <c r="G5493" t="s">
        <v>10092</v>
      </c>
      <c r="H5493" t="s">
        <v>10116</v>
      </c>
      <c r="I5493" t="s">
        <v>10168</v>
      </c>
      <c r="J5493" t="s">
        <v>10212</v>
      </c>
      <c r="K5493" t="s">
        <v>10217</v>
      </c>
      <c r="M5493" t="s">
        <v>10311</v>
      </c>
      <c r="N5493" t="s">
        <v>10684</v>
      </c>
      <c r="P5493" t="s">
        <v>10751</v>
      </c>
      <c r="Q5493" t="s">
        <v>10786</v>
      </c>
      <c r="R5493" t="s">
        <v>10823</v>
      </c>
      <c r="T5493">
        <v>3000</v>
      </c>
      <c r="U5493">
        <v>250</v>
      </c>
      <c r="V5493">
        <v>15</v>
      </c>
      <c r="W5493">
        <v>1</v>
      </c>
      <c r="X5493">
        <v>2</v>
      </c>
      <c r="Z5493">
        <v>14.06</v>
      </c>
      <c r="AA5493">
        <v>40.704296</v>
      </c>
      <c r="AB5493">
        <v>-73.820598</v>
      </c>
      <c r="AD5493" t="s">
        <v>10840</v>
      </c>
      <c r="AG5493" t="s">
        <v>10858</v>
      </c>
      <c r="AH5493" t="s">
        <v>10874</v>
      </c>
      <c r="AI5493">
        <v>237</v>
      </c>
      <c r="AJ5493" t="s">
        <v>10212</v>
      </c>
      <c r="AL5493">
        <v>1.75</v>
      </c>
      <c r="AM5493" t="s">
        <v>10890</v>
      </c>
      <c r="AN5493" t="s">
        <v>10962</v>
      </c>
      <c r="AO5493" t="s">
        <v>11020</v>
      </c>
      <c r="AP5493" t="s">
        <v>11083</v>
      </c>
      <c r="AR5493" t="s">
        <v>11257</v>
      </c>
      <c r="AS5493" t="s">
        <v>11594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</row>
    <row r="5494" spans="1:59">
      <c r="A5494" s="1">
        <f>HYPERLINK("https://lsnyc.legalserver.org/matter/dynamic-profile/view/1909751","19-1909751")</f>
        <v>0</v>
      </c>
      <c r="B5494" t="s">
        <v>2514</v>
      </c>
      <c r="C5494" t="s">
        <v>9181</v>
      </c>
      <c r="D5494" t="s">
        <v>9948</v>
      </c>
      <c r="E5494" t="s">
        <v>10075</v>
      </c>
      <c r="F5494">
        <v>11691</v>
      </c>
      <c r="G5494" t="s">
        <v>10092</v>
      </c>
      <c r="H5494" t="s">
        <v>10116</v>
      </c>
      <c r="I5494" t="s">
        <v>10168</v>
      </c>
      <c r="J5494" t="s">
        <v>10212</v>
      </c>
      <c r="K5494" t="s">
        <v>10217</v>
      </c>
      <c r="M5494" t="s">
        <v>10325</v>
      </c>
      <c r="N5494" t="s">
        <v>10671</v>
      </c>
      <c r="P5494" t="s">
        <v>10757</v>
      </c>
      <c r="Q5494" t="s">
        <v>10789</v>
      </c>
      <c r="R5494" t="s">
        <v>10824</v>
      </c>
      <c r="T5494">
        <v>20280</v>
      </c>
      <c r="U5494">
        <v>1690</v>
      </c>
      <c r="V5494">
        <v>39</v>
      </c>
      <c r="W5494">
        <v>2</v>
      </c>
      <c r="X5494">
        <v>1</v>
      </c>
      <c r="Z5494">
        <v>95.08</v>
      </c>
      <c r="AA5494">
        <v>40.608918</v>
      </c>
      <c r="AB5494">
        <v>-73.757605</v>
      </c>
      <c r="AD5494" t="s">
        <v>10839</v>
      </c>
      <c r="AG5494" t="s">
        <v>10858</v>
      </c>
      <c r="AH5494" t="s">
        <v>10861</v>
      </c>
      <c r="AI5494">
        <v>234</v>
      </c>
      <c r="AJ5494" t="s">
        <v>10214</v>
      </c>
      <c r="AL5494">
        <v>0.4</v>
      </c>
      <c r="AM5494" t="s">
        <v>10892</v>
      </c>
      <c r="AN5494" t="s">
        <v>10930</v>
      </c>
      <c r="AO5494" t="s">
        <v>11017</v>
      </c>
      <c r="AP5494" t="s">
        <v>11082</v>
      </c>
      <c r="AR5494" t="s">
        <v>11262</v>
      </c>
      <c r="AS5494" t="s">
        <v>11594</v>
      </c>
      <c r="AT5494" t="s">
        <v>11641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</row>
    <row r="5495" spans="1:59">
      <c r="A5495" s="1">
        <f>HYPERLINK("https://lsnyc.legalserver.org/matter/dynamic-profile/view/1909752","19-1909752")</f>
        <v>0</v>
      </c>
      <c r="B5495" t="s">
        <v>2573</v>
      </c>
      <c r="C5495" t="s">
        <v>9182</v>
      </c>
      <c r="D5495" t="s">
        <v>9925</v>
      </c>
      <c r="E5495" t="s">
        <v>10075</v>
      </c>
      <c r="F5495">
        <v>10034</v>
      </c>
      <c r="G5495" t="s">
        <v>10089</v>
      </c>
      <c r="H5495" t="s">
        <v>10116</v>
      </c>
      <c r="I5495" t="s">
        <v>10168</v>
      </c>
      <c r="J5495" t="s">
        <v>10209</v>
      </c>
      <c r="K5495" t="s">
        <v>10217</v>
      </c>
      <c r="M5495" t="s">
        <v>10483</v>
      </c>
      <c r="N5495" t="s">
        <v>10650</v>
      </c>
      <c r="P5495" t="s">
        <v>10749</v>
      </c>
      <c r="Q5495" t="s">
        <v>10765</v>
      </c>
      <c r="R5495" t="s">
        <v>10824</v>
      </c>
      <c r="T5495">
        <v>13000</v>
      </c>
      <c r="U5495">
        <v>1083.33</v>
      </c>
      <c r="V5495">
        <v>38</v>
      </c>
      <c r="W5495">
        <v>1</v>
      </c>
      <c r="X5495">
        <v>0</v>
      </c>
      <c r="Z5495">
        <v>104.08</v>
      </c>
      <c r="AA5495">
        <v>40.867219</v>
      </c>
      <c r="AB5495">
        <v>-73.9187</v>
      </c>
      <c r="AD5495" t="s">
        <v>10839</v>
      </c>
      <c r="AG5495" t="s">
        <v>10858</v>
      </c>
      <c r="AH5495" t="s">
        <v>10871</v>
      </c>
      <c r="AI5495">
        <v>234</v>
      </c>
      <c r="AJ5495" t="s">
        <v>10214</v>
      </c>
      <c r="AL5495">
        <v>0.44</v>
      </c>
      <c r="AM5495" t="s">
        <v>10887</v>
      </c>
      <c r="AN5495" t="s">
        <v>10937</v>
      </c>
      <c r="AO5495" t="s">
        <v>11019</v>
      </c>
      <c r="AP5495" t="s">
        <v>11074</v>
      </c>
      <c r="AR5495" t="s">
        <v>11257</v>
      </c>
      <c r="AS5495" t="s">
        <v>9925</v>
      </c>
      <c r="AT5495" t="s">
        <v>11641</v>
      </c>
      <c r="AX5495" t="s">
        <v>10837</v>
      </c>
      <c r="BA5495" t="s">
        <v>11742</v>
      </c>
      <c r="BB5495">
        <v>0</v>
      </c>
      <c r="BC5495">
        <v>0</v>
      </c>
      <c r="BD5495">
        <v>0</v>
      </c>
      <c r="BE5495">
        <v>0</v>
      </c>
      <c r="BF5495">
        <v>7</v>
      </c>
      <c r="BG5495">
        <v>0</v>
      </c>
    </row>
    <row r="5496" spans="1:59">
      <c r="A5496" s="1">
        <f>HYPERLINK("https://lsnyc.legalserver.org/matter/dynamic-profile/view/1909753","19-1909753")</f>
        <v>0</v>
      </c>
      <c r="B5496" t="s">
        <v>4333</v>
      </c>
      <c r="C5496" t="s">
        <v>9183</v>
      </c>
      <c r="D5496" t="s">
        <v>9928</v>
      </c>
      <c r="E5496" t="s">
        <v>10075</v>
      </c>
      <c r="F5496">
        <v>11239</v>
      </c>
      <c r="G5496" t="s">
        <v>10093</v>
      </c>
      <c r="H5496" t="s">
        <v>10116</v>
      </c>
      <c r="I5496" t="s">
        <v>10169</v>
      </c>
      <c r="J5496" t="s">
        <v>10213</v>
      </c>
      <c r="K5496" t="s">
        <v>10217</v>
      </c>
      <c r="M5496" t="s">
        <v>10382</v>
      </c>
      <c r="N5496" t="s">
        <v>10657</v>
      </c>
      <c r="P5496" t="s">
        <v>10753</v>
      </c>
      <c r="Q5496" t="s">
        <v>10763</v>
      </c>
      <c r="R5496" t="s">
        <v>10821</v>
      </c>
      <c r="T5496">
        <v>14400</v>
      </c>
      <c r="U5496">
        <v>1200</v>
      </c>
      <c r="V5496">
        <v>72</v>
      </c>
      <c r="W5496">
        <v>2</v>
      </c>
      <c r="X5496">
        <v>0</v>
      </c>
      <c r="Z5496">
        <v>85.16</v>
      </c>
      <c r="AA5496">
        <v>40.650972</v>
      </c>
      <c r="AB5496">
        <v>-73.88669899999999</v>
      </c>
      <c r="AD5496" t="s">
        <v>10840</v>
      </c>
      <c r="AF5496" t="s">
        <v>10843</v>
      </c>
      <c r="AG5496" t="s">
        <v>10859</v>
      </c>
      <c r="AH5496" t="s">
        <v>10862</v>
      </c>
      <c r="AI5496">
        <v>239</v>
      </c>
      <c r="AJ5496" t="s">
        <v>10213</v>
      </c>
      <c r="AL5496">
        <v>0</v>
      </c>
      <c r="AM5496" t="s">
        <v>10889</v>
      </c>
      <c r="AN5496" t="s">
        <v>10946</v>
      </c>
      <c r="AO5496" t="s">
        <v>11012</v>
      </c>
      <c r="AP5496" t="s">
        <v>11060</v>
      </c>
      <c r="AQ5496" t="s">
        <v>11108</v>
      </c>
      <c r="AR5496" t="s">
        <v>11351</v>
      </c>
      <c r="AS5496" t="s">
        <v>11595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</row>
    <row r="5497" spans="1:59">
      <c r="A5497" s="1">
        <f>HYPERLINK("https://lsnyc.legalserver.org/matter/dynamic-profile/view/1909754","19-1909754")</f>
        <v>0</v>
      </c>
      <c r="B5497" t="s">
        <v>4334</v>
      </c>
      <c r="C5497" t="s">
        <v>9184</v>
      </c>
      <c r="D5497" t="s">
        <v>9925</v>
      </c>
      <c r="E5497" t="s">
        <v>10075</v>
      </c>
      <c r="F5497">
        <v>10035</v>
      </c>
      <c r="G5497" t="s">
        <v>10089</v>
      </c>
      <c r="H5497" t="s">
        <v>10116</v>
      </c>
      <c r="J5497" t="s">
        <v>10209</v>
      </c>
      <c r="K5497" t="s">
        <v>10217</v>
      </c>
      <c r="M5497" t="s">
        <v>10402</v>
      </c>
      <c r="N5497" t="s">
        <v>10671</v>
      </c>
      <c r="P5497" t="s">
        <v>10751</v>
      </c>
      <c r="Q5497" t="s">
        <v>10780</v>
      </c>
      <c r="R5497" t="s">
        <v>10823</v>
      </c>
      <c r="T5497">
        <v>1956</v>
      </c>
      <c r="U5497">
        <v>163</v>
      </c>
      <c r="V5497">
        <v>42</v>
      </c>
      <c r="W5497">
        <v>1</v>
      </c>
      <c r="X5497">
        <v>0</v>
      </c>
      <c r="Z5497">
        <v>15.66</v>
      </c>
      <c r="AA5497">
        <v>40.800333</v>
      </c>
      <c r="AB5497">
        <v>-73.94206699999999</v>
      </c>
      <c r="AD5497" t="s">
        <v>10839</v>
      </c>
      <c r="AG5497" t="s">
        <v>10858</v>
      </c>
      <c r="AH5497" t="s">
        <v>10868</v>
      </c>
      <c r="AI5497">
        <v>236</v>
      </c>
      <c r="AJ5497" t="s">
        <v>10209</v>
      </c>
      <c r="AL5497">
        <v>5.5</v>
      </c>
      <c r="AQ5497" t="s">
        <v>11191</v>
      </c>
      <c r="AR5497" t="s">
        <v>11321</v>
      </c>
      <c r="AS5497" t="s">
        <v>9925</v>
      </c>
      <c r="AT5497" t="s">
        <v>11641</v>
      </c>
      <c r="AX5497" t="s">
        <v>10837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</row>
    <row r="5498" spans="1:59">
      <c r="A5498" s="1">
        <f>HYPERLINK("https://lsnyc.legalserver.org/matter/dynamic-profile/view/1909755","19-1909755")</f>
        <v>0</v>
      </c>
      <c r="B5498" t="s">
        <v>3421</v>
      </c>
      <c r="C5498" t="s">
        <v>9185</v>
      </c>
      <c r="D5498" t="s">
        <v>10061</v>
      </c>
      <c r="E5498" t="s">
        <v>10075</v>
      </c>
      <c r="F5498">
        <v>11364</v>
      </c>
      <c r="G5498" t="s">
        <v>10092</v>
      </c>
      <c r="H5498" t="s">
        <v>10116</v>
      </c>
      <c r="I5498" t="s">
        <v>10189</v>
      </c>
      <c r="J5498" t="s">
        <v>10212</v>
      </c>
      <c r="K5498" t="s">
        <v>10217</v>
      </c>
      <c r="M5498" t="s">
        <v>10295</v>
      </c>
      <c r="N5498" t="s">
        <v>10674</v>
      </c>
      <c r="P5498" t="s">
        <v>10754</v>
      </c>
      <c r="Q5498" t="s">
        <v>10775</v>
      </c>
      <c r="R5498" t="s">
        <v>10827</v>
      </c>
      <c r="T5498">
        <v>0</v>
      </c>
      <c r="U5498">
        <v>0</v>
      </c>
      <c r="V5498">
        <v>38</v>
      </c>
      <c r="W5498">
        <v>1</v>
      </c>
      <c r="X5498">
        <v>2</v>
      </c>
      <c r="Z5498">
        <v>0</v>
      </c>
      <c r="AA5498">
        <v>40.747392</v>
      </c>
      <c r="AB5498">
        <v>-73.752365</v>
      </c>
      <c r="AD5498" t="s">
        <v>10839</v>
      </c>
      <c r="AF5498" t="s">
        <v>10843</v>
      </c>
      <c r="AG5498" t="s">
        <v>10859</v>
      </c>
      <c r="AH5498" t="s">
        <v>10865</v>
      </c>
      <c r="AI5498">
        <v>237</v>
      </c>
      <c r="AJ5498" t="s">
        <v>10212</v>
      </c>
      <c r="AL5498">
        <v>1.25</v>
      </c>
      <c r="AM5498" t="s">
        <v>10890</v>
      </c>
      <c r="AN5498" t="s">
        <v>10934</v>
      </c>
      <c r="AO5498" t="s">
        <v>11009</v>
      </c>
      <c r="AP5498" t="s">
        <v>11078</v>
      </c>
      <c r="AR5498" t="s">
        <v>11267</v>
      </c>
      <c r="AS5498" t="s">
        <v>11594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</row>
    <row r="5499" spans="1:59">
      <c r="A5499" s="1">
        <f>HYPERLINK("https://lsnyc.legalserver.org/matter/dynamic-profile/view/1909756","19-1909756")</f>
        <v>0</v>
      </c>
      <c r="B5499" t="s">
        <v>4335</v>
      </c>
      <c r="C5499" t="s">
        <v>9186</v>
      </c>
      <c r="D5499" t="s">
        <v>10062</v>
      </c>
      <c r="E5499" t="s">
        <v>10076</v>
      </c>
      <c r="F5499">
        <v>7208</v>
      </c>
      <c r="G5499" t="s">
        <v>10089</v>
      </c>
      <c r="H5499" t="s">
        <v>10116</v>
      </c>
      <c r="I5499" t="s">
        <v>10168</v>
      </c>
      <c r="J5499" t="s">
        <v>10209</v>
      </c>
      <c r="K5499" t="s">
        <v>10217</v>
      </c>
      <c r="M5499" t="s">
        <v>10301</v>
      </c>
      <c r="N5499" t="s">
        <v>10665</v>
      </c>
      <c r="P5499" t="s">
        <v>10751</v>
      </c>
      <c r="Q5499" t="s">
        <v>10773</v>
      </c>
      <c r="R5499" t="s">
        <v>10822</v>
      </c>
      <c r="T5499">
        <v>52000</v>
      </c>
      <c r="U5499">
        <v>4333.33</v>
      </c>
      <c r="V5499">
        <v>40</v>
      </c>
      <c r="W5499">
        <v>1</v>
      </c>
      <c r="X5499">
        <v>0</v>
      </c>
      <c r="Z5499">
        <v>416.33</v>
      </c>
      <c r="AA5499">
        <v>40.6813</v>
      </c>
      <c r="AB5499">
        <v>-74.21485</v>
      </c>
      <c r="AD5499" t="s">
        <v>10839</v>
      </c>
      <c r="AG5499" t="s">
        <v>10858</v>
      </c>
      <c r="AH5499" t="s">
        <v>10871</v>
      </c>
      <c r="AI5499">
        <v>234</v>
      </c>
      <c r="AJ5499" t="s">
        <v>10214</v>
      </c>
      <c r="AL5499">
        <v>7.1</v>
      </c>
      <c r="AQ5499" t="s">
        <v>11115</v>
      </c>
      <c r="AR5499" t="s">
        <v>11257</v>
      </c>
      <c r="AS5499" t="s">
        <v>11635</v>
      </c>
      <c r="AT5499" t="s">
        <v>11641</v>
      </c>
      <c r="AX5499" t="s">
        <v>10838</v>
      </c>
      <c r="BA5499" t="s">
        <v>11741</v>
      </c>
      <c r="BB5499">
        <v>0</v>
      </c>
      <c r="BC5499">
        <v>0</v>
      </c>
      <c r="BD5499">
        <v>0</v>
      </c>
      <c r="BE5499">
        <v>0</v>
      </c>
      <c r="BF5499">
        <v>1</v>
      </c>
      <c r="BG5499">
        <v>0</v>
      </c>
    </row>
    <row r="5500" spans="1:59">
      <c r="A5500" s="1">
        <f>HYPERLINK("https://lsnyc.legalserver.org/matter/dynamic-profile/view/1909757","19-1909757")</f>
        <v>0</v>
      </c>
      <c r="B5500" t="s">
        <v>728</v>
      </c>
      <c r="C5500" t="s">
        <v>9187</v>
      </c>
      <c r="D5500" t="s">
        <v>9928</v>
      </c>
      <c r="E5500" t="s">
        <v>10075</v>
      </c>
      <c r="F5500">
        <v>11226</v>
      </c>
      <c r="G5500" t="s">
        <v>10093</v>
      </c>
      <c r="H5500" t="s">
        <v>10116</v>
      </c>
      <c r="I5500" t="s">
        <v>10168</v>
      </c>
      <c r="J5500" t="s">
        <v>10213</v>
      </c>
      <c r="K5500" t="s">
        <v>10217</v>
      </c>
      <c r="M5500" t="s">
        <v>10359</v>
      </c>
      <c r="N5500" t="s">
        <v>10667</v>
      </c>
      <c r="P5500" t="s">
        <v>10749</v>
      </c>
      <c r="Q5500" t="s">
        <v>10765</v>
      </c>
      <c r="R5500" t="s">
        <v>10823</v>
      </c>
      <c r="T5500">
        <v>12000</v>
      </c>
      <c r="U5500">
        <v>1000</v>
      </c>
      <c r="V5500">
        <v>55</v>
      </c>
      <c r="W5500">
        <v>2</v>
      </c>
      <c r="X5500">
        <v>0</v>
      </c>
      <c r="Z5500">
        <v>70.95999999999999</v>
      </c>
      <c r="AA5500">
        <v>40.645408</v>
      </c>
      <c r="AB5500">
        <v>-73.96245500000001</v>
      </c>
      <c r="AD5500" t="s">
        <v>10839</v>
      </c>
      <c r="AF5500" t="s">
        <v>10843</v>
      </c>
      <c r="AG5500" t="s">
        <v>10859</v>
      </c>
      <c r="AH5500" t="s">
        <v>10861</v>
      </c>
      <c r="AI5500">
        <v>239</v>
      </c>
      <c r="AJ5500" t="s">
        <v>10213</v>
      </c>
      <c r="AL5500">
        <v>0</v>
      </c>
      <c r="AM5500" t="s">
        <v>10888</v>
      </c>
      <c r="AN5500" t="s">
        <v>10932</v>
      </c>
      <c r="AO5500" t="s">
        <v>11008</v>
      </c>
      <c r="AP5500" t="s">
        <v>11050</v>
      </c>
      <c r="AR5500" t="s">
        <v>11262</v>
      </c>
      <c r="AS5500" t="s">
        <v>11595</v>
      </c>
      <c r="BA5500" t="s">
        <v>11741</v>
      </c>
      <c r="BB5500">
        <v>0</v>
      </c>
      <c r="BC5500">
        <v>0</v>
      </c>
      <c r="BD5500">
        <v>0</v>
      </c>
      <c r="BE5500">
        <v>0</v>
      </c>
      <c r="BF5500">
        <v>1</v>
      </c>
      <c r="BG5500">
        <v>0</v>
      </c>
    </row>
    <row r="5501" spans="1:59">
      <c r="A5501" s="1">
        <f>HYPERLINK("https://lsnyc.legalserver.org/matter/dynamic-profile/view/1909759","19-1909759")</f>
        <v>0</v>
      </c>
      <c r="B5501" t="s">
        <v>4336</v>
      </c>
      <c r="C5501" t="s">
        <v>9188</v>
      </c>
      <c r="D5501" t="s">
        <v>9926</v>
      </c>
      <c r="E5501" t="s">
        <v>10075</v>
      </c>
      <c r="F5501">
        <v>10456</v>
      </c>
      <c r="G5501" t="s">
        <v>10090</v>
      </c>
      <c r="H5501" t="s">
        <v>10116</v>
      </c>
      <c r="I5501" t="s">
        <v>10169</v>
      </c>
      <c r="J5501" t="s">
        <v>10210</v>
      </c>
      <c r="K5501" t="s">
        <v>10217</v>
      </c>
      <c r="M5501" t="s">
        <v>10548</v>
      </c>
      <c r="N5501" t="s">
        <v>10676</v>
      </c>
      <c r="P5501" t="s">
        <v>10751</v>
      </c>
      <c r="Q5501" t="s">
        <v>10761</v>
      </c>
      <c r="R5501" t="s">
        <v>10821</v>
      </c>
      <c r="T5501">
        <v>9880</v>
      </c>
      <c r="U5501">
        <v>823.33</v>
      </c>
      <c r="V5501">
        <v>54</v>
      </c>
      <c r="W5501">
        <v>2</v>
      </c>
      <c r="X5501">
        <v>0</v>
      </c>
      <c r="Z5501">
        <v>58.43</v>
      </c>
      <c r="AA5501">
        <v>40.826459</v>
      </c>
      <c r="AB5501">
        <v>-73.908118</v>
      </c>
      <c r="AD5501" t="s">
        <v>10839</v>
      </c>
      <c r="AG5501" t="s">
        <v>10858</v>
      </c>
      <c r="AH5501" t="s">
        <v>10861</v>
      </c>
      <c r="AI5501">
        <v>234</v>
      </c>
      <c r="AJ5501" t="s">
        <v>10214</v>
      </c>
      <c r="AL5501">
        <v>6.7</v>
      </c>
      <c r="AR5501" t="s">
        <v>11262</v>
      </c>
      <c r="AS5501" t="s">
        <v>9926</v>
      </c>
      <c r="AT5501" t="s">
        <v>11641</v>
      </c>
      <c r="AX5501" t="s">
        <v>10838</v>
      </c>
      <c r="BA5501" t="s">
        <v>11741</v>
      </c>
      <c r="BB5501">
        <v>0</v>
      </c>
      <c r="BC5501">
        <v>0</v>
      </c>
      <c r="BD5501">
        <v>0</v>
      </c>
      <c r="BE5501">
        <v>0</v>
      </c>
      <c r="BF5501">
        <v>1</v>
      </c>
      <c r="BG5501">
        <v>0</v>
      </c>
    </row>
    <row r="5502" spans="1:59">
      <c r="A5502" s="1">
        <f>HYPERLINK("https://lsnyc.legalserver.org/matter/dynamic-profile/view/1909761","19-1909761")</f>
        <v>0</v>
      </c>
      <c r="B5502" t="s">
        <v>4337</v>
      </c>
      <c r="C5502" t="s">
        <v>9189</v>
      </c>
      <c r="D5502" t="s">
        <v>9926</v>
      </c>
      <c r="E5502" t="s">
        <v>10075</v>
      </c>
      <c r="F5502">
        <v>10460</v>
      </c>
      <c r="G5502" t="s">
        <v>10090</v>
      </c>
      <c r="H5502" t="s">
        <v>10116</v>
      </c>
      <c r="I5502" t="s">
        <v>10168</v>
      </c>
      <c r="J5502" t="s">
        <v>10210</v>
      </c>
      <c r="K5502" t="s">
        <v>10217</v>
      </c>
      <c r="M5502" t="s">
        <v>10629</v>
      </c>
      <c r="N5502" t="s">
        <v>10650</v>
      </c>
      <c r="P5502" t="s">
        <v>10749</v>
      </c>
      <c r="Q5502" t="s">
        <v>10765</v>
      </c>
      <c r="R5502" t="s">
        <v>10821</v>
      </c>
      <c r="T5502">
        <v>2400</v>
      </c>
      <c r="U5502">
        <v>200</v>
      </c>
      <c r="V5502">
        <v>32</v>
      </c>
      <c r="W5502">
        <v>1</v>
      </c>
      <c r="X5502">
        <v>0</v>
      </c>
      <c r="Z5502">
        <v>19.22</v>
      </c>
      <c r="AA5502">
        <v>40.839422</v>
      </c>
      <c r="AB5502">
        <v>-73.88139700000001</v>
      </c>
      <c r="AD5502" t="s">
        <v>10840</v>
      </c>
      <c r="AG5502" t="s">
        <v>10858</v>
      </c>
      <c r="AH5502" t="s">
        <v>10871</v>
      </c>
      <c r="AI5502">
        <v>234</v>
      </c>
      <c r="AJ5502" t="s">
        <v>10214</v>
      </c>
      <c r="AL5502">
        <v>1.5</v>
      </c>
      <c r="AM5502" t="s">
        <v>10884</v>
      </c>
      <c r="AN5502" t="s">
        <v>10908</v>
      </c>
      <c r="AO5502" t="s">
        <v>11001</v>
      </c>
      <c r="AP5502" t="s">
        <v>11062</v>
      </c>
      <c r="AR5502" t="s">
        <v>11311</v>
      </c>
      <c r="AS5502" t="s">
        <v>9926</v>
      </c>
      <c r="AT5502" t="s">
        <v>11642</v>
      </c>
      <c r="AX5502" t="s">
        <v>10838</v>
      </c>
      <c r="BA5502" t="s">
        <v>11741</v>
      </c>
      <c r="BB5502">
        <v>0</v>
      </c>
      <c r="BC5502">
        <v>0</v>
      </c>
      <c r="BD5502">
        <v>0</v>
      </c>
      <c r="BE5502">
        <v>0</v>
      </c>
      <c r="BF5502">
        <v>1</v>
      </c>
      <c r="BG5502">
        <v>0</v>
      </c>
    </row>
    <row r="5503" spans="1:59">
      <c r="A5503" s="1">
        <f>HYPERLINK("https://lsnyc.legalserver.org/matter/dynamic-profile/view/1909762","19-1909762")</f>
        <v>0</v>
      </c>
      <c r="B5503" t="s">
        <v>4338</v>
      </c>
      <c r="C5503" t="s">
        <v>9190</v>
      </c>
      <c r="D5503" t="s">
        <v>9926</v>
      </c>
      <c r="E5503" t="s">
        <v>10075</v>
      </c>
      <c r="F5503">
        <v>10453</v>
      </c>
      <c r="G5503" t="s">
        <v>10090</v>
      </c>
      <c r="H5503" t="s">
        <v>10116</v>
      </c>
      <c r="I5503" t="s">
        <v>10169</v>
      </c>
      <c r="J5503" t="s">
        <v>10210</v>
      </c>
      <c r="K5503" t="s">
        <v>10217</v>
      </c>
      <c r="M5503" t="s">
        <v>10549</v>
      </c>
      <c r="N5503" t="s">
        <v>10677</v>
      </c>
      <c r="P5503" t="s">
        <v>10757</v>
      </c>
      <c r="Q5503" t="s">
        <v>10789</v>
      </c>
      <c r="R5503" t="s">
        <v>10821</v>
      </c>
      <c r="T5503">
        <v>9804</v>
      </c>
      <c r="U5503">
        <v>817</v>
      </c>
      <c r="V5503">
        <v>63</v>
      </c>
      <c r="W5503">
        <v>1</v>
      </c>
      <c r="X5503">
        <v>0</v>
      </c>
      <c r="Z5503">
        <v>78.48999999999999</v>
      </c>
      <c r="AA5503">
        <v>40.852889</v>
      </c>
      <c r="AB5503">
        <v>-73.905636</v>
      </c>
      <c r="AD5503" t="s">
        <v>10839</v>
      </c>
      <c r="AG5503" t="s">
        <v>10858</v>
      </c>
      <c r="AH5503" t="s">
        <v>10881</v>
      </c>
      <c r="AI5503">
        <v>234</v>
      </c>
      <c r="AJ5503" t="s">
        <v>10214</v>
      </c>
      <c r="AL5503">
        <v>4.3</v>
      </c>
      <c r="AM5503" t="s">
        <v>10884</v>
      </c>
      <c r="AN5503" t="s">
        <v>10931</v>
      </c>
      <c r="AO5503" t="s">
        <v>11000</v>
      </c>
      <c r="AP5503" t="s">
        <v>11045</v>
      </c>
      <c r="AR5503" t="s">
        <v>11316</v>
      </c>
      <c r="AS5503" t="s">
        <v>9926</v>
      </c>
      <c r="AT5503" t="s">
        <v>11641</v>
      </c>
      <c r="AX5503" t="s">
        <v>10838</v>
      </c>
      <c r="BA5503" t="s">
        <v>11740</v>
      </c>
      <c r="BB5503">
        <v>0</v>
      </c>
      <c r="BC5503">
        <v>0</v>
      </c>
      <c r="BD5503">
        <v>0</v>
      </c>
      <c r="BE5503">
        <v>0</v>
      </c>
      <c r="BF5503">
        <v>2</v>
      </c>
      <c r="BG5503">
        <v>0</v>
      </c>
    </row>
    <row r="5504" spans="1:59">
      <c r="A5504" s="1">
        <f>HYPERLINK("https://lsnyc.legalserver.org/matter/dynamic-profile/view/1909763","19-1909763")</f>
        <v>0</v>
      </c>
      <c r="B5504" t="s">
        <v>4339</v>
      </c>
      <c r="C5504" t="s">
        <v>9191</v>
      </c>
      <c r="D5504" t="s">
        <v>9928</v>
      </c>
      <c r="E5504" t="s">
        <v>10075</v>
      </c>
      <c r="F5504">
        <v>11208</v>
      </c>
      <c r="G5504" t="s">
        <v>10092</v>
      </c>
      <c r="H5504" t="s">
        <v>10116</v>
      </c>
      <c r="I5504" t="s">
        <v>10168</v>
      </c>
      <c r="J5504" t="s">
        <v>10212</v>
      </c>
      <c r="K5504" t="s">
        <v>10217</v>
      </c>
      <c r="M5504" t="s">
        <v>10441</v>
      </c>
      <c r="N5504" t="s">
        <v>10656</v>
      </c>
      <c r="P5504" t="s">
        <v>10751</v>
      </c>
      <c r="Q5504" t="s">
        <v>10780</v>
      </c>
      <c r="R5504" t="s">
        <v>10821</v>
      </c>
      <c r="T5504">
        <v>4800</v>
      </c>
      <c r="U5504">
        <v>400</v>
      </c>
      <c r="V5504">
        <v>27</v>
      </c>
      <c r="W5504">
        <v>2</v>
      </c>
      <c r="X5504">
        <v>0</v>
      </c>
      <c r="Z5504">
        <v>28.39</v>
      </c>
      <c r="AA5504">
        <v>40.683098</v>
      </c>
      <c r="AB5504">
        <v>-73.884193</v>
      </c>
      <c r="AD5504" t="s">
        <v>10840</v>
      </c>
      <c r="AG5504" t="s">
        <v>10858</v>
      </c>
      <c r="AH5504" t="s">
        <v>10861</v>
      </c>
      <c r="AI5504">
        <v>237</v>
      </c>
      <c r="AJ5504" t="s">
        <v>10212</v>
      </c>
      <c r="AL5504">
        <v>4.5</v>
      </c>
      <c r="AM5504" t="s">
        <v>10886</v>
      </c>
      <c r="AN5504" t="s">
        <v>10920</v>
      </c>
      <c r="AO5504" t="s">
        <v>11011</v>
      </c>
      <c r="AP5504" t="s">
        <v>11058</v>
      </c>
      <c r="AQ5504" t="s">
        <v>11118</v>
      </c>
      <c r="AR5504" t="s">
        <v>11263</v>
      </c>
      <c r="AS5504" t="s">
        <v>11595</v>
      </c>
      <c r="AT5504" t="s">
        <v>11642</v>
      </c>
      <c r="AV5504" t="s">
        <v>11655</v>
      </c>
      <c r="AW5504" t="s">
        <v>11666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</row>
    <row r="5505" spans="1:59">
      <c r="A5505" s="1">
        <f>HYPERLINK("https://lsnyc.legalserver.org/matter/dynamic-profile/view/1909764","19-1909764")</f>
        <v>0</v>
      </c>
      <c r="B5505" t="s">
        <v>4340</v>
      </c>
      <c r="C5505" t="s">
        <v>9192</v>
      </c>
      <c r="D5505" t="s">
        <v>9928</v>
      </c>
      <c r="E5505" t="s">
        <v>10075</v>
      </c>
      <c r="F5505">
        <v>11205</v>
      </c>
      <c r="G5505" t="s">
        <v>10093</v>
      </c>
      <c r="H5505" t="s">
        <v>10116</v>
      </c>
      <c r="I5505" t="s">
        <v>10168</v>
      </c>
      <c r="J5505" t="s">
        <v>10213</v>
      </c>
      <c r="K5505" t="s">
        <v>10217</v>
      </c>
      <c r="M5505" t="s">
        <v>10390</v>
      </c>
      <c r="N5505" t="s">
        <v>10644</v>
      </c>
      <c r="P5505" t="s">
        <v>10749</v>
      </c>
      <c r="Q5505" t="s">
        <v>10791</v>
      </c>
      <c r="R5505" t="s">
        <v>10824</v>
      </c>
      <c r="T5505">
        <v>16800</v>
      </c>
      <c r="U5505">
        <v>1400</v>
      </c>
      <c r="V5505">
        <v>68</v>
      </c>
      <c r="W5505">
        <v>1</v>
      </c>
      <c r="X5505">
        <v>0</v>
      </c>
      <c r="Z5505">
        <v>134.51</v>
      </c>
      <c r="AA5505">
        <v>40.692302</v>
      </c>
      <c r="AB5505">
        <v>-73.954994</v>
      </c>
      <c r="AD5505" t="s">
        <v>10839</v>
      </c>
      <c r="AG5505" t="s">
        <v>10858</v>
      </c>
      <c r="AH5505" t="s">
        <v>10869</v>
      </c>
      <c r="AI5505">
        <v>239</v>
      </c>
      <c r="AJ5505" t="s">
        <v>10213</v>
      </c>
      <c r="AL5505">
        <v>0</v>
      </c>
      <c r="AM5505" t="s">
        <v>10889</v>
      </c>
      <c r="AN5505" t="s">
        <v>10923</v>
      </c>
      <c r="AO5505" t="s">
        <v>11007</v>
      </c>
      <c r="AP5505" t="s">
        <v>11054</v>
      </c>
      <c r="AR5505" t="s">
        <v>11316</v>
      </c>
      <c r="AS5505" t="s">
        <v>11595</v>
      </c>
      <c r="BA5505" t="s">
        <v>11740</v>
      </c>
      <c r="BB5505">
        <v>0</v>
      </c>
      <c r="BC5505">
        <v>0</v>
      </c>
      <c r="BD5505">
        <v>0</v>
      </c>
      <c r="BE5505">
        <v>0</v>
      </c>
      <c r="BF5505">
        <v>2</v>
      </c>
      <c r="BG5505">
        <v>0</v>
      </c>
    </row>
    <row r="5506" spans="1:59">
      <c r="A5506" s="1">
        <f>HYPERLINK("https://lsnyc.legalserver.org/matter/dynamic-profile/view/1909765","19-1909765")</f>
        <v>0</v>
      </c>
      <c r="B5506" t="s">
        <v>4341</v>
      </c>
      <c r="C5506" t="s">
        <v>9193</v>
      </c>
      <c r="D5506" t="s">
        <v>9928</v>
      </c>
      <c r="E5506" t="s">
        <v>10075</v>
      </c>
      <c r="F5506">
        <v>11236</v>
      </c>
      <c r="G5506" t="s">
        <v>10093</v>
      </c>
      <c r="H5506" t="s">
        <v>10116</v>
      </c>
      <c r="I5506" t="s">
        <v>10168</v>
      </c>
      <c r="J5506" t="s">
        <v>10213</v>
      </c>
      <c r="K5506" t="s">
        <v>10217</v>
      </c>
      <c r="M5506" t="s">
        <v>10539</v>
      </c>
      <c r="N5506" t="s">
        <v>10664</v>
      </c>
      <c r="P5506" t="s">
        <v>10749</v>
      </c>
      <c r="Q5506" t="s">
        <v>10765</v>
      </c>
      <c r="R5506" t="s">
        <v>10824</v>
      </c>
      <c r="T5506">
        <v>12262</v>
      </c>
      <c r="U5506">
        <v>1021.83</v>
      </c>
      <c r="V5506">
        <v>29</v>
      </c>
      <c r="W5506">
        <v>1</v>
      </c>
      <c r="X5506">
        <v>1</v>
      </c>
      <c r="Z5506">
        <v>72.51000000000001</v>
      </c>
      <c r="AA5506">
        <v>40.640868</v>
      </c>
      <c r="AB5506">
        <v>-73.91646900000001</v>
      </c>
      <c r="AD5506" t="s">
        <v>10839</v>
      </c>
      <c r="AG5506" t="s">
        <v>10858</v>
      </c>
      <c r="AH5506" t="s">
        <v>10862</v>
      </c>
      <c r="AI5506">
        <v>239</v>
      </c>
      <c r="AJ5506" t="s">
        <v>10213</v>
      </c>
      <c r="AL5506">
        <v>0</v>
      </c>
      <c r="AM5506" t="s">
        <v>10889</v>
      </c>
      <c r="AN5506" t="s">
        <v>10959</v>
      </c>
      <c r="AO5506" t="s">
        <v>11012</v>
      </c>
      <c r="AP5506" t="s">
        <v>11072</v>
      </c>
      <c r="AR5506" t="s">
        <v>11262</v>
      </c>
      <c r="AS5506" t="s">
        <v>11595</v>
      </c>
      <c r="BA5506" t="s">
        <v>11742</v>
      </c>
      <c r="BB5506">
        <v>0</v>
      </c>
      <c r="BC5506">
        <v>0</v>
      </c>
      <c r="BD5506">
        <v>0</v>
      </c>
      <c r="BE5506">
        <v>0</v>
      </c>
      <c r="BF5506">
        <v>7</v>
      </c>
      <c r="BG5506">
        <v>0</v>
      </c>
    </row>
    <row r="5507" spans="1:59">
      <c r="A5507" s="1">
        <f>HYPERLINK("https://lsnyc.legalserver.org/matter/dynamic-profile/view/1909766","19-1909766")</f>
        <v>0</v>
      </c>
      <c r="B5507" t="s">
        <v>4342</v>
      </c>
      <c r="C5507" t="s">
        <v>9194</v>
      </c>
      <c r="D5507" t="s">
        <v>9929</v>
      </c>
      <c r="E5507" t="s">
        <v>10075</v>
      </c>
      <c r="F5507">
        <v>10304</v>
      </c>
      <c r="G5507" t="s">
        <v>10088</v>
      </c>
      <c r="H5507" t="s">
        <v>10137</v>
      </c>
      <c r="J5507" t="s">
        <v>10208</v>
      </c>
      <c r="K5507" t="s">
        <v>10217</v>
      </c>
      <c r="M5507" t="s">
        <v>10259</v>
      </c>
      <c r="N5507" t="s">
        <v>10650</v>
      </c>
      <c r="P5507" t="s">
        <v>10749</v>
      </c>
      <c r="Q5507" t="s">
        <v>10765</v>
      </c>
      <c r="R5507" t="s">
        <v>10824</v>
      </c>
      <c r="T5507">
        <v>21552</v>
      </c>
      <c r="U5507">
        <v>1796</v>
      </c>
      <c r="V5507">
        <v>67</v>
      </c>
      <c r="W5507">
        <v>1</v>
      </c>
      <c r="X5507">
        <v>0</v>
      </c>
      <c r="Z5507">
        <v>172.55</v>
      </c>
      <c r="AA5507">
        <v>40.615188</v>
      </c>
      <c r="AB5507">
        <v>-74.082104</v>
      </c>
      <c r="AD5507" t="s">
        <v>10839</v>
      </c>
      <c r="AG5507" t="s">
        <v>10858</v>
      </c>
      <c r="AH5507" t="s">
        <v>10862</v>
      </c>
      <c r="AI5507">
        <v>285</v>
      </c>
      <c r="AJ5507" t="s">
        <v>10208</v>
      </c>
      <c r="AL5507">
        <v>1.4</v>
      </c>
      <c r="AM5507" t="s">
        <v>10883</v>
      </c>
      <c r="AN5507" t="s">
        <v>10913</v>
      </c>
      <c r="AO5507" t="s">
        <v>11006</v>
      </c>
      <c r="AP5507" t="s">
        <v>11051</v>
      </c>
      <c r="AR5507" t="s">
        <v>11287</v>
      </c>
      <c r="AS5507" t="s">
        <v>11593</v>
      </c>
      <c r="BA5507" t="s">
        <v>11741</v>
      </c>
      <c r="BB5507">
        <v>0</v>
      </c>
      <c r="BC5507">
        <v>0</v>
      </c>
      <c r="BD5507">
        <v>0</v>
      </c>
      <c r="BE5507">
        <v>0</v>
      </c>
      <c r="BF5507">
        <v>1</v>
      </c>
      <c r="BG5507">
        <v>0</v>
      </c>
    </row>
    <row r="5508" spans="1:59">
      <c r="A5508" s="1">
        <f>HYPERLINK("https://lsnyc.legalserver.org/matter/dynamic-profile/view/1909767","19-1909767")</f>
        <v>0</v>
      </c>
      <c r="B5508" t="s">
        <v>4343</v>
      </c>
      <c r="C5508" t="s">
        <v>5647</v>
      </c>
      <c r="D5508" t="s">
        <v>9926</v>
      </c>
      <c r="E5508" t="s">
        <v>10075</v>
      </c>
      <c r="F5508">
        <v>10467</v>
      </c>
      <c r="G5508" t="s">
        <v>10090</v>
      </c>
      <c r="H5508" t="s">
        <v>10116</v>
      </c>
      <c r="I5508" t="s">
        <v>10168</v>
      </c>
      <c r="J5508" t="s">
        <v>10210</v>
      </c>
      <c r="K5508" t="s">
        <v>10217</v>
      </c>
      <c r="M5508" t="s">
        <v>10372</v>
      </c>
      <c r="N5508" t="s">
        <v>10677</v>
      </c>
      <c r="P5508" t="s">
        <v>10752</v>
      </c>
      <c r="Q5508" t="s">
        <v>10805</v>
      </c>
      <c r="R5508" t="s">
        <v>10824</v>
      </c>
      <c r="T5508">
        <v>12000</v>
      </c>
      <c r="U5508">
        <v>1000</v>
      </c>
      <c r="V5508">
        <v>63</v>
      </c>
      <c r="W5508">
        <v>2</v>
      </c>
      <c r="X5508">
        <v>0</v>
      </c>
      <c r="Z5508">
        <v>70.95999999999999</v>
      </c>
      <c r="AA5508">
        <v>40.8793</v>
      </c>
      <c r="AB5508">
        <v>-73.87622500000001</v>
      </c>
      <c r="AD5508" t="s">
        <v>10840</v>
      </c>
      <c r="AG5508" t="s">
        <v>10858</v>
      </c>
      <c r="AH5508" t="s">
        <v>10869</v>
      </c>
      <c r="AI5508">
        <v>230</v>
      </c>
      <c r="AJ5508" t="s">
        <v>10210</v>
      </c>
      <c r="AL5508">
        <v>3.7</v>
      </c>
      <c r="AM5508" t="s">
        <v>10887</v>
      </c>
      <c r="AN5508" t="s">
        <v>10919</v>
      </c>
      <c r="AO5508" t="s">
        <v>11010</v>
      </c>
      <c r="AP5508" t="s">
        <v>11057</v>
      </c>
      <c r="AR5508" t="s">
        <v>11296</v>
      </c>
      <c r="AS5508" t="s">
        <v>9926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</row>
    <row r="5509" spans="1:59">
      <c r="A5509" s="1">
        <f>HYPERLINK("https://lsnyc.legalserver.org/matter/dynamic-profile/view/1909768","19-1909768")</f>
        <v>0</v>
      </c>
      <c r="B5509" t="s">
        <v>4344</v>
      </c>
      <c r="C5509" t="s">
        <v>9195</v>
      </c>
      <c r="D5509" t="s">
        <v>9928</v>
      </c>
      <c r="E5509" t="s">
        <v>10075</v>
      </c>
      <c r="F5509">
        <v>11207</v>
      </c>
      <c r="G5509" t="s">
        <v>10093</v>
      </c>
      <c r="H5509" t="s">
        <v>10116</v>
      </c>
      <c r="I5509" t="s">
        <v>10168</v>
      </c>
      <c r="J5509" t="s">
        <v>10213</v>
      </c>
      <c r="K5509" t="s">
        <v>10217</v>
      </c>
      <c r="M5509" t="s">
        <v>10405</v>
      </c>
      <c r="N5509" t="s">
        <v>10650</v>
      </c>
      <c r="P5509" t="s">
        <v>10749</v>
      </c>
      <c r="Q5509" t="s">
        <v>10765</v>
      </c>
      <c r="R5509" t="s">
        <v>10824</v>
      </c>
      <c r="T5509">
        <v>54600</v>
      </c>
      <c r="U5509">
        <v>4550</v>
      </c>
      <c r="V5509">
        <v>38</v>
      </c>
      <c r="W5509">
        <v>2</v>
      </c>
      <c r="X5509">
        <v>3</v>
      </c>
      <c r="Z5509">
        <v>180.97</v>
      </c>
      <c r="AA5509">
        <v>40.663151</v>
      </c>
      <c r="AB5509">
        <v>-73.89276</v>
      </c>
      <c r="AD5509" t="s">
        <v>10839</v>
      </c>
      <c r="AG5509" t="s">
        <v>10858</v>
      </c>
      <c r="AH5509" t="s">
        <v>10862</v>
      </c>
      <c r="AI5509">
        <v>239</v>
      </c>
      <c r="AJ5509" t="s">
        <v>10213</v>
      </c>
      <c r="AL5509">
        <v>2.8</v>
      </c>
      <c r="AM5509" t="s">
        <v>10889</v>
      </c>
      <c r="AN5509" t="s">
        <v>10946</v>
      </c>
      <c r="AO5509" t="s">
        <v>11012</v>
      </c>
      <c r="AP5509" t="s">
        <v>11060</v>
      </c>
      <c r="AQ5509" t="s">
        <v>11101</v>
      </c>
      <c r="AR5509" t="s">
        <v>11257</v>
      </c>
      <c r="AS5509" t="s">
        <v>11595</v>
      </c>
      <c r="AT5509" t="s">
        <v>11641</v>
      </c>
      <c r="AX5509" t="s">
        <v>10838</v>
      </c>
      <c r="BA5509" t="s">
        <v>11738</v>
      </c>
      <c r="BB5509">
        <v>0</v>
      </c>
      <c r="BC5509">
        <v>0</v>
      </c>
      <c r="BD5509">
        <v>0</v>
      </c>
      <c r="BE5509">
        <v>0</v>
      </c>
      <c r="BF5509">
        <v>5</v>
      </c>
      <c r="BG5509">
        <v>0</v>
      </c>
    </row>
    <row r="5510" spans="1:59">
      <c r="A5510" s="1">
        <f>HYPERLINK("https://lsnyc.legalserver.org/matter/dynamic-profile/view/1909769","19-1909769")</f>
        <v>0</v>
      </c>
      <c r="B5510" t="s">
        <v>4345</v>
      </c>
      <c r="C5510" t="s">
        <v>9196</v>
      </c>
      <c r="D5510" t="s">
        <v>9925</v>
      </c>
      <c r="E5510" t="s">
        <v>10075</v>
      </c>
      <c r="F5510">
        <v>10035</v>
      </c>
      <c r="G5510" t="s">
        <v>10089</v>
      </c>
      <c r="H5510" t="s">
        <v>10116</v>
      </c>
      <c r="J5510" t="s">
        <v>10209</v>
      </c>
      <c r="K5510" t="s">
        <v>10217</v>
      </c>
      <c r="M5510" t="s">
        <v>10403</v>
      </c>
      <c r="N5510" t="s">
        <v>10671</v>
      </c>
      <c r="P5510" t="s">
        <v>10749</v>
      </c>
      <c r="Q5510" t="s">
        <v>10791</v>
      </c>
      <c r="R5510" t="s">
        <v>10826</v>
      </c>
      <c r="T5510">
        <v>4692</v>
      </c>
      <c r="U5510">
        <v>391</v>
      </c>
      <c r="V5510">
        <v>35</v>
      </c>
      <c r="W5510">
        <v>1</v>
      </c>
      <c r="X5510">
        <v>0</v>
      </c>
      <c r="Z5510">
        <v>37.57</v>
      </c>
      <c r="AA5510">
        <v>40.800333</v>
      </c>
      <c r="AB5510">
        <v>-73.94206699999999</v>
      </c>
      <c r="AD5510" t="s">
        <v>10839</v>
      </c>
      <c r="AG5510" t="s">
        <v>10858</v>
      </c>
      <c r="AH5510" t="s">
        <v>10868</v>
      </c>
      <c r="AI5510">
        <v>236</v>
      </c>
      <c r="AJ5510" t="s">
        <v>10209</v>
      </c>
      <c r="AL5510">
        <v>10.2</v>
      </c>
      <c r="AM5510" t="s">
        <v>10887</v>
      </c>
      <c r="AN5510" t="s">
        <v>10926</v>
      </c>
      <c r="AO5510" t="s">
        <v>11016</v>
      </c>
      <c r="AP5510" t="s">
        <v>11066</v>
      </c>
      <c r="AQ5510" t="s">
        <v>11133</v>
      </c>
      <c r="AR5510" t="s">
        <v>11293</v>
      </c>
      <c r="AS5510" t="s">
        <v>9925</v>
      </c>
      <c r="AT5510" t="s">
        <v>11641</v>
      </c>
      <c r="AX5510" t="s">
        <v>10837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</row>
    <row r="5511" spans="1:59">
      <c r="A5511" s="1">
        <f>HYPERLINK("https://lsnyc.legalserver.org/matter/dynamic-profile/view/1909770","19-1909770")</f>
        <v>0</v>
      </c>
      <c r="B5511" t="s">
        <v>4346</v>
      </c>
      <c r="C5511" t="s">
        <v>9197</v>
      </c>
      <c r="D5511" t="s">
        <v>9939</v>
      </c>
      <c r="E5511" t="s">
        <v>10075</v>
      </c>
      <c r="F5511">
        <v>11419</v>
      </c>
      <c r="G5511" t="s">
        <v>10092</v>
      </c>
      <c r="H5511" t="s">
        <v>10116</v>
      </c>
      <c r="I5511" t="s">
        <v>10168</v>
      </c>
      <c r="J5511" t="s">
        <v>10212</v>
      </c>
      <c r="K5511" t="s">
        <v>10217</v>
      </c>
      <c r="M5511" t="s">
        <v>10318</v>
      </c>
      <c r="N5511" t="s">
        <v>10684</v>
      </c>
      <c r="P5511" t="s">
        <v>10751</v>
      </c>
      <c r="Q5511" t="s">
        <v>10786</v>
      </c>
      <c r="R5511" t="s">
        <v>10827</v>
      </c>
      <c r="T5511">
        <v>2304</v>
      </c>
      <c r="U5511">
        <v>192</v>
      </c>
      <c r="V5511">
        <v>74</v>
      </c>
      <c r="W5511">
        <v>1</v>
      </c>
      <c r="X5511">
        <v>0</v>
      </c>
      <c r="Z5511">
        <v>18.45</v>
      </c>
      <c r="AA5511">
        <v>40.690025</v>
      </c>
      <c r="AB5511">
        <v>-73.821321</v>
      </c>
      <c r="AD5511" t="s">
        <v>10839</v>
      </c>
      <c r="AF5511" t="s">
        <v>10843</v>
      </c>
      <c r="AG5511" t="s">
        <v>10859</v>
      </c>
      <c r="AH5511" t="s">
        <v>10873</v>
      </c>
      <c r="AI5511">
        <v>237</v>
      </c>
      <c r="AJ5511" t="s">
        <v>10212</v>
      </c>
      <c r="AL5511">
        <v>1.25</v>
      </c>
      <c r="AM5511" t="s">
        <v>10892</v>
      </c>
      <c r="AN5511" t="s">
        <v>10944</v>
      </c>
      <c r="AO5511" t="s">
        <v>11017</v>
      </c>
      <c r="AP5511" t="s">
        <v>11070</v>
      </c>
      <c r="AR5511" t="s">
        <v>11268</v>
      </c>
      <c r="AS5511" t="s">
        <v>11594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</row>
    <row r="5512" spans="1:59">
      <c r="A5512" s="1">
        <f>HYPERLINK("https://lsnyc.legalserver.org/matter/dynamic-profile/view/1909771","19-1909771")</f>
        <v>0</v>
      </c>
      <c r="B5512" t="s">
        <v>4347</v>
      </c>
      <c r="C5512" t="s">
        <v>7568</v>
      </c>
      <c r="D5512" t="s">
        <v>9926</v>
      </c>
      <c r="E5512" t="s">
        <v>10075</v>
      </c>
      <c r="F5512">
        <v>10457</v>
      </c>
      <c r="G5512" t="s">
        <v>10090</v>
      </c>
      <c r="H5512" t="s">
        <v>10116</v>
      </c>
      <c r="I5512" t="s">
        <v>10169</v>
      </c>
      <c r="J5512" t="s">
        <v>10210</v>
      </c>
      <c r="K5512" t="s">
        <v>10217</v>
      </c>
      <c r="M5512" t="s">
        <v>10427</v>
      </c>
      <c r="N5512" t="s">
        <v>10650</v>
      </c>
      <c r="P5512" t="s">
        <v>10749</v>
      </c>
      <c r="Q5512" t="s">
        <v>10765</v>
      </c>
      <c r="R5512" t="s">
        <v>10821</v>
      </c>
      <c r="T5512">
        <v>4680</v>
      </c>
      <c r="U5512">
        <v>390</v>
      </c>
      <c r="V5512">
        <v>49</v>
      </c>
      <c r="W5512">
        <v>1</v>
      </c>
      <c r="X5512">
        <v>1</v>
      </c>
      <c r="Z5512">
        <v>27.68</v>
      </c>
      <c r="AA5512">
        <v>40.840863</v>
      </c>
      <c r="AB5512">
        <v>-73.910656</v>
      </c>
      <c r="AD5512" t="s">
        <v>10839</v>
      </c>
      <c r="AG5512" t="s">
        <v>10858</v>
      </c>
      <c r="AH5512" t="s">
        <v>10862</v>
      </c>
      <c r="AI5512">
        <v>230</v>
      </c>
      <c r="AJ5512" t="s">
        <v>10210</v>
      </c>
      <c r="AL5512">
        <v>1</v>
      </c>
      <c r="AM5512" t="s">
        <v>10884</v>
      </c>
      <c r="AN5512" t="s">
        <v>10929</v>
      </c>
      <c r="AO5512" t="s">
        <v>11000</v>
      </c>
      <c r="AP5512" t="s">
        <v>11055</v>
      </c>
      <c r="AR5512" t="s">
        <v>11414</v>
      </c>
      <c r="AS5512" t="s">
        <v>9926</v>
      </c>
      <c r="AT5512" t="s">
        <v>11641</v>
      </c>
      <c r="AX5512" t="s">
        <v>10838</v>
      </c>
      <c r="BA5512" t="s">
        <v>11741</v>
      </c>
      <c r="BB5512">
        <v>0</v>
      </c>
      <c r="BC5512">
        <v>0</v>
      </c>
      <c r="BD5512">
        <v>0</v>
      </c>
      <c r="BE5512">
        <v>0</v>
      </c>
      <c r="BF5512">
        <v>1</v>
      </c>
      <c r="BG5512">
        <v>0</v>
      </c>
    </row>
    <row r="5513" spans="1:59">
      <c r="A5513" s="1">
        <f>HYPERLINK("https://lsnyc.legalserver.org/matter/dynamic-profile/view/1909772","19-1909772")</f>
        <v>0</v>
      </c>
      <c r="B5513" t="s">
        <v>4348</v>
      </c>
      <c r="C5513" t="s">
        <v>9198</v>
      </c>
      <c r="D5513" t="s">
        <v>9928</v>
      </c>
      <c r="E5513" t="s">
        <v>10075</v>
      </c>
      <c r="F5513">
        <v>11235</v>
      </c>
      <c r="G5513" t="s">
        <v>10093</v>
      </c>
      <c r="H5513" t="s">
        <v>10116</v>
      </c>
      <c r="I5513" t="s">
        <v>10168</v>
      </c>
      <c r="J5513" t="s">
        <v>10213</v>
      </c>
      <c r="K5513" t="s">
        <v>10217</v>
      </c>
      <c r="M5513" t="s">
        <v>10256</v>
      </c>
      <c r="N5513" t="s">
        <v>10644</v>
      </c>
      <c r="P5513" t="s">
        <v>10749</v>
      </c>
      <c r="Q5513" t="s">
        <v>10765</v>
      </c>
      <c r="R5513" t="s">
        <v>10820</v>
      </c>
      <c r="T5513">
        <v>56000</v>
      </c>
      <c r="U5513">
        <v>4666.67</v>
      </c>
      <c r="V5513">
        <v>63</v>
      </c>
      <c r="W5513">
        <v>1</v>
      </c>
      <c r="X5513">
        <v>0</v>
      </c>
      <c r="Z5513">
        <v>448.36</v>
      </c>
      <c r="AA5513">
        <v>40.576887</v>
      </c>
      <c r="AB5513">
        <v>-73.954213</v>
      </c>
      <c r="AD5513" t="s">
        <v>10839</v>
      </c>
      <c r="AG5513" t="s">
        <v>10858</v>
      </c>
      <c r="AH5513" t="s">
        <v>10862</v>
      </c>
      <c r="AI5513">
        <v>239</v>
      </c>
      <c r="AJ5513" t="s">
        <v>10213</v>
      </c>
      <c r="AL5513">
        <v>1.95</v>
      </c>
      <c r="AM5513" t="s">
        <v>10889</v>
      </c>
      <c r="AN5513" t="s">
        <v>10965</v>
      </c>
      <c r="AO5513" t="s">
        <v>11006</v>
      </c>
      <c r="AP5513" t="s">
        <v>11092</v>
      </c>
      <c r="AR5513" t="s">
        <v>11257</v>
      </c>
      <c r="AS5513" t="s">
        <v>11595</v>
      </c>
      <c r="BA5513" t="s">
        <v>11742</v>
      </c>
      <c r="BB5513">
        <v>0</v>
      </c>
      <c r="BC5513">
        <v>0</v>
      </c>
      <c r="BD5513">
        <v>0</v>
      </c>
      <c r="BE5513">
        <v>0</v>
      </c>
      <c r="BF5513">
        <v>7</v>
      </c>
      <c r="BG5513">
        <v>0</v>
      </c>
    </row>
    <row r="5514" spans="1:59">
      <c r="A5514" s="1">
        <f>HYPERLINK("https://lsnyc.legalserver.org/matter/dynamic-profile/view/1909773","19-1909773")</f>
        <v>0</v>
      </c>
      <c r="B5514" t="s">
        <v>4349</v>
      </c>
      <c r="C5514" t="s">
        <v>9199</v>
      </c>
      <c r="D5514" t="s">
        <v>9926</v>
      </c>
      <c r="E5514" t="s">
        <v>10075</v>
      </c>
      <c r="F5514">
        <v>10458</v>
      </c>
      <c r="G5514" t="s">
        <v>10090</v>
      </c>
      <c r="H5514" t="s">
        <v>10116</v>
      </c>
      <c r="I5514" t="s">
        <v>10168</v>
      </c>
      <c r="J5514" t="s">
        <v>10210</v>
      </c>
      <c r="K5514" t="s">
        <v>10217</v>
      </c>
      <c r="M5514" t="s">
        <v>10596</v>
      </c>
      <c r="N5514" t="s">
        <v>10671</v>
      </c>
      <c r="P5514" t="s">
        <v>10751</v>
      </c>
      <c r="Q5514" t="s">
        <v>10776</v>
      </c>
      <c r="R5514" t="s">
        <v>10824</v>
      </c>
      <c r="T5514">
        <v>13284</v>
      </c>
      <c r="U5514">
        <v>1107</v>
      </c>
      <c r="V5514">
        <v>60</v>
      </c>
      <c r="W5514">
        <v>1</v>
      </c>
      <c r="X5514">
        <v>0</v>
      </c>
      <c r="Z5514">
        <v>106.36</v>
      </c>
      <c r="AA5514">
        <v>40.870282</v>
      </c>
      <c r="AB5514">
        <v>-73.889088</v>
      </c>
      <c r="AD5514" t="s">
        <v>10840</v>
      </c>
      <c r="AG5514" t="s">
        <v>10858</v>
      </c>
      <c r="AH5514" t="s">
        <v>10861</v>
      </c>
      <c r="AI5514">
        <v>234</v>
      </c>
      <c r="AJ5514" t="s">
        <v>10214</v>
      </c>
      <c r="AL5514">
        <v>1.35</v>
      </c>
      <c r="AM5514" t="s">
        <v>10887</v>
      </c>
      <c r="AN5514" t="s">
        <v>10907</v>
      </c>
      <c r="AO5514" t="s">
        <v>11000</v>
      </c>
      <c r="AP5514" t="s">
        <v>11056</v>
      </c>
      <c r="AQ5514" t="s">
        <v>11156</v>
      </c>
      <c r="AR5514" t="s">
        <v>11569</v>
      </c>
      <c r="AS5514" t="s">
        <v>9926</v>
      </c>
      <c r="AT5514" t="s">
        <v>11642</v>
      </c>
      <c r="AX5514" t="s">
        <v>10838</v>
      </c>
      <c r="BA5514" t="s">
        <v>11737</v>
      </c>
      <c r="BB5514">
        <v>0</v>
      </c>
      <c r="BC5514">
        <v>0</v>
      </c>
      <c r="BD5514">
        <v>0</v>
      </c>
      <c r="BE5514">
        <v>0</v>
      </c>
      <c r="BF5514">
        <v>3</v>
      </c>
      <c r="BG5514">
        <v>0</v>
      </c>
    </row>
    <row r="5515" spans="1:59">
      <c r="A5515" s="1">
        <f>HYPERLINK("https://lsnyc.legalserver.org/matter/dynamic-profile/view/1909774","19-1909774")</f>
        <v>0</v>
      </c>
      <c r="B5515" t="s">
        <v>4350</v>
      </c>
      <c r="C5515" t="s">
        <v>9198</v>
      </c>
      <c r="D5515" t="s">
        <v>9928</v>
      </c>
      <c r="E5515" t="s">
        <v>10075</v>
      </c>
      <c r="F5515">
        <v>11235</v>
      </c>
      <c r="G5515" t="s">
        <v>10093</v>
      </c>
      <c r="H5515" t="s">
        <v>10116</v>
      </c>
      <c r="I5515" t="s">
        <v>10168</v>
      </c>
      <c r="J5515" t="s">
        <v>10213</v>
      </c>
      <c r="K5515" t="s">
        <v>10217</v>
      </c>
      <c r="M5515" t="s">
        <v>10256</v>
      </c>
      <c r="N5515" t="s">
        <v>10644</v>
      </c>
      <c r="P5515" t="s">
        <v>10749</v>
      </c>
      <c r="Q5515" t="s">
        <v>10765</v>
      </c>
      <c r="R5515" t="s">
        <v>10820</v>
      </c>
      <c r="T5515">
        <v>18000</v>
      </c>
      <c r="U5515">
        <v>1500</v>
      </c>
      <c r="V5515">
        <v>67</v>
      </c>
      <c r="W5515">
        <v>1</v>
      </c>
      <c r="X5515">
        <v>0</v>
      </c>
      <c r="Z5515">
        <v>144.12</v>
      </c>
      <c r="AA5515">
        <v>40.576887</v>
      </c>
      <c r="AB5515">
        <v>-73.954213</v>
      </c>
      <c r="AD5515" t="s">
        <v>10840</v>
      </c>
      <c r="AG5515" t="s">
        <v>10858</v>
      </c>
      <c r="AH5515" t="s">
        <v>10869</v>
      </c>
      <c r="AI5515">
        <v>239</v>
      </c>
      <c r="AJ5515" t="s">
        <v>10213</v>
      </c>
      <c r="AL5515">
        <v>1.95</v>
      </c>
      <c r="AM5515" t="s">
        <v>10889</v>
      </c>
      <c r="AN5515" t="s">
        <v>10965</v>
      </c>
      <c r="AO5515" t="s">
        <v>11006</v>
      </c>
      <c r="AP5515" t="s">
        <v>11092</v>
      </c>
      <c r="AR5515" t="s">
        <v>11257</v>
      </c>
      <c r="AS5515" t="s">
        <v>11595</v>
      </c>
      <c r="BA5515" t="s">
        <v>11742</v>
      </c>
      <c r="BB5515">
        <v>0</v>
      </c>
      <c r="BC5515">
        <v>0</v>
      </c>
      <c r="BD5515">
        <v>0</v>
      </c>
      <c r="BE5515">
        <v>0</v>
      </c>
      <c r="BF5515">
        <v>7</v>
      </c>
      <c r="BG5515">
        <v>0</v>
      </c>
    </row>
    <row r="5516" spans="1:59">
      <c r="A5516" s="1">
        <f>HYPERLINK("https://lsnyc.legalserver.org/matter/dynamic-profile/view/1909775","19-1909775")</f>
        <v>0</v>
      </c>
      <c r="B5516" t="s">
        <v>4351</v>
      </c>
      <c r="C5516" t="s">
        <v>9200</v>
      </c>
      <c r="D5516" t="s">
        <v>9928</v>
      </c>
      <c r="E5516" t="s">
        <v>10075</v>
      </c>
      <c r="F5516">
        <v>11225</v>
      </c>
      <c r="G5516" t="s">
        <v>10093</v>
      </c>
      <c r="H5516" t="s">
        <v>10166</v>
      </c>
      <c r="I5516" t="s">
        <v>10168</v>
      </c>
      <c r="J5516" t="s">
        <v>10213</v>
      </c>
      <c r="K5516" t="s">
        <v>10217</v>
      </c>
      <c r="M5516" t="s">
        <v>10265</v>
      </c>
      <c r="N5516" t="s">
        <v>10671</v>
      </c>
      <c r="P5516" t="s">
        <v>10751</v>
      </c>
      <c r="Q5516" t="s">
        <v>10761</v>
      </c>
      <c r="R5516" t="s">
        <v>10824</v>
      </c>
      <c r="T5516">
        <v>9000</v>
      </c>
      <c r="U5516">
        <v>750</v>
      </c>
      <c r="V5516">
        <v>53</v>
      </c>
      <c r="W5516">
        <v>2</v>
      </c>
      <c r="X5516">
        <v>0</v>
      </c>
      <c r="Z5516">
        <v>53.22</v>
      </c>
      <c r="AA5516">
        <v>40.666995</v>
      </c>
      <c r="AB5516">
        <v>-73.961426</v>
      </c>
      <c r="AD5516" t="s">
        <v>10839</v>
      </c>
      <c r="AG5516" t="s">
        <v>10858</v>
      </c>
      <c r="AH5516" t="s">
        <v>10862</v>
      </c>
      <c r="AI5516">
        <v>239</v>
      </c>
      <c r="AJ5516" t="s">
        <v>10213</v>
      </c>
      <c r="AL5516">
        <v>7.9</v>
      </c>
      <c r="AM5516" t="s">
        <v>10888</v>
      </c>
      <c r="AN5516" t="s">
        <v>10923</v>
      </c>
      <c r="AO5516" t="s">
        <v>11008</v>
      </c>
      <c r="AP5516" t="s">
        <v>11061</v>
      </c>
      <c r="AR5516" t="s">
        <v>11263</v>
      </c>
      <c r="AS5516" t="s">
        <v>11595</v>
      </c>
      <c r="BA5516" t="s">
        <v>11737</v>
      </c>
      <c r="BB5516">
        <v>0</v>
      </c>
      <c r="BC5516">
        <v>0</v>
      </c>
      <c r="BD5516">
        <v>0</v>
      </c>
      <c r="BE5516">
        <v>0</v>
      </c>
      <c r="BF5516">
        <v>3</v>
      </c>
      <c r="BG5516">
        <v>0</v>
      </c>
    </row>
    <row r="5517" spans="1:59">
      <c r="A5517" s="1">
        <f>HYPERLINK("https://lsnyc.legalserver.org/matter/dynamic-profile/view/1909776","19-1909776")</f>
        <v>0</v>
      </c>
      <c r="B5517" t="s">
        <v>1424</v>
      </c>
      <c r="C5517" t="s">
        <v>9201</v>
      </c>
      <c r="D5517" t="s">
        <v>9925</v>
      </c>
      <c r="E5517" t="s">
        <v>10075</v>
      </c>
      <c r="F5517">
        <v>10038</v>
      </c>
      <c r="G5517" t="s">
        <v>10089</v>
      </c>
      <c r="H5517" t="s">
        <v>10116</v>
      </c>
      <c r="I5517" t="s">
        <v>10168</v>
      </c>
      <c r="J5517" t="s">
        <v>10209</v>
      </c>
      <c r="K5517" t="s">
        <v>10217</v>
      </c>
      <c r="M5517" t="s">
        <v>10341</v>
      </c>
      <c r="N5517" t="s">
        <v>10703</v>
      </c>
      <c r="P5517" t="s">
        <v>10749</v>
      </c>
      <c r="Q5517" t="s">
        <v>10767</v>
      </c>
      <c r="R5517" t="s">
        <v>10824</v>
      </c>
      <c r="T5517">
        <v>9600</v>
      </c>
      <c r="U5517">
        <v>800</v>
      </c>
      <c r="V5517">
        <v>65</v>
      </c>
      <c r="W5517">
        <v>1</v>
      </c>
      <c r="X5517">
        <v>0</v>
      </c>
      <c r="Z5517">
        <v>76.86</v>
      </c>
      <c r="AA5517">
        <v>40.710734</v>
      </c>
      <c r="AB5517">
        <v>-73.998738</v>
      </c>
      <c r="AD5517" t="s">
        <v>10840</v>
      </c>
      <c r="AG5517" t="s">
        <v>10858</v>
      </c>
      <c r="AH5517" t="s">
        <v>10862</v>
      </c>
      <c r="AI5517">
        <v>236</v>
      </c>
      <c r="AJ5517" t="s">
        <v>10209</v>
      </c>
      <c r="AL5517">
        <v>2.8</v>
      </c>
      <c r="AM5517" t="s">
        <v>10886</v>
      </c>
      <c r="AN5517" t="s">
        <v>10963</v>
      </c>
      <c r="AO5517" t="s">
        <v>11004</v>
      </c>
      <c r="AP5517" t="s">
        <v>11093</v>
      </c>
      <c r="AR5517" t="s">
        <v>11263</v>
      </c>
      <c r="AS5517" t="s">
        <v>9925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</row>
    <row r="5518" spans="1:59">
      <c r="A5518" s="1">
        <f>HYPERLINK("https://lsnyc.legalserver.org/matter/dynamic-profile/view/1909777","19-1909777")</f>
        <v>0</v>
      </c>
      <c r="B5518" t="s">
        <v>4352</v>
      </c>
      <c r="C5518" t="s">
        <v>9078</v>
      </c>
      <c r="D5518" t="s">
        <v>9928</v>
      </c>
      <c r="E5518" t="s">
        <v>10075</v>
      </c>
      <c r="F5518">
        <v>11216</v>
      </c>
      <c r="G5518" t="s">
        <v>10093</v>
      </c>
      <c r="H5518" t="s">
        <v>10116</v>
      </c>
      <c r="I5518" t="s">
        <v>10168</v>
      </c>
      <c r="J5518" t="s">
        <v>10213</v>
      </c>
      <c r="K5518" t="s">
        <v>10217</v>
      </c>
      <c r="M5518" t="s">
        <v>10268</v>
      </c>
      <c r="N5518" t="s">
        <v>10667</v>
      </c>
      <c r="P5518" t="s">
        <v>10749</v>
      </c>
      <c r="Q5518" t="s">
        <v>10765</v>
      </c>
      <c r="R5518" t="s">
        <v>10824</v>
      </c>
      <c r="T5518">
        <v>21034</v>
      </c>
      <c r="U5518">
        <v>1752.83</v>
      </c>
      <c r="V5518">
        <v>57</v>
      </c>
      <c r="W5518">
        <v>1</v>
      </c>
      <c r="X5518">
        <v>0</v>
      </c>
      <c r="Z5518">
        <v>168.41</v>
      </c>
      <c r="AA5518">
        <v>40.679206</v>
      </c>
      <c r="AB5518">
        <v>-73.94485299999999</v>
      </c>
      <c r="AD5518" t="s">
        <v>10840</v>
      </c>
      <c r="AG5518" t="s">
        <v>10858</v>
      </c>
      <c r="AH5518" t="s">
        <v>10862</v>
      </c>
      <c r="AI5518">
        <v>239</v>
      </c>
      <c r="AJ5518" t="s">
        <v>10213</v>
      </c>
      <c r="AL5518">
        <v>0.8</v>
      </c>
      <c r="AM5518" t="s">
        <v>10889</v>
      </c>
      <c r="AN5518" t="s">
        <v>10914</v>
      </c>
      <c r="AO5518" t="s">
        <v>11007</v>
      </c>
      <c r="AP5518" t="s">
        <v>11052</v>
      </c>
      <c r="AR5518" t="s">
        <v>10180</v>
      </c>
      <c r="AS5518" t="s">
        <v>11595</v>
      </c>
      <c r="BA5518" t="s">
        <v>11738</v>
      </c>
      <c r="BB5518">
        <v>0</v>
      </c>
      <c r="BC5518">
        <v>0</v>
      </c>
      <c r="BD5518">
        <v>0</v>
      </c>
      <c r="BE5518">
        <v>0</v>
      </c>
      <c r="BF5518">
        <v>5</v>
      </c>
      <c r="BG5518">
        <v>0</v>
      </c>
    </row>
    <row r="5519" spans="1:59">
      <c r="A5519" s="1">
        <f>HYPERLINK("https://lsnyc.legalserver.org/matter/dynamic-profile/view/1909779","19-1909779")</f>
        <v>0</v>
      </c>
      <c r="B5519" t="s">
        <v>930</v>
      </c>
      <c r="C5519" t="s">
        <v>6794</v>
      </c>
      <c r="D5519" t="s">
        <v>9926</v>
      </c>
      <c r="E5519" t="s">
        <v>10075</v>
      </c>
      <c r="F5519">
        <v>10473</v>
      </c>
      <c r="G5519" t="s">
        <v>10090</v>
      </c>
      <c r="H5519" t="s">
        <v>10116</v>
      </c>
      <c r="I5519" t="s">
        <v>10168</v>
      </c>
      <c r="J5519" t="s">
        <v>10210</v>
      </c>
      <c r="K5519" t="s">
        <v>10217</v>
      </c>
      <c r="M5519" t="s">
        <v>10593</v>
      </c>
      <c r="N5519" t="s">
        <v>10677</v>
      </c>
      <c r="P5519" t="s">
        <v>10751</v>
      </c>
      <c r="Q5519" t="s">
        <v>10786</v>
      </c>
      <c r="R5519" t="s">
        <v>10824</v>
      </c>
      <c r="T5519">
        <v>10296</v>
      </c>
      <c r="U5519">
        <v>858</v>
      </c>
      <c r="V5519">
        <v>60</v>
      </c>
      <c r="W5519">
        <v>1</v>
      </c>
      <c r="X5519">
        <v>0</v>
      </c>
      <c r="Z5519">
        <v>82.43000000000001</v>
      </c>
      <c r="AA5519">
        <v>40.820461</v>
      </c>
      <c r="AB5519">
        <v>-73.849599</v>
      </c>
      <c r="AD5519" t="s">
        <v>10840</v>
      </c>
      <c r="AG5519" t="s">
        <v>10858</v>
      </c>
      <c r="AH5519" t="s">
        <v>10874</v>
      </c>
      <c r="AI5519">
        <v>230</v>
      </c>
      <c r="AJ5519" t="s">
        <v>10210</v>
      </c>
      <c r="AL5519">
        <v>6.5</v>
      </c>
      <c r="AQ5519" t="s">
        <v>11134</v>
      </c>
      <c r="AR5519" t="s">
        <v>11274</v>
      </c>
      <c r="AS5519" t="s">
        <v>9926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</row>
    <row r="5520" spans="1:59">
      <c r="A5520" s="1">
        <f>HYPERLINK("https://lsnyc.legalserver.org/matter/dynamic-profile/view/1909780","19-1909780")</f>
        <v>0</v>
      </c>
      <c r="C5520" t="s">
        <v>9202</v>
      </c>
      <c r="D5520" t="s">
        <v>9928</v>
      </c>
      <c r="E5520" t="s">
        <v>10075</v>
      </c>
      <c r="F5520">
        <v>11207</v>
      </c>
      <c r="G5520" t="s">
        <v>10093</v>
      </c>
      <c r="H5520" t="s">
        <v>10116</v>
      </c>
      <c r="I5520" t="s">
        <v>10168</v>
      </c>
      <c r="J5520" t="s">
        <v>10213</v>
      </c>
      <c r="K5520" t="s">
        <v>10217</v>
      </c>
      <c r="M5520" t="s">
        <v>10382</v>
      </c>
      <c r="N5520" t="s">
        <v>10657</v>
      </c>
      <c r="P5520" t="s">
        <v>10749</v>
      </c>
      <c r="Q5520" t="s">
        <v>10774</v>
      </c>
      <c r="R5520" t="s">
        <v>10824</v>
      </c>
      <c r="T5520">
        <v>24111.6</v>
      </c>
      <c r="U5520">
        <v>2009.3</v>
      </c>
      <c r="V5520">
        <v>0</v>
      </c>
      <c r="W5520">
        <v>1</v>
      </c>
      <c r="X5520">
        <v>1</v>
      </c>
      <c r="Z5520">
        <v>142.59</v>
      </c>
      <c r="AA5520">
        <v>40.667665</v>
      </c>
      <c r="AB5520">
        <v>-73.897244</v>
      </c>
      <c r="AD5520" t="s">
        <v>10839</v>
      </c>
      <c r="AG5520" t="s">
        <v>10858</v>
      </c>
      <c r="AH5520" t="s">
        <v>10862</v>
      </c>
      <c r="AI5520">
        <v>239</v>
      </c>
      <c r="AJ5520" t="s">
        <v>10213</v>
      </c>
      <c r="AL5520">
        <v>0</v>
      </c>
      <c r="AM5520" t="s">
        <v>10889</v>
      </c>
      <c r="AN5520" t="s">
        <v>10946</v>
      </c>
      <c r="AO5520" t="s">
        <v>11012</v>
      </c>
      <c r="AP5520" t="s">
        <v>11060</v>
      </c>
      <c r="AR5520" t="s">
        <v>11355</v>
      </c>
      <c r="AS5520" t="s">
        <v>11595</v>
      </c>
      <c r="BA5520" t="s">
        <v>11741</v>
      </c>
      <c r="BB5520">
        <v>0</v>
      </c>
      <c r="BC5520">
        <v>0</v>
      </c>
      <c r="BD5520">
        <v>0</v>
      </c>
      <c r="BE5520">
        <v>0</v>
      </c>
      <c r="BF5520">
        <v>1</v>
      </c>
      <c r="BG5520">
        <v>0</v>
      </c>
    </row>
    <row r="5521" spans="1:59">
      <c r="A5521" s="1">
        <f>HYPERLINK("https://lsnyc.legalserver.org/matter/dynamic-profile/view/1909781","19-1909781")</f>
        <v>0</v>
      </c>
      <c r="B5521" t="s">
        <v>1365</v>
      </c>
      <c r="C5521" t="s">
        <v>5422</v>
      </c>
      <c r="D5521" t="s">
        <v>9925</v>
      </c>
      <c r="E5521" t="s">
        <v>10075</v>
      </c>
      <c r="F5521">
        <v>10035</v>
      </c>
      <c r="G5521" t="s">
        <v>10089</v>
      </c>
      <c r="H5521" t="s">
        <v>10116</v>
      </c>
      <c r="I5521" t="s">
        <v>10168</v>
      </c>
      <c r="J5521" t="s">
        <v>10209</v>
      </c>
      <c r="K5521" t="s">
        <v>10217</v>
      </c>
      <c r="M5521" t="s">
        <v>10490</v>
      </c>
      <c r="N5521" t="s">
        <v>10718</v>
      </c>
      <c r="P5521" t="s">
        <v>10751</v>
      </c>
      <c r="Q5521" t="s">
        <v>10768</v>
      </c>
      <c r="R5521" t="s">
        <v>10824</v>
      </c>
      <c r="T5521">
        <v>14400</v>
      </c>
      <c r="U5521">
        <v>1200</v>
      </c>
      <c r="V5521">
        <v>60</v>
      </c>
      <c r="W5521">
        <v>1</v>
      </c>
      <c r="X5521">
        <v>0</v>
      </c>
      <c r="Z5521">
        <v>115.29</v>
      </c>
      <c r="AA5521">
        <v>40.800389</v>
      </c>
      <c r="AB5521">
        <v>-73.941298</v>
      </c>
      <c r="AD5521" t="s">
        <v>10839</v>
      </c>
      <c r="AG5521" t="s">
        <v>10858</v>
      </c>
      <c r="AH5521" t="s">
        <v>10879</v>
      </c>
      <c r="AI5521">
        <v>236</v>
      </c>
      <c r="AJ5521" t="s">
        <v>10209</v>
      </c>
      <c r="AL5521">
        <v>3.25</v>
      </c>
      <c r="AM5521" t="s">
        <v>10887</v>
      </c>
      <c r="AN5521" t="s">
        <v>10926</v>
      </c>
      <c r="AO5521" t="s">
        <v>11016</v>
      </c>
      <c r="AP5521" t="s">
        <v>11076</v>
      </c>
      <c r="AR5521" t="s">
        <v>11257</v>
      </c>
      <c r="AS5521" t="s">
        <v>9925</v>
      </c>
      <c r="AT5521" t="s">
        <v>11641</v>
      </c>
      <c r="AX5521" t="s">
        <v>10838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</row>
    <row r="5522" spans="1:59">
      <c r="A5522" s="1">
        <f>HYPERLINK("https://lsnyc.legalserver.org/matter/dynamic-profile/view/1909782","19-1909782")</f>
        <v>0</v>
      </c>
      <c r="B5522" t="s">
        <v>2927</v>
      </c>
      <c r="C5522" t="s">
        <v>9203</v>
      </c>
      <c r="D5522" t="s">
        <v>9936</v>
      </c>
      <c r="E5522" t="s">
        <v>10075</v>
      </c>
      <c r="F5522">
        <v>11106</v>
      </c>
      <c r="G5522" t="s">
        <v>10092</v>
      </c>
      <c r="H5522" t="s">
        <v>10116</v>
      </c>
      <c r="I5522" t="s">
        <v>10169</v>
      </c>
      <c r="J5522" t="s">
        <v>10212</v>
      </c>
      <c r="K5522" t="s">
        <v>10217</v>
      </c>
      <c r="M5522" t="s">
        <v>10311</v>
      </c>
      <c r="N5522" t="s">
        <v>10684</v>
      </c>
      <c r="P5522" t="s">
        <v>10751</v>
      </c>
      <c r="Q5522" t="s">
        <v>10786</v>
      </c>
      <c r="R5522" t="s">
        <v>10821</v>
      </c>
      <c r="T5522">
        <v>15576</v>
      </c>
      <c r="U5522">
        <v>1298</v>
      </c>
      <c r="V5522">
        <v>67</v>
      </c>
      <c r="W5522">
        <v>1</v>
      </c>
      <c r="X5522">
        <v>0</v>
      </c>
      <c r="Z5522">
        <v>124.71</v>
      </c>
      <c r="AA5522">
        <v>40.760642</v>
      </c>
      <c r="AB5522">
        <v>-73.930678</v>
      </c>
      <c r="AD5522" t="s">
        <v>10839</v>
      </c>
      <c r="AG5522" t="s">
        <v>10858</v>
      </c>
      <c r="AH5522" t="s">
        <v>10873</v>
      </c>
      <c r="AI5522">
        <v>237</v>
      </c>
      <c r="AJ5522" t="s">
        <v>10212</v>
      </c>
      <c r="AL5522">
        <v>1.25</v>
      </c>
      <c r="AM5522" t="s">
        <v>10891</v>
      </c>
      <c r="AN5522" t="s">
        <v>10935</v>
      </c>
      <c r="AO5522" t="s">
        <v>11003</v>
      </c>
      <c r="AP5522" t="s">
        <v>11047</v>
      </c>
      <c r="AR5522" t="s">
        <v>11268</v>
      </c>
      <c r="AS5522" t="s">
        <v>11594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</row>
    <row r="5523" spans="1:59">
      <c r="A5523" s="1">
        <f>HYPERLINK("https://lsnyc.legalserver.org/matter/dynamic-profile/view/1909783","19-1909783")</f>
        <v>0</v>
      </c>
      <c r="B5523" t="s">
        <v>4353</v>
      </c>
      <c r="C5523" t="s">
        <v>9204</v>
      </c>
      <c r="D5523" t="s">
        <v>9925</v>
      </c>
      <c r="E5523" t="s">
        <v>10075</v>
      </c>
      <c r="F5523">
        <v>10036</v>
      </c>
      <c r="G5523" t="s">
        <v>10089</v>
      </c>
      <c r="H5523" t="s">
        <v>10116</v>
      </c>
      <c r="I5523" t="s">
        <v>10168</v>
      </c>
      <c r="J5523" t="s">
        <v>10209</v>
      </c>
      <c r="K5523" t="s">
        <v>10217</v>
      </c>
      <c r="M5523" t="s">
        <v>10305</v>
      </c>
      <c r="N5523" t="s">
        <v>10688</v>
      </c>
      <c r="P5523" t="s">
        <v>10752</v>
      </c>
      <c r="Q5523" t="s">
        <v>10805</v>
      </c>
      <c r="R5523" t="s">
        <v>10821</v>
      </c>
      <c r="T5523">
        <v>23000</v>
      </c>
      <c r="U5523">
        <v>1916.67</v>
      </c>
      <c r="V5523">
        <v>48</v>
      </c>
      <c r="W5523">
        <v>2</v>
      </c>
      <c r="X5523">
        <v>2</v>
      </c>
      <c r="Z5523">
        <v>89.31999999999999</v>
      </c>
      <c r="AA5523">
        <v>40.759042</v>
      </c>
      <c r="AB5523">
        <v>-73.992566</v>
      </c>
      <c r="AD5523" t="s">
        <v>10839</v>
      </c>
      <c r="AG5523" t="s">
        <v>10858</v>
      </c>
      <c r="AH5523" t="s">
        <v>10863</v>
      </c>
      <c r="AI5523">
        <v>236</v>
      </c>
      <c r="AJ5523" t="s">
        <v>10209</v>
      </c>
      <c r="AL5523">
        <v>1.3</v>
      </c>
      <c r="AM5523" t="s">
        <v>10894</v>
      </c>
      <c r="AN5523" t="s">
        <v>10966</v>
      </c>
      <c r="AO5523" t="s">
        <v>11021</v>
      </c>
      <c r="AP5523" t="s">
        <v>11090</v>
      </c>
      <c r="AQ5523" t="s">
        <v>11155</v>
      </c>
      <c r="AR5523" t="s">
        <v>11262</v>
      </c>
      <c r="AS5523" t="s">
        <v>9925</v>
      </c>
      <c r="AT5523" t="s">
        <v>11641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</row>
    <row r="5524" spans="1:59">
      <c r="A5524" s="1">
        <f>HYPERLINK("https://lsnyc.legalserver.org/matter/dynamic-profile/view/1909784","19-1909784")</f>
        <v>0</v>
      </c>
      <c r="B5524" t="s">
        <v>4354</v>
      </c>
      <c r="C5524" t="s">
        <v>9205</v>
      </c>
      <c r="D5524" t="s">
        <v>9952</v>
      </c>
      <c r="E5524" t="s">
        <v>10075</v>
      </c>
      <c r="F5524">
        <v>11428</v>
      </c>
      <c r="G5524" t="s">
        <v>10092</v>
      </c>
      <c r="H5524" t="s">
        <v>10116</v>
      </c>
      <c r="I5524" t="s">
        <v>10168</v>
      </c>
      <c r="J5524" t="s">
        <v>10212</v>
      </c>
      <c r="K5524" t="s">
        <v>10217</v>
      </c>
      <c r="M5524" t="s">
        <v>10340</v>
      </c>
      <c r="N5524" t="s">
        <v>10694</v>
      </c>
      <c r="P5524" t="s">
        <v>10751</v>
      </c>
      <c r="Q5524" t="s">
        <v>10780</v>
      </c>
      <c r="R5524" t="s">
        <v>10824</v>
      </c>
      <c r="T5524">
        <v>0</v>
      </c>
      <c r="U5524">
        <v>0</v>
      </c>
      <c r="V5524">
        <v>46</v>
      </c>
      <c r="W5524">
        <v>1</v>
      </c>
      <c r="X5524">
        <v>1</v>
      </c>
      <c r="Z5524">
        <v>0</v>
      </c>
      <c r="AA5524">
        <v>40.716542</v>
      </c>
      <c r="AB5524">
        <v>-73.754591</v>
      </c>
      <c r="AD5524" t="s">
        <v>10839</v>
      </c>
      <c r="AG5524" t="s">
        <v>10858</v>
      </c>
      <c r="AH5524" t="s">
        <v>10861</v>
      </c>
      <c r="AI5524">
        <v>237</v>
      </c>
      <c r="AJ5524" t="s">
        <v>10212</v>
      </c>
      <c r="AL5524">
        <v>1.3</v>
      </c>
      <c r="AM5524" t="s">
        <v>10892</v>
      </c>
      <c r="AN5524" t="s">
        <v>10940</v>
      </c>
      <c r="AO5524" t="s">
        <v>11020</v>
      </c>
      <c r="AP5524" t="s">
        <v>11078</v>
      </c>
      <c r="AR5524" t="s">
        <v>11267</v>
      </c>
      <c r="AS5524" t="s">
        <v>11594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</row>
    <row r="5525" spans="1:59">
      <c r="A5525" s="1">
        <f>HYPERLINK("https://lsnyc.legalserver.org/matter/dynamic-profile/view/1909785","19-1909785")</f>
        <v>0</v>
      </c>
      <c r="B5525" t="s">
        <v>4355</v>
      </c>
      <c r="C5525" t="s">
        <v>5617</v>
      </c>
      <c r="D5525" t="s">
        <v>9929</v>
      </c>
      <c r="E5525" t="s">
        <v>10075</v>
      </c>
      <c r="F5525">
        <v>10312</v>
      </c>
      <c r="G5525" t="s">
        <v>10088</v>
      </c>
      <c r="H5525" t="s">
        <v>10115</v>
      </c>
      <c r="I5525" t="s">
        <v>10168</v>
      </c>
      <c r="J5525" t="s">
        <v>10208</v>
      </c>
      <c r="K5525" t="s">
        <v>10217</v>
      </c>
      <c r="M5525" t="s">
        <v>10478</v>
      </c>
      <c r="N5525" t="s">
        <v>10663</v>
      </c>
      <c r="P5525" t="s">
        <v>10755</v>
      </c>
      <c r="Q5525" t="s">
        <v>10772</v>
      </c>
      <c r="R5525" t="s">
        <v>10820</v>
      </c>
      <c r="T5525">
        <v>92000</v>
      </c>
      <c r="U5525">
        <v>7666.67</v>
      </c>
      <c r="V5525">
        <v>10</v>
      </c>
      <c r="W5525">
        <v>2</v>
      </c>
      <c r="X5525">
        <v>2</v>
      </c>
      <c r="Z5525">
        <v>357.28</v>
      </c>
      <c r="AA5525">
        <v>40.535384</v>
      </c>
      <c r="AB5525">
        <v>-74.194407</v>
      </c>
      <c r="AD5525" t="s">
        <v>10839</v>
      </c>
      <c r="AG5525" t="s">
        <v>10858</v>
      </c>
      <c r="AH5525" t="s">
        <v>10861</v>
      </c>
      <c r="AI5525">
        <v>285</v>
      </c>
      <c r="AJ5525" t="s">
        <v>10208</v>
      </c>
      <c r="AL5525">
        <v>1.2</v>
      </c>
      <c r="AM5525" t="s">
        <v>10883</v>
      </c>
      <c r="AN5525" t="s">
        <v>10906</v>
      </c>
      <c r="AO5525" t="s">
        <v>10999</v>
      </c>
      <c r="AP5525" t="s">
        <v>11044</v>
      </c>
      <c r="AR5525" t="s">
        <v>11257</v>
      </c>
      <c r="AS5525" t="s">
        <v>11593</v>
      </c>
      <c r="AT5525" t="s">
        <v>11641</v>
      </c>
      <c r="AX5525" t="s">
        <v>10838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</row>
    <row r="5526" spans="1:59">
      <c r="A5526" s="1">
        <f>HYPERLINK("https://lsnyc.legalserver.org/matter/dynamic-profile/view/1909787","19-1909787")</f>
        <v>0</v>
      </c>
      <c r="B5526" t="s">
        <v>4356</v>
      </c>
      <c r="C5526" t="s">
        <v>9206</v>
      </c>
      <c r="D5526" t="s">
        <v>9928</v>
      </c>
      <c r="E5526" t="s">
        <v>10075</v>
      </c>
      <c r="F5526">
        <v>11212</v>
      </c>
      <c r="G5526" t="s">
        <v>10093</v>
      </c>
      <c r="H5526" t="s">
        <v>10116</v>
      </c>
      <c r="I5526" t="s">
        <v>10169</v>
      </c>
      <c r="J5526" t="s">
        <v>10213</v>
      </c>
      <c r="K5526" t="s">
        <v>10217</v>
      </c>
      <c r="M5526" t="s">
        <v>10382</v>
      </c>
      <c r="N5526" t="s">
        <v>10657</v>
      </c>
      <c r="P5526" t="s">
        <v>10749</v>
      </c>
      <c r="Q5526" t="s">
        <v>10767</v>
      </c>
      <c r="R5526" t="s">
        <v>10821</v>
      </c>
      <c r="T5526">
        <v>9696</v>
      </c>
      <c r="U5526">
        <v>808</v>
      </c>
      <c r="V5526">
        <v>69</v>
      </c>
      <c r="W5526">
        <v>1</v>
      </c>
      <c r="X5526">
        <v>0</v>
      </c>
      <c r="Z5526">
        <v>77.63</v>
      </c>
      <c r="AA5526">
        <v>40.667724</v>
      </c>
      <c r="AB5526">
        <v>-73.907501</v>
      </c>
      <c r="AD5526" t="s">
        <v>10839</v>
      </c>
      <c r="AG5526" t="s">
        <v>10858</v>
      </c>
      <c r="AH5526" t="s">
        <v>10862</v>
      </c>
      <c r="AI5526">
        <v>239</v>
      </c>
      <c r="AJ5526" t="s">
        <v>10213</v>
      </c>
      <c r="AL5526">
        <v>0</v>
      </c>
      <c r="AM5526" t="s">
        <v>10888</v>
      </c>
      <c r="AN5526" t="s">
        <v>10922</v>
      </c>
      <c r="AO5526" t="s">
        <v>11005</v>
      </c>
      <c r="AP5526" t="s">
        <v>11064</v>
      </c>
      <c r="AR5526" t="s">
        <v>11253</v>
      </c>
      <c r="AS5526" t="s">
        <v>11595</v>
      </c>
      <c r="BA5526" t="s">
        <v>11741</v>
      </c>
      <c r="BB5526">
        <v>0</v>
      </c>
      <c r="BC5526">
        <v>0</v>
      </c>
      <c r="BD5526">
        <v>0</v>
      </c>
      <c r="BE5526">
        <v>0</v>
      </c>
      <c r="BF5526">
        <v>1</v>
      </c>
      <c r="BG5526">
        <v>0</v>
      </c>
    </row>
    <row r="5527" spans="1:59">
      <c r="A5527" s="1">
        <f>HYPERLINK("https://lsnyc.legalserver.org/matter/dynamic-profile/view/1909788","19-1909788")</f>
        <v>0</v>
      </c>
      <c r="B5527" t="s">
        <v>3145</v>
      </c>
      <c r="C5527" t="s">
        <v>9058</v>
      </c>
      <c r="D5527" t="s">
        <v>9926</v>
      </c>
      <c r="E5527" t="s">
        <v>10075</v>
      </c>
      <c r="F5527">
        <v>10457</v>
      </c>
      <c r="G5527" t="s">
        <v>10090</v>
      </c>
      <c r="H5527" t="s">
        <v>10116</v>
      </c>
      <c r="I5527" t="s">
        <v>10168</v>
      </c>
      <c r="J5527" t="s">
        <v>10210</v>
      </c>
      <c r="K5527" t="s">
        <v>10217</v>
      </c>
      <c r="M5527" t="s">
        <v>10272</v>
      </c>
      <c r="N5527" t="s">
        <v>10650</v>
      </c>
      <c r="P5527" t="s">
        <v>10749</v>
      </c>
      <c r="Q5527" t="s">
        <v>10765</v>
      </c>
      <c r="R5527" t="s">
        <v>10824</v>
      </c>
      <c r="T5527">
        <v>10080</v>
      </c>
      <c r="U5527">
        <v>840</v>
      </c>
      <c r="V5527">
        <v>64</v>
      </c>
      <c r="W5527">
        <v>1</v>
      </c>
      <c r="X5527">
        <v>0</v>
      </c>
      <c r="Z5527">
        <v>80.7</v>
      </c>
      <c r="AA5527">
        <v>40.854818</v>
      </c>
      <c r="AB5527">
        <v>-73.90038300000001</v>
      </c>
      <c r="AD5527" t="s">
        <v>10839</v>
      </c>
      <c r="AG5527" t="s">
        <v>10858</v>
      </c>
      <c r="AH5527" t="s">
        <v>10862</v>
      </c>
      <c r="AI5527">
        <v>230</v>
      </c>
      <c r="AJ5527" t="s">
        <v>10210</v>
      </c>
      <c r="AL5527">
        <v>0</v>
      </c>
      <c r="AM5527" t="s">
        <v>10884</v>
      </c>
      <c r="AN5527" t="s">
        <v>10931</v>
      </c>
      <c r="AO5527" t="s">
        <v>11000</v>
      </c>
      <c r="AP5527" t="s">
        <v>11056</v>
      </c>
      <c r="AR5527" t="s">
        <v>11263</v>
      </c>
      <c r="AS5527" t="s">
        <v>9926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</row>
    <row r="5528" spans="1:59">
      <c r="A5528" s="1">
        <f>HYPERLINK("https://lsnyc.legalserver.org/matter/dynamic-profile/view/1909789","19-1909789")</f>
        <v>0</v>
      </c>
      <c r="B5528" t="s">
        <v>1794</v>
      </c>
      <c r="C5528" t="s">
        <v>9207</v>
      </c>
      <c r="D5528" t="s">
        <v>9928</v>
      </c>
      <c r="E5528" t="s">
        <v>10075</v>
      </c>
      <c r="F5528">
        <v>11207</v>
      </c>
      <c r="G5528" t="s">
        <v>10093</v>
      </c>
      <c r="H5528" t="s">
        <v>10116</v>
      </c>
      <c r="I5528" t="s">
        <v>10168</v>
      </c>
      <c r="J5528" t="s">
        <v>10213</v>
      </c>
      <c r="K5528" t="s">
        <v>10217</v>
      </c>
      <c r="M5528" t="s">
        <v>10382</v>
      </c>
      <c r="N5528" t="s">
        <v>10657</v>
      </c>
      <c r="P5528" t="s">
        <v>10749</v>
      </c>
      <c r="Q5528" t="s">
        <v>10765</v>
      </c>
      <c r="R5528" t="s">
        <v>10824</v>
      </c>
      <c r="T5528">
        <v>14400</v>
      </c>
      <c r="U5528">
        <v>1200</v>
      </c>
      <c r="V5528">
        <v>68</v>
      </c>
      <c r="W5528">
        <v>1</v>
      </c>
      <c r="X5528">
        <v>0</v>
      </c>
      <c r="Z5528">
        <v>115.29</v>
      </c>
      <c r="AA5528">
        <v>40.66302</v>
      </c>
      <c r="AB5528">
        <v>-73.890891</v>
      </c>
      <c r="AD5528" t="s">
        <v>10840</v>
      </c>
      <c r="AF5528" t="s">
        <v>10843</v>
      </c>
      <c r="AG5528" t="s">
        <v>10859</v>
      </c>
      <c r="AH5528" t="s">
        <v>10862</v>
      </c>
      <c r="AI5528">
        <v>239</v>
      </c>
      <c r="AJ5528" t="s">
        <v>10213</v>
      </c>
      <c r="AL5528">
        <v>0</v>
      </c>
      <c r="AM5528" t="s">
        <v>10889</v>
      </c>
      <c r="AN5528" t="s">
        <v>10946</v>
      </c>
      <c r="AO5528" t="s">
        <v>11012</v>
      </c>
      <c r="AP5528" t="s">
        <v>11060</v>
      </c>
      <c r="AR5528" t="s">
        <v>11268</v>
      </c>
      <c r="AS5528" t="s">
        <v>11595</v>
      </c>
      <c r="BA5528" t="s">
        <v>11741</v>
      </c>
      <c r="BB5528">
        <v>0</v>
      </c>
      <c r="BC5528">
        <v>0</v>
      </c>
      <c r="BD5528">
        <v>0</v>
      </c>
      <c r="BE5528">
        <v>0</v>
      </c>
      <c r="BF5528">
        <v>1</v>
      </c>
      <c r="BG5528">
        <v>0</v>
      </c>
    </row>
    <row r="5529" spans="1:59">
      <c r="A5529" s="1">
        <f>HYPERLINK("https://lsnyc.legalserver.org/matter/dynamic-profile/view/1909791","19-1909791")</f>
        <v>0</v>
      </c>
      <c r="B5529" t="s">
        <v>4357</v>
      </c>
      <c r="C5529" t="s">
        <v>7223</v>
      </c>
      <c r="D5529" t="s">
        <v>9926</v>
      </c>
      <c r="E5529" t="s">
        <v>10075</v>
      </c>
      <c r="F5529">
        <v>10457</v>
      </c>
      <c r="G5529" t="s">
        <v>10090</v>
      </c>
      <c r="H5529" t="s">
        <v>10116</v>
      </c>
      <c r="J5529" t="s">
        <v>10210</v>
      </c>
      <c r="K5529" t="s">
        <v>10218</v>
      </c>
      <c r="L5529" t="s">
        <v>10156</v>
      </c>
      <c r="M5529" t="s">
        <v>10272</v>
      </c>
      <c r="N5529" t="s">
        <v>10650</v>
      </c>
      <c r="P5529" t="s">
        <v>10749</v>
      </c>
      <c r="Q5529" t="s">
        <v>10791</v>
      </c>
      <c r="R5529" t="s">
        <v>10821</v>
      </c>
      <c r="T5529">
        <v>4800</v>
      </c>
      <c r="U5529">
        <v>400</v>
      </c>
      <c r="V5529">
        <v>52</v>
      </c>
      <c r="W5529">
        <v>1</v>
      </c>
      <c r="X5529">
        <v>0</v>
      </c>
      <c r="Y5529" t="s">
        <v>10829</v>
      </c>
      <c r="Z5529">
        <v>38.43</v>
      </c>
      <c r="AA5529">
        <v>40.844471</v>
      </c>
      <c r="AB5529">
        <v>-73.90973700000001</v>
      </c>
      <c r="AD5529" t="s">
        <v>10839</v>
      </c>
      <c r="AG5529" t="s">
        <v>10858</v>
      </c>
      <c r="AH5529" t="s">
        <v>10862</v>
      </c>
      <c r="AI5529">
        <v>230</v>
      </c>
      <c r="AJ5529" t="s">
        <v>10210</v>
      </c>
      <c r="AK5529" t="s">
        <v>10838</v>
      </c>
      <c r="AL5529">
        <v>0.3</v>
      </c>
      <c r="AM5529" t="s">
        <v>10884</v>
      </c>
      <c r="AN5529" t="s">
        <v>10931</v>
      </c>
      <c r="AO5529" t="s">
        <v>11000</v>
      </c>
      <c r="AP5529" t="s">
        <v>11056</v>
      </c>
      <c r="AR5529" t="s">
        <v>11257</v>
      </c>
      <c r="AS5529" t="s">
        <v>9926</v>
      </c>
      <c r="AY5529" t="s">
        <v>10829</v>
      </c>
      <c r="AZ5529" t="s">
        <v>11681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</row>
    <row r="5530" spans="1:59">
      <c r="A5530" s="1">
        <f>HYPERLINK("https://lsnyc.legalserver.org/matter/dynamic-profile/view/1909792","19-1909792")</f>
        <v>0</v>
      </c>
      <c r="B5530" t="s">
        <v>4019</v>
      </c>
      <c r="D5530" t="s">
        <v>9926</v>
      </c>
      <c r="E5530" t="s">
        <v>10075</v>
      </c>
      <c r="F5530">
        <v>10456</v>
      </c>
      <c r="G5530" t="s">
        <v>10090</v>
      </c>
      <c r="H5530" t="s">
        <v>10116</v>
      </c>
      <c r="J5530" t="s">
        <v>10210</v>
      </c>
      <c r="K5530" t="s">
        <v>10217</v>
      </c>
      <c r="M5530" t="s">
        <v>10272</v>
      </c>
      <c r="N5530" t="s">
        <v>10650</v>
      </c>
      <c r="P5530" t="s">
        <v>10749</v>
      </c>
      <c r="Q5530" t="s">
        <v>10765</v>
      </c>
      <c r="R5530" t="s">
        <v>10820</v>
      </c>
      <c r="T5530">
        <v>30000</v>
      </c>
      <c r="U5530">
        <v>2500</v>
      </c>
      <c r="V5530">
        <v>35</v>
      </c>
      <c r="W5530">
        <v>1</v>
      </c>
      <c r="X5530">
        <v>0</v>
      </c>
      <c r="Z5530">
        <v>240.19</v>
      </c>
      <c r="AA5530">
        <v>0</v>
      </c>
      <c r="AB5530">
        <v>0</v>
      </c>
      <c r="AD5530" t="s">
        <v>10840</v>
      </c>
      <c r="AG5530" t="s">
        <v>10858</v>
      </c>
      <c r="AH5530" t="s">
        <v>10862</v>
      </c>
      <c r="AI5530">
        <v>230</v>
      </c>
      <c r="AJ5530" t="s">
        <v>10210</v>
      </c>
      <c r="AL5530">
        <v>0</v>
      </c>
      <c r="AR5530" t="s">
        <v>11327</v>
      </c>
      <c r="AS5530" t="s">
        <v>9926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</row>
    <row r="5531" spans="1:59">
      <c r="A5531" s="1">
        <f>HYPERLINK("https://lsnyc.legalserver.org/matter/dynamic-profile/view/1909793","19-1909793")</f>
        <v>0</v>
      </c>
      <c r="B5531" t="s">
        <v>4358</v>
      </c>
      <c r="C5531" t="s">
        <v>9208</v>
      </c>
      <c r="D5531" t="s">
        <v>9928</v>
      </c>
      <c r="E5531" t="s">
        <v>10075</v>
      </c>
      <c r="F5531">
        <v>11207</v>
      </c>
      <c r="G5531" t="s">
        <v>10093</v>
      </c>
      <c r="H5531" t="s">
        <v>10116</v>
      </c>
      <c r="I5531" t="s">
        <v>10169</v>
      </c>
      <c r="J5531" t="s">
        <v>10213</v>
      </c>
      <c r="K5531" t="s">
        <v>10217</v>
      </c>
      <c r="M5531" t="s">
        <v>10382</v>
      </c>
      <c r="N5531" t="s">
        <v>10657</v>
      </c>
      <c r="P5531" t="s">
        <v>10749</v>
      </c>
      <c r="Q5531" t="s">
        <v>10765</v>
      </c>
      <c r="R5531" t="s">
        <v>10821</v>
      </c>
      <c r="T5531">
        <v>13832</v>
      </c>
      <c r="U5531">
        <v>1152.67</v>
      </c>
      <c r="V5531">
        <v>57</v>
      </c>
      <c r="W5531">
        <v>2</v>
      </c>
      <c r="X5531">
        <v>0</v>
      </c>
      <c r="Z5531">
        <v>81.8</v>
      </c>
      <c r="AA5531">
        <v>40.660517</v>
      </c>
      <c r="AB5531">
        <v>-73.89176399999999</v>
      </c>
      <c r="AD5531" t="s">
        <v>10839</v>
      </c>
      <c r="AG5531" t="s">
        <v>10858</v>
      </c>
      <c r="AH5531" t="s">
        <v>10862</v>
      </c>
      <c r="AI5531">
        <v>239</v>
      </c>
      <c r="AJ5531" t="s">
        <v>10213</v>
      </c>
      <c r="AL5531">
        <v>0</v>
      </c>
      <c r="AM5531" t="s">
        <v>10889</v>
      </c>
      <c r="AN5531" t="s">
        <v>10946</v>
      </c>
      <c r="AO5531" t="s">
        <v>11012</v>
      </c>
      <c r="AP5531" t="s">
        <v>11060</v>
      </c>
      <c r="AQ5531" t="s">
        <v>11101</v>
      </c>
      <c r="AR5531" t="s">
        <v>11276</v>
      </c>
      <c r="AS5531" t="s">
        <v>11595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</row>
    <row r="5532" spans="1:59">
      <c r="A5532" s="1">
        <f>HYPERLINK("https://lsnyc.legalserver.org/matter/dynamic-profile/view/1909794","19-1909794")</f>
        <v>0</v>
      </c>
      <c r="B5532" t="s">
        <v>4359</v>
      </c>
      <c r="C5532" t="s">
        <v>9209</v>
      </c>
      <c r="D5532" t="s">
        <v>9926</v>
      </c>
      <c r="E5532" t="s">
        <v>10075</v>
      </c>
      <c r="F5532">
        <v>10468</v>
      </c>
      <c r="G5532" t="s">
        <v>10090</v>
      </c>
      <c r="H5532" t="s">
        <v>10116</v>
      </c>
      <c r="J5532" t="s">
        <v>10210</v>
      </c>
      <c r="K5532" t="s">
        <v>10217</v>
      </c>
      <c r="M5532" t="s">
        <v>10272</v>
      </c>
      <c r="N5532" t="s">
        <v>10650</v>
      </c>
      <c r="P5532" t="s">
        <v>10749</v>
      </c>
      <c r="Q5532" t="s">
        <v>10765</v>
      </c>
      <c r="R5532" t="s">
        <v>10824</v>
      </c>
      <c r="T5532">
        <v>8232</v>
      </c>
      <c r="U5532">
        <v>686</v>
      </c>
      <c r="V5532">
        <v>57</v>
      </c>
      <c r="W5532">
        <v>2</v>
      </c>
      <c r="X5532">
        <v>0</v>
      </c>
      <c r="Z5532">
        <v>48.68</v>
      </c>
      <c r="AA5532">
        <v>40.859145</v>
      </c>
      <c r="AB5532">
        <v>-73.902612</v>
      </c>
      <c r="AD5532" t="s">
        <v>10839</v>
      </c>
      <c r="AG5532" t="s">
        <v>10858</v>
      </c>
      <c r="AH5532" t="s">
        <v>10862</v>
      </c>
      <c r="AI5532">
        <v>230</v>
      </c>
      <c r="AJ5532" t="s">
        <v>10210</v>
      </c>
      <c r="AL5532">
        <v>0</v>
      </c>
      <c r="AM5532" t="s">
        <v>10884</v>
      </c>
      <c r="AN5532" t="s">
        <v>10931</v>
      </c>
      <c r="AO5532" t="s">
        <v>11000</v>
      </c>
      <c r="AP5532" t="s">
        <v>11045</v>
      </c>
      <c r="AR5532" t="s">
        <v>11270</v>
      </c>
      <c r="AS5532" t="s">
        <v>9926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</row>
    <row r="5533" spans="1:59">
      <c r="A5533" s="1">
        <f>HYPERLINK("https://lsnyc.legalserver.org/matter/dynamic-profile/view/1909795","19-1909795")</f>
        <v>0</v>
      </c>
      <c r="B5533" t="s">
        <v>1959</v>
      </c>
      <c r="C5533" t="s">
        <v>6913</v>
      </c>
      <c r="D5533" t="s">
        <v>9954</v>
      </c>
      <c r="E5533" t="s">
        <v>10075</v>
      </c>
      <c r="F5533">
        <v>11372</v>
      </c>
      <c r="G5533" t="s">
        <v>10092</v>
      </c>
      <c r="H5533" t="s">
        <v>10116</v>
      </c>
      <c r="I5533" t="s">
        <v>10169</v>
      </c>
      <c r="J5533" t="s">
        <v>10212</v>
      </c>
      <c r="K5533" t="s">
        <v>10217</v>
      </c>
      <c r="M5533" t="s">
        <v>10311</v>
      </c>
      <c r="N5533" t="s">
        <v>10684</v>
      </c>
      <c r="P5533" t="s">
        <v>10751</v>
      </c>
      <c r="Q5533" t="s">
        <v>10786</v>
      </c>
      <c r="R5533" t="s">
        <v>10821</v>
      </c>
      <c r="T5533">
        <v>31425.6</v>
      </c>
      <c r="U5533">
        <v>2618.8</v>
      </c>
      <c r="V5533">
        <v>65</v>
      </c>
      <c r="W5533">
        <v>1</v>
      </c>
      <c r="X5533">
        <v>2</v>
      </c>
      <c r="Z5533">
        <v>147.33</v>
      </c>
      <c r="AA5533">
        <v>40.751921</v>
      </c>
      <c r="AB5533">
        <v>-73.88615</v>
      </c>
      <c r="AD5533" t="s">
        <v>10839</v>
      </c>
      <c r="AF5533" t="s">
        <v>10843</v>
      </c>
      <c r="AG5533" t="s">
        <v>10859</v>
      </c>
      <c r="AH5533" t="s">
        <v>10873</v>
      </c>
      <c r="AI5533">
        <v>237</v>
      </c>
      <c r="AJ5533" t="s">
        <v>10212</v>
      </c>
      <c r="AL5533">
        <v>1.75</v>
      </c>
      <c r="AM5533" t="s">
        <v>10885</v>
      </c>
      <c r="AN5533" t="s">
        <v>10909</v>
      </c>
      <c r="AO5533" t="s">
        <v>11014</v>
      </c>
      <c r="AP5533" t="s">
        <v>11053</v>
      </c>
      <c r="AR5533" t="s">
        <v>11268</v>
      </c>
      <c r="AS5533" t="s">
        <v>11594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</row>
    <row r="5534" spans="1:59">
      <c r="A5534" s="1">
        <f>HYPERLINK("https://lsnyc.legalserver.org/matter/dynamic-profile/view/1909796","19-1909796")</f>
        <v>0</v>
      </c>
      <c r="B5534" t="s">
        <v>4360</v>
      </c>
      <c r="C5534" t="s">
        <v>9210</v>
      </c>
      <c r="D5534" t="s">
        <v>9928</v>
      </c>
      <c r="E5534" t="s">
        <v>10075</v>
      </c>
      <c r="F5534">
        <v>11209</v>
      </c>
      <c r="G5534" t="s">
        <v>10093</v>
      </c>
      <c r="H5534" t="s">
        <v>10116</v>
      </c>
      <c r="I5534" t="s">
        <v>10168</v>
      </c>
      <c r="J5534" t="s">
        <v>10213</v>
      </c>
      <c r="K5534" t="s">
        <v>10217</v>
      </c>
      <c r="M5534" t="s">
        <v>10382</v>
      </c>
      <c r="N5534" t="s">
        <v>10657</v>
      </c>
      <c r="P5534" t="s">
        <v>10749</v>
      </c>
      <c r="Q5534" t="s">
        <v>10765</v>
      </c>
      <c r="R5534" t="s">
        <v>10827</v>
      </c>
      <c r="T5534">
        <v>0</v>
      </c>
      <c r="U5534">
        <v>0</v>
      </c>
      <c r="V5534">
        <v>24</v>
      </c>
      <c r="W5534">
        <v>1</v>
      </c>
      <c r="X5534">
        <v>0</v>
      </c>
      <c r="Z5534">
        <v>0</v>
      </c>
      <c r="AA5534">
        <v>40.623429</v>
      </c>
      <c r="AB5534">
        <v>-74.02286700000001</v>
      </c>
      <c r="AD5534" t="s">
        <v>10839</v>
      </c>
      <c r="AG5534" t="s">
        <v>10858</v>
      </c>
      <c r="AH5534" t="s">
        <v>10862</v>
      </c>
      <c r="AI5534">
        <v>239</v>
      </c>
      <c r="AJ5534" t="s">
        <v>10213</v>
      </c>
      <c r="AL5534">
        <v>0</v>
      </c>
      <c r="AM5534" t="s">
        <v>10883</v>
      </c>
      <c r="AN5534" t="s">
        <v>10960</v>
      </c>
      <c r="AO5534" t="s">
        <v>11023</v>
      </c>
      <c r="AP5534" t="s">
        <v>11086</v>
      </c>
      <c r="AR5534" t="s">
        <v>11279</v>
      </c>
      <c r="AS5534" t="s">
        <v>11595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</row>
    <row r="5535" spans="1:59">
      <c r="A5535" s="1">
        <f>HYPERLINK("https://lsnyc.legalserver.org/matter/dynamic-profile/view/1909797","19-1909797")</f>
        <v>0</v>
      </c>
      <c r="B5535" t="s">
        <v>4361</v>
      </c>
      <c r="C5535" t="s">
        <v>6196</v>
      </c>
      <c r="D5535" t="s">
        <v>9938</v>
      </c>
      <c r="E5535" t="s">
        <v>10075</v>
      </c>
      <c r="F5535">
        <v>11432</v>
      </c>
      <c r="G5535" t="s">
        <v>10092</v>
      </c>
      <c r="H5535" t="s">
        <v>10160</v>
      </c>
      <c r="I5535" t="s">
        <v>10169</v>
      </c>
      <c r="J5535" t="s">
        <v>10212</v>
      </c>
      <c r="K5535" t="s">
        <v>10217</v>
      </c>
      <c r="M5535" t="s">
        <v>10232</v>
      </c>
      <c r="N5535" t="s">
        <v>10673</v>
      </c>
      <c r="P5535" t="s">
        <v>10753</v>
      </c>
      <c r="Q5535" t="s">
        <v>10763</v>
      </c>
      <c r="R5535" t="s">
        <v>10823</v>
      </c>
      <c r="T5535">
        <v>30800</v>
      </c>
      <c r="U5535">
        <v>2566.67</v>
      </c>
      <c r="V5535">
        <v>40</v>
      </c>
      <c r="W5535">
        <v>2</v>
      </c>
      <c r="X5535">
        <v>3</v>
      </c>
      <c r="Z5535">
        <v>102.09</v>
      </c>
      <c r="AA5535">
        <v>40.705203</v>
      </c>
      <c r="AB5535">
        <v>-73.798963</v>
      </c>
      <c r="AD5535" t="s">
        <v>10840</v>
      </c>
      <c r="AF5535" t="s">
        <v>10842</v>
      </c>
      <c r="AG5535" t="s">
        <v>10859</v>
      </c>
      <c r="AH5535" t="s">
        <v>10864</v>
      </c>
      <c r="AI5535">
        <v>237</v>
      </c>
      <c r="AJ5535" t="s">
        <v>10212</v>
      </c>
      <c r="AL5535">
        <v>2.5</v>
      </c>
      <c r="AM5535" t="s">
        <v>10892</v>
      </c>
      <c r="AN5535" t="s">
        <v>10951</v>
      </c>
      <c r="AO5535" t="s">
        <v>11020</v>
      </c>
      <c r="AP5535" t="s">
        <v>11081</v>
      </c>
      <c r="AQ5535" t="s">
        <v>11119</v>
      </c>
      <c r="AR5535" t="s">
        <v>11257</v>
      </c>
      <c r="AS5535" t="s">
        <v>11594</v>
      </c>
      <c r="AT5535" t="s">
        <v>11642</v>
      </c>
      <c r="AX5535" t="s">
        <v>10838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</row>
    <row r="5536" spans="1:59">
      <c r="A5536" s="1">
        <f>HYPERLINK("https://lsnyc.legalserver.org/matter/dynamic-profile/view/1909798","19-1909798")</f>
        <v>0</v>
      </c>
      <c r="B5536" t="s">
        <v>4362</v>
      </c>
      <c r="C5536" t="s">
        <v>9211</v>
      </c>
      <c r="D5536" t="s">
        <v>9926</v>
      </c>
      <c r="E5536" t="s">
        <v>10075</v>
      </c>
      <c r="F5536">
        <v>10467</v>
      </c>
      <c r="G5536" t="s">
        <v>10090</v>
      </c>
      <c r="H5536" t="s">
        <v>10166</v>
      </c>
      <c r="I5536" t="s">
        <v>10168</v>
      </c>
      <c r="J5536" t="s">
        <v>10210</v>
      </c>
      <c r="K5536" t="s">
        <v>10217</v>
      </c>
      <c r="M5536" t="s">
        <v>10399</v>
      </c>
      <c r="N5536" t="s">
        <v>10651</v>
      </c>
      <c r="P5536" t="s">
        <v>10749</v>
      </c>
      <c r="Q5536" t="s">
        <v>10765</v>
      </c>
      <c r="R5536" t="s">
        <v>10821</v>
      </c>
      <c r="T5536">
        <v>9252</v>
      </c>
      <c r="U5536">
        <v>771</v>
      </c>
      <c r="V5536">
        <v>60</v>
      </c>
      <c r="W5536">
        <v>1</v>
      </c>
      <c r="X5536">
        <v>0</v>
      </c>
      <c r="Z5536">
        <v>74.08</v>
      </c>
      <c r="AA5536">
        <v>40.882025</v>
      </c>
      <c r="AB5536">
        <v>-73.87845299999999</v>
      </c>
      <c r="AD5536" t="s">
        <v>10839</v>
      </c>
      <c r="AG5536" t="s">
        <v>10858</v>
      </c>
      <c r="AH5536" t="s">
        <v>10862</v>
      </c>
      <c r="AI5536">
        <v>230</v>
      </c>
      <c r="AJ5536" t="s">
        <v>10210</v>
      </c>
      <c r="AL5536">
        <v>17.95</v>
      </c>
      <c r="AM5536" t="s">
        <v>10887</v>
      </c>
      <c r="AN5536" t="s">
        <v>10919</v>
      </c>
      <c r="AO5536" t="s">
        <v>11010</v>
      </c>
      <c r="AP5536" t="s">
        <v>11057</v>
      </c>
      <c r="AR5536" t="s">
        <v>11263</v>
      </c>
      <c r="AS5536" t="s">
        <v>9926</v>
      </c>
      <c r="BA5536" t="s">
        <v>11738</v>
      </c>
      <c r="BB5536">
        <v>0</v>
      </c>
      <c r="BC5536">
        <v>0</v>
      </c>
      <c r="BD5536">
        <v>0</v>
      </c>
      <c r="BE5536">
        <v>0</v>
      </c>
      <c r="BF5536">
        <v>5</v>
      </c>
      <c r="BG5536">
        <v>0</v>
      </c>
    </row>
    <row r="5537" spans="1:59">
      <c r="A5537" s="1">
        <f>HYPERLINK("https://lsnyc.legalserver.org/matter/dynamic-profile/view/1909799","19-1909799")</f>
        <v>0</v>
      </c>
      <c r="B5537" t="s">
        <v>2492</v>
      </c>
      <c r="C5537" t="s">
        <v>9212</v>
      </c>
      <c r="D5537" t="s">
        <v>9926</v>
      </c>
      <c r="E5537" t="s">
        <v>10075</v>
      </c>
      <c r="F5537">
        <v>10467</v>
      </c>
      <c r="G5537" t="s">
        <v>10090</v>
      </c>
      <c r="H5537" t="s">
        <v>10166</v>
      </c>
      <c r="I5537" t="s">
        <v>10168</v>
      </c>
      <c r="J5537" t="s">
        <v>10210</v>
      </c>
      <c r="K5537" t="s">
        <v>10217</v>
      </c>
      <c r="M5537" t="s">
        <v>10287</v>
      </c>
      <c r="N5537" t="s">
        <v>10671</v>
      </c>
      <c r="P5537" t="s">
        <v>10751</v>
      </c>
      <c r="Q5537" t="s">
        <v>10761</v>
      </c>
      <c r="R5537" t="s">
        <v>10824</v>
      </c>
      <c r="T5537">
        <v>10200</v>
      </c>
      <c r="U5537">
        <v>850</v>
      </c>
      <c r="V5537">
        <v>55</v>
      </c>
      <c r="W5537">
        <v>1</v>
      </c>
      <c r="X5537">
        <v>0</v>
      </c>
      <c r="Z5537">
        <v>81.67</v>
      </c>
      <c r="AA5537">
        <v>40.884251</v>
      </c>
      <c r="AB5537">
        <v>-73.861633</v>
      </c>
      <c r="AD5537" t="s">
        <v>10839</v>
      </c>
      <c r="AG5537" t="s">
        <v>10858</v>
      </c>
      <c r="AH5537" t="s">
        <v>10862</v>
      </c>
      <c r="AI5537">
        <v>230</v>
      </c>
      <c r="AJ5537" t="s">
        <v>10210</v>
      </c>
      <c r="AL5537">
        <v>0.75</v>
      </c>
      <c r="AM5537" t="s">
        <v>10893</v>
      </c>
      <c r="AN5537" t="s">
        <v>10956</v>
      </c>
      <c r="AO5537" t="s">
        <v>11010</v>
      </c>
      <c r="AP5537" t="s">
        <v>11085</v>
      </c>
      <c r="AR5537" t="s">
        <v>11274</v>
      </c>
      <c r="AS5537" t="s">
        <v>9926</v>
      </c>
      <c r="BA5537" t="s">
        <v>11737</v>
      </c>
      <c r="BB5537">
        <v>0</v>
      </c>
      <c r="BC5537">
        <v>0</v>
      </c>
      <c r="BD5537">
        <v>0</v>
      </c>
      <c r="BE5537">
        <v>0</v>
      </c>
      <c r="BF5537">
        <v>3</v>
      </c>
      <c r="BG5537">
        <v>0</v>
      </c>
    </row>
    <row r="5538" spans="1:59">
      <c r="A5538" s="1">
        <f>HYPERLINK("https://lsnyc.legalserver.org/matter/dynamic-profile/view/1909800","19-1909800")</f>
        <v>0</v>
      </c>
      <c r="B5538" t="s">
        <v>4362</v>
      </c>
      <c r="C5538" t="s">
        <v>9211</v>
      </c>
      <c r="D5538" t="s">
        <v>9926</v>
      </c>
      <c r="E5538" t="s">
        <v>10075</v>
      </c>
      <c r="F5538">
        <v>10467</v>
      </c>
      <c r="G5538" t="s">
        <v>10090</v>
      </c>
      <c r="H5538" t="s">
        <v>10166</v>
      </c>
      <c r="I5538" t="s">
        <v>10168</v>
      </c>
      <c r="J5538" t="s">
        <v>10210</v>
      </c>
      <c r="K5538" t="s">
        <v>10217</v>
      </c>
      <c r="M5538" t="s">
        <v>10406</v>
      </c>
      <c r="N5538" t="s">
        <v>10671</v>
      </c>
      <c r="P5538" t="s">
        <v>10751</v>
      </c>
      <c r="Q5538" t="s">
        <v>10761</v>
      </c>
      <c r="R5538" t="s">
        <v>10821</v>
      </c>
      <c r="T5538">
        <v>9252</v>
      </c>
      <c r="U5538">
        <v>771</v>
      </c>
      <c r="V5538">
        <v>60</v>
      </c>
      <c r="W5538">
        <v>1</v>
      </c>
      <c r="X5538">
        <v>0</v>
      </c>
      <c r="Z5538">
        <v>74.08</v>
      </c>
      <c r="AA5538">
        <v>40.882025</v>
      </c>
      <c r="AB5538">
        <v>-73.87845299999999</v>
      </c>
      <c r="AD5538" t="s">
        <v>10839</v>
      </c>
      <c r="AG5538" t="s">
        <v>10858</v>
      </c>
      <c r="AH5538" t="s">
        <v>10862</v>
      </c>
      <c r="AI5538">
        <v>230</v>
      </c>
      <c r="AJ5538" t="s">
        <v>10210</v>
      </c>
      <c r="AL5538">
        <v>0.5</v>
      </c>
      <c r="AR5538" t="s">
        <v>11263</v>
      </c>
      <c r="AS5538" t="s">
        <v>9926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</row>
    <row r="5539" spans="1:59">
      <c r="A5539" s="1">
        <f>HYPERLINK("https://lsnyc.legalserver.org/matter/dynamic-profile/view/1909801","19-1909801")</f>
        <v>0</v>
      </c>
      <c r="B5539" t="s">
        <v>4363</v>
      </c>
      <c r="C5539" t="s">
        <v>9213</v>
      </c>
      <c r="D5539" t="s">
        <v>9951</v>
      </c>
      <c r="E5539" t="s">
        <v>10075</v>
      </c>
      <c r="F5539">
        <v>11417</v>
      </c>
      <c r="G5539" t="s">
        <v>10092</v>
      </c>
      <c r="H5539" t="s">
        <v>10166</v>
      </c>
      <c r="I5539" t="s">
        <v>10179</v>
      </c>
      <c r="J5539" t="s">
        <v>10212</v>
      </c>
      <c r="K5539" t="s">
        <v>10217</v>
      </c>
      <c r="M5539" t="s">
        <v>10295</v>
      </c>
      <c r="N5539" t="s">
        <v>10674</v>
      </c>
      <c r="P5539" t="s">
        <v>10754</v>
      </c>
      <c r="Q5539" t="s">
        <v>10775</v>
      </c>
      <c r="R5539" t="s">
        <v>10828</v>
      </c>
      <c r="T5539">
        <v>24960</v>
      </c>
      <c r="U5539">
        <v>2080</v>
      </c>
      <c r="V5539">
        <v>22</v>
      </c>
      <c r="W5539">
        <v>1</v>
      </c>
      <c r="X5539">
        <v>0</v>
      </c>
      <c r="Z5539">
        <v>199.84</v>
      </c>
      <c r="AA5539">
        <v>40.677801</v>
      </c>
      <c r="AB5539">
        <v>-73.832578</v>
      </c>
      <c r="AD5539" t="s">
        <v>10839</v>
      </c>
      <c r="AF5539" t="s">
        <v>10843</v>
      </c>
      <c r="AG5539" t="s">
        <v>10859</v>
      </c>
      <c r="AH5539" t="s">
        <v>10865</v>
      </c>
      <c r="AI5539">
        <v>237</v>
      </c>
      <c r="AJ5539" t="s">
        <v>10212</v>
      </c>
      <c r="AL5539">
        <v>2.7</v>
      </c>
      <c r="AM5539" t="s">
        <v>10892</v>
      </c>
      <c r="AN5539" t="s">
        <v>10958</v>
      </c>
      <c r="AO5539" t="s">
        <v>11024</v>
      </c>
      <c r="AP5539" t="s">
        <v>11088</v>
      </c>
      <c r="AR5539" t="s">
        <v>11257</v>
      </c>
      <c r="AS5539" t="s">
        <v>11594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</row>
    <row r="5540" spans="1:59">
      <c r="A5540" s="1">
        <f>HYPERLINK("https://lsnyc.legalserver.org/matter/dynamic-profile/view/1909802","19-1909802")</f>
        <v>0</v>
      </c>
      <c r="B5540" t="s">
        <v>4364</v>
      </c>
      <c r="C5540" t="s">
        <v>9214</v>
      </c>
      <c r="D5540" t="s">
        <v>9935</v>
      </c>
      <c r="E5540" t="s">
        <v>10075</v>
      </c>
      <c r="F5540">
        <v>11369</v>
      </c>
      <c r="G5540" t="s">
        <v>10092</v>
      </c>
      <c r="H5540" t="s">
        <v>10166</v>
      </c>
      <c r="I5540" t="s">
        <v>10169</v>
      </c>
      <c r="J5540" t="s">
        <v>10212</v>
      </c>
      <c r="K5540" t="s">
        <v>10218</v>
      </c>
      <c r="L5540" t="s">
        <v>10220</v>
      </c>
      <c r="M5540" t="s">
        <v>10632</v>
      </c>
      <c r="N5540" t="s">
        <v>10699</v>
      </c>
      <c r="P5540" t="s">
        <v>10754</v>
      </c>
      <c r="Q5540" t="s">
        <v>10775</v>
      </c>
      <c r="R5540" t="s">
        <v>10821</v>
      </c>
      <c r="T5540">
        <v>0</v>
      </c>
      <c r="U5540">
        <v>0</v>
      </c>
      <c r="V5540">
        <v>40</v>
      </c>
      <c r="W5540">
        <v>1</v>
      </c>
      <c r="X5540">
        <v>2</v>
      </c>
      <c r="Y5540" t="s">
        <v>10829</v>
      </c>
      <c r="Z5540">
        <v>0</v>
      </c>
      <c r="AA5540">
        <v>40.766599</v>
      </c>
      <c r="AB5540">
        <v>-73.87421999999999</v>
      </c>
      <c r="AD5540" t="s">
        <v>10839</v>
      </c>
      <c r="AG5540" t="s">
        <v>10858</v>
      </c>
      <c r="AH5540" t="s">
        <v>10875</v>
      </c>
      <c r="AI5540">
        <v>237</v>
      </c>
      <c r="AJ5540" t="s">
        <v>10212</v>
      </c>
      <c r="AK5540" t="s">
        <v>10838</v>
      </c>
      <c r="AL5540">
        <v>2</v>
      </c>
      <c r="AM5540" t="s">
        <v>10885</v>
      </c>
      <c r="AN5540" t="s">
        <v>10916</v>
      </c>
      <c r="AO5540" t="s">
        <v>11014</v>
      </c>
      <c r="AP5540" t="s">
        <v>11068</v>
      </c>
      <c r="AQ5540" t="s">
        <v>11138</v>
      </c>
      <c r="AR5540" t="s">
        <v>11267</v>
      </c>
      <c r="AS5540" t="s">
        <v>11594</v>
      </c>
      <c r="AY5540" t="s">
        <v>10829</v>
      </c>
      <c r="AZ5540" t="s">
        <v>11683</v>
      </c>
      <c r="BA5540" t="s">
        <v>11741</v>
      </c>
      <c r="BB5540">
        <v>0</v>
      </c>
      <c r="BC5540">
        <v>0</v>
      </c>
      <c r="BD5540">
        <v>0</v>
      </c>
      <c r="BE5540">
        <v>0</v>
      </c>
      <c r="BF5540">
        <v>1</v>
      </c>
      <c r="BG5540">
        <v>0</v>
      </c>
    </row>
    <row r="5541" spans="1:59">
      <c r="A5541" s="1">
        <f>HYPERLINK("https://lsnyc.legalserver.org/matter/dynamic-profile/view/1909803","19-1909803")</f>
        <v>0</v>
      </c>
      <c r="B5541" t="s">
        <v>3516</v>
      </c>
      <c r="C5541" t="s">
        <v>8310</v>
      </c>
      <c r="D5541" t="s">
        <v>9929</v>
      </c>
      <c r="E5541" t="s">
        <v>10075</v>
      </c>
      <c r="F5541">
        <v>10308</v>
      </c>
      <c r="G5541" t="s">
        <v>10088</v>
      </c>
      <c r="H5541" t="s">
        <v>10159</v>
      </c>
      <c r="I5541" t="s">
        <v>10168</v>
      </c>
      <c r="J5541" t="s">
        <v>10208</v>
      </c>
      <c r="K5541" t="s">
        <v>10217</v>
      </c>
      <c r="M5541" t="s">
        <v>10542</v>
      </c>
      <c r="N5541" t="s">
        <v>10729</v>
      </c>
      <c r="P5541" t="s">
        <v>10754</v>
      </c>
      <c r="Q5541" t="s">
        <v>10777</v>
      </c>
      <c r="R5541" t="s">
        <v>10821</v>
      </c>
      <c r="T5541">
        <v>15600</v>
      </c>
      <c r="U5541">
        <v>1300</v>
      </c>
      <c r="V5541">
        <v>33</v>
      </c>
      <c r="W5541">
        <v>1</v>
      </c>
      <c r="X5541">
        <v>2</v>
      </c>
      <c r="Z5541">
        <v>73.14</v>
      </c>
      <c r="AA5541">
        <v>40.553569</v>
      </c>
      <c r="AB5541">
        <v>-74.14449</v>
      </c>
      <c r="AD5541" t="s">
        <v>10839</v>
      </c>
      <c r="AG5541" t="s">
        <v>10858</v>
      </c>
      <c r="AH5541" t="s">
        <v>10871</v>
      </c>
      <c r="AI5541">
        <v>234</v>
      </c>
      <c r="AJ5541" t="s">
        <v>10214</v>
      </c>
      <c r="AL5541">
        <v>0.5</v>
      </c>
      <c r="AM5541" t="s">
        <v>10883</v>
      </c>
      <c r="AN5541" t="s">
        <v>10906</v>
      </c>
      <c r="AO5541" t="s">
        <v>10999</v>
      </c>
      <c r="AP5541" t="s">
        <v>11044</v>
      </c>
      <c r="AQ5541" t="s">
        <v>11128</v>
      </c>
      <c r="AR5541" t="s">
        <v>11262</v>
      </c>
      <c r="AS5541" t="s">
        <v>11593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</row>
    <row r="5542" spans="1:59">
      <c r="A5542" s="1">
        <f>HYPERLINK("https://lsnyc.legalserver.org/matter/dynamic-profile/view/1909804","19-1909804")</f>
        <v>0</v>
      </c>
      <c r="B5542" t="s">
        <v>4365</v>
      </c>
      <c r="C5542" t="s">
        <v>9215</v>
      </c>
      <c r="D5542" t="s">
        <v>9925</v>
      </c>
      <c r="E5542" t="s">
        <v>10075</v>
      </c>
      <c r="F5542">
        <v>10026</v>
      </c>
      <c r="G5542" t="s">
        <v>10089</v>
      </c>
      <c r="H5542" t="s">
        <v>10166</v>
      </c>
      <c r="I5542" t="s">
        <v>10168</v>
      </c>
      <c r="J5542" t="s">
        <v>10209</v>
      </c>
      <c r="K5542" t="s">
        <v>10217</v>
      </c>
      <c r="M5542" t="s">
        <v>10267</v>
      </c>
      <c r="N5542" t="s">
        <v>10691</v>
      </c>
      <c r="P5542" t="s">
        <v>10751</v>
      </c>
      <c r="Q5542" t="s">
        <v>10776</v>
      </c>
      <c r="R5542" t="s">
        <v>10821</v>
      </c>
      <c r="T5542">
        <v>1200</v>
      </c>
      <c r="U5542">
        <v>100</v>
      </c>
      <c r="V5542">
        <v>31</v>
      </c>
      <c r="W5542">
        <v>2</v>
      </c>
      <c r="X5542">
        <v>1</v>
      </c>
      <c r="Z5542">
        <v>5.63</v>
      </c>
      <c r="AA5542">
        <v>40.805406</v>
      </c>
      <c r="AB5542">
        <v>-73.95132599999999</v>
      </c>
      <c r="AD5542" t="s">
        <v>10839</v>
      </c>
      <c r="AG5542" t="s">
        <v>10858</v>
      </c>
      <c r="AH5542" t="s">
        <v>10874</v>
      </c>
      <c r="AI5542">
        <v>236</v>
      </c>
      <c r="AJ5542" t="s">
        <v>10209</v>
      </c>
      <c r="AL5542">
        <v>12</v>
      </c>
      <c r="AM5542" t="s">
        <v>10887</v>
      </c>
      <c r="AN5542" t="s">
        <v>10936</v>
      </c>
      <c r="AO5542" t="s">
        <v>11016</v>
      </c>
      <c r="AP5542" t="s">
        <v>11076</v>
      </c>
      <c r="AR5542" t="s">
        <v>11344</v>
      </c>
      <c r="AS5542" t="s">
        <v>9925</v>
      </c>
      <c r="AT5542" t="s">
        <v>11641</v>
      </c>
      <c r="AX5542" t="s">
        <v>10838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</row>
    <row r="5543" spans="1:59">
      <c r="A5543" s="1">
        <f>HYPERLINK("https://lsnyc.legalserver.org/matter/dynamic-profile/view/1909806","19-1909806")</f>
        <v>0</v>
      </c>
      <c r="B5543" t="s">
        <v>4366</v>
      </c>
      <c r="C5543" t="s">
        <v>9216</v>
      </c>
      <c r="D5543" t="s">
        <v>9928</v>
      </c>
      <c r="E5543" t="s">
        <v>10075</v>
      </c>
      <c r="F5543">
        <v>11218</v>
      </c>
      <c r="G5543" t="s">
        <v>10093</v>
      </c>
      <c r="H5543" t="s">
        <v>10100</v>
      </c>
      <c r="I5543" t="s">
        <v>10168</v>
      </c>
      <c r="J5543" t="s">
        <v>10213</v>
      </c>
      <c r="K5543" t="s">
        <v>10218</v>
      </c>
      <c r="L5543" t="s">
        <v>10227</v>
      </c>
      <c r="M5543" t="s">
        <v>10425</v>
      </c>
      <c r="N5543" t="s">
        <v>10664</v>
      </c>
      <c r="P5543" t="s">
        <v>10749</v>
      </c>
      <c r="Q5543" t="s">
        <v>10765</v>
      </c>
      <c r="R5543" t="s">
        <v>10824</v>
      </c>
      <c r="T5543">
        <v>0</v>
      </c>
      <c r="U5543">
        <v>0</v>
      </c>
      <c r="V5543">
        <v>51</v>
      </c>
      <c r="W5543">
        <v>1</v>
      </c>
      <c r="X5543">
        <v>1</v>
      </c>
      <c r="Y5543" t="s">
        <v>10829</v>
      </c>
      <c r="Z5543">
        <v>0</v>
      </c>
      <c r="AA5543">
        <v>40.644487</v>
      </c>
      <c r="AB5543">
        <v>-73.975921</v>
      </c>
      <c r="AD5543" t="s">
        <v>10840</v>
      </c>
      <c r="AG5543" t="s">
        <v>10858</v>
      </c>
      <c r="AH5543" t="s">
        <v>10861</v>
      </c>
      <c r="AI5543">
        <v>239</v>
      </c>
      <c r="AJ5543" t="s">
        <v>10213</v>
      </c>
      <c r="AK5543" t="s">
        <v>10838</v>
      </c>
      <c r="AL5543">
        <v>1.7</v>
      </c>
      <c r="AM5543" t="s">
        <v>10894</v>
      </c>
      <c r="AN5543" t="s">
        <v>10941</v>
      </c>
      <c r="AO5543" t="s">
        <v>11008</v>
      </c>
      <c r="AP5543" t="s">
        <v>11059</v>
      </c>
      <c r="AR5543" t="s">
        <v>11279</v>
      </c>
      <c r="AS5543" t="s">
        <v>11595</v>
      </c>
      <c r="AY5543" t="s">
        <v>10829</v>
      </c>
      <c r="AZ5543" t="s">
        <v>11681</v>
      </c>
      <c r="BA5543" t="s">
        <v>11741</v>
      </c>
      <c r="BB5543">
        <v>0</v>
      </c>
      <c r="BC5543">
        <v>0</v>
      </c>
      <c r="BD5543">
        <v>0</v>
      </c>
      <c r="BE5543">
        <v>0</v>
      </c>
      <c r="BF5543">
        <v>1</v>
      </c>
      <c r="BG5543">
        <v>0</v>
      </c>
    </row>
    <row r="5544" spans="1:59">
      <c r="A5544" s="1">
        <f>HYPERLINK("https://lsnyc.legalserver.org/matter/dynamic-profile/view/1909807","19-1909807")</f>
        <v>0</v>
      </c>
      <c r="B5544" t="s">
        <v>797</v>
      </c>
      <c r="C5544" t="s">
        <v>8850</v>
      </c>
      <c r="D5544" t="s">
        <v>9929</v>
      </c>
      <c r="E5544" t="s">
        <v>10075</v>
      </c>
      <c r="F5544">
        <v>10301</v>
      </c>
      <c r="G5544" t="s">
        <v>10088</v>
      </c>
      <c r="H5544" t="s">
        <v>10159</v>
      </c>
      <c r="I5544" t="s">
        <v>10169</v>
      </c>
      <c r="J5544" t="s">
        <v>10208</v>
      </c>
      <c r="K5544" t="s">
        <v>10217</v>
      </c>
      <c r="M5544" t="s">
        <v>10542</v>
      </c>
      <c r="N5544" t="s">
        <v>10729</v>
      </c>
      <c r="P5544" t="s">
        <v>10754</v>
      </c>
      <c r="Q5544" t="s">
        <v>10798</v>
      </c>
      <c r="R5544" t="s">
        <v>10821</v>
      </c>
      <c r="T5544">
        <v>12000</v>
      </c>
      <c r="U5544">
        <v>1000</v>
      </c>
      <c r="V5544">
        <v>35</v>
      </c>
      <c r="W5544">
        <v>3</v>
      </c>
      <c r="X5544">
        <v>1</v>
      </c>
      <c r="Z5544">
        <v>46.6</v>
      </c>
      <c r="AA5544">
        <v>40.640624</v>
      </c>
      <c r="AB5544">
        <v>-74.08318199999999</v>
      </c>
      <c r="AD5544" t="s">
        <v>10839</v>
      </c>
      <c r="AF5544" t="s">
        <v>10842</v>
      </c>
      <c r="AG5544" t="s">
        <v>10859</v>
      </c>
      <c r="AH5544" t="s">
        <v>10861</v>
      </c>
      <c r="AI5544">
        <v>234</v>
      </c>
      <c r="AJ5544" t="s">
        <v>10214</v>
      </c>
      <c r="AL5544">
        <v>1</v>
      </c>
      <c r="AQ5544" t="s">
        <v>11239</v>
      </c>
      <c r="AR5544" t="s">
        <v>11401</v>
      </c>
      <c r="AS5544" t="s">
        <v>11593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</row>
    <row r="5545" spans="1:59">
      <c r="A5545" s="1">
        <f>HYPERLINK("https://lsnyc.legalserver.org/matter/dynamic-profile/view/1909808","19-1909808")</f>
        <v>0</v>
      </c>
      <c r="B5545" t="s">
        <v>4367</v>
      </c>
      <c r="C5545" t="s">
        <v>9217</v>
      </c>
      <c r="D5545" t="s">
        <v>9928</v>
      </c>
      <c r="E5545" t="s">
        <v>10075</v>
      </c>
      <c r="F5545">
        <v>11231</v>
      </c>
      <c r="G5545" t="s">
        <v>10093</v>
      </c>
      <c r="H5545" t="s">
        <v>10166</v>
      </c>
      <c r="I5545" t="s">
        <v>10168</v>
      </c>
      <c r="J5545" t="s">
        <v>10213</v>
      </c>
      <c r="K5545" t="s">
        <v>10218</v>
      </c>
      <c r="L5545" t="s">
        <v>10162</v>
      </c>
      <c r="M5545" t="s">
        <v>10290</v>
      </c>
      <c r="N5545" t="s">
        <v>10665</v>
      </c>
      <c r="P5545" t="s">
        <v>10751</v>
      </c>
      <c r="Q5545" t="s">
        <v>10773</v>
      </c>
      <c r="R5545" t="s">
        <v>10820</v>
      </c>
      <c r="T5545">
        <v>0</v>
      </c>
      <c r="U5545">
        <v>0</v>
      </c>
      <c r="V5545">
        <v>47</v>
      </c>
      <c r="W5545">
        <v>1</v>
      </c>
      <c r="X5545">
        <v>0</v>
      </c>
      <c r="Y5545" t="s">
        <v>10829</v>
      </c>
      <c r="Z5545">
        <v>0</v>
      </c>
      <c r="AA5545">
        <v>40.683416</v>
      </c>
      <c r="AB5545">
        <v>-73.997805</v>
      </c>
      <c r="AD5545" t="s">
        <v>10839</v>
      </c>
      <c r="AG5545" t="s">
        <v>10858</v>
      </c>
      <c r="AH5545" t="s">
        <v>10861</v>
      </c>
      <c r="AI5545">
        <v>234</v>
      </c>
      <c r="AJ5545" t="s">
        <v>10214</v>
      </c>
      <c r="AK5545" t="s">
        <v>10838</v>
      </c>
      <c r="AL5545">
        <v>3.15</v>
      </c>
      <c r="AM5545" t="s">
        <v>10886</v>
      </c>
      <c r="AN5545" t="s">
        <v>10917</v>
      </c>
      <c r="AO5545" t="s">
        <v>11004</v>
      </c>
      <c r="AP5545" t="s">
        <v>11059</v>
      </c>
      <c r="AR5545" t="s">
        <v>11267</v>
      </c>
      <c r="AS5545" t="s">
        <v>11595</v>
      </c>
      <c r="AT5545" t="s">
        <v>11641</v>
      </c>
      <c r="AX5545" t="s">
        <v>10838</v>
      </c>
      <c r="AY5545" t="s">
        <v>10829</v>
      </c>
      <c r="AZ5545" t="s">
        <v>11682</v>
      </c>
      <c r="BA5545" t="s">
        <v>11741</v>
      </c>
      <c r="BB5545">
        <v>0</v>
      </c>
      <c r="BC5545">
        <v>0</v>
      </c>
      <c r="BD5545">
        <v>0</v>
      </c>
      <c r="BE5545">
        <v>0</v>
      </c>
      <c r="BF5545">
        <v>1</v>
      </c>
      <c r="BG5545">
        <v>0</v>
      </c>
    </row>
    <row r="5546" spans="1:59">
      <c r="A5546" s="1">
        <f>HYPERLINK("https://lsnyc.legalserver.org/matter/dynamic-profile/view/1909809","19-1909809")</f>
        <v>0</v>
      </c>
      <c r="B5546" t="s">
        <v>4368</v>
      </c>
      <c r="C5546" t="s">
        <v>9218</v>
      </c>
      <c r="D5546" t="s">
        <v>9928</v>
      </c>
      <c r="E5546" t="s">
        <v>10075</v>
      </c>
      <c r="F5546">
        <v>11206</v>
      </c>
      <c r="G5546" t="s">
        <v>10089</v>
      </c>
      <c r="H5546" t="s">
        <v>10099</v>
      </c>
      <c r="I5546" t="s">
        <v>10169</v>
      </c>
      <c r="J5546" t="s">
        <v>10209</v>
      </c>
      <c r="K5546" t="s">
        <v>10217</v>
      </c>
      <c r="M5546" t="s">
        <v>10233</v>
      </c>
      <c r="N5546" t="s">
        <v>10649</v>
      </c>
      <c r="P5546" t="s">
        <v>10753</v>
      </c>
      <c r="Q5546" t="s">
        <v>10763</v>
      </c>
      <c r="R5546" t="s">
        <v>10821</v>
      </c>
      <c r="T5546">
        <v>0</v>
      </c>
      <c r="U5546">
        <v>0</v>
      </c>
      <c r="V5546">
        <v>40</v>
      </c>
      <c r="W5546">
        <v>1</v>
      </c>
      <c r="X5546">
        <v>1</v>
      </c>
      <c r="Z5546">
        <v>0</v>
      </c>
      <c r="AA5546">
        <v>40.710455</v>
      </c>
      <c r="AB5546">
        <v>-73.944841</v>
      </c>
      <c r="AD5546" t="s">
        <v>10839</v>
      </c>
      <c r="AF5546" t="s">
        <v>10843</v>
      </c>
      <c r="AG5546" t="s">
        <v>10859</v>
      </c>
      <c r="AH5546" t="s">
        <v>10864</v>
      </c>
      <c r="AI5546">
        <v>236</v>
      </c>
      <c r="AJ5546" t="s">
        <v>10209</v>
      </c>
      <c r="AL5546">
        <v>1.75</v>
      </c>
      <c r="AM5546" t="s">
        <v>10886</v>
      </c>
      <c r="AN5546" t="s">
        <v>10942</v>
      </c>
      <c r="AO5546" t="s">
        <v>11011</v>
      </c>
      <c r="AP5546" t="s">
        <v>11071</v>
      </c>
      <c r="AQ5546" t="s">
        <v>11097</v>
      </c>
      <c r="AR5546" t="s">
        <v>11279</v>
      </c>
      <c r="AS5546" t="s">
        <v>11595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</row>
    <row r="5547" spans="1:59">
      <c r="A5547" s="1">
        <f>HYPERLINK("https://lsnyc.legalserver.org/matter/dynamic-profile/view/1909810","19-1909810")</f>
        <v>0</v>
      </c>
      <c r="B5547" t="s">
        <v>4369</v>
      </c>
      <c r="C5547" t="s">
        <v>9219</v>
      </c>
      <c r="D5547" t="s">
        <v>9925</v>
      </c>
      <c r="E5547" t="s">
        <v>10075</v>
      </c>
      <c r="F5547">
        <v>10029</v>
      </c>
      <c r="G5547" t="s">
        <v>10091</v>
      </c>
      <c r="H5547" t="s">
        <v>10166</v>
      </c>
      <c r="I5547" t="s">
        <v>10168</v>
      </c>
      <c r="J5547" t="s">
        <v>10214</v>
      </c>
      <c r="K5547" t="s">
        <v>10217</v>
      </c>
      <c r="M5547" t="s">
        <v>10286</v>
      </c>
      <c r="N5547" t="s">
        <v>10671</v>
      </c>
      <c r="P5547" t="s">
        <v>10749</v>
      </c>
      <c r="Q5547" t="s">
        <v>10767</v>
      </c>
      <c r="R5547" t="s">
        <v>10824</v>
      </c>
      <c r="T5547">
        <v>2340</v>
      </c>
      <c r="U5547">
        <v>195</v>
      </c>
      <c r="V5547">
        <v>58</v>
      </c>
      <c r="W5547">
        <v>1</v>
      </c>
      <c r="X5547">
        <v>0</v>
      </c>
      <c r="Z5547">
        <v>18.73</v>
      </c>
      <c r="AA5547">
        <v>40.798393</v>
      </c>
      <c r="AB5547">
        <v>-73.944489</v>
      </c>
      <c r="AD5547" t="s">
        <v>10840</v>
      </c>
      <c r="AG5547" t="s">
        <v>10858</v>
      </c>
      <c r="AH5547" t="s">
        <v>10862</v>
      </c>
      <c r="AI5547">
        <v>234</v>
      </c>
      <c r="AJ5547" t="s">
        <v>10214</v>
      </c>
      <c r="AL5547">
        <v>0.6</v>
      </c>
      <c r="AR5547" t="s">
        <v>11255</v>
      </c>
      <c r="AS5547" t="s">
        <v>9925</v>
      </c>
      <c r="AT5547" t="s">
        <v>11642</v>
      </c>
      <c r="AX5547" t="s">
        <v>11678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</row>
    <row r="5548" spans="1:59">
      <c r="A5548" s="1">
        <f>HYPERLINK("https://lsnyc.legalserver.org/matter/dynamic-profile/view/1909811","19-1909811")</f>
        <v>0</v>
      </c>
      <c r="B5548" t="s">
        <v>4370</v>
      </c>
      <c r="C5548" t="s">
        <v>9220</v>
      </c>
      <c r="D5548" t="s">
        <v>9928</v>
      </c>
      <c r="E5548" t="s">
        <v>10075</v>
      </c>
      <c r="F5548">
        <v>11233</v>
      </c>
      <c r="G5548" t="s">
        <v>10093</v>
      </c>
      <c r="H5548" t="s">
        <v>10166</v>
      </c>
      <c r="I5548" t="s">
        <v>10168</v>
      </c>
      <c r="J5548" t="s">
        <v>10213</v>
      </c>
      <c r="K5548" t="s">
        <v>10217</v>
      </c>
      <c r="M5548" t="s">
        <v>10439</v>
      </c>
      <c r="N5548" t="s">
        <v>10650</v>
      </c>
      <c r="P5548" t="s">
        <v>10749</v>
      </c>
      <c r="Q5548" t="s">
        <v>10765</v>
      </c>
      <c r="R5548" t="s">
        <v>10821</v>
      </c>
      <c r="T5548">
        <v>1703</v>
      </c>
      <c r="U5548">
        <v>141.92</v>
      </c>
      <c r="V5548">
        <v>52</v>
      </c>
      <c r="W5548">
        <v>1</v>
      </c>
      <c r="X5548">
        <v>0</v>
      </c>
      <c r="Z5548">
        <v>13.63</v>
      </c>
      <c r="AA5548">
        <v>40.681372</v>
      </c>
      <c r="AB5548">
        <v>-73.90983</v>
      </c>
      <c r="AC5548" t="s">
        <v>10838</v>
      </c>
      <c r="AD5548" t="s">
        <v>10839</v>
      </c>
      <c r="AG5548" t="s">
        <v>10858</v>
      </c>
      <c r="AH5548" t="s">
        <v>10862</v>
      </c>
      <c r="AI5548">
        <v>239</v>
      </c>
      <c r="AJ5548" t="s">
        <v>10213</v>
      </c>
      <c r="AL5548">
        <v>0</v>
      </c>
      <c r="AM5548" t="s">
        <v>10889</v>
      </c>
      <c r="AN5548" t="s">
        <v>10922</v>
      </c>
      <c r="AO5548" t="s">
        <v>11007</v>
      </c>
      <c r="AP5548" t="s">
        <v>11058</v>
      </c>
      <c r="AQ5548" t="s">
        <v>11101</v>
      </c>
      <c r="AR5548" t="s">
        <v>11260</v>
      </c>
      <c r="AS5548" t="s">
        <v>11595</v>
      </c>
      <c r="AT5548" t="s">
        <v>11641</v>
      </c>
      <c r="AX5548" t="s">
        <v>10838</v>
      </c>
      <c r="BA5548" t="s">
        <v>11738</v>
      </c>
      <c r="BB5548">
        <v>0</v>
      </c>
      <c r="BC5548">
        <v>0</v>
      </c>
      <c r="BD5548">
        <v>0</v>
      </c>
      <c r="BE5548">
        <v>0</v>
      </c>
      <c r="BF5548">
        <v>5</v>
      </c>
      <c r="BG5548">
        <v>0</v>
      </c>
    </row>
    <row r="5549" spans="1:59">
      <c r="A5549" s="1">
        <f>HYPERLINK("https://lsnyc.legalserver.org/matter/dynamic-profile/view/1909812","19-1909812")</f>
        <v>0</v>
      </c>
      <c r="B5549" t="s">
        <v>76</v>
      </c>
      <c r="C5549" t="s">
        <v>9221</v>
      </c>
      <c r="D5549" t="s">
        <v>9936</v>
      </c>
      <c r="E5549" t="s">
        <v>10075</v>
      </c>
      <c r="F5549">
        <v>11105</v>
      </c>
      <c r="G5549" t="s">
        <v>10092</v>
      </c>
      <c r="H5549" t="s">
        <v>10166</v>
      </c>
      <c r="I5549" t="s">
        <v>10168</v>
      </c>
      <c r="J5549" t="s">
        <v>10212</v>
      </c>
      <c r="K5549" t="s">
        <v>10217</v>
      </c>
      <c r="M5549" t="s">
        <v>10325</v>
      </c>
      <c r="N5549" t="s">
        <v>10671</v>
      </c>
      <c r="P5549" t="s">
        <v>10751</v>
      </c>
      <c r="Q5549" t="s">
        <v>10761</v>
      </c>
      <c r="R5549" t="s">
        <v>10820</v>
      </c>
      <c r="T5549">
        <v>5400</v>
      </c>
      <c r="U5549">
        <v>450</v>
      </c>
      <c r="V5549">
        <v>60</v>
      </c>
      <c r="W5549">
        <v>1</v>
      </c>
      <c r="X5549">
        <v>0</v>
      </c>
      <c r="Z5549">
        <v>43.23</v>
      </c>
      <c r="AA5549">
        <v>40.775353</v>
      </c>
      <c r="AB5549">
        <v>-73.90050599999999</v>
      </c>
      <c r="AD5549" t="s">
        <v>10840</v>
      </c>
      <c r="AG5549" t="s">
        <v>10858</v>
      </c>
      <c r="AH5549" t="s">
        <v>10861</v>
      </c>
      <c r="AI5549">
        <v>234</v>
      </c>
      <c r="AJ5549" t="s">
        <v>10214</v>
      </c>
      <c r="AL5549">
        <v>1</v>
      </c>
      <c r="AM5549" t="s">
        <v>10885</v>
      </c>
      <c r="AN5549" t="s">
        <v>10954</v>
      </c>
      <c r="AO5549" t="s">
        <v>11014</v>
      </c>
      <c r="AP5549" t="s">
        <v>11084</v>
      </c>
      <c r="AR5549" t="s">
        <v>11255</v>
      </c>
      <c r="AS5549" t="s">
        <v>11594</v>
      </c>
      <c r="AT5549" t="s">
        <v>11642</v>
      </c>
      <c r="AX5549" t="s">
        <v>10838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</row>
    <row r="5550" spans="1:59">
      <c r="A5550" s="1">
        <f>HYPERLINK("https://lsnyc.legalserver.org/matter/dynamic-profile/view/1909814","19-1909814")</f>
        <v>0</v>
      </c>
      <c r="B5550" t="s">
        <v>4371</v>
      </c>
      <c r="C5550" t="s">
        <v>9222</v>
      </c>
      <c r="D5550" t="s">
        <v>9928</v>
      </c>
      <c r="E5550" t="s">
        <v>10075</v>
      </c>
      <c r="F5550">
        <v>11218</v>
      </c>
      <c r="G5550" t="s">
        <v>10093</v>
      </c>
      <c r="H5550" t="s">
        <v>10166</v>
      </c>
      <c r="I5550" t="s">
        <v>10168</v>
      </c>
      <c r="J5550" t="s">
        <v>10213</v>
      </c>
      <c r="K5550" t="s">
        <v>10218</v>
      </c>
      <c r="L5550" t="s">
        <v>10221</v>
      </c>
      <c r="M5550" t="s">
        <v>10315</v>
      </c>
      <c r="N5550" t="s">
        <v>10686</v>
      </c>
      <c r="P5550" t="s">
        <v>10750</v>
      </c>
      <c r="Q5550" t="s">
        <v>10778</v>
      </c>
      <c r="R5550" t="s">
        <v>10820</v>
      </c>
      <c r="T5550">
        <v>15600</v>
      </c>
      <c r="U5550">
        <v>1300</v>
      </c>
      <c r="V5550">
        <v>39</v>
      </c>
      <c r="W5550">
        <v>1</v>
      </c>
      <c r="X5550">
        <v>0</v>
      </c>
      <c r="Y5550" t="s">
        <v>10829</v>
      </c>
      <c r="Z5550">
        <v>124.9</v>
      </c>
      <c r="AA5550">
        <v>40.644929</v>
      </c>
      <c r="AB5550">
        <v>-73.97274899999999</v>
      </c>
      <c r="AD5550" t="s">
        <v>10840</v>
      </c>
      <c r="AG5550" t="s">
        <v>10858</v>
      </c>
      <c r="AH5550" t="s">
        <v>10871</v>
      </c>
      <c r="AI5550">
        <v>234</v>
      </c>
      <c r="AJ5550" t="s">
        <v>10214</v>
      </c>
      <c r="AK5550" t="s">
        <v>10838</v>
      </c>
      <c r="AL5550">
        <v>2.35</v>
      </c>
      <c r="AM5550" t="s">
        <v>10894</v>
      </c>
      <c r="AN5550" t="s">
        <v>10941</v>
      </c>
      <c r="AO5550" t="s">
        <v>11008</v>
      </c>
      <c r="AP5550" t="s">
        <v>11050</v>
      </c>
      <c r="AR5550" t="s">
        <v>11257</v>
      </c>
      <c r="AS5550" t="s">
        <v>11595</v>
      </c>
      <c r="AT5550" t="s">
        <v>11642</v>
      </c>
      <c r="AX5550" t="s">
        <v>10838</v>
      </c>
      <c r="AY5550" t="s">
        <v>10829</v>
      </c>
      <c r="AZ5550" t="s">
        <v>11679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</row>
    <row r="5551" spans="1:59">
      <c r="A5551" s="1">
        <f>HYPERLINK("https://lsnyc.legalserver.org/matter/dynamic-profile/view/1909815","19-1909815")</f>
        <v>0</v>
      </c>
      <c r="B5551" t="s">
        <v>4368</v>
      </c>
      <c r="C5551" t="s">
        <v>9223</v>
      </c>
      <c r="D5551" t="s">
        <v>9928</v>
      </c>
      <c r="E5551" t="s">
        <v>10075</v>
      </c>
      <c r="F5551">
        <v>11206</v>
      </c>
      <c r="G5551" t="s">
        <v>10089</v>
      </c>
      <c r="H5551" t="s">
        <v>10099</v>
      </c>
      <c r="I5551" t="s">
        <v>10169</v>
      </c>
      <c r="J5551" t="s">
        <v>10209</v>
      </c>
      <c r="K5551" t="s">
        <v>10217</v>
      </c>
      <c r="M5551" t="s">
        <v>10233</v>
      </c>
      <c r="N5551" t="s">
        <v>10649</v>
      </c>
      <c r="P5551" t="s">
        <v>10753</v>
      </c>
      <c r="Q5551" t="s">
        <v>10763</v>
      </c>
      <c r="R5551" t="s">
        <v>10821</v>
      </c>
      <c r="T5551">
        <v>0</v>
      </c>
      <c r="U5551">
        <v>0</v>
      </c>
      <c r="V5551">
        <v>40</v>
      </c>
      <c r="W5551">
        <v>1</v>
      </c>
      <c r="X5551">
        <v>1</v>
      </c>
      <c r="Z5551">
        <v>0</v>
      </c>
      <c r="AA5551">
        <v>40.710455</v>
      </c>
      <c r="AB5551">
        <v>-73.944841</v>
      </c>
      <c r="AD5551" t="s">
        <v>10839</v>
      </c>
      <c r="AF5551" t="s">
        <v>10843</v>
      </c>
      <c r="AG5551" t="s">
        <v>10859</v>
      </c>
      <c r="AH5551" t="s">
        <v>10864</v>
      </c>
      <c r="AI5551">
        <v>236</v>
      </c>
      <c r="AJ5551" t="s">
        <v>10209</v>
      </c>
      <c r="AL5551">
        <v>0.25</v>
      </c>
      <c r="AM5551" t="s">
        <v>10886</v>
      </c>
      <c r="AN5551" t="s">
        <v>10942</v>
      </c>
      <c r="AO5551" t="s">
        <v>11011</v>
      </c>
      <c r="AP5551" t="s">
        <v>11071</v>
      </c>
      <c r="AQ5551" t="s">
        <v>11104</v>
      </c>
      <c r="AR5551" t="s">
        <v>11279</v>
      </c>
      <c r="AS5551" t="s">
        <v>11595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</row>
    <row r="5552" spans="1:59">
      <c r="A5552" s="1">
        <f>HYPERLINK("https://lsnyc.legalserver.org/matter/dynamic-profile/view/1909817","19-1909817")</f>
        <v>0</v>
      </c>
      <c r="B5552" t="s">
        <v>4372</v>
      </c>
      <c r="C5552" t="s">
        <v>9224</v>
      </c>
      <c r="D5552" t="s">
        <v>9926</v>
      </c>
      <c r="E5552" t="s">
        <v>10075</v>
      </c>
      <c r="F5552">
        <v>10468</v>
      </c>
      <c r="G5552" t="s">
        <v>10090</v>
      </c>
      <c r="H5552" t="s">
        <v>10166</v>
      </c>
      <c r="I5552" t="s">
        <v>10169</v>
      </c>
      <c r="J5552" t="s">
        <v>10210</v>
      </c>
      <c r="K5552" t="s">
        <v>10217</v>
      </c>
      <c r="M5552" t="s">
        <v>10596</v>
      </c>
      <c r="N5552" t="s">
        <v>10705</v>
      </c>
      <c r="P5552" t="s">
        <v>10751</v>
      </c>
      <c r="Q5552" t="s">
        <v>10761</v>
      </c>
      <c r="R5552" t="s">
        <v>10823</v>
      </c>
      <c r="T5552">
        <v>8320</v>
      </c>
      <c r="U5552">
        <v>693.33</v>
      </c>
      <c r="V5552">
        <v>49</v>
      </c>
      <c r="W5552">
        <v>3</v>
      </c>
      <c r="X5552">
        <v>0</v>
      </c>
      <c r="Z5552">
        <v>39.01</v>
      </c>
      <c r="AA5552">
        <v>40.863843</v>
      </c>
      <c r="AB5552">
        <v>-73.902776</v>
      </c>
      <c r="AD5552" t="s">
        <v>10839</v>
      </c>
      <c r="AG5552" t="s">
        <v>10858</v>
      </c>
      <c r="AH5552" t="s">
        <v>10861</v>
      </c>
      <c r="AI5552">
        <v>234</v>
      </c>
      <c r="AJ5552" t="s">
        <v>10214</v>
      </c>
      <c r="AL5552">
        <v>3.5</v>
      </c>
      <c r="AM5552" t="s">
        <v>10887</v>
      </c>
      <c r="AN5552" t="s">
        <v>10907</v>
      </c>
      <c r="AO5552" t="s">
        <v>11000</v>
      </c>
      <c r="AP5552" t="s">
        <v>11045</v>
      </c>
      <c r="AR5552" t="s">
        <v>11276</v>
      </c>
      <c r="AS5552" t="s">
        <v>9926</v>
      </c>
      <c r="AT5552" t="s">
        <v>11641</v>
      </c>
      <c r="AX5552" t="s">
        <v>10838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</row>
    <row r="5553" spans="1:59">
      <c r="A5553" s="1">
        <f>HYPERLINK("https://lsnyc.legalserver.org/matter/dynamic-profile/view/1909818","19-1909818")</f>
        <v>0</v>
      </c>
      <c r="B5553" t="s">
        <v>1826</v>
      </c>
      <c r="C5553" t="s">
        <v>9225</v>
      </c>
      <c r="D5553" t="s">
        <v>9925</v>
      </c>
      <c r="E5553" t="s">
        <v>10075</v>
      </c>
      <c r="F5553">
        <v>10032</v>
      </c>
      <c r="G5553" t="s">
        <v>10089</v>
      </c>
      <c r="H5553" t="s">
        <v>10166</v>
      </c>
      <c r="I5553" t="s">
        <v>10169</v>
      </c>
      <c r="J5553" t="s">
        <v>10209</v>
      </c>
      <c r="K5553" t="s">
        <v>10217</v>
      </c>
      <c r="M5553" t="s">
        <v>10451</v>
      </c>
      <c r="N5553" t="s">
        <v>10650</v>
      </c>
      <c r="P5553" t="s">
        <v>10749</v>
      </c>
      <c r="Q5553" t="s">
        <v>10765</v>
      </c>
      <c r="R5553" t="s">
        <v>10821</v>
      </c>
      <c r="T5553">
        <v>16308</v>
      </c>
      <c r="U5553">
        <v>1359</v>
      </c>
      <c r="V5553">
        <v>82</v>
      </c>
      <c r="W5553">
        <v>3</v>
      </c>
      <c r="X5553">
        <v>1</v>
      </c>
      <c r="Z5553">
        <v>63.33</v>
      </c>
      <c r="AA5553">
        <v>40.844855</v>
      </c>
      <c r="AB5553">
        <v>-73.939882</v>
      </c>
      <c r="AD5553" t="s">
        <v>10839</v>
      </c>
      <c r="AG5553" t="s">
        <v>10858</v>
      </c>
      <c r="AH5553" t="s">
        <v>10862</v>
      </c>
      <c r="AI5553">
        <v>236</v>
      </c>
      <c r="AJ5553" t="s">
        <v>10209</v>
      </c>
      <c r="AL5553">
        <v>4.8</v>
      </c>
      <c r="AM5553" t="s">
        <v>10887</v>
      </c>
      <c r="AN5553" t="s">
        <v>10943</v>
      </c>
      <c r="AO5553" t="s">
        <v>11019</v>
      </c>
      <c r="AP5553" t="s">
        <v>11074</v>
      </c>
      <c r="AQ5553" t="s">
        <v>11120</v>
      </c>
      <c r="AR5553" t="s">
        <v>11268</v>
      </c>
      <c r="AS5553" t="s">
        <v>9925</v>
      </c>
      <c r="BA5553" t="s">
        <v>11742</v>
      </c>
      <c r="BB5553">
        <v>0</v>
      </c>
      <c r="BC5553">
        <v>0</v>
      </c>
      <c r="BD5553">
        <v>0</v>
      </c>
      <c r="BE5553">
        <v>0</v>
      </c>
      <c r="BF5553">
        <v>7</v>
      </c>
      <c r="BG5553">
        <v>0</v>
      </c>
    </row>
    <row r="5554" spans="1:59">
      <c r="A5554" s="1">
        <f>HYPERLINK("https://lsnyc.legalserver.org/matter/dynamic-profile/view/1909819","19-1909819")</f>
        <v>0</v>
      </c>
      <c r="B5554" t="s">
        <v>4373</v>
      </c>
      <c r="C5554" t="s">
        <v>9226</v>
      </c>
      <c r="D5554" t="s">
        <v>9928</v>
      </c>
      <c r="E5554" t="s">
        <v>10075</v>
      </c>
      <c r="F5554">
        <v>11223</v>
      </c>
      <c r="G5554" t="s">
        <v>10093</v>
      </c>
      <c r="H5554" t="s">
        <v>10166</v>
      </c>
      <c r="I5554" t="s">
        <v>10168</v>
      </c>
      <c r="J5554" t="s">
        <v>10213</v>
      </c>
      <c r="K5554" t="s">
        <v>10217</v>
      </c>
      <c r="M5554" t="s">
        <v>10317</v>
      </c>
      <c r="N5554" t="s">
        <v>10671</v>
      </c>
      <c r="P5554" t="s">
        <v>10751</v>
      </c>
      <c r="Q5554" t="s">
        <v>10776</v>
      </c>
      <c r="R5554" t="s">
        <v>10821</v>
      </c>
      <c r="T5554">
        <v>20514</v>
      </c>
      <c r="U5554">
        <v>1709.5</v>
      </c>
      <c r="V5554">
        <v>37</v>
      </c>
      <c r="W5554">
        <v>1</v>
      </c>
      <c r="X5554">
        <v>2</v>
      </c>
      <c r="Z5554">
        <v>96.17</v>
      </c>
      <c r="AA5554">
        <v>40.584166</v>
      </c>
      <c r="AB5554">
        <v>-73.969483</v>
      </c>
      <c r="AD5554" t="s">
        <v>10839</v>
      </c>
      <c r="AG5554" t="s">
        <v>10858</v>
      </c>
      <c r="AH5554" t="s">
        <v>10871</v>
      </c>
      <c r="AI5554">
        <v>234</v>
      </c>
      <c r="AJ5554" t="s">
        <v>10214</v>
      </c>
      <c r="AL5554">
        <v>3.85</v>
      </c>
      <c r="AM5554" t="s">
        <v>10883</v>
      </c>
      <c r="AN5554" t="s">
        <v>10960</v>
      </c>
      <c r="AO5554" t="s">
        <v>11006</v>
      </c>
      <c r="AP5554" t="s">
        <v>11087</v>
      </c>
      <c r="AR5554" t="s">
        <v>11311</v>
      </c>
      <c r="AS5554" t="s">
        <v>11595</v>
      </c>
      <c r="AT5554" t="s">
        <v>11641</v>
      </c>
      <c r="AX5554" t="s">
        <v>10838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</row>
    <row r="5555" spans="1:59">
      <c r="A5555" s="1">
        <f>HYPERLINK("https://lsnyc.legalserver.org/matter/dynamic-profile/view/1909820","19-1909820")</f>
        <v>0</v>
      </c>
      <c r="B5555" t="s">
        <v>4374</v>
      </c>
      <c r="C5555" t="s">
        <v>9227</v>
      </c>
      <c r="D5555" t="s">
        <v>9928</v>
      </c>
      <c r="E5555" t="s">
        <v>10075</v>
      </c>
      <c r="F5555">
        <v>11233</v>
      </c>
      <c r="G5555" t="s">
        <v>10093</v>
      </c>
      <c r="H5555" t="s">
        <v>10166</v>
      </c>
      <c r="I5555" t="s">
        <v>10168</v>
      </c>
      <c r="J5555" t="s">
        <v>10213</v>
      </c>
      <c r="K5555" t="s">
        <v>10217</v>
      </c>
      <c r="M5555" t="s">
        <v>10435</v>
      </c>
      <c r="N5555" t="s">
        <v>10646</v>
      </c>
      <c r="P5555" t="s">
        <v>10750</v>
      </c>
      <c r="Q5555" t="s">
        <v>10779</v>
      </c>
      <c r="R5555" t="s">
        <v>10822</v>
      </c>
      <c r="T5555">
        <v>32760</v>
      </c>
      <c r="U5555">
        <v>2730</v>
      </c>
      <c r="V5555">
        <v>36</v>
      </c>
      <c r="W5555">
        <v>1</v>
      </c>
      <c r="X5555">
        <v>0</v>
      </c>
      <c r="Z5555">
        <v>262.29</v>
      </c>
      <c r="AA5555">
        <v>40.681316</v>
      </c>
      <c r="AB5555">
        <v>-73.92522099999999</v>
      </c>
      <c r="AD5555" t="s">
        <v>10839</v>
      </c>
      <c r="AG5555" t="s">
        <v>10858</v>
      </c>
      <c r="AH5555" t="s">
        <v>10871</v>
      </c>
      <c r="AI5555">
        <v>234</v>
      </c>
      <c r="AJ5555" t="s">
        <v>10214</v>
      </c>
      <c r="AL5555">
        <v>2.35</v>
      </c>
      <c r="AR5555" t="s">
        <v>11400</v>
      </c>
      <c r="AS5555" t="s">
        <v>11595</v>
      </c>
      <c r="AT5555" t="s">
        <v>11641</v>
      </c>
      <c r="AX5555" t="s">
        <v>10838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</row>
    <row r="5556" spans="1:59">
      <c r="A5556" s="1">
        <f>HYPERLINK("https://lsnyc.legalserver.org/matter/dynamic-profile/view/1909821","19-1909821")</f>
        <v>0</v>
      </c>
      <c r="B5556" t="s">
        <v>4375</v>
      </c>
      <c r="C5556" t="s">
        <v>8622</v>
      </c>
      <c r="D5556" t="s">
        <v>9925</v>
      </c>
      <c r="E5556" t="s">
        <v>10075</v>
      </c>
      <c r="F5556">
        <v>10002</v>
      </c>
      <c r="G5556" t="s">
        <v>10089</v>
      </c>
      <c r="H5556" t="s">
        <v>10166</v>
      </c>
      <c r="I5556" t="s">
        <v>10182</v>
      </c>
      <c r="J5556" t="s">
        <v>10209</v>
      </c>
      <c r="K5556" t="s">
        <v>10217</v>
      </c>
      <c r="M5556" t="s">
        <v>10288</v>
      </c>
      <c r="N5556" t="s">
        <v>10665</v>
      </c>
      <c r="P5556" t="s">
        <v>10750</v>
      </c>
      <c r="Q5556" t="s">
        <v>10760</v>
      </c>
      <c r="R5556" t="s">
        <v>10827</v>
      </c>
      <c r="T5556">
        <v>16800</v>
      </c>
      <c r="U5556">
        <v>1400</v>
      </c>
      <c r="V5556">
        <v>51</v>
      </c>
      <c r="W5556">
        <v>1</v>
      </c>
      <c r="X5556">
        <v>0</v>
      </c>
      <c r="Z5556">
        <v>134.51</v>
      </c>
      <c r="AA5556">
        <v>40.716885</v>
      </c>
      <c r="AB5556">
        <v>-73.980096</v>
      </c>
      <c r="AD5556" t="s">
        <v>10840</v>
      </c>
      <c r="AG5556" t="s">
        <v>10858</v>
      </c>
      <c r="AH5556" t="s">
        <v>10861</v>
      </c>
      <c r="AI5556">
        <v>234</v>
      </c>
      <c r="AJ5556" t="s">
        <v>10214</v>
      </c>
      <c r="AL5556">
        <v>2.45</v>
      </c>
      <c r="AM5556" t="s">
        <v>10886</v>
      </c>
      <c r="AN5556" t="s">
        <v>10910</v>
      </c>
      <c r="AO5556" t="s">
        <v>11004</v>
      </c>
      <c r="AP5556" t="s">
        <v>11048</v>
      </c>
      <c r="AQ5556" t="s">
        <v>11141</v>
      </c>
      <c r="AR5556" t="s">
        <v>11254</v>
      </c>
      <c r="AS5556" t="s">
        <v>9925</v>
      </c>
      <c r="AT5556" t="s">
        <v>11642</v>
      </c>
      <c r="AX5556" t="s">
        <v>10838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</row>
    <row r="5557" spans="1:59">
      <c r="A5557" s="1">
        <f>HYPERLINK("https://lsnyc.legalserver.org/matter/dynamic-profile/view/1909823","19-1909823")</f>
        <v>0</v>
      </c>
      <c r="B5557" t="s">
        <v>270</v>
      </c>
      <c r="C5557" t="s">
        <v>7734</v>
      </c>
      <c r="D5557" t="s">
        <v>9932</v>
      </c>
      <c r="E5557" t="s">
        <v>10075</v>
      </c>
      <c r="F5557">
        <v>11368</v>
      </c>
      <c r="G5557" t="s">
        <v>10092</v>
      </c>
      <c r="H5557" t="s">
        <v>10166</v>
      </c>
      <c r="J5557" t="s">
        <v>10212</v>
      </c>
      <c r="K5557" t="s">
        <v>10217</v>
      </c>
      <c r="M5557" t="s">
        <v>10347</v>
      </c>
      <c r="N5557" t="s">
        <v>10695</v>
      </c>
      <c r="P5557" t="s">
        <v>10749</v>
      </c>
      <c r="Q5557" t="s">
        <v>10791</v>
      </c>
      <c r="R5557" t="s">
        <v>10824</v>
      </c>
      <c r="T5557">
        <v>56000</v>
      </c>
      <c r="U5557">
        <v>4666.67</v>
      </c>
      <c r="V5557">
        <v>54</v>
      </c>
      <c r="W5557">
        <v>4</v>
      </c>
      <c r="X5557">
        <v>0</v>
      </c>
      <c r="Z5557">
        <v>217.48</v>
      </c>
      <c r="AA5557">
        <v>40.736838</v>
      </c>
      <c r="AB5557">
        <v>-73.86327</v>
      </c>
      <c r="AD5557" t="s">
        <v>10839</v>
      </c>
      <c r="AG5557" t="s">
        <v>10858</v>
      </c>
      <c r="AH5557" t="s">
        <v>10862</v>
      </c>
      <c r="AI5557">
        <v>237</v>
      </c>
      <c r="AJ5557" t="s">
        <v>10212</v>
      </c>
      <c r="AL5557">
        <v>0.9</v>
      </c>
      <c r="AM5557" t="s">
        <v>10885</v>
      </c>
      <c r="AN5557" t="s">
        <v>10916</v>
      </c>
      <c r="AO5557" t="s">
        <v>11014</v>
      </c>
      <c r="AP5557" t="s">
        <v>11068</v>
      </c>
      <c r="AR5557" t="s">
        <v>11257</v>
      </c>
      <c r="AS5557" t="s">
        <v>11594</v>
      </c>
      <c r="AT5557" t="s">
        <v>11641</v>
      </c>
      <c r="AX5557" t="s">
        <v>10838</v>
      </c>
      <c r="BA5557" t="s">
        <v>11741</v>
      </c>
      <c r="BB5557">
        <v>0</v>
      </c>
      <c r="BC5557">
        <v>0</v>
      </c>
      <c r="BD5557">
        <v>0</v>
      </c>
      <c r="BE5557">
        <v>0</v>
      </c>
      <c r="BF5557">
        <v>1</v>
      </c>
      <c r="BG5557">
        <v>0</v>
      </c>
    </row>
    <row r="5558" spans="1:59">
      <c r="A5558" s="1">
        <f>HYPERLINK("https://lsnyc.legalserver.org/matter/dynamic-profile/view/1909824","19-1909824")</f>
        <v>0</v>
      </c>
      <c r="B5558" t="s">
        <v>1599</v>
      </c>
      <c r="C5558" t="s">
        <v>9228</v>
      </c>
      <c r="D5558" t="s">
        <v>9925</v>
      </c>
      <c r="E5558" t="s">
        <v>10075</v>
      </c>
      <c r="F5558">
        <v>10002</v>
      </c>
      <c r="G5558" t="s">
        <v>10089</v>
      </c>
      <c r="H5558" t="s">
        <v>10099</v>
      </c>
      <c r="I5558" t="s">
        <v>10169</v>
      </c>
      <c r="J5558" t="s">
        <v>10209</v>
      </c>
      <c r="K5558" t="s">
        <v>10217</v>
      </c>
      <c r="M5558" t="s">
        <v>10233</v>
      </c>
      <c r="N5558" t="s">
        <v>10649</v>
      </c>
      <c r="P5558" t="s">
        <v>10753</v>
      </c>
      <c r="Q5558" t="s">
        <v>10763</v>
      </c>
      <c r="R5558" t="s">
        <v>10821</v>
      </c>
      <c r="T5558">
        <v>8664</v>
      </c>
      <c r="U5558">
        <v>722</v>
      </c>
      <c r="V5558">
        <v>91</v>
      </c>
      <c r="W5558">
        <v>2</v>
      </c>
      <c r="X5558">
        <v>0</v>
      </c>
      <c r="Z5558">
        <v>51.24</v>
      </c>
      <c r="AA5558">
        <v>40.716087</v>
      </c>
      <c r="AB5558">
        <v>-73.984464</v>
      </c>
      <c r="AD5558" t="s">
        <v>10839</v>
      </c>
      <c r="AF5558" t="s">
        <v>10843</v>
      </c>
      <c r="AG5558" t="s">
        <v>10859</v>
      </c>
      <c r="AH5558" t="s">
        <v>10864</v>
      </c>
      <c r="AI5558">
        <v>236</v>
      </c>
      <c r="AJ5558" t="s">
        <v>10209</v>
      </c>
      <c r="AL5558">
        <v>0.75</v>
      </c>
      <c r="AM5558" t="s">
        <v>10891</v>
      </c>
      <c r="AN5558" t="s">
        <v>10963</v>
      </c>
      <c r="AO5558" t="s">
        <v>11004</v>
      </c>
      <c r="AP5558" t="s">
        <v>11093</v>
      </c>
      <c r="AQ5558" t="s">
        <v>11131</v>
      </c>
      <c r="AR5558" t="s">
        <v>11268</v>
      </c>
      <c r="AS5558" t="s">
        <v>9925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</row>
    <row r="5559" spans="1:59">
      <c r="A5559" s="1">
        <f>HYPERLINK("https://lsnyc.legalserver.org/matter/dynamic-profile/view/1909825","19-1909825")</f>
        <v>0</v>
      </c>
      <c r="B5559" t="s">
        <v>4376</v>
      </c>
      <c r="C5559" t="s">
        <v>9229</v>
      </c>
      <c r="D5559" t="s">
        <v>9925</v>
      </c>
      <c r="E5559" t="s">
        <v>10075</v>
      </c>
      <c r="F5559">
        <v>10033</v>
      </c>
      <c r="G5559" t="s">
        <v>10089</v>
      </c>
      <c r="H5559" t="s">
        <v>10166</v>
      </c>
      <c r="I5559" t="s">
        <v>10169</v>
      </c>
      <c r="J5559" t="s">
        <v>10209</v>
      </c>
      <c r="K5559" t="s">
        <v>10218</v>
      </c>
      <c r="L5559" t="s">
        <v>10136</v>
      </c>
      <c r="M5559" t="s">
        <v>10573</v>
      </c>
      <c r="N5559" t="s">
        <v>10650</v>
      </c>
      <c r="P5559" t="s">
        <v>10749</v>
      </c>
      <c r="Q5559" t="s">
        <v>10765</v>
      </c>
      <c r="R5559" t="s">
        <v>10821</v>
      </c>
      <c r="T5559">
        <v>13872</v>
      </c>
      <c r="U5559">
        <v>1156</v>
      </c>
      <c r="V5559">
        <v>75</v>
      </c>
      <c r="W5559">
        <v>2</v>
      </c>
      <c r="X5559">
        <v>0</v>
      </c>
      <c r="Y5559" t="s">
        <v>10829</v>
      </c>
      <c r="Z5559">
        <v>82.03</v>
      </c>
      <c r="AA5559">
        <v>40.846105</v>
      </c>
      <c r="AB5559">
        <v>-73.932581</v>
      </c>
      <c r="AD5559" t="s">
        <v>10839</v>
      </c>
      <c r="AG5559" t="s">
        <v>10858</v>
      </c>
      <c r="AH5559" t="s">
        <v>10862</v>
      </c>
      <c r="AI5559">
        <v>236</v>
      </c>
      <c r="AJ5559" t="s">
        <v>10209</v>
      </c>
      <c r="AK5559" t="s">
        <v>10838</v>
      </c>
      <c r="AL5559">
        <v>1</v>
      </c>
      <c r="AM5559" t="s">
        <v>10887</v>
      </c>
      <c r="AN5559" t="s">
        <v>10937</v>
      </c>
      <c r="AO5559" t="s">
        <v>11019</v>
      </c>
      <c r="AP5559" t="s">
        <v>11074</v>
      </c>
      <c r="AR5559" t="s">
        <v>11274</v>
      </c>
      <c r="AS5559" t="s">
        <v>9925</v>
      </c>
      <c r="AT5559" t="s">
        <v>11641</v>
      </c>
      <c r="AX5559" t="s">
        <v>10838</v>
      </c>
      <c r="AY5559" t="s">
        <v>10829</v>
      </c>
      <c r="AZ5559" t="s">
        <v>11681</v>
      </c>
      <c r="BA5559" t="s">
        <v>11741</v>
      </c>
      <c r="BB5559">
        <v>0</v>
      </c>
      <c r="BC5559">
        <v>0</v>
      </c>
      <c r="BD5559">
        <v>0</v>
      </c>
      <c r="BE5559">
        <v>0</v>
      </c>
      <c r="BF5559">
        <v>1</v>
      </c>
      <c r="BG5559">
        <v>0</v>
      </c>
    </row>
    <row r="5560" spans="1:59">
      <c r="A5560" s="1">
        <f>HYPERLINK("https://lsnyc.legalserver.org/matter/dynamic-profile/view/1909826","19-1909826")</f>
        <v>0</v>
      </c>
      <c r="B5560" t="s">
        <v>4377</v>
      </c>
      <c r="C5560" t="s">
        <v>9230</v>
      </c>
      <c r="D5560" t="s">
        <v>9948</v>
      </c>
      <c r="E5560" t="s">
        <v>10075</v>
      </c>
      <c r="F5560">
        <v>11691</v>
      </c>
      <c r="G5560" t="s">
        <v>10092</v>
      </c>
      <c r="H5560" t="s">
        <v>10166</v>
      </c>
      <c r="I5560" t="s">
        <v>10169</v>
      </c>
      <c r="J5560" t="s">
        <v>10212</v>
      </c>
      <c r="K5560" t="s">
        <v>10217</v>
      </c>
      <c r="M5560" t="s">
        <v>10422</v>
      </c>
      <c r="N5560" t="s">
        <v>10673</v>
      </c>
      <c r="P5560" t="s">
        <v>10753</v>
      </c>
      <c r="Q5560" t="s">
        <v>10763</v>
      </c>
      <c r="R5560" t="s">
        <v>10823</v>
      </c>
      <c r="T5560">
        <v>9600</v>
      </c>
      <c r="U5560">
        <v>800</v>
      </c>
      <c r="V5560">
        <v>41</v>
      </c>
      <c r="W5560">
        <v>1</v>
      </c>
      <c r="X5560">
        <v>0</v>
      </c>
      <c r="Z5560">
        <v>76.86</v>
      </c>
      <c r="AA5560">
        <v>40.601106</v>
      </c>
      <c r="AB5560">
        <v>-73.765317</v>
      </c>
      <c r="AD5560" t="s">
        <v>10839</v>
      </c>
      <c r="AF5560" t="s">
        <v>10842</v>
      </c>
      <c r="AG5560" t="s">
        <v>10859</v>
      </c>
      <c r="AH5560" t="s">
        <v>10864</v>
      </c>
      <c r="AI5560">
        <v>237</v>
      </c>
      <c r="AJ5560" t="s">
        <v>10212</v>
      </c>
      <c r="AL5560">
        <v>1</v>
      </c>
      <c r="AM5560" t="s">
        <v>10892</v>
      </c>
      <c r="AN5560" t="s">
        <v>10930</v>
      </c>
      <c r="AO5560" t="s">
        <v>11017</v>
      </c>
      <c r="AP5560" t="s">
        <v>11082</v>
      </c>
      <c r="AQ5560" t="s">
        <v>11096</v>
      </c>
      <c r="AR5560" t="s">
        <v>11257</v>
      </c>
      <c r="AS5560" t="s">
        <v>11594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</row>
    <row r="5561" spans="1:59">
      <c r="A5561" s="1">
        <f>HYPERLINK("https://lsnyc.legalserver.org/matter/dynamic-profile/view/1909827","19-1909827")</f>
        <v>0</v>
      </c>
      <c r="B5561" t="s">
        <v>1105</v>
      </c>
      <c r="C5561" t="s">
        <v>9231</v>
      </c>
      <c r="D5561" t="s">
        <v>9925</v>
      </c>
      <c r="E5561" t="s">
        <v>10075</v>
      </c>
      <c r="F5561">
        <v>10027</v>
      </c>
      <c r="G5561" t="s">
        <v>10091</v>
      </c>
      <c r="H5561" t="s">
        <v>10166</v>
      </c>
      <c r="I5561" t="s">
        <v>10168</v>
      </c>
      <c r="J5561" t="s">
        <v>10211</v>
      </c>
      <c r="K5561" t="s">
        <v>10217</v>
      </c>
      <c r="M5561" t="s">
        <v>10307</v>
      </c>
      <c r="N5561" t="s">
        <v>10671</v>
      </c>
      <c r="P5561" t="s">
        <v>10752</v>
      </c>
      <c r="Q5561" t="s">
        <v>10762</v>
      </c>
      <c r="R5561" t="s">
        <v>10824</v>
      </c>
      <c r="T5561">
        <v>24000</v>
      </c>
      <c r="U5561">
        <v>2000</v>
      </c>
      <c r="V5561">
        <v>51</v>
      </c>
      <c r="W5561">
        <v>1</v>
      </c>
      <c r="X5561">
        <v>0</v>
      </c>
      <c r="Z5561">
        <v>192.15</v>
      </c>
      <c r="AA5561">
        <v>40.81216</v>
      </c>
      <c r="AB5561">
        <v>-73.950535</v>
      </c>
      <c r="AD5561" t="s">
        <v>10840</v>
      </c>
      <c r="AG5561" t="s">
        <v>10858</v>
      </c>
      <c r="AH5561" t="s">
        <v>10871</v>
      </c>
      <c r="AI5561">
        <v>234</v>
      </c>
      <c r="AJ5561" t="s">
        <v>10214</v>
      </c>
      <c r="AL5561">
        <v>0.5</v>
      </c>
      <c r="AM5561" t="s">
        <v>10887</v>
      </c>
      <c r="AN5561" t="s">
        <v>10936</v>
      </c>
      <c r="AO5561" t="s">
        <v>11016</v>
      </c>
      <c r="AP5561" t="s">
        <v>11076</v>
      </c>
      <c r="AR5561" t="s">
        <v>11327</v>
      </c>
      <c r="AS5561" t="s">
        <v>9925</v>
      </c>
      <c r="AT5561" t="s">
        <v>11642</v>
      </c>
      <c r="AX5561" t="s">
        <v>11678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</row>
    <row r="5562" spans="1:59">
      <c r="A5562" s="1">
        <f>HYPERLINK("https://lsnyc.legalserver.org/matter/dynamic-profile/view/1909828","19-1909828")</f>
        <v>0</v>
      </c>
      <c r="B5562" t="s">
        <v>3022</v>
      </c>
      <c r="C5562" t="s">
        <v>9232</v>
      </c>
      <c r="D5562" t="s">
        <v>9951</v>
      </c>
      <c r="E5562" t="s">
        <v>10075</v>
      </c>
      <c r="F5562">
        <v>11416</v>
      </c>
      <c r="G5562" t="s">
        <v>10092</v>
      </c>
      <c r="H5562" t="s">
        <v>10166</v>
      </c>
      <c r="I5562" t="s">
        <v>10168</v>
      </c>
      <c r="J5562" t="s">
        <v>10212</v>
      </c>
      <c r="K5562" t="s">
        <v>10217</v>
      </c>
      <c r="M5562" t="s">
        <v>10632</v>
      </c>
      <c r="N5562" t="s">
        <v>10699</v>
      </c>
      <c r="P5562" t="s">
        <v>10754</v>
      </c>
      <c r="Q5562" t="s">
        <v>10775</v>
      </c>
      <c r="R5562" t="s">
        <v>10821</v>
      </c>
      <c r="T5562">
        <v>0</v>
      </c>
      <c r="U5562">
        <v>0</v>
      </c>
      <c r="V5562">
        <v>25</v>
      </c>
      <c r="W5562">
        <v>1</v>
      </c>
      <c r="X5562">
        <v>1</v>
      </c>
      <c r="Z5562">
        <v>0</v>
      </c>
      <c r="AA5562">
        <v>40.685868</v>
      </c>
      <c r="AB5562">
        <v>-73.85038299999999</v>
      </c>
      <c r="AD5562" t="s">
        <v>10839</v>
      </c>
      <c r="AG5562" t="s">
        <v>10858</v>
      </c>
      <c r="AH5562" t="s">
        <v>10865</v>
      </c>
      <c r="AI5562">
        <v>237</v>
      </c>
      <c r="AJ5562" t="s">
        <v>10212</v>
      </c>
      <c r="AK5562" t="s">
        <v>10837</v>
      </c>
      <c r="AL5562">
        <v>2</v>
      </c>
      <c r="AQ5562" t="s">
        <v>11106</v>
      </c>
      <c r="AR5562" t="s">
        <v>11267</v>
      </c>
      <c r="AS5562" t="s">
        <v>11594</v>
      </c>
      <c r="BA5562" t="s">
        <v>11741</v>
      </c>
      <c r="BB5562">
        <v>0</v>
      </c>
      <c r="BC5562">
        <v>0</v>
      </c>
      <c r="BD5562">
        <v>0</v>
      </c>
      <c r="BE5562">
        <v>0</v>
      </c>
      <c r="BF5562">
        <v>1</v>
      </c>
      <c r="BG5562">
        <v>0</v>
      </c>
    </row>
    <row r="5563" spans="1:59">
      <c r="A5563" s="1">
        <f>HYPERLINK("https://lsnyc.legalserver.org/matter/dynamic-profile/view/1909829","19-1909829")</f>
        <v>0</v>
      </c>
      <c r="B5563" t="s">
        <v>4378</v>
      </c>
      <c r="C5563" t="s">
        <v>7680</v>
      </c>
      <c r="D5563" t="s">
        <v>9925</v>
      </c>
      <c r="E5563" t="s">
        <v>10075</v>
      </c>
      <c r="F5563">
        <v>10038</v>
      </c>
      <c r="G5563" t="s">
        <v>10089</v>
      </c>
      <c r="H5563" t="s">
        <v>10166</v>
      </c>
      <c r="I5563" t="s">
        <v>10168</v>
      </c>
      <c r="J5563" t="s">
        <v>10209</v>
      </c>
      <c r="K5563" t="s">
        <v>10217</v>
      </c>
      <c r="M5563" t="s">
        <v>10332</v>
      </c>
      <c r="N5563" t="s">
        <v>10691</v>
      </c>
      <c r="P5563" t="s">
        <v>10749</v>
      </c>
      <c r="Q5563" t="s">
        <v>10767</v>
      </c>
      <c r="R5563" t="s">
        <v>10824</v>
      </c>
      <c r="T5563">
        <v>18000</v>
      </c>
      <c r="U5563">
        <v>1500</v>
      </c>
      <c r="V5563">
        <v>67</v>
      </c>
      <c r="W5563">
        <v>1</v>
      </c>
      <c r="X5563">
        <v>0</v>
      </c>
      <c r="Z5563">
        <v>144.12</v>
      </c>
      <c r="AA5563">
        <v>40.710624</v>
      </c>
      <c r="AB5563">
        <v>-73.99878699999999</v>
      </c>
      <c r="AC5563" t="s">
        <v>10837</v>
      </c>
      <c r="AD5563" t="s">
        <v>10839</v>
      </c>
      <c r="AG5563" t="s">
        <v>10858</v>
      </c>
      <c r="AH5563" t="s">
        <v>10871</v>
      </c>
      <c r="AI5563">
        <v>234</v>
      </c>
      <c r="AJ5563" t="s">
        <v>10214</v>
      </c>
      <c r="AL5563">
        <v>3.86</v>
      </c>
      <c r="AM5563" t="s">
        <v>10886</v>
      </c>
      <c r="AN5563" t="s">
        <v>10963</v>
      </c>
      <c r="AO5563" t="s">
        <v>11004</v>
      </c>
      <c r="AP5563" t="s">
        <v>11093</v>
      </c>
      <c r="AR5563" t="s">
        <v>11300</v>
      </c>
      <c r="AS5563" t="s">
        <v>9925</v>
      </c>
      <c r="AT5563" t="s">
        <v>11641</v>
      </c>
      <c r="AX5563" t="s">
        <v>10838</v>
      </c>
      <c r="BA5563" t="s">
        <v>11741</v>
      </c>
      <c r="BB5563">
        <v>0</v>
      </c>
      <c r="BC5563">
        <v>0</v>
      </c>
      <c r="BD5563">
        <v>0</v>
      </c>
      <c r="BE5563">
        <v>0</v>
      </c>
      <c r="BF5563">
        <v>1</v>
      </c>
      <c r="BG5563">
        <v>0</v>
      </c>
    </row>
    <row r="5564" spans="1:59">
      <c r="A5564" s="1">
        <f>HYPERLINK("https://lsnyc.legalserver.org/matter/dynamic-profile/view/1909830","19-1909830")</f>
        <v>0</v>
      </c>
      <c r="B5564" t="s">
        <v>4379</v>
      </c>
      <c r="C5564" t="s">
        <v>9233</v>
      </c>
      <c r="D5564" t="s">
        <v>9932</v>
      </c>
      <c r="E5564" t="s">
        <v>10075</v>
      </c>
      <c r="F5564">
        <v>11368</v>
      </c>
      <c r="G5564" t="s">
        <v>10092</v>
      </c>
      <c r="H5564" t="s">
        <v>10166</v>
      </c>
      <c r="I5564" t="s">
        <v>10169</v>
      </c>
      <c r="J5564" t="s">
        <v>10212</v>
      </c>
      <c r="K5564" t="s">
        <v>10217</v>
      </c>
      <c r="M5564" t="s">
        <v>10416</v>
      </c>
      <c r="N5564" t="s">
        <v>10678</v>
      </c>
      <c r="P5564" t="s">
        <v>10749</v>
      </c>
      <c r="Q5564" t="s">
        <v>10769</v>
      </c>
      <c r="R5564" t="s">
        <v>10821</v>
      </c>
      <c r="T5564">
        <v>186000</v>
      </c>
      <c r="U5564">
        <v>15500</v>
      </c>
      <c r="V5564">
        <v>59</v>
      </c>
      <c r="W5564">
        <v>2</v>
      </c>
      <c r="X5564">
        <v>0</v>
      </c>
      <c r="Z5564">
        <v>1099.94</v>
      </c>
      <c r="AA5564">
        <v>40.738764</v>
      </c>
      <c r="AB5564">
        <v>-73.85529699999999</v>
      </c>
      <c r="AD5564" t="s">
        <v>10840</v>
      </c>
      <c r="AG5564" t="s">
        <v>10858</v>
      </c>
      <c r="AH5564" t="s">
        <v>10861</v>
      </c>
      <c r="AI5564">
        <v>234</v>
      </c>
      <c r="AJ5564" t="s">
        <v>10214</v>
      </c>
      <c r="AL5564">
        <v>1.45</v>
      </c>
      <c r="AM5564" t="s">
        <v>10885</v>
      </c>
      <c r="AN5564" t="s">
        <v>10949</v>
      </c>
      <c r="AO5564" t="s">
        <v>11014</v>
      </c>
      <c r="AP5564" t="s">
        <v>11068</v>
      </c>
      <c r="AR5564" t="s">
        <v>11256</v>
      </c>
      <c r="AS5564" t="s">
        <v>11594</v>
      </c>
      <c r="AT5564" t="s">
        <v>11642</v>
      </c>
      <c r="AX5564" t="s">
        <v>10838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</row>
    <row r="5565" spans="1:59">
      <c r="A5565" s="1">
        <f>HYPERLINK("https://lsnyc.legalserver.org/matter/dynamic-profile/view/1909831","19-1909831")</f>
        <v>0</v>
      </c>
      <c r="B5565" t="s">
        <v>4380</v>
      </c>
      <c r="C5565" t="s">
        <v>9234</v>
      </c>
      <c r="D5565" t="s">
        <v>9928</v>
      </c>
      <c r="E5565" t="s">
        <v>10075</v>
      </c>
      <c r="F5565">
        <v>11216</v>
      </c>
      <c r="G5565" t="s">
        <v>10091</v>
      </c>
      <c r="H5565" t="s">
        <v>10166</v>
      </c>
      <c r="I5565" t="s">
        <v>10184</v>
      </c>
      <c r="J5565" t="s">
        <v>10214</v>
      </c>
      <c r="K5565" t="s">
        <v>10217</v>
      </c>
      <c r="M5565" t="s">
        <v>10286</v>
      </c>
      <c r="N5565" t="s">
        <v>10671</v>
      </c>
      <c r="P5565" t="s">
        <v>10751</v>
      </c>
      <c r="Q5565" t="s">
        <v>10768</v>
      </c>
      <c r="R5565" t="s">
        <v>10825</v>
      </c>
      <c r="T5565">
        <v>13200</v>
      </c>
      <c r="U5565">
        <v>1100</v>
      </c>
      <c r="V5565">
        <v>39</v>
      </c>
      <c r="W5565">
        <v>1</v>
      </c>
      <c r="X5565">
        <v>0</v>
      </c>
      <c r="Z5565">
        <v>105.68</v>
      </c>
      <c r="AA5565">
        <v>40.68679</v>
      </c>
      <c r="AB5565">
        <v>-73.947372</v>
      </c>
      <c r="AD5565" t="s">
        <v>10840</v>
      </c>
      <c r="AG5565" t="s">
        <v>10858</v>
      </c>
      <c r="AH5565" t="s">
        <v>10861</v>
      </c>
      <c r="AI5565">
        <v>234</v>
      </c>
      <c r="AJ5565" t="s">
        <v>10214</v>
      </c>
      <c r="AL5565">
        <v>0.6</v>
      </c>
      <c r="AM5565" t="s">
        <v>10889</v>
      </c>
      <c r="AN5565" t="s">
        <v>10914</v>
      </c>
      <c r="AO5565" t="s">
        <v>11007</v>
      </c>
      <c r="AP5565" t="s">
        <v>11052</v>
      </c>
      <c r="AR5565" t="s">
        <v>11254</v>
      </c>
      <c r="AS5565" t="s">
        <v>11595</v>
      </c>
      <c r="AT5565" t="s">
        <v>11642</v>
      </c>
      <c r="AX5565" t="s">
        <v>10838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</row>
    <row r="5566" spans="1:59">
      <c r="A5566" s="1">
        <f>HYPERLINK("https://lsnyc.legalserver.org/matter/dynamic-profile/view/1909832","19-1909832")</f>
        <v>0</v>
      </c>
      <c r="B5566" t="s">
        <v>2247</v>
      </c>
      <c r="C5566" t="s">
        <v>7032</v>
      </c>
      <c r="D5566" t="s">
        <v>9928</v>
      </c>
      <c r="E5566" t="s">
        <v>10075</v>
      </c>
      <c r="F5566">
        <v>11207</v>
      </c>
      <c r="G5566" t="s">
        <v>10093</v>
      </c>
      <c r="H5566" t="s">
        <v>10166</v>
      </c>
      <c r="I5566" t="s">
        <v>10168</v>
      </c>
      <c r="J5566" t="s">
        <v>10213</v>
      </c>
      <c r="K5566" t="s">
        <v>10217</v>
      </c>
      <c r="M5566" t="s">
        <v>10265</v>
      </c>
      <c r="N5566" t="s">
        <v>10653</v>
      </c>
      <c r="P5566" t="s">
        <v>10749</v>
      </c>
      <c r="Q5566" t="s">
        <v>10767</v>
      </c>
      <c r="R5566" t="s">
        <v>10824</v>
      </c>
      <c r="T5566">
        <v>7200</v>
      </c>
      <c r="U5566">
        <v>600</v>
      </c>
      <c r="V5566">
        <v>36</v>
      </c>
      <c r="W5566">
        <v>1</v>
      </c>
      <c r="X5566">
        <v>3</v>
      </c>
      <c r="Z5566">
        <v>27.96</v>
      </c>
      <c r="AA5566">
        <v>40.660475</v>
      </c>
      <c r="AB5566">
        <v>-73.880549</v>
      </c>
      <c r="AD5566" t="s">
        <v>10839</v>
      </c>
      <c r="AG5566" t="s">
        <v>10858</v>
      </c>
      <c r="AH5566" t="s">
        <v>10861</v>
      </c>
      <c r="AI5566">
        <v>239</v>
      </c>
      <c r="AJ5566" t="s">
        <v>10213</v>
      </c>
      <c r="AL5566">
        <v>0.25</v>
      </c>
      <c r="AM5566" t="s">
        <v>10889</v>
      </c>
      <c r="AN5566" t="s">
        <v>10946</v>
      </c>
      <c r="AO5566" t="s">
        <v>11012</v>
      </c>
      <c r="AP5566" t="s">
        <v>11060</v>
      </c>
      <c r="AR5566" t="s">
        <v>11296</v>
      </c>
      <c r="AS5566" t="s">
        <v>11595</v>
      </c>
      <c r="BA5566" t="s">
        <v>11744</v>
      </c>
      <c r="BB5566">
        <v>0</v>
      </c>
      <c r="BC5566">
        <v>0</v>
      </c>
      <c r="BD5566">
        <v>0</v>
      </c>
      <c r="BE5566">
        <v>0</v>
      </c>
      <c r="BF5566">
        <v>6</v>
      </c>
      <c r="BG5566">
        <v>0</v>
      </c>
    </row>
    <row r="5567" spans="1:59">
      <c r="A5567" s="1">
        <f>HYPERLINK("https://lsnyc.legalserver.org/matter/dynamic-profile/view/1909833","19-1909833")</f>
        <v>0</v>
      </c>
      <c r="B5567" t="s">
        <v>4381</v>
      </c>
      <c r="C5567" t="s">
        <v>9235</v>
      </c>
      <c r="D5567" t="s">
        <v>9925</v>
      </c>
      <c r="E5567" t="s">
        <v>10075</v>
      </c>
      <c r="F5567">
        <v>10031</v>
      </c>
      <c r="G5567" t="s">
        <v>10089</v>
      </c>
      <c r="H5567" t="s">
        <v>10166</v>
      </c>
      <c r="I5567" t="s">
        <v>10168</v>
      </c>
      <c r="J5567" t="s">
        <v>10209</v>
      </c>
      <c r="K5567" t="s">
        <v>10217</v>
      </c>
      <c r="M5567" t="s">
        <v>10301</v>
      </c>
      <c r="N5567" t="s">
        <v>10665</v>
      </c>
      <c r="P5567" t="s">
        <v>10751</v>
      </c>
      <c r="Q5567" t="s">
        <v>10773</v>
      </c>
      <c r="R5567" t="s">
        <v>10823</v>
      </c>
      <c r="T5567">
        <v>0</v>
      </c>
      <c r="U5567">
        <v>0</v>
      </c>
      <c r="V5567">
        <v>47</v>
      </c>
      <c r="W5567">
        <v>1</v>
      </c>
      <c r="X5567">
        <v>0</v>
      </c>
      <c r="Z5567">
        <v>0</v>
      </c>
      <c r="AA5567">
        <v>40.825827</v>
      </c>
      <c r="AB5567">
        <v>-73.952445</v>
      </c>
      <c r="AD5567" t="s">
        <v>10839</v>
      </c>
      <c r="AG5567" t="s">
        <v>10858</v>
      </c>
      <c r="AH5567" t="s">
        <v>10861</v>
      </c>
      <c r="AI5567">
        <v>234</v>
      </c>
      <c r="AJ5567" t="s">
        <v>10214</v>
      </c>
      <c r="AL5567">
        <v>3.25</v>
      </c>
      <c r="AM5567" t="s">
        <v>10887</v>
      </c>
      <c r="AN5567" t="s">
        <v>10943</v>
      </c>
      <c r="AO5567" t="s">
        <v>11019</v>
      </c>
      <c r="AP5567" t="s">
        <v>11073</v>
      </c>
      <c r="AQ5567" t="s">
        <v>11115</v>
      </c>
      <c r="AR5567" t="s">
        <v>11267</v>
      </c>
      <c r="AS5567" t="s">
        <v>9925</v>
      </c>
      <c r="AT5567" t="s">
        <v>11641</v>
      </c>
      <c r="AX5567" t="s">
        <v>10838</v>
      </c>
      <c r="BA5567" t="s">
        <v>11741</v>
      </c>
      <c r="BB5567">
        <v>0</v>
      </c>
      <c r="BC5567">
        <v>0</v>
      </c>
      <c r="BD5567">
        <v>0</v>
      </c>
      <c r="BE5567">
        <v>0</v>
      </c>
      <c r="BF5567">
        <v>1</v>
      </c>
      <c r="BG5567">
        <v>0</v>
      </c>
    </row>
    <row r="5568" spans="1:59">
      <c r="A5568" s="1">
        <f>HYPERLINK("https://lsnyc.legalserver.org/matter/dynamic-profile/view/1909834","19-1909834")</f>
        <v>0</v>
      </c>
      <c r="B5568" t="s">
        <v>4382</v>
      </c>
      <c r="C5568" t="s">
        <v>9236</v>
      </c>
      <c r="D5568" t="s">
        <v>9925</v>
      </c>
      <c r="E5568" t="s">
        <v>10075</v>
      </c>
      <c r="F5568">
        <v>10031</v>
      </c>
      <c r="G5568" t="s">
        <v>10089</v>
      </c>
      <c r="H5568" t="s">
        <v>10166</v>
      </c>
      <c r="I5568" t="s">
        <v>10169</v>
      </c>
      <c r="J5568" t="s">
        <v>10209</v>
      </c>
      <c r="K5568" t="s">
        <v>10217</v>
      </c>
      <c r="M5568" t="s">
        <v>10459</v>
      </c>
      <c r="N5568" t="s">
        <v>10671</v>
      </c>
      <c r="P5568" t="s">
        <v>10751</v>
      </c>
      <c r="Q5568" t="s">
        <v>10768</v>
      </c>
      <c r="R5568" t="s">
        <v>10821</v>
      </c>
      <c r="T5568">
        <v>0</v>
      </c>
      <c r="U5568">
        <v>0</v>
      </c>
      <c r="V5568">
        <v>39</v>
      </c>
      <c r="W5568">
        <v>1</v>
      </c>
      <c r="X5568">
        <v>0</v>
      </c>
      <c r="Z5568">
        <v>0</v>
      </c>
      <c r="AA5568">
        <v>40.82947</v>
      </c>
      <c r="AB5568">
        <v>-73.945294</v>
      </c>
      <c r="AD5568" t="s">
        <v>10839</v>
      </c>
      <c r="AG5568" t="s">
        <v>10858</v>
      </c>
      <c r="AH5568" t="s">
        <v>10871</v>
      </c>
      <c r="AI5568">
        <v>234</v>
      </c>
      <c r="AJ5568" t="s">
        <v>10214</v>
      </c>
      <c r="AL5568">
        <v>1.2</v>
      </c>
      <c r="AM5568" t="s">
        <v>10887</v>
      </c>
      <c r="AN5568" t="s">
        <v>10943</v>
      </c>
      <c r="AO5568" t="s">
        <v>11016</v>
      </c>
      <c r="AP5568" t="s">
        <v>11073</v>
      </c>
      <c r="AR5568" t="s">
        <v>11267</v>
      </c>
      <c r="AS5568" t="s">
        <v>9925</v>
      </c>
      <c r="AT5568" t="s">
        <v>11641</v>
      </c>
      <c r="AX5568" t="s">
        <v>10838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</row>
    <row r="5569" spans="1:59">
      <c r="A5569" s="1">
        <f>HYPERLINK("https://lsnyc.legalserver.org/matter/dynamic-profile/view/1909838","19-1909838")</f>
        <v>0</v>
      </c>
      <c r="B5569" t="s">
        <v>4383</v>
      </c>
      <c r="C5569" t="s">
        <v>9237</v>
      </c>
      <c r="D5569" t="s">
        <v>9925</v>
      </c>
      <c r="E5569" t="s">
        <v>10075</v>
      </c>
      <c r="F5569">
        <v>10034</v>
      </c>
      <c r="G5569" t="s">
        <v>10089</v>
      </c>
      <c r="H5569" t="s">
        <v>10166</v>
      </c>
      <c r="I5569" t="s">
        <v>10168</v>
      </c>
      <c r="J5569" t="s">
        <v>10209</v>
      </c>
      <c r="K5569" t="s">
        <v>10217</v>
      </c>
      <c r="M5569" t="s">
        <v>10573</v>
      </c>
      <c r="N5569" t="s">
        <v>10650</v>
      </c>
      <c r="O5569" t="s">
        <v>10707</v>
      </c>
      <c r="P5569" t="s">
        <v>10749</v>
      </c>
      <c r="Q5569" t="s">
        <v>10765</v>
      </c>
      <c r="R5569" t="s">
        <v>10823</v>
      </c>
      <c r="T5569">
        <v>10572</v>
      </c>
      <c r="U5569">
        <v>881</v>
      </c>
      <c r="V5569">
        <v>34</v>
      </c>
      <c r="W5569">
        <v>1</v>
      </c>
      <c r="X5569">
        <v>0</v>
      </c>
      <c r="Z5569">
        <v>84.64</v>
      </c>
      <c r="AA5569">
        <v>40.869004</v>
      </c>
      <c r="AB5569">
        <v>-73.922966</v>
      </c>
      <c r="AD5569" t="s">
        <v>10840</v>
      </c>
      <c r="AG5569" t="s">
        <v>10858</v>
      </c>
      <c r="AH5569" t="s">
        <v>10862</v>
      </c>
      <c r="AI5569">
        <v>236</v>
      </c>
      <c r="AJ5569" t="s">
        <v>10209</v>
      </c>
      <c r="AL5569">
        <v>14.7</v>
      </c>
      <c r="AM5569" t="s">
        <v>10887</v>
      </c>
      <c r="AN5569" t="s">
        <v>10937</v>
      </c>
      <c r="AO5569" t="s">
        <v>11019</v>
      </c>
      <c r="AP5569" t="s">
        <v>11074</v>
      </c>
      <c r="AR5569" t="s">
        <v>11274</v>
      </c>
      <c r="AS5569" t="s">
        <v>9925</v>
      </c>
      <c r="AT5569" t="s">
        <v>11642</v>
      </c>
      <c r="AX5569" t="s">
        <v>10837</v>
      </c>
      <c r="BA5569" t="s">
        <v>11742</v>
      </c>
      <c r="BB5569">
        <v>0</v>
      </c>
      <c r="BC5569">
        <v>0</v>
      </c>
      <c r="BD5569">
        <v>0</v>
      </c>
      <c r="BE5569">
        <v>0</v>
      </c>
      <c r="BF5569">
        <v>7</v>
      </c>
      <c r="BG5569">
        <v>0</v>
      </c>
    </row>
    <row r="5570" spans="1:59">
      <c r="A5570" s="1">
        <f>HYPERLINK("https://lsnyc.legalserver.org/matter/dynamic-profile/view/1909839","19-1909839")</f>
        <v>0</v>
      </c>
      <c r="B5570" t="s">
        <v>4384</v>
      </c>
      <c r="C5570" t="s">
        <v>9238</v>
      </c>
      <c r="D5570" t="s">
        <v>9962</v>
      </c>
      <c r="E5570" t="s">
        <v>10075</v>
      </c>
      <c r="F5570">
        <v>11423</v>
      </c>
      <c r="G5570" t="s">
        <v>10092</v>
      </c>
      <c r="H5570" t="s">
        <v>10166</v>
      </c>
      <c r="I5570" t="s">
        <v>10168</v>
      </c>
      <c r="J5570" t="s">
        <v>10212</v>
      </c>
      <c r="K5570" t="s">
        <v>10217</v>
      </c>
      <c r="M5570" t="s">
        <v>10326</v>
      </c>
      <c r="N5570" t="s">
        <v>10669</v>
      </c>
      <c r="P5570" t="s">
        <v>10754</v>
      </c>
      <c r="Q5570" t="s">
        <v>10775</v>
      </c>
      <c r="R5570" t="s">
        <v>10827</v>
      </c>
      <c r="T5570">
        <v>20800</v>
      </c>
      <c r="U5570">
        <v>1733.33</v>
      </c>
      <c r="V5570">
        <v>34</v>
      </c>
      <c r="W5570">
        <v>1</v>
      </c>
      <c r="X5570">
        <v>0</v>
      </c>
      <c r="Z5570">
        <v>166.53</v>
      </c>
      <c r="AA5570">
        <v>40.713425</v>
      </c>
      <c r="AB5570">
        <v>-73.77475099999999</v>
      </c>
      <c r="AD5570" t="s">
        <v>10839</v>
      </c>
      <c r="AF5570" t="s">
        <v>10843</v>
      </c>
      <c r="AG5570" t="s">
        <v>10859</v>
      </c>
      <c r="AH5570" t="s">
        <v>10865</v>
      </c>
      <c r="AI5570">
        <v>237</v>
      </c>
      <c r="AJ5570" t="s">
        <v>10212</v>
      </c>
      <c r="AK5570" t="s">
        <v>10837</v>
      </c>
      <c r="AL5570">
        <v>2.2</v>
      </c>
      <c r="AM5570" t="s">
        <v>10892</v>
      </c>
      <c r="AN5570" t="s">
        <v>10955</v>
      </c>
      <c r="AO5570" t="s">
        <v>11022</v>
      </c>
      <c r="AP5570" t="s">
        <v>11075</v>
      </c>
      <c r="AR5570" t="s">
        <v>11257</v>
      </c>
      <c r="AS5570" t="s">
        <v>11594</v>
      </c>
      <c r="BA5570" t="s">
        <v>11741</v>
      </c>
      <c r="BB5570">
        <v>0</v>
      </c>
      <c r="BC5570">
        <v>0</v>
      </c>
      <c r="BD5570">
        <v>0</v>
      </c>
      <c r="BE5570">
        <v>0</v>
      </c>
      <c r="BF5570">
        <v>1</v>
      </c>
      <c r="BG5570">
        <v>0</v>
      </c>
    </row>
    <row r="5571" spans="1:59">
      <c r="A5571" s="1">
        <f>HYPERLINK("https://lsnyc.legalserver.org/matter/dynamic-profile/view/1909840","19-1909840")</f>
        <v>0</v>
      </c>
      <c r="B5571" t="s">
        <v>2086</v>
      </c>
      <c r="C5571" t="s">
        <v>6879</v>
      </c>
      <c r="D5571" t="s">
        <v>9926</v>
      </c>
      <c r="E5571" t="s">
        <v>10075</v>
      </c>
      <c r="F5571">
        <v>10459</v>
      </c>
      <c r="G5571" t="s">
        <v>10090</v>
      </c>
      <c r="H5571" t="s">
        <v>10166</v>
      </c>
      <c r="I5571" t="s">
        <v>10168</v>
      </c>
      <c r="J5571" t="s">
        <v>10210</v>
      </c>
      <c r="K5571" t="s">
        <v>10217</v>
      </c>
      <c r="M5571" t="s">
        <v>10401</v>
      </c>
      <c r="N5571" t="s">
        <v>10677</v>
      </c>
      <c r="P5571" t="s">
        <v>10757</v>
      </c>
      <c r="Q5571" t="s">
        <v>10789</v>
      </c>
      <c r="R5571" t="s">
        <v>10824</v>
      </c>
      <c r="T5571">
        <v>16404</v>
      </c>
      <c r="U5571">
        <v>1367</v>
      </c>
      <c r="V5571">
        <v>67</v>
      </c>
      <c r="W5571">
        <v>1</v>
      </c>
      <c r="X5571">
        <v>0</v>
      </c>
      <c r="Z5571">
        <v>131.34</v>
      </c>
      <c r="AA5571">
        <v>40.821378</v>
      </c>
      <c r="AB5571">
        <v>-73.899469</v>
      </c>
      <c r="AD5571" t="s">
        <v>10840</v>
      </c>
      <c r="AG5571" t="s">
        <v>10858</v>
      </c>
      <c r="AH5571" t="s">
        <v>10874</v>
      </c>
      <c r="AI5571">
        <v>230</v>
      </c>
      <c r="AJ5571" t="s">
        <v>10210</v>
      </c>
      <c r="AL5571">
        <v>3.5</v>
      </c>
      <c r="AM5571" t="s">
        <v>10884</v>
      </c>
      <c r="AN5571" t="s">
        <v>10918</v>
      </c>
      <c r="AO5571" t="s">
        <v>11001</v>
      </c>
      <c r="AP5571" t="s">
        <v>11062</v>
      </c>
      <c r="AR5571" t="s">
        <v>11268</v>
      </c>
      <c r="AS5571" t="s">
        <v>9926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</row>
    <row r="5572" spans="1:59">
      <c r="A5572" s="1">
        <f>HYPERLINK("https://lsnyc.legalserver.org/matter/dynamic-profile/view/1909841","19-1909841")</f>
        <v>0</v>
      </c>
      <c r="B5572" t="s">
        <v>4385</v>
      </c>
      <c r="C5572" t="s">
        <v>9239</v>
      </c>
      <c r="D5572" t="s">
        <v>9925</v>
      </c>
      <c r="E5572" t="s">
        <v>10075</v>
      </c>
      <c r="F5572">
        <v>10019</v>
      </c>
      <c r="G5572" t="s">
        <v>10093</v>
      </c>
      <c r="H5572" t="s">
        <v>10166</v>
      </c>
      <c r="I5572" t="s">
        <v>10168</v>
      </c>
      <c r="J5572" t="s">
        <v>10213</v>
      </c>
      <c r="K5572" t="s">
        <v>10218</v>
      </c>
      <c r="L5572" t="s">
        <v>10158</v>
      </c>
      <c r="M5572" t="s">
        <v>10436</v>
      </c>
      <c r="N5572" t="s">
        <v>10710</v>
      </c>
      <c r="P5572" t="s">
        <v>10750</v>
      </c>
      <c r="Q5572" t="s">
        <v>10760</v>
      </c>
      <c r="R5572" t="s">
        <v>10824</v>
      </c>
      <c r="T5572">
        <v>12696</v>
      </c>
      <c r="U5572">
        <v>1058</v>
      </c>
      <c r="V5572">
        <v>71</v>
      </c>
      <c r="W5572">
        <v>1</v>
      </c>
      <c r="X5572">
        <v>0</v>
      </c>
      <c r="Y5572" t="s">
        <v>10829</v>
      </c>
      <c r="Z5572">
        <v>101.65</v>
      </c>
      <c r="AA5572">
        <v>40.766513</v>
      </c>
      <c r="AB5572">
        <v>-73.99162800000001</v>
      </c>
      <c r="AD5572" t="s">
        <v>10839</v>
      </c>
      <c r="AG5572" t="s">
        <v>10858</v>
      </c>
      <c r="AH5572" t="s">
        <v>10871</v>
      </c>
      <c r="AI5572">
        <v>234</v>
      </c>
      <c r="AJ5572" t="s">
        <v>10214</v>
      </c>
      <c r="AK5572" t="s">
        <v>10838</v>
      </c>
      <c r="AL5572">
        <v>1.25</v>
      </c>
      <c r="AM5572" t="s">
        <v>10894</v>
      </c>
      <c r="AN5572" t="s">
        <v>10964</v>
      </c>
      <c r="AO5572" t="s">
        <v>11021</v>
      </c>
      <c r="AP5572" t="s">
        <v>11090</v>
      </c>
      <c r="AR5572" t="s">
        <v>11298</v>
      </c>
      <c r="AS5572" t="s">
        <v>9925</v>
      </c>
      <c r="AT5572" t="s">
        <v>11641</v>
      </c>
      <c r="AX5572" t="s">
        <v>10838</v>
      </c>
      <c r="AY5572" t="s">
        <v>10829</v>
      </c>
      <c r="AZ5572" t="s">
        <v>11679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</row>
    <row r="5573" spans="1:59">
      <c r="A5573" s="1">
        <f>HYPERLINK("https://lsnyc.legalserver.org/matter/dynamic-profile/view/1909842","19-1909842")</f>
        <v>0</v>
      </c>
      <c r="B5573" t="s">
        <v>4384</v>
      </c>
      <c r="C5573" t="s">
        <v>9238</v>
      </c>
      <c r="D5573" t="s">
        <v>9962</v>
      </c>
      <c r="E5573" t="s">
        <v>10075</v>
      </c>
      <c r="F5573">
        <v>11423</v>
      </c>
      <c r="G5573" t="s">
        <v>10092</v>
      </c>
      <c r="H5573" t="s">
        <v>10166</v>
      </c>
      <c r="I5573" t="s">
        <v>10168</v>
      </c>
      <c r="J5573" t="s">
        <v>10212</v>
      </c>
      <c r="K5573" t="s">
        <v>10217</v>
      </c>
      <c r="M5573" t="s">
        <v>10326</v>
      </c>
      <c r="N5573" t="s">
        <v>10689</v>
      </c>
      <c r="P5573" t="s">
        <v>10753</v>
      </c>
      <c r="Q5573" t="s">
        <v>10763</v>
      </c>
      <c r="R5573" t="s">
        <v>10827</v>
      </c>
      <c r="T5573">
        <v>20800</v>
      </c>
      <c r="U5573">
        <v>1733.33</v>
      </c>
      <c r="V5573">
        <v>34</v>
      </c>
      <c r="W5573">
        <v>1</v>
      </c>
      <c r="X5573">
        <v>0</v>
      </c>
      <c r="Z5573">
        <v>166.53</v>
      </c>
      <c r="AA5573">
        <v>40.713425</v>
      </c>
      <c r="AB5573">
        <v>-73.77475099999999</v>
      </c>
      <c r="AD5573" t="s">
        <v>10839</v>
      </c>
      <c r="AF5573" t="s">
        <v>10843</v>
      </c>
      <c r="AG5573" t="s">
        <v>10859</v>
      </c>
      <c r="AH5573" t="s">
        <v>10865</v>
      </c>
      <c r="AI5573">
        <v>237</v>
      </c>
      <c r="AJ5573" t="s">
        <v>10212</v>
      </c>
      <c r="AK5573" t="s">
        <v>10837</v>
      </c>
      <c r="AL5573">
        <v>3.3</v>
      </c>
      <c r="AM5573" t="s">
        <v>10892</v>
      </c>
      <c r="AN5573" t="s">
        <v>10955</v>
      </c>
      <c r="AO5573" t="s">
        <v>11022</v>
      </c>
      <c r="AP5573" t="s">
        <v>11075</v>
      </c>
      <c r="AQ5573" t="s">
        <v>11158</v>
      </c>
      <c r="AR5573" t="s">
        <v>11257</v>
      </c>
      <c r="AS5573" t="s">
        <v>11594</v>
      </c>
      <c r="BA5573" t="s">
        <v>11741</v>
      </c>
      <c r="BB5573">
        <v>0</v>
      </c>
      <c r="BC5573">
        <v>0</v>
      </c>
      <c r="BD5573">
        <v>0</v>
      </c>
      <c r="BE5573">
        <v>0</v>
      </c>
      <c r="BF5573">
        <v>1</v>
      </c>
      <c r="BG5573">
        <v>0</v>
      </c>
    </row>
    <row r="5574" spans="1:59">
      <c r="A5574" s="1">
        <f>HYPERLINK("https://lsnyc.legalserver.org/matter/dynamic-profile/view/1909843","19-1909843")</f>
        <v>0</v>
      </c>
      <c r="B5574" t="s">
        <v>4386</v>
      </c>
      <c r="C5574" t="s">
        <v>9240</v>
      </c>
      <c r="D5574" t="s">
        <v>9928</v>
      </c>
      <c r="E5574" t="s">
        <v>10075</v>
      </c>
      <c r="F5574">
        <v>11221</v>
      </c>
      <c r="G5574" t="s">
        <v>10093</v>
      </c>
      <c r="H5574" t="s">
        <v>10166</v>
      </c>
      <c r="I5574" t="s">
        <v>10169</v>
      </c>
      <c r="J5574" t="s">
        <v>10213</v>
      </c>
      <c r="K5574" t="s">
        <v>10217</v>
      </c>
      <c r="M5574" t="s">
        <v>10587</v>
      </c>
      <c r="N5574" t="s">
        <v>10671</v>
      </c>
      <c r="P5574" t="s">
        <v>10755</v>
      </c>
      <c r="Q5574" t="s">
        <v>10801</v>
      </c>
      <c r="R5574" t="s">
        <v>10821</v>
      </c>
      <c r="T5574">
        <v>22252</v>
      </c>
      <c r="U5574">
        <v>1854.33</v>
      </c>
      <c r="V5574">
        <v>56</v>
      </c>
      <c r="W5574">
        <v>1</v>
      </c>
      <c r="X5574">
        <v>2</v>
      </c>
      <c r="Z5574">
        <v>104.32</v>
      </c>
      <c r="AA5574">
        <v>40.694492</v>
      </c>
      <c r="AB5574">
        <v>-73.910313</v>
      </c>
      <c r="AD5574" t="s">
        <v>10839</v>
      </c>
      <c r="AG5574" t="s">
        <v>10858</v>
      </c>
      <c r="AH5574" t="s">
        <v>10877</v>
      </c>
      <c r="AI5574">
        <v>239</v>
      </c>
      <c r="AJ5574" t="s">
        <v>10213</v>
      </c>
      <c r="AL5574">
        <v>17</v>
      </c>
      <c r="AM5574" t="s">
        <v>10886</v>
      </c>
      <c r="AN5574" t="s">
        <v>10920</v>
      </c>
      <c r="AO5574" t="s">
        <v>11011</v>
      </c>
      <c r="AP5574" t="s">
        <v>11058</v>
      </c>
      <c r="AR5574" t="s">
        <v>11424</v>
      </c>
      <c r="AS5574" t="s">
        <v>11595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</row>
    <row r="5575" spans="1:59">
      <c r="A5575" s="1">
        <f>HYPERLINK("https://lsnyc.legalserver.org/matter/dynamic-profile/view/1909844","19-1909844")</f>
        <v>0</v>
      </c>
      <c r="B5575" t="s">
        <v>4022</v>
      </c>
      <c r="C5575" t="s">
        <v>9241</v>
      </c>
      <c r="D5575" t="s">
        <v>9938</v>
      </c>
      <c r="E5575" t="s">
        <v>10075</v>
      </c>
      <c r="F5575">
        <v>11434</v>
      </c>
      <c r="G5575" t="s">
        <v>10092</v>
      </c>
      <c r="H5575" t="s">
        <v>10166</v>
      </c>
      <c r="I5575" t="s">
        <v>10168</v>
      </c>
      <c r="J5575" t="s">
        <v>10212</v>
      </c>
      <c r="K5575" t="s">
        <v>10218</v>
      </c>
      <c r="L5575" t="s">
        <v>10220</v>
      </c>
      <c r="M5575" t="s">
        <v>10632</v>
      </c>
      <c r="N5575" t="s">
        <v>10699</v>
      </c>
      <c r="P5575" t="s">
        <v>10754</v>
      </c>
      <c r="Q5575" t="s">
        <v>10777</v>
      </c>
      <c r="R5575" t="s">
        <v>10824</v>
      </c>
      <c r="T5575">
        <v>36244</v>
      </c>
      <c r="U5575">
        <v>3020.33</v>
      </c>
      <c r="V5575">
        <v>31</v>
      </c>
      <c r="W5575">
        <v>1</v>
      </c>
      <c r="X5575">
        <v>1</v>
      </c>
      <c r="Y5575" t="s">
        <v>10829</v>
      </c>
      <c r="Z5575">
        <v>214.33</v>
      </c>
      <c r="AA5575">
        <v>40.676476</v>
      </c>
      <c r="AB5575">
        <v>-73.77997999999999</v>
      </c>
      <c r="AD5575" t="s">
        <v>10839</v>
      </c>
      <c r="AF5575" t="s">
        <v>10842</v>
      </c>
      <c r="AG5575" t="s">
        <v>10859</v>
      </c>
      <c r="AH5575" t="s">
        <v>10865</v>
      </c>
      <c r="AI5575">
        <v>237</v>
      </c>
      <c r="AJ5575" t="s">
        <v>10212</v>
      </c>
      <c r="AK5575" t="s">
        <v>10837</v>
      </c>
      <c r="AL5575">
        <v>2</v>
      </c>
      <c r="AM5575" t="s">
        <v>10892</v>
      </c>
      <c r="AN5575" t="s">
        <v>10951</v>
      </c>
      <c r="AO5575" t="s">
        <v>11017</v>
      </c>
      <c r="AP5575" t="s">
        <v>11070</v>
      </c>
      <c r="AQ5575" t="s">
        <v>11128</v>
      </c>
      <c r="AR5575" t="s">
        <v>11257</v>
      </c>
      <c r="AS5575" t="s">
        <v>11594</v>
      </c>
      <c r="AY5575" t="s">
        <v>10829</v>
      </c>
      <c r="AZ5575" t="s">
        <v>11683</v>
      </c>
      <c r="BA5575" t="s">
        <v>11741</v>
      </c>
      <c r="BB5575">
        <v>0</v>
      </c>
      <c r="BC5575">
        <v>0</v>
      </c>
      <c r="BD5575">
        <v>0</v>
      </c>
      <c r="BE5575">
        <v>0</v>
      </c>
      <c r="BF5575">
        <v>1</v>
      </c>
      <c r="BG5575">
        <v>0</v>
      </c>
    </row>
    <row r="5576" spans="1:59">
      <c r="A5576" s="1">
        <f>HYPERLINK("https://lsnyc.legalserver.org/matter/dynamic-profile/view/1909845","19-1909845")</f>
        <v>0</v>
      </c>
      <c r="B5576" t="s">
        <v>4387</v>
      </c>
      <c r="C5576" t="s">
        <v>9242</v>
      </c>
      <c r="D5576" t="s">
        <v>9925</v>
      </c>
      <c r="E5576" t="s">
        <v>10075</v>
      </c>
      <c r="F5576">
        <v>10002</v>
      </c>
      <c r="G5576" t="s">
        <v>10089</v>
      </c>
      <c r="H5576" t="s">
        <v>10166</v>
      </c>
      <c r="I5576" t="s">
        <v>10168</v>
      </c>
      <c r="J5576" t="s">
        <v>10209</v>
      </c>
      <c r="K5576" t="s">
        <v>10217</v>
      </c>
      <c r="M5576" t="s">
        <v>10607</v>
      </c>
      <c r="N5576" t="s">
        <v>10671</v>
      </c>
      <c r="P5576" t="s">
        <v>10749</v>
      </c>
      <c r="Q5576" t="s">
        <v>10765</v>
      </c>
      <c r="R5576" t="s">
        <v>10820</v>
      </c>
      <c r="T5576">
        <v>0</v>
      </c>
      <c r="U5576">
        <v>0</v>
      </c>
      <c r="V5576">
        <v>29</v>
      </c>
      <c r="W5576">
        <v>1</v>
      </c>
      <c r="X5576">
        <v>0</v>
      </c>
      <c r="Z5576">
        <v>0</v>
      </c>
      <c r="AA5576">
        <v>40.719538</v>
      </c>
      <c r="AB5576">
        <v>-73.98309399999999</v>
      </c>
      <c r="AD5576" t="s">
        <v>10840</v>
      </c>
      <c r="AG5576" t="s">
        <v>10858</v>
      </c>
      <c r="AH5576" t="s">
        <v>10861</v>
      </c>
      <c r="AI5576">
        <v>234</v>
      </c>
      <c r="AJ5576" t="s">
        <v>10214</v>
      </c>
      <c r="AL5576">
        <v>0.5</v>
      </c>
      <c r="AR5576" t="s">
        <v>11267</v>
      </c>
      <c r="AS5576" t="s">
        <v>9925</v>
      </c>
      <c r="AT5576" t="s">
        <v>11642</v>
      </c>
      <c r="AX5576" t="s">
        <v>10837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</row>
    <row r="5577" spans="1:59">
      <c r="A5577" s="1">
        <f>HYPERLINK("https://lsnyc.legalserver.org/matter/dynamic-profile/view/1909846","19-1909846")</f>
        <v>0</v>
      </c>
      <c r="B5577" t="s">
        <v>4388</v>
      </c>
      <c r="C5577" t="s">
        <v>9243</v>
      </c>
      <c r="D5577" t="s">
        <v>9925</v>
      </c>
      <c r="E5577" t="s">
        <v>10075</v>
      </c>
      <c r="F5577">
        <v>10075</v>
      </c>
      <c r="G5577" t="s">
        <v>10091</v>
      </c>
      <c r="H5577" t="s">
        <v>10166</v>
      </c>
      <c r="I5577" t="s">
        <v>10168</v>
      </c>
      <c r="J5577" t="s">
        <v>10211</v>
      </c>
      <c r="K5577" t="s">
        <v>10217</v>
      </c>
      <c r="M5577" t="s">
        <v>10307</v>
      </c>
      <c r="N5577" t="s">
        <v>10671</v>
      </c>
      <c r="P5577" t="s">
        <v>10752</v>
      </c>
      <c r="Q5577" t="s">
        <v>10762</v>
      </c>
      <c r="R5577" t="s">
        <v>10827</v>
      </c>
      <c r="T5577">
        <v>2400</v>
      </c>
      <c r="U5577">
        <v>200</v>
      </c>
      <c r="V5577">
        <v>53</v>
      </c>
      <c r="W5577">
        <v>1</v>
      </c>
      <c r="X5577">
        <v>0</v>
      </c>
      <c r="Z5577">
        <v>19.22</v>
      </c>
      <c r="AA5577">
        <v>40.77051</v>
      </c>
      <c r="AB5577">
        <v>-73.94876600000001</v>
      </c>
      <c r="AD5577" t="s">
        <v>10840</v>
      </c>
      <c r="AG5577" t="s">
        <v>10858</v>
      </c>
      <c r="AH5577" t="s">
        <v>10871</v>
      </c>
      <c r="AI5577">
        <v>234</v>
      </c>
      <c r="AJ5577" t="s">
        <v>10214</v>
      </c>
      <c r="AL5577">
        <v>1</v>
      </c>
      <c r="AM5577" t="s">
        <v>10891</v>
      </c>
      <c r="AN5577" t="s">
        <v>10971</v>
      </c>
      <c r="AO5577" t="s">
        <v>11026</v>
      </c>
      <c r="AP5577" t="s">
        <v>11094</v>
      </c>
      <c r="AR5577" t="s">
        <v>11311</v>
      </c>
      <c r="AS5577" t="s">
        <v>9925</v>
      </c>
      <c r="AT5577" t="s">
        <v>11642</v>
      </c>
      <c r="AX5577" t="s">
        <v>10838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</row>
    <row r="5578" spans="1:59">
      <c r="A5578" s="1">
        <f>HYPERLINK("https://lsnyc.legalserver.org/matter/dynamic-profile/view/1909847","19-1909847")</f>
        <v>0</v>
      </c>
      <c r="B5578" t="s">
        <v>4389</v>
      </c>
      <c r="C5578" t="s">
        <v>9244</v>
      </c>
      <c r="D5578" t="s">
        <v>9926</v>
      </c>
      <c r="E5578" t="s">
        <v>10075</v>
      </c>
      <c r="F5578">
        <v>10452</v>
      </c>
      <c r="G5578" t="s">
        <v>10090</v>
      </c>
      <c r="H5578" t="s">
        <v>10166</v>
      </c>
      <c r="I5578" t="s">
        <v>10204</v>
      </c>
      <c r="J5578" t="s">
        <v>10210</v>
      </c>
      <c r="K5578" t="s">
        <v>10217</v>
      </c>
      <c r="M5578" t="s">
        <v>10513</v>
      </c>
      <c r="N5578" t="s">
        <v>10650</v>
      </c>
      <c r="P5578" t="s">
        <v>10749</v>
      </c>
      <c r="Q5578" t="s">
        <v>10765</v>
      </c>
      <c r="R5578" t="s">
        <v>10822</v>
      </c>
      <c r="T5578">
        <v>18000</v>
      </c>
      <c r="U5578">
        <v>1500</v>
      </c>
      <c r="V5578">
        <v>42</v>
      </c>
      <c r="W5578">
        <v>3</v>
      </c>
      <c r="X5578">
        <v>0</v>
      </c>
      <c r="Z5578">
        <v>84.39</v>
      </c>
      <c r="AA5578">
        <v>40.840682</v>
      </c>
      <c r="AB5578">
        <v>-73.926461</v>
      </c>
      <c r="AD5578" t="s">
        <v>10840</v>
      </c>
      <c r="AG5578" t="s">
        <v>10858</v>
      </c>
      <c r="AH5578" t="s">
        <v>10862</v>
      </c>
      <c r="AI5578">
        <v>230</v>
      </c>
      <c r="AJ5578" t="s">
        <v>10210</v>
      </c>
      <c r="AL5578">
        <v>11.9</v>
      </c>
      <c r="AM5578" t="s">
        <v>10884</v>
      </c>
      <c r="AN5578" t="s">
        <v>10929</v>
      </c>
      <c r="AO5578" t="s">
        <v>11013</v>
      </c>
      <c r="AP5578" t="s">
        <v>11055</v>
      </c>
      <c r="AR5578" t="s">
        <v>11257</v>
      </c>
      <c r="AS5578" t="s">
        <v>9926</v>
      </c>
      <c r="BA5578" t="s">
        <v>11739</v>
      </c>
      <c r="BB5578">
        <v>0</v>
      </c>
      <c r="BC5578">
        <v>0</v>
      </c>
      <c r="BD5578">
        <v>0</v>
      </c>
      <c r="BE5578">
        <v>0</v>
      </c>
      <c r="BF5578">
        <v>4</v>
      </c>
      <c r="BG5578">
        <v>0</v>
      </c>
    </row>
    <row r="5579" spans="1:59">
      <c r="A5579" s="1">
        <f>HYPERLINK("https://lsnyc.legalserver.org/matter/dynamic-profile/view/1909848","19-1909848")</f>
        <v>0</v>
      </c>
      <c r="B5579" t="s">
        <v>4390</v>
      </c>
      <c r="C5579" t="s">
        <v>9245</v>
      </c>
      <c r="D5579" t="s">
        <v>9928</v>
      </c>
      <c r="E5579" t="s">
        <v>10075</v>
      </c>
      <c r="F5579">
        <v>11233</v>
      </c>
      <c r="G5579" t="s">
        <v>10093</v>
      </c>
      <c r="H5579" t="s">
        <v>10166</v>
      </c>
      <c r="I5579" t="s">
        <v>10168</v>
      </c>
      <c r="J5579" t="s">
        <v>10213</v>
      </c>
      <c r="K5579" t="s">
        <v>10217</v>
      </c>
      <c r="M5579" t="s">
        <v>10370</v>
      </c>
      <c r="N5579" t="s">
        <v>10671</v>
      </c>
      <c r="P5579" t="s">
        <v>10757</v>
      </c>
      <c r="Q5579" t="s">
        <v>10789</v>
      </c>
      <c r="R5579" t="s">
        <v>10824</v>
      </c>
      <c r="T5579">
        <v>4888</v>
      </c>
      <c r="U5579">
        <v>407.33</v>
      </c>
      <c r="V5579">
        <v>52</v>
      </c>
      <c r="W5579">
        <v>1</v>
      </c>
      <c r="X5579">
        <v>0</v>
      </c>
      <c r="Z5579">
        <v>39.14</v>
      </c>
      <c r="AA5579">
        <v>40.675515</v>
      </c>
      <c r="AB5579">
        <v>-73.911641</v>
      </c>
      <c r="AD5579" t="s">
        <v>10840</v>
      </c>
      <c r="AG5579" t="s">
        <v>10858</v>
      </c>
      <c r="AH5579" t="s">
        <v>10861</v>
      </c>
      <c r="AI5579">
        <v>234</v>
      </c>
      <c r="AJ5579" t="s">
        <v>10214</v>
      </c>
      <c r="AL5579">
        <v>2.95</v>
      </c>
      <c r="AM5579" t="s">
        <v>10889</v>
      </c>
      <c r="AN5579" t="s">
        <v>10922</v>
      </c>
      <c r="AO5579" t="s">
        <v>11007</v>
      </c>
      <c r="AP5579" t="s">
        <v>11064</v>
      </c>
      <c r="AQ5579" t="s">
        <v>11121</v>
      </c>
      <c r="AR5579" t="s">
        <v>11321</v>
      </c>
      <c r="AS5579" t="s">
        <v>11595</v>
      </c>
      <c r="AX5579" t="s">
        <v>10837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</row>
    <row r="5580" spans="1:59">
      <c r="A5580" s="1">
        <f>HYPERLINK("https://lsnyc.legalserver.org/matter/dynamic-profile/view/1909849","19-1909849")</f>
        <v>0</v>
      </c>
      <c r="B5580" t="s">
        <v>4391</v>
      </c>
      <c r="C5580" t="s">
        <v>9246</v>
      </c>
      <c r="D5580" t="s">
        <v>9925</v>
      </c>
      <c r="E5580" t="s">
        <v>10075</v>
      </c>
      <c r="F5580">
        <v>10027</v>
      </c>
      <c r="G5580" t="s">
        <v>10089</v>
      </c>
      <c r="H5580" t="s">
        <v>10166</v>
      </c>
      <c r="I5580" t="s">
        <v>10168</v>
      </c>
      <c r="J5580" t="s">
        <v>10209</v>
      </c>
      <c r="K5580" t="s">
        <v>10217</v>
      </c>
      <c r="M5580" t="s">
        <v>10301</v>
      </c>
      <c r="N5580" t="s">
        <v>10665</v>
      </c>
      <c r="P5580" t="s">
        <v>10751</v>
      </c>
      <c r="Q5580" t="s">
        <v>10773</v>
      </c>
      <c r="R5580" t="s">
        <v>10824</v>
      </c>
      <c r="T5580">
        <v>2580</v>
      </c>
      <c r="U5580">
        <v>215</v>
      </c>
      <c r="V5580">
        <v>84</v>
      </c>
      <c r="W5580">
        <v>1</v>
      </c>
      <c r="X5580">
        <v>0</v>
      </c>
      <c r="Z5580">
        <v>20.66</v>
      </c>
      <c r="AA5580">
        <v>40.814553</v>
      </c>
      <c r="AB5580">
        <v>-73.952217</v>
      </c>
      <c r="AD5580" t="s">
        <v>10840</v>
      </c>
      <c r="AG5580" t="s">
        <v>10858</v>
      </c>
      <c r="AH5580" t="s">
        <v>10861</v>
      </c>
      <c r="AI5580">
        <v>234</v>
      </c>
      <c r="AJ5580" t="s">
        <v>10214</v>
      </c>
      <c r="AL5580">
        <v>3.5</v>
      </c>
      <c r="AQ5580" t="s">
        <v>11115</v>
      </c>
      <c r="AR5580" t="s">
        <v>11297</v>
      </c>
      <c r="AS5580" t="s">
        <v>9925</v>
      </c>
      <c r="AT5580" t="s">
        <v>11642</v>
      </c>
      <c r="AX5580" t="s">
        <v>10838</v>
      </c>
      <c r="BA5580" t="s">
        <v>11741</v>
      </c>
      <c r="BB5580">
        <v>0</v>
      </c>
      <c r="BC5580">
        <v>0</v>
      </c>
      <c r="BD5580">
        <v>0</v>
      </c>
      <c r="BE5580">
        <v>0</v>
      </c>
      <c r="BF5580">
        <v>1</v>
      </c>
      <c r="BG5580">
        <v>0</v>
      </c>
    </row>
    <row r="5581" spans="1:59">
      <c r="A5581" s="1">
        <f>HYPERLINK("https://lsnyc.legalserver.org/matter/dynamic-profile/view/1909850","19-1909850")</f>
        <v>0</v>
      </c>
      <c r="B5581" t="s">
        <v>4392</v>
      </c>
      <c r="C5581" t="s">
        <v>9247</v>
      </c>
      <c r="D5581" t="s">
        <v>9928</v>
      </c>
      <c r="E5581" t="s">
        <v>10075</v>
      </c>
      <c r="F5581">
        <v>11203</v>
      </c>
      <c r="G5581" t="s">
        <v>10093</v>
      </c>
      <c r="H5581" t="s">
        <v>10166</v>
      </c>
      <c r="I5581" t="s">
        <v>10168</v>
      </c>
      <c r="J5581" t="s">
        <v>10213</v>
      </c>
      <c r="K5581" t="s">
        <v>10217</v>
      </c>
      <c r="M5581" t="s">
        <v>10435</v>
      </c>
      <c r="N5581" t="s">
        <v>10671</v>
      </c>
      <c r="P5581" t="s">
        <v>10750</v>
      </c>
      <c r="Q5581" t="s">
        <v>10799</v>
      </c>
      <c r="R5581" t="s">
        <v>10824</v>
      </c>
      <c r="T5581">
        <v>0</v>
      </c>
      <c r="U5581">
        <v>0</v>
      </c>
      <c r="V5581">
        <v>24</v>
      </c>
      <c r="W5581">
        <v>1</v>
      </c>
      <c r="X5581">
        <v>0</v>
      </c>
      <c r="Z5581">
        <v>0</v>
      </c>
      <c r="AA5581">
        <v>40.650209</v>
      </c>
      <c r="AB5581">
        <v>-73.931366</v>
      </c>
      <c r="AD5581" t="s">
        <v>10839</v>
      </c>
      <c r="AG5581" t="s">
        <v>10858</v>
      </c>
      <c r="AH5581" t="s">
        <v>10871</v>
      </c>
      <c r="AI5581">
        <v>234</v>
      </c>
      <c r="AJ5581" t="s">
        <v>10214</v>
      </c>
      <c r="AL5581">
        <v>1.76</v>
      </c>
      <c r="AM5581" t="s">
        <v>10888</v>
      </c>
      <c r="AN5581" t="s">
        <v>10925</v>
      </c>
      <c r="AO5581" t="s">
        <v>11008</v>
      </c>
      <c r="AP5581" t="s">
        <v>11065</v>
      </c>
      <c r="AR5581" t="s">
        <v>11267</v>
      </c>
      <c r="AS5581" t="s">
        <v>11595</v>
      </c>
      <c r="AT5581" t="s">
        <v>11641</v>
      </c>
      <c r="AX5581" t="s">
        <v>10838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</row>
    <row r="5582" spans="1:59">
      <c r="A5582" s="1">
        <f>HYPERLINK("https://lsnyc.legalserver.org/matter/dynamic-profile/view/1909851","19-1909851")</f>
        <v>0</v>
      </c>
      <c r="B5582" t="s">
        <v>1277</v>
      </c>
      <c r="C5582" t="s">
        <v>9248</v>
      </c>
      <c r="D5582" t="s">
        <v>9925</v>
      </c>
      <c r="E5582" t="s">
        <v>10075</v>
      </c>
      <c r="F5582">
        <v>10030</v>
      </c>
      <c r="G5582" t="s">
        <v>10089</v>
      </c>
      <c r="H5582" t="s">
        <v>10166</v>
      </c>
      <c r="I5582" t="s">
        <v>10168</v>
      </c>
      <c r="J5582" t="s">
        <v>10209</v>
      </c>
      <c r="K5582" t="s">
        <v>10218</v>
      </c>
      <c r="L5582" t="s">
        <v>10101</v>
      </c>
      <c r="M5582" t="s">
        <v>10270</v>
      </c>
      <c r="N5582" t="s">
        <v>10691</v>
      </c>
      <c r="P5582" t="s">
        <v>10754</v>
      </c>
      <c r="Q5582" t="s">
        <v>10770</v>
      </c>
      <c r="R5582" t="s">
        <v>10825</v>
      </c>
      <c r="T5582">
        <v>10296</v>
      </c>
      <c r="U5582">
        <v>858</v>
      </c>
      <c r="V5582">
        <v>40</v>
      </c>
      <c r="W5582">
        <v>3</v>
      </c>
      <c r="X5582">
        <v>1</v>
      </c>
      <c r="Y5582" t="s">
        <v>10829</v>
      </c>
      <c r="Z5582">
        <v>39.98</v>
      </c>
      <c r="AA5582">
        <v>40.818227</v>
      </c>
      <c r="AB5582">
        <v>-73.939403</v>
      </c>
      <c r="AD5582" t="s">
        <v>10839</v>
      </c>
      <c r="AG5582" t="s">
        <v>10858</v>
      </c>
      <c r="AH5582" t="s">
        <v>10861</v>
      </c>
      <c r="AI5582">
        <v>234</v>
      </c>
      <c r="AJ5582" t="s">
        <v>10214</v>
      </c>
      <c r="AK5582" t="s">
        <v>10882</v>
      </c>
      <c r="AL5582">
        <v>1.66</v>
      </c>
      <c r="AM5582" t="s">
        <v>10887</v>
      </c>
      <c r="AN5582" t="s">
        <v>10936</v>
      </c>
      <c r="AO5582" t="s">
        <v>11016</v>
      </c>
      <c r="AP5582" t="s">
        <v>11076</v>
      </c>
      <c r="AQ5582" t="s">
        <v>11206</v>
      </c>
      <c r="AR5582" t="s">
        <v>11274</v>
      </c>
      <c r="AS5582" t="s">
        <v>9925</v>
      </c>
      <c r="AT5582" t="s">
        <v>11641</v>
      </c>
      <c r="AX5582" t="s">
        <v>10838</v>
      </c>
      <c r="AY5582" t="s">
        <v>10829</v>
      </c>
      <c r="AZ5582" t="s">
        <v>11683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</row>
    <row r="5583" spans="1:59">
      <c r="A5583" s="1">
        <f>HYPERLINK("https://lsnyc.legalserver.org/matter/dynamic-profile/view/1909852","19-1909852")</f>
        <v>0</v>
      </c>
      <c r="B5583" t="s">
        <v>4393</v>
      </c>
      <c r="C5583" t="s">
        <v>9249</v>
      </c>
      <c r="D5583" t="s">
        <v>9926</v>
      </c>
      <c r="E5583" t="s">
        <v>10075</v>
      </c>
      <c r="F5583">
        <v>10459</v>
      </c>
      <c r="G5583" t="s">
        <v>10090</v>
      </c>
      <c r="H5583" t="s">
        <v>10166</v>
      </c>
      <c r="I5583" t="s">
        <v>10168</v>
      </c>
      <c r="J5583" t="s">
        <v>10210</v>
      </c>
      <c r="K5583" t="s">
        <v>10217</v>
      </c>
      <c r="M5583" t="s">
        <v>10336</v>
      </c>
      <c r="N5583" t="s">
        <v>10671</v>
      </c>
      <c r="P5583" t="s">
        <v>10754</v>
      </c>
      <c r="Q5583" t="s">
        <v>10777</v>
      </c>
      <c r="R5583" t="s">
        <v>10824</v>
      </c>
      <c r="T5583">
        <v>20800</v>
      </c>
      <c r="U5583">
        <v>1733.33</v>
      </c>
      <c r="V5583">
        <v>27</v>
      </c>
      <c r="W5583">
        <v>2</v>
      </c>
      <c r="X5583">
        <v>0</v>
      </c>
      <c r="Z5583">
        <v>123</v>
      </c>
      <c r="AA5583">
        <v>40.820507</v>
      </c>
      <c r="AB5583">
        <v>-73.90038800000001</v>
      </c>
      <c r="AD5583" t="s">
        <v>10839</v>
      </c>
      <c r="AG5583" t="s">
        <v>10858</v>
      </c>
      <c r="AH5583" t="s">
        <v>10861</v>
      </c>
      <c r="AI5583">
        <v>234</v>
      </c>
      <c r="AJ5583" t="s">
        <v>10214</v>
      </c>
      <c r="AL5583">
        <v>0.95</v>
      </c>
      <c r="AM5583" t="s">
        <v>10884</v>
      </c>
      <c r="AN5583" t="s">
        <v>10918</v>
      </c>
      <c r="AO5583" t="s">
        <v>11001</v>
      </c>
      <c r="AP5583" t="s">
        <v>11062</v>
      </c>
      <c r="AR5583" t="s">
        <v>11257</v>
      </c>
      <c r="AS5583" t="s">
        <v>9926</v>
      </c>
      <c r="AT5583" t="s">
        <v>11641</v>
      </c>
      <c r="AX5583" t="s">
        <v>10838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</row>
    <row r="5584" spans="1:59">
      <c r="A5584" s="1">
        <f>HYPERLINK("https://lsnyc.legalserver.org/matter/dynamic-profile/view/1909853","19-1909853")</f>
        <v>0</v>
      </c>
      <c r="B5584" t="s">
        <v>273</v>
      </c>
      <c r="C5584" t="s">
        <v>5994</v>
      </c>
      <c r="D5584" t="s">
        <v>9928</v>
      </c>
      <c r="E5584" t="s">
        <v>10075</v>
      </c>
      <c r="F5584">
        <v>11249</v>
      </c>
      <c r="G5584" t="s">
        <v>10091</v>
      </c>
      <c r="H5584" t="s">
        <v>10166</v>
      </c>
      <c r="I5584" t="s">
        <v>10168</v>
      </c>
      <c r="J5584" t="s">
        <v>10211</v>
      </c>
      <c r="K5584" t="s">
        <v>10217</v>
      </c>
      <c r="M5584" t="s">
        <v>10307</v>
      </c>
      <c r="N5584" t="s">
        <v>10671</v>
      </c>
      <c r="P5584" t="s">
        <v>10752</v>
      </c>
      <c r="Q5584" t="s">
        <v>10762</v>
      </c>
      <c r="R5584" t="s">
        <v>10821</v>
      </c>
      <c r="T5584">
        <v>0</v>
      </c>
      <c r="U5584">
        <v>0</v>
      </c>
      <c r="V5584">
        <v>55</v>
      </c>
      <c r="W5584">
        <v>1</v>
      </c>
      <c r="X5584">
        <v>0</v>
      </c>
      <c r="Z5584">
        <v>0</v>
      </c>
      <c r="AA5584">
        <v>40.706177</v>
      </c>
      <c r="AB5584">
        <v>-73.966159</v>
      </c>
      <c r="AD5584" t="s">
        <v>10839</v>
      </c>
      <c r="AG5584" t="s">
        <v>10858</v>
      </c>
      <c r="AH5584" t="s">
        <v>10871</v>
      </c>
      <c r="AI5584">
        <v>234</v>
      </c>
      <c r="AJ5584" t="s">
        <v>10214</v>
      </c>
      <c r="AL5584">
        <v>1.1</v>
      </c>
      <c r="AM5584" t="s">
        <v>10886</v>
      </c>
      <c r="AN5584" t="s">
        <v>10939</v>
      </c>
      <c r="AO5584" t="s">
        <v>11011</v>
      </c>
      <c r="AP5584" t="s">
        <v>11054</v>
      </c>
      <c r="AR5584" t="s">
        <v>11267</v>
      </c>
      <c r="AS5584" t="s">
        <v>11595</v>
      </c>
      <c r="AT5584" t="s">
        <v>11641</v>
      </c>
      <c r="AX5584" t="s">
        <v>10838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</row>
    <row r="5585" spans="1:59">
      <c r="A5585" s="1">
        <f>HYPERLINK("https://lsnyc.legalserver.org/matter/dynamic-profile/view/1909855","19-1909855")</f>
        <v>0</v>
      </c>
      <c r="B5585" t="s">
        <v>4394</v>
      </c>
      <c r="C5585" t="s">
        <v>9250</v>
      </c>
      <c r="D5585" t="s">
        <v>9928</v>
      </c>
      <c r="E5585" t="s">
        <v>10075</v>
      </c>
      <c r="F5585">
        <v>11213</v>
      </c>
      <c r="G5585" t="s">
        <v>10093</v>
      </c>
      <c r="H5585" t="s">
        <v>10166</v>
      </c>
      <c r="I5585" t="s">
        <v>10168</v>
      </c>
      <c r="J5585" t="s">
        <v>10213</v>
      </c>
      <c r="K5585" t="s">
        <v>10217</v>
      </c>
      <c r="M5585" t="s">
        <v>10351</v>
      </c>
      <c r="N5585" t="s">
        <v>10657</v>
      </c>
      <c r="P5585" t="s">
        <v>10754</v>
      </c>
      <c r="Q5585" t="s">
        <v>10775</v>
      </c>
      <c r="R5585" t="s">
        <v>10824</v>
      </c>
      <c r="T5585">
        <v>39000</v>
      </c>
      <c r="U5585">
        <v>3250</v>
      </c>
      <c r="V5585">
        <v>45</v>
      </c>
      <c r="W5585">
        <v>1</v>
      </c>
      <c r="X5585">
        <v>1</v>
      </c>
      <c r="Z5585">
        <v>230.63</v>
      </c>
      <c r="AA5585">
        <v>40.671887</v>
      </c>
      <c r="AB5585">
        <v>-73.941378</v>
      </c>
      <c r="AD5585" t="s">
        <v>10839</v>
      </c>
      <c r="AF5585" t="s">
        <v>10843</v>
      </c>
      <c r="AG5585" t="s">
        <v>10859</v>
      </c>
      <c r="AH5585" t="s">
        <v>10862</v>
      </c>
      <c r="AI5585">
        <v>239</v>
      </c>
      <c r="AJ5585" t="s">
        <v>10213</v>
      </c>
      <c r="AL5585">
        <v>0.5</v>
      </c>
      <c r="AM5585" t="s">
        <v>10888</v>
      </c>
      <c r="AN5585" t="s">
        <v>10912</v>
      </c>
      <c r="AO5585" t="s">
        <v>11007</v>
      </c>
      <c r="AP5585" t="s">
        <v>11061</v>
      </c>
      <c r="AR5585" t="s">
        <v>11257</v>
      </c>
      <c r="AS5585" t="s">
        <v>11595</v>
      </c>
      <c r="AX5585" t="s">
        <v>10838</v>
      </c>
      <c r="BA5585" t="s">
        <v>11741</v>
      </c>
      <c r="BB5585">
        <v>0</v>
      </c>
      <c r="BC5585">
        <v>0</v>
      </c>
      <c r="BD5585">
        <v>0</v>
      </c>
      <c r="BE5585">
        <v>0</v>
      </c>
      <c r="BF5585">
        <v>1</v>
      </c>
      <c r="BG5585">
        <v>0</v>
      </c>
    </row>
    <row r="5586" spans="1:59">
      <c r="A5586" s="1">
        <f>HYPERLINK("https://lsnyc.legalserver.org/matter/dynamic-profile/view/1909856","19-1909856")</f>
        <v>0</v>
      </c>
      <c r="B5586" t="s">
        <v>1551</v>
      </c>
      <c r="C5586" t="s">
        <v>9251</v>
      </c>
      <c r="D5586" t="s">
        <v>9926</v>
      </c>
      <c r="E5586" t="s">
        <v>10075</v>
      </c>
      <c r="F5586">
        <v>10467</v>
      </c>
      <c r="G5586" t="s">
        <v>10090</v>
      </c>
      <c r="H5586" t="s">
        <v>10166</v>
      </c>
      <c r="I5586" t="s">
        <v>10168</v>
      </c>
      <c r="J5586" t="s">
        <v>10210</v>
      </c>
      <c r="K5586" t="s">
        <v>10217</v>
      </c>
      <c r="M5586" t="s">
        <v>10571</v>
      </c>
      <c r="N5586" t="s">
        <v>10651</v>
      </c>
      <c r="P5586" t="s">
        <v>10749</v>
      </c>
      <c r="Q5586" t="s">
        <v>10765</v>
      </c>
      <c r="R5586" t="s">
        <v>10823</v>
      </c>
      <c r="T5586">
        <v>24960</v>
      </c>
      <c r="U5586">
        <v>2080</v>
      </c>
      <c r="V5586">
        <v>56</v>
      </c>
      <c r="W5586">
        <v>1</v>
      </c>
      <c r="X5586">
        <v>1</v>
      </c>
      <c r="Z5586">
        <v>147.6</v>
      </c>
      <c r="AA5586">
        <v>40.876264</v>
      </c>
      <c r="AB5586">
        <v>-73.866302</v>
      </c>
      <c r="AD5586" t="s">
        <v>10840</v>
      </c>
      <c r="AG5586" t="s">
        <v>10858</v>
      </c>
      <c r="AH5586" t="s">
        <v>10861</v>
      </c>
      <c r="AI5586">
        <v>230</v>
      </c>
      <c r="AJ5586" t="s">
        <v>10210</v>
      </c>
      <c r="AL5586">
        <v>0</v>
      </c>
      <c r="AM5586" t="s">
        <v>10893</v>
      </c>
      <c r="AN5586" t="s">
        <v>10956</v>
      </c>
      <c r="AO5586" t="s">
        <v>11010</v>
      </c>
      <c r="AP5586" t="s">
        <v>11085</v>
      </c>
      <c r="AR5586" t="s">
        <v>11257</v>
      </c>
      <c r="AS5586" t="s">
        <v>9926</v>
      </c>
      <c r="AX5586" t="s">
        <v>10838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</row>
    <row r="5587" spans="1:59">
      <c r="A5587" s="1">
        <f>HYPERLINK("https://lsnyc.legalserver.org/matter/dynamic-profile/view/1909857","19-1909857")</f>
        <v>0</v>
      </c>
      <c r="C5587" t="s">
        <v>9252</v>
      </c>
      <c r="D5587" t="s">
        <v>9937</v>
      </c>
      <c r="E5587" t="s">
        <v>10075</v>
      </c>
      <c r="F5587">
        <v>11412</v>
      </c>
      <c r="G5587" t="s">
        <v>10092</v>
      </c>
      <c r="H5587" t="s">
        <v>10101</v>
      </c>
      <c r="J5587" t="s">
        <v>10212</v>
      </c>
      <c r="K5587" t="s">
        <v>10217</v>
      </c>
      <c r="M5587" t="s">
        <v>10530</v>
      </c>
      <c r="N5587" t="s">
        <v>10678</v>
      </c>
      <c r="P5587" t="s">
        <v>10749</v>
      </c>
      <c r="Q5587" t="s">
        <v>10806</v>
      </c>
      <c r="R5587" t="s">
        <v>10824</v>
      </c>
      <c r="T5587">
        <v>0</v>
      </c>
      <c r="U5587">
        <v>0</v>
      </c>
      <c r="V5587">
        <v>0</v>
      </c>
      <c r="W5587">
        <v>1</v>
      </c>
      <c r="X5587">
        <v>0</v>
      </c>
      <c r="Z5587">
        <v>0</v>
      </c>
      <c r="AA5587">
        <v>40.70776</v>
      </c>
      <c r="AB5587">
        <v>-73.75703</v>
      </c>
      <c r="AD5587" t="s">
        <v>10840</v>
      </c>
      <c r="AG5587" t="s">
        <v>10858</v>
      </c>
      <c r="AH5587" t="s">
        <v>10860</v>
      </c>
      <c r="AI5587">
        <v>237</v>
      </c>
      <c r="AJ5587" t="s">
        <v>10212</v>
      </c>
      <c r="AL5587">
        <v>3</v>
      </c>
      <c r="AM5587" t="s">
        <v>10892</v>
      </c>
      <c r="AN5587" t="s">
        <v>10940</v>
      </c>
      <c r="AO5587" t="s">
        <v>11020</v>
      </c>
      <c r="AP5587" t="s">
        <v>11075</v>
      </c>
      <c r="AR5587" t="s">
        <v>11266</v>
      </c>
      <c r="AS5587" t="s">
        <v>11594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</row>
    <row r="5588" spans="1:59">
      <c r="A5588" s="1">
        <f>HYPERLINK("https://lsnyc.legalserver.org/matter/dynamic-profile/view/1909858","19-1909858")</f>
        <v>0</v>
      </c>
      <c r="B5588" t="s">
        <v>4395</v>
      </c>
      <c r="C5588" t="s">
        <v>9253</v>
      </c>
      <c r="D5588" t="s">
        <v>9928</v>
      </c>
      <c r="E5588" t="s">
        <v>10075</v>
      </c>
      <c r="F5588">
        <v>11216</v>
      </c>
      <c r="G5588" t="s">
        <v>10093</v>
      </c>
      <c r="H5588" t="s">
        <v>10166</v>
      </c>
      <c r="I5588" t="s">
        <v>10168</v>
      </c>
      <c r="J5588" t="s">
        <v>10213</v>
      </c>
      <c r="K5588" t="s">
        <v>10218</v>
      </c>
      <c r="L5588" t="s">
        <v>10221</v>
      </c>
      <c r="M5588" t="s">
        <v>10317</v>
      </c>
      <c r="N5588" t="s">
        <v>10671</v>
      </c>
      <c r="P5588" t="s">
        <v>10751</v>
      </c>
      <c r="Q5588" t="s">
        <v>10761</v>
      </c>
      <c r="R5588" t="s">
        <v>10822</v>
      </c>
      <c r="T5588">
        <v>13000</v>
      </c>
      <c r="U5588">
        <v>1083.33</v>
      </c>
      <c r="V5588">
        <v>47</v>
      </c>
      <c r="W5588">
        <v>1</v>
      </c>
      <c r="X5588">
        <v>0</v>
      </c>
      <c r="Y5588" t="s">
        <v>10829</v>
      </c>
      <c r="Z5588">
        <v>104.08</v>
      </c>
      <c r="AA5588">
        <v>40.676411</v>
      </c>
      <c r="AB5588">
        <v>-73.95237</v>
      </c>
      <c r="AD5588" t="s">
        <v>10839</v>
      </c>
      <c r="AG5588" t="s">
        <v>10858</v>
      </c>
      <c r="AH5588" t="s">
        <v>10861</v>
      </c>
      <c r="AI5588">
        <v>234</v>
      </c>
      <c r="AJ5588" t="s">
        <v>10214</v>
      </c>
      <c r="AK5588" t="s">
        <v>10838</v>
      </c>
      <c r="AL5588">
        <v>3.75</v>
      </c>
      <c r="AM5588" t="s">
        <v>10888</v>
      </c>
      <c r="AN5588" t="s">
        <v>10923</v>
      </c>
      <c r="AO5588" t="s">
        <v>11007</v>
      </c>
      <c r="AP5588" t="s">
        <v>11052</v>
      </c>
      <c r="AR5588" t="s">
        <v>11257</v>
      </c>
      <c r="AS5588" t="s">
        <v>11595</v>
      </c>
      <c r="AT5588" t="s">
        <v>11641</v>
      </c>
      <c r="AX5588" t="s">
        <v>11678</v>
      </c>
      <c r="AY5588" t="s">
        <v>10829</v>
      </c>
      <c r="AZ5588" t="s">
        <v>11682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</row>
    <row r="5589" spans="1:59">
      <c r="A5589" s="1">
        <f>HYPERLINK("https://lsnyc.legalserver.org/matter/dynamic-profile/view/1909860","19-1909860")</f>
        <v>0</v>
      </c>
      <c r="B5589" t="s">
        <v>4055</v>
      </c>
      <c r="C5589" t="s">
        <v>8879</v>
      </c>
      <c r="D5589" t="s">
        <v>9926</v>
      </c>
      <c r="E5589" t="s">
        <v>10075</v>
      </c>
      <c r="F5589">
        <v>10451</v>
      </c>
      <c r="G5589" t="s">
        <v>10090</v>
      </c>
      <c r="H5589" t="s">
        <v>10166</v>
      </c>
      <c r="I5589" t="s">
        <v>10168</v>
      </c>
      <c r="J5589" t="s">
        <v>10210</v>
      </c>
      <c r="K5589" t="s">
        <v>10217</v>
      </c>
      <c r="M5589" t="s">
        <v>10596</v>
      </c>
      <c r="N5589" t="s">
        <v>10682</v>
      </c>
      <c r="P5589" t="s">
        <v>10751</v>
      </c>
      <c r="Q5589" t="s">
        <v>10761</v>
      </c>
      <c r="R5589" t="s">
        <v>10825</v>
      </c>
      <c r="T5589">
        <v>20540</v>
      </c>
      <c r="U5589">
        <v>1711.67</v>
      </c>
      <c r="V5589">
        <v>48</v>
      </c>
      <c r="W5589">
        <v>3</v>
      </c>
      <c r="X5589">
        <v>1</v>
      </c>
      <c r="Z5589">
        <v>79.77</v>
      </c>
      <c r="AA5589">
        <v>40.812323</v>
      </c>
      <c r="AB5589">
        <v>-73.925218</v>
      </c>
      <c r="AC5589" t="s">
        <v>10838</v>
      </c>
      <c r="AD5589" t="s">
        <v>10839</v>
      </c>
      <c r="AG5589" t="s">
        <v>10858</v>
      </c>
      <c r="AH5589" t="s">
        <v>10874</v>
      </c>
      <c r="AI5589">
        <v>230</v>
      </c>
      <c r="AJ5589" t="s">
        <v>10210</v>
      </c>
      <c r="AL5589">
        <v>3.4</v>
      </c>
      <c r="AM5589" t="s">
        <v>10884</v>
      </c>
      <c r="AN5589" t="s">
        <v>10924</v>
      </c>
      <c r="AO5589" t="s">
        <v>11013</v>
      </c>
      <c r="AP5589" t="s">
        <v>11066</v>
      </c>
      <c r="AR5589" t="s">
        <v>11317</v>
      </c>
      <c r="AS5589" t="s">
        <v>9926</v>
      </c>
      <c r="AT5589" t="s">
        <v>11641</v>
      </c>
      <c r="AX5589" t="s">
        <v>10838</v>
      </c>
      <c r="BA5589" t="s">
        <v>11742</v>
      </c>
      <c r="BB5589">
        <v>0</v>
      </c>
      <c r="BC5589">
        <v>0</v>
      </c>
      <c r="BD5589">
        <v>0</v>
      </c>
      <c r="BE5589">
        <v>0</v>
      </c>
      <c r="BF5589">
        <v>7</v>
      </c>
      <c r="BG5589">
        <v>0</v>
      </c>
    </row>
    <row r="5590" spans="1:59">
      <c r="A5590" s="1">
        <f>HYPERLINK("https://lsnyc.legalserver.org/matter/dynamic-profile/view/1909861","19-1909861")</f>
        <v>0</v>
      </c>
      <c r="B5590" t="s">
        <v>4396</v>
      </c>
      <c r="C5590" t="s">
        <v>9254</v>
      </c>
      <c r="D5590" t="s">
        <v>9925</v>
      </c>
      <c r="E5590" t="s">
        <v>10075</v>
      </c>
      <c r="F5590">
        <v>10036</v>
      </c>
      <c r="G5590" t="s">
        <v>10089</v>
      </c>
      <c r="H5590" t="s">
        <v>10166</v>
      </c>
      <c r="I5590" t="s">
        <v>10168</v>
      </c>
      <c r="J5590" t="s">
        <v>10209</v>
      </c>
      <c r="K5590" t="s">
        <v>10217</v>
      </c>
      <c r="M5590" t="s">
        <v>10472</v>
      </c>
      <c r="N5590" t="s">
        <v>10691</v>
      </c>
      <c r="P5590" t="s">
        <v>10751</v>
      </c>
      <c r="Q5590" t="s">
        <v>10761</v>
      </c>
      <c r="R5590" t="s">
        <v>10822</v>
      </c>
      <c r="T5590">
        <v>8244</v>
      </c>
      <c r="U5590">
        <v>687</v>
      </c>
      <c r="V5590">
        <v>63</v>
      </c>
      <c r="W5590">
        <v>1</v>
      </c>
      <c r="X5590">
        <v>0</v>
      </c>
      <c r="Z5590">
        <v>66</v>
      </c>
      <c r="AA5590">
        <v>40.756173</v>
      </c>
      <c r="AB5590">
        <v>-73.98456899999999</v>
      </c>
      <c r="AD5590" t="s">
        <v>10839</v>
      </c>
      <c r="AG5590" t="s">
        <v>10858</v>
      </c>
      <c r="AH5590" t="s">
        <v>10861</v>
      </c>
      <c r="AI5590">
        <v>234</v>
      </c>
      <c r="AJ5590" t="s">
        <v>10214</v>
      </c>
      <c r="AL5590">
        <v>1</v>
      </c>
      <c r="AM5590" t="s">
        <v>10891</v>
      </c>
      <c r="AN5590" t="s">
        <v>10966</v>
      </c>
      <c r="AO5590" t="s">
        <v>11021</v>
      </c>
      <c r="AP5590" t="s">
        <v>11091</v>
      </c>
      <c r="AR5590" t="s">
        <v>11300</v>
      </c>
      <c r="AS5590" t="s">
        <v>9925</v>
      </c>
      <c r="AT5590" t="s">
        <v>11641</v>
      </c>
      <c r="AX5590" t="s">
        <v>10838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</row>
    <row r="5591" spans="1:59">
      <c r="A5591" s="1">
        <f>HYPERLINK("https://lsnyc.legalserver.org/matter/dynamic-profile/view/1909862","19-1909862")</f>
        <v>0</v>
      </c>
      <c r="B5591" t="s">
        <v>4397</v>
      </c>
      <c r="C5591" t="s">
        <v>9255</v>
      </c>
      <c r="D5591" t="s">
        <v>9926</v>
      </c>
      <c r="E5591" t="s">
        <v>10075</v>
      </c>
      <c r="F5591">
        <v>10460</v>
      </c>
      <c r="G5591" t="s">
        <v>10090</v>
      </c>
      <c r="H5591" t="s">
        <v>10166</v>
      </c>
      <c r="I5591" t="s">
        <v>10168</v>
      </c>
      <c r="J5591" t="s">
        <v>10210</v>
      </c>
      <c r="K5591" t="s">
        <v>10217</v>
      </c>
      <c r="M5591" t="s">
        <v>10375</v>
      </c>
      <c r="N5591" t="s">
        <v>10705</v>
      </c>
      <c r="P5591" t="s">
        <v>10751</v>
      </c>
      <c r="Q5591" t="s">
        <v>10786</v>
      </c>
      <c r="R5591" t="s">
        <v>10825</v>
      </c>
      <c r="T5591">
        <v>9252</v>
      </c>
      <c r="U5591">
        <v>771</v>
      </c>
      <c r="V5591">
        <v>39</v>
      </c>
      <c r="W5591">
        <v>1</v>
      </c>
      <c r="X5591">
        <v>1</v>
      </c>
      <c r="Z5591">
        <v>54.71</v>
      </c>
      <c r="AA5591">
        <v>40.838196</v>
      </c>
      <c r="AB5591">
        <v>-73.86429200000001</v>
      </c>
      <c r="AD5591" t="s">
        <v>10840</v>
      </c>
      <c r="AG5591" t="s">
        <v>10858</v>
      </c>
      <c r="AH5591" t="s">
        <v>10874</v>
      </c>
      <c r="AI5591">
        <v>230</v>
      </c>
      <c r="AJ5591" t="s">
        <v>10210</v>
      </c>
      <c r="AL5591">
        <v>0.3</v>
      </c>
      <c r="AM5591" t="s">
        <v>10884</v>
      </c>
      <c r="AN5591" t="s">
        <v>10908</v>
      </c>
      <c r="AO5591" t="s">
        <v>11001</v>
      </c>
      <c r="AP5591" t="s">
        <v>11046</v>
      </c>
      <c r="AQ5591" t="s">
        <v>11134</v>
      </c>
      <c r="AR5591" t="s">
        <v>11570</v>
      </c>
      <c r="AS5591" t="s">
        <v>9926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</row>
    <row r="5592" spans="1:59">
      <c r="A5592" s="1">
        <f>HYPERLINK("https://lsnyc.legalserver.org/matter/dynamic-profile/view/1909863","19-1909863")</f>
        <v>0</v>
      </c>
      <c r="B5592" t="s">
        <v>1263</v>
      </c>
      <c r="C5592" t="s">
        <v>9256</v>
      </c>
      <c r="D5592" t="s">
        <v>9936</v>
      </c>
      <c r="E5592" t="s">
        <v>10075</v>
      </c>
      <c r="F5592">
        <v>11102</v>
      </c>
      <c r="G5592" t="s">
        <v>10092</v>
      </c>
      <c r="H5592" t="s">
        <v>10166</v>
      </c>
      <c r="I5592" t="s">
        <v>10168</v>
      </c>
      <c r="J5592" t="s">
        <v>10212</v>
      </c>
      <c r="K5592" t="s">
        <v>10217</v>
      </c>
      <c r="M5592" t="s">
        <v>10408</v>
      </c>
      <c r="N5592" t="s">
        <v>10695</v>
      </c>
      <c r="P5592" t="s">
        <v>10749</v>
      </c>
      <c r="Q5592" t="s">
        <v>10765</v>
      </c>
      <c r="R5592" t="s">
        <v>10821</v>
      </c>
      <c r="T5592">
        <v>16608</v>
      </c>
      <c r="U5592">
        <v>1384</v>
      </c>
      <c r="V5592">
        <v>72</v>
      </c>
      <c r="W5592">
        <v>4</v>
      </c>
      <c r="X5592">
        <v>2</v>
      </c>
      <c r="Z5592">
        <v>48.01</v>
      </c>
      <c r="AA5592">
        <v>40.773308</v>
      </c>
      <c r="AB5592">
        <v>-73.935585</v>
      </c>
      <c r="AD5592" t="s">
        <v>10839</v>
      </c>
      <c r="AG5592" t="s">
        <v>10858</v>
      </c>
      <c r="AH5592" t="s">
        <v>10862</v>
      </c>
      <c r="AI5592">
        <v>237</v>
      </c>
      <c r="AJ5592" t="s">
        <v>10212</v>
      </c>
      <c r="AL5592">
        <v>3</v>
      </c>
      <c r="AM5592" t="s">
        <v>10891</v>
      </c>
      <c r="AN5592" t="s">
        <v>10961</v>
      </c>
      <c r="AO5592" t="s">
        <v>11003</v>
      </c>
      <c r="AP5592" t="s">
        <v>11084</v>
      </c>
      <c r="AR5592" t="s">
        <v>11270</v>
      </c>
      <c r="AS5592" t="s">
        <v>11594</v>
      </c>
      <c r="BA5592" t="s">
        <v>11737</v>
      </c>
      <c r="BB5592">
        <v>0</v>
      </c>
      <c r="BC5592">
        <v>0</v>
      </c>
      <c r="BD5592">
        <v>0</v>
      </c>
      <c r="BE5592">
        <v>0</v>
      </c>
      <c r="BF5592">
        <v>3</v>
      </c>
      <c r="BG5592">
        <v>0</v>
      </c>
    </row>
    <row r="5593" spans="1:59">
      <c r="A5593" s="1">
        <f>HYPERLINK("https://lsnyc.legalserver.org/matter/dynamic-profile/view/1909864","19-1909864")</f>
        <v>0</v>
      </c>
      <c r="B5593" t="s">
        <v>4398</v>
      </c>
      <c r="C5593" t="s">
        <v>9257</v>
      </c>
      <c r="D5593" t="s">
        <v>9925</v>
      </c>
      <c r="E5593" t="s">
        <v>10075</v>
      </c>
      <c r="F5593">
        <v>10037</v>
      </c>
      <c r="G5593" t="s">
        <v>10089</v>
      </c>
      <c r="H5593" t="s">
        <v>10166</v>
      </c>
      <c r="I5593" t="s">
        <v>10168</v>
      </c>
      <c r="J5593" t="s">
        <v>10209</v>
      </c>
      <c r="K5593" t="s">
        <v>10217</v>
      </c>
      <c r="M5593" t="s">
        <v>10332</v>
      </c>
      <c r="N5593" t="s">
        <v>10671</v>
      </c>
      <c r="P5593" t="s">
        <v>10749</v>
      </c>
      <c r="Q5593" t="s">
        <v>10765</v>
      </c>
      <c r="R5593" t="s">
        <v>10824</v>
      </c>
      <c r="T5593">
        <v>10320</v>
      </c>
      <c r="U5593">
        <v>860</v>
      </c>
      <c r="V5593">
        <v>63</v>
      </c>
      <c r="W5593">
        <v>1</v>
      </c>
      <c r="X5593">
        <v>0</v>
      </c>
      <c r="Z5593">
        <v>82.63</v>
      </c>
      <c r="AA5593">
        <v>40.81593</v>
      </c>
      <c r="AB5593">
        <v>-73.936395</v>
      </c>
      <c r="AC5593" t="s">
        <v>10837</v>
      </c>
      <c r="AD5593" t="s">
        <v>10840</v>
      </c>
      <c r="AG5593" t="s">
        <v>10858</v>
      </c>
      <c r="AH5593" t="s">
        <v>10871</v>
      </c>
      <c r="AI5593">
        <v>234</v>
      </c>
      <c r="AJ5593" t="s">
        <v>10214</v>
      </c>
      <c r="AL5593">
        <v>1</v>
      </c>
      <c r="AM5593" t="s">
        <v>10887</v>
      </c>
      <c r="AN5593" t="s">
        <v>10936</v>
      </c>
      <c r="AO5593" t="s">
        <v>11016</v>
      </c>
      <c r="AP5593" t="s">
        <v>11076</v>
      </c>
      <c r="AR5593" t="s">
        <v>11369</v>
      </c>
      <c r="AS5593" t="s">
        <v>9925</v>
      </c>
      <c r="AT5593" t="s">
        <v>11642</v>
      </c>
      <c r="AX5593" t="s">
        <v>10838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</row>
    <row r="5594" spans="1:59">
      <c r="A5594" s="1">
        <f>HYPERLINK("https://lsnyc.legalserver.org/matter/dynamic-profile/view/1909865","19-1909865")</f>
        <v>0</v>
      </c>
      <c r="B5594" t="s">
        <v>4399</v>
      </c>
      <c r="C5594" t="s">
        <v>7766</v>
      </c>
      <c r="D5594" t="s">
        <v>9928</v>
      </c>
      <c r="E5594" t="s">
        <v>10075</v>
      </c>
      <c r="F5594">
        <v>11212</v>
      </c>
      <c r="G5594" t="s">
        <v>10089</v>
      </c>
      <c r="H5594" t="s">
        <v>10099</v>
      </c>
      <c r="I5594" t="s">
        <v>10168</v>
      </c>
      <c r="J5594" t="s">
        <v>10209</v>
      </c>
      <c r="K5594" t="s">
        <v>10217</v>
      </c>
      <c r="M5594" t="s">
        <v>10233</v>
      </c>
      <c r="N5594" t="s">
        <v>10646</v>
      </c>
      <c r="P5594" t="s">
        <v>10756</v>
      </c>
      <c r="Q5594" t="s">
        <v>10792</v>
      </c>
      <c r="R5594" t="s">
        <v>10820</v>
      </c>
      <c r="T5594">
        <v>42360</v>
      </c>
      <c r="U5594">
        <v>3530</v>
      </c>
      <c r="V5594">
        <v>53</v>
      </c>
      <c r="W5594">
        <v>2</v>
      </c>
      <c r="X5594">
        <v>0</v>
      </c>
      <c r="Z5594">
        <v>250.5</v>
      </c>
      <c r="AA5594">
        <v>40.665272</v>
      </c>
      <c r="AB5594">
        <v>-73.904843</v>
      </c>
      <c r="AD5594" t="s">
        <v>10839</v>
      </c>
      <c r="AG5594" t="s">
        <v>10858</v>
      </c>
      <c r="AH5594" t="s">
        <v>10864</v>
      </c>
      <c r="AI5594">
        <v>236</v>
      </c>
      <c r="AJ5594" t="s">
        <v>10209</v>
      </c>
      <c r="AL5594">
        <v>1.25</v>
      </c>
      <c r="AM5594" t="s">
        <v>10888</v>
      </c>
      <c r="AN5594" t="s">
        <v>10922</v>
      </c>
      <c r="AO5594" t="s">
        <v>11005</v>
      </c>
      <c r="AP5594" t="s">
        <v>11064</v>
      </c>
      <c r="AR5594" t="s">
        <v>11257</v>
      </c>
      <c r="AS5594" t="s">
        <v>11595</v>
      </c>
      <c r="BA5594" t="s">
        <v>11740</v>
      </c>
      <c r="BB5594">
        <v>0</v>
      </c>
      <c r="BC5594">
        <v>0</v>
      </c>
      <c r="BD5594">
        <v>0</v>
      </c>
      <c r="BE5594">
        <v>0</v>
      </c>
      <c r="BF5594">
        <v>2</v>
      </c>
      <c r="BG5594">
        <v>0</v>
      </c>
    </row>
    <row r="5595" spans="1:59">
      <c r="A5595" s="1">
        <f>HYPERLINK("https://lsnyc.legalserver.org/matter/dynamic-profile/view/1909866","19-1909866")</f>
        <v>0</v>
      </c>
      <c r="B5595" t="s">
        <v>4400</v>
      </c>
      <c r="C5595" t="s">
        <v>9258</v>
      </c>
      <c r="D5595" t="s">
        <v>9928</v>
      </c>
      <c r="E5595" t="s">
        <v>10075</v>
      </c>
      <c r="F5595">
        <v>11221</v>
      </c>
      <c r="G5595" t="s">
        <v>10093</v>
      </c>
      <c r="H5595" t="s">
        <v>10166</v>
      </c>
      <c r="I5595" t="s">
        <v>10168</v>
      </c>
      <c r="J5595" t="s">
        <v>10213</v>
      </c>
      <c r="K5595" t="s">
        <v>10217</v>
      </c>
      <c r="M5595" t="s">
        <v>10414</v>
      </c>
      <c r="N5595" t="s">
        <v>10671</v>
      </c>
      <c r="P5595" t="s">
        <v>10749</v>
      </c>
      <c r="Q5595" t="s">
        <v>10765</v>
      </c>
      <c r="R5595" t="s">
        <v>10825</v>
      </c>
      <c r="T5595">
        <v>6360</v>
      </c>
      <c r="U5595">
        <v>530</v>
      </c>
      <c r="V5595">
        <v>66</v>
      </c>
      <c r="W5595">
        <v>1</v>
      </c>
      <c r="X5595">
        <v>0</v>
      </c>
      <c r="Z5595">
        <v>50.92</v>
      </c>
      <c r="AA5595">
        <v>40.694905</v>
      </c>
      <c r="AB5595">
        <v>-73.93020199999999</v>
      </c>
      <c r="AC5595" t="s">
        <v>10837</v>
      </c>
      <c r="AD5595" t="s">
        <v>10840</v>
      </c>
      <c r="AG5595" t="s">
        <v>10858</v>
      </c>
      <c r="AH5595" t="s">
        <v>10861</v>
      </c>
      <c r="AI5595">
        <v>234</v>
      </c>
      <c r="AJ5595" t="s">
        <v>10214</v>
      </c>
      <c r="AL5595">
        <v>5</v>
      </c>
      <c r="AM5595" t="s">
        <v>10886</v>
      </c>
      <c r="AN5595" t="s">
        <v>10920</v>
      </c>
      <c r="AO5595" t="s">
        <v>11011</v>
      </c>
      <c r="AP5595" t="s">
        <v>11071</v>
      </c>
      <c r="AR5595" t="s">
        <v>11300</v>
      </c>
      <c r="AS5595" t="s">
        <v>11595</v>
      </c>
      <c r="AT5595" t="s">
        <v>11642</v>
      </c>
      <c r="AX5595" t="s">
        <v>10838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</row>
    <row r="5596" spans="1:59">
      <c r="A5596" s="1">
        <f>HYPERLINK("https://lsnyc.legalserver.org/matter/dynamic-profile/view/1909867","19-1909867")</f>
        <v>0</v>
      </c>
      <c r="B5596" t="s">
        <v>3755</v>
      </c>
      <c r="C5596" t="s">
        <v>8577</v>
      </c>
      <c r="D5596" t="s">
        <v>9926</v>
      </c>
      <c r="E5596" t="s">
        <v>10075</v>
      </c>
      <c r="F5596">
        <v>10456</v>
      </c>
      <c r="G5596" t="s">
        <v>10090</v>
      </c>
      <c r="H5596" t="s">
        <v>10166</v>
      </c>
      <c r="I5596" t="s">
        <v>10168</v>
      </c>
      <c r="J5596" t="s">
        <v>10210</v>
      </c>
      <c r="K5596" t="s">
        <v>10217</v>
      </c>
      <c r="M5596" t="s">
        <v>10546</v>
      </c>
      <c r="N5596" t="s">
        <v>10671</v>
      </c>
      <c r="P5596" t="s">
        <v>10751</v>
      </c>
      <c r="Q5596" t="s">
        <v>10761</v>
      </c>
      <c r="R5596" t="s">
        <v>10824</v>
      </c>
      <c r="T5596">
        <v>20136</v>
      </c>
      <c r="U5596">
        <v>1678</v>
      </c>
      <c r="V5596">
        <v>72</v>
      </c>
      <c r="W5596">
        <v>1</v>
      </c>
      <c r="X5596">
        <v>0</v>
      </c>
      <c r="Z5596">
        <v>161.22</v>
      </c>
      <c r="AA5596">
        <v>40.832201</v>
      </c>
      <c r="AB5596">
        <v>-73.912959</v>
      </c>
      <c r="AC5596" t="s">
        <v>10837</v>
      </c>
      <c r="AD5596" t="s">
        <v>10840</v>
      </c>
      <c r="AG5596" t="s">
        <v>10858</v>
      </c>
      <c r="AH5596" t="s">
        <v>10862</v>
      </c>
      <c r="AI5596">
        <v>230</v>
      </c>
      <c r="AJ5596" t="s">
        <v>10210</v>
      </c>
      <c r="AL5596">
        <v>0</v>
      </c>
      <c r="AM5596" t="s">
        <v>10884</v>
      </c>
      <c r="AN5596" t="s">
        <v>10929</v>
      </c>
      <c r="AO5596" t="s">
        <v>11001</v>
      </c>
      <c r="AP5596" t="s">
        <v>11055</v>
      </c>
      <c r="AR5596" t="s">
        <v>11303</v>
      </c>
      <c r="AS5596" t="s">
        <v>9926</v>
      </c>
      <c r="AT5596" t="s">
        <v>11642</v>
      </c>
      <c r="AX5596" t="s">
        <v>10838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</row>
    <row r="5597" spans="1:59">
      <c r="A5597" s="1">
        <f>HYPERLINK("https://lsnyc.legalserver.org/matter/dynamic-profile/view/1909868","19-1909868")</f>
        <v>0</v>
      </c>
      <c r="B5597" t="s">
        <v>1298</v>
      </c>
      <c r="C5597" t="s">
        <v>8261</v>
      </c>
      <c r="D5597" t="s">
        <v>9925</v>
      </c>
      <c r="E5597" t="s">
        <v>10075</v>
      </c>
      <c r="F5597">
        <v>10010</v>
      </c>
      <c r="G5597" t="s">
        <v>10089</v>
      </c>
      <c r="H5597" t="s">
        <v>10166</v>
      </c>
      <c r="I5597" t="s">
        <v>10168</v>
      </c>
      <c r="J5597" t="s">
        <v>10209</v>
      </c>
      <c r="K5597" t="s">
        <v>10217</v>
      </c>
      <c r="M5597" t="s">
        <v>10529</v>
      </c>
      <c r="N5597" t="s">
        <v>10671</v>
      </c>
      <c r="P5597" t="s">
        <v>10754</v>
      </c>
      <c r="Q5597" t="s">
        <v>10782</v>
      </c>
      <c r="R5597" t="s">
        <v>10823</v>
      </c>
      <c r="T5597">
        <v>4440</v>
      </c>
      <c r="U5597">
        <v>370</v>
      </c>
      <c r="V5597">
        <v>60</v>
      </c>
      <c r="W5597">
        <v>1</v>
      </c>
      <c r="X5597">
        <v>0</v>
      </c>
      <c r="Z5597">
        <v>35.55</v>
      </c>
      <c r="AA5597">
        <v>40.739461</v>
      </c>
      <c r="AB5597">
        <v>-73.984059</v>
      </c>
      <c r="AC5597" t="s">
        <v>10837</v>
      </c>
      <c r="AD5597" t="s">
        <v>10840</v>
      </c>
      <c r="AG5597" t="s">
        <v>10858</v>
      </c>
      <c r="AH5597" t="s">
        <v>10861</v>
      </c>
      <c r="AI5597">
        <v>234</v>
      </c>
      <c r="AJ5597" t="s">
        <v>10214</v>
      </c>
      <c r="AL5597">
        <v>0.6</v>
      </c>
      <c r="AM5597" t="s">
        <v>10891</v>
      </c>
      <c r="AN5597" t="s">
        <v>10966</v>
      </c>
      <c r="AO5597" t="s">
        <v>11026</v>
      </c>
      <c r="AP5597" t="s">
        <v>11048</v>
      </c>
      <c r="AQ5597" t="s">
        <v>11170</v>
      </c>
      <c r="AR5597" t="s">
        <v>11255</v>
      </c>
      <c r="AS5597" t="s">
        <v>9925</v>
      </c>
      <c r="AT5597" t="s">
        <v>11642</v>
      </c>
      <c r="AX5597" t="s">
        <v>10838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</row>
    <row r="5598" spans="1:59">
      <c r="A5598" s="1">
        <f>HYPERLINK("https://lsnyc.legalserver.org/matter/dynamic-profile/view/1909869","19-1909869")</f>
        <v>0</v>
      </c>
      <c r="B5598" t="s">
        <v>4401</v>
      </c>
      <c r="C5598" t="s">
        <v>9259</v>
      </c>
      <c r="D5598" t="s">
        <v>9926</v>
      </c>
      <c r="E5598" t="s">
        <v>10075</v>
      </c>
      <c r="F5598">
        <v>10455</v>
      </c>
      <c r="G5598" t="s">
        <v>10091</v>
      </c>
      <c r="H5598" t="s">
        <v>10166</v>
      </c>
      <c r="I5598" t="s">
        <v>10169</v>
      </c>
      <c r="J5598" t="s">
        <v>10214</v>
      </c>
      <c r="K5598" t="s">
        <v>10217</v>
      </c>
      <c r="M5598" t="s">
        <v>10286</v>
      </c>
      <c r="N5598" t="s">
        <v>10671</v>
      </c>
      <c r="P5598" t="s">
        <v>10752</v>
      </c>
      <c r="Q5598" t="s">
        <v>10762</v>
      </c>
      <c r="R5598" t="s">
        <v>10821</v>
      </c>
      <c r="T5598">
        <v>10536</v>
      </c>
      <c r="U5598">
        <v>878</v>
      </c>
      <c r="V5598">
        <v>83</v>
      </c>
      <c r="W5598">
        <v>1</v>
      </c>
      <c r="X5598">
        <v>0</v>
      </c>
      <c r="Z5598">
        <v>84.36</v>
      </c>
      <c r="AA5598">
        <v>40.818283</v>
      </c>
      <c r="AB5598">
        <v>-73.917749</v>
      </c>
      <c r="AD5598" t="s">
        <v>10839</v>
      </c>
      <c r="AG5598" t="s">
        <v>10858</v>
      </c>
      <c r="AH5598" t="s">
        <v>10871</v>
      </c>
      <c r="AI5598">
        <v>234</v>
      </c>
      <c r="AJ5598" t="s">
        <v>10214</v>
      </c>
      <c r="AL5598">
        <v>1</v>
      </c>
      <c r="AM5598" t="s">
        <v>10884</v>
      </c>
      <c r="AN5598" t="s">
        <v>10924</v>
      </c>
      <c r="AO5598" t="s">
        <v>11001</v>
      </c>
      <c r="AP5598" t="s">
        <v>11062</v>
      </c>
      <c r="AR5598" t="s">
        <v>11263</v>
      </c>
      <c r="AS5598" t="s">
        <v>9926</v>
      </c>
      <c r="AT5598" t="s">
        <v>11641</v>
      </c>
      <c r="AX5598" t="s">
        <v>10838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</row>
    <row r="5599" spans="1:59">
      <c r="A5599" s="1">
        <f>HYPERLINK("https://lsnyc.legalserver.org/matter/dynamic-profile/view/1909870","19-1909870")</f>
        <v>0</v>
      </c>
      <c r="B5599" t="s">
        <v>4402</v>
      </c>
      <c r="C5599" t="s">
        <v>9260</v>
      </c>
      <c r="D5599" t="s">
        <v>9928</v>
      </c>
      <c r="E5599" t="s">
        <v>10075</v>
      </c>
      <c r="F5599">
        <v>11213</v>
      </c>
      <c r="G5599" t="s">
        <v>10093</v>
      </c>
      <c r="H5599" t="s">
        <v>10166</v>
      </c>
      <c r="J5599" t="s">
        <v>10213</v>
      </c>
      <c r="K5599" t="s">
        <v>10218</v>
      </c>
      <c r="L5599" t="s">
        <v>10156</v>
      </c>
      <c r="M5599" t="s">
        <v>10291</v>
      </c>
      <c r="N5599" t="s">
        <v>10657</v>
      </c>
      <c r="P5599" t="s">
        <v>10749</v>
      </c>
      <c r="Q5599" t="s">
        <v>10765</v>
      </c>
      <c r="R5599" t="s">
        <v>10824</v>
      </c>
      <c r="T5599">
        <v>17565.48</v>
      </c>
      <c r="U5599">
        <v>1463.79</v>
      </c>
      <c r="V5599">
        <v>70</v>
      </c>
      <c r="W5599">
        <v>2</v>
      </c>
      <c r="X5599">
        <v>0</v>
      </c>
      <c r="Y5599" t="s">
        <v>10829</v>
      </c>
      <c r="Z5599">
        <v>103.88</v>
      </c>
      <c r="AA5599">
        <v>40.673857</v>
      </c>
      <c r="AB5599">
        <v>-73.94585600000001</v>
      </c>
      <c r="AD5599" t="s">
        <v>10840</v>
      </c>
      <c r="AG5599" t="s">
        <v>10858</v>
      </c>
      <c r="AH5599" t="s">
        <v>10862</v>
      </c>
      <c r="AI5599">
        <v>239</v>
      </c>
      <c r="AJ5599" t="s">
        <v>10213</v>
      </c>
      <c r="AK5599" t="s">
        <v>10882</v>
      </c>
      <c r="AL5599">
        <v>0.7</v>
      </c>
      <c r="AM5599" t="s">
        <v>10888</v>
      </c>
      <c r="AN5599" t="s">
        <v>10912</v>
      </c>
      <c r="AO5599" t="s">
        <v>11007</v>
      </c>
      <c r="AP5599" t="s">
        <v>11052</v>
      </c>
      <c r="AR5599" t="s">
        <v>11379</v>
      </c>
      <c r="AS5599" t="s">
        <v>11595</v>
      </c>
      <c r="AY5599" t="s">
        <v>10829</v>
      </c>
      <c r="AZ5599" t="s">
        <v>11681</v>
      </c>
      <c r="BA5599" t="s">
        <v>11741</v>
      </c>
      <c r="BB5599">
        <v>0</v>
      </c>
      <c r="BC5599">
        <v>0</v>
      </c>
      <c r="BD5599">
        <v>0</v>
      </c>
      <c r="BE5599">
        <v>0</v>
      </c>
      <c r="BF5599">
        <v>1</v>
      </c>
      <c r="BG5599">
        <v>0</v>
      </c>
    </row>
    <row r="5600" spans="1:59">
      <c r="A5600" s="1">
        <f>HYPERLINK("https://lsnyc.legalserver.org/matter/dynamic-profile/view/1909871","19-1909871")</f>
        <v>0</v>
      </c>
      <c r="B5600" t="s">
        <v>4403</v>
      </c>
      <c r="C5600" t="s">
        <v>9261</v>
      </c>
      <c r="D5600" t="s">
        <v>9956</v>
      </c>
      <c r="E5600" t="s">
        <v>10075</v>
      </c>
      <c r="F5600">
        <v>11365</v>
      </c>
      <c r="G5600" t="s">
        <v>10091</v>
      </c>
      <c r="H5600" t="s">
        <v>10166</v>
      </c>
      <c r="I5600" t="s">
        <v>10169</v>
      </c>
      <c r="J5600" t="s">
        <v>10214</v>
      </c>
      <c r="K5600" t="s">
        <v>10217</v>
      </c>
      <c r="M5600" t="s">
        <v>10537</v>
      </c>
      <c r="N5600" t="s">
        <v>10673</v>
      </c>
      <c r="P5600" t="s">
        <v>10753</v>
      </c>
      <c r="Q5600" t="s">
        <v>10763</v>
      </c>
      <c r="R5600" t="s">
        <v>10823</v>
      </c>
      <c r="T5600">
        <v>11000</v>
      </c>
      <c r="U5600">
        <v>916.67</v>
      </c>
      <c r="V5600">
        <v>33</v>
      </c>
      <c r="W5600">
        <v>1</v>
      </c>
      <c r="X5600">
        <v>0</v>
      </c>
      <c r="Z5600">
        <v>88.06999999999999</v>
      </c>
      <c r="AA5600">
        <v>40.737751</v>
      </c>
      <c r="AB5600">
        <v>-73.80824</v>
      </c>
      <c r="AD5600" t="s">
        <v>10840</v>
      </c>
      <c r="AF5600" t="s">
        <v>10842</v>
      </c>
      <c r="AG5600" t="s">
        <v>10859</v>
      </c>
      <c r="AH5600" t="s">
        <v>10861</v>
      </c>
      <c r="AI5600">
        <v>234</v>
      </c>
      <c r="AJ5600" t="s">
        <v>10214</v>
      </c>
      <c r="AL5600">
        <v>0.7</v>
      </c>
      <c r="AM5600" t="s">
        <v>10890</v>
      </c>
      <c r="AN5600" t="s">
        <v>10934</v>
      </c>
      <c r="AO5600" t="s">
        <v>11009</v>
      </c>
      <c r="AP5600" t="s">
        <v>11081</v>
      </c>
      <c r="AR5600" t="s">
        <v>11257</v>
      </c>
      <c r="AS5600" t="s">
        <v>11594</v>
      </c>
      <c r="AT5600" t="s">
        <v>11642</v>
      </c>
      <c r="AX5600" t="s">
        <v>10837</v>
      </c>
      <c r="BA5600" t="s">
        <v>11742</v>
      </c>
      <c r="BB5600">
        <v>0</v>
      </c>
      <c r="BC5600">
        <v>0</v>
      </c>
      <c r="BD5600">
        <v>0</v>
      </c>
      <c r="BE5600">
        <v>0</v>
      </c>
      <c r="BF5600">
        <v>7</v>
      </c>
      <c r="BG5600">
        <v>0</v>
      </c>
    </row>
    <row r="5601" spans="1:59">
      <c r="A5601" s="1">
        <f>HYPERLINK("https://lsnyc.legalserver.org/matter/dynamic-profile/view/1909872","19-1909872")</f>
        <v>0</v>
      </c>
      <c r="B5601" t="s">
        <v>2312</v>
      </c>
      <c r="C5601" t="s">
        <v>9262</v>
      </c>
      <c r="D5601" t="s">
        <v>9926</v>
      </c>
      <c r="E5601" t="s">
        <v>10075</v>
      </c>
      <c r="F5601">
        <v>10457</v>
      </c>
      <c r="G5601" t="s">
        <v>10090</v>
      </c>
      <c r="H5601" t="s">
        <v>10159</v>
      </c>
      <c r="I5601" t="s">
        <v>10168</v>
      </c>
      <c r="J5601" t="s">
        <v>10210</v>
      </c>
      <c r="K5601" t="s">
        <v>10217</v>
      </c>
      <c r="M5601" t="s">
        <v>10404</v>
      </c>
      <c r="N5601" t="s">
        <v>10651</v>
      </c>
      <c r="P5601" t="s">
        <v>10749</v>
      </c>
      <c r="Q5601" t="s">
        <v>10765</v>
      </c>
      <c r="R5601" t="s">
        <v>10824</v>
      </c>
      <c r="T5601">
        <v>34800</v>
      </c>
      <c r="U5601">
        <v>2900</v>
      </c>
      <c r="V5601">
        <v>52</v>
      </c>
      <c r="W5601">
        <v>2</v>
      </c>
      <c r="X5601">
        <v>0</v>
      </c>
      <c r="Z5601">
        <v>205.8</v>
      </c>
      <c r="AA5601">
        <v>40.847634</v>
      </c>
      <c r="AB5601">
        <v>-73.904568</v>
      </c>
      <c r="AD5601" t="s">
        <v>10840</v>
      </c>
      <c r="AF5601" t="s">
        <v>10843</v>
      </c>
      <c r="AG5601" t="s">
        <v>10859</v>
      </c>
      <c r="AH5601" t="s">
        <v>10862</v>
      </c>
      <c r="AI5601">
        <v>230</v>
      </c>
      <c r="AJ5601" t="s">
        <v>10210</v>
      </c>
      <c r="AL5601">
        <v>5.2</v>
      </c>
      <c r="AM5601" t="s">
        <v>10884</v>
      </c>
      <c r="AN5601" t="s">
        <v>10931</v>
      </c>
      <c r="AO5601" t="s">
        <v>11000</v>
      </c>
      <c r="AP5601" t="s">
        <v>11056</v>
      </c>
      <c r="AR5601" t="s">
        <v>11280</v>
      </c>
      <c r="AS5601" t="s">
        <v>9926</v>
      </c>
      <c r="AT5601" t="s">
        <v>11642</v>
      </c>
      <c r="AX5601" t="s">
        <v>10838</v>
      </c>
      <c r="BA5601" t="s">
        <v>11738</v>
      </c>
      <c r="BB5601">
        <v>0</v>
      </c>
      <c r="BC5601">
        <v>0</v>
      </c>
      <c r="BD5601">
        <v>0</v>
      </c>
      <c r="BE5601">
        <v>0</v>
      </c>
      <c r="BF5601">
        <v>5</v>
      </c>
      <c r="BG5601">
        <v>0</v>
      </c>
    </row>
    <row r="5602" spans="1:59">
      <c r="A5602" s="1">
        <f>HYPERLINK("https://lsnyc.legalserver.org/matter/dynamic-profile/view/1909873","19-1909873")</f>
        <v>0</v>
      </c>
      <c r="B5602" t="s">
        <v>4404</v>
      </c>
      <c r="C5602" t="s">
        <v>9263</v>
      </c>
      <c r="D5602" t="s">
        <v>9928</v>
      </c>
      <c r="E5602" t="s">
        <v>10075</v>
      </c>
      <c r="F5602">
        <v>11216</v>
      </c>
      <c r="G5602" t="s">
        <v>10093</v>
      </c>
      <c r="H5602" t="s">
        <v>10166</v>
      </c>
      <c r="I5602" t="s">
        <v>10168</v>
      </c>
      <c r="J5602" t="s">
        <v>10213</v>
      </c>
      <c r="K5602" t="s">
        <v>10218</v>
      </c>
      <c r="L5602" t="s">
        <v>10156</v>
      </c>
      <c r="M5602" t="s">
        <v>10291</v>
      </c>
      <c r="N5602" t="s">
        <v>10657</v>
      </c>
      <c r="P5602" t="s">
        <v>10749</v>
      </c>
      <c r="Q5602" t="s">
        <v>10765</v>
      </c>
      <c r="R5602" t="s">
        <v>10827</v>
      </c>
      <c r="T5602">
        <v>26518</v>
      </c>
      <c r="U5602">
        <v>2209.83</v>
      </c>
      <c r="V5602">
        <v>30</v>
      </c>
      <c r="W5602">
        <v>1</v>
      </c>
      <c r="X5602">
        <v>0</v>
      </c>
      <c r="Y5602" t="s">
        <v>10829</v>
      </c>
      <c r="Z5602">
        <v>212.31</v>
      </c>
      <c r="AA5602">
        <v>40.686701</v>
      </c>
      <c r="AB5602">
        <v>-73.94445</v>
      </c>
      <c r="AD5602" t="s">
        <v>10840</v>
      </c>
      <c r="AF5602" t="s">
        <v>10844</v>
      </c>
      <c r="AG5602" t="s">
        <v>10859</v>
      </c>
      <c r="AH5602" t="s">
        <v>10861</v>
      </c>
      <c r="AI5602">
        <v>239</v>
      </c>
      <c r="AJ5602" t="s">
        <v>10213</v>
      </c>
      <c r="AK5602" t="s">
        <v>10838</v>
      </c>
      <c r="AL5602">
        <v>1</v>
      </c>
      <c r="AM5602" t="s">
        <v>10889</v>
      </c>
      <c r="AN5602" t="s">
        <v>10914</v>
      </c>
      <c r="AO5602" t="s">
        <v>11007</v>
      </c>
      <c r="AP5602" t="s">
        <v>11052</v>
      </c>
      <c r="AR5602" t="s">
        <v>11276</v>
      </c>
      <c r="AS5602" t="s">
        <v>11595</v>
      </c>
      <c r="AW5602" t="s">
        <v>11666</v>
      </c>
      <c r="AY5602" t="s">
        <v>10829</v>
      </c>
      <c r="AZ5602" t="s">
        <v>11681</v>
      </c>
      <c r="BA5602" t="s">
        <v>11741</v>
      </c>
      <c r="BB5602">
        <v>0</v>
      </c>
      <c r="BC5602">
        <v>0</v>
      </c>
      <c r="BD5602">
        <v>0</v>
      </c>
      <c r="BE5602">
        <v>0</v>
      </c>
      <c r="BF5602">
        <v>1</v>
      </c>
      <c r="BG5602">
        <v>0</v>
      </c>
    </row>
    <row r="5603" spans="1:59">
      <c r="A5603" s="1">
        <f>HYPERLINK("https://lsnyc.legalserver.org/matter/dynamic-profile/view/1909874","19-1909874")</f>
        <v>0</v>
      </c>
      <c r="B5603" t="s">
        <v>4405</v>
      </c>
      <c r="C5603" t="s">
        <v>9264</v>
      </c>
      <c r="D5603" t="s">
        <v>9928</v>
      </c>
      <c r="E5603" t="s">
        <v>10075</v>
      </c>
      <c r="F5603">
        <v>11225</v>
      </c>
      <c r="G5603" t="s">
        <v>10093</v>
      </c>
      <c r="H5603" t="s">
        <v>10166</v>
      </c>
      <c r="I5603" t="s">
        <v>10176</v>
      </c>
      <c r="J5603" t="s">
        <v>10213</v>
      </c>
      <c r="K5603" t="s">
        <v>10217</v>
      </c>
      <c r="M5603" t="s">
        <v>10426</v>
      </c>
      <c r="N5603" t="s">
        <v>10671</v>
      </c>
      <c r="P5603" t="s">
        <v>10751</v>
      </c>
      <c r="Q5603" t="s">
        <v>10761</v>
      </c>
      <c r="R5603" t="s">
        <v>10824</v>
      </c>
      <c r="T5603">
        <v>0</v>
      </c>
      <c r="U5603">
        <v>0</v>
      </c>
      <c r="V5603">
        <v>53</v>
      </c>
      <c r="W5603">
        <v>4</v>
      </c>
      <c r="X5603">
        <v>2</v>
      </c>
      <c r="Z5603">
        <v>0</v>
      </c>
      <c r="AA5603">
        <v>40.667359</v>
      </c>
      <c r="AB5603">
        <v>-73.956626</v>
      </c>
      <c r="AD5603" t="s">
        <v>10839</v>
      </c>
      <c r="AG5603" t="s">
        <v>10858</v>
      </c>
      <c r="AH5603" t="s">
        <v>10874</v>
      </c>
      <c r="AI5603">
        <v>239</v>
      </c>
      <c r="AJ5603" t="s">
        <v>10213</v>
      </c>
      <c r="AL5603">
        <v>3.1</v>
      </c>
      <c r="AM5603" t="s">
        <v>10888</v>
      </c>
      <c r="AN5603" t="s">
        <v>10923</v>
      </c>
      <c r="AO5603" t="s">
        <v>11005</v>
      </c>
      <c r="AP5603" t="s">
        <v>11061</v>
      </c>
      <c r="AR5603" t="s">
        <v>11267</v>
      </c>
      <c r="AS5603" t="s">
        <v>11595</v>
      </c>
      <c r="BA5603" t="s">
        <v>11740</v>
      </c>
      <c r="BB5603">
        <v>0</v>
      </c>
      <c r="BC5603">
        <v>0</v>
      </c>
      <c r="BD5603">
        <v>0</v>
      </c>
      <c r="BE5603">
        <v>0</v>
      </c>
      <c r="BF5603">
        <v>2</v>
      </c>
      <c r="BG5603">
        <v>0</v>
      </c>
    </row>
    <row r="5604" spans="1:59">
      <c r="A5604" s="1">
        <f>HYPERLINK("https://lsnyc.legalserver.org/matter/dynamic-profile/view/1909875","19-1909875")</f>
        <v>0</v>
      </c>
      <c r="B5604" t="s">
        <v>4406</v>
      </c>
      <c r="C5604" t="s">
        <v>9265</v>
      </c>
      <c r="D5604" t="s">
        <v>9926</v>
      </c>
      <c r="E5604" t="s">
        <v>10075</v>
      </c>
      <c r="F5604">
        <v>10457</v>
      </c>
      <c r="G5604" t="s">
        <v>10090</v>
      </c>
      <c r="H5604" t="s">
        <v>10166</v>
      </c>
      <c r="I5604" t="s">
        <v>10168</v>
      </c>
      <c r="J5604" t="s">
        <v>10210</v>
      </c>
      <c r="K5604" t="s">
        <v>10217</v>
      </c>
      <c r="M5604" t="s">
        <v>10303</v>
      </c>
      <c r="N5604" t="s">
        <v>10682</v>
      </c>
      <c r="P5604" t="s">
        <v>10751</v>
      </c>
      <c r="Q5604" t="s">
        <v>10786</v>
      </c>
      <c r="R5604" t="s">
        <v>10824</v>
      </c>
      <c r="T5604">
        <v>20280</v>
      </c>
      <c r="U5604">
        <v>1690</v>
      </c>
      <c r="V5604">
        <v>46</v>
      </c>
      <c r="W5604">
        <v>2</v>
      </c>
      <c r="X5604">
        <v>2</v>
      </c>
      <c r="Z5604">
        <v>78.76000000000001</v>
      </c>
      <c r="AA5604">
        <v>40.839322</v>
      </c>
      <c r="AB5604">
        <v>-73.899377</v>
      </c>
      <c r="AD5604" t="s">
        <v>10839</v>
      </c>
      <c r="AG5604" t="s">
        <v>10858</v>
      </c>
      <c r="AH5604" t="s">
        <v>10861</v>
      </c>
      <c r="AI5604">
        <v>230</v>
      </c>
      <c r="AJ5604" t="s">
        <v>10210</v>
      </c>
      <c r="AL5604">
        <v>2.25</v>
      </c>
      <c r="AM5604" t="s">
        <v>10884</v>
      </c>
      <c r="AN5604" t="s">
        <v>10918</v>
      </c>
      <c r="AO5604" t="s">
        <v>11000</v>
      </c>
      <c r="AP5604" t="s">
        <v>11055</v>
      </c>
      <c r="AR5604" t="s">
        <v>11257</v>
      </c>
      <c r="AS5604" t="s">
        <v>9926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</row>
    <row r="5605" spans="1:59">
      <c r="A5605" s="1">
        <f>HYPERLINK("https://lsnyc.legalserver.org/matter/dynamic-profile/view/1909876","19-1909876")</f>
        <v>0</v>
      </c>
      <c r="B5605" t="s">
        <v>3936</v>
      </c>
      <c r="C5605" t="s">
        <v>8749</v>
      </c>
      <c r="D5605" t="s">
        <v>9928</v>
      </c>
      <c r="E5605" t="s">
        <v>10075</v>
      </c>
      <c r="F5605">
        <v>11215</v>
      </c>
      <c r="G5605" t="s">
        <v>10093</v>
      </c>
      <c r="H5605" t="s">
        <v>10166</v>
      </c>
      <c r="I5605" t="s">
        <v>10168</v>
      </c>
      <c r="J5605" t="s">
        <v>10213</v>
      </c>
      <c r="K5605" t="s">
        <v>10217</v>
      </c>
      <c r="M5605" t="s">
        <v>10426</v>
      </c>
      <c r="N5605" t="s">
        <v>10671</v>
      </c>
      <c r="P5605" t="s">
        <v>10751</v>
      </c>
      <c r="Q5605" t="s">
        <v>10761</v>
      </c>
      <c r="R5605" t="s">
        <v>10823</v>
      </c>
      <c r="T5605">
        <v>20000</v>
      </c>
      <c r="U5605">
        <v>1666.67</v>
      </c>
      <c r="V5605">
        <v>33</v>
      </c>
      <c r="W5605">
        <v>2</v>
      </c>
      <c r="X5605">
        <v>0</v>
      </c>
      <c r="Z5605">
        <v>118.27</v>
      </c>
      <c r="AA5605">
        <v>40.666673</v>
      </c>
      <c r="AB5605">
        <v>-73.98683699999999</v>
      </c>
      <c r="AD5605" t="s">
        <v>10840</v>
      </c>
      <c r="AG5605" t="s">
        <v>10858</v>
      </c>
      <c r="AH5605" t="s">
        <v>10874</v>
      </c>
      <c r="AI5605">
        <v>239</v>
      </c>
      <c r="AJ5605" t="s">
        <v>10213</v>
      </c>
      <c r="AL5605">
        <v>0.2</v>
      </c>
      <c r="AM5605" t="s">
        <v>10886</v>
      </c>
      <c r="AN5605" t="s">
        <v>10917</v>
      </c>
      <c r="AO5605" t="s">
        <v>11008</v>
      </c>
      <c r="AP5605" t="s">
        <v>11059</v>
      </c>
      <c r="AR5605" t="s">
        <v>11257</v>
      </c>
      <c r="AS5605" t="s">
        <v>11595</v>
      </c>
      <c r="BA5605" t="s">
        <v>11740</v>
      </c>
      <c r="BB5605">
        <v>0</v>
      </c>
      <c r="BC5605">
        <v>0</v>
      </c>
      <c r="BD5605">
        <v>0</v>
      </c>
      <c r="BE5605">
        <v>0</v>
      </c>
      <c r="BF5605">
        <v>2</v>
      </c>
      <c r="BG5605">
        <v>0</v>
      </c>
    </row>
    <row r="5606" spans="1:59">
      <c r="A5606" s="1">
        <f>HYPERLINK("https://lsnyc.legalserver.org/matter/dynamic-profile/view/1909877","19-1909877")</f>
        <v>0</v>
      </c>
      <c r="B5606" t="s">
        <v>1627</v>
      </c>
      <c r="C5606" t="s">
        <v>9266</v>
      </c>
      <c r="D5606" t="s">
        <v>9928</v>
      </c>
      <c r="E5606" t="s">
        <v>10075</v>
      </c>
      <c r="F5606">
        <v>11238</v>
      </c>
      <c r="G5606" t="s">
        <v>10093</v>
      </c>
      <c r="H5606" t="s">
        <v>10166</v>
      </c>
      <c r="I5606" t="s">
        <v>10168</v>
      </c>
      <c r="J5606" t="s">
        <v>10213</v>
      </c>
      <c r="K5606" t="s">
        <v>10217</v>
      </c>
      <c r="M5606" t="s">
        <v>10265</v>
      </c>
      <c r="N5606" t="s">
        <v>10653</v>
      </c>
      <c r="P5606" t="s">
        <v>10749</v>
      </c>
      <c r="Q5606" t="s">
        <v>10767</v>
      </c>
      <c r="R5606" t="s">
        <v>10824</v>
      </c>
      <c r="T5606">
        <v>29325.36</v>
      </c>
      <c r="U5606">
        <v>2443.78</v>
      </c>
      <c r="V5606">
        <v>39</v>
      </c>
      <c r="W5606">
        <v>1</v>
      </c>
      <c r="X5606">
        <v>2</v>
      </c>
      <c r="Z5606">
        <v>137.48</v>
      </c>
      <c r="AA5606">
        <v>40.689485</v>
      </c>
      <c r="AB5606">
        <v>-73.95860399999999</v>
      </c>
      <c r="AD5606" t="s">
        <v>10839</v>
      </c>
      <c r="AG5606" t="s">
        <v>10858</v>
      </c>
      <c r="AH5606" t="s">
        <v>10862</v>
      </c>
      <c r="AI5606">
        <v>239</v>
      </c>
      <c r="AJ5606" t="s">
        <v>10213</v>
      </c>
      <c r="AL5606">
        <v>0</v>
      </c>
      <c r="AM5606" t="s">
        <v>10889</v>
      </c>
      <c r="AN5606" t="s">
        <v>10923</v>
      </c>
      <c r="AO5606" t="s">
        <v>11007</v>
      </c>
      <c r="AP5606" t="s">
        <v>11061</v>
      </c>
      <c r="AR5606" t="s">
        <v>11257</v>
      </c>
      <c r="AS5606" t="s">
        <v>11595</v>
      </c>
      <c r="BA5606" t="s">
        <v>11742</v>
      </c>
      <c r="BB5606">
        <v>0</v>
      </c>
      <c r="BC5606">
        <v>0</v>
      </c>
      <c r="BD5606">
        <v>0</v>
      </c>
      <c r="BE5606">
        <v>0</v>
      </c>
      <c r="BF5606">
        <v>7</v>
      </c>
      <c r="BG5606">
        <v>0</v>
      </c>
    </row>
    <row r="5607" spans="1:59">
      <c r="A5607" s="1">
        <f>HYPERLINK("https://lsnyc.legalserver.org/matter/dynamic-profile/view/1909878","19-1909878")</f>
        <v>0</v>
      </c>
      <c r="B5607" t="s">
        <v>1988</v>
      </c>
      <c r="C5607" t="s">
        <v>6781</v>
      </c>
      <c r="D5607" t="s">
        <v>9928</v>
      </c>
      <c r="E5607" t="s">
        <v>10075</v>
      </c>
      <c r="F5607">
        <v>11226</v>
      </c>
      <c r="G5607" t="s">
        <v>10093</v>
      </c>
      <c r="H5607" t="s">
        <v>10166</v>
      </c>
      <c r="I5607" t="s">
        <v>10168</v>
      </c>
      <c r="J5607" t="s">
        <v>10213</v>
      </c>
      <c r="K5607" t="s">
        <v>10217</v>
      </c>
      <c r="M5607" t="s">
        <v>10426</v>
      </c>
      <c r="N5607" t="s">
        <v>10671</v>
      </c>
      <c r="P5607" t="s">
        <v>10751</v>
      </c>
      <c r="Q5607" t="s">
        <v>10761</v>
      </c>
      <c r="R5607" t="s">
        <v>10822</v>
      </c>
      <c r="T5607">
        <v>15028</v>
      </c>
      <c r="U5607">
        <v>1252.33</v>
      </c>
      <c r="V5607">
        <v>45</v>
      </c>
      <c r="W5607">
        <v>1</v>
      </c>
      <c r="X5607">
        <v>0</v>
      </c>
      <c r="Z5607">
        <v>120.32</v>
      </c>
      <c r="AA5607">
        <v>40.644402</v>
      </c>
      <c r="AB5607">
        <v>-73.946797</v>
      </c>
      <c r="AD5607" t="s">
        <v>10822</v>
      </c>
      <c r="AG5607" t="s">
        <v>10858</v>
      </c>
      <c r="AH5607" t="s">
        <v>10874</v>
      </c>
      <c r="AI5607">
        <v>239</v>
      </c>
      <c r="AJ5607" t="s">
        <v>10213</v>
      </c>
      <c r="AL5607">
        <v>0</v>
      </c>
      <c r="AM5607" t="s">
        <v>10888</v>
      </c>
      <c r="AN5607" t="s">
        <v>10932</v>
      </c>
      <c r="AO5607" t="s">
        <v>11008</v>
      </c>
      <c r="AP5607" t="s">
        <v>11065</v>
      </c>
      <c r="AR5607" t="s">
        <v>11257</v>
      </c>
      <c r="AS5607" t="s">
        <v>11595</v>
      </c>
      <c r="BA5607" t="s">
        <v>11740</v>
      </c>
      <c r="BB5607">
        <v>0</v>
      </c>
      <c r="BC5607">
        <v>0</v>
      </c>
      <c r="BD5607">
        <v>0</v>
      </c>
      <c r="BE5607">
        <v>0</v>
      </c>
      <c r="BF5607">
        <v>2</v>
      </c>
      <c r="BG5607">
        <v>0</v>
      </c>
    </row>
    <row r="5608" spans="1:59">
      <c r="A5608" s="1">
        <f>HYPERLINK("https://lsnyc.legalserver.org/matter/dynamic-profile/view/1909879","19-1909879")</f>
        <v>0</v>
      </c>
      <c r="B5608" t="s">
        <v>4407</v>
      </c>
      <c r="C5608" t="s">
        <v>9267</v>
      </c>
      <c r="D5608" t="s">
        <v>9928</v>
      </c>
      <c r="E5608" t="s">
        <v>10075</v>
      </c>
      <c r="F5608">
        <v>11216</v>
      </c>
      <c r="G5608" t="s">
        <v>10093</v>
      </c>
      <c r="H5608" t="s">
        <v>10166</v>
      </c>
      <c r="I5608" t="s">
        <v>10168</v>
      </c>
      <c r="J5608" t="s">
        <v>10213</v>
      </c>
      <c r="K5608" t="s">
        <v>10217</v>
      </c>
      <c r="M5608" t="s">
        <v>10280</v>
      </c>
      <c r="N5608" t="s">
        <v>10657</v>
      </c>
      <c r="P5608" t="s">
        <v>10751</v>
      </c>
      <c r="Q5608" t="s">
        <v>10780</v>
      </c>
      <c r="R5608" t="s">
        <v>10824</v>
      </c>
      <c r="T5608">
        <v>9252</v>
      </c>
      <c r="U5608">
        <v>771</v>
      </c>
      <c r="V5608">
        <v>19</v>
      </c>
      <c r="W5608">
        <v>3</v>
      </c>
      <c r="X5608">
        <v>2</v>
      </c>
      <c r="Z5608">
        <v>30.67</v>
      </c>
      <c r="AA5608">
        <v>40.6759</v>
      </c>
      <c r="AB5608">
        <v>-73.95166500000001</v>
      </c>
      <c r="AC5608" t="s">
        <v>10837</v>
      </c>
      <c r="AD5608" t="s">
        <v>10840</v>
      </c>
      <c r="AG5608" t="s">
        <v>10858</v>
      </c>
      <c r="AH5608" t="s">
        <v>10861</v>
      </c>
      <c r="AI5608">
        <v>239</v>
      </c>
      <c r="AJ5608" t="s">
        <v>10213</v>
      </c>
      <c r="AL5608">
        <v>0.7</v>
      </c>
      <c r="AM5608" t="s">
        <v>10888</v>
      </c>
      <c r="AN5608" t="s">
        <v>10912</v>
      </c>
      <c r="AO5608" t="s">
        <v>11007</v>
      </c>
      <c r="AP5608" t="s">
        <v>11052</v>
      </c>
      <c r="AR5608" t="s">
        <v>11263</v>
      </c>
      <c r="AS5608" t="s">
        <v>11595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</row>
    <row r="5609" spans="1:59">
      <c r="A5609" s="1">
        <f>HYPERLINK("https://lsnyc.legalserver.org/matter/dynamic-profile/view/1909880","19-1909880")</f>
        <v>0</v>
      </c>
      <c r="B5609" t="s">
        <v>3620</v>
      </c>
      <c r="C5609" t="s">
        <v>9268</v>
      </c>
      <c r="D5609" t="s">
        <v>9927</v>
      </c>
      <c r="E5609" t="s">
        <v>10075</v>
      </c>
      <c r="F5609">
        <v>11377</v>
      </c>
      <c r="G5609" t="s">
        <v>10092</v>
      </c>
      <c r="H5609" t="s">
        <v>10166</v>
      </c>
      <c r="I5609" t="s">
        <v>10169</v>
      </c>
      <c r="J5609" t="s">
        <v>10212</v>
      </c>
      <c r="K5609" t="s">
        <v>10217</v>
      </c>
      <c r="M5609" t="s">
        <v>10282</v>
      </c>
      <c r="N5609" t="s">
        <v>10648</v>
      </c>
      <c r="P5609" t="s">
        <v>10753</v>
      </c>
      <c r="Q5609" t="s">
        <v>10763</v>
      </c>
      <c r="R5609" t="s">
        <v>10823</v>
      </c>
      <c r="T5609">
        <v>20800</v>
      </c>
      <c r="U5609">
        <v>1733.33</v>
      </c>
      <c r="V5609">
        <v>32</v>
      </c>
      <c r="W5609">
        <v>1</v>
      </c>
      <c r="X5609">
        <v>0</v>
      </c>
      <c r="Z5609">
        <v>166.53</v>
      </c>
      <c r="AA5609">
        <v>40.744987</v>
      </c>
      <c r="AB5609">
        <v>-73.90501999999999</v>
      </c>
      <c r="AD5609" t="s">
        <v>10839</v>
      </c>
      <c r="AF5609" t="s">
        <v>10842</v>
      </c>
      <c r="AG5609" t="s">
        <v>10859</v>
      </c>
      <c r="AH5609" t="s">
        <v>10864</v>
      </c>
      <c r="AI5609">
        <v>237</v>
      </c>
      <c r="AJ5609" t="s">
        <v>10212</v>
      </c>
      <c r="AL5609">
        <v>1</v>
      </c>
      <c r="AM5609" t="s">
        <v>10885</v>
      </c>
      <c r="AN5609" t="s">
        <v>10935</v>
      </c>
      <c r="AO5609" t="s">
        <v>11003</v>
      </c>
      <c r="AP5609" t="s">
        <v>11047</v>
      </c>
      <c r="AQ5609" t="s">
        <v>11096</v>
      </c>
      <c r="AR5609" t="s">
        <v>11257</v>
      </c>
      <c r="AS5609" t="s">
        <v>11594</v>
      </c>
      <c r="AT5609" t="s">
        <v>11641</v>
      </c>
      <c r="AX5609" t="s">
        <v>10838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</row>
    <row r="5610" spans="1:59">
      <c r="A5610" s="1">
        <f>HYPERLINK("https://lsnyc.legalserver.org/matter/dynamic-profile/view/1909881","19-1909881")</f>
        <v>0</v>
      </c>
      <c r="B5610" t="s">
        <v>4408</v>
      </c>
      <c r="C5610" t="s">
        <v>8803</v>
      </c>
      <c r="D5610" t="s">
        <v>9932</v>
      </c>
      <c r="E5610" t="s">
        <v>10075</v>
      </c>
      <c r="F5610">
        <v>11368</v>
      </c>
      <c r="G5610" t="s">
        <v>10092</v>
      </c>
      <c r="H5610" t="s">
        <v>10166</v>
      </c>
      <c r="I5610" t="s">
        <v>10169</v>
      </c>
      <c r="J5610" t="s">
        <v>10212</v>
      </c>
      <c r="K5610" t="s">
        <v>10217</v>
      </c>
      <c r="M5610" t="s">
        <v>10518</v>
      </c>
      <c r="N5610" t="s">
        <v>10709</v>
      </c>
      <c r="P5610" t="s">
        <v>10754</v>
      </c>
      <c r="Q5610" t="s">
        <v>10766</v>
      </c>
      <c r="R5610" t="s">
        <v>10821</v>
      </c>
      <c r="T5610">
        <v>0</v>
      </c>
      <c r="U5610">
        <v>0</v>
      </c>
      <c r="V5610">
        <v>40</v>
      </c>
      <c r="W5610">
        <v>1</v>
      </c>
      <c r="X5610">
        <v>2</v>
      </c>
      <c r="Z5610">
        <v>0</v>
      </c>
      <c r="AA5610">
        <v>40.747442</v>
      </c>
      <c r="AB5610">
        <v>-73.861064</v>
      </c>
      <c r="AD5610" t="s">
        <v>10839</v>
      </c>
      <c r="AG5610" t="s">
        <v>10858</v>
      </c>
      <c r="AH5610" t="s">
        <v>10871</v>
      </c>
      <c r="AI5610">
        <v>237</v>
      </c>
      <c r="AJ5610" t="s">
        <v>10212</v>
      </c>
      <c r="AL5610">
        <v>2</v>
      </c>
      <c r="AM5610" t="s">
        <v>10885</v>
      </c>
      <c r="AN5610" t="s">
        <v>10949</v>
      </c>
      <c r="AO5610" t="s">
        <v>11014</v>
      </c>
      <c r="AP5610" t="s">
        <v>11068</v>
      </c>
      <c r="AR5610" t="s">
        <v>11279</v>
      </c>
      <c r="AS5610" t="s">
        <v>11594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</row>
    <row r="5611" spans="1:59">
      <c r="A5611" s="1">
        <f>HYPERLINK("https://lsnyc.legalserver.org/matter/dynamic-profile/view/1909882","19-1909882")</f>
        <v>0</v>
      </c>
      <c r="B5611" t="s">
        <v>4217</v>
      </c>
      <c r="C5611" t="s">
        <v>9269</v>
      </c>
      <c r="D5611" t="s">
        <v>9928</v>
      </c>
      <c r="E5611" t="s">
        <v>10075</v>
      </c>
      <c r="F5611">
        <v>11208</v>
      </c>
      <c r="G5611" t="s">
        <v>10093</v>
      </c>
      <c r="H5611" t="s">
        <v>10162</v>
      </c>
      <c r="J5611" t="s">
        <v>10213</v>
      </c>
      <c r="K5611" t="s">
        <v>10217</v>
      </c>
      <c r="M5611" t="s">
        <v>10532</v>
      </c>
      <c r="N5611" t="s">
        <v>10726</v>
      </c>
      <c r="P5611" t="s">
        <v>10751</v>
      </c>
      <c r="Q5611" t="s">
        <v>10780</v>
      </c>
      <c r="R5611" t="s">
        <v>10824</v>
      </c>
      <c r="T5611">
        <v>3198</v>
      </c>
      <c r="U5611">
        <v>266.5</v>
      </c>
      <c r="V5611">
        <v>46</v>
      </c>
      <c r="W5611">
        <v>3</v>
      </c>
      <c r="X5611">
        <v>1</v>
      </c>
      <c r="Z5611">
        <v>12.42</v>
      </c>
      <c r="AA5611">
        <v>40.671615</v>
      </c>
      <c r="AB5611">
        <v>-73.86357700000001</v>
      </c>
      <c r="AC5611" t="s">
        <v>10837</v>
      </c>
      <c r="AD5611" t="s">
        <v>10839</v>
      </c>
      <c r="AG5611" t="s">
        <v>10858</v>
      </c>
      <c r="AH5611" t="s">
        <v>10866</v>
      </c>
      <c r="AI5611">
        <v>239</v>
      </c>
      <c r="AJ5611" t="s">
        <v>10213</v>
      </c>
      <c r="AL5611">
        <v>0</v>
      </c>
      <c r="AR5611" t="s">
        <v>11255</v>
      </c>
      <c r="AS5611" t="s">
        <v>11595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</row>
    <row r="5612" spans="1:59">
      <c r="A5612" s="1">
        <f>HYPERLINK("https://lsnyc.legalserver.org/matter/dynamic-profile/view/1909883","19-1909883")</f>
        <v>0</v>
      </c>
      <c r="B5612" t="s">
        <v>4409</v>
      </c>
      <c r="C5612" t="s">
        <v>9270</v>
      </c>
      <c r="D5612" t="s">
        <v>9928</v>
      </c>
      <c r="E5612" t="s">
        <v>10075</v>
      </c>
      <c r="F5612">
        <v>11216</v>
      </c>
      <c r="G5612" t="s">
        <v>10093</v>
      </c>
      <c r="H5612" t="s">
        <v>10166</v>
      </c>
      <c r="I5612" t="s">
        <v>10168</v>
      </c>
      <c r="J5612" t="s">
        <v>10213</v>
      </c>
      <c r="K5612" t="s">
        <v>10217</v>
      </c>
      <c r="M5612" t="s">
        <v>10291</v>
      </c>
      <c r="N5612" t="s">
        <v>10657</v>
      </c>
      <c r="P5612" t="s">
        <v>10749</v>
      </c>
      <c r="Q5612" t="s">
        <v>10765</v>
      </c>
      <c r="R5612" t="s">
        <v>10824</v>
      </c>
      <c r="T5612">
        <v>15600</v>
      </c>
      <c r="U5612">
        <v>1300</v>
      </c>
      <c r="V5612">
        <v>62</v>
      </c>
      <c r="W5612">
        <v>1</v>
      </c>
      <c r="X5612">
        <v>0</v>
      </c>
      <c r="Z5612">
        <v>124.9</v>
      </c>
      <c r="AA5612">
        <v>40.677099</v>
      </c>
      <c r="AB5612">
        <v>-73.94447099999999</v>
      </c>
      <c r="AD5612" t="s">
        <v>10839</v>
      </c>
      <c r="AG5612" t="s">
        <v>10858</v>
      </c>
      <c r="AH5612" t="s">
        <v>10861</v>
      </c>
      <c r="AI5612">
        <v>239</v>
      </c>
      <c r="AJ5612" t="s">
        <v>10213</v>
      </c>
      <c r="AL5612">
        <v>0.6</v>
      </c>
      <c r="AM5612" t="s">
        <v>10889</v>
      </c>
      <c r="AN5612" t="s">
        <v>10914</v>
      </c>
      <c r="AO5612" t="s">
        <v>11007</v>
      </c>
      <c r="AP5612" t="s">
        <v>11052</v>
      </c>
      <c r="AR5612" t="s">
        <v>11270</v>
      </c>
      <c r="AS5612" t="s">
        <v>11595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</row>
    <row r="5613" spans="1:59">
      <c r="A5613" s="1">
        <f>HYPERLINK("https://lsnyc.legalserver.org/matter/dynamic-profile/view/1909884","19-1909884")</f>
        <v>0</v>
      </c>
      <c r="B5613" t="s">
        <v>1600</v>
      </c>
      <c r="C5613" t="s">
        <v>7830</v>
      </c>
      <c r="D5613" t="s">
        <v>9928</v>
      </c>
      <c r="E5613" t="s">
        <v>10075</v>
      </c>
      <c r="F5613">
        <v>11212</v>
      </c>
      <c r="G5613" t="s">
        <v>10090</v>
      </c>
      <c r="H5613" t="s">
        <v>10166</v>
      </c>
      <c r="I5613" t="s">
        <v>10168</v>
      </c>
      <c r="J5613" t="s">
        <v>10210</v>
      </c>
      <c r="K5613" t="s">
        <v>10217</v>
      </c>
      <c r="M5613" t="s">
        <v>10510</v>
      </c>
      <c r="N5613" t="s">
        <v>10677</v>
      </c>
      <c r="P5613" t="s">
        <v>10757</v>
      </c>
      <c r="Q5613" t="s">
        <v>10797</v>
      </c>
      <c r="R5613" t="s">
        <v>10824</v>
      </c>
      <c r="T5613">
        <v>17232</v>
      </c>
      <c r="U5613">
        <v>1436</v>
      </c>
      <c r="V5613">
        <v>65</v>
      </c>
      <c r="W5613">
        <v>1</v>
      </c>
      <c r="X5613">
        <v>0</v>
      </c>
      <c r="Z5613">
        <v>137.97</v>
      </c>
      <c r="AA5613">
        <v>40.658891</v>
      </c>
      <c r="AB5613">
        <v>-73.920922</v>
      </c>
      <c r="AD5613" t="s">
        <v>10839</v>
      </c>
      <c r="AG5613" t="s">
        <v>10858</v>
      </c>
      <c r="AH5613" t="s">
        <v>10862</v>
      </c>
      <c r="AI5613">
        <v>239</v>
      </c>
      <c r="AJ5613" t="s">
        <v>10213</v>
      </c>
      <c r="AL5613">
        <v>1.05</v>
      </c>
      <c r="AM5613" t="s">
        <v>10888</v>
      </c>
      <c r="AN5613" t="s">
        <v>10925</v>
      </c>
      <c r="AO5613" t="s">
        <v>11005</v>
      </c>
      <c r="AP5613" t="s">
        <v>11064</v>
      </c>
      <c r="AR5613" t="s">
        <v>11263</v>
      </c>
      <c r="AS5613" t="s">
        <v>11595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</row>
    <row r="5614" spans="1:59">
      <c r="A5614" s="1">
        <f>HYPERLINK("https://lsnyc.legalserver.org/matter/dynamic-profile/view/1909885","19-1909885")</f>
        <v>0</v>
      </c>
      <c r="B5614" t="s">
        <v>4410</v>
      </c>
      <c r="C5614" t="s">
        <v>9271</v>
      </c>
      <c r="D5614" t="s">
        <v>9932</v>
      </c>
      <c r="E5614" t="s">
        <v>10075</v>
      </c>
      <c r="F5614">
        <v>11368</v>
      </c>
      <c r="G5614" t="s">
        <v>10092</v>
      </c>
      <c r="H5614" t="s">
        <v>10166</v>
      </c>
      <c r="I5614" t="s">
        <v>10169</v>
      </c>
      <c r="J5614" t="s">
        <v>10212</v>
      </c>
      <c r="K5614" t="s">
        <v>10217</v>
      </c>
      <c r="M5614" t="s">
        <v>10374</v>
      </c>
      <c r="N5614" t="s">
        <v>10730</v>
      </c>
      <c r="O5614" t="s">
        <v>10699</v>
      </c>
      <c r="P5614" t="s">
        <v>10754</v>
      </c>
      <c r="Q5614" t="s">
        <v>10770</v>
      </c>
      <c r="R5614" t="s">
        <v>10821</v>
      </c>
      <c r="T5614">
        <v>0</v>
      </c>
      <c r="U5614">
        <v>0</v>
      </c>
      <c r="V5614">
        <v>36</v>
      </c>
      <c r="W5614">
        <v>1</v>
      </c>
      <c r="X5614">
        <v>3</v>
      </c>
      <c r="Z5614">
        <v>0</v>
      </c>
      <c r="AA5614">
        <v>40.755711</v>
      </c>
      <c r="AB5614">
        <v>-73.870394</v>
      </c>
      <c r="AD5614" t="s">
        <v>10839</v>
      </c>
      <c r="AF5614" t="s">
        <v>10848</v>
      </c>
      <c r="AG5614" t="s">
        <v>10859</v>
      </c>
      <c r="AH5614" t="s">
        <v>10865</v>
      </c>
      <c r="AI5614">
        <v>237</v>
      </c>
      <c r="AJ5614" t="s">
        <v>10212</v>
      </c>
      <c r="AL5614">
        <v>1</v>
      </c>
      <c r="AM5614" t="s">
        <v>10885</v>
      </c>
      <c r="AN5614" t="s">
        <v>10916</v>
      </c>
      <c r="AO5614" t="s">
        <v>11014</v>
      </c>
      <c r="AP5614" t="s">
        <v>11068</v>
      </c>
      <c r="AR5614" t="s">
        <v>11267</v>
      </c>
      <c r="AS5614" t="s">
        <v>11594</v>
      </c>
      <c r="AT5614" t="s">
        <v>11641</v>
      </c>
      <c r="AX5614" t="s">
        <v>10838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</row>
    <row r="5615" spans="1:59">
      <c r="A5615" s="1">
        <f>HYPERLINK("https://lsnyc.legalserver.org/matter/dynamic-profile/view/1909886","19-1909886")</f>
        <v>0</v>
      </c>
      <c r="B5615" t="s">
        <v>4410</v>
      </c>
      <c r="C5615" t="s">
        <v>9271</v>
      </c>
      <c r="D5615" t="s">
        <v>9932</v>
      </c>
      <c r="E5615" t="s">
        <v>10075</v>
      </c>
      <c r="F5615">
        <v>11368</v>
      </c>
      <c r="G5615" t="s">
        <v>10092</v>
      </c>
      <c r="H5615" t="s">
        <v>10166</v>
      </c>
      <c r="I5615" t="s">
        <v>10169</v>
      </c>
      <c r="J5615" t="s">
        <v>10212</v>
      </c>
      <c r="K5615" t="s">
        <v>10217</v>
      </c>
      <c r="M5615" t="s">
        <v>10374</v>
      </c>
      <c r="N5615" t="s">
        <v>10745</v>
      </c>
      <c r="O5615" t="s">
        <v>10699</v>
      </c>
      <c r="P5615" t="s">
        <v>10754</v>
      </c>
      <c r="Q5615" t="s">
        <v>10775</v>
      </c>
      <c r="R5615" t="s">
        <v>10821</v>
      </c>
      <c r="T5615">
        <v>0</v>
      </c>
      <c r="U5615">
        <v>0</v>
      </c>
      <c r="V5615">
        <v>36</v>
      </c>
      <c r="W5615">
        <v>1</v>
      </c>
      <c r="X5615">
        <v>3</v>
      </c>
      <c r="Z5615">
        <v>0</v>
      </c>
      <c r="AA5615">
        <v>40.755711</v>
      </c>
      <c r="AB5615">
        <v>-73.870394</v>
      </c>
      <c r="AD5615" t="s">
        <v>10839</v>
      </c>
      <c r="AF5615" t="s">
        <v>10848</v>
      </c>
      <c r="AG5615" t="s">
        <v>10859</v>
      </c>
      <c r="AH5615" t="s">
        <v>10865</v>
      </c>
      <c r="AI5615">
        <v>237</v>
      </c>
      <c r="AJ5615" t="s">
        <v>10212</v>
      </c>
      <c r="AL5615">
        <v>0.5</v>
      </c>
      <c r="AR5615" t="s">
        <v>11267</v>
      </c>
      <c r="AS5615" t="s">
        <v>11594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</row>
    <row r="5616" spans="1:59">
      <c r="A5616" s="1">
        <f>HYPERLINK("https://lsnyc.legalserver.org/matter/dynamic-profile/view/1909887","19-1909887")</f>
        <v>0</v>
      </c>
      <c r="B5616" t="s">
        <v>4411</v>
      </c>
      <c r="C5616" t="s">
        <v>9272</v>
      </c>
      <c r="D5616" t="s">
        <v>9928</v>
      </c>
      <c r="E5616" t="s">
        <v>10075</v>
      </c>
      <c r="F5616">
        <v>11208</v>
      </c>
      <c r="G5616" t="s">
        <v>10093</v>
      </c>
      <c r="H5616" t="s">
        <v>10166</v>
      </c>
      <c r="I5616" t="s">
        <v>10168</v>
      </c>
      <c r="J5616" t="s">
        <v>10213</v>
      </c>
      <c r="K5616" t="s">
        <v>10217</v>
      </c>
      <c r="M5616" t="s">
        <v>10291</v>
      </c>
      <c r="N5616" t="s">
        <v>10657</v>
      </c>
      <c r="P5616" t="s">
        <v>10749</v>
      </c>
      <c r="Q5616" t="s">
        <v>10767</v>
      </c>
      <c r="R5616" t="s">
        <v>10826</v>
      </c>
      <c r="T5616">
        <v>12204</v>
      </c>
      <c r="U5616">
        <v>1017</v>
      </c>
      <c r="V5616">
        <v>54</v>
      </c>
      <c r="W5616">
        <v>2</v>
      </c>
      <c r="X5616">
        <v>2</v>
      </c>
      <c r="Z5616">
        <v>47.39</v>
      </c>
      <c r="AA5616">
        <v>40.662884</v>
      </c>
      <c r="AB5616">
        <v>-73.879639</v>
      </c>
      <c r="AD5616" t="s">
        <v>10839</v>
      </c>
      <c r="AG5616" t="s">
        <v>10858</v>
      </c>
      <c r="AH5616" t="s">
        <v>10861</v>
      </c>
      <c r="AI5616">
        <v>239</v>
      </c>
      <c r="AJ5616" t="s">
        <v>10213</v>
      </c>
      <c r="AL5616">
        <v>0.6</v>
      </c>
      <c r="AR5616" t="s">
        <v>11296</v>
      </c>
      <c r="AS5616" t="s">
        <v>11595</v>
      </c>
      <c r="BA5616" t="s">
        <v>11741</v>
      </c>
      <c r="BB5616">
        <v>0</v>
      </c>
      <c r="BC5616">
        <v>0</v>
      </c>
      <c r="BD5616">
        <v>0</v>
      </c>
      <c r="BE5616">
        <v>0</v>
      </c>
      <c r="BF5616">
        <v>1</v>
      </c>
      <c r="BG5616">
        <v>0</v>
      </c>
    </row>
    <row r="5617" spans="1:59">
      <c r="A5617" s="1">
        <f>HYPERLINK("https://lsnyc.legalserver.org/matter/dynamic-profile/view/1909888","19-1909888")</f>
        <v>0</v>
      </c>
      <c r="B5617" t="s">
        <v>4412</v>
      </c>
      <c r="C5617" t="s">
        <v>9273</v>
      </c>
      <c r="D5617" t="s">
        <v>9956</v>
      </c>
      <c r="E5617" t="s">
        <v>10075</v>
      </c>
      <c r="F5617">
        <v>11365</v>
      </c>
      <c r="G5617" t="s">
        <v>10092</v>
      </c>
      <c r="H5617" t="s">
        <v>10166</v>
      </c>
      <c r="I5617" t="s">
        <v>10168</v>
      </c>
      <c r="J5617" t="s">
        <v>10212</v>
      </c>
      <c r="K5617" t="s">
        <v>10217</v>
      </c>
      <c r="M5617" t="s">
        <v>10374</v>
      </c>
      <c r="N5617" t="s">
        <v>10730</v>
      </c>
      <c r="O5617" t="s">
        <v>10699</v>
      </c>
      <c r="P5617" t="s">
        <v>10754</v>
      </c>
      <c r="Q5617" t="s">
        <v>10775</v>
      </c>
      <c r="R5617" t="s">
        <v>10823</v>
      </c>
      <c r="T5617">
        <v>24000</v>
      </c>
      <c r="U5617">
        <v>2000</v>
      </c>
      <c r="V5617">
        <v>41</v>
      </c>
      <c r="W5617">
        <v>3</v>
      </c>
      <c r="X5617">
        <v>0</v>
      </c>
      <c r="Z5617">
        <v>112.52</v>
      </c>
      <c r="AA5617">
        <v>40.736983</v>
      </c>
      <c r="AB5617">
        <v>-73.800337</v>
      </c>
      <c r="AD5617" t="s">
        <v>10839</v>
      </c>
      <c r="AG5617" t="s">
        <v>10858</v>
      </c>
      <c r="AH5617" t="s">
        <v>10865</v>
      </c>
      <c r="AI5617">
        <v>237</v>
      </c>
      <c r="AJ5617" t="s">
        <v>10212</v>
      </c>
      <c r="AL5617">
        <v>1</v>
      </c>
      <c r="AM5617" t="s">
        <v>10890</v>
      </c>
      <c r="AN5617" t="s">
        <v>10934</v>
      </c>
      <c r="AO5617" t="s">
        <v>11009</v>
      </c>
      <c r="AP5617" t="s">
        <v>11081</v>
      </c>
      <c r="AR5617" t="s">
        <v>11328</v>
      </c>
      <c r="AS5617" t="s">
        <v>11594</v>
      </c>
      <c r="AT5617" t="s">
        <v>11641</v>
      </c>
      <c r="AX5617" t="s">
        <v>10838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</row>
    <row r="5618" spans="1:59">
      <c r="A5618" s="1">
        <f>HYPERLINK("https://lsnyc.legalserver.org/matter/dynamic-profile/view/1909890","19-1909890")</f>
        <v>0</v>
      </c>
      <c r="B5618" t="s">
        <v>4413</v>
      </c>
      <c r="C5618" t="s">
        <v>9274</v>
      </c>
      <c r="D5618" t="s">
        <v>9928</v>
      </c>
      <c r="E5618" t="s">
        <v>10075</v>
      </c>
      <c r="F5618">
        <v>11208</v>
      </c>
      <c r="G5618" t="s">
        <v>10093</v>
      </c>
      <c r="H5618" t="s">
        <v>10137</v>
      </c>
      <c r="I5618" t="s">
        <v>10168</v>
      </c>
      <c r="J5618" t="s">
        <v>10213</v>
      </c>
      <c r="K5618" t="s">
        <v>10217</v>
      </c>
      <c r="M5618" t="s">
        <v>10633</v>
      </c>
      <c r="N5618" t="s">
        <v>10738</v>
      </c>
      <c r="P5618" t="s">
        <v>10755</v>
      </c>
      <c r="Q5618" t="s">
        <v>10772</v>
      </c>
      <c r="R5618" t="s">
        <v>10821</v>
      </c>
      <c r="T5618">
        <v>51376</v>
      </c>
      <c r="U5618">
        <v>4281.33</v>
      </c>
      <c r="V5618">
        <v>40</v>
      </c>
      <c r="W5618">
        <v>1</v>
      </c>
      <c r="X5618">
        <v>3</v>
      </c>
      <c r="Z5618">
        <v>199.52</v>
      </c>
      <c r="AA5618">
        <v>40.672346</v>
      </c>
      <c r="AB5618">
        <v>-73.883259</v>
      </c>
      <c r="AD5618" t="s">
        <v>10839</v>
      </c>
      <c r="AG5618" t="s">
        <v>10858</v>
      </c>
      <c r="AH5618" t="s">
        <v>10877</v>
      </c>
      <c r="AI5618">
        <v>239</v>
      </c>
      <c r="AJ5618" t="s">
        <v>10213</v>
      </c>
      <c r="AL5618">
        <v>0.25</v>
      </c>
      <c r="AM5618" t="s">
        <v>10889</v>
      </c>
      <c r="AN5618" t="s">
        <v>10946</v>
      </c>
      <c r="AO5618" t="s">
        <v>11012</v>
      </c>
      <c r="AP5618" t="s">
        <v>11060</v>
      </c>
      <c r="AR5618" t="s">
        <v>11257</v>
      </c>
      <c r="AS5618" t="s">
        <v>11595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</row>
    <row r="5619" spans="1:59">
      <c r="A5619" s="1">
        <f>HYPERLINK("https://lsnyc.legalserver.org/matter/dynamic-profile/view/1909891","19-1909891")</f>
        <v>0</v>
      </c>
      <c r="B5619" t="s">
        <v>4414</v>
      </c>
      <c r="C5619" t="s">
        <v>9275</v>
      </c>
      <c r="D5619" t="s">
        <v>9925</v>
      </c>
      <c r="E5619" t="s">
        <v>10075</v>
      </c>
      <c r="F5619">
        <v>10002</v>
      </c>
      <c r="G5619" t="s">
        <v>10089</v>
      </c>
      <c r="H5619" t="s">
        <v>10099</v>
      </c>
      <c r="I5619" t="s">
        <v>10169</v>
      </c>
      <c r="J5619" t="s">
        <v>10209</v>
      </c>
      <c r="K5619" t="s">
        <v>10218</v>
      </c>
      <c r="L5619" t="s">
        <v>10162</v>
      </c>
      <c r="M5619" t="s">
        <v>10233</v>
      </c>
      <c r="N5619" t="s">
        <v>10649</v>
      </c>
      <c r="P5619" t="s">
        <v>10753</v>
      </c>
      <c r="Q5619" t="s">
        <v>10763</v>
      </c>
      <c r="R5619" t="s">
        <v>10821</v>
      </c>
      <c r="T5619">
        <v>8532</v>
      </c>
      <c r="U5619">
        <v>711</v>
      </c>
      <c r="V5619">
        <v>73</v>
      </c>
      <c r="W5619">
        <v>1</v>
      </c>
      <c r="X5619">
        <v>0</v>
      </c>
      <c r="Y5619" t="s">
        <v>10829</v>
      </c>
      <c r="Z5619">
        <v>68.31</v>
      </c>
      <c r="AA5619">
        <v>40.715754</v>
      </c>
      <c r="AB5619">
        <v>-73.97662200000001</v>
      </c>
      <c r="AD5619" t="s">
        <v>10839</v>
      </c>
      <c r="AF5619" t="s">
        <v>10843</v>
      </c>
      <c r="AG5619" t="s">
        <v>10859</v>
      </c>
      <c r="AH5619" t="s">
        <v>10864</v>
      </c>
      <c r="AI5619">
        <v>236</v>
      </c>
      <c r="AJ5619" t="s">
        <v>10209</v>
      </c>
      <c r="AK5619" t="s">
        <v>10882</v>
      </c>
      <c r="AL5619">
        <v>0.5</v>
      </c>
      <c r="AM5619" t="s">
        <v>10886</v>
      </c>
      <c r="AN5619" t="s">
        <v>10910</v>
      </c>
      <c r="AO5619" t="s">
        <v>11004</v>
      </c>
      <c r="AP5619" t="s">
        <v>11048</v>
      </c>
      <c r="AQ5619" t="s">
        <v>11097</v>
      </c>
      <c r="AR5619" t="s">
        <v>11253</v>
      </c>
      <c r="AS5619" t="s">
        <v>9925</v>
      </c>
      <c r="AY5619" t="s">
        <v>10829</v>
      </c>
      <c r="AZ5619" t="s">
        <v>11709</v>
      </c>
      <c r="BA5619" t="s">
        <v>11741</v>
      </c>
      <c r="BB5619">
        <v>0</v>
      </c>
      <c r="BC5619">
        <v>0</v>
      </c>
      <c r="BD5619">
        <v>0</v>
      </c>
      <c r="BE5619">
        <v>0</v>
      </c>
      <c r="BF5619">
        <v>1</v>
      </c>
      <c r="BG5619">
        <v>0</v>
      </c>
    </row>
    <row r="5620" spans="1:59">
      <c r="A5620" s="1">
        <f>HYPERLINK("https://lsnyc.legalserver.org/matter/dynamic-profile/view/1909892","19-1909892")</f>
        <v>0</v>
      </c>
      <c r="B5620" t="s">
        <v>4399</v>
      </c>
      <c r="C5620" t="s">
        <v>7766</v>
      </c>
      <c r="D5620" t="s">
        <v>9928</v>
      </c>
      <c r="E5620" t="s">
        <v>10075</v>
      </c>
      <c r="F5620">
        <v>11212</v>
      </c>
      <c r="G5620" t="s">
        <v>10089</v>
      </c>
      <c r="H5620" t="s">
        <v>10099</v>
      </c>
      <c r="I5620" t="s">
        <v>10168</v>
      </c>
      <c r="J5620" t="s">
        <v>10209</v>
      </c>
      <c r="K5620" t="s">
        <v>10217</v>
      </c>
      <c r="M5620" t="s">
        <v>10233</v>
      </c>
      <c r="N5620" t="s">
        <v>10646</v>
      </c>
      <c r="P5620" t="s">
        <v>10757</v>
      </c>
      <c r="Q5620" t="s">
        <v>10815</v>
      </c>
      <c r="R5620" t="s">
        <v>10820</v>
      </c>
      <c r="T5620">
        <v>42360</v>
      </c>
      <c r="U5620">
        <v>3530</v>
      </c>
      <c r="V5620">
        <v>53</v>
      </c>
      <c r="W5620">
        <v>2</v>
      </c>
      <c r="X5620">
        <v>0</v>
      </c>
      <c r="Z5620">
        <v>250.5</v>
      </c>
      <c r="AA5620">
        <v>40.665272</v>
      </c>
      <c r="AB5620">
        <v>-73.904843</v>
      </c>
      <c r="AD5620" t="s">
        <v>10839</v>
      </c>
      <c r="AG5620" t="s">
        <v>10858</v>
      </c>
      <c r="AH5620" t="s">
        <v>10864</v>
      </c>
      <c r="AI5620">
        <v>236</v>
      </c>
      <c r="AJ5620" t="s">
        <v>10209</v>
      </c>
      <c r="AL5620">
        <v>0.75</v>
      </c>
      <c r="AM5620" t="s">
        <v>10888</v>
      </c>
      <c r="AN5620" t="s">
        <v>10922</v>
      </c>
      <c r="AO5620" t="s">
        <v>11005</v>
      </c>
      <c r="AP5620" t="s">
        <v>11064</v>
      </c>
      <c r="AQ5620" t="s">
        <v>11229</v>
      </c>
      <c r="AR5620" t="s">
        <v>11257</v>
      </c>
      <c r="AS5620" t="s">
        <v>11595</v>
      </c>
      <c r="BA5620" t="s">
        <v>11740</v>
      </c>
      <c r="BB5620">
        <v>0</v>
      </c>
      <c r="BC5620">
        <v>0</v>
      </c>
      <c r="BD5620">
        <v>0</v>
      </c>
      <c r="BE5620">
        <v>0</v>
      </c>
      <c r="BF5620">
        <v>2</v>
      </c>
      <c r="BG5620">
        <v>0</v>
      </c>
    </row>
    <row r="5621" spans="1:59">
      <c r="A5621" s="1">
        <f>HYPERLINK("https://lsnyc.legalserver.org/matter/dynamic-profile/view/1909893","19-1909893")</f>
        <v>0</v>
      </c>
      <c r="B5621" t="s">
        <v>4415</v>
      </c>
      <c r="C5621" t="s">
        <v>9276</v>
      </c>
      <c r="D5621" t="s">
        <v>9926</v>
      </c>
      <c r="E5621" t="s">
        <v>10075</v>
      </c>
      <c r="F5621">
        <v>10474</v>
      </c>
      <c r="G5621" t="s">
        <v>10090</v>
      </c>
      <c r="H5621" t="s">
        <v>10137</v>
      </c>
      <c r="J5621" t="s">
        <v>10210</v>
      </c>
      <c r="K5621" t="s">
        <v>10217</v>
      </c>
      <c r="M5621" t="s">
        <v>10546</v>
      </c>
      <c r="N5621" t="s">
        <v>10666</v>
      </c>
      <c r="P5621" t="s">
        <v>10749</v>
      </c>
      <c r="Q5621" t="s">
        <v>10765</v>
      </c>
      <c r="R5621" t="s">
        <v>10824</v>
      </c>
      <c r="T5621">
        <v>4512</v>
      </c>
      <c r="U5621">
        <v>376</v>
      </c>
      <c r="V5621">
        <v>46</v>
      </c>
      <c r="W5621">
        <v>1</v>
      </c>
      <c r="X5621">
        <v>0</v>
      </c>
      <c r="Z5621">
        <v>36.12</v>
      </c>
      <c r="AA5621">
        <v>40.818744</v>
      </c>
      <c r="AB5621">
        <v>-73.88697999999999</v>
      </c>
      <c r="AD5621" t="s">
        <v>10839</v>
      </c>
      <c r="AG5621" t="s">
        <v>10858</v>
      </c>
      <c r="AH5621" t="s">
        <v>10862</v>
      </c>
      <c r="AI5621">
        <v>230</v>
      </c>
      <c r="AJ5621" t="s">
        <v>10210</v>
      </c>
      <c r="AL5621">
        <v>5.85</v>
      </c>
      <c r="AM5621" t="s">
        <v>10884</v>
      </c>
      <c r="AN5621" t="s">
        <v>10968</v>
      </c>
      <c r="AO5621" t="s">
        <v>11001</v>
      </c>
      <c r="AP5621" t="s">
        <v>11062</v>
      </c>
      <c r="AR5621" t="s">
        <v>11255</v>
      </c>
      <c r="AS5621" t="s">
        <v>9926</v>
      </c>
      <c r="AT5621" t="s">
        <v>11641</v>
      </c>
      <c r="BA5621" t="s">
        <v>11738</v>
      </c>
      <c r="BB5621">
        <v>0</v>
      </c>
      <c r="BC5621">
        <v>0</v>
      </c>
      <c r="BD5621">
        <v>0</v>
      </c>
      <c r="BE5621">
        <v>0</v>
      </c>
      <c r="BF5621">
        <v>5</v>
      </c>
      <c r="BG5621">
        <v>0</v>
      </c>
    </row>
    <row r="5622" spans="1:59">
      <c r="A5622" s="1">
        <f>HYPERLINK("https://lsnyc.legalserver.org/matter/dynamic-profile/view/1909894","19-1909894")</f>
        <v>0</v>
      </c>
      <c r="B5622" t="s">
        <v>4416</v>
      </c>
      <c r="C5622" t="s">
        <v>9277</v>
      </c>
      <c r="D5622" t="s">
        <v>9965</v>
      </c>
      <c r="E5622" t="s">
        <v>10075</v>
      </c>
      <c r="F5622">
        <v>11101</v>
      </c>
      <c r="G5622" t="s">
        <v>10093</v>
      </c>
      <c r="H5622" t="s">
        <v>10137</v>
      </c>
      <c r="I5622" t="s">
        <v>10168</v>
      </c>
      <c r="J5622" t="s">
        <v>10213</v>
      </c>
      <c r="K5622" t="s">
        <v>10218</v>
      </c>
      <c r="L5622" t="s">
        <v>10157</v>
      </c>
      <c r="M5622" t="s">
        <v>10436</v>
      </c>
      <c r="N5622" t="s">
        <v>10710</v>
      </c>
      <c r="P5622" t="s">
        <v>10750</v>
      </c>
      <c r="Q5622" t="s">
        <v>10760</v>
      </c>
      <c r="R5622" t="s">
        <v>10824</v>
      </c>
      <c r="T5622">
        <v>15600</v>
      </c>
      <c r="U5622">
        <v>1300</v>
      </c>
      <c r="V5622">
        <v>57</v>
      </c>
      <c r="W5622">
        <v>1</v>
      </c>
      <c r="X5622">
        <v>0</v>
      </c>
      <c r="Y5622" t="s">
        <v>10829</v>
      </c>
      <c r="Z5622">
        <v>124.9</v>
      </c>
      <c r="AA5622">
        <v>40.75643</v>
      </c>
      <c r="AB5622">
        <v>-73.94731</v>
      </c>
      <c r="AD5622" t="s">
        <v>10840</v>
      </c>
      <c r="AG5622" t="s">
        <v>10858</v>
      </c>
      <c r="AH5622" t="s">
        <v>10861</v>
      </c>
      <c r="AI5622">
        <v>234</v>
      </c>
      <c r="AJ5622" t="s">
        <v>10214</v>
      </c>
      <c r="AK5622" t="s">
        <v>10838</v>
      </c>
      <c r="AL5622">
        <v>0.4</v>
      </c>
      <c r="AM5622" t="s">
        <v>10891</v>
      </c>
      <c r="AN5622" t="s">
        <v>10961</v>
      </c>
      <c r="AO5622" t="s">
        <v>11003</v>
      </c>
      <c r="AP5622" t="s">
        <v>11047</v>
      </c>
      <c r="AR5622" t="s">
        <v>11257</v>
      </c>
      <c r="AS5622" t="s">
        <v>11594</v>
      </c>
      <c r="AT5622" t="s">
        <v>11642</v>
      </c>
      <c r="AX5622" t="s">
        <v>10838</v>
      </c>
      <c r="AY5622" t="s">
        <v>10829</v>
      </c>
      <c r="AZ5622" t="s">
        <v>11679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</row>
    <row r="5623" spans="1:59">
      <c r="A5623" s="1">
        <f>HYPERLINK("https://lsnyc.legalserver.org/matter/dynamic-profile/view/1909895","19-1909895")</f>
        <v>0</v>
      </c>
      <c r="B5623" t="s">
        <v>4417</v>
      </c>
      <c r="C5623" t="s">
        <v>5053</v>
      </c>
      <c r="D5623" t="s">
        <v>9929</v>
      </c>
      <c r="E5623" t="s">
        <v>10075</v>
      </c>
      <c r="F5623">
        <v>10303</v>
      </c>
      <c r="G5623" t="s">
        <v>10088</v>
      </c>
      <c r="H5623" t="s">
        <v>10137</v>
      </c>
      <c r="I5623" t="s">
        <v>10168</v>
      </c>
      <c r="J5623" t="s">
        <v>10208</v>
      </c>
      <c r="K5623" t="s">
        <v>10217</v>
      </c>
      <c r="M5623" t="s">
        <v>10257</v>
      </c>
      <c r="N5623" t="s">
        <v>10655</v>
      </c>
      <c r="P5623" t="s">
        <v>10749</v>
      </c>
      <c r="Q5623" t="s">
        <v>10765</v>
      </c>
      <c r="R5623" t="s">
        <v>10824</v>
      </c>
      <c r="T5623">
        <v>38480.04</v>
      </c>
      <c r="U5623">
        <v>3206.67</v>
      </c>
      <c r="V5623">
        <v>42</v>
      </c>
      <c r="W5623">
        <v>1</v>
      </c>
      <c r="X5623">
        <v>1</v>
      </c>
      <c r="Z5623">
        <v>227.56</v>
      </c>
      <c r="AA5623">
        <v>40.638912</v>
      </c>
      <c r="AB5623">
        <v>-74.17009400000001</v>
      </c>
      <c r="AD5623" t="s">
        <v>10839</v>
      </c>
      <c r="AG5623" t="s">
        <v>10858</v>
      </c>
      <c r="AH5623" t="s">
        <v>10862</v>
      </c>
      <c r="AI5623">
        <v>285</v>
      </c>
      <c r="AJ5623" t="s">
        <v>10208</v>
      </c>
      <c r="AL5623">
        <v>0.5</v>
      </c>
      <c r="AM5623" t="s">
        <v>10883</v>
      </c>
      <c r="AN5623" t="s">
        <v>10928</v>
      </c>
      <c r="AO5623" t="s">
        <v>11006</v>
      </c>
      <c r="AP5623" t="s">
        <v>11051</v>
      </c>
      <c r="AR5623" t="s">
        <v>11257</v>
      </c>
      <c r="AS5623" t="s">
        <v>11593</v>
      </c>
      <c r="BA5623" t="s">
        <v>11738</v>
      </c>
      <c r="BB5623">
        <v>0</v>
      </c>
      <c r="BC5623">
        <v>0</v>
      </c>
      <c r="BD5623">
        <v>0</v>
      </c>
      <c r="BE5623">
        <v>0</v>
      </c>
      <c r="BF5623">
        <v>5</v>
      </c>
      <c r="BG5623">
        <v>0</v>
      </c>
    </row>
    <row r="5624" spans="1:59">
      <c r="A5624" s="1">
        <f>HYPERLINK("https://lsnyc.legalserver.org/matter/dynamic-profile/view/1909896","19-1909896")</f>
        <v>0</v>
      </c>
      <c r="B5624" t="s">
        <v>4418</v>
      </c>
      <c r="C5624" t="s">
        <v>9278</v>
      </c>
      <c r="D5624" t="s">
        <v>9925</v>
      </c>
      <c r="E5624" t="s">
        <v>10075</v>
      </c>
      <c r="F5624">
        <v>10029</v>
      </c>
      <c r="G5624" t="s">
        <v>10089</v>
      </c>
      <c r="H5624" t="s">
        <v>10137</v>
      </c>
      <c r="I5624" t="s">
        <v>10168</v>
      </c>
      <c r="J5624" t="s">
        <v>10209</v>
      </c>
      <c r="K5624" t="s">
        <v>10217</v>
      </c>
      <c r="M5624" t="s">
        <v>10286</v>
      </c>
      <c r="N5624" t="s">
        <v>10671</v>
      </c>
      <c r="P5624" t="s">
        <v>10751</v>
      </c>
      <c r="Q5624" t="s">
        <v>10780</v>
      </c>
      <c r="R5624" t="s">
        <v>10824</v>
      </c>
      <c r="T5624">
        <v>2364</v>
      </c>
      <c r="U5624">
        <v>197</v>
      </c>
      <c r="V5624">
        <v>59</v>
      </c>
      <c r="W5624">
        <v>1</v>
      </c>
      <c r="X5624">
        <v>0</v>
      </c>
      <c r="Z5624">
        <v>18.93</v>
      </c>
      <c r="AA5624">
        <v>40.786019</v>
      </c>
      <c r="AB5624">
        <v>-73.948342</v>
      </c>
      <c r="AD5624" t="s">
        <v>10839</v>
      </c>
      <c r="AG5624" t="s">
        <v>10858</v>
      </c>
      <c r="AH5624" t="s">
        <v>10861</v>
      </c>
      <c r="AI5624">
        <v>234</v>
      </c>
      <c r="AJ5624" t="s">
        <v>10214</v>
      </c>
      <c r="AL5624">
        <v>0.5</v>
      </c>
      <c r="AR5624" t="s">
        <v>11255</v>
      </c>
      <c r="AS5624" t="s">
        <v>9925</v>
      </c>
      <c r="AT5624" t="s">
        <v>11641</v>
      </c>
      <c r="AX5624" t="s">
        <v>10838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</row>
    <row r="5625" spans="1:59">
      <c r="A5625" s="1">
        <f>HYPERLINK("https://lsnyc.legalserver.org/matter/dynamic-profile/view/1909897","19-1909897")</f>
        <v>0</v>
      </c>
      <c r="B5625" t="s">
        <v>1560</v>
      </c>
      <c r="C5625" t="s">
        <v>9279</v>
      </c>
      <c r="D5625" t="s">
        <v>9926</v>
      </c>
      <c r="E5625" t="s">
        <v>10075</v>
      </c>
      <c r="F5625">
        <v>10453</v>
      </c>
      <c r="G5625" t="s">
        <v>10089</v>
      </c>
      <c r="H5625" t="s">
        <v>10137</v>
      </c>
      <c r="I5625" t="s">
        <v>10169</v>
      </c>
      <c r="J5625" t="s">
        <v>10209</v>
      </c>
      <c r="K5625" t="s">
        <v>10217</v>
      </c>
      <c r="M5625" t="s">
        <v>10490</v>
      </c>
      <c r="N5625" t="s">
        <v>10718</v>
      </c>
      <c r="P5625" t="s">
        <v>10750</v>
      </c>
      <c r="Q5625" t="s">
        <v>10760</v>
      </c>
      <c r="R5625" t="s">
        <v>10821</v>
      </c>
      <c r="T5625">
        <v>14400</v>
      </c>
      <c r="U5625">
        <v>1200</v>
      </c>
      <c r="V5625">
        <v>35</v>
      </c>
      <c r="W5625">
        <v>1</v>
      </c>
      <c r="X5625">
        <v>0</v>
      </c>
      <c r="Z5625">
        <v>115.29</v>
      </c>
      <c r="AA5625">
        <v>40.847768</v>
      </c>
      <c r="AB5625">
        <v>-73.910799</v>
      </c>
      <c r="AD5625" t="s">
        <v>10839</v>
      </c>
      <c r="AG5625" t="s">
        <v>10858</v>
      </c>
      <c r="AH5625" t="s">
        <v>10871</v>
      </c>
      <c r="AI5625">
        <v>234</v>
      </c>
      <c r="AJ5625" t="s">
        <v>10214</v>
      </c>
      <c r="AL5625">
        <v>1.75</v>
      </c>
      <c r="AM5625" t="s">
        <v>10884</v>
      </c>
      <c r="AN5625" t="s">
        <v>10931</v>
      </c>
      <c r="AO5625" t="s">
        <v>11000</v>
      </c>
      <c r="AP5625" t="s">
        <v>11045</v>
      </c>
      <c r="AR5625" t="s">
        <v>11257</v>
      </c>
      <c r="AS5625" t="s">
        <v>9926</v>
      </c>
      <c r="AT5625" t="s">
        <v>11641</v>
      </c>
      <c r="AX5625" t="s">
        <v>10838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</row>
    <row r="5626" spans="1:59">
      <c r="A5626" s="1">
        <f>HYPERLINK("https://lsnyc.legalserver.org/matter/dynamic-profile/view/1909898","19-1909898")</f>
        <v>0</v>
      </c>
      <c r="B5626" t="s">
        <v>4419</v>
      </c>
      <c r="C5626" t="s">
        <v>9280</v>
      </c>
      <c r="D5626" t="s">
        <v>9925</v>
      </c>
      <c r="E5626" t="s">
        <v>10075</v>
      </c>
      <c r="F5626">
        <v>10031</v>
      </c>
      <c r="G5626" t="s">
        <v>10089</v>
      </c>
      <c r="H5626" t="s">
        <v>10137</v>
      </c>
      <c r="I5626" t="s">
        <v>10168</v>
      </c>
      <c r="J5626" t="s">
        <v>10209</v>
      </c>
      <c r="K5626" t="s">
        <v>10217</v>
      </c>
      <c r="M5626" t="s">
        <v>10625</v>
      </c>
      <c r="N5626" t="s">
        <v>10702</v>
      </c>
      <c r="P5626" t="s">
        <v>10749</v>
      </c>
      <c r="Q5626" t="s">
        <v>10765</v>
      </c>
      <c r="R5626" t="s">
        <v>10824</v>
      </c>
      <c r="T5626">
        <v>13200</v>
      </c>
      <c r="U5626">
        <v>1100</v>
      </c>
      <c r="V5626">
        <v>74</v>
      </c>
      <c r="W5626">
        <v>1</v>
      </c>
      <c r="X5626">
        <v>0</v>
      </c>
      <c r="Z5626">
        <v>105.68</v>
      </c>
      <c r="AA5626">
        <v>40.826707</v>
      </c>
      <c r="AB5626">
        <v>-73.94183700000001</v>
      </c>
      <c r="AD5626" t="s">
        <v>10839</v>
      </c>
      <c r="AG5626" t="s">
        <v>10858</v>
      </c>
      <c r="AH5626" t="s">
        <v>10862</v>
      </c>
      <c r="AI5626">
        <v>236</v>
      </c>
      <c r="AJ5626" t="s">
        <v>10209</v>
      </c>
      <c r="AL5626">
        <v>8.4</v>
      </c>
      <c r="AM5626" t="s">
        <v>10887</v>
      </c>
      <c r="AN5626" t="s">
        <v>10943</v>
      </c>
      <c r="AO5626" t="s">
        <v>11016</v>
      </c>
      <c r="AP5626" t="s">
        <v>11076</v>
      </c>
      <c r="AR5626" t="s">
        <v>11268</v>
      </c>
      <c r="AS5626" t="s">
        <v>9925</v>
      </c>
      <c r="BA5626" t="s">
        <v>11738</v>
      </c>
      <c r="BB5626">
        <v>0</v>
      </c>
      <c r="BC5626">
        <v>0</v>
      </c>
      <c r="BD5626">
        <v>0</v>
      </c>
      <c r="BE5626">
        <v>0</v>
      </c>
      <c r="BF5626">
        <v>5</v>
      </c>
      <c r="BG5626">
        <v>0</v>
      </c>
    </row>
    <row r="5627" spans="1:59">
      <c r="A5627" s="1">
        <f>HYPERLINK("https://lsnyc.legalserver.org/matter/dynamic-profile/view/1909899","19-1909899")</f>
        <v>0</v>
      </c>
      <c r="B5627" t="s">
        <v>4420</v>
      </c>
      <c r="C5627" t="s">
        <v>9281</v>
      </c>
      <c r="D5627" t="s">
        <v>9929</v>
      </c>
      <c r="E5627" t="s">
        <v>10075</v>
      </c>
      <c r="F5627">
        <v>10303</v>
      </c>
      <c r="G5627" t="s">
        <v>10088</v>
      </c>
      <c r="H5627" t="s">
        <v>10137</v>
      </c>
      <c r="I5627" t="s">
        <v>10168</v>
      </c>
      <c r="J5627" t="s">
        <v>10208</v>
      </c>
      <c r="K5627" t="s">
        <v>10218</v>
      </c>
      <c r="L5627" t="s">
        <v>10136</v>
      </c>
      <c r="M5627" t="s">
        <v>10634</v>
      </c>
      <c r="N5627" t="s">
        <v>10655</v>
      </c>
      <c r="P5627" t="s">
        <v>10749</v>
      </c>
      <c r="Q5627" t="s">
        <v>10765</v>
      </c>
      <c r="R5627" t="s">
        <v>10822</v>
      </c>
      <c r="T5627">
        <v>38345.28</v>
      </c>
      <c r="U5627">
        <v>3195.44</v>
      </c>
      <c r="V5627">
        <v>60</v>
      </c>
      <c r="W5627">
        <v>1</v>
      </c>
      <c r="X5627">
        <v>0</v>
      </c>
      <c r="Y5627" t="s">
        <v>10829</v>
      </c>
      <c r="Z5627">
        <v>307.01</v>
      </c>
      <c r="AA5627">
        <v>40.639331</v>
      </c>
      <c r="AB5627">
        <v>-74.170394</v>
      </c>
      <c r="AD5627" t="s">
        <v>10839</v>
      </c>
      <c r="AG5627" t="s">
        <v>10858</v>
      </c>
      <c r="AH5627" t="s">
        <v>10862</v>
      </c>
      <c r="AI5627">
        <v>285</v>
      </c>
      <c r="AJ5627" t="s">
        <v>10208</v>
      </c>
      <c r="AK5627" t="s">
        <v>10838</v>
      </c>
      <c r="AL5627">
        <v>0.8</v>
      </c>
      <c r="AM5627" t="s">
        <v>10883</v>
      </c>
      <c r="AN5627" t="s">
        <v>10928</v>
      </c>
      <c r="AO5627" t="s">
        <v>11006</v>
      </c>
      <c r="AP5627" t="s">
        <v>11051</v>
      </c>
      <c r="AR5627" t="s">
        <v>11257</v>
      </c>
      <c r="AS5627" t="s">
        <v>11593</v>
      </c>
      <c r="AY5627" t="s">
        <v>10829</v>
      </c>
      <c r="AZ5627" t="s">
        <v>11681</v>
      </c>
      <c r="BA5627" t="s">
        <v>11741</v>
      </c>
      <c r="BB5627">
        <v>0</v>
      </c>
      <c r="BC5627">
        <v>0</v>
      </c>
      <c r="BD5627">
        <v>0</v>
      </c>
      <c r="BE5627">
        <v>0</v>
      </c>
      <c r="BF5627">
        <v>1</v>
      </c>
      <c r="BG5627">
        <v>0</v>
      </c>
    </row>
    <row r="5628" spans="1:59">
      <c r="A5628" s="1">
        <f>HYPERLINK("https://lsnyc.legalserver.org/matter/dynamic-profile/view/1909900","19-1909900")</f>
        <v>0</v>
      </c>
      <c r="B5628" t="s">
        <v>4421</v>
      </c>
      <c r="C5628" t="s">
        <v>9282</v>
      </c>
      <c r="D5628" t="s">
        <v>9938</v>
      </c>
      <c r="E5628" t="s">
        <v>10075</v>
      </c>
      <c r="F5628">
        <v>11434</v>
      </c>
      <c r="G5628" t="s">
        <v>10092</v>
      </c>
      <c r="H5628" t="s">
        <v>10137</v>
      </c>
      <c r="I5628" t="s">
        <v>10168</v>
      </c>
      <c r="J5628" t="s">
        <v>10212</v>
      </c>
      <c r="K5628" t="s">
        <v>10217</v>
      </c>
      <c r="M5628" t="s">
        <v>10555</v>
      </c>
      <c r="N5628" t="s">
        <v>10693</v>
      </c>
      <c r="P5628" t="s">
        <v>10749</v>
      </c>
      <c r="Q5628" t="s">
        <v>10765</v>
      </c>
      <c r="R5628" t="s">
        <v>10824</v>
      </c>
      <c r="T5628">
        <v>33000</v>
      </c>
      <c r="U5628">
        <v>2750</v>
      </c>
      <c r="V5628">
        <v>29</v>
      </c>
      <c r="W5628">
        <v>1</v>
      </c>
      <c r="X5628">
        <v>2</v>
      </c>
      <c r="Z5628">
        <v>154.71</v>
      </c>
      <c r="AA5628">
        <v>40.681323</v>
      </c>
      <c r="AB5628">
        <v>-73.789321</v>
      </c>
      <c r="AD5628" t="s">
        <v>10839</v>
      </c>
      <c r="AG5628" t="s">
        <v>10858</v>
      </c>
      <c r="AH5628" t="s">
        <v>10862</v>
      </c>
      <c r="AI5628">
        <v>237</v>
      </c>
      <c r="AJ5628" t="s">
        <v>10212</v>
      </c>
      <c r="AL5628">
        <v>0.8</v>
      </c>
      <c r="AM5628" t="s">
        <v>10892</v>
      </c>
      <c r="AN5628" t="s">
        <v>10951</v>
      </c>
      <c r="AO5628" t="s">
        <v>11017</v>
      </c>
      <c r="AP5628" t="s">
        <v>11070</v>
      </c>
      <c r="AR5628" t="s">
        <v>11257</v>
      </c>
      <c r="AS5628" t="s">
        <v>11594</v>
      </c>
      <c r="AX5628" t="s">
        <v>10838</v>
      </c>
      <c r="BA5628" t="s">
        <v>11738</v>
      </c>
      <c r="BB5628">
        <v>0</v>
      </c>
      <c r="BC5628">
        <v>0</v>
      </c>
      <c r="BD5628">
        <v>0</v>
      </c>
      <c r="BE5628">
        <v>0</v>
      </c>
      <c r="BF5628">
        <v>5</v>
      </c>
      <c r="BG5628">
        <v>0</v>
      </c>
    </row>
    <row r="5629" spans="1:59">
      <c r="A5629" s="1">
        <f>HYPERLINK("https://lsnyc.legalserver.org/matter/dynamic-profile/view/1909901","19-1909901")</f>
        <v>0</v>
      </c>
      <c r="B5629" t="s">
        <v>845</v>
      </c>
      <c r="C5629" t="s">
        <v>9283</v>
      </c>
      <c r="D5629" t="s">
        <v>9925</v>
      </c>
      <c r="E5629" t="s">
        <v>10075</v>
      </c>
      <c r="F5629">
        <v>10027</v>
      </c>
      <c r="G5629" t="s">
        <v>10089</v>
      </c>
      <c r="H5629" t="s">
        <v>10137</v>
      </c>
      <c r="I5629" t="s">
        <v>10168</v>
      </c>
      <c r="J5629" t="s">
        <v>10209</v>
      </c>
      <c r="K5629" t="s">
        <v>10217</v>
      </c>
      <c r="M5629" t="s">
        <v>10625</v>
      </c>
      <c r="N5629" t="s">
        <v>10702</v>
      </c>
      <c r="P5629" t="s">
        <v>10749</v>
      </c>
      <c r="Q5629" t="s">
        <v>10765</v>
      </c>
      <c r="R5629" t="s">
        <v>10824</v>
      </c>
      <c r="T5629">
        <v>0</v>
      </c>
      <c r="U5629">
        <v>0</v>
      </c>
      <c r="V5629">
        <v>54</v>
      </c>
      <c r="W5629">
        <v>1</v>
      </c>
      <c r="X5629">
        <v>0</v>
      </c>
      <c r="Z5629">
        <v>0</v>
      </c>
      <c r="AA5629">
        <v>40.806707</v>
      </c>
      <c r="AB5629">
        <v>-73.950472</v>
      </c>
      <c r="AD5629" t="s">
        <v>10839</v>
      </c>
      <c r="AG5629" t="s">
        <v>10858</v>
      </c>
      <c r="AH5629" t="s">
        <v>10862</v>
      </c>
      <c r="AI5629">
        <v>236</v>
      </c>
      <c r="AJ5629" t="s">
        <v>10209</v>
      </c>
      <c r="AL5629">
        <v>6.2</v>
      </c>
      <c r="AR5629" t="s">
        <v>11267</v>
      </c>
      <c r="AS5629" t="s">
        <v>9925</v>
      </c>
      <c r="BA5629" t="s">
        <v>11738</v>
      </c>
      <c r="BB5629">
        <v>0</v>
      </c>
      <c r="BC5629">
        <v>0</v>
      </c>
      <c r="BD5629">
        <v>0</v>
      </c>
      <c r="BE5629">
        <v>0</v>
      </c>
      <c r="BF5629">
        <v>5</v>
      </c>
      <c r="BG5629">
        <v>0</v>
      </c>
    </row>
    <row r="5630" spans="1:59">
      <c r="A5630" s="1">
        <f>HYPERLINK("https://lsnyc.legalserver.org/matter/dynamic-profile/view/1909902","19-1909902")</f>
        <v>0</v>
      </c>
      <c r="B5630" t="s">
        <v>4422</v>
      </c>
      <c r="C5630" t="s">
        <v>9284</v>
      </c>
      <c r="D5630" t="s">
        <v>9926</v>
      </c>
      <c r="E5630" t="s">
        <v>10075</v>
      </c>
      <c r="F5630">
        <v>10453</v>
      </c>
      <c r="G5630" t="s">
        <v>10090</v>
      </c>
      <c r="H5630" t="s">
        <v>10137</v>
      </c>
      <c r="I5630" t="s">
        <v>10169</v>
      </c>
      <c r="J5630" t="s">
        <v>10210</v>
      </c>
      <c r="K5630" t="s">
        <v>10217</v>
      </c>
      <c r="M5630" t="s">
        <v>10372</v>
      </c>
      <c r="N5630" t="s">
        <v>10694</v>
      </c>
      <c r="P5630" t="s">
        <v>10751</v>
      </c>
      <c r="Q5630" t="s">
        <v>10773</v>
      </c>
      <c r="R5630" t="s">
        <v>10821</v>
      </c>
      <c r="T5630">
        <v>0</v>
      </c>
      <c r="U5630">
        <v>0</v>
      </c>
      <c r="V5630">
        <v>41</v>
      </c>
      <c r="W5630">
        <v>1</v>
      </c>
      <c r="X5630">
        <v>0</v>
      </c>
      <c r="Z5630">
        <v>0</v>
      </c>
      <c r="AA5630">
        <v>40.8541</v>
      </c>
      <c r="AB5630">
        <v>-73.90813300000001</v>
      </c>
      <c r="AD5630" t="s">
        <v>10840</v>
      </c>
      <c r="AF5630" t="s">
        <v>10843</v>
      </c>
      <c r="AG5630" t="s">
        <v>10859</v>
      </c>
      <c r="AH5630" t="s">
        <v>10861</v>
      </c>
      <c r="AI5630">
        <v>234</v>
      </c>
      <c r="AJ5630" t="s">
        <v>10214</v>
      </c>
      <c r="AL5630">
        <v>2.85</v>
      </c>
      <c r="AM5630" t="s">
        <v>10884</v>
      </c>
      <c r="AN5630" t="s">
        <v>10931</v>
      </c>
      <c r="AO5630" t="s">
        <v>11000</v>
      </c>
      <c r="AP5630" t="s">
        <v>11045</v>
      </c>
      <c r="AR5630" t="s">
        <v>11267</v>
      </c>
      <c r="AS5630" t="s">
        <v>9926</v>
      </c>
      <c r="AT5630" t="s">
        <v>11642</v>
      </c>
      <c r="AX5630" t="s">
        <v>10838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</row>
    <row r="5631" spans="1:59">
      <c r="A5631" s="1">
        <f>HYPERLINK("https://lsnyc.legalserver.org/matter/dynamic-profile/view/1909903","19-1909903")</f>
        <v>0</v>
      </c>
      <c r="B5631" t="s">
        <v>4423</v>
      </c>
      <c r="C5631" t="s">
        <v>9281</v>
      </c>
      <c r="D5631" t="s">
        <v>9929</v>
      </c>
      <c r="E5631" t="s">
        <v>10075</v>
      </c>
      <c r="F5631">
        <v>10303</v>
      </c>
      <c r="G5631" t="s">
        <v>10088</v>
      </c>
      <c r="H5631" t="s">
        <v>10137</v>
      </c>
      <c r="I5631" t="s">
        <v>10168</v>
      </c>
      <c r="J5631" t="s">
        <v>10208</v>
      </c>
      <c r="K5631" t="s">
        <v>10217</v>
      </c>
      <c r="M5631" t="s">
        <v>10243</v>
      </c>
      <c r="N5631" t="s">
        <v>10655</v>
      </c>
      <c r="P5631" t="s">
        <v>10749</v>
      </c>
      <c r="Q5631" t="s">
        <v>10765</v>
      </c>
      <c r="R5631" t="s">
        <v>10824</v>
      </c>
      <c r="T5631">
        <v>21788.04</v>
      </c>
      <c r="U5631">
        <v>1815.67</v>
      </c>
      <c r="V5631">
        <v>31</v>
      </c>
      <c r="W5631">
        <v>2</v>
      </c>
      <c r="X5631">
        <v>3</v>
      </c>
      <c r="Z5631">
        <v>72.22</v>
      </c>
      <c r="AA5631">
        <v>40.639331</v>
      </c>
      <c r="AB5631">
        <v>-74.170394</v>
      </c>
      <c r="AD5631" t="s">
        <v>10839</v>
      </c>
      <c r="AG5631" t="s">
        <v>10858</v>
      </c>
      <c r="AH5631" t="s">
        <v>10862</v>
      </c>
      <c r="AI5631">
        <v>285</v>
      </c>
      <c r="AJ5631" t="s">
        <v>10208</v>
      </c>
      <c r="AL5631">
        <v>0.35</v>
      </c>
      <c r="AM5631" t="s">
        <v>10883</v>
      </c>
      <c r="AN5631" t="s">
        <v>10928</v>
      </c>
      <c r="AO5631" t="s">
        <v>11006</v>
      </c>
      <c r="AP5631" t="s">
        <v>11051</v>
      </c>
      <c r="AR5631" t="s">
        <v>11262</v>
      </c>
      <c r="AS5631" t="s">
        <v>11593</v>
      </c>
      <c r="BA5631" t="s">
        <v>11738</v>
      </c>
      <c r="BB5631">
        <v>0</v>
      </c>
      <c r="BC5631">
        <v>0</v>
      </c>
      <c r="BD5631">
        <v>0</v>
      </c>
      <c r="BE5631">
        <v>0</v>
      </c>
      <c r="BF5631">
        <v>5</v>
      </c>
      <c r="BG5631">
        <v>0</v>
      </c>
    </row>
    <row r="5632" spans="1:59">
      <c r="A5632" s="1">
        <f>HYPERLINK("https://lsnyc.legalserver.org/matter/dynamic-profile/view/1909904","19-1909904")</f>
        <v>0</v>
      </c>
      <c r="B5632" t="s">
        <v>4424</v>
      </c>
      <c r="C5632" t="s">
        <v>9285</v>
      </c>
      <c r="D5632" t="s">
        <v>9926</v>
      </c>
      <c r="E5632" t="s">
        <v>10075</v>
      </c>
      <c r="F5632">
        <v>10469</v>
      </c>
      <c r="G5632" t="s">
        <v>10090</v>
      </c>
      <c r="H5632" t="s">
        <v>10137</v>
      </c>
      <c r="I5632" t="s">
        <v>10168</v>
      </c>
      <c r="J5632" t="s">
        <v>10210</v>
      </c>
      <c r="K5632" t="s">
        <v>10218</v>
      </c>
      <c r="L5632" t="s">
        <v>10135</v>
      </c>
      <c r="M5632" t="s">
        <v>10524</v>
      </c>
      <c r="N5632" t="s">
        <v>10690</v>
      </c>
      <c r="P5632" t="s">
        <v>10749</v>
      </c>
      <c r="Q5632" t="s">
        <v>10765</v>
      </c>
      <c r="R5632" t="s">
        <v>10824</v>
      </c>
      <c r="T5632">
        <v>12660</v>
      </c>
      <c r="U5632">
        <v>1055</v>
      </c>
      <c r="V5632">
        <v>70</v>
      </c>
      <c r="W5632">
        <v>1</v>
      </c>
      <c r="X5632">
        <v>0</v>
      </c>
      <c r="Y5632" t="s">
        <v>10829</v>
      </c>
      <c r="Z5632">
        <v>101.36</v>
      </c>
      <c r="AA5632">
        <v>40.877201</v>
      </c>
      <c r="AB5632">
        <v>-73.850385</v>
      </c>
      <c r="AC5632" t="s">
        <v>10837</v>
      </c>
      <c r="AD5632" t="s">
        <v>10840</v>
      </c>
      <c r="AG5632" t="s">
        <v>10858</v>
      </c>
      <c r="AH5632" t="s">
        <v>10861</v>
      </c>
      <c r="AI5632">
        <v>234</v>
      </c>
      <c r="AJ5632" t="s">
        <v>10214</v>
      </c>
      <c r="AK5632" t="s">
        <v>10838</v>
      </c>
      <c r="AL5632">
        <v>1.85</v>
      </c>
      <c r="AR5632" t="s">
        <v>11316</v>
      </c>
      <c r="AS5632" t="s">
        <v>9926</v>
      </c>
      <c r="AT5632" t="s">
        <v>11642</v>
      </c>
      <c r="AX5632" t="s">
        <v>10838</v>
      </c>
      <c r="AY5632" t="s">
        <v>10829</v>
      </c>
      <c r="AZ5632" t="s">
        <v>11681</v>
      </c>
      <c r="BA5632" t="s">
        <v>11741</v>
      </c>
      <c r="BB5632">
        <v>0</v>
      </c>
      <c r="BC5632">
        <v>0</v>
      </c>
      <c r="BD5632">
        <v>0</v>
      </c>
      <c r="BE5632">
        <v>0</v>
      </c>
      <c r="BF5632">
        <v>1</v>
      </c>
      <c r="BG5632">
        <v>0</v>
      </c>
    </row>
    <row r="5633" spans="1:59">
      <c r="A5633" s="1">
        <f>HYPERLINK("https://lsnyc.legalserver.org/matter/dynamic-profile/view/1909905","19-1909905")</f>
        <v>0</v>
      </c>
      <c r="B5633" t="s">
        <v>4425</v>
      </c>
      <c r="C5633" t="s">
        <v>5441</v>
      </c>
      <c r="D5633" t="s">
        <v>9929</v>
      </c>
      <c r="E5633" t="s">
        <v>10075</v>
      </c>
      <c r="F5633">
        <v>10303</v>
      </c>
      <c r="G5633" t="s">
        <v>10088</v>
      </c>
      <c r="H5633" t="s">
        <v>10137</v>
      </c>
      <c r="I5633" t="s">
        <v>10168</v>
      </c>
      <c r="J5633" t="s">
        <v>10208</v>
      </c>
      <c r="K5633" t="s">
        <v>10217</v>
      </c>
      <c r="M5633" t="s">
        <v>10243</v>
      </c>
      <c r="N5633" t="s">
        <v>10655</v>
      </c>
      <c r="P5633" t="s">
        <v>10749</v>
      </c>
      <c r="Q5633" t="s">
        <v>10774</v>
      </c>
      <c r="R5633" t="s">
        <v>10824</v>
      </c>
      <c r="T5633">
        <v>19500</v>
      </c>
      <c r="U5633">
        <v>1625</v>
      </c>
      <c r="V5633">
        <v>32</v>
      </c>
      <c r="W5633">
        <v>1</v>
      </c>
      <c r="X5633">
        <v>2</v>
      </c>
      <c r="Z5633">
        <v>91.42</v>
      </c>
      <c r="AA5633">
        <v>40.638473</v>
      </c>
      <c r="AB5633">
        <v>-74.17099399999999</v>
      </c>
      <c r="AD5633" t="s">
        <v>10839</v>
      </c>
      <c r="AG5633" t="s">
        <v>10858</v>
      </c>
      <c r="AH5633" t="s">
        <v>10862</v>
      </c>
      <c r="AI5633">
        <v>285</v>
      </c>
      <c r="AJ5633" t="s">
        <v>10208</v>
      </c>
      <c r="AL5633">
        <v>0.5</v>
      </c>
      <c r="AM5633" t="s">
        <v>10883</v>
      </c>
      <c r="AN5633" t="s">
        <v>10928</v>
      </c>
      <c r="AO5633" t="s">
        <v>11006</v>
      </c>
      <c r="AP5633" t="s">
        <v>11051</v>
      </c>
      <c r="AR5633" t="s">
        <v>11257</v>
      </c>
      <c r="AS5633" t="s">
        <v>11593</v>
      </c>
      <c r="BA5633" t="s">
        <v>11738</v>
      </c>
      <c r="BB5633">
        <v>0</v>
      </c>
      <c r="BC5633">
        <v>0</v>
      </c>
      <c r="BD5633">
        <v>0</v>
      </c>
      <c r="BE5633">
        <v>0</v>
      </c>
      <c r="BF5633">
        <v>5</v>
      </c>
      <c r="BG5633">
        <v>0</v>
      </c>
    </row>
    <row r="5634" spans="1:59">
      <c r="A5634" s="1">
        <f>HYPERLINK("https://lsnyc.legalserver.org/matter/dynamic-profile/view/1909906","19-1909906")</f>
        <v>0</v>
      </c>
      <c r="B5634" t="s">
        <v>1017</v>
      </c>
      <c r="C5634" t="s">
        <v>9286</v>
      </c>
      <c r="D5634" t="s">
        <v>9938</v>
      </c>
      <c r="E5634" t="s">
        <v>10075</v>
      </c>
      <c r="F5634">
        <v>11434</v>
      </c>
      <c r="G5634" t="s">
        <v>10092</v>
      </c>
      <c r="H5634" t="s">
        <v>10137</v>
      </c>
      <c r="I5634" t="s">
        <v>10168</v>
      </c>
      <c r="J5634" t="s">
        <v>10212</v>
      </c>
      <c r="K5634" t="s">
        <v>10217</v>
      </c>
      <c r="M5634" t="s">
        <v>10635</v>
      </c>
      <c r="N5634" t="s">
        <v>10693</v>
      </c>
      <c r="P5634" t="s">
        <v>10749</v>
      </c>
      <c r="Q5634" t="s">
        <v>10765</v>
      </c>
      <c r="R5634" t="s">
        <v>10824</v>
      </c>
      <c r="T5634">
        <v>0</v>
      </c>
      <c r="U5634">
        <v>0</v>
      </c>
      <c r="V5634">
        <v>54</v>
      </c>
      <c r="W5634">
        <v>3</v>
      </c>
      <c r="X5634">
        <v>0</v>
      </c>
      <c r="Z5634">
        <v>0</v>
      </c>
      <c r="AA5634">
        <v>0</v>
      </c>
      <c r="AB5634">
        <v>0</v>
      </c>
      <c r="AD5634" t="s">
        <v>10839</v>
      </c>
      <c r="AF5634" t="s">
        <v>10843</v>
      </c>
      <c r="AG5634" t="s">
        <v>10859</v>
      </c>
      <c r="AH5634" t="s">
        <v>10862</v>
      </c>
      <c r="AI5634">
        <v>237</v>
      </c>
      <c r="AJ5634" t="s">
        <v>10212</v>
      </c>
      <c r="AL5634">
        <v>8.970000000000001</v>
      </c>
      <c r="AR5634" t="s">
        <v>11267</v>
      </c>
      <c r="AS5634" t="s">
        <v>11594</v>
      </c>
      <c r="AX5634" t="s">
        <v>10838</v>
      </c>
      <c r="BA5634" t="s">
        <v>11738</v>
      </c>
      <c r="BB5634">
        <v>0</v>
      </c>
      <c r="BC5634">
        <v>0</v>
      </c>
      <c r="BD5634">
        <v>0</v>
      </c>
      <c r="BE5634">
        <v>0</v>
      </c>
      <c r="BF5634">
        <v>5</v>
      </c>
      <c r="BG5634">
        <v>0</v>
      </c>
    </row>
    <row r="5635" spans="1:59">
      <c r="A5635" s="1">
        <f>HYPERLINK("https://lsnyc.legalserver.org/matter/dynamic-profile/view/1909907","19-1909907")</f>
        <v>0</v>
      </c>
      <c r="B5635" t="s">
        <v>4426</v>
      </c>
      <c r="C5635" t="s">
        <v>9287</v>
      </c>
      <c r="D5635" t="s">
        <v>9928</v>
      </c>
      <c r="E5635" t="s">
        <v>10075</v>
      </c>
      <c r="F5635">
        <v>11233</v>
      </c>
      <c r="G5635" t="s">
        <v>10093</v>
      </c>
      <c r="H5635" t="s">
        <v>10137</v>
      </c>
      <c r="I5635" t="s">
        <v>10168</v>
      </c>
      <c r="J5635" t="s">
        <v>10213</v>
      </c>
      <c r="K5635" t="s">
        <v>10217</v>
      </c>
      <c r="M5635" t="s">
        <v>10405</v>
      </c>
      <c r="N5635" t="s">
        <v>10650</v>
      </c>
      <c r="P5635" t="s">
        <v>10749</v>
      </c>
      <c r="Q5635" t="s">
        <v>10765</v>
      </c>
      <c r="R5635" t="s">
        <v>10824</v>
      </c>
      <c r="T5635">
        <v>21060</v>
      </c>
      <c r="U5635">
        <v>1755</v>
      </c>
      <c r="V5635">
        <v>57</v>
      </c>
      <c r="W5635">
        <v>2</v>
      </c>
      <c r="X5635">
        <v>0</v>
      </c>
      <c r="Z5635">
        <v>124.54</v>
      </c>
      <c r="AA5635">
        <v>40.670771</v>
      </c>
      <c r="AB5635">
        <v>-73.920733</v>
      </c>
      <c r="AD5635" t="s">
        <v>10839</v>
      </c>
      <c r="AF5635" t="s">
        <v>10843</v>
      </c>
      <c r="AG5635" t="s">
        <v>10859</v>
      </c>
      <c r="AH5635" t="s">
        <v>10871</v>
      </c>
      <c r="AI5635">
        <v>234</v>
      </c>
      <c r="AJ5635" t="s">
        <v>10214</v>
      </c>
      <c r="AL5635">
        <v>3.54</v>
      </c>
      <c r="AM5635" t="s">
        <v>10888</v>
      </c>
      <c r="AN5635" t="s">
        <v>10922</v>
      </c>
      <c r="AO5635" t="s">
        <v>11005</v>
      </c>
      <c r="AP5635" t="s">
        <v>11064</v>
      </c>
      <c r="AQ5635" t="s">
        <v>11101</v>
      </c>
      <c r="AR5635" t="s">
        <v>11262</v>
      </c>
      <c r="AS5635" t="s">
        <v>11595</v>
      </c>
      <c r="AT5635" t="s">
        <v>11641</v>
      </c>
      <c r="AX5635" t="s">
        <v>10838</v>
      </c>
      <c r="BA5635" t="s">
        <v>11742</v>
      </c>
      <c r="BB5635">
        <v>0</v>
      </c>
      <c r="BC5635">
        <v>0</v>
      </c>
      <c r="BD5635">
        <v>0</v>
      </c>
      <c r="BE5635">
        <v>0</v>
      </c>
      <c r="BF5635">
        <v>7</v>
      </c>
      <c r="BG5635">
        <v>0</v>
      </c>
    </row>
    <row r="5636" spans="1:59">
      <c r="A5636" s="1">
        <f>HYPERLINK("https://lsnyc.legalserver.org/matter/dynamic-profile/view/1909909","19-1909909")</f>
        <v>0</v>
      </c>
      <c r="B5636" t="s">
        <v>4427</v>
      </c>
      <c r="C5636" t="s">
        <v>9288</v>
      </c>
      <c r="D5636" t="s">
        <v>9928</v>
      </c>
      <c r="E5636" t="s">
        <v>10075</v>
      </c>
      <c r="F5636">
        <v>11211</v>
      </c>
      <c r="G5636" t="s">
        <v>10093</v>
      </c>
      <c r="H5636" t="s">
        <v>10137</v>
      </c>
      <c r="I5636" t="s">
        <v>10169</v>
      </c>
      <c r="J5636" t="s">
        <v>10213</v>
      </c>
      <c r="K5636" t="s">
        <v>10217</v>
      </c>
      <c r="M5636" t="s">
        <v>10280</v>
      </c>
      <c r="N5636" t="s">
        <v>10671</v>
      </c>
      <c r="P5636" t="s">
        <v>10751</v>
      </c>
      <c r="Q5636" t="s">
        <v>10768</v>
      </c>
      <c r="R5636" t="s">
        <v>10821</v>
      </c>
      <c r="T5636">
        <v>2004</v>
      </c>
      <c r="U5636">
        <v>167</v>
      </c>
      <c r="V5636">
        <v>1</v>
      </c>
      <c r="W5636">
        <v>1</v>
      </c>
      <c r="X5636">
        <v>1</v>
      </c>
      <c r="Z5636">
        <v>11.85</v>
      </c>
      <c r="AA5636">
        <v>40.712533</v>
      </c>
      <c r="AB5636">
        <v>-73.961928</v>
      </c>
      <c r="AD5636" t="s">
        <v>10839</v>
      </c>
      <c r="AG5636" t="s">
        <v>10858</v>
      </c>
      <c r="AH5636" t="s">
        <v>10871</v>
      </c>
      <c r="AI5636">
        <v>234</v>
      </c>
      <c r="AJ5636" t="s">
        <v>10214</v>
      </c>
      <c r="AL5636">
        <v>1.6</v>
      </c>
      <c r="AM5636" t="s">
        <v>10886</v>
      </c>
      <c r="AN5636" t="s">
        <v>10939</v>
      </c>
      <c r="AO5636" t="s">
        <v>11011</v>
      </c>
      <c r="AP5636" t="s">
        <v>11071</v>
      </c>
      <c r="AR5636" t="s">
        <v>11311</v>
      </c>
      <c r="AS5636" t="s">
        <v>11595</v>
      </c>
      <c r="AT5636" t="s">
        <v>11641</v>
      </c>
      <c r="AX5636" t="s">
        <v>10838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</row>
    <row r="5637" spans="1:59">
      <c r="A5637" s="1">
        <f>HYPERLINK("https://lsnyc.legalserver.org/matter/dynamic-profile/view/1909910","19-1909910")</f>
        <v>0</v>
      </c>
      <c r="B5637" t="s">
        <v>994</v>
      </c>
      <c r="C5637" t="s">
        <v>9289</v>
      </c>
      <c r="D5637" t="s">
        <v>9925</v>
      </c>
      <c r="E5637" t="s">
        <v>10075</v>
      </c>
      <c r="F5637">
        <v>10027</v>
      </c>
      <c r="G5637" t="s">
        <v>10089</v>
      </c>
      <c r="H5637" t="s">
        <v>10137</v>
      </c>
      <c r="I5637" t="s">
        <v>10168</v>
      </c>
      <c r="J5637" t="s">
        <v>10209</v>
      </c>
      <c r="K5637" t="s">
        <v>10217</v>
      </c>
      <c r="M5637" t="s">
        <v>10379</v>
      </c>
      <c r="N5637" t="s">
        <v>10702</v>
      </c>
      <c r="P5637" t="s">
        <v>10749</v>
      </c>
      <c r="Q5637" t="s">
        <v>10765</v>
      </c>
      <c r="R5637" t="s">
        <v>10821</v>
      </c>
      <c r="T5637">
        <v>0</v>
      </c>
      <c r="U5637">
        <v>0</v>
      </c>
      <c r="V5637">
        <v>47</v>
      </c>
      <c r="W5637">
        <v>2</v>
      </c>
      <c r="X5637">
        <v>0</v>
      </c>
      <c r="Z5637">
        <v>0</v>
      </c>
      <c r="AA5637">
        <v>40.815633</v>
      </c>
      <c r="AB5637">
        <v>-73.957348</v>
      </c>
      <c r="AD5637" t="s">
        <v>10839</v>
      </c>
      <c r="AG5637" t="s">
        <v>10858</v>
      </c>
      <c r="AH5637" t="s">
        <v>10861</v>
      </c>
      <c r="AI5637">
        <v>236</v>
      </c>
      <c r="AJ5637" t="s">
        <v>10209</v>
      </c>
      <c r="AL5637">
        <v>0</v>
      </c>
      <c r="AM5637" t="s">
        <v>10887</v>
      </c>
      <c r="AN5637" t="s">
        <v>10936</v>
      </c>
      <c r="AO5637" t="s">
        <v>11019</v>
      </c>
      <c r="AP5637" t="s">
        <v>11073</v>
      </c>
      <c r="AR5637" t="s">
        <v>11267</v>
      </c>
      <c r="AS5637" t="s">
        <v>9925</v>
      </c>
      <c r="BA5637" t="s">
        <v>11738</v>
      </c>
      <c r="BB5637">
        <v>0</v>
      </c>
      <c r="BC5637">
        <v>0</v>
      </c>
      <c r="BD5637">
        <v>0</v>
      </c>
      <c r="BE5637">
        <v>0</v>
      </c>
      <c r="BF5637">
        <v>5</v>
      </c>
      <c r="BG5637">
        <v>0</v>
      </c>
    </row>
    <row r="5638" spans="1:59">
      <c r="A5638" s="1">
        <f>HYPERLINK("https://lsnyc.legalserver.org/matter/dynamic-profile/view/1909911","19-1909911")</f>
        <v>0</v>
      </c>
      <c r="B5638" t="s">
        <v>3686</v>
      </c>
      <c r="C5638" t="s">
        <v>9290</v>
      </c>
      <c r="D5638" t="s">
        <v>9928</v>
      </c>
      <c r="E5638" t="s">
        <v>10075</v>
      </c>
      <c r="F5638">
        <v>11226</v>
      </c>
      <c r="G5638" t="s">
        <v>10093</v>
      </c>
      <c r="H5638" t="s">
        <v>10137</v>
      </c>
      <c r="I5638" t="s">
        <v>10168</v>
      </c>
      <c r="J5638" t="s">
        <v>10213</v>
      </c>
      <c r="K5638" t="s">
        <v>10217</v>
      </c>
      <c r="M5638" t="s">
        <v>10304</v>
      </c>
      <c r="N5638" t="s">
        <v>10671</v>
      </c>
      <c r="P5638" t="s">
        <v>10749</v>
      </c>
      <c r="Q5638" t="s">
        <v>10765</v>
      </c>
      <c r="R5638" t="s">
        <v>10824</v>
      </c>
      <c r="T5638">
        <v>10380</v>
      </c>
      <c r="U5638">
        <v>865</v>
      </c>
      <c r="V5638">
        <v>37</v>
      </c>
      <c r="W5638">
        <v>1</v>
      </c>
      <c r="X5638">
        <v>0</v>
      </c>
      <c r="Z5638">
        <v>83.11</v>
      </c>
      <c r="AA5638">
        <v>40.635114</v>
      </c>
      <c r="AB5638">
        <v>-73.96156000000001</v>
      </c>
      <c r="AD5638" t="s">
        <v>10840</v>
      </c>
      <c r="AG5638" t="s">
        <v>10858</v>
      </c>
      <c r="AH5638" t="s">
        <v>10861</v>
      </c>
      <c r="AI5638">
        <v>234</v>
      </c>
      <c r="AJ5638" t="s">
        <v>10214</v>
      </c>
      <c r="AL5638">
        <v>0.5</v>
      </c>
      <c r="AM5638" t="s">
        <v>10888</v>
      </c>
      <c r="AN5638" t="s">
        <v>10932</v>
      </c>
      <c r="AO5638" t="s">
        <v>11008</v>
      </c>
      <c r="AP5638" t="s">
        <v>11050</v>
      </c>
      <c r="AR5638" t="s">
        <v>11274</v>
      </c>
      <c r="AS5638" t="s">
        <v>11595</v>
      </c>
      <c r="AT5638" t="s">
        <v>11642</v>
      </c>
      <c r="AX5638" t="s">
        <v>10838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</row>
    <row r="5639" spans="1:59">
      <c r="A5639" s="1">
        <f>HYPERLINK("https://lsnyc.legalserver.org/matter/dynamic-profile/view/1909912","19-1909912")</f>
        <v>0</v>
      </c>
      <c r="B5639" t="s">
        <v>1588</v>
      </c>
      <c r="C5639" t="s">
        <v>8516</v>
      </c>
      <c r="D5639" t="s">
        <v>9925</v>
      </c>
      <c r="E5639" t="s">
        <v>10075</v>
      </c>
      <c r="F5639">
        <v>10031</v>
      </c>
      <c r="G5639" t="s">
        <v>10089</v>
      </c>
      <c r="H5639" t="s">
        <v>10137</v>
      </c>
      <c r="I5639" t="s">
        <v>10168</v>
      </c>
      <c r="J5639" t="s">
        <v>10209</v>
      </c>
      <c r="K5639" t="s">
        <v>10217</v>
      </c>
      <c r="M5639" t="s">
        <v>10625</v>
      </c>
      <c r="N5639" t="s">
        <v>10702</v>
      </c>
      <c r="P5639" t="s">
        <v>10749</v>
      </c>
      <c r="Q5639" t="s">
        <v>10765</v>
      </c>
      <c r="R5639" t="s">
        <v>10821</v>
      </c>
      <c r="T5639">
        <v>12770</v>
      </c>
      <c r="U5639">
        <v>1064.17</v>
      </c>
      <c r="V5639">
        <v>48</v>
      </c>
      <c r="W5639">
        <v>1</v>
      </c>
      <c r="X5639">
        <v>2</v>
      </c>
      <c r="Z5639">
        <v>59.87</v>
      </c>
      <c r="AA5639">
        <v>40.819371</v>
      </c>
      <c r="AB5639">
        <v>-73.952583</v>
      </c>
      <c r="AD5639" t="s">
        <v>10839</v>
      </c>
      <c r="AG5639" t="s">
        <v>10858</v>
      </c>
      <c r="AH5639" t="s">
        <v>10862</v>
      </c>
      <c r="AI5639">
        <v>236</v>
      </c>
      <c r="AJ5639" t="s">
        <v>10209</v>
      </c>
      <c r="AL5639">
        <v>2.5</v>
      </c>
      <c r="AM5639" t="s">
        <v>10887</v>
      </c>
      <c r="AN5639" t="s">
        <v>10936</v>
      </c>
      <c r="AO5639" t="s">
        <v>11019</v>
      </c>
      <c r="AP5639" t="s">
        <v>11073</v>
      </c>
      <c r="AR5639" t="s">
        <v>11571</v>
      </c>
      <c r="AS5639" t="s">
        <v>9925</v>
      </c>
      <c r="BA5639" t="s">
        <v>11738</v>
      </c>
      <c r="BB5639">
        <v>0</v>
      </c>
      <c r="BC5639">
        <v>0</v>
      </c>
      <c r="BD5639">
        <v>0</v>
      </c>
      <c r="BE5639">
        <v>0</v>
      </c>
      <c r="BF5639">
        <v>5</v>
      </c>
      <c r="BG5639">
        <v>0</v>
      </c>
    </row>
    <row r="5640" spans="1:59">
      <c r="A5640" s="1">
        <f>HYPERLINK("https://lsnyc.legalserver.org/matter/dynamic-profile/view/1909913","19-1909913")</f>
        <v>0</v>
      </c>
      <c r="B5640" t="s">
        <v>4428</v>
      </c>
      <c r="C5640" t="s">
        <v>9291</v>
      </c>
      <c r="D5640" t="s">
        <v>9929</v>
      </c>
      <c r="E5640" t="s">
        <v>10075</v>
      </c>
      <c r="F5640">
        <v>10314</v>
      </c>
      <c r="G5640" t="s">
        <v>10089</v>
      </c>
      <c r="H5640" t="s">
        <v>10137</v>
      </c>
      <c r="I5640" t="s">
        <v>10168</v>
      </c>
      <c r="J5640" t="s">
        <v>10209</v>
      </c>
      <c r="K5640" t="s">
        <v>10217</v>
      </c>
      <c r="M5640" t="s">
        <v>10301</v>
      </c>
      <c r="N5640" t="s">
        <v>10665</v>
      </c>
      <c r="P5640" t="s">
        <v>10751</v>
      </c>
      <c r="Q5640" t="s">
        <v>10773</v>
      </c>
      <c r="R5640" t="s">
        <v>10820</v>
      </c>
      <c r="T5640">
        <v>0</v>
      </c>
      <c r="U5640">
        <v>0</v>
      </c>
      <c r="V5640">
        <v>27</v>
      </c>
      <c r="W5640">
        <v>1</v>
      </c>
      <c r="X5640">
        <v>0</v>
      </c>
      <c r="Z5640">
        <v>0</v>
      </c>
      <c r="AA5640">
        <v>40.606044</v>
      </c>
      <c r="AB5640">
        <v>-74.12067</v>
      </c>
      <c r="AD5640" t="s">
        <v>10840</v>
      </c>
      <c r="AG5640" t="s">
        <v>10858</v>
      </c>
      <c r="AH5640" t="s">
        <v>10861</v>
      </c>
      <c r="AI5640">
        <v>234</v>
      </c>
      <c r="AJ5640" t="s">
        <v>10214</v>
      </c>
      <c r="AL5640">
        <v>1.5</v>
      </c>
      <c r="AM5640" t="s">
        <v>10883</v>
      </c>
      <c r="AN5640" t="s">
        <v>10928</v>
      </c>
      <c r="AO5640" t="s">
        <v>10999</v>
      </c>
      <c r="AP5640" t="s">
        <v>11063</v>
      </c>
      <c r="AR5640" t="s">
        <v>11267</v>
      </c>
      <c r="AS5640" t="s">
        <v>11593</v>
      </c>
      <c r="AT5640" t="s">
        <v>11642</v>
      </c>
      <c r="AX5640" t="s">
        <v>10838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</row>
    <row r="5641" spans="1:59">
      <c r="A5641" s="1">
        <f>HYPERLINK("https://lsnyc.legalserver.org/matter/dynamic-profile/view/1909914","19-1909914")</f>
        <v>0</v>
      </c>
      <c r="B5641" t="s">
        <v>4429</v>
      </c>
      <c r="C5641" t="s">
        <v>9292</v>
      </c>
      <c r="D5641" t="s">
        <v>9929</v>
      </c>
      <c r="E5641" t="s">
        <v>10075</v>
      </c>
      <c r="F5641">
        <v>10314</v>
      </c>
      <c r="G5641" t="s">
        <v>10088</v>
      </c>
      <c r="H5641" t="s">
        <v>10162</v>
      </c>
      <c r="I5641" t="s">
        <v>10169</v>
      </c>
      <c r="J5641" t="s">
        <v>10208</v>
      </c>
      <c r="K5641" t="s">
        <v>10217</v>
      </c>
      <c r="M5641" t="s">
        <v>10468</v>
      </c>
      <c r="N5641" t="s">
        <v>10742</v>
      </c>
      <c r="P5641" t="s">
        <v>10749</v>
      </c>
      <c r="Q5641" t="s">
        <v>10759</v>
      </c>
      <c r="R5641" t="s">
        <v>10821</v>
      </c>
      <c r="T5641">
        <v>51600</v>
      </c>
      <c r="U5641">
        <v>4300</v>
      </c>
      <c r="V5641">
        <v>45</v>
      </c>
      <c r="W5641">
        <v>2</v>
      </c>
      <c r="X5641">
        <v>1</v>
      </c>
      <c r="Z5641">
        <v>241.91</v>
      </c>
      <c r="AA5641">
        <v>40.60712</v>
      </c>
      <c r="AB5641">
        <v>-74.158844</v>
      </c>
      <c r="AD5641" t="s">
        <v>10839</v>
      </c>
      <c r="AF5641" t="s">
        <v>10843</v>
      </c>
      <c r="AG5641" t="s">
        <v>10859</v>
      </c>
      <c r="AH5641" t="s">
        <v>10860</v>
      </c>
      <c r="AI5641">
        <v>285</v>
      </c>
      <c r="AJ5641" t="s">
        <v>10208</v>
      </c>
      <c r="AL5641">
        <v>5.2</v>
      </c>
      <c r="AM5641" t="s">
        <v>10883</v>
      </c>
      <c r="AN5641" t="s">
        <v>10928</v>
      </c>
      <c r="AO5641" t="s">
        <v>10999</v>
      </c>
      <c r="AP5641" t="s">
        <v>11063</v>
      </c>
      <c r="AR5641" t="s">
        <v>11405</v>
      </c>
      <c r="AS5641" t="s">
        <v>11593</v>
      </c>
      <c r="BA5641" t="s">
        <v>11740</v>
      </c>
      <c r="BB5641">
        <v>0</v>
      </c>
      <c r="BC5641">
        <v>0</v>
      </c>
      <c r="BD5641">
        <v>0</v>
      </c>
      <c r="BE5641">
        <v>0</v>
      </c>
      <c r="BF5641">
        <v>2</v>
      </c>
      <c r="BG5641">
        <v>0</v>
      </c>
    </row>
    <row r="5642" spans="1:59">
      <c r="A5642" s="1">
        <f>HYPERLINK("https://lsnyc.legalserver.org/matter/dynamic-profile/view/1909915","19-1909915")</f>
        <v>0</v>
      </c>
      <c r="B5642" t="s">
        <v>3335</v>
      </c>
      <c r="C5642" t="s">
        <v>8127</v>
      </c>
      <c r="D5642" t="s">
        <v>9928</v>
      </c>
      <c r="E5642" t="s">
        <v>10075</v>
      </c>
      <c r="F5642">
        <v>11221</v>
      </c>
      <c r="G5642" t="s">
        <v>10093</v>
      </c>
      <c r="H5642" t="s">
        <v>10137</v>
      </c>
      <c r="I5642" t="s">
        <v>10168</v>
      </c>
      <c r="J5642" t="s">
        <v>10213</v>
      </c>
      <c r="K5642" t="s">
        <v>10217</v>
      </c>
      <c r="M5642" t="s">
        <v>10405</v>
      </c>
      <c r="N5642" t="s">
        <v>10671</v>
      </c>
      <c r="P5642" t="s">
        <v>10749</v>
      </c>
      <c r="Q5642" t="s">
        <v>10767</v>
      </c>
      <c r="R5642" t="s">
        <v>10824</v>
      </c>
      <c r="T5642">
        <v>10200</v>
      </c>
      <c r="U5642">
        <v>850</v>
      </c>
      <c r="V5642">
        <v>35</v>
      </c>
      <c r="W5642">
        <v>1</v>
      </c>
      <c r="X5642">
        <v>0</v>
      </c>
      <c r="Z5642">
        <v>81.67</v>
      </c>
      <c r="AA5642">
        <v>40.69082</v>
      </c>
      <c r="AB5642">
        <v>-73.932034</v>
      </c>
      <c r="AD5642" t="s">
        <v>10840</v>
      </c>
      <c r="AG5642" t="s">
        <v>10858</v>
      </c>
      <c r="AH5642" t="s">
        <v>10861</v>
      </c>
      <c r="AI5642">
        <v>234</v>
      </c>
      <c r="AJ5642" t="s">
        <v>10214</v>
      </c>
      <c r="AL5642">
        <v>1.2</v>
      </c>
      <c r="AM5642" t="s">
        <v>10889</v>
      </c>
      <c r="AN5642" t="s">
        <v>10914</v>
      </c>
      <c r="AO5642" t="s">
        <v>11007</v>
      </c>
      <c r="AP5642" t="s">
        <v>11052</v>
      </c>
      <c r="AR5642" t="s">
        <v>11452</v>
      </c>
      <c r="AS5642" t="s">
        <v>11595</v>
      </c>
      <c r="AT5642" t="s">
        <v>11642</v>
      </c>
      <c r="AX5642" t="s">
        <v>10838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</row>
    <row r="5643" spans="1:59">
      <c r="A5643" s="1">
        <f>HYPERLINK("https://lsnyc.legalserver.org/matter/dynamic-profile/view/1909916","19-1909916")</f>
        <v>0</v>
      </c>
      <c r="B5643" t="s">
        <v>4430</v>
      </c>
      <c r="C5643" t="s">
        <v>9281</v>
      </c>
      <c r="D5643" t="s">
        <v>9929</v>
      </c>
      <c r="E5643" t="s">
        <v>10075</v>
      </c>
      <c r="F5643">
        <v>10303</v>
      </c>
      <c r="G5643" t="s">
        <v>10088</v>
      </c>
      <c r="H5643" t="s">
        <v>10137</v>
      </c>
      <c r="I5643" t="s">
        <v>10168</v>
      </c>
      <c r="J5643" t="s">
        <v>10208</v>
      </c>
      <c r="K5643" t="s">
        <v>10217</v>
      </c>
      <c r="M5643" t="s">
        <v>10605</v>
      </c>
      <c r="N5643" t="s">
        <v>10655</v>
      </c>
      <c r="P5643" t="s">
        <v>10749</v>
      </c>
      <c r="Q5643" t="s">
        <v>10774</v>
      </c>
      <c r="R5643" t="s">
        <v>10824</v>
      </c>
      <c r="T5643">
        <v>16900</v>
      </c>
      <c r="U5643">
        <v>1408.33</v>
      </c>
      <c r="V5643">
        <v>34</v>
      </c>
      <c r="W5643">
        <v>1</v>
      </c>
      <c r="X5643">
        <v>1</v>
      </c>
      <c r="Z5643">
        <v>99.94</v>
      </c>
      <c r="AA5643">
        <v>40.639331</v>
      </c>
      <c r="AB5643">
        <v>-74.170394</v>
      </c>
      <c r="AD5643" t="s">
        <v>10839</v>
      </c>
      <c r="AG5643" t="s">
        <v>10858</v>
      </c>
      <c r="AH5643" t="s">
        <v>10862</v>
      </c>
      <c r="AI5643">
        <v>285</v>
      </c>
      <c r="AJ5643" t="s">
        <v>10208</v>
      </c>
      <c r="AL5643">
        <v>0.5</v>
      </c>
      <c r="AM5643" t="s">
        <v>10883</v>
      </c>
      <c r="AN5643" t="s">
        <v>10928</v>
      </c>
      <c r="AO5643" t="s">
        <v>11006</v>
      </c>
      <c r="AP5643" t="s">
        <v>11051</v>
      </c>
      <c r="AR5643" t="s">
        <v>11262</v>
      </c>
      <c r="AS5643" t="s">
        <v>11593</v>
      </c>
      <c r="BA5643" t="s">
        <v>11738</v>
      </c>
      <c r="BB5643">
        <v>0</v>
      </c>
      <c r="BC5643">
        <v>0</v>
      </c>
      <c r="BD5643">
        <v>0</v>
      </c>
      <c r="BE5643">
        <v>0</v>
      </c>
      <c r="BF5643">
        <v>5</v>
      </c>
      <c r="BG5643">
        <v>0</v>
      </c>
    </row>
    <row r="5644" spans="1:59">
      <c r="A5644" s="1">
        <f>HYPERLINK("https://lsnyc.legalserver.org/matter/dynamic-profile/view/1909917","19-1909917")</f>
        <v>0</v>
      </c>
      <c r="B5644" t="s">
        <v>4431</v>
      </c>
      <c r="C5644" t="s">
        <v>9293</v>
      </c>
      <c r="D5644" t="s">
        <v>9926</v>
      </c>
      <c r="E5644" t="s">
        <v>10075</v>
      </c>
      <c r="F5644">
        <v>10455</v>
      </c>
      <c r="G5644" t="s">
        <v>10090</v>
      </c>
      <c r="H5644" t="s">
        <v>10137</v>
      </c>
      <c r="I5644" t="s">
        <v>10169</v>
      </c>
      <c r="J5644" t="s">
        <v>10210</v>
      </c>
      <c r="K5644" t="s">
        <v>10217</v>
      </c>
      <c r="M5644" t="s">
        <v>10336</v>
      </c>
      <c r="N5644" t="s">
        <v>10671</v>
      </c>
      <c r="P5644" t="s">
        <v>10754</v>
      </c>
      <c r="Q5644" t="s">
        <v>10770</v>
      </c>
      <c r="R5644" t="s">
        <v>10821</v>
      </c>
      <c r="T5644">
        <v>4476</v>
      </c>
      <c r="U5644">
        <v>373</v>
      </c>
      <c r="V5644">
        <v>35</v>
      </c>
      <c r="W5644">
        <v>1</v>
      </c>
      <c r="X5644">
        <v>1</v>
      </c>
      <c r="Z5644">
        <v>26.47</v>
      </c>
      <c r="AA5644">
        <v>40.814226</v>
      </c>
      <c r="AB5644">
        <v>-73.910175</v>
      </c>
      <c r="AD5644" t="s">
        <v>10839</v>
      </c>
      <c r="AF5644" t="s">
        <v>10842</v>
      </c>
      <c r="AG5644" t="s">
        <v>10859</v>
      </c>
      <c r="AH5644" t="s">
        <v>10861</v>
      </c>
      <c r="AI5644">
        <v>234</v>
      </c>
      <c r="AJ5644" t="s">
        <v>10214</v>
      </c>
      <c r="AL5644">
        <v>1</v>
      </c>
      <c r="AQ5644" t="s">
        <v>11111</v>
      </c>
      <c r="AR5644" t="s">
        <v>11255</v>
      </c>
      <c r="AS5644" t="s">
        <v>9926</v>
      </c>
      <c r="AT5644" t="s">
        <v>11641</v>
      </c>
      <c r="AX5644" t="s">
        <v>10838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</row>
    <row r="5645" spans="1:59">
      <c r="A5645" s="1">
        <f>HYPERLINK("https://lsnyc.legalserver.org/matter/dynamic-profile/view/1909918","19-1909918")</f>
        <v>0</v>
      </c>
      <c r="B5645" t="s">
        <v>4432</v>
      </c>
      <c r="C5645" t="s">
        <v>9294</v>
      </c>
      <c r="D5645" t="s">
        <v>9929</v>
      </c>
      <c r="E5645" t="s">
        <v>10075</v>
      </c>
      <c r="F5645">
        <v>10303</v>
      </c>
      <c r="G5645" t="s">
        <v>10088</v>
      </c>
      <c r="H5645" t="s">
        <v>10137</v>
      </c>
      <c r="I5645" t="s">
        <v>10168</v>
      </c>
      <c r="J5645" t="s">
        <v>10208</v>
      </c>
      <c r="K5645" t="s">
        <v>10217</v>
      </c>
      <c r="M5645" t="s">
        <v>10254</v>
      </c>
      <c r="N5645" t="s">
        <v>10655</v>
      </c>
      <c r="P5645" t="s">
        <v>10749</v>
      </c>
      <c r="Q5645" t="s">
        <v>10765</v>
      </c>
      <c r="R5645" t="s">
        <v>10824</v>
      </c>
      <c r="T5645">
        <v>39999.96</v>
      </c>
      <c r="U5645">
        <v>3333.33</v>
      </c>
      <c r="V5645">
        <v>52</v>
      </c>
      <c r="W5645">
        <v>2</v>
      </c>
      <c r="X5645">
        <v>1</v>
      </c>
      <c r="Z5645">
        <v>187.53</v>
      </c>
      <c r="AA5645">
        <v>40.638437</v>
      </c>
      <c r="AB5645">
        <v>-74.170785</v>
      </c>
      <c r="AD5645" t="s">
        <v>10839</v>
      </c>
      <c r="AG5645" t="s">
        <v>10858</v>
      </c>
      <c r="AH5645" t="s">
        <v>10862</v>
      </c>
      <c r="AI5645">
        <v>285</v>
      </c>
      <c r="AJ5645" t="s">
        <v>10208</v>
      </c>
      <c r="AL5645">
        <v>0.35</v>
      </c>
      <c r="AM5645" t="s">
        <v>10883</v>
      </c>
      <c r="AN5645" t="s">
        <v>10928</v>
      </c>
      <c r="AO5645" t="s">
        <v>11006</v>
      </c>
      <c r="AP5645" t="s">
        <v>11051</v>
      </c>
      <c r="AR5645" t="s">
        <v>11359</v>
      </c>
      <c r="AS5645" t="s">
        <v>11593</v>
      </c>
      <c r="BA5645" t="s">
        <v>11738</v>
      </c>
      <c r="BB5645">
        <v>0</v>
      </c>
      <c r="BC5645">
        <v>0</v>
      </c>
      <c r="BD5645">
        <v>0</v>
      </c>
      <c r="BE5645">
        <v>0</v>
      </c>
      <c r="BF5645">
        <v>5</v>
      </c>
      <c r="BG5645">
        <v>0</v>
      </c>
    </row>
    <row r="5646" spans="1:59">
      <c r="A5646" s="1">
        <f>HYPERLINK("https://lsnyc.legalserver.org/matter/dynamic-profile/view/1909919","19-1909919")</f>
        <v>0</v>
      </c>
      <c r="B5646" t="s">
        <v>4433</v>
      </c>
      <c r="C5646" t="s">
        <v>9295</v>
      </c>
      <c r="D5646" t="s">
        <v>9925</v>
      </c>
      <c r="E5646" t="s">
        <v>10075</v>
      </c>
      <c r="F5646">
        <v>10029</v>
      </c>
      <c r="G5646" t="s">
        <v>10089</v>
      </c>
      <c r="H5646" t="s">
        <v>10137</v>
      </c>
      <c r="I5646" t="s">
        <v>10168</v>
      </c>
      <c r="J5646" t="s">
        <v>10209</v>
      </c>
      <c r="K5646" t="s">
        <v>10217</v>
      </c>
      <c r="M5646" t="s">
        <v>10613</v>
      </c>
      <c r="N5646" t="s">
        <v>10650</v>
      </c>
      <c r="P5646" t="s">
        <v>10749</v>
      </c>
      <c r="Q5646" t="s">
        <v>10765</v>
      </c>
      <c r="R5646" t="s">
        <v>10824</v>
      </c>
      <c r="T5646">
        <v>20628</v>
      </c>
      <c r="U5646">
        <v>1719</v>
      </c>
      <c r="V5646">
        <v>73</v>
      </c>
      <c r="W5646">
        <v>1</v>
      </c>
      <c r="X5646">
        <v>0</v>
      </c>
      <c r="Z5646">
        <v>165.16</v>
      </c>
      <c r="AA5646">
        <v>40.796705</v>
      </c>
      <c r="AB5646">
        <v>-73.948542</v>
      </c>
      <c r="AD5646" t="s">
        <v>10839</v>
      </c>
      <c r="AG5646" t="s">
        <v>10858</v>
      </c>
      <c r="AH5646" t="s">
        <v>10861</v>
      </c>
      <c r="AI5646">
        <v>234</v>
      </c>
      <c r="AJ5646" t="s">
        <v>10214</v>
      </c>
      <c r="AL5646">
        <v>0.3</v>
      </c>
      <c r="AM5646" t="s">
        <v>10887</v>
      </c>
      <c r="AN5646" t="s">
        <v>10926</v>
      </c>
      <c r="AO5646" t="s">
        <v>11016</v>
      </c>
      <c r="AP5646" t="s">
        <v>11076</v>
      </c>
      <c r="AR5646" t="s">
        <v>11345</v>
      </c>
      <c r="AS5646" t="s">
        <v>9925</v>
      </c>
      <c r="AX5646" t="s">
        <v>10838</v>
      </c>
      <c r="BA5646" t="s">
        <v>11742</v>
      </c>
      <c r="BB5646">
        <v>0</v>
      </c>
      <c r="BC5646">
        <v>0</v>
      </c>
      <c r="BD5646">
        <v>0</v>
      </c>
      <c r="BE5646">
        <v>0</v>
      </c>
      <c r="BF5646">
        <v>7</v>
      </c>
      <c r="BG5646">
        <v>0</v>
      </c>
    </row>
    <row r="5647" spans="1:59">
      <c r="A5647" s="1">
        <f>HYPERLINK("https://lsnyc.legalserver.org/matter/dynamic-profile/view/1909920","19-1909920")</f>
        <v>0</v>
      </c>
      <c r="B5647" t="s">
        <v>4434</v>
      </c>
      <c r="C5647" t="s">
        <v>9296</v>
      </c>
      <c r="D5647" t="s">
        <v>9928</v>
      </c>
      <c r="E5647" t="s">
        <v>10075</v>
      </c>
      <c r="F5647">
        <v>11221</v>
      </c>
      <c r="G5647" t="s">
        <v>10091</v>
      </c>
      <c r="H5647" t="s">
        <v>10137</v>
      </c>
      <c r="I5647" t="s">
        <v>10168</v>
      </c>
      <c r="J5647" t="s">
        <v>10214</v>
      </c>
      <c r="K5647" t="s">
        <v>10217</v>
      </c>
      <c r="M5647" t="s">
        <v>10286</v>
      </c>
      <c r="N5647" t="s">
        <v>10671</v>
      </c>
      <c r="P5647" t="s">
        <v>10751</v>
      </c>
      <c r="Q5647" t="s">
        <v>10768</v>
      </c>
      <c r="R5647" t="s">
        <v>10824</v>
      </c>
      <c r="T5647">
        <v>0</v>
      </c>
      <c r="U5647">
        <v>0</v>
      </c>
      <c r="V5647">
        <v>41</v>
      </c>
      <c r="W5647">
        <v>1</v>
      </c>
      <c r="X5647">
        <v>0</v>
      </c>
      <c r="Z5647">
        <v>0</v>
      </c>
      <c r="AA5647">
        <v>40.694287</v>
      </c>
      <c r="AB5647">
        <v>-73.927254</v>
      </c>
      <c r="AD5647" t="s">
        <v>10839</v>
      </c>
      <c r="AG5647" t="s">
        <v>10858</v>
      </c>
      <c r="AH5647" t="s">
        <v>10871</v>
      </c>
      <c r="AI5647">
        <v>234</v>
      </c>
      <c r="AJ5647" t="s">
        <v>10214</v>
      </c>
      <c r="AL5647">
        <v>1</v>
      </c>
      <c r="AM5647" t="s">
        <v>10886</v>
      </c>
      <c r="AN5647" t="s">
        <v>10920</v>
      </c>
      <c r="AO5647" t="s">
        <v>11011</v>
      </c>
      <c r="AP5647" t="s">
        <v>11071</v>
      </c>
      <c r="AR5647" t="s">
        <v>11267</v>
      </c>
      <c r="AS5647" t="s">
        <v>11595</v>
      </c>
      <c r="AT5647" t="s">
        <v>11641</v>
      </c>
      <c r="AX5647" t="s">
        <v>10838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</row>
    <row r="5648" spans="1:59">
      <c r="A5648" s="1">
        <f>HYPERLINK("https://lsnyc.legalserver.org/matter/dynamic-profile/view/1909921","19-1909921")</f>
        <v>0</v>
      </c>
      <c r="B5648" t="s">
        <v>4435</v>
      </c>
      <c r="C5648" t="s">
        <v>9297</v>
      </c>
      <c r="D5648" t="s">
        <v>9929</v>
      </c>
      <c r="E5648" t="s">
        <v>10075</v>
      </c>
      <c r="F5648">
        <v>10301</v>
      </c>
      <c r="G5648" t="s">
        <v>10088</v>
      </c>
      <c r="H5648" t="s">
        <v>10162</v>
      </c>
      <c r="I5648" t="s">
        <v>10168</v>
      </c>
      <c r="J5648" t="s">
        <v>10208</v>
      </c>
      <c r="K5648" t="s">
        <v>10217</v>
      </c>
      <c r="M5648" t="s">
        <v>10243</v>
      </c>
      <c r="N5648" t="s">
        <v>10650</v>
      </c>
      <c r="P5648" t="s">
        <v>10749</v>
      </c>
      <c r="Q5648" t="s">
        <v>10765</v>
      </c>
      <c r="R5648" t="s">
        <v>10820</v>
      </c>
      <c r="T5648">
        <v>20280</v>
      </c>
      <c r="U5648">
        <v>1690</v>
      </c>
      <c r="V5648">
        <v>57</v>
      </c>
      <c r="W5648">
        <v>1</v>
      </c>
      <c r="X5648">
        <v>0</v>
      </c>
      <c r="Z5648">
        <v>162.37</v>
      </c>
      <c r="AA5648">
        <v>40.644523</v>
      </c>
      <c r="AB5648">
        <v>-74.081937</v>
      </c>
      <c r="AD5648" t="s">
        <v>10839</v>
      </c>
      <c r="AG5648" t="s">
        <v>10858</v>
      </c>
      <c r="AH5648" t="s">
        <v>10862</v>
      </c>
      <c r="AI5648">
        <v>285</v>
      </c>
      <c r="AJ5648" t="s">
        <v>10208</v>
      </c>
      <c r="AL5648">
        <v>0.3</v>
      </c>
      <c r="AM5648" t="s">
        <v>10883</v>
      </c>
      <c r="AN5648" t="s">
        <v>10913</v>
      </c>
      <c r="AO5648" t="s">
        <v>11006</v>
      </c>
      <c r="AP5648" t="s">
        <v>11051</v>
      </c>
      <c r="AR5648" t="s">
        <v>11400</v>
      </c>
      <c r="AS5648" t="s">
        <v>11593</v>
      </c>
      <c r="BA5648" t="s">
        <v>11738</v>
      </c>
      <c r="BB5648">
        <v>0</v>
      </c>
      <c r="BC5648">
        <v>0</v>
      </c>
      <c r="BD5648">
        <v>0</v>
      </c>
      <c r="BE5648">
        <v>0</v>
      </c>
      <c r="BF5648">
        <v>5</v>
      </c>
      <c r="BG5648">
        <v>0</v>
      </c>
    </row>
    <row r="5649" spans="1:59">
      <c r="A5649" s="1">
        <f>HYPERLINK("https://lsnyc.legalserver.org/matter/dynamic-profile/view/1909922","19-1909922")</f>
        <v>0</v>
      </c>
      <c r="B5649" t="s">
        <v>912</v>
      </c>
      <c r="C5649" t="s">
        <v>9298</v>
      </c>
      <c r="D5649" t="s">
        <v>9925</v>
      </c>
      <c r="E5649" t="s">
        <v>10075</v>
      </c>
      <c r="F5649">
        <v>10031</v>
      </c>
      <c r="G5649" t="s">
        <v>10089</v>
      </c>
      <c r="H5649" t="s">
        <v>10137</v>
      </c>
      <c r="I5649" t="s">
        <v>10168</v>
      </c>
      <c r="J5649" t="s">
        <v>10209</v>
      </c>
      <c r="K5649" t="s">
        <v>10217</v>
      </c>
      <c r="M5649" t="s">
        <v>10471</v>
      </c>
      <c r="N5649" t="s">
        <v>10702</v>
      </c>
      <c r="P5649" t="s">
        <v>10749</v>
      </c>
      <c r="Q5649" t="s">
        <v>10765</v>
      </c>
      <c r="R5649" t="s">
        <v>10824</v>
      </c>
      <c r="T5649">
        <v>19800</v>
      </c>
      <c r="U5649">
        <v>1650</v>
      </c>
      <c r="V5649">
        <v>74</v>
      </c>
      <c r="W5649">
        <v>1</v>
      </c>
      <c r="X5649">
        <v>0</v>
      </c>
      <c r="Z5649">
        <v>158.53</v>
      </c>
      <c r="AA5649">
        <v>40.828373</v>
      </c>
      <c r="AB5649">
        <v>-73.950436</v>
      </c>
      <c r="AD5649" t="s">
        <v>10839</v>
      </c>
      <c r="AG5649" t="s">
        <v>10858</v>
      </c>
      <c r="AH5649" t="s">
        <v>10861</v>
      </c>
      <c r="AI5649">
        <v>236</v>
      </c>
      <c r="AJ5649" t="s">
        <v>10209</v>
      </c>
      <c r="AL5649">
        <v>1.3</v>
      </c>
      <c r="AM5649" t="s">
        <v>10887</v>
      </c>
      <c r="AN5649" t="s">
        <v>10943</v>
      </c>
      <c r="AO5649" t="s">
        <v>11016</v>
      </c>
      <c r="AP5649" t="s">
        <v>11073</v>
      </c>
      <c r="AR5649" t="s">
        <v>11268</v>
      </c>
      <c r="AS5649" t="s">
        <v>9925</v>
      </c>
      <c r="BA5649" t="s">
        <v>11738</v>
      </c>
      <c r="BB5649">
        <v>0</v>
      </c>
      <c r="BC5649">
        <v>0</v>
      </c>
      <c r="BD5649">
        <v>0</v>
      </c>
      <c r="BE5649">
        <v>0</v>
      </c>
      <c r="BF5649">
        <v>5</v>
      </c>
      <c r="BG5649">
        <v>0</v>
      </c>
    </row>
    <row r="5650" spans="1:59">
      <c r="A5650" s="1">
        <f>HYPERLINK("https://lsnyc.legalserver.org/matter/dynamic-profile/view/1909923","19-1909923")</f>
        <v>0</v>
      </c>
      <c r="B5650" t="s">
        <v>4436</v>
      </c>
      <c r="C5650" t="s">
        <v>9299</v>
      </c>
      <c r="D5650" t="s">
        <v>9965</v>
      </c>
      <c r="E5650" t="s">
        <v>10075</v>
      </c>
      <c r="F5650">
        <v>11101</v>
      </c>
      <c r="G5650" t="s">
        <v>10092</v>
      </c>
      <c r="H5650" t="s">
        <v>10137</v>
      </c>
      <c r="I5650" t="s">
        <v>10169</v>
      </c>
      <c r="J5650" t="s">
        <v>10212</v>
      </c>
      <c r="K5650" t="s">
        <v>10217</v>
      </c>
      <c r="M5650" t="s">
        <v>10340</v>
      </c>
      <c r="N5650" t="s">
        <v>10671</v>
      </c>
      <c r="P5650" t="s">
        <v>10751</v>
      </c>
      <c r="Q5650" t="s">
        <v>10768</v>
      </c>
      <c r="R5650" t="s">
        <v>10821</v>
      </c>
      <c r="T5650">
        <v>2196</v>
      </c>
      <c r="U5650">
        <v>183</v>
      </c>
      <c r="V5650">
        <v>55</v>
      </c>
      <c r="W5650">
        <v>1</v>
      </c>
      <c r="X5650">
        <v>0</v>
      </c>
      <c r="Z5650">
        <v>17.58</v>
      </c>
      <c r="AA5650">
        <v>40.755324</v>
      </c>
      <c r="AB5650">
        <v>-73.94327199999999</v>
      </c>
      <c r="AD5650" t="s">
        <v>10839</v>
      </c>
      <c r="AG5650" t="s">
        <v>10858</v>
      </c>
      <c r="AH5650" t="s">
        <v>10861</v>
      </c>
      <c r="AI5650">
        <v>234</v>
      </c>
      <c r="AJ5650" t="s">
        <v>10214</v>
      </c>
      <c r="AL5650">
        <v>2.4</v>
      </c>
      <c r="AM5650" t="s">
        <v>10891</v>
      </c>
      <c r="AN5650" t="s">
        <v>10961</v>
      </c>
      <c r="AO5650" t="s">
        <v>11003</v>
      </c>
      <c r="AP5650" t="s">
        <v>11047</v>
      </c>
      <c r="AR5650" t="s">
        <v>11344</v>
      </c>
      <c r="AS5650" t="s">
        <v>11594</v>
      </c>
      <c r="AT5650" t="s">
        <v>11641</v>
      </c>
      <c r="AX5650" t="s">
        <v>10838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</row>
    <row r="5651" spans="1:59">
      <c r="A5651" s="1">
        <f>HYPERLINK("https://lsnyc.legalserver.org/matter/dynamic-profile/view/1909924","19-1909924")</f>
        <v>0</v>
      </c>
      <c r="B5651" t="s">
        <v>2943</v>
      </c>
      <c r="C5651" t="s">
        <v>9300</v>
      </c>
      <c r="D5651" t="s">
        <v>9981</v>
      </c>
      <c r="E5651" t="s">
        <v>10075</v>
      </c>
      <c r="F5651">
        <v>11378</v>
      </c>
      <c r="G5651" t="s">
        <v>10093</v>
      </c>
      <c r="H5651" t="s">
        <v>10137</v>
      </c>
      <c r="I5651" t="s">
        <v>10168</v>
      </c>
      <c r="J5651" t="s">
        <v>10213</v>
      </c>
      <c r="K5651" t="s">
        <v>10217</v>
      </c>
      <c r="M5651" t="s">
        <v>10358</v>
      </c>
      <c r="N5651" t="s">
        <v>10671</v>
      </c>
      <c r="P5651" t="s">
        <v>10752</v>
      </c>
      <c r="Q5651" t="s">
        <v>10783</v>
      </c>
      <c r="R5651" t="s">
        <v>10825</v>
      </c>
      <c r="T5651">
        <v>25000</v>
      </c>
      <c r="U5651">
        <v>2083.33</v>
      </c>
      <c r="V5651">
        <v>45</v>
      </c>
      <c r="W5651">
        <v>1</v>
      </c>
      <c r="X5651">
        <v>1</v>
      </c>
      <c r="Z5651">
        <v>147.84</v>
      </c>
      <c r="AA5651">
        <v>40.732324</v>
      </c>
      <c r="AB5651">
        <v>-73.891091</v>
      </c>
      <c r="AD5651" t="s">
        <v>10839</v>
      </c>
      <c r="AG5651" t="s">
        <v>10858</v>
      </c>
      <c r="AH5651" t="s">
        <v>10871</v>
      </c>
      <c r="AI5651">
        <v>234</v>
      </c>
      <c r="AJ5651" t="s">
        <v>10214</v>
      </c>
      <c r="AL5651">
        <v>1.25</v>
      </c>
      <c r="AM5651" t="s">
        <v>10890</v>
      </c>
      <c r="AN5651" t="s">
        <v>10935</v>
      </c>
      <c r="AO5651" t="s">
        <v>11024</v>
      </c>
      <c r="AP5651" t="s">
        <v>11077</v>
      </c>
      <c r="AR5651" t="s">
        <v>11257</v>
      </c>
      <c r="AS5651" t="s">
        <v>11594</v>
      </c>
      <c r="AT5651" t="s">
        <v>11641</v>
      </c>
      <c r="AX5651" t="s">
        <v>10837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</row>
    <row r="5652" spans="1:59">
      <c r="A5652" s="1">
        <f>HYPERLINK("https://lsnyc.legalserver.org/matter/dynamic-profile/view/1909925","19-1909925")</f>
        <v>0</v>
      </c>
      <c r="B5652" t="s">
        <v>2601</v>
      </c>
      <c r="C5652" t="s">
        <v>5839</v>
      </c>
      <c r="D5652" t="s">
        <v>9928</v>
      </c>
      <c r="E5652" t="s">
        <v>10075</v>
      </c>
      <c r="F5652">
        <v>11203</v>
      </c>
      <c r="G5652" t="s">
        <v>10093</v>
      </c>
      <c r="H5652" t="s">
        <v>10162</v>
      </c>
      <c r="J5652" t="s">
        <v>10213</v>
      </c>
      <c r="K5652" t="s">
        <v>10217</v>
      </c>
      <c r="M5652" t="s">
        <v>10317</v>
      </c>
      <c r="N5652" t="s">
        <v>10698</v>
      </c>
      <c r="P5652" t="s">
        <v>10751</v>
      </c>
      <c r="Q5652" t="s">
        <v>10761</v>
      </c>
      <c r="R5652" t="s">
        <v>10824</v>
      </c>
      <c r="T5652">
        <v>9600</v>
      </c>
      <c r="U5652">
        <v>800</v>
      </c>
      <c r="V5652">
        <v>58</v>
      </c>
      <c r="W5652">
        <v>1</v>
      </c>
      <c r="X5652">
        <v>0</v>
      </c>
      <c r="Z5652">
        <v>76.86</v>
      </c>
      <c r="AA5652">
        <v>40.662891</v>
      </c>
      <c r="AB5652">
        <v>-73.93777300000001</v>
      </c>
      <c r="AD5652" t="s">
        <v>10840</v>
      </c>
      <c r="AG5652" t="s">
        <v>10858</v>
      </c>
      <c r="AH5652" t="s">
        <v>10868</v>
      </c>
      <c r="AI5652">
        <v>239</v>
      </c>
      <c r="AJ5652" t="s">
        <v>10213</v>
      </c>
      <c r="AL5652">
        <v>1.75</v>
      </c>
      <c r="AM5652" t="s">
        <v>10888</v>
      </c>
      <c r="AN5652" t="s">
        <v>10912</v>
      </c>
      <c r="AO5652" t="s">
        <v>11005</v>
      </c>
      <c r="AP5652" t="s">
        <v>11064</v>
      </c>
      <c r="AR5652" t="s">
        <v>11274</v>
      </c>
      <c r="AS5652" t="s">
        <v>11595</v>
      </c>
      <c r="AT5652" t="s">
        <v>11642</v>
      </c>
      <c r="AX5652" t="s">
        <v>10838</v>
      </c>
      <c r="BA5652" t="s">
        <v>11742</v>
      </c>
      <c r="BB5652">
        <v>0</v>
      </c>
      <c r="BC5652">
        <v>0</v>
      </c>
      <c r="BD5652">
        <v>0</v>
      </c>
      <c r="BE5652">
        <v>0</v>
      </c>
      <c r="BF5652">
        <v>7</v>
      </c>
      <c r="BG5652">
        <v>0</v>
      </c>
    </row>
    <row r="5653" spans="1:59">
      <c r="A5653" s="1">
        <f>HYPERLINK("https://lsnyc.legalserver.org/matter/dynamic-profile/view/1909926","19-1909926")</f>
        <v>0</v>
      </c>
      <c r="B5653" t="s">
        <v>4437</v>
      </c>
      <c r="C5653" t="s">
        <v>6504</v>
      </c>
      <c r="D5653" t="s">
        <v>9926</v>
      </c>
      <c r="E5653" t="s">
        <v>10075</v>
      </c>
      <c r="F5653">
        <v>10451</v>
      </c>
      <c r="G5653" t="s">
        <v>10090</v>
      </c>
      <c r="H5653" t="s">
        <v>10137</v>
      </c>
      <c r="I5653" t="s">
        <v>10169</v>
      </c>
      <c r="J5653" t="s">
        <v>10210</v>
      </c>
      <c r="K5653" t="s">
        <v>10217</v>
      </c>
      <c r="M5653" t="s">
        <v>10296</v>
      </c>
      <c r="N5653" t="s">
        <v>10679</v>
      </c>
      <c r="P5653" t="s">
        <v>10753</v>
      </c>
      <c r="Q5653" t="s">
        <v>10763</v>
      </c>
      <c r="R5653" t="s">
        <v>10823</v>
      </c>
      <c r="T5653">
        <v>0</v>
      </c>
      <c r="U5653">
        <v>0</v>
      </c>
      <c r="V5653">
        <v>15</v>
      </c>
      <c r="W5653">
        <v>1</v>
      </c>
      <c r="X5653">
        <v>2</v>
      </c>
      <c r="Z5653">
        <v>0</v>
      </c>
      <c r="AA5653">
        <v>40.821154</v>
      </c>
      <c r="AB5653">
        <v>-73.915177</v>
      </c>
      <c r="AD5653" t="s">
        <v>10839</v>
      </c>
      <c r="AF5653" t="s">
        <v>10842</v>
      </c>
      <c r="AG5653" t="s">
        <v>10859</v>
      </c>
      <c r="AH5653" t="s">
        <v>10864</v>
      </c>
      <c r="AI5653">
        <v>230</v>
      </c>
      <c r="AJ5653" t="s">
        <v>10210</v>
      </c>
      <c r="AL5653">
        <v>1.5</v>
      </c>
      <c r="AM5653" t="s">
        <v>10884</v>
      </c>
      <c r="AN5653" t="s">
        <v>10918</v>
      </c>
      <c r="AO5653" t="s">
        <v>11001</v>
      </c>
      <c r="AP5653" t="s">
        <v>11062</v>
      </c>
      <c r="AQ5653" t="s">
        <v>11109</v>
      </c>
      <c r="AR5653" t="s">
        <v>11267</v>
      </c>
      <c r="AS5653" t="s">
        <v>9926</v>
      </c>
      <c r="AT5653" t="s">
        <v>11641</v>
      </c>
      <c r="AV5653" t="s">
        <v>11656</v>
      </c>
      <c r="AW5653" t="s">
        <v>11645</v>
      </c>
      <c r="AX5653" t="s">
        <v>10838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</row>
    <row r="5654" spans="1:59">
      <c r="A5654" s="1">
        <f>HYPERLINK("https://lsnyc.legalserver.org/matter/dynamic-profile/view/1909927","19-1909927")</f>
        <v>0</v>
      </c>
      <c r="B5654" t="s">
        <v>4438</v>
      </c>
      <c r="C5654" t="s">
        <v>9301</v>
      </c>
      <c r="D5654" t="s">
        <v>9929</v>
      </c>
      <c r="E5654" t="s">
        <v>10075</v>
      </c>
      <c r="F5654">
        <v>10303</v>
      </c>
      <c r="G5654" t="s">
        <v>10088</v>
      </c>
      <c r="H5654" t="s">
        <v>10137</v>
      </c>
      <c r="I5654" t="s">
        <v>10169</v>
      </c>
      <c r="J5654" t="s">
        <v>10208</v>
      </c>
      <c r="K5654" t="s">
        <v>10217</v>
      </c>
      <c r="M5654" t="s">
        <v>10605</v>
      </c>
      <c r="N5654" t="s">
        <v>10655</v>
      </c>
      <c r="P5654" t="s">
        <v>10749</v>
      </c>
      <c r="Q5654" t="s">
        <v>10765</v>
      </c>
      <c r="R5654" t="s">
        <v>10821</v>
      </c>
      <c r="T5654">
        <v>3600</v>
      </c>
      <c r="U5654">
        <v>300</v>
      </c>
      <c r="V5654">
        <v>37</v>
      </c>
      <c r="W5654">
        <v>1</v>
      </c>
      <c r="X5654">
        <v>2</v>
      </c>
      <c r="Z5654">
        <v>16.88</v>
      </c>
      <c r="AA5654">
        <v>40.635092</v>
      </c>
      <c r="AB5654">
        <v>-74.17023</v>
      </c>
      <c r="AD5654" t="s">
        <v>10839</v>
      </c>
      <c r="AG5654" t="s">
        <v>10858</v>
      </c>
      <c r="AH5654" t="s">
        <v>10862</v>
      </c>
      <c r="AI5654">
        <v>285</v>
      </c>
      <c r="AJ5654" t="s">
        <v>10208</v>
      </c>
      <c r="AL5654">
        <v>1.65</v>
      </c>
      <c r="AM5654" t="s">
        <v>10883</v>
      </c>
      <c r="AN5654" t="s">
        <v>10928</v>
      </c>
      <c r="AO5654" t="s">
        <v>11006</v>
      </c>
      <c r="AP5654" t="s">
        <v>11051</v>
      </c>
      <c r="AR5654" t="s">
        <v>11255</v>
      </c>
      <c r="AS5654" t="s">
        <v>11593</v>
      </c>
      <c r="BA5654" t="s">
        <v>11738</v>
      </c>
      <c r="BB5654">
        <v>0</v>
      </c>
      <c r="BC5654">
        <v>0</v>
      </c>
      <c r="BD5654">
        <v>0</v>
      </c>
      <c r="BE5654">
        <v>0</v>
      </c>
      <c r="BF5654">
        <v>5</v>
      </c>
      <c r="BG5654">
        <v>0</v>
      </c>
    </row>
    <row r="5655" spans="1:59">
      <c r="A5655" s="1">
        <f>HYPERLINK("https://lsnyc.legalserver.org/matter/dynamic-profile/view/1909928","19-1909928")</f>
        <v>0</v>
      </c>
      <c r="B5655" t="s">
        <v>4439</v>
      </c>
      <c r="C5655" t="s">
        <v>9302</v>
      </c>
      <c r="D5655" t="s">
        <v>9925</v>
      </c>
      <c r="E5655" t="s">
        <v>10075</v>
      </c>
      <c r="F5655">
        <v>10031</v>
      </c>
      <c r="G5655" t="s">
        <v>10089</v>
      </c>
      <c r="H5655" t="s">
        <v>10137</v>
      </c>
      <c r="I5655" t="s">
        <v>10168</v>
      </c>
      <c r="J5655" t="s">
        <v>10209</v>
      </c>
      <c r="K5655" t="s">
        <v>10217</v>
      </c>
      <c r="M5655" t="s">
        <v>10625</v>
      </c>
      <c r="N5655" t="s">
        <v>10702</v>
      </c>
      <c r="P5655" t="s">
        <v>10749</v>
      </c>
      <c r="Q5655" t="s">
        <v>10765</v>
      </c>
      <c r="R5655" t="s">
        <v>10825</v>
      </c>
      <c r="T5655">
        <v>18200</v>
      </c>
      <c r="U5655">
        <v>1516.67</v>
      </c>
      <c r="V5655">
        <v>35</v>
      </c>
      <c r="W5655">
        <v>1</v>
      </c>
      <c r="X5655">
        <v>2</v>
      </c>
      <c r="Z5655">
        <v>85.33</v>
      </c>
      <c r="AA5655">
        <v>40.828292</v>
      </c>
      <c r="AB5655">
        <v>-73.941243</v>
      </c>
      <c r="AD5655" t="s">
        <v>10840</v>
      </c>
      <c r="AG5655" t="s">
        <v>10858</v>
      </c>
      <c r="AH5655" t="s">
        <v>10862</v>
      </c>
      <c r="AI5655">
        <v>236</v>
      </c>
      <c r="AJ5655" t="s">
        <v>10209</v>
      </c>
      <c r="AL5655">
        <v>3.8</v>
      </c>
      <c r="AR5655" t="s">
        <v>11257</v>
      </c>
      <c r="AS5655" t="s">
        <v>9925</v>
      </c>
      <c r="BA5655" t="s">
        <v>11738</v>
      </c>
      <c r="BB5655">
        <v>0</v>
      </c>
      <c r="BC5655">
        <v>0</v>
      </c>
      <c r="BD5655">
        <v>0</v>
      </c>
      <c r="BE5655">
        <v>0</v>
      </c>
      <c r="BF5655">
        <v>5</v>
      </c>
      <c r="BG5655">
        <v>0</v>
      </c>
    </row>
    <row r="5656" spans="1:59">
      <c r="A5656" s="1">
        <f>HYPERLINK("https://lsnyc.legalserver.org/matter/dynamic-profile/view/1909930","19-1909930")</f>
        <v>0</v>
      </c>
      <c r="B5656" t="s">
        <v>2344</v>
      </c>
      <c r="C5656" t="s">
        <v>9303</v>
      </c>
      <c r="D5656" t="s">
        <v>9928</v>
      </c>
      <c r="E5656" t="s">
        <v>10075</v>
      </c>
      <c r="F5656">
        <v>11236</v>
      </c>
      <c r="G5656" t="s">
        <v>10093</v>
      </c>
      <c r="H5656" t="s">
        <v>10137</v>
      </c>
      <c r="I5656" t="s">
        <v>10168</v>
      </c>
      <c r="J5656" t="s">
        <v>10213</v>
      </c>
      <c r="K5656" t="s">
        <v>10217</v>
      </c>
      <c r="M5656" t="s">
        <v>10414</v>
      </c>
      <c r="N5656" t="s">
        <v>10646</v>
      </c>
      <c r="P5656" t="s">
        <v>10753</v>
      </c>
      <c r="Q5656" t="s">
        <v>10763</v>
      </c>
      <c r="R5656" t="s">
        <v>10824</v>
      </c>
      <c r="T5656">
        <v>54756</v>
      </c>
      <c r="U5656">
        <v>4563</v>
      </c>
      <c r="V5656">
        <v>45</v>
      </c>
      <c r="W5656">
        <v>2</v>
      </c>
      <c r="X5656">
        <v>2</v>
      </c>
      <c r="Z5656">
        <v>212.64</v>
      </c>
      <c r="AA5656">
        <v>40.633621</v>
      </c>
      <c r="AB5656">
        <v>-73.89208499999999</v>
      </c>
      <c r="AC5656" t="s">
        <v>10837</v>
      </c>
      <c r="AD5656" t="s">
        <v>10840</v>
      </c>
      <c r="AF5656" t="s">
        <v>10843</v>
      </c>
      <c r="AG5656" t="s">
        <v>10859</v>
      </c>
      <c r="AH5656" t="s">
        <v>10871</v>
      </c>
      <c r="AI5656">
        <v>234</v>
      </c>
      <c r="AJ5656" t="s">
        <v>10214</v>
      </c>
      <c r="AL5656">
        <v>1.5</v>
      </c>
      <c r="AM5656" t="s">
        <v>10889</v>
      </c>
      <c r="AN5656" t="s">
        <v>10959</v>
      </c>
      <c r="AO5656" t="s">
        <v>11012</v>
      </c>
      <c r="AP5656" t="s">
        <v>11072</v>
      </c>
      <c r="AR5656" t="s">
        <v>11257</v>
      </c>
      <c r="AS5656" t="s">
        <v>11595</v>
      </c>
      <c r="AT5656" t="s">
        <v>11642</v>
      </c>
      <c r="AX5656" t="s">
        <v>10838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</row>
    <row r="5657" spans="1:59">
      <c r="A5657" s="1">
        <f>HYPERLINK("https://lsnyc.legalserver.org/matter/dynamic-profile/view/1909931","19-1909931")</f>
        <v>0</v>
      </c>
      <c r="B5657" t="s">
        <v>4440</v>
      </c>
      <c r="C5657" t="s">
        <v>9304</v>
      </c>
      <c r="D5657" t="s">
        <v>9928</v>
      </c>
      <c r="E5657" t="s">
        <v>10075</v>
      </c>
      <c r="F5657">
        <v>11212</v>
      </c>
      <c r="G5657" t="s">
        <v>10093</v>
      </c>
      <c r="H5657" t="s">
        <v>10137</v>
      </c>
      <c r="I5657" t="s">
        <v>10168</v>
      </c>
      <c r="J5657" t="s">
        <v>10213</v>
      </c>
      <c r="K5657" t="s">
        <v>10217</v>
      </c>
      <c r="M5657" t="s">
        <v>10290</v>
      </c>
      <c r="N5657" t="s">
        <v>10694</v>
      </c>
      <c r="P5657" t="s">
        <v>10751</v>
      </c>
      <c r="Q5657" t="s">
        <v>10773</v>
      </c>
      <c r="R5657" t="s">
        <v>10822</v>
      </c>
      <c r="T5657">
        <v>20436</v>
      </c>
      <c r="U5657">
        <v>1703</v>
      </c>
      <c r="V5657">
        <v>32</v>
      </c>
      <c r="W5657">
        <v>1</v>
      </c>
      <c r="X5657">
        <v>0</v>
      </c>
      <c r="Z5657">
        <v>163.62</v>
      </c>
      <c r="AA5657">
        <v>40.658857</v>
      </c>
      <c r="AB5657">
        <v>-73.915487</v>
      </c>
      <c r="AD5657" t="s">
        <v>10839</v>
      </c>
      <c r="AG5657" t="s">
        <v>10858</v>
      </c>
      <c r="AH5657" t="s">
        <v>10861</v>
      </c>
      <c r="AI5657">
        <v>234</v>
      </c>
      <c r="AJ5657" t="s">
        <v>10214</v>
      </c>
      <c r="AL5657">
        <v>1</v>
      </c>
      <c r="AQ5657" t="s">
        <v>11115</v>
      </c>
      <c r="AR5657" t="s">
        <v>11293</v>
      </c>
      <c r="AS5657" t="s">
        <v>11595</v>
      </c>
      <c r="AT5657" t="s">
        <v>11641</v>
      </c>
      <c r="AX5657" t="s">
        <v>10837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</row>
    <row r="5658" spans="1:59">
      <c r="A5658" s="1">
        <f>HYPERLINK("https://lsnyc.legalserver.org/matter/dynamic-profile/view/1909932","19-1909932")</f>
        <v>0</v>
      </c>
      <c r="B5658" t="s">
        <v>535</v>
      </c>
      <c r="C5658" t="s">
        <v>9305</v>
      </c>
      <c r="D5658" t="s">
        <v>9928</v>
      </c>
      <c r="E5658" t="s">
        <v>10075</v>
      </c>
      <c r="F5658">
        <v>11235</v>
      </c>
      <c r="G5658" t="s">
        <v>10093</v>
      </c>
      <c r="H5658" t="s">
        <v>10137</v>
      </c>
      <c r="I5658" t="s">
        <v>10168</v>
      </c>
      <c r="J5658" t="s">
        <v>10213</v>
      </c>
      <c r="K5658" t="s">
        <v>10218</v>
      </c>
      <c r="L5658" t="s">
        <v>10223</v>
      </c>
      <c r="M5658" t="s">
        <v>10309</v>
      </c>
      <c r="N5658" t="s">
        <v>10671</v>
      </c>
      <c r="P5658" t="s">
        <v>10750</v>
      </c>
      <c r="Q5658" t="s">
        <v>10779</v>
      </c>
      <c r="R5658" t="s">
        <v>10820</v>
      </c>
      <c r="T5658">
        <v>20800</v>
      </c>
      <c r="U5658">
        <v>1733.33</v>
      </c>
      <c r="V5658">
        <v>52</v>
      </c>
      <c r="W5658">
        <v>1</v>
      </c>
      <c r="X5658">
        <v>0</v>
      </c>
      <c r="Y5658" t="s">
        <v>10829</v>
      </c>
      <c r="Z5658">
        <v>166.53</v>
      </c>
      <c r="AA5658">
        <v>40.587582</v>
      </c>
      <c r="AB5658">
        <v>-73.933105</v>
      </c>
      <c r="AD5658" t="s">
        <v>10840</v>
      </c>
      <c r="AG5658" t="s">
        <v>10858</v>
      </c>
      <c r="AH5658" t="s">
        <v>10871</v>
      </c>
      <c r="AI5658">
        <v>234</v>
      </c>
      <c r="AJ5658" t="s">
        <v>10214</v>
      </c>
      <c r="AK5658" t="s">
        <v>10838</v>
      </c>
      <c r="AL5658">
        <v>1.75</v>
      </c>
      <c r="AM5658" t="s">
        <v>10888</v>
      </c>
      <c r="AN5658" t="s">
        <v>10957</v>
      </c>
      <c r="AO5658" t="s">
        <v>11006</v>
      </c>
      <c r="AP5658" t="s">
        <v>11092</v>
      </c>
      <c r="AQ5658" t="s">
        <v>11248</v>
      </c>
      <c r="AR5658" t="s">
        <v>11257</v>
      </c>
      <c r="AS5658" t="s">
        <v>11595</v>
      </c>
      <c r="AT5658" t="s">
        <v>11642</v>
      </c>
      <c r="AX5658" t="s">
        <v>10837</v>
      </c>
      <c r="AY5658" t="s">
        <v>10829</v>
      </c>
      <c r="AZ5658" t="s">
        <v>11679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</row>
    <row r="5659" spans="1:59">
      <c r="A5659" s="1">
        <f>HYPERLINK("https://lsnyc.legalserver.org/matter/dynamic-profile/view/1909933","19-1909933")</f>
        <v>0</v>
      </c>
      <c r="B5659" t="s">
        <v>4441</v>
      </c>
      <c r="C5659" t="s">
        <v>5053</v>
      </c>
      <c r="D5659" t="s">
        <v>9929</v>
      </c>
      <c r="E5659" t="s">
        <v>10075</v>
      </c>
      <c r="F5659">
        <v>10303</v>
      </c>
      <c r="G5659" t="s">
        <v>10088</v>
      </c>
      <c r="H5659" t="s">
        <v>10137</v>
      </c>
      <c r="I5659" t="s">
        <v>10168</v>
      </c>
      <c r="J5659" t="s">
        <v>10208</v>
      </c>
      <c r="K5659" t="s">
        <v>10217</v>
      </c>
      <c r="M5659" t="s">
        <v>10259</v>
      </c>
      <c r="N5659" t="s">
        <v>10655</v>
      </c>
      <c r="P5659" t="s">
        <v>10749</v>
      </c>
      <c r="Q5659" t="s">
        <v>10774</v>
      </c>
      <c r="R5659" t="s">
        <v>10821</v>
      </c>
      <c r="T5659">
        <v>11388</v>
      </c>
      <c r="U5659">
        <v>949</v>
      </c>
      <c r="V5659">
        <v>49</v>
      </c>
      <c r="W5659">
        <v>1</v>
      </c>
      <c r="X5659">
        <v>0</v>
      </c>
      <c r="Z5659">
        <v>91.18000000000001</v>
      </c>
      <c r="AA5659">
        <v>40.638912</v>
      </c>
      <c r="AB5659">
        <v>-74.17009400000001</v>
      </c>
      <c r="AD5659" t="s">
        <v>10839</v>
      </c>
      <c r="AG5659" t="s">
        <v>10858</v>
      </c>
      <c r="AH5659" t="s">
        <v>10862</v>
      </c>
      <c r="AI5659">
        <v>285</v>
      </c>
      <c r="AJ5659" t="s">
        <v>10208</v>
      </c>
      <c r="AL5659">
        <v>1.35</v>
      </c>
      <c r="AR5659" t="s">
        <v>11298</v>
      </c>
      <c r="AS5659" t="s">
        <v>11593</v>
      </c>
      <c r="BA5659" t="s">
        <v>11738</v>
      </c>
      <c r="BB5659">
        <v>0</v>
      </c>
      <c r="BC5659">
        <v>0</v>
      </c>
      <c r="BD5659">
        <v>0</v>
      </c>
      <c r="BE5659">
        <v>0</v>
      </c>
      <c r="BF5659">
        <v>5</v>
      </c>
      <c r="BG5659">
        <v>0</v>
      </c>
    </row>
    <row r="5660" spans="1:59">
      <c r="A5660" s="1">
        <f>HYPERLINK("https://lsnyc.legalserver.org/matter/dynamic-profile/view/1909934","19-1909934")</f>
        <v>0</v>
      </c>
      <c r="B5660" t="s">
        <v>4442</v>
      </c>
      <c r="C5660" t="s">
        <v>6504</v>
      </c>
      <c r="D5660" t="s">
        <v>9926</v>
      </c>
      <c r="E5660" t="s">
        <v>10075</v>
      </c>
      <c r="F5660">
        <v>10451</v>
      </c>
      <c r="G5660" t="s">
        <v>10090</v>
      </c>
      <c r="H5660" t="s">
        <v>10137</v>
      </c>
      <c r="I5660" t="s">
        <v>10169</v>
      </c>
      <c r="J5660" t="s">
        <v>10210</v>
      </c>
      <c r="K5660" t="s">
        <v>10217</v>
      </c>
      <c r="M5660" t="s">
        <v>10296</v>
      </c>
      <c r="N5660" t="s">
        <v>10679</v>
      </c>
      <c r="P5660" t="s">
        <v>10753</v>
      </c>
      <c r="Q5660" t="s">
        <v>10763</v>
      </c>
      <c r="R5660" t="s">
        <v>10823</v>
      </c>
      <c r="T5660">
        <v>0</v>
      </c>
      <c r="U5660">
        <v>0</v>
      </c>
      <c r="V5660">
        <v>14</v>
      </c>
      <c r="W5660">
        <v>1</v>
      </c>
      <c r="X5660">
        <v>2</v>
      </c>
      <c r="Z5660">
        <v>0</v>
      </c>
      <c r="AA5660">
        <v>40.821154</v>
      </c>
      <c r="AB5660">
        <v>-73.915177</v>
      </c>
      <c r="AD5660" t="s">
        <v>10839</v>
      </c>
      <c r="AF5660" t="s">
        <v>10842</v>
      </c>
      <c r="AG5660" t="s">
        <v>10859</v>
      </c>
      <c r="AH5660" t="s">
        <v>10864</v>
      </c>
      <c r="AI5660">
        <v>230</v>
      </c>
      <c r="AJ5660" t="s">
        <v>10210</v>
      </c>
      <c r="AL5660">
        <v>3.75</v>
      </c>
      <c r="AQ5660" t="s">
        <v>11109</v>
      </c>
      <c r="AR5660" t="s">
        <v>11267</v>
      </c>
      <c r="AS5660" t="s">
        <v>9926</v>
      </c>
      <c r="AT5660" t="s">
        <v>11641</v>
      </c>
      <c r="AV5660" t="s">
        <v>11656</v>
      </c>
      <c r="AW5660" t="s">
        <v>11645</v>
      </c>
      <c r="AX5660" t="s">
        <v>10838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</row>
    <row r="5661" spans="1:59">
      <c r="A5661" s="1">
        <f>HYPERLINK("https://lsnyc.legalserver.org/matter/dynamic-profile/view/1909935","19-1909935")</f>
        <v>0</v>
      </c>
      <c r="B5661" t="s">
        <v>4443</v>
      </c>
      <c r="C5661" t="s">
        <v>9306</v>
      </c>
      <c r="D5661" t="s">
        <v>9928</v>
      </c>
      <c r="E5661" t="s">
        <v>10075</v>
      </c>
      <c r="F5661">
        <v>11213</v>
      </c>
      <c r="G5661" t="s">
        <v>10093</v>
      </c>
      <c r="H5661" t="s">
        <v>10137</v>
      </c>
      <c r="I5661" t="s">
        <v>10168</v>
      </c>
      <c r="J5661" t="s">
        <v>10213</v>
      </c>
      <c r="K5661" t="s">
        <v>10217</v>
      </c>
      <c r="M5661" t="s">
        <v>10280</v>
      </c>
      <c r="N5661" t="s">
        <v>10671</v>
      </c>
      <c r="P5661" t="s">
        <v>10751</v>
      </c>
      <c r="Q5661" t="s">
        <v>10780</v>
      </c>
      <c r="R5661" t="s">
        <v>10824</v>
      </c>
      <c r="T5661">
        <v>0</v>
      </c>
      <c r="U5661">
        <v>0</v>
      </c>
      <c r="V5661">
        <v>37</v>
      </c>
      <c r="W5661">
        <v>2</v>
      </c>
      <c r="X5661">
        <v>0</v>
      </c>
      <c r="Z5661">
        <v>0</v>
      </c>
      <c r="AA5661">
        <v>40.674189</v>
      </c>
      <c r="AB5661">
        <v>-73.937583</v>
      </c>
      <c r="AD5661" t="s">
        <v>10839</v>
      </c>
      <c r="AG5661" t="s">
        <v>10858</v>
      </c>
      <c r="AH5661" t="s">
        <v>10861</v>
      </c>
      <c r="AI5661">
        <v>234</v>
      </c>
      <c r="AJ5661" t="s">
        <v>10214</v>
      </c>
      <c r="AL5661">
        <v>0.5</v>
      </c>
      <c r="AM5661" t="s">
        <v>10888</v>
      </c>
      <c r="AN5661" t="s">
        <v>10914</v>
      </c>
      <c r="AO5661" t="s">
        <v>11007</v>
      </c>
      <c r="AP5661" t="s">
        <v>11052</v>
      </c>
      <c r="AR5661" t="s">
        <v>11279</v>
      </c>
      <c r="AS5661" t="s">
        <v>11595</v>
      </c>
      <c r="AT5661" t="s">
        <v>11641</v>
      </c>
      <c r="AX5661" t="s">
        <v>10838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</row>
    <row r="5662" spans="1:59">
      <c r="A5662" s="1">
        <f>HYPERLINK("https://lsnyc.legalserver.org/matter/dynamic-profile/view/1909936","19-1909936")</f>
        <v>0</v>
      </c>
      <c r="B5662" t="s">
        <v>4444</v>
      </c>
      <c r="C5662" t="s">
        <v>9307</v>
      </c>
      <c r="D5662" t="s">
        <v>9929</v>
      </c>
      <c r="E5662" t="s">
        <v>10075</v>
      </c>
      <c r="F5662">
        <v>10306</v>
      </c>
      <c r="G5662" t="s">
        <v>10088</v>
      </c>
      <c r="H5662" t="s">
        <v>10137</v>
      </c>
      <c r="I5662" t="s">
        <v>10168</v>
      </c>
      <c r="J5662" t="s">
        <v>10208</v>
      </c>
      <c r="K5662" t="s">
        <v>10217</v>
      </c>
      <c r="M5662" t="s">
        <v>10259</v>
      </c>
      <c r="N5662" t="s">
        <v>10654</v>
      </c>
      <c r="P5662" t="s">
        <v>10749</v>
      </c>
      <c r="Q5662" t="s">
        <v>10765</v>
      </c>
      <c r="R5662" t="s">
        <v>10821</v>
      </c>
      <c r="T5662">
        <v>3120</v>
      </c>
      <c r="U5662">
        <v>260</v>
      </c>
      <c r="V5662">
        <v>43</v>
      </c>
      <c r="W5662">
        <v>1</v>
      </c>
      <c r="X5662">
        <v>1</v>
      </c>
      <c r="Z5662">
        <v>18.45</v>
      </c>
      <c r="AA5662">
        <v>40.564448</v>
      </c>
      <c r="AB5662">
        <v>-74.111001</v>
      </c>
      <c r="AD5662" t="s">
        <v>10839</v>
      </c>
      <c r="AG5662" t="s">
        <v>10858</v>
      </c>
      <c r="AH5662" t="s">
        <v>10862</v>
      </c>
      <c r="AI5662">
        <v>285</v>
      </c>
      <c r="AJ5662" t="s">
        <v>10208</v>
      </c>
      <c r="AL5662">
        <v>2.1</v>
      </c>
      <c r="AM5662" t="s">
        <v>10883</v>
      </c>
      <c r="AN5662" t="s">
        <v>10915</v>
      </c>
      <c r="AO5662" t="s">
        <v>10999</v>
      </c>
      <c r="AP5662" t="s">
        <v>11063</v>
      </c>
      <c r="AR5662" t="s">
        <v>11255</v>
      </c>
      <c r="AS5662" t="s">
        <v>11593</v>
      </c>
      <c r="BA5662" t="s">
        <v>11738</v>
      </c>
      <c r="BB5662">
        <v>0</v>
      </c>
      <c r="BC5662">
        <v>0</v>
      </c>
      <c r="BD5662">
        <v>0</v>
      </c>
      <c r="BE5662">
        <v>0</v>
      </c>
      <c r="BF5662">
        <v>5</v>
      </c>
      <c r="BG5662">
        <v>0</v>
      </c>
    </row>
    <row r="5663" spans="1:59">
      <c r="A5663" s="1">
        <f>HYPERLINK("https://lsnyc.legalserver.org/matter/dynamic-profile/view/1909937","19-1909937")</f>
        <v>0</v>
      </c>
      <c r="B5663" t="s">
        <v>4445</v>
      </c>
      <c r="C5663" t="s">
        <v>9308</v>
      </c>
      <c r="D5663" t="s">
        <v>9925</v>
      </c>
      <c r="E5663" t="s">
        <v>10075</v>
      </c>
      <c r="F5663">
        <v>10027</v>
      </c>
      <c r="G5663" t="s">
        <v>10089</v>
      </c>
      <c r="H5663" t="s">
        <v>10137</v>
      </c>
      <c r="I5663" t="s">
        <v>10168</v>
      </c>
      <c r="J5663" t="s">
        <v>10209</v>
      </c>
      <c r="K5663" t="s">
        <v>10217</v>
      </c>
      <c r="M5663" t="s">
        <v>10471</v>
      </c>
      <c r="N5663" t="s">
        <v>10702</v>
      </c>
      <c r="P5663" t="s">
        <v>10749</v>
      </c>
      <c r="Q5663" t="s">
        <v>10765</v>
      </c>
      <c r="R5663" t="s">
        <v>10821</v>
      </c>
      <c r="S5663" t="s">
        <v>10821</v>
      </c>
      <c r="T5663">
        <v>37934</v>
      </c>
      <c r="U5663">
        <v>3161.17</v>
      </c>
      <c r="V5663">
        <v>57</v>
      </c>
      <c r="W5663">
        <v>3</v>
      </c>
      <c r="X5663">
        <v>0</v>
      </c>
      <c r="Z5663">
        <v>177.84</v>
      </c>
      <c r="AA5663">
        <v>40.816842</v>
      </c>
      <c r="AB5663">
        <v>-73.953502</v>
      </c>
      <c r="AD5663" t="s">
        <v>10839</v>
      </c>
      <c r="AG5663" t="s">
        <v>10858</v>
      </c>
      <c r="AH5663" t="s">
        <v>10862</v>
      </c>
      <c r="AI5663">
        <v>236</v>
      </c>
      <c r="AJ5663" t="s">
        <v>10209</v>
      </c>
      <c r="AL5663">
        <v>1</v>
      </c>
      <c r="AM5663" t="s">
        <v>10887</v>
      </c>
      <c r="AN5663" t="s">
        <v>10936</v>
      </c>
      <c r="AO5663" t="s">
        <v>11019</v>
      </c>
      <c r="AP5663" t="s">
        <v>11076</v>
      </c>
      <c r="AR5663" t="s">
        <v>11544</v>
      </c>
      <c r="AS5663" t="s">
        <v>9925</v>
      </c>
      <c r="BA5663" t="s">
        <v>11738</v>
      </c>
      <c r="BB5663">
        <v>0</v>
      </c>
      <c r="BC5663">
        <v>0</v>
      </c>
      <c r="BD5663">
        <v>0</v>
      </c>
      <c r="BE5663">
        <v>0</v>
      </c>
      <c r="BF5663">
        <v>5</v>
      </c>
      <c r="BG5663">
        <v>0</v>
      </c>
    </row>
    <row r="5664" spans="1:59">
      <c r="A5664" s="1">
        <f>HYPERLINK("https://lsnyc.legalserver.org/matter/dynamic-profile/view/1909938","19-1909938")</f>
        <v>0</v>
      </c>
      <c r="B5664" t="s">
        <v>486</v>
      </c>
      <c r="C5664" t="s">
        <v>9309</v>
      </c>
      <c r="D5664" t="s">
        <v>9938</v>
      </c>
      <c r="E5664" t="s">
        <v>10075</v>
      </c>
      <c r="F5664">
        <v>11434</v>
      </c>
      <c r="G5664" t="s">
        <v>10092</v>
      </c>
      <c r="H5664" t="s">
        <v>10137</v>
      </c>
      <c r="I5664" t="s">
        <v>10168</v>
      </c>
      <c r="J5664" t="s">
        <v>10212</v>
      </c>
      <c r="K5664" t="s">
        <v>10217</v>
      </c>
      <c r="M5664" t="s">
        <v>10410</v>
      </c>
      <c r="N5664" t="s">
        <v>10693</v>
      </c>
      <c r="P5664" t="s">
        <v>10749</v>
      </c>
      <c r="Q5664" t="s">
        <v>10765</v>
      </c>
      <c r="R5664" t="s">
        <v>10824</v>
      </c>
      <c r="T5664">
        <v>19200</v>
      </c>
      <c r="U5664">
        <v>1600</v>
      </c>
      <c r="V5664">
        <v>24</v>
      </c>
      <c r="W5664">
        <v>1</v>
      </c>
      <c r="X5664">
        <v>0</v>
      </c>
      <c r="Z5664">
        <v>153.72</v>
      </c>
      <c r="AA5664">
        <v>40.661605</v>
      </c>
      <c r="AB5664">
        <v>-73.766199</v>
      </c>
      <c r="AD5664" t="s">
        <v>10839</v>
      </c>
      <c r="AG5664" t="s">
        <v>10858</v>
      </c>
      <c r="AH5664" t="s">
        <v>10862</v>
      </c>
      <c r="AI5664">
        <v>237</v>
      </c>
      <c r="AJ5664" t="s">
        <v>10212</v>
      </c>
      <c r="AL5664">
        <v>0.6</v>
      </c>
      <c r="AM5664" t="s">
        <v>10892</v>
      </c>
      <c r="AN5664" t="s">
        <v>10930</v>
      </c>
      <c r="AO5664" t="s">
        <v>11017</v>
      </c>
      <c r="AP5664" t="s">
        <v>11082</v>
      </c>
      <c r="AR5664" t="s">
        <v>11257</v>
      </c>
      <c r="AS5664" t="s">
        <v>11594</v>
      </c>
      <c r="BA5664" t="s">
        <v>11738</v>
      </c>
      <c r="BB5664">
        <v>0</v>
      </c>
      <c r="BC5664">
        <v>0</v>
      </c>
      <c r="BD5664">
        <v>0</v>
      </c>
      <c r="BE5664">
        <v>0</v>
      </c>
      <c r="BF5664">
        <v>5</v>
      </c>
      <c r="BG5664">
        <v>0</v>
      </c>
    </row>
    <row r="5665" spans="1:59">
      <c r="A5665" s="1">
        <f>HYPERLINK("https://lsnyc.legalserver.org/matter/dynamic-profile/view/1909939","19-1909939")</f>
        <v>0</v>
      </c>
      <c r="B5665" t="s">
        <v>4436</v>
      </c>
      <c r="C5665" t="s">
        <v>9299</v>
      </c>
      <c r="D5665" t="s">
        <v>9965</v>
      </c>
      <c r="E5665" t="s">
        <v>10075</v>
      </c>
      <c r="F5665">
        <v>11101</v>
      </c>
      <c r="G5665" t="s">
        <v>10091</v>
      </c>
      <c r="H5665" t="s">
        <v>10137</v>
      </c>
      <c r="I5665" t="s">
        <v>10169</v>
      </c>
      <c r="J5665" t="s">
        <v>10214</v>
      </c>
      <c r="K5665" t="s">
        <v>10217</v>
      </c>
      <c r="M5665" t="s">
        <v>10286</v>
      </c>
      <c r="N5665" t="s">
        <v>10671</v>
      </c>
      <c r="P5665" t="s">
        <v>10752</v>
      </c>
      <c r="Q5665" t="s">
        <v>10762</v>
      </c>
      <c r="R5665" t="s">
        <v>10821</v>
      </c>
      <c r="T5665">
        <v>2196</v>
      </c>
      <c r="U5665">
        <v>183</v>
      </c>
      <c r="V5665">
        <v>55</v>
      </c>
      <c r="W5665">
        <v>1</v>
      </c>
      <c r="X5665">
        <v>0</v>
      </c>
      <c r="Z5665">
        <v>17.58</v>
      </c>
      <c r="AA5665">
        <v>40.755324</v>
      </c>
      <c r="AB5665">
        <v>-73.94327199999999</v>
      </c>
      <c r="AC5665" t="s">
        <v>10838</v>
      </c>
      <c r="AD5665" t="s">
        <v>10839</v>
      </c>
      <c r="AG5665" t="s">
        <v>10858</v>
      </c>
      <c r="AH5665" t="s">
        <v>10861</v>
      </c>
      <c r="AI5665">
        <v>234</v>
      </c>
      <c r="AJ5665" t="s">
        <v>10214</v>
      </c>
      <c r="AL5665">
        <v>0.5</v>
      </c>
      <c r="AR5665" t="s">
        <v>11344</v>
      </c>
      <c r="AS5665" t="s">
        <v>11594</v>
      </c>
      <c r="AT5665" t="s">
        <v>11641</v>
      </c>
      <c r="AX5665" t="s">
        <v>10838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</row>
    <row r="5666" spans="1:59">
      <c r="A5666" s="1">
        <f>HYPERLINK("https://lsnyc.legalserver.org/matter/dynamic-profile/view/1909940","19-1909940")</f>
        <v>0</v>
      </c>
      <c r="B5666" t="s">
        <v>4446</v>
      </c>
      <c r="C5666" t="s">
        <v>5963</v>
      </c>
      <c r="D5666" t="s">
        <v>9925</v>
      </c>
      <c r="E5666" t="s">
        <v>10075</v>
      </c>
      <c r="F5666">
        <v>10027</v>
      </c>
      <c r="G5666" t="s">
        <v>10089</v>
      </c>
      <c r="H5666" t="s">
        <v>10137</v>
      </c>
      <c r="I5666" t="s">
        <v>10168</v>
      </c>
      <c r="J5666" t="s">
        <v>10209</v>
      </c>
      <c r="K5666" t="s">
        <v>10217</v>
      </c>
      <c r="M5666" t="s">
        <v>10476</v>
      </c>
      <c r="N5666" t="s">
        <v>10702</v>
      </c>
      <c r="P5666" t="s">
        <v>10749</v>
      </c>
      <c r="Q5666" t="s">
        <v>10767</v>
      </c>
      <c r="R5666" t="s">
        <v>10823</v>
      </c>
      <c r="T5666">
        <v>3380</v>
      </c>
      <c r="U5666">
        <v>281.67</v>
      </c>
      <c r="V5666">
        <v>50</v>
      </c>
      <c r="W5666">
        <v>1</v>
      </c>
      <c r="X5666">
        <v>1</v>
      </c>
      <c r="Z5666">
        <v>19.99</v>
      </c>
      <c r="AA5666">
        <v>40.811386</v>
      </c>
      <c r="AB5666">
        <v>-73.957104</v>
      </c>
      <c r="AD5666" t="s">
        <v>10840</v>
      </c>
      <c r="AG5666" t="s">
        <v>10858</v>
      </c>
      <c r="AH5666" t="s">
        <v>10862</v>
      </c>
      <c r="AI5666">
        <v>236</v>
      </c>
      <c r="AJ5666" t="s">
        <v>10209</v>
      </c>
      <c r="AL5666">
        <v>1</v>
      </c>
      <c r="AM5666" t="s">
        <v>10887</v>
      </c>
      <c r="AN5666" t="s">
        <v>10953</v>
      </c>
      <c r="AO5666" t="s">
        <v>11016</v>
      </c>
      <c r="AP5666" t="s">
        <v>11073</v>
      </c>
      <c r="AR5666" t="s">
        <v>11344</v>
      </c>
      <c r="AS5666" t="s">
        <v>9925</v>
      </c>
      <c r="BA5666" t="s">
        <v>11738</v>
      </c>
      <c r="BB5666">
        <v>0</v>
      </c>
      <c r="BC5666">
        <v>0</v>
      </c>
      <c r="BD5666">
        <v>0</v>
      </c>
      <c r="BE5666">
        <v>0</v>
      </c>
      <c r="BF5666">
        <v>5</v>
      </c>
      <c r="BG5666">
        <v>0</v>
      </c>
    </row>
    <row r="5667" spans="1:59">
      <c r="A5667" s="1">
        <f>HYPERLINK("https://lsnyc.legalserver.org/matter/dynamic-profile/view/1909941","19-1909941")</f>
        <v>0</v>
      </c>
      <c r="B5667" t="s">
        <v>4436</v>
      </c>
      <c r="C5667" t="s">
        <v>9299</v>
      </c>
      <c r="D5667" t="s">
        <v>9965</v>
      </c>
      <c r="E5667" t="s">
        <v>10075</v>
      </c>
      <c r="F5667">
        <v>11101</v>
      </c>
      <c r="G5667" t="s">
        <v>10093</v>
      </c>
      <c r="H5667" t="s">
        <v>10137</v>
      </c>
      <c r="I5667" t="s">
        <v>10169</v>
      </c>
      <c r="J5667" t="s">
        <v>10213</v>
      </c>
      <c r="K5667" t="s">
        <v>10218</v>
      </c>
      <c r="L5667" t="s">
        <v>10221</v>
      </c>
      <c r="M5667" t="s">
        <v>10358</v>
      </c>
      <c r="N5667" t="s">
        <v>10671</v>
      </c>
      <c r="P5667" t="s">
        <v>10752</v>
      </c>
      <c r="Q5667" t="s">
        <v>10783</v>
      </c>
      <c r="R5667" t="s">
        <v>10821</v>
      </c>
      <c r="T5667">
        <v>2196</v>
      </c>
      <c r="U5667">
        <v>183</v>
      </c>
      <c r="V5667">
        <v>55</v>
      </c>
      <c r="W5667">
        <v>1</v>
      </c>
      <c r="X5667">
        <v>0</v>
      </c>
      <c r="Y5667" t="s">
        <v>10830</v>
      </c>
      <c r="Z5667">
        <v>17.58</v>
      </c>
      <c r="AA5667">
        <v>40.755324</v>
      </c>
      <c r="AB5667">
        <v>-73.94327199999999</v>
      </c>
      <c r="AD5667" t="s">
        <v>10839</v>
      </c>
      <c r="AG5667" t="s">
        <v>10858</v>
      </c>
      <c r="AH5667" t="s">
        <v>10861</v>
      </c>
      <c r="AI5667">
        <v>234</v>
      </c>
      <c r="AJ5667" t="s">
        <v>10214</v>
      </c>
      <c r="AK5667" t="s">
        <v>10838</v>
      </c>
      <c r="AL5667">
        <v>1.75</v>
      </c>
      <c r="AR5667" t="s">
        <v>11344</v>
      </c>
      <c r="AS5667" t="s">
        <v>11594</v>
      </c>
      <c r="AY5667" t="s">
        <v>10830</v>
      </c>
      <c r="AZ5667" t="s">
        <v>11736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</row>
    <row r="5668" spans="1:59">
      <c r="A5668" s="1">
        <f>HYPERLINK("https://lsnyc.legalserver.org/matter/dynamic-profile/view/1909942","19-1909942")</f>
        <v>0</v>
      </c>
      <c r="B5668" t="s">
        <v>4447</v>
      </c>
      <c r="C5668" t="s">
        <v>9310</v>
      </c>
      <c r="D5668" t="s">
        <v>9929</v>
      </c>
      <c r="E5668" t="s">
        <v>10075</v>
      </c>
      <c r="F5668">
        <v>10310</v>
      </c>
      <c r="G5668" t="s">
        <v>10088</v>
      </c>
      <c r="H5668" t="s">
        <v>10101</v>
      </c>
      <c r="I5668" t="s">
        <v>10168</v>
      </c>
      <c r="J5668" t="s">
        <v>10208</v>
      </c>
      <c r="K5668" t="s">
        <v>10217</v>
      </c>
      <c r="M5668" t="s">
        <v>10605</v>
      </c>
      <c r="N5668" t="s">
        <v>10711</v>
      </c>
      <c r="P5668" t="s">
        <v>10749</v>
      </c>
      <c r="Q5668" t="s">
        <v>10765</v>
      </c>
      <c r="R5668" t="s">
        <v>10824</v>
      </c>
      <c r="T5668">
        <v>25000</v>
      </c>
      <c r="U5668">
        <v>2083.33</v>
      </c>
      <c r="V5668">
        <v>31</v>
      </c>
      <c r="W5668">
        <v>1</v>
      </c>
      <c r="X5668">
        <v>0</v>
      </c>
      <c r="Z5668">
        <v>200.16</v>
      </c>
      <c r="AA5668">
        <v>40.63336</v>
      </c>
      <c r="AB5668">
        <v>-74.118422</v>
      </c>
      <c r="AD5668" t="s">
        <v>10839</v>
      </c>
      <c r="AG5668" t="s">
        <v>10858</v>
      </c>
      <c r="AH5668" t="s">
        <v>10862</v>
      </c>
      <c r="AI5668">
        <v>285</v>
      </c>
      <c r="AJ5668" t="s">
        <v>10208</v>
      </c>
      <c r="AK5668" t="s">
        <v>10837</v>
      </c>
      <c r="AL5668">
        <v>2</v>
      </c>
      <c r="AM5668" t="s">
        <v>10883</v>
      </c>
      <c r="AN5668" t="s">
        <v>10913</v>
      </c>
      <c r="AO5668" t="s">
        <v>11006</v>
      </c>
      <c r="AP5668" t="s">
        <v>11051</v>
      </c>
      <c r="AR5668" t="s">
        <v>11257</v>
      </c>
      <c r="AS5668" t="s">
        <v>11593</v>
      </c>
      <c r="AT5668" t="s">
        <v>11641</v>
      </c>
      <c r="AX5668" t="s">
        <v>10838</v>
      </c>
      <c r="BA5668" t="s">
        <v>11741</v>
      </c>
      <c r="BB5668">
        <v>0</v>
      </c>
      <c r="BC5668">
        <v>0</v>
      </c>
      <c r="BD5668">
        <v>0</v>
      </c>
      <c r="BE5668">
        <v>0</v>
      </c>
      <c r="BF5668">
        <v>1</v>
      </c>
      <c r="BG5668">
        <v>0</v>
      </c>
    </row>
    <row r="5669" spans="1:59">
      <c r="A5669" s="1">
        <f>HYPERLINK("https://lsnyc.legalserver.org/matter/dynamic-profile/view/1909943","19-1909943")</f>
        <v>0</v>
      </c>
      <c r="B5669" t="s">
        <v>428</v>
      </c>
      <c r="C5669" t="s">
        <v>9311</v>
      </c>
      <c r="D5669" t="s">
        <v>9928</v>
      </c>
      <c r="E5669" t="s">
        <v>10075</v>
      </c>
      <c r="F5669">
        <v>11207</v>
      </c>
      <c r="G5669" t="s">
        <v>10093</v>
      </c>
      <c r="H5669" t="s">
        <v>10137</v>
      </c>
      <c r="I5669" t="s">
        <v>10168</v>
      </c>
      <c r="J5669" t="s">
        <v>10213</v>
      </c>
      <c r="K5669" t="s">
        <v>10218</v>
      </c>
      <c r="L5669" t="s">
        <v>10223</v>
      </c>
      <c r="M5669" t="s">
        <v>10309</v>
      </c>
      <c r="N5669" t="s">
        <v>10671</v>
      </c>
      <c r="P5669" t="s">
        <v>10750</v>
      </c>
      <c r="Q5669" t="s">
        <v>10779</v>
      </c>
      <c r="R5669" t="s">
        <v>10824</v>
      </c>
      <c r="T5669">
        <v>0</v>
      </c>
      <c r="U5669">
        <v>0</v>
      </c>
      <c r="V5669">
        <v>37</v>
      </c>
      <c r="W5669">
        <v>1</v>
      </c>
      <c r="X5669">
        <v>0</v>
      </c>
      <c r="Y5669" t="s">
        <v>10829</v>
      </c>
      <c r="Z5669">
        <v>0</v>
      </c>
      <c r="AA5669">
        <v>40.662701</v>
      </c>
      <c r="AB5669">
        <v>-73.89806799999999</v>
      </c>
      <c r="AD5669" t="s">
        <v>10839</v>
      </c>
      <c r="AG5669" t="s">
        <v>10858</v>
      </c>
      <c r="AH5669" t="s">
        <v>10861</v>
      </c>
      <c r="AI5669">
        <v>234</v>
      </c>
      <c r="AJ5669" t="s">
        <v>10214</v>
      </c>
      <c r="AK5669" t="s">
        <v>10838</v>
      </c>
      <c r="AL5669">
        <v>2.6</v>
      </c>
      <c r="AM5669" t="s">
        <v>10889</v>
      </c>
      <c r="AN5669" t="s">
        <v>10946</v>
      </c>
      <c r="AO5669" t="s">
        <v>11012</v>
      </c>
      <c r="AP5669" t="s">
        <v>11060</v>
      </c>
      <c r="AQ5669" t="s">
        <v>11130</v>
      </c>
      <c r="AR5669" t="s">
        <v>11267</v>
      </c>
      <c r="AS5669" t="s">
        <v>11595</v>
      </c>
      <c r="AT5669" t="s">
        <v>11641</v>
      </c>
      <c r="AX5669" t="s">
        <v>10837</v>
      </c>
      <c r="AY5669" t="s">
        <v>10829</v>
      </c>
      <c r="AZ5669" t="s">
        <v>11679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</row>
    <row r="5670" spans="1:59">
      <c r="A5670" s="1">
        <f>HYPERLINK("https://lsnyc.legalserver.org/matter/dynamic-profile/view/1909944","19-1909944")</f>
        <v>0</v>
      </c>
      <c r="B5670" t="s">
        <v>4448</v>
      </c>
      <c r="C5670" t="s">
        <v>9312</v>
      </c>
      <c r="D5670" t="s">
        <v>9930</v>
      </c>
      <c r="E5670" t="s">
        <v>10075</v>
      </c>
      <c r="F5670">
        <v>11373</v>
      </c>
      <c r="G5670" t="s">
        <v>10092</v>
      </c>
      <c r="H5670" t="s">
        <v>10137</v>
      </c>
      <c r="I5670" t="s">
        <v>10168</v>
      </c>
      <c r="J5670" t="s">
        <v>10212</v>
      </c>
      <c r="K5670" t="s">
        <v>10218</v>
      </c>
      <c r="L5670" t="s">
        <v>10158</v>
      </c>
      <c r="M5670" t="s">
        <v>10325</v>
      </c>
      <c r="N5670" t="s">
        <v>10671</v>
      </c>
      <c r="P5670" t="s">
        <v>10751</v>
      </c>
      <c r="Q5670" t="s">
        <v>10761</v>
      </c>
      <c r="R5670" t="s">
        <v>10827</v>
      </c>
      <c r="T5670">
        <v>2160</v>
      </c>
      <c r="U5670">
        <v>180</v>
      </c>
      <c r="V5670">
        <v>47</v>
      </c>
      <c r="W5670">
        <v>1</v>
      </c>
      <c r="X5670">
        <v>0</v>
      </c>
      <c r="Y5670" t="s">
        <v>10829</v>
      </c>
      <c r="Z5670">
        <v>17.29</v>
      </c>
      <c r="AA5670">
        <v>40.730773</v>
      </c>
      <c r="AB5670">
        <v>-73.8724</v>
      </c>
      <c r="AD5670" t="s">
        <v>10839</v>
      </c>
      <c r="AF5670" t="s">
        <v>10843</v>
      </c>
      <c r="AG5670" t="s">
        <v>10859</v>
      </c>
      <c r="AH5670" t="s">
        <v>10871</v>
      </c>
      <c r="AI5670">
        <v>234</v>
      </c>
      <c r="AJ5670" t="s">
        <v>10214</v>
      </c>
      <c r="AK5670" t="s">
        <v>10838</v>
      </c>
      <c r="AL5670">
        <v>2.5</v>
      </c>
      <c r="AM5670" t="s">
        <v>10890</v>
      </c>
      <c r="AN5670" t="s">
        <v>10935</v>
      </c>
      <c r="AO5670" t="s">
        <v>11009</v>
      </c>
      <c r="AP5670" t="s">
        <v>11083</v>
      </c>
      <c r="AR5670" t="s">
        <v>11311</v>
      </c>
      <c r="AS5670" t="s">
        <v>11594</v>
      </c>
      <c r="AT5670" t="s">
        <v>11641</v>
      </c>
      <c r="AX5670" t="s">
        <v>10838</v>
      </c>
      <c r="AY5670" t="s">
        <v>10829</v>
      </c>
      <c r="AZ5670" t="s">
        <v>11682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</row>
    <row r="5671" spans="1:59">
      <c r="A5671" s="1">
        <f>HYPERLINK("https://lsnyc.legalserver.org/matter/dynamic-profile/view/1909945","19-1909945")</f>
        <v>0</v>
      </c>
      <c r="B5671" t="s">
        <v>4449</v>
      </c>
      <c r="C5671" t="s">
        <v>9313</v>
      </c>
      <c r="D5671" t="s">
        <v>9925</v>
      </c>
      <c r="E5671" t="s">
        <v>10075</v>
      </c>
      <c r="F5671">
        <v>10040</v>
      </c>
      <c r="G5671" t="s">
        <v>10093</v>
      </c>
      <c r="H5671" t="s">
        <v>10137</v>
      </c>
      <c r="I5671" t="s">
        <v>10169</v>
      </c>
      <c r="J5671" t="s">
        <v>10213</v>
      </c>
      <c r="K5671" t="s">
        <v>10217</v>
      </c>
      <c r="M5671" t="s">
        <v>10436</v>
      </c>
      <c r="N5671" t="s">
        <v>10710</v>
      </c>
      <c r="P5671" t="s">
        <v>10750</v>
      </c>
      <c r="Q5671" t="s">
        <v>10760</v>
      </c>
      <c r="R5671" t="s">
        <v>10821</v>
      </c>
      <c r="T5671">
        <v>10800</v>
      </c>
      <c r="U5671">
        <v>900</v>
      </c>
      <c r="V5671">
        <v>61</v>
      </c>
      <c r="W5671">
        <v>1</v>
      </c>
      <c r="X5671">
        <v>0</v>
      </c>
      <c r="Z5671">
        <v>86.47</v>
      </c>
      <c r="AA5671">
        <v>40.862064</v>
      </c>
      <c r="AB5671">
        <v>-73.929194</v>
      </c>
      <c r="AD5671" t="s">
        <v>10839</v>
      </c>
      <c r="AF5671" t="s">
        <v>10843</v>
      </c>
      <c r="AG5671" t="s">
        <v>10858</v>
      </c>
      <c r="AH5671" t="s">
        <v>10861</v>
      </c>
      <c r="AI5671">
        <v>234</v>
      </c>
      <c r="AJ5671" t="s">
        <v>10214</v>
      </c>
      <c r="AL5671">
        <v>1.1</v>
      </c>
      <c r="AM5671" t="s">
        <v>10887</v>
      </c>
      <c r="AN5671" t="s">
        <v>10937</v>
      </c>
      <c r="AO5671" t="s">
        <v>11019</v>
      </c>
      <c r="AP5671" t="s">
        <v>11074</v>
      </c>
      <c r="AR5671" t="s">
        <v>11316</v>
      </c>
      <c r="AS5671" t="s">
        <v>9925</v>
      </c>
      <c r="AT5671" t="s">
        <v>11641</v>
      </c>
      <c r="AX5671" t="s">
        <v>10838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</row>
    <row r="5672" spans="1:59">
      <c r="A5672" s="1">
        <f>HYPERLINK("https://lsnyc.legalserver.org/matter/dynamic-profile/view/1909946","19-1909946")</f>
        <v>0</v>
      </c>
      <c r="B5672" t="s">
        <v>4450</v>
      </c>
      <c r="C5672" t="s">
        <v>6999</v>
      </c>
      <c r="D5672" t="s">
        <v>9926</v>
      </c>
      <c r="E5672" t="s">
        <v>10075</v>
      </c>
      <c r="F5672">
        <v>10452</v>
      </c>
      <c r="G5672" t="s">
        <v>10090</v>
      </c>
      <c r="H5672" t="s">
        <v>10137</v>
      </c>
      <c r="I5672" t="s">
        <v>10168</v>
      </c>
      <c r="J5672" t="s">
        <v>10210</v>
      </c>
      <c r="K5672" t="s">
        <v>10217</v>
      </c>
      <c r="M5672" t="s">
        <v>10498</v>
      </c>
      <c r="N5672" t="s">
        <v>10650</v>
      </c>
      <c r="P5672" t="s">
        <v>10749</v>
      </c>
      <c r="Q5672" t="s">
        <v>10765</v>
      </c>
      <c r="R5672" t="s">
        <v>10820</v>
      </c>
      <c r="T5672">
        <v>68400</v>
      </c>
      <c r="U5672">
        <v>5700</v>
      </c>
      <c r="V5672">
        <v>70</v>
      </c>
      <c r="W5672">
        <v>1</v>
      </c>
      <c r="X5672">
        <v>0</v>
      </c>
      <c r="Z5672">
        <v>547.64</v>
      </c>
      <c r="AA5672">
        <v>40.828115</v>
      </c>
      <c r="AB5672">
        <v>-73.923996</v>
      </c>
      <c r="AD5672" t="s">
        <v>10840</v>
      </c>
      <c r="AG5672" t="s">
        <v>10858</v>
      </c>
      <c r="AH5672" t="s">
        <v>10862</v>
      </c>
      <c r="AI5672">
        <v>230</v>
      </c>
      <c r="AJ5672" t="s">
        <v>10210</v>
      </c>
      <c r="AL5672">
        <v>0</v>
      </c>
      <c r="AM5672" t="s">
        <v>10884</v>
      </c>
      <c r="AN5672" t="s">
        <v>10924</v>
      </c>
      <c r="AO5672" t="s">
        <v>11013</v>
      </c>
      <c r="AP5672" t="s">
        <v>11066</v>
      </c>
      <c r="AR5672" t="s">
        <v>10180</v>
      </c>
      <c r="AS5672" t="s">
        <v>9926</v>
      </c>
      <c r="AT5672" t="s">
        <v>11642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</row>
    <row r="5673" spans="1:59">
      <c r="A5673" s="1">
        <f>HYPERLINK("https://lsnyc.legalserver.org/matter/dynamic-profile/view/1909947","19-1909947")</f>
        <v>0</v>
      </c>
      <c r="B5673" t="s">
        <v>428</v>
      </c>
      <c r="C5673" t="s">
        <v>9311</v>
      </c>
      <c r="D5673" t="s">
        <v>9928</v>
      </c>
      <c r="E5673" t="s">
        <v>10075</v>
      </c>
      <c r="F5673">
        <v>11207</v>
      </c>
      <c r="G5673" t="s">
        <v>10093</v>
      </c>
      <c r="H5673" t="s">
        <v>10137</v>
      </c>
      <c r="I5673" t="s">
        <v>10168</v>
      </c>
      <c r="J5673" t="s">
        <v>10213</v>
      </c>
      <c r="K5673" t="s">
        <v>10217</v>
      </c>
      <c r="M5673" t="s">
        <v>10290</v>
      </c>
      <c r="N5673" t="s">
        <v>10665</v>
      </c>
      <c r="P5673" t="s">
        <v>10751</v>
      </c>
      <c r="Q5673" t="s">
        <v>10773</v>
      </c>
      <c r="R5673" t="s">
        <v>10824</v>
      </c>
      <c r="T5673">
        <v>0</v>
      </c>
      <c r="U5673">
        <v>0</v>
      </c>
      <c r="V5673">
        <v>37</v>
      </c>
      <c r="W5673">
        <v>1</v>
      </c>
      <c r="X5673">
        <v>0</v>
      </c>
      <c r="Z5673">
        <v>0</v>
      </c>
      <c r="AA5673">
        <v>40.662701</v>
      </c>
      <c r="AB5673">
        <v>-73.89806799999999</v>
      </c>
      <c r="AD5673" t="s">
        <v>10839</v>
      </c>
      <c r="AG5673" t="s">
        <v>10858</v>
      </c>
      <c r="AH5673" t="s">
        <v>10861</v>
      </c>
      <c r="AI5673">
        <v>234</v>
      </c>
      <c r="AJ5673" t="s">
        <v>10214</v>
      </c>
      <c r="AL5673">
        <v>4.3</v>
      </c>
      <c r="AQ5673" t="s">
        <v>11115</v>
      </c>
      <c r="AR5673" t="s">
        <v>11267</v>
      </c>
      <c r="AS5673" t="s">
        <v>11595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</row>
    <row r="5674" spans="1:59">
      <c r="A5674" s="1">
        <f>HYPERLINK("https://lsnyc.legalserver.org/matter/dynamic-profile/view/1909948","19-1909948")</f>
        <v>0</v>
      </c>
      <c r="B5674" t="s">
        <v>4451</v>
      </c>
      <c r="C5674" t="s">
        <v>9314</v>
      </c>
      <c r="D5674" t="s">
        <v>9938</v>
      </c>
      <c r="E5674" t="s">
        <v>10075</v>
      </c>
      <c r="F5674">
        <v>11433</v>
      </c>
      <c r="G5674" t="s">
        <v>10092</v>
      </c>
      <c r="H5674" t="s">
        <v>10108</v>
      </c>
      <c r="I5674" t="s">
        <v>10169</v>
      </c>
      <c r="J5674" t="s">
        <v>10212</v>
      </c>
      <c r="K5674" t="s">
        <v>10217</v>
      </c>
      <c r="M5674" t="s">
        <v>10355</v>
      </c>
      <c r="N5674" t="s">
        <v>10699</v>
      </c>
      <c r="P5674" t="s">
        <v>10754</v>
      </c>
      <c r="Q5674" t="s">
        <v>10766</v>
      </c>
      <c r="R5674" t="s">
        <v>10823</v>
      </c>
      <c r="T5674">
        <v>0</v>
      </c>
      <c r="U5674">
        <v>0</v>
      </c>
      <c r="V5674">
        <v>35</v>
      </c>
      <c r="W5674">
        <v>1</v>
      </c>
      <c r="X5674">
        <v>0</v>
      </c>
      <c r="Z5674">
        <v>0</v>
      </c>
      <c r="AA5674">
        <v>40.698695</v>
      </c>
      <c r="AB5674">
        <v>-73.800901</v>
      </c>
      <c r="AD5674" t="s">
        <v>10839</v>
      </c>
      <c r="AF5674" t="s">
        <v>10842</v>
      </c>
      <c r="AG5674" t="s">
        <v>10859</v>
      </c>
      <c r="AH5674" t="s">
        <v>10865</v>
      </c>
      <c r="AI5674">
        <v>237</v>
      </c>
      <c r="AJ5674" t="s">
        <v>10212</v>
      </c>
      <c r="AL5674">
        <v>1</v>
      </c>
      <c r="AQ5674" t="s">
        <v>11175</v>
      </c>
      <c r="AR5674" t="s">
        <v>11267</v>
      </c>
      <c r="AS5674" t="s">
        <v>11594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</row>
    <row r="5675" spans="1:59">
      <c r="A5675" s="1">
        <f>HYPERLINK("https://lsnyc.legalserver.org/matter/dynamic-profile/view/1909949","19-1909949")</f>
        <v>0</v>
      </c>
      <c r="B5675" t="s">
        <v>4452</v>
      </c>
      <c r="C5675" t="s">
        <v>9315</v>
      </c>
      <c r="D5675" t="s">
        <v>9926</v>
      </c>
      <c r="E5675" t="s">
        <v>10075</v>
      </c>
      <c r="F5675">
        <v>10458</v>
      </c>
      <c r="G5675" t="s">
        <v>10090</v>
      </c>
      <c r="H5675" t="s">
        <v>10137</v>
      </c>
      <c r="I5675" t="s">
        <v>10168</v>
      </c>
      <c r="J5675" t="s">
        <v>10210</v>
      </c>
      <c r="K5675" t="s">
        <v>10217</v>
      </c>
      <c r="M5675" t="s">
        <v>10395</v>
      </c>
      <c r="N5675" t="s">
        <v>10688</v>
      </c>
      <c r="P5675" t="s">
        <v>10755</v>
      </c>
      <c r="Q5675" t="s">
        <v>10772</v>
      </c>
      <c r="R5675" t="s">
        <v>10820</v>
      </c>
      <c r="T5675">
        <v>14874.84</v>
      </c>
      <c r="U5675">
        <v>1239.57</v>
      </c>
      <c r="V5675">
        <v>10</v>
      </c>
      <c r="W5675">
        <v>1</v>
      </c>
      <c r="X5675">
        <v>3</v>
      </c>
      <c r="Z5675">
        <v>57.77</v>
      </c>
      <c r="AA5675">
        <v>40.852458</v>
      </c>
      <c r="AB5675">
        <v>-73.88421200000001</v>
      </c>
      <c r="AD5675" t="s">
        <v>10840</v>
      </c>
      <c r="AG5675" t="s">
        <v>10858</v>
      </c>
      <c r="AH5675" t="s">
        <v>10877</v>
      </c>
      <c r="AI5675">
        <v>230</v>
      </c>
      <c r="AJ5675" t="s">
        <v>10210</v>
      </c>
      <c r="AL5675">
        <v>3.65</v>
      </c>
      <c r="AM5675" t="s">
        <v>10884</v>
      </c>
      <c r="AN5675" t="s">
        <v>10907</v>
      </c>
      <c r="AO5675" t="s">
        <v>11000</v>
      </c>
      <c r="AP5675" t="s">
        <v>11056</v>
      </c>
      <c r="AR5675" t="s">
        <v>11488</v>
      </c>
      <c r="AS5675" t="s">
        <v>9926</v>
      </c>
      <c r="AT5675" t="s">
        <v>11642</v>
      </c>
      <c r="AX5675" t="s">
        <v>10838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</row>
    <row r="5676" spans="1:59">
      <c r="A5676" s="1">
        <f>HYPERLINK("https://lsnyc.legalserver.org/matter/dynamic-profile/view/1909950","19-1909950")</f>
        <v>0</v>
      </c>
      <c r="B5676" t="s">
        <v>4453</v>
      </c>
      <c r="C5676" t="s">
        <v>5778</v>
      </c>
      <c r="D5676" t="s">
        <v>9926</v>
      </c>
      <c r="E5676" t="s">
        <v>10075</v>
      </c>
      <c r="F5676">
        <v>10451</v>
      </c>
      <c r="G5676" t="s">
        <v>10090</v>
      </c>
      <c r="H5676" t="s">
        <v>10100</v>
      </c>
      <c r="J5676" t="s">
        <v>10210</v>
      </c>
      <c r="K5676" t="s">
        <v>10218</v>
      </c>
      <c r="L5676" t="s">
        <v>10136</v>
      </c>
      <c r="M5676" t="s">
        <v>10579</v>
      </c>
      <c r="N5676" t="s">
        <v>10650</v>
      </c>
      <c r="P5676" t="s">
        <v>10749</v>
      </c>
      <c r="Q5676" t="s">
        <v>10765</v>
      </c>
      <c r="R5676" t="s">
        <v>10824</v>
      </c>
      <c r="T5676">
        <v>13200</v>
      </c>
      <c r="U5676">
        <v>1100</v>
      </c>
      <c r="V5676">
        <v>64</v>
      </c>
      <c r="W5676">
        <v>1</v>
      </c>
      <c r="X5676">
        <v>0</v>
      </c>
      <c r="Y5676" t="s">
        <v>10829</v>
      </c>
      <c r="Z5676">
        <v>105.68</v>
      </c>
      <c r="AA5676">
        <v>40.826479</v>
      </c>
      <c r="AB5676">
        <v>-73.92225000000001</v>
      </c>
      <c r="AD5676" t="s">
        <v>10840</v>
      </c>
      <c r="AG5676" t="s">
        <v>10858</v>
      </c>
      <c r="AH5676" t="s">
        <v>10862</v>
      </c>
      <c r="AI5676">
        <v>230</v>
      </c>
      <c r="AJ5676" t="s">
        <v>10210</v>
      </c>
      <c r="AK5676" t="s">
        <v>10838</v>
      </c>
      <c r="AL5676">
        <v>0.5</v>
      </c>
      <c r="AM5676" t="s">
        <v>10884</v>
      </c>
      <c r="AN5676" t="s">
        <v>10929</v>
      </c>
      <c r="AO5676" t="s">
        <v>11001</v>
      </c>
      <c r="AP5676" t="s">
        <v>11055</v>
      </c>
      <c r="AR5676" t="s">
        <v>11268</v>
      </c>
      <c r="AS5676" t="s">
        <v>9926</v>
      </c>
      <c r="AT5676" t="s">
        <v>11642</v>
      </c>
      <c r="AY5676" t="s">
        <v>10829</v>
      </c>
      <c r="AZ5676" t="s">
        <v>11681</v>
      </c>
      <c r="BA5676" t="s">
        <v>11741</v>
      </c>
      <c r="BB5676">
        <v>0</v>
      </c>
      <c r="BC5676">
        <v>0</v>
      </c>
      <c r="BD5676">
        <v>0</v>
      </c>
      <c r="BE5676">
        <v>0</v>
      </c>
      <c r="BF5676">
        <v>1</v>
      </c>
      <c r="BG5676">
        <v>0</v>
      </c>
    </row>
    <row r="5677" spans="1:59">
      <c r="A5677" s="1">
        <f>HYPERLINK("https://lsnyc.legalserver.org/matter/dynamic-profile/view/1909951","19-1909951")</f>
        <v>0</v>
      </c>
      <c r="B5677" t="s">
        <v>4454</v>
      </c>
      <c r="C5677" t="s">
        <v>9316</v>
      </c>
      <c r="D5677" t="s">
        <v>9926</v>
      </c>
      <c r="E5677" t="s">
        <v>10075</v>
      </c>
      <c r="F5677">
        <v>10458</v>
      </c>
      <c r="G5677" t="s">
        <v>10090</v>
      </c>
      <c r="H5677" t="s">
        <v>10137</v>
      </c>
      <c r="I5677" t="s">
        <v>10169</v>
      </c>
      <c r="J5677" t="s">
        <v>10210</v>
      </c>
      <c r="K5677" t="s">
        <v>10217</v>
      </c>
      <c r="M5677" t="s">
        <v>10296</v>
      </c>
      <c r="N5677" t="s">
        <v>10679</v>
      </c>
      <c r="P5677" t="s">
        <v>10754</v>
      </c>
      <c r="Q5677" t="s">
        <v>10782</v>
      </c>
      <c r="R5677" t="s">
        <v>10821</v>
      </c>
      <c r="T5677">
        <v>26000</v>
      </c>
      <c r="U5677">
        <v>2166.67</v>
      </c>
      <c r="V5677">
        <v>20</v>
      </c>
      <c r="W5677">
        <v>1</v>
      </c>
      <c r="X5677">
        <v>1</v>
      </c>
      <c r="Z5677">
        <v>153.76</v>
      </c>
      <c r="AA5677">
        <v>40.867986</v>
      </c>
      <c r="AB5677">
        <v>-73.89095</v>
      </c>
      <c r="AD5677" t="s">
        <v>10840</v>
      </c>
      <c r="AF5677" t="s">
        <v>10842</v>
      </c>
      <c r="AG5677" t="s">
        <v>10859</v>
      </c>
      <c r="AH5677" t="s">
        <v>10875</v>
      </c>
      <c r="AI5677">
        <v>230</v>
      </c>
      <c r="AJ5677" t="s">
        <v>10210</v>
      </c>
      <c r="AL5677">
        <v>11.5</v>
      </c>
      <c r="AM5677" t="s">
        <v>10887</v>
      </c>
      <c r="AN5677" t="s">
        <v>10907</v>
      </c>
      <c r="AO5677" t="s">
        <v>11000</v>
      </c>
      <c r="AP5677" t="s">
        <v>11056</v>
      </c>
      <c r="AQ5677" t="s">
        <v>11249</v>
      </c>
      <c r="AR5677" t="s">
        <v>11343</v>
      </c>
      <c r="AS5677" t="s">
        <v>9926</v>
      </c>
      <c r="AT5677" t="s">
        <v>11642</v>
      </c>
      <c r="AV5677" t="s">
        <v>11655</v>
      </c>
      <c r="AW5677" t="s">
        <v>11666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</row>
    <row r="5678" spans="1:59">
      <c r="A5678" s="1">
        <f>HYPERLINK("https://lsnyc.legalserver.org/matter/dynamic-profile/view/1909953","19-1909953")</f>
        <v>0</v>
      </c>
      <c r="B5678" t="s">
        <v>4455</v>
      </c>
      <c r="C5678" t="s">
        <v>9317</v>
      </c>
      <c r="D5678" t="s">
        <v>9926</v>
      </c>
      <c r="E5678" t="s">
        <v>10075</v>
      </c>
      <c r="F5678">
        <v>10453</v>
      </c>
      <c r="G5678" t="s">
        <v>10090</v>
      </c>
      <c r="H5678" t="s">
        <v>10100</v>
      </c>
      <c r="I5678" t="s">
        <v>10168</v>
      </c>
      <c r="J5678" t="s">
        <v>10210</v>
      </c>
      <c r="K5678" t="s">
        <v>10217</v>
      </c>
      <c r="M5678" t="s">
        <v>10579</v>
      </c>
      <c r="N5678" t="s">
        <v>10650</v>
      </c>
      <c r="P5678" t="s">
        <v>10749</v>
      </c>
      <c r="Q5678" t="s">
        <v>10765</v>
      </c>
      <c r="R5678" t="s">
        <v>10821</v>
      </c>
      <c r="T5678">
        <v>12688</v>
      </c>
      <c r="U5678">
        <v>1057.33</v>
      </c>
      <c r="V5678">
        <v>60</v>
      </c>
      <c r="W5678">
        <v>1</v>
      </c>
      <c r="X5678">
        <v>0</v>
      </c>
      <c r="Z5678">
        <v>101.59</v>
      </c>
      <c r="AA5678">
        <v>40.847133</v>
      </c>
      <c r="AB5678">
        <v>-73.924436</v>
      </c>
      <c r="AD5678" t="s">
        <v>10839</v>
      </c>
      <c r="AG5678" t="s">
        <v>10858</v>
      </c>
      <c r="AH5678" t="s">
        <v>10862</v>
      </c>
      <c r="AI5678">
        <v>230</v>
      </c>
      <c r="AJ5678" t="s">
        <v>10210</v>
      </c>
      <c r="AL5678">
        <v>0.5</v>
      </c>
      <c r="AM5678" t="s">
        <v>10887</v>
      </c>
      <c r="AN5678" t="s">
        <v>10929</v>
      </c>
      <c r="AO5678" t="s">
        <v>11013</v>
      </c>
      <c r="AP5678" t="s">
        <v>11055</v>
      </c>
      <c r="AR5678" t="s">
        <v>11293</v>
      </c>
      <c r="AS5678" t="s">
        <v>9926</v>
      </c>
      <c r="AT5678" t="s">
        <v>11641</v>
      </c>
      <c r="AX5678" t="s">
        <v>10838</v>
      </c>
      <c r="BA5678" t="s">
        <v>11741</v>
      </c>
      <c r="BB5678">
        <v>0</v>
      </c>
      <c r="BC5678">
        <v>0</v>
      </c>
      <c r="BD5678">
        <v>0</v>
      </c>
      <c r="BE5678">
        <v>0</v>
      </c>
      <c r="BF5678">
        <v>1</v>
      </c>
      <c r="BG5678">
        <v>0</v>
      </c>
    </row>
    <row r="5679" spans="1:59">
      <c r="A5679" s="1">
        <f>HYPERLINK("https://lsnyc.legalserver.org/matter/dynamic-profile/view/1909954","19-1909954")</f>
        <v>0</v>
      </c>
      <c r="B5679" t="s">
        <v>4456</v>
      </c>
      <c r="C5679" t="s">
        <v>7266</v>
      </c>
      <c r="D5679" t="s">
        <v>9928</v>
      </c>
      <c r="E5679" t="s">
        <v>10075</v>
      </c>
      <c r="F5679">
        <v>11206</v>
      </c>
      <c r="G5679" t="s">
        <v>10091</v>
      </c>
      <c r="H5679" t="s">
        <v>10137</v>
      </c>
      <c r="I5679" t="s">
        <v>10168</v>
      </c>
      <c r="J5679" t="s">
        <v>10214</v>
      </c>
      <c r="K5679" t="s">
        <v>10217</v>
      </c>
      <c r="M5679" t="s">
        <v>10286</v>
      </c>
      <c r="N5679" t="s">
        <v>10671</v>
      </c>
      <c r="P5679" t="s">
        <v>10749</v>
      </c>
      <c r="Q5679" t="s">
        <v>10765</v>
      </c>
      <c r="R5679" t="s">
        <v>10821</v>
      </c>
      <c r="T5679">
        <v>3770</v>
      </c>
      <c r="U5679">
        <v>314.17</v>
      </c>
      <c r="V5679">
        <v>21</v>
      </c>
      <c r="W5679">
        <v>1</v>
      </c>
      <c r="X5679">
        <v>0</v>
      </c>
      <c r="Z5679">
        <v>30.18</v>
      </c>
      <c r="AA5679">
        <v>40.704352</v>
      </c>
      <c r="AB5679">
        <v>-73.940253</v>
      </c>
      <c r="AD5679" t="s">
        <v>10839</v>
      </c>
      <c r="AG5679" t="s">
        <v>10858</v>
      </c>
      <c r="AH5679" t="s">
        <v>10871</v>
      </c>
      <c r="AI5679">
        <v>234</v>
      </c>
      <c r="AJ5679" t="s">
        <v>10214</v>
      </c>
      <c r="AL5679">
        <v>1</v>
      </c>
      <c r="AM5679" t="s">
        <v>10886</v>
      </c>
      <c r="AN5679" t="s">
        <v>10942</v>
      </c>
      <c r="AO5679" t="s">
        <v>11011</v>
      </c>
      <c r="AP5679" t="s">
        <v>11071</v>
      </c>
      <c r="AR5679" t="s">
        <v>11311</v>
      </c>
      <c r="AS5679" t="s">
        <v>11595</v>
      </c>
      <c r="AT5679" t="s">
        <v>11641</v>
      </c>
      <c r="AX5679" t="s">
        <v>10838</v>
      </c>
      <c r="BA5679" t="s">
        <v>11741</v>
      </c>
      <c r="BB5679">
        <v>0</v>
      </c>
      <c r="BC5679">
        <v>0</v>
      </c>
      <c r="BD5679">
        <v>0</v>
      </c>
      <c r="BE5679">
        <v>0</v>
      </c>
      <c r="BF5679">
        <v>1</v>
      </c>
      <c r="BG5679">
        <v>0</v>
      </c>
    </row>
    <row r="5680" spans="1:59">
      <c r="A5680" s="1">
        <f>HYPERLINK("https://lsnyc.legalserver.org/matter/dynamic-profile/view/1909955","19-1909955")</f>
        <v>0</v>
      </c>
      <c r="B5680" t="s">
        <v>4457</v>
      </c>
      <c r="C5680" t="s">
        <v>9318</v>
      </c>
      <c r="D5680" t="s">
        <v>9926</v>
      </c>
      <c r="E5680" t="s">
        <v>10075</v>
      </c>
      <c r="F5680">
        <v>10457</v>
      </c>
      <c r="G5680" t="s">
        <v>10090</v>
      </c>
      <c r="H5680" t="s">
        <v>10100</v>
      </c>
      <c r="I5680" t="s">
        <v>10169</v>
      </c>
      <c r="J5680" t="s">
        <v>10210</v>
      </c>
      <c r="K5680" t="s">
        <v>10218</v>
      </c>
      <c r="L5680" t="s">
        <v>10136</v>
      </c>
      <c r="M5680" t="s">
        <v>10579</v>
      </c>
      <c r="N5680" t="s">
        <v>10650</v>
      </c>
      <c r="P5680" t="s">
        <v>10749</v>
      </c>
      <c r="Q5680" t="s">
        <v>10765</v>
      </c>
      <c r="R5680" t="s">
        <v>10821</v>
      </c>
      <c r="T5680">
        <v>35000</v>
      </c>
      <c r="U5680">
        <v>2916.67</v>
      </c>
      <c r="V5680">
        <v>64</v>
      </c>
      <c r="W5680">
        <v>2</v>
      </c>
      <c r="X5680">
        <v>0</v>
      </c>
      <c r="Y5680" t="s">
        <v>10829</v>
      </c>
      <c r="Z5680">
        <v>206.98</v>
      </c>
      <c r="AA5680">
        <v>40.851216</v>
      </c>
      <c r="AB5680">
        <v>-73.90066299999999</v>
      </c>
      <c r="AD5680" t="s">
        <v>10840</v>
      </c>
      <c r="AG5680" t="s">
        <v>10858</v>
      </c>
      <c r="AH5680" t="s">
        <v>10862</v>
      </c>
      <c r="AI5680">
        <v>230</v>
      </c>
      <c r="AJ5680" t="s">
        <v>10210</v>
      </c>
      <c r="AK5680" t="s">
        <v>10838</v>
      </c>
      <c r="AL5680">
        <v>0.1</v>
      </c>
      <c r="AM5680" t="s">
        <v>10884</v>
      </c>
      <c r="AN5680" t="s">
        <v>10931</v>
      </c>
      <c r="AO5680" t="s">
        <v>11000</v>
      </c>
      <c r="AP5680" t="s">
        <v>11056</v>
      </c>
      <c r="AR5680" t="s">
        <v>10180</v>
      </c>
      <c r="AS5680" t="s">
        <v>9926</v>
      </c>
      <c r="AT5680" t="s">
        <v>11642</v>
      </c>
      <c r="AY5680" t="s">
        <v>10829</v>
      </c>
      <c r="AZ5680" t="s">
        <v>11681</v>
      </c>
      <c r="BA5680" t="s">
        <v>11741</v>
      </c>
      <c r="BB5680">
        <v>0</v>
      </c>
      <c r="BC5680">
        <v>0</v>
      </c>
      <c r="BD5680">
        <v>0</v>
      </c>
      <c r="BE5680">
        <v>0</v>
      </c>
      <c r="BF5680">
        <v>1</v>
      </c>
      <c r="BG5680">
        <v>0</v>
      </c>
    </row>
    <row r="5681" spans="1:59">
      <c r="A5681" s="1">
        <f>HYPERLINK("https://lsnyc.legalserver.org/matter/dynamic-profile/view/1909956","19-1909956")</f>
        <v>0</v>
      </c>
      <c r="B5681" t="s">
        <v>4458</v>
      </c>
      <c r="C5681" t="s">
        <v>9319</v>
      </c>
      <c r="D5681" t="s">
        <v>9928</v>
      </c>
      <c r="E5681" t="s">
        <v>10075</v>
      </c>
      <c r="F5681">
        <v>11225</v>
      </c>
      <c r="G5681" t="s">
        <v>10093</v>
      </c>
      <c r="H5681" t="s">
        <v>10137</v>
      </c>
      <c r="I5681" t="s">
        <v>10168</v>
      </c>
      <c r="J5681" t="s">
        <v>10213</v>
      </c>
      <c r="K5681" t="s">
        <v>10217</v>
      </c>
      <c r="M5681" t="s">
        <v>10290</v>
      </c>
      <c r="N5681" t="s">
        <v>10694</v>
      </c>
      <c r="P5681" t="s">
        <v>10751</v>
      </c>
      <c r="Q5681" t="s">
        <v>10773</v>
      </c>
      <c r="R5681" t="s">
        <v>10824</v>
      </c>
      <c r="T5681">
        <v>0</v>
      </c>
      <c r="U5681">
        <v>0</v>
      </c>
      <c r="V5681">
        <v>29</v>
      </c>
      <c r="W5681">
        <v>1</v>
      </c>
      <c r="X5681">
        <v>0</v>
      </c>
      <c r="Z5681">
        <v>0</v>
      </c>
      <c r="AA5681">
        <v>40.668213</v>
      </c>
      <c r="AB5681">
        <v>-73.956717</v>
      </c>
      <c r="AD5681" t="s">
        <v>10839</v>
      </c>
      <c r="AG5681" t="s">
        <v>10858</v>
      </c>
      <c r="AH5681" t="s">
        <v>10861</v>
      </c>
      <c r="AI5681">
        <v>234</v>
      </c>
      <c r="AJ5681" t="s">
        <v>10214</v>
      </c>
      <c r="AL5681">
        <v>1.5</v>
      </c>
      <c r="AM5681" t="s">
        <v>10888</v>
      </c>
      <c r="AN5681" t="s">
        <v>10923</v>
      </c>
      <c r="AO5681" t="s">
        <v>11005</v>
      </c>
      <c r="AP5681" t="s">
        <v>11061</v>
      </c>
      <c r="AR5681" t="s">
        <v>11267</v>
      </c>
      <c r="AS5681" t="s">
        <v>11595</v>
      </c>
      <c r="AT5681" t="s">
        <v>11641</v>
      </c>
      <c r="AX5681" t="s">
        <v>10838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</row>
    <row r="5682" spans="1:59">
      <c r="A5682" s="1">
        <f>HYPERLINK("https://lsnyc.legalserver.org/matter/dynamic-profile/view/1909957","19-1909957")</f>
        <v>0</v>
      </c>
      <c r="B5682" t="s">
        <v>4459</v>
      </c>
      <c r="C5682" t="s">
        <v>9320</v>
      </c>
      <c r="D5682" t="s">
        <v>9926</v>
      </c>
      <c r="E5682" t="s">
        <v>10075</v>
      </c>
      <c r="F5682">
        <v>10454</v>
      </c>
      <c r="G5682" t="s">
        <v>10090</v>
      </c>
      <c r="H5682" t="s">
        <v>10115</v>
      </c>
      <c r="I5682" t="s">
        <v>10168</v>
      </c>
      <c r="J5682" t="s">
        <v>10210</v>
      </c>
      <c r="K5682" t="s">
        <v>10217</v>
      </c>
      <c r="M5682" t="s">
        <v>10579</v>
      </c>
      <c r="N5682" t="s">
        <v>10650</v>
      </c>
      <c r="P5682" t="s">
        <v>10749</v>
      </c>
      <c r="Q5682" t="s">
        <v>10765</v>
      </c>
      <c r="R5682" t="s">
        <v>10824</v>
      </c>
      <c r="T5682">
        <v>12408</v>
      </c>
      <c r="U5682">
        <v>1034</v>
      </c>
      <c r="V5682">
        <v>41</v>
      </c>
      <c r="W5682">
        <v>1</v>
      </c>
      <c r="X5682">
        <v>0</v>
      </c>
      <c r="Z5682">
        <v>99.34</v>
      </c>
      <c r="AA5682">
        <v>40.811489</v>
      </c>
      <c r="AB5682">
        <v>-73.92374100000001</v>
      </c>
      <c r="AD5682" t="s">
        <v>10840</v>
      </c>
      <c r="AG5682" t="s">
        <v>10858</v>
      </c>
      <c r="AH5682" t="s">
        <v>10862</v>
      </c>
      <c r="AI5682">
        <v>230</v>
      </c>
      <c r="AJ5682" t="s">
        <v>10210</v>
      </c>
      <c r="AL5682">
        <v>1.25</v>
      </c>
      <c r="AM5682" t="s">
        <v>10884</v>
      </c>
      <c r="AN5682" t="s">
        <v>10924</v>
      </c>
      <c r="AO5682" t="s">
        <v>11013</v>
      </c>
      <c r="AP5682" t="s">
        <v>11066</v>
      </c>
      <c r="AR5682" t="s">
        <v>11263</v>
      </c>
      <c r="AS5682" t="s">
        <v>9926</v>
      </c>
      <c r="AT5682" t="s">
        <v>11642</v>
      </c>
      <c r="AX5682" t="s">
        <v>10838</v>
      </c>
      <c r="BA5682" t="s">
        <v>11741</v>
      </c>
      <c r="BB5682">
        <v>0</v>
      </c>
      <c r="BC5682">
        <v>0</v>
      </c>
      <c r="BD5682">
        <v>0</v>
      </c>
      <c r="BE5682">
        <v>0</v>
      </c>
      <c r="BF5682">
        <v>1</v>
      </c>
      <c r="BG5682">
        <v>0</v>
      </c>
    </row>
    <row r="5683" spans="1:59">
      <c r="A5683" s="1">
        <f>HYPERLINK("https://lsnyc.legalserver.org/matter/dynamic-profile/view/1909958","19-1909958")</f>
        <v>0</v>
      </c>
      <c r="B5683" t="s">
        <v>4460</v>
      </c>
      <c r="C5683" t="s">
        <v>9321</v>
      </c>
      <c r="D5683" t="s">
        <v>9949</v>
      </c>
      <c r="E5683" t="s">
        <v>10075</v>
      </c>
      <c r="F5683">
        <v>11413</v>
      </c>
      <c r="G5683" t="s">
        <v>10092</v>
      </c>
      <c r="H5683" t="s">
        <v>10137</v>
      </c>
      <c r="I5683" t="s">
        <v>10168</v>
      </c>
      <c r="J5683" t="s">
        <v>10212</v>
      </c>
      <c r="K5683" t="s">
        <v>10217</v>
      </c>
      <c r="M5683" t="s">
        <v>10260</v>
      </c>
      <c r="N5683" t="s">
        <v>10665</v>
      </c>
      <c r="P5683" t="s">
        <v>10751</v>
      </c>
      <c r="Q5683" t="s">
        <v>10773</v>
      </c>
      <c r="R5683" t="s">
        <v>10824</v>
      </c>
      <c r="T5683">
        <v>36400</v>
      </c>
      <c r="U5683">
        <v>3033.33</v>
      </c>
      <c r="V5683">
        <v>38</v>
      </c>
      <c r="W5683">
        <v>2</v>
      </c>
      <c r="X5683">
        <v>1</v>
      </c>
      <c r="Z5683">
        <v>170.65</v>
      </c>
      <c r="AA5683">
        <v>40.66319</v>
      </c>
      <c r="AB5683">
        <v>-73.75719100000001</v>
      </c>
      <c r="AD5683" t="s">
        <v>10840</v>
      </c>
      <c r="AF5683" t="s">
        <v>10843</v>
      </c>
      <c r="AG5683" t="s">
        <v>10859</v>
      </c>
      <c r="AH5683" t="s">
        <v>10871</v>
      </c>
      <c r="AI5683">
        <v>234</v>
      </c>
      <c r="AJ5683" t="s">
        <v>10214</v>
      </c>
      <c r="AL5683">
        <v>9.699999999999999</v>
      </c>
      <c r="AM5683" t="s">
        <v>10892</v>
      </c>
      <c r="AN5683" t="s">
        <v>10930</v>
      </c>
      <c r="AO5683" t="s">
        <v>11017</v>
      </c>
      <c r="AP5683" t="s">
        <v>11082</v>
      </c>
      <c r="AR5683" t="s">
        <v>11257</v>
      </c>
      <c r="AS5683" t="s">
        <v>11594</v>
      </c>
      <c r="AT5683" t="s">
        <v>11642</v>
      </c>
      <c r="AX5683" t="s">
        <v>10838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</row>
    <row r="5684" spans="1:59">
      <c r="A5684" s="1">
        <f>HYPERLINK("https://lsnyc.legalserver.org/matter/dynamic-profile/view/1909959","19-1909959")</f>
        <v>0</v>
      </c>
      <c r="B5684" t="s">
        <v>4461</v>
      </c>
      <c r="C5684" t="s">
        <v>9322</v>
      </c>
      <c r="D5684" t="s">
        <v>9928</v>
      </c>
      <c r="E5684" t="s">
        <v>10075</v>
      </c>
      <c r="F5684">
        <v>11212</v>
      </c>
      <c r="G5684" t="s">
        <v>10093</v>
      </c>
      <c r="H5684" t="s">
        <v>10137</v>
      </c>
      <c r="I5684" t="s">
        <v>10168</v>
      </c>
      <c r="J5684" t="s">
        <v>10213</v>
      </c>
      <c r="K5684" t="s">
        <v>10217</v>
      </c>
      <c r="M5684" t="s">
        <v>10348</v>
      </c>
      <c r="N5684" t="s">
        <v>10671</v>
      </c>
      <c r="P5684" t="s">
        <v>10749</v>
      </c>
      <c r="Q5684" t="s">
        <v>10791</v>
      </c>
      <c r="R5684" t="s">
        <v>10821</v>
      </c>
      <c r="T5684">
        <v>1944</v>
      </c>
      <c r="U5684">
        <v>162</v>
      </c>
      <c r="V5684">
        <v>41</v>
      </c>
      <c r="W5684">
        <v>1</v>
      </c>
      <c r="X5684">
        <v>0</v>
      </c>
      <c r="Z5684">
        <v>15.56</v>
      </c>
      <c r="AA5684">
        <v>40.661394</v>
      </c>
      <c r="AB5684">
        <v>-73.90714800000001</v>
      </c>
      <c r="AC5684" t="s">
        <v>10838</v>
      </c>
      <c r="AD5684" t="s">
        <v>10839</v>
      </c>
      <c r="AG5684" t="s">
        <v>10858</v>
      </c>
      <c r="AH5684" t="s">
        <v>10871</v>
      </c>
      <c r="AI5684">
        <v>234</v>
      </c>
      <c r="AJ5684" t="s">
        <v>10214</v>
      </c>
      <c r="AL5684">
        <v>2</v>
      </c>
      <c r="AR5684" t="s">
        <v>11311</v>
      </c>
      <c r="AS5684" t="s">
        <v>11595</v>
      </c>
      <c r="AT5684" t="s">
        <v>11641</v>
      </c>
      <c r="AX5684" t="s">
        <v>10838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</row>
    <row r="5685" spans="1:59">
      <c r="A5685" s="1">
        <f>HYPERLINK("https://lsnyc.legalserver.org/matter/dynamic-profile/view/1909960","19-1909960")</f>
        <v>0</v>
      </c>
      <c r="B5685" t="s">
        <v>2355</v>
      </c>
      <c r="C5685" t="s">
        <v>9323</v>
      </c>
      <c r="D5685" t="s">
        <v>9925</v>
      </c>
      <c r="E5685" t="s">
        <v>10075</v>
      </c>
      <c r="F5685">
        <v>10039</v>
      </c>
      <c r="G5685" t="s">
        <v>10091</v>
      </c>
      <c r="H5685" t="s">
        <v>10137</v>
      </c>
      <c r="I5685" t="s">
        <v>10168</v>
      </c>
      <c r="J5685" t="s">
        <v>10214</v>
      </c>
      <c r="K5685" t="s">
        <v>10217</v>
      </c>
      <c r="M5685" t="s">
        <v>10307</v>
      </c>
      <c r="N5685" t="s">
        <v>10671</v>
      </c>
      <c r="P5685" t="s">
        <v>10752</v>
      </c>
      <c r="Q5685" t="s">
        <v>10762</v>
      </c>
      <c r="R5685" t="s">
        <v>10820</v>
      </c>
      <c r="T5685">
        <v>10400</v>
      </c>
      <c r="U5685">
        <v>866.67</v>
      </c>
      <c r="V5685">
        <v>38</v>
      </c>
      <c r="W5685">
        <v>1</v>
      </c>
      <c r="X5685">
        <v>0</v>
      </c>
      <c r="Z5685">
        <v>83.27</v>
      </c>
      <c r="AA5685">
        <v>40.823713</v>
      </c>
      <c r="AB5685">
        <v>-73.944575</v>
      </c>
      <c r="AD5685" t="s">
        <v>10840</v>
      </c>
      <c r="AG5685" t="s">
        <v>10858</v>
      </c>
      <c r="AH5685" t="s">
        <v>10861</v>
      </c>
      <c r="AI5685">
        <v>234</v>
      </c>
      <c r="AJ5685" t="s">
        <v>10214</v>
      </c>
      <c r="AL5685">
        <v>1</v>
      </c>
      <c r="AM5685" t="s">
        <v>10887</v>
      </c>
      <c r="AN5685" t="s">
        <v>10936</v>
      </c>
      <c r="AO5685" t="s">
        <v>11016</v>
      </c>
      <c r="AP5685" t="s">
        <v>11076</v>
      </c>
      <c r="AR5685" t="s">
        <v>11257</v>
      </c>
      <c r="AS5685" t="s">
        <v>9925</v>
      </c>
      <c r="AT5685" t="s">
        <v>11642</v>
      </c>
      <c r="AX5685" t="s">
        <v>10838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</row>
    <row r="5686" spans="1:59">
      <c r="A5686" s="1">
        <f>HYPERLINK("https://lsnyc.legalserver.org/matter/dynamic-profile/view/1909961","19-1909961")</f>
        <v>0</v>
      </c>
      <c r="B5686" t="s">
        <v>4462</v>
      </c>
      <c r="C5686" t="s">
        <v>9324</v>
      </c>
      <c r="D5686" t="s">
        <v>9926</v>
      </c>
      <c r="E5686" t="s">
        <v>10075</v>
      </c>
      <c r="F5686">
        <v>10452</v>
      </c>
      <c r="G5686" t="s">
        <v>10090</v>
      </c>
      <c r="H5686" t="s">
        <v>10100</v>
      </c>
      <c r="I5686" t="s">
        <v>10169</v>
      </c>
      <c r="J5686" t="s">
        <v>10210</v>
      </c>
      <c r="K5686" t="s">
        <v>10218</v>
      </c>
      <c r="L5686" t="s">
        <v>10136</v>
      </c>
      <c r="M5686" t="s">
        <v>10579</v>
      </c>
      <c r="N5686" t="s">
        <v>10650</v>
      </c>
      <c r="P5686" t="s">
        <v>10749</v>
      </c>
      <c r="Q5686" t="s">
        <v>10765</v>
      </c>
      <c r="R5686" t="s">
        <v>10821</v>
      </c>
      <c r="T5686">
        <v>11280</v>
      </c>
      <c r="U5686">
        <v>940</v>
      </c>
      <c r="V5686">
        <v>52</v>
      </c>
      <c r="W5686">
        <v>2</v>
      </c>
      <c r="X5686">
        <v>0</v>
      </c>
      <c r="Y5686" t="s">
        <v>10829</v>
      </c>
      <c r="Z5686">
        <v>66.70999999999999</v>
      </c>
      <c r="AA5686">
        <v>40.838074</v>
      </c>
      <c r="AB5686">
        <v>-73.91757800000001</v>
      </c>
      <c r="AD5686" t="s">
        <v>10839</v>
      </c>
      <c r="AG5686" t="s">
        <v>10858</v>
      </c>
      <c r="AH5686" t="s">
        <v>10862</v>
      </c>
      <c r="AI5686">
        <v>230</v>
      </c>
      <c r="AJ5686" t="s">
        <v>10210</v>
      </c>
      <c r="AK5686" t="s">
        <v>10838</v>
      </c>
      <c r="AL5686">
        <v>0.25</v>
      </c>
      <c r="AM5686" t="s">
        <v>10884</v>
      </c>
      <c r="AN5686" t="s">
        <v>10924</v>
      </c>
      <c r="AO5686" t="s">
        <v>11013</v>
      </c>
      <c r="AP5686" t="s">
        <v>11055</v>
      </c>
      <c r="AR5686" t="s">
        <v>11372</v>
      </c>
      <c r="AS5686" t="s">
        <v>9926</v>
      </c>
      <c r="AT5686" t="s">
        <v>11641</v>
      </c>
      <c r="AX5686" t="s">
        <v>10838</v>
      </c>
      <c r="AY5686" t="s">
        <v>10829</v>
      </c>
      <c r="AZ5686" t="s">
        <v>11681</v>
      </c>
      <c r="BA5686" t="s">
        <v>11741</v>
      </c>
      <c r="BB5686">
        <v>0</v>
      </c>
      <c r="BC5686">
        <v>0</v>
      </c>
      <c r="BD5686">
        <v>0</v>
      </c>
      <c r="BE5686">
        <v>0</v>
      </c>
      <c r="BF5686">
        <v>1</v>
      </c>
      <c r="BG5686">
        <v>0</v>
      </c>
    </row>
    <row r="5687" spans="1:59">
      <c r="A5687" s="1">
        <f>HYPERLINK("https://lsnyc.legalserver.org/matter/dynamic-profile/view/1909962","19-1909962")</f>
        <v>0</v>
      </c>
      <c r="B5687" t="s">
        <v>4463</v>
      </c>
      <c r="C5687" t="s">
        <v>9325</v>
      </c>
      <c r="D5687" t="s">
        <v>9925</v>
      </c>
      <c r="E5687" t="s">
        <v>10075</v>
      </c>
      <c r="F5687">
        <v>10033</v>
      </c>
      <c r="G5687" t="s">
        <v>10091</v>
      </c>
      <c r="H5687" t="s">
        <v>10137</v>
      </c>
      <c r="I5687" t="s">
        <v>10169</v>
      </c>
      <c r="J5687" t="s">
        <v>10214</v>
      </c>
      <c r="K5687" t="s">
        <v>10217</v>
      </c>
      <c r="M5687" t="s">
        <v>10286</v>
      </c>
      <c r="N5687" t="s">
        <v>10671</v>
      </c>
      <c r="P5687" t="s">
        <v>10751</v>
      </c>
      <c r="Q5687" t="s">
        <v>10768</v>
      </c>
      <c r="R5687" t="s">
        <v>10821</v>
      </c>
      <c r="T5687">
        <v>9600</v>
      </c>
      <c r="U5687">
        <v>800</v>
      </c>
      <c r="V5687">
        <v>42</v>
      </c>
      <c r="W5687">
        <v>1</v>
      </c>
      <c r="X5687">
        <v>0</v>
      </c>
      <c r="Z5687">
        <v>76.86</v>
      </c>
      <c r="AA5687">
        <v>40.845574</v>
      </c>
      <c r="AB5687">
        <v>-73.93537499999999</v>
      </c>
      <c r="AD5687" t="s">
        <v>10839</v>
      </c>
      <c r="AF5687" t="s">
        <v>10843</v>
      </c>
      <c r="AG5687" t="s">
        <v>10859</v>
      </c>
      <c r="AH5687" t="s">
        <v>10871</v>
      </c>
      <c r="AI5687">
        <v>234</v>
      </c>
      <c r="AJ5687" t="s">
        <v>10214</v>
      </c>
      <c r="AL5687">
        <v>1</v>
      </c>
      <c r="AM5687" t="s">
        <v>10887</v>
      </c>
      <c r="AN5687" t="s">
        <v>10937</v>
      </c>
      <c r="AO5687" t="s">
        <v>11019</v>
      </c>
      <c r="AP5687" t="s">
        <v>11074</v>
      </c>
      <c r="AR5687" t="s">
        <v>11254</v>
      </c>
      <c r="AS5687" t="s">
        <v>9925</v>
      </c>
      <c r="AT5687" t="s">
        <v>11641</v>
      </c>
      <c r="AX5687" t="s">
        <v>10838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</row>
    <row r="5688" spans="1:59">
      <c r="A5688" s="1">
        <f>HYPERLINK("https://lsnyc.legalserver.org/matter/dynamic-profile/view/1909963","19-1909963")</f>
        <v>0</v>
      </c>
      <c r="B5688" t="s">
        <v>4464</v>
      </c>
      <c r="C5688" t="s">
        <v>9326</v>
      </c>
      <c r="D5688" t="s">
        <v>9928</v>
      </c>
      <c r="E5688" t="s">
        <v>10075</v>
      </c>
      <c r="F5688">
        <v>11214</v>
      </c>
      <c r="G5688" t="s">
        <v>10093</v>
      </c>
      <c r="H5688" t="s">
        <v>10137</v>
      </c>
      <c r="I5688" t="s">
        <v>10168</v>
      </c>
      <c r="J5688" t="s">
        <v>10213</v>
      </c>
      <c r="K5688" t="s">
        <v>10218</v>
      </c>
      <c r="L5688" t="s">
        <v>10157</v>
      </c>
      <c r="M5688" t="s">
        <v>10317</v>
      </c>
      <c r="N5688" t="s">
        <v>10671</v>
      </c>
      <c r="P5688" t="s">
        <v>10751</v>
      </c>
      <c r="Q5688" t="s">
        <v>10761</v>
      </c>
      <c r="R5688" t="s">
        <v>10820</v>
      </c>
      <c r="T5688">
        <v>12408</v>
      </c>
      <c r="U5688">
        <v>1034</v>
      </c>
      <c r="V5688">
        <v>49</v>
      </c>
      <c r="W5688">
        <v>2</v>
      </c>
      <c r="X5688">
        <v>0</v>
      </c>
      <c r="Y5688" t="s">
        <v>10829</v>
      </c>
      <c r="Z5688">
        <v>73.38</v>
      </c>
      <c r="AA5688">
        <v>40.603994</v>
      </c>
      <c r="AB5688">
        <v>-74.006773</v>
      </c>
      <c r="AD5688" t="s">
        <v>10839</v>
      </c>
      <c r="AG5688" t="s">
        <v>10858</v>
      </c>
      <c r="AH5688" t="s">
        <v>10861</v>
      </c>
      <c r="AI5688">
        <v>234</v>
      </c>
      <c r="AJ5688" t="s">
        <v>10214</v>
      </c>
      <c r="AK5688" t="s">
        <v>10838</v>
      </c>
      <c r="AL5688">
        <v>3.6</v>
      </c>
      <c r="AR5688" t="s">
        <v>11388</v>
      </c>
      <c r="AS5688" t="s">
        <v>11595</v>
      </c>
      <c r="AT5688" t="s">
        <v>11641</v>
      </c>
      <c r="AX5688" t="s">
        <v>10838</v>
      </c>
      <c r="AY5688" t="s">
        <v>10829</v>
      </c>
      <c r="AZ5688" t="s">
        <v>11682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</row>
    <row r="5689" spans="1:59">
      <c r="A5689" s="1">
        <f>HYPERLINK("https://lsnyc.legalserver.org/matter/dynamic-profile/view/1909964","19-1909964")</f>
        <v>0</v>
      </c>
      <c r="B5689" t="s">
        <v>4465</v>
      </c>
      <c r="C5689" t="s">
        <v>9327</v>
      </c>
      <c r="D5689" t="s">
        <v>9925</v>
      </c>
      <c r="E5689" t="s">
        <v>10075</v>
      </c>
      <c r="F5689">
        <v>10040</v>
      </c>
      <c r="G5689" t="s">
        <v>10091</v>
      </c>
      <c r="H5689" t="s">
        <v>10137</v>
      </c>
      <c r="I5689" t="s">
        <v>10168</v>
      </c>
      <c r="J5689" t="s">
        <v>10214</v>
      </c>
      <c r="K5689" t="s">
        <v>10217</v>
      </c>
      <c r="M5689" t="s">
        <v>10286</v>
      </c>
      <c r="N5689" t="s">
        <v>10671</v>
      </c>
      <c r="P5689" t="s">
        <v>10749</v>
      </c>
      <c r="Q5689" t="s">
        <v>10765</v>
      </c>
      <c r="R5689" t="s">
        <v>10820</v>
      </c>
      <c r="T5689">
        <v>15600</v>
      </c>
      <c r="U5689">
        <v>1300</v>
      </c>
      <c r="V5689">
        <v>28</v>
      </c>
      <c r="W5689">
        <v>1</v>
      </c>
      <c r="X5689">
        <v>0</v>
      </c>
      <c r="Z5689">
        <v>124.9</v>
      </c>
      <c r="AA5689">
        <v>40.861892</v>
      </c>
      <c r="AB5689">
        <v>-73.927998</v>
      </c>
      <c r="AD5689" t="s">
        <v>10839</v>
      </c>
      <c r="AG5689" t="s">
        <v>10858</v>
      </c>
      <c r="AH5689" t="s">
        <v>10871</v>
      </c>
      <c r="AI5689">
        <v>234</v>
      </c>
      <c r="AJ5689" t="s">
        <v>10214</v>
      </c>
      <c r="AL5689">
        <v>1</v>
      </c>
      <c r="AM5689" t="s">
        <v>10887</v>
      </c>
      <c r="AN5689" t="s">
        <v>10937</v>
      </c>
      <c r="AO5689" t="s">
        <v>11019</v>
      </c>
      <c r="AP5689" t="s">
        <v>11074</v>
      </c>
      <c r="AR5689" t="s">
        <v>11257</v>
      </c>
      <c r="AS5689" t="s">
        <v>9925</v>
      </c>
      <c r="AT5689" t="s">
        <v>11641</v>
      </c>
      <c r="AX5689" t="s">
        <v>10838</v>
      </c>
      <c r="BA5689" t="s">
        <v>11741</v>
      </c>
      <c r="BB5689">
        <v>0</v>
      </c>
      <c r="BC5689">
        <v>0</v>
      </c>
      <c r="BD5689">
        <v>0</v>
      </c>
      <c r="BE5689">
        <v>0</v>
      </c>
      <c r="BF5689">
        <v>1</v>
      </c>
      <c r="BG5689">
        <v>0</v>
      </c>
    </row>
    <row r="5690" spans="1:59">
      <c r="A5690" s="1">
        <f>HYPERLINK("https://lsnyc.legalserver.org/matter/dynamic-profile/view/1909965","19-1909965")</f>
        <v>0</v>
      </c>
      <c r="C5690" t="s">
        <v>9328</v>
      </c>
      <c r="D5690" t="s">
        <v>9928</v>
      </c>
      <c r="E5690" t="s">
        <v>10075</v>
      </c>
      <c r="F5690">
        <v>11231</v>
      </c>
      <c r="G5690" t="s">
        <v>10093</v>
      </c>
      <c r="H5690" t="s">
        <v>10137</v>
      </c>
      <c r="I5690" t="s">
        <v>10168</v>
      </c>
      <c r="J5690" t="s">
        <v>10213</v>
      </c>
      <c r="K5690" t="s">
        <v>10217</v>
      </c>
      <c r="M5690" t="s">
        <v>10304</v>
      </c>
      <c r="N5690" t="s">
        <v>10664</v>
      </c>
      <c r="P5690" t="s">
        <v>10749</v>
      </c>
      <c r="Q5690" t="s">
        <v>10765</v>
      </c>
      <c r="R5690" t="s">
        <v>10822</v>
      </c>
      <c r="T5690">
        <v>9600</v>
      </c>
      <c r="U5690">
        <v>800</v>
      </c>
      <c r="V5690">
        <v>0</v>
      </c>
      <c r="W5690">
        <v>1</v>
      </c>
      <c r="X5690">
        <v>1</v>
      </c>
      <c r="Z5690">
        <v>56.77</v>
      </c>
      <c r="AA5690">
        <v>40.68201</v>
      </c>
      <c r="AB5690">
        <v>-73.99800500000001</v>
      </c>
      <c r="AD5690" t="s">
        <v>10839</v>
      </c>
      <c r="AG5690" t="s">
        <v>10858</v>
      </c>
      <c r="AH5690" t="s">
        <v>10862</v>
      </c>
      <c r="AI5690">
        <v>239</v>
      </c>
      <c r="AJ5690" t="s">
        <v>10213</v>
      </c>
      <c r="AL5690">
        <v>0.1</v>
      </c>
      <c r="AM5690" t="s">
        <v>10886</v>
      </c>
      <c r="AN5690" t="s">
        <v>10917</v>
      </c>
      <c r="AO5690" t="s">
        <v>11004</v>
      </c>
      <c r="AP5690" t="s">
        <v>11059</v>
      </c>
      <c r="AR5690" t="s">
        <v>11348</v>
      </c>
      <c r="AS5690" t="s">
        <v>11595</v>
      </c>
      <c r="BA5690" t="s">
        <v>11740</v>
      </c>
      <c r="BB5690">
        <v>0</v>
      </c>
      <c r="BC5690">
        <v>0</v>
      </c>
      <c r="BD5690">
        <v>0</v>
      </c>
      <c r="BE5690">
        <v>0</v>
      </c>
      <c r="BF5690">
        <v>2</v>
      </c>
      <c r="BG5690">
        <v>0</v>
      </c>
    </row>
    <row r="5691" spans="1:59">
      <c r="A5691" s="1">
        <f>HYPERLINK("https://lsnyc.legalserver.org/matter/dynamic-profile/view/1909966","19-1909966")</f>
        <v>0</v>
      </c>
      <c r="B5691" t="s">
        <v>4466</v>
      </c>
      <c r="C5691" t="s">
        <v>9329</v>
      </c>
      <c r="D5691" t="s">
        <v>9926</v>
      </c>
      <c r="E5691" t="s">
        <v>10075</v>
      </c>
      <c r="F5691">
        <v>10459</v>
      </c>
      <c r="G5691" t="s">
        <v>10091</v>
      </c>
      <c r="H5691" t="s">
        <v>10137</v>
      </c>
      <c r="I5691" t="s">
        <v>10168</v>
      </c>
      <c r="J5691" t="s">
        <v>10214</v>
      </c>
      <c r="K5691" t="s">
        <v>10217</v>
      </c>
      <c r="M5691" t="s">
        <v>10537</v>
      </c>
      <c r="N5691" t="s">
        <v>10673</v>
      </c>
      <c r="P5691" t="s">
        <v>10753</v>
      </c>
      <c r="Q5691" t="s">
        <v>10763</v>
      </c>
      <c r="R5691" t="s">
        <v>10824</v>
      </c>
      <c r="T5691">
        <v>0</v>
      </c>
      <c r="U5691">
        <v>0</v>
      </c>
      <c r="V5691">
        <v>24</v>
      </c>
      <c r="W5691">
        <v>1</v>
      </c>
      <c r="X5691">
        <v>0</v>
      </c>
      <c r="Z5691">
        <v>0</v>
      </c>
      <c r="AA5691">
        <v>40.830856</v>
      </c>
      <c r="AB5691">
        <v>-73.888217</v>
      </c>
      <c r="AD5691" t="s">
        <v>10840</v>
      </c>
      <c r="AF5691" t="s">
        <v>10842</v>
      </c>
      <c r="AG5691" t="s">
        <v>10859</v>
      </c>
      <c r="AH5691" t="s">
        <v>10861</v>
      </c>
      <c r="AI5691">
        <v>234</v>
      </c>
      <c r="AJ5691" t="s">
        <v>10214</v>
      </c>
      <c r="AL5691">
        <v>1.3</v>
      </c>
      <c r="AM5691" t="s">
        <v>10884</v>
      </c>
      <c r="AN5691" t="s">
        <v>10968</v>
      </c>
      <c r="AO5691" t="s">
        <v>11001</v>
      </c>
      <c r="AP5691" t="s">
        <v>11062</v>
      </c>
      <c r="AR5691" t="s">
        <v>11267</v>
      </c>
      <c r="AS5691" t="s">
        <v>9926</v>
      </c>
      <c r="AT5691" t="s">
        <v>11642</v>
      </c>
      <c r="AX5691" t="s">
        <v>10838</v>
      </c>
      <c r="BA5691" t="s">
        <v>11742</v>
      </c>
      <c r="BB5691">
        <v>0</v>
      </c>
      <c r="BC5691">
        <v>0</v>
      </c>
      <c r="BD5691">
        <v>0</v>
      </c>
      <c r="BE5691">
        <v>0</v>
      </c>
      <c r="BF5691">
        <v>7</v>
      </c>
      <c r="BG5691">
        <v>0</v>
      </c>
    </row>
    <row r="5692" spans="1:59">
      <c r="A5692" s="1">
        <f>HYPERLINK("https://lsnyc.legalserver.org/matter/dynamic-profile/view/1909967","19-1909967")</f>
        <v>0</v>
      </c>
      <c r="B5692" t="s">
        <v>4467</v>
      </c>
      <c r="C5692" t="s">
        <v>9330</v>
      </c>
      <c r="D5692" t="s">
        <v>9928</v>
      </c>
      <c r="E5692" t="s">
        <v>10075</v>
      </c>
      <c r="F5692">
        <v>11229</v>
      </c>
      <c r="G5692" t="s">
        <v>10093</v>
      </c>
      <c r="H5692" t="s">
        <v>10137</v>
      </c>
      <c r="I5692" t="s">
        <v>10171</v>
      </c>
      <c r="J5692" t="s">
        <v>10213</v>
      </c>
      <c r="K5692" t="s">
        <v>10217</v>
      </c>
      <c r="M5692" t="s">
        <v>10405</v>
      </c>
      <c r="N5692" t="s">
        <v>10664</v>
      </c>
      <c r="P5692" t="s">
        <v>10749</v>
      </c>
      <c r="Q5692" t="s">
        <v>10765</v>
      </c>
      <c r="R5692" t="s">
        <v>10822</v>
      </c>
      <c r="T5692">
        <v>10296</v>
      </c>
      <c r="U5692">
        <v>858</v>
      </c>
      <c r="V5692">
        <v>72</v>
      </c>
      <c r="W5692">
        <v>1</v>
      </c>
      <c r="X5692">
        <v>0</v>
      </c>
      <c r="Z5692">
        <v>82.43000000000001</v>
      </c>
      <c r="AA5692">
        <v>40.599567</v>
      </c>
      <c r="AB5692">
        <v>-73.955315</v>
      </c>
      <c r="AD5692" t="s">
        <v>10839</v>
      </c>
      <c r="AG5692" t="s">
        <v>10858</v>
      </c>
      <c r="AH5692" t="s">
        <v>10861</v>
      </c>
      <c r="AI5692">
        <v>239</v>
      </c>
      <c r="AJ5692" t="s">
        <v>10213</v>
      </c>
      <c r="AL5692">
        <v>1.5</v>
      </c>
      <c r="AM5692" t="s">
        <v>10888</v>
      </c>
      <c r="AN5692" t="s">
        <v>10965</v>
      </c>
      <c r="AO5692" t="s">
        <v>11012</v>
      </c>
      <c r="AP5692" t="s">
        <v>11092</v>
      </c>
      <c r="AQ5692" t="s">
        <v>11123</v>
      </c>
      <c r="AR5692" t="s">
        <v>11263</v>
      </c>
      <c r="AS5692" t="s">
        <v>11595</v>
      </c>
      <c r="BA5692" t="s">
        <v>11741</v>
      </c>
      <c r="BB5692">
        <v>0</v>
      </c>
      <c r="BC5692">
        <v>0</v>
      </c>
      <c r="BD5692">
        <v>0</v>
      </c>
      <c r="BE5692">
        <v>0</v>
      </c>
      <c r="BF5692">
        <v>1</v>
      </c>
      <c r="BG5692">
        <v>0</v>
      </c>
    </row>
    <row r="5693" spans="1:59">
      <c r="A5693" s="1">
        <f>HYPERLINK("https://lsnyc.legalserver.org/matter/dynamic-profile/view/1909968","19-1909968")</f>
        <v>0</v>
      </c>
      <c r="B5693" t="s">
        <v>4468</v>
      </c>
      <c r="C5693" t="s">
        <v>9331</v>
      </c>
      <c r="D5693" t="s">
        <v>9925</v>
      </c>
      <c r="E5693" t="s">
        <v>10075</v>
      </c>
      <c r="F5693">
        <v>10029</v>
      </c>
      <c r="G5693" t="s">
        <v>10089</v>
      </c>
      <c r="H5693" t="s">
        <v>10137</v>
      </c>
      <c r="I5693" t="s">
        <v>10168</v>
      </c>
      <c r="J5693" t="s">
        <v>10209</v>
      </c>
      <c r="K5693" t="s">
        <v>10217</v>
      </c>
      <c r="M5693" t="s">
        <v>10459</v>
      </c>
      <c r="N5693" t="s">
        <v>10656</v>
      </c>
      <c r="P5693" t="s">
        <v>10751</v>
      </c>
      <c r="Q5693" t="s">
        <v>10768</v>
      </c>
      <c r="R5693" t="s">
        <v>10821</v>
      </c>
      <c r="T5693">
        <v>12768</v>
      </c>
      <c r="U5693">
        <v>1064</v>
      </c>
      <c r="V5693">
        <v>51</v>
      </c>
      <c r="W5693">
        <v>1</v>
      </c>
      <c r="X5693">
        <v>0</v>
      </c>
      <c r="Z5693">
        <v>102.23</v>
      </c>
      <c r="AA5693">
        <v>40.791094</v>
      </c>
      <c r="AB5693">
        <v>-73.94819099999999</v>
      </c>
      <c r="AC5693" t="s">
        <v>10837</v>
      </c>
      <c r="AD5693" t="s">
        <v>10839</v>
      </c>
      <c r="AG5693" t="s">
        <v>10858</v>
      </c>
      <c r="AH5693" t="s">
        <v>10861</v>
      </c>
      <c r="AI5693">
        <v>234</v>
      </c>
      <c r="AJ5693" t="s">
        <v>10214</v>
      </c>
      <c r="AL5693">
        <v>1</v>
      </c>
      <c r="AR5693" t="s">
        <v>11537</v>
      </c>
      <c r="AS5693" t="s">
        <v>9925</v>
      </c>
      <c r="AT5693" t="s">
        <v>11641</v>
      </c>
      <c r="AX5693" t="s">
        <v>10838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</row>
    <row r="5694" spans="1:59">
      <c r="A5694" s="1">
        <f>HYPERLINK("https://lsnyc.legalserver.org/matter/dynamic-profile/view/1909969","19-1909969")</f>
        <v>0</v>
      </c>
      <c r="B5694" t="s">
        <v>4469</v>
      </c>
      <c r="C5694" t="s">
        <v>6593</v>
      </c>
      <c r="D5694" t="s">
        <v>9925</v>
      </c>
      <c r="E5694" t="s">
        <v>10075</v>
      </c>
      <c r="F5694">
        <v>10027</v>
      </c>
      <c r="G5694" t="s">
        <v>10089</v>
      </c>
      <c r="H5694" t="s">
        <v>10137</v>
      </c>
      <c r="I5694" t="s">
        <v>10168</v>
      </c>
      <c r="J5694" t="s">
        <v>10209</v>
      </c>
      <c r="K5694" t="s">
        <v>10217</v>
      </c>
      <c r="M5694" t="s">
        <v>10636</v>
      </c>
      <c r="N5694" t="s">
        <v>10688</v>
      </c>
      <c r="P5694" t="s">
        <v>10751</v>
      </c>
      <c r="Q5694" t="s">
        <v>10761</v>
      </c>
      <c r="R5694" t="s">
        <v>10824</v>
      </c>
      <c r="T5694">
        <v>0</v>
      </c>
      <c r="U5694">
        <v>0</v>
      </c>
      <c r="V5694">
        <v>31</v>
      </c>
      <c r="W5694">
        <v>5</v>
      </c>
      <c r="X5694">
        <v>1</v>
      </c>
      <c r="Z5694">
        <v>0</v>
      </c>
      <c r="AA5694">
        <v>40.814188</v>
      </c>
      <c r="AB5694">
        <v>-73.947954</v>
      </c>
      <c r="AD5694" t="s">
        <v>10839</v>
      </c>
      <c r="AF5694" t="s">
        <v>10843</v>
      </c>
      <c r="AG5694" t="s">
        <v>10859</v>
      </c>
      <c r="AH5694" t="s">
        <v>10864</v>
      </c>
      <c r="AI5694">
        <v>236</v>
      </c>
      <c r="AJ5694" t="s">
        <v>10209</v>
      </c>
      <c r="AL5694">
        <v>4.1</v>
      </c>
      <c r="AM5694" t="s">
        <v>10887</v>
      </c>
      <c r="AN5694" t="s">
        <v>10936</v>
      </c>
      <c r="AO5694" t="s">
        <v>11016</v>
      </c>
      <c r="AP5694" t="s">
        <v>11076</v>
      </c>
      <c r="AQ5694" t="s">
        <v>11135</v>
      </c>
      <c r="AR5694" t="s">
        <v>11267</v>
      </c>
      <c r="AS5694" t="s">
        <v>9925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</row>
    <row r="5695" spans="1:59">
      <c r="A5695" s="1">
        <f>HYPERLINK("https://lsnyc.legalserver.org/matter/dynamic-profile/view/1909970","19-1909970")</f>
        <v>0</v>
      </c>
      <c r="B5695" t="s">
        <v>4470</v>
      </c>
      <c r="C5695" t="s">
        <v>9332</v>
      </c>
      <c r="D5695" t="s">
        <v>9926</v>
      </c>
      <c r="E5695" t="s">
        <v>10075</v>
      </c>
      <c r="F5695">
        <v>10453</v>
      </c>
      <c r="G5695" t="s">
        <v>10090</v>
      </c>
      <c r="H5695" t="s">
        <v>10137</v>
      </c>
      <c r="I5695" t="s">
        <v>10168</v>
      </c>
      <c r="J5695" t="s">
        <v>10210</v>
      </c>
      <c r="K5695" t="s">
        <v>10217</v>
      </c>
      <c r="M5695" t="s">
        <v>10629</v>
      </c>
      <c r="N5695" t="s">
        <v>10650</v>
      </c>
      <c r="P5695" t="s">
        <v>10749</v>
      </c>
      <c r="Q5695" t="s">
        <v>10765</v>
      </c>
      <c r="R5695" t="s">
        <v>10821</v>
      </c>
      <c r="T5695">
        <v>28340</v>
      </c>
      <c r="U5695">
        <v>2361.67</v>
      </c>
      <c r="V5695">
        <v>37</v>
      </c>
      <c r="W5695">
        <v>2</v>
      </c>
      <c r="X5695">
        <v>2</v>
      </c>
      <c r="Z5695">
        <v>110.06</v>
      </c>
      <c r="AA5695">
        <v>40.854328</v>
      </c>
      <c r="AB5695">
        <v>-73.903809</v>
      </c>
      <c r="AD5695" t="s">
        <v>10839</v>
      </c>
      <c r="AG5695" t="s">
        <v>10858</v>
      </c>
      <c r="AH5695" t="s">
        <v>10861</v>
      </c>
      <c r="AI5695">
        <v>234</v>
      </c>
      <c r="AJ5695" t="s">
        <v>10214</v>
      </c>
      <c r="AL5695">
        <v>0.9</v>
      </c>
      <c r="AM5695" t="s">
        <v>10884</v>
      </c>
      <c r="AN5695" t="s">
        <v>10931</v>
      </c>
      <c r="AO5695" t="s">
        <v>11000</v>
      </c>
      <c r="AP5695" t="s">
        <v>11045</v>
      </c>
      <c r="AR5695" t="s">
        <v>11262</v>
      </c>
      <c r="AS5695" t="s">
        <v>9926</v>
      </c>
      <c r="AT5695" t="s">
        <v>11641</v>
      </c>
      <c r="AX5695" t="s">
        <v>10838</v>
      </c>
      <c r="BA5695" t="s">
        <v>11741</v>
      </c>
      <c r="BB5695">
        <v>0</v>
      </c>
      <c r="BC5695">
        <v>0</v>
      </c>
      <c r="BD5695">
        <v>0</v>
      </c>
      <c r="BE5695">
        <v>0</v>
      </c>
      <c r="BF5695">
        <v>1</v>
      </c>
      <c r="BG5695">
        <v>0</v>
      </c>
    </row>
    <row r="5696" spans="1:59">
      <c r="A5696" s="1">
        <f>HYPERLINK("https://lsnyc.legalserver.org/matter/dynamic-profile/view/1909971","19-1909971")</f>
        <v>0</v>
      </c>
      <c r="B5696" t="s">
        <v>2567</v>
      </c>
      <c r="C5696" t="s">
        <v>9333</v>
      </c>
      <c r="D5696" t="s">
        <v>9926</v>
      </c>
      <c r="E5696" t="s">
        <v>10075</v>
      </c>
      <c r="F5696">
        <v>10462</v>
      </c>
      <c r="G5696" t="s">
        <v>10090</v>
      </c>
      <c r="H5696" t="s">
        <v>10137</v>
      </c>
      <c r="I5696" t="s">
        <v>10168</v>
      </c>
      <c r="J5696" t="s">
        <v>10210</v>
      </c>
      <c r="K5696" t="s">
        <v>10217</v>
      </c>
      <c r="M5696" t="s">
        <v>10525</v>
      </c>
      <c r="N5696" t="s">
        <v>10651</v>
      </c>
      <c r="P5696" t="s">
        <v>10749</v>
      </c>
      <c r="Q5696" t="s">
        <v>10765</v>
      </c>
      <c r="R5696" t="s">
        <v>10821</v>
      </c>
      <c r="T5696">
        <v>43756</v>
      </c>
      <c r="U5696">
        <v>3646.33</v>
      </c>
      <c r="V5696">
        <v>48</v>
      </c>
      <c r="W5696">
        <v>4</v>
      </c>
      <c r="X5696">
        <v>0</v>
      </c>
      <c r="Z5696">
        <v>169.93</v>
      </c>
      <c r="AA5696">
        <v>40.852672</v>
      </c>
      <c r="AB5696">
        <v>-73.860332</v>
      </c>
      <c r="AC5696" t="s">
        <v>10837</v>
      </c>
      <c r="AD5696" t="s">
        <v>10840</v>
      </c>
      <c r="AG5696" t="s">
        <v>10858</v>
      </c>
      <c r="AH5696" t="s">
        <v>10861</v>
      </c>
      <c r="AI5696">
        <v>230</v>
      </c>
      <c r="AJ5696" t="s">
        <v>10210</v>
      </c>
      <c r="AL5696">
        <v>1.45</v>
      </c>
      <c r="AM5696" t="s">
        <v>10885</v>
      </c>
      <c r="AN5696" t="s">
        <v>10938</v>
      </c>
      <c r="AO5696" t="s">
        <v>11002</v>
      </c>
      <c r="AP5696" t="s">
        <v>11049</v>
      </c>
      <c r="AR5696" t="s">
        <v>11572</v>
      </c>
      <c r="AS5696" t="s">
        <v>9926</v>
      </c>
      <c r="AT5696" t="s">
        <v>11642</v>
      </c>
      <c r="AX5696" t="s">
        <v>10838</v>
      </c>
      <c r="BA5696" t="s">
        <v>11738</v>
      </c>
      <c r="BB5696">
        <v>0</v>
      </c>
      <c r="BC5696">
        <v>0</v>
      </c>
      <c r="BD5696">
        <v>0</v>
      </c>
      <c r="BE5696">
        <v>0</v>
      </c>
      <c r="BF5696">
        <v>5</v>
      </c>
      <c r="BG5696">
        <v>0</v>
      </c>
    </row>
    <row r="5697" spans="1:59">
      <c r="A5697" s="1">
        <f>HYPERLINK("https://lsnyc.legalserver.org/matter/dynamic-profile/view/1909972","19-1909972")</f>
        <v>0</v>
      </c>
      <c r="B5697" t="s">
        <v>4471</v>
      </c>
      <c r="C5697" t="s">
        <v>9334</v>
      </c>
      <c r="D5697" t="s">
        <v>9926</v>
      </c>
      <c r="E5697" t="s">
        <v>10075</v>
      </c>
      <c r="F5697">
        <v>10462</v>
      </c>
      <c r="G5697" t="s">
        <v>10090</v>
      </c>
      <c r="H5697" t="s">
        <v>10137</v>
      </c>
      <c r="I5697" t="s">
        <v>10169</v>
      </c>
      <c r="J5697" t="s">
        <v>10210</v>
      </c>
      <c r="K5697" t="s">
        <v>10217</v>
      </c>
      <c r="M5697" t="s">
        <v>10593</v>
      </c>
      <c r="N5697" t="s">
        <v>10677</v>
      </c>
      <c r="P5697" t="s">
        <v>10757</v>
      </c>
      <c r="Q5697" t="s">
        <v>10789</v>
      </c>
      <c r="R5697" t="s">
        <v>10821</v>
      </c>
      <c r="T5697">
        <v>11412</v>
      </c>
      <c r="U5697">
        <v>951</v>
      </c>
      <c r="V5697">
        <v>87</v>
      </c>
      <c r="W5697">
        <v>1</v>
      </c>
      <c r="X5697">
        <v>0</v>
      </c>
      <c r="Z5697">
        <v>91.37</v>
      </c>
      <c r="AA5697">
        <v>40.834969</v>
      </c>
      <c r="AB5697">
        <v>-73.862684</v>
      </c>
      <c r="AD5697" t="s">
        <v>10839</v>
      </c>
      <c r="AG5697" t="s">
        <v>10858</v>
      </c>
      <c r="AH5697" t="s">
        <v>10871</v>
      </c>
      <c r="AI5697">
        <v>234</v>
      </c>
      <c r="AJ5697" t="s">
        <v>10214</v>
      </c>
      <c r="AL5697">
        <v>3.5</v>
      </c>
      <c r="AM5697" t="s">
        <v>10884</v>
      </c>
      <c r="AN5697" t="s">
        <v>10908</v>
      </c>
      <c r="AO5697" t="s">
        <v>11000</v>
      </c>
      <c r="AP5697" t="s">
        <v>11046</v>
      </c>
      <c r="AR5697" t="s">
        <v>11316</v>
      </c>
      <c r="AS5697" t="s">
        <v>9926</v>
      </c>
      <c r="AT5697" t="s">
        <v>11641</v>
      </c>
      <c r="AX5697" t="s">
        <v>10838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</row>
    <row r="5698" spans="1:59">
      <c r="A5698" s="1">
        <f>HYPERLINK("https://lsnyc.legalserver.org/matter/dynamic-profile/view/1909973","19-1909973")</f>
        <v>0</v>
      </c>
      <c r="B5698" t="s">
        <v>4472</v>
      </c>
      <c r="C5698" t="s">
        <v>9335</v>
      </c>
      <c r="D5698" t="s">
        <v>9938</v>
      </c>
      <c r="E5698" t="s">
        <v>10075</v>
      </c>
      <c r="F5698">
        <v>11434</v>
      </c>
      <c r="G5698" t="s">
        <v>10092</v>
      </c>
      <c r="H5698" t="s">
        <v>10137</v>
      </c>
      <c r="I5698" t="s">
        <v>10168</v>
      </c>
      <c r="J5698" t="s">
        <v>10212</v>
      </c>
      <c r="K5698" t="s">
        <v>10217</v>
      </c>
      <c r="M5698" t="s">
        <v>10491</v>
      </c>
      <c r="N5698" t="s">
        <v>10693</v>
      </c>
      <c r="P5698" t="s">
        <v>10749</v>
      </c>
      <c r="Q5698" t="s">
        <v>10765</v>
      </c>
      <c r="R5698" t="s">
        <v>10824</v>
      </c>
      <c r="T5698">
        <v>63000</v>
      </c>
      <c r="U5698">
        <v>5250</v>
      </c>
      <c r="V5698">
        <v>45</v>
      </c>
      <c r="W5698">
        <v>3</v>
      </c>
      <c r="X5698">
        <v>0</v>
      </c>
      <c r="Z5698">
        <v>295.36</v>
      </c>
      <c r="AA5698">
        <v>40.676944</v>
      </c>
      <c r="AB5698">
        <v>-73.771343</v>
      </c>
      <c r="AD5698" t="s">
        <v>10839</v>
      </c>
      <c r="AG5698" t="s">
        <v>10858</v>
      </c>
      <c r="AH5698" t="s">
        <v>10862</v>
      </c>
      <c r="AI5698">
        <v>237</v>
      </c>
      <c r="AJ5698" t="s">
        <v>10212</v>
      </c>
      <c r="AL5698">
        <v>0</v>
      </c>
      <c r="AM5698" t="s">
        <v>10892</v>
      </c>
      <c r="AN5698" t="s">
        <v>10951</v>
      </c>
      <c r="AO5698" t="s">
        <v>11017</v>
      </c>
      <c r="AP5698" t="s">
        <v>11070</v>
      </c>
      <c r="AR5698" t="s">
        <v>11257</v>
      </c>
      <c r="AS5698" t="s">
        <v>11594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</row>
    <row r="5699" spans="1:59">
      <c r="A5699" s="1">
        <f>HYPERLINK("https://lsnyc.legalserver.org/matter/dynamic-profile/view/1909974","19-1909974")</f>
        <v>0</v>
      </c>
      <c r="B5699" t="s">
        <v>4473</v>
      </c>
      <c r="C5699" t="s">
        <v>9336</v>
      </c>
      <c r="D5699" t="s">
        <v>9928</v>
      </c>
      <c r="E5699" t="s">
        <v>10075</v>
      </c>
      <c r="F5699">
        <v>11225</v>
      </c>
      <c r="G5699" t="s">
        <v>10093</v>
      </c>
      <c r="H5699" t="s">
        <v>10101</v>
      </c>
      <c r="J5699" t="s">
        <v>10213</v>
      </c>
      <c r="K5699" t="s">
        <v>10217</v>
      </c>
      <c r="M5699" t="s">
        <v>10317</v>
      </c>
      <c r="N5699" t="s">
        <v>10698</v>
      </c>
      <c r="P5699" t="s">
        <v>10757</v>
      </c>
      <c r="Q5699" t="s">
        <v>10789</v>
      </c>
      <c r="R5699" t="s">
        <v>10824</v>
      </c>
      <c r="T5699">
        <v>9252</v>
      </c>
      <c r="U5699">
        <v>771</v>
      </c>
      <c r="V5699">
        <v>56</v>
      </c>
      <c r="W5699">
        <v>1</v>
      </c>
      <c r="X5699">
        <v>0</v>
      </c>
      <c r="Z5699">
        <v>74.08</v>
      </c>
      <c r="AA5699">
        <v>40.666447</v>
      </c>
      <c r="AB5699">
        <v>-73.955764</v>
      </c>
      <c r="AD5699" t="s">
        <v>10822</v>
      </c>
      <c r="AG5699" t="s">
        <v>10858</v>
      </c>
      <c r="AH5699" t="s">
        <v>10868</v>
      </c>
      <c r="AI5699">
        <v>239</v>
      </c>
      <c r="AJ5699" t="s">
        <v>10213</v>
      </c>
      <c r="AL5699">
        <v>1.25</v>
      </c>
      <c r="AM5699" t="s">
        <v>10888</v>
      </c>
      <c r="AN5699" t="s">
        <v>10923</v>
      </c>
      <c r="AO5699" t="s">
        <v>11005</v>
      </c>
      <c r="AP5699" t="s">
        <v>11061</v>
      </c>
      <c r="AR5699" t="s">
        <v>11274</v>
      </c>
      <c r="AS5699" t="s">
        <v>11595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</row>
    <row r="5700" spans="1:59">
      <c r="A5700" s="1">
        <f>HYPERLINK("https://lsnyc.legalserver.org/matter/dynamic-profile/view/1909975","19-1909975")</f>
        <v>0</v>
      </c>
      <c r="B5700" t="s">
        <v>924</v>
      </c>
      <c r="C5700" t="s">
        <v>8277</v>
      </c>
      <c r="D5700" t="s">
        <v>9925</v>
      </c>
      <c r="E5700" t="s">
        <v>10075</v>
      </c>
      <c r="F5700">
        <v>10028</v>
      </c>
      <c r="G5700" t="s">
        <v>10089</v>
      </c>
      <c r="H5700" t="s">
        <v>10137</v>
      </c>
      <c r="I5700" t="s">
        <v>10168</v>
      </c>
      <c r="J5700" t="s">
        <v>10209</v>
      </c>
      <c r="K5700" t="s">
        <v>10217</v>
      </c>
      <c r="M5700" t="s">
        <v>10490</v>
      </c>
      <c r="N5700" t="s">
        <v>10718</v>
      </c>
      <c r="P5700" t="s">
        <v>10752</v>
      </c>
      <c r="Q5700" t="s">
        <v>10783</v>
      </c>
      <c r="R5700" t="s">
        <v>10820</v>
      </c>
      <c r="T5700">
        <v>26600</v>
      </c>
      <c r="U5700">
        <v>2216.67</v>
      </c>
      <c r="V5700">
        <v>81</v>
      </c>
      <c r="W5700">
        <v>1</v>
      </c>
      <c r="X5700">
        <v>0</v>
      </c>
      <c r="Z5700">
        <v>212.97</v>
      </c>
      <c r="AA5700">
        <v>40.77533</v>
      </c>
      <c r="AB5700">
        <v>-73.95093</v>
      </c>
      <c r="AC5700" t="s">
        <v>10837</v>
      </c>
      <c r="AD5700" t="s">
        <v>10840</v>
      </c>
      <c r="AG5700" t="s">
        <v>10858</v>
      </c>
      <c r="AH5700" t="s">
        <v>10867</v>
      </c>
      <c r="AI5700">
        <v>236</v>
      </c>
      <c r="AJ5700" t="s">
        <v>10209</v>
      </c>
      <c r="AL5700">
        <v>1.1</v>
      </c>
      <c r="AM5700" t="s">
        <v>10891</v>
      </c>
      <c r="AN5700" t="s">
        <v>10971</v>
      </c>
      <c r="AO5700" t="s">
        <v>11026</v>
      </c>
      <c r="AP5700" t="s">
        <v>11094</v>
      </c>
      <c r="AR5700" t="s">
        <v>11499</v>
      </c>
      <c r="AS5700" t="s">
        <v>9925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</row>
    <row r="5701" spans="1:59">
      <c r="A5701" s="1">
        <f>HYPERLINK("https://lsnyc.legalserver.org/matter/dynamic-profile/view/1909976","19-1909976")</f>
        <v>0</v>
      </c>
      <c r="B5701" t="s">
        <v>2567</v>
      </c>
      <c r="C5701" t="s">
        <v>9333</v>
      </c>
      <c r="D5701" t="s">
        <v>9926</v>
      </c>
      <c r="E5701" t="s">
        <v>10075</v>
      </c>
      <c r="F5701">
        <v>10462</v>
      </c>
      <c r="G5701" t="s">
        <v>10090</v>
      </c>
      <c r="H5701" t="s">
        <v>10137</v>
      </c>
      <c r="I5701" t="s">
        <v>10168</v>
      </c>
      <c r="J5701" t="s">
        <v>10210</v>
      </c>
      <c r="K5701" t="s">
        <v>10217</v>
      </c>
      <c r="M5701" t="s">
        <v>10525</v>
      </c>
      <c r="N5701" t="s">
        <v>10688</v>
      </c>
      <c r="P5701" t="s">
        <v>10751</v>
      </c>
      <c r="Q5701" t="s">
        <v>10761</v>
      </c>
      <c r="R5701" t="s">
        <v>10821</v>
      </c>
      <c r="T5701">
        <v>43756</v>
      </c>
      <c r="U5701">
        <v>3646.33</v>
      </c>
      <c r="V5701">
        <v>48</v>
      </c>
      <c r="W5701">
        <v>4</v>
      </c>
      <c r="X5701">
        <v>0</v>
      </c>
      <c r="Z5701">
        <v>169.93</v>
      </c>
      <c r="AA5701">
        <v>40.852672</v>
      </c>
      <c r="AB5701">
        <v>-73.860332</v>
      </c>
      <c r="AD5701" t="s">
        <v>10840</v>
      </c>
      <c r="AG5701" t="s">
        <v>10858</v>
      </c>
      <c r="AH5701" t="s">
        <v>10861</v>
      </c>
      <c r="AI5701">
        <v>230</v>
      </c>
      <c r="AJ5701" t="s">
        <v>10210</v>
      </c>
      <c r="AL5701">
        <v>0</v>
      </c>
      <c r="AR5701" t="s">
        <v>11572</v>
      </c>
      <c r="AS5701" t="s">
        <v>9926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</row>
    <row r="5702" spans="1:59">
      <c r="A5702" s="1">
        <f>HYPERLINK("https://lsnyc.legalserver.org/matter/dynamic-profile/view/1909977","19-1909977")</f>
        <v>0</v>
      </c>
      <c r="B5702" t="s">
        <v>924</v>
      </c>
      <c r="C5702" t="s">
        <v>8277</v>
      </c>
      <c r="D5702" t="s">
        <v>9925</v>
      </c>
      <c r="E5702" t="s">
        <v>10075</v>
      </c>
      <c r="F5702">
        <v>10028</v>
      </c>
      <c r="G5702" t="s">
        <v>10089</v>
      </c>
      <c r="H5702" t="s">
        <v>10137</v>
      </c>
      <c r="I5702" t="s">
        <v>10168</v>
      </c>
      <c r="J5702" t="s">
        <v>10209</v>
      </c>
      <c r="K5702" t="s">
        <v>10217</v>
      </c>
      <c r="M5702" t="s">
        <v>10490</v>
      </c>
      <c r="N5702" t="s">
        <v>10718</v>
      </c>
      <c r="P5702" t="s">
        <v>10752</v>
      </c>
      <c r="Q5702" t="s">
        <v>10783</v>
      </c>
      <c r="R5702" t="s">
        <v>10820</v>
      </c>
      <c r="T5702">
        <v>26600</v>
      </c>
      <c r="U5702">
        <v>2216.67</v>
      </c>
      <c r="V5702">
        <v>81</v>
      </c>
      <c r="W5702">
        <v>1</v>
      </c>
      <c r="X5702">
        <v>0</v>
      </c>
      <c r="Z5702">
        <v>212.97</v>
      </c>
      <c r="AA5702">
        <v>40.77533</v>
      </c>
      <c r="AB5702">
        <v>-73.95093</v>
      </c>
      <c r="AC5702" t="s">
        <v>10837</v>
      </c>
      <c r="AD5702" t="s">
        <v>10840</v>
      </c>
      <c r="AG5702" t="s">
        <v>10858</v>
      </c>
      <c r="AH5702" t="s">
        <v>10867</v>
      </c>
      <c r="AI5702">
        <v>236</v>
      </c>
      <c r="AJ5702" t="s">
        <v>10209</v>
      </c>
      <c r="AL5702">
        <v>1.25</v>
      </c>
      <c r="AM5702" t="s">
        <v>10891</v>
      </c>
      <c r="AN5702" t="s">
        <v>10971</v>
      </c>
      <c r="AO5702" t="s">
        <v>11026</v>
      </c>
      <c r="AP5702" t="s">
        <v>11094</v>
      </c>
      <c r="AR5702" t="s">
        <v>11499</v>
      </c>
      <c r="AS5702" t="s">
        <v>9925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</row>
    <row r="5703" spans="1:59">
      <c r="A5703" s="1">
        <f>HYPERLINK("https://lsnyc.legalserver.org/matter/dynamic-profile/view/1909978","19-1909978")</f>
        <v>0</v>
      </c>
      <c r="B5703" t="s">
        <v>924</v>
      </c>
      <c r="C5703" t="s">
        <v>8277</v>
      </c>
      <c r="D5703" t="s">
        <v>9925</v>
      </c>
      <c r="E5703" t="s">
        <v>10075</v>
      </c>
      <c r="F5703">
        <v>10028</v>
      </c>
      <c r="G5703" t="s">
        <v>10089</v>
      </c>
      <c r="H5703" t="s">
        <v>10137</v>
      </c>
      <c r="I5703" t="s">
        <v>10168</v>
      </c>
      <c r="J5703" t="s">
        <v>10209</v>
      </c>
      <c r="K5703" t="s">
        <v>10217</v>
      </c>
      <c r="M5703" t="s">
        <v>10490</v>
      </c>
      <c r="N5703" t="s">
        <v>10718</v>
      </c>
      <c r="P5703" t="s">
        <v>10752</v>
      </c>
      <c r="Q5703" t="s">
        <v>10783</v>
      </c>
      <c r="R5703" t="s">
        <v>10820</v>
      </c>
      <c r="T5703">
        <v>26600</v>
      </c>
      <c r="U5703">
        <v>2216.67</v>
      </c>
      <c r="V5703">
        <v>81</v>
      </c>
      <c r="W5703">
        <v>1</v>
      </c>
      <c r="X5703">
        <v>0</v>
      </c>
      <c r="Z5703">
        <v>212.97</v>
      </c>
      <c r="AA5703">
        <v>40.77533</v>
      </c>
      <c r="AB5703">
        <v>-73.95093</v>
      </c>
      <c r="AC5703" t="s">
        <v>10837</v>
      </c>
      <c r="AD5703" t="s">
        <v>10840</v>
      </c>
      <c r="AG5703" t="s">
        <v>10858</v>
      </c>
      <c r="AH5703" t="s">
        <v>10867</v>
      </c>
      <c r="AI5703">
        <v>236</v>
      </c>
      <c r="AJ5703" t="s">
        <v>10209</v>
      </c>
      <c r="AL5703">
        <v>1.25</v>
      </c>
      <c r="AM5703" t="s">
        <v>10891</v>
      </c>
      <c r="AN5703" t="s">
        <v>10971</v>
      </c>
      <c r="AO5703" t="s">
        <v>11026</v>
      </c>
      <c r="AP5703" t="s">
        <v>11094</v>
      </c>
      <c r="AR5703" t="s">
        <v>11499</v>
      </c>
      <c r="AS5703" t="s">
        <v>9925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</row>
    <row r="5704" spans="1:59">
      <c r="A5704" s="1">
        <f>HYPERLINK("https://lsnyc.legalserver.org/matter/dynamic-profile/view/1909979","19-1909979")</f>
        <v>0</v>
      </c>
      <c r="B5704" t="s">
        <v>4474</v>
      </c>
      <c r="C5704" t="s">
        <v>5811</v>
      </c>
      <c r="D5704" t="s">
        <v>9925</v>
      </c>
      <c r="E5704" t="s">
        <v>10075</v>
      </c>
      <c r="F5704">
        <v>10002</v>
      </c>
      <c r="G5704" t="s">
        <v>10089</v>
      </c>
      <c r="H5704" t="s">
        <v>10137</v>
      </c>
      <c r="I5704" t="s">
        <v>10168</v>
      </c>
      <c r="J5704" t="s">
        <v>10209</v>
      </c>
      <c r="K5704" t="s">
        <v>10217</v>
      </c>
      <c r="M5704" t="s">
        <v>10379</v>
      </c>
      <c r="N5704" t="s">
        <v>10703</v>
      </c>
      <c r="P5704" t="s">
        <v>10749</v>
      </c>
      <c r="Q5704" t="s">
        <v>10765</v>
      </c>
      <c r="R5704" t="s">
        <v>10823</v>
      </c>
      <c r="T5704">
        <v>9252</v>
      </c>
      <c r="U5704">
        <v>771</v>
      </c>
      <c r="V5704">
        <v>32</v>
      </c>
      <c r="W5704">
        <v>1</v>
      </c>
      <c r="X5704">
        <v>0</v>
      </c>
      <c r="Z5704">
        <v>74.08</v>
      </c>
      <c r="AA5704">
        <v>40.715577</v>
      </c>
      <c r="AB5704">
        <v>-73.98443399999999</v>
      </c>
      <c r="AD5704" t="s">
        <v>10840</v>
      </c>
      <c r="AG5704" t="s">
        <v>10858</v>
      </c>
      <c r="AH5704" t="s">
        <v>10862</v>
      </c>
      <c r="AI5704">
        <v>236</v>
      </c>
      <c r="AJ5704" t="s">
        <v>10209</v>
      </c>
      <c r="AL5704">
        <v>13</v>
      </c>
      <c r="AM5704" t="s">
        <v>10891</v>
      </c>
      <c r="AN5704" t="s">
        <v>10963</v>
      </c>
      <c r="AO5704" t="s">
        <v>11004</v>
      </c>
      <c r="AP5704" t="s">
        <v>11093</v>
      </c>
      <c r="AR5704" t="s">
        <v>11263</v>
      </c>
      <c r="AS5704" t="s">
        <v>9925</v>
      </c>
      <c r="BA5704" t="s">
        <v>11738</v>
      </c>
      <c r="BB5704">
        <v>0</v>
      </c>
      <c r="BC5704">
        <v>0</v>
      </c>
      <c r="BD5704">
        <v>0</v>
      </c>
      <c r="BE5704">
        <v>0</v>
      </c>
      <c r="BF5704">
        <v>5</v>
      </c>
      <c r="BG5704">
        <v>0</v>
      </c>
    </row>
    <row r="5705" spans="1:59">
      <c r="A5705" s="1">
        <f>HYPERLINK("https://lsnyc.legalserver.org/matter/dynamic-profile/view/1909980","19-1909980")</f>
        <v>0</v>
      </c>
      <c r="B5705" t="s">
        <v>4475</v>
      </c>
      <c r="C5705" t="s">
        <v>9337</v>
      </c>
      <c r="D5705" t="s">
        <v>9926</v>
      </c>
      <c r="E5705" t="s">
        <v>10075</v>
      </c>
      <c r="F5705">
        <v>10460</v>
      </c>
      <c r="G5705" t="s">
        <v>10090</v>
      </c>
      <c r="H5705" t="s">
        <v>10137</v>
      </c>
      <c r="I5705" t="s">
        <v>10168</v>
      </c>
      <c r="J5705" t="s">
        <v>10210</v>
      </c>
      <c r="K5705" t="s">
        <v>10217</v>
      </c>
      <c r="M5705" t="s">
        <v>10336</v>
      </c>
      <c r="N5705" t="s">
        <v>10671</v>
      </c>
      <c r="P5705" t="s">
        <v>10754</v>
      </c>
      <c r="Q5705" t="s">
        <v>10771</v>
      </c>
      <c r="R5705" t="s">
        <v>10821</v>
      </c>
      <c r="T5705">
        <v>15082</v>
      </c>
      <c r="U5705">
        <v>1256.83</v>
      </c>
      <c r="V5705">
        <v>52</v>
      </c>
      <c r="W5705">
        <v>2</v>
      </c>
      <c r="X5705">
        <v>1</v>
      </c>
      <c r="Z5705">
        <v>70.70999999999999</v>
      </c>
      <c r="AA5705">
        <v>40.840361</v>
      </c>
      <c r="AB5705">
        <v>-73.881502</v>
      </c>
      <c r="AD5705" t="s">
        <v>10839</v>
      </c>
      <c r="AG5705" t="s">
        <v>10858</v>
      </c>
      <c r="AH5705" t="s">
        <v>10875</v>
      </c>
      <c r="AI5705">
        <v>234</v>
      </c>
      <c r="AJ5705" t="s">
        <v>10214</v>
      </c>
      <c r="AL5705">
        <v>0.9</v>
      </c>
      <c r="AM5705" t="s">
        <v>10884</v>
      </c>
      <c r="AN5705" t="s">
        <v>10908</v>
      </c>
      <c r="AO5705" t="s">
        <v>11001</v>
      </c>
      <c r="AP5705" t="s">
        <v>11062</v>
      </c>
      <c r="AR5705" t="s">
        <v>11315</v>
      </c>
      <c r="AS5705" t="s">
        <v>9926</v>
      </c>
      <c r="AT5705" t="s">
        <v>11641</v>
      </c>
      <c r="AX5705" t="s">
        <v>10838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</row>
    <row r="5706" spans="1:59">
      <c r="A5706" s="1">
        <f>HYPERLINK("https://lsnyc.legalserver.org/matter/dynamic-profile/view/1909981","19-1909981")</f>
        <v>0</v>
      </c>
      <c r="B5706" t="s">
        <v>4476</v>
      </c>
      <c r="C5706" t="s">
        <v>9338</v>
      </c>
      <c r="D5706" t="s">
        <v>9929</v>
      </c>
      <c r="E5706" t="s">
        <v>10075</v>
      </c>
      <c r="F5706">
        <v>10303</v>
      </c>
      <c r="G5706" t="s">
        <v>10088</v>
      </c>
      <c r="H5706" t="s">
        <v>10137</v>
      </c>
      <c r="I5706" t="s">
        <v>10169</v>
      </c>
      <c r="J5706" t="s">
        <v>10208</v>
      </c>
      <c r="K5706" t="s">
        <v>10217</v>
      </c>
      <c r="M5706" t="s">
        <v>10409</v>
      </c>
      <c r="N5706" t="s">
        <v>10649</v>
      </c>
      <c r="P5706" t="s">
        <v>10753</v>
      </c>
      <c r="Q5706" t="s">
        <v>10763</v>
      </c>
      <c r="R5706" t="s">
        <v>10821</v>
      </c>
      <c r="T5706">
        <v>52000</v>
      </c>
      <c r="U5706">
        <v>4333.33</v>
      </c>
      <c r="V5706">
        <v>17</v>
      </c>
      <c r="W5706">
        <v>2</v>
      </c>
      <c r="X5706">
        <v>1</v>
      </c>
      <c r="Z5706">
        <v>243.79</v>
      </c>
      <c r="AA5706">
        <v>40.63564</v>
      </c>
      <c r="AB5706">
        <v>-74.167737</v>
      </c>
      <c r="AD5706" t="s">
        <v>10839</v>
      </c>
      <c r="AF5706" t="s">
        <v>10844</v>
      </c>
      <c r="AG5706" t="s">
        <v>10859</v>
      </c>
      <c r="AH5706" t="s">
        <v>10861</v>
      </c>
      <c r="AI5706">
        <v>285</v>
      </c>
      <c r="AJ5706" t="s">
        <v>10208</v>
      </c>
      <c r="AL5706">
        <v>3</v>
      </c>
      <c r="AM5706" t="s">
        <v>10883</v>
      </c>
      <c r="AN5706" t="s">
        <v>10928</v>
      </c>
      <c r="AO5706" t="s">
        <v>11006</v>
      </c>
      <c r="AP5706" t="s">
        <v>11051</v>
      </c>
      <c r="AR5706" t="s">
        <v>11257</v>
      </c>
      <c r="AS5706" t="s">
        <v>11593</v>
      </c>
      <c r="AT5706" t="s">
        <v>11641</v>
      </c>
      <c r="AX5706" t="s">
        <v>10838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</row>
    <row r="5707" spans="1:59">
      <c r="A5707" s="1">
        <f>HYPERLINK("https://lsnyc.legalserver.org/matter/dynamic-profile/view/1909982","19-1909982")</f>
        <v>0</v>
      </c>
      <c r="B5707" t="s">
        <v>4477</v>
      </c>
      <c r="C5707" t="s">
        <v>9339</v>
      </c>
      <c r="D5707" t="s">
        <v>9926</v>
      </c>
      <c r="E5707" t="s">
        <v>10075</v>
      </c>
      <c r="F5707">
        <v>10457</v>
      </c>
      <c r="G5707" t="s">
        <v>10090</v>
      </c>
      <c r="H5707" t="s">
        <v>10137</v>
      </c>
      <c r="I5707" t="s">
        <v>10168</v>
      </c>
      <c r="J5707" t="s">
        <v>10210</v>
      </c>
      <c r="K5707" t="s">
        <v>10217</v>
      </c>
      <c r="M5707" t="s">
        <v>10271</v>
      </c>
      <c r="N5707" t="s">
        <v>10651</v>
      </c>
      <c r="P5707" t="s">
        <v>10749</v>
      </c>
      <c r="Q5707" t="s">
        <v>10765</v>
      </c>
      <c r="R5707" t="s">
        <v>10824</v>
      </c>
      <c r="T5707">
        <v>10864</v>
      </c>
      <c r="U5707">
        <v>905.33</v>
      </c>
      <c r="V5707">
        <v>27</v>
      </c>
      <c r="W5707">
        <v>1</v>
      </c>
      <c r="X5707">
        <v>1</v>
      </c>
      <c r="Z5707">
        <v>64.25</v>
      </c>
      <c r="AA5707">
        <v>40.845219</v>
      </c>
      <c r="AB5707">
        <v>-73.904521</v>
      </c>
      <c r="AD5707" t="s">
        <v>10839</v>
      </c>
      <c r="AG5707" t="s">
        <v>10858</v>
      </c>
      <c r="AH5707" t="s">
        <v>10862</v>
      </c>
      <c r="AI5707">
        <v>230</v>
      </c>
      <c r="AJ5707" t="s">
        <v>10210</v>
      </c>
      <c r="AL5707">
        <v>7.05</v>
      </c>
      <c r="AM5707" t="s">
        <v>10884</v>
      </c>
      <c r="AN5707" t="s">
        <v>10931</v>
      </c>
      <c r="AO5707" t="s">
        <v>11000</v>
      </c>
      <c r="AP5707" t="s">
        <v>11056</v>
      </c>
      <c r="AR5707" t="s">
        <v>11257</v>
      </c>
      <c r="AS5707" t="s">
        <v>9926</v>
      </c>
      <c r="BA5707" t="s">
        <v>11738</v>
      </c>
      <c r="BB5707">
        <v>0</v>
      </c>
      <c r="BC5707">
        <v>0</v>
      </c>
      <c r="BD5707">
        <v>0</v>
      </c>
      <c r="BE5707">
        <v>0</v>
      </c>
      <c r="BF5707">
        <v>5</v>
      </c>
      <c r="BG5707">
        <v>0</v>
      </c>
    </row>
    <row r="5708" spans="1:59">
      <c r="A5708" s="1">
        <f>HYPERLINK("https://lsnyc.legalserver.org/matter/dynamic-profile/view/1909983","19-1909983")</f>
        <v>0</v>
      </c>
      <c r="B5708" t="s">
        <v>1610</v>
      </c>
      <c r="C5708" t="s">
        <v>6418</v>
      </c>
      <c r="D5708" t="s">
        <v>9926</v>
      </c>
      <c r="E5708" t="s">
        <v>10075</v>
      </c>
      <c r="F5708">
        <v>10452</v>
      </c>
      <c r="G5708" t="s">
        <v>10090</v>
      </c>
      <c r="H5708" t="s">
        <v>10137</v>
      </c>
      <c r="I5708" t="s">
        <v>10168</v>
      </c>
      <c r="J5708" t="s">
        <v>10210</v>
      </c>
      <c r="K5708" t="s">
        <v>10217</v>
      </c>
      <c r="M5708" t="s">
        <v>10401</v>
      </c>
      <c r="N5708" t="s">
        <v>10677</v>
      </c>
      <c r="P5708" t="s">
        <v>10757</v>
      </c>
      <c r="Q5708" t="s">
        <v>10808</v>
      </c>
      <c r="R5708" t="s">
        <v>10824</v>
      </c>
      <c r="T5708">
        <v>13728</v>
      </c>
      <c r="U5708">
        <v>1144</v>
      </c>
      <c r="V5708">
        <v>71</v>
      </c>
      <c r="W5708">
        <v>1</v>
      </c>
      <c r="X5708">
        <v>0</v>
      </c>
      <c r="Z5708">
        <v>109.91</v>
      </c>
      <c r="AA5708">
        <v>40.82923</v>
      </c>
      <c r="AB5708">
        <v>-73.923169</v>
      </c>
      <c r="AD5708" t="s">
        <v>10839</v>
      </c>
      <c r="AG5708" t="s">
        <v>10858</v>
      </c>
      <c r="AH5708" t="s">
        <v>10874</v>
      </c>
      <c r="AI5708">
        <v>230</v>
      </c>
      <c r="AJ5708" t="s">
        <v>10210</v>
      </c>
      <c r="AL5708">
        <v>0.5</v>
      </c>
      <c r="AQ5708" t="s">
        <v>11250</v>
      </c>
      <c r="AR5708" t="s">
        <v>11300</v>
      </c>
      <c r="AS5708" t="s">
        <v>9926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</row>
    <row r="5709" spans="1:59">
      <c r="A5709" s="1">
        <f>HYPERLINK("https://lsnyc.legalserver.org/matter/dynamic-profile/view/1909985","19-1909985")</f>
        <v>0</v>
      </c>
      <c r="B5709" t="s">
        <v>4478</v>
      </c>
      <c r="C5709" t="s">
        <v>9340</v>
      </c>
      <c r="D5709" t="s">
        <v>9925</v>
      </c>
      <c r="E5709" t="s">
        <v>10075</v>
      </c>
      <c r="F5709">
        <v>10025</v>
      </c>
      <c r="G5709" t="s">
        <v>10089</v>
      </c>
      <c r="H5709" t="s">
        <v>10137</v>
      </c>
      <c r="I5709" t="s">
        <v>10168</v>
      </c>
      <c r="J5709" t="s">
        <v>10209</v>
      </c>
      <c r="K5709" t="s">
        <v>10217</v>
      </c>
      <c r="M5709" t="s">
        <v>10625</v>
      </c>
      <c r="N5709" t="s">
        <v>10702</v>
      </c>
      <c r="P5709" t="s">
        <v>10749</v>
      </c>
      <c r="Q5709" t="s">
        <v>10765</v>
      </c>
      <c r="R5709" t="s">
        <v>10821</v>
      </c>
      <c r="T5709">
        <v>8658</v>
      </c>
      <c r="U5709">
        <v>721.5</v>
      </c>
      <c r="V5709">
        <v>34</v>
      </c>
      <c r="W5709">
        <v>1</v>
      </c>
      <c r="X5709">
        <v>2</v>
      </c>
      <c r="Z5709">
        <v>40.59</v>
      </c>
      <c r="AA5709">
        <v>40.801756</v>
      </c>
      <c r="AB5709">
        <v>-73.96151</v>
      </c>
      <c r="AD5709" t="s">
        <v>10839</v>
      </c>
      <c r="AG5709" t="s">
        <v>10858</v>
      </c>
      <c r="AH5709" t="s">
        <v>10862</v>
      </c>
      <c r="AI5709">
        <v>236</v>
      </c>
      <c r="AJ5709" t="s">
        <v>10209</v>
      </c>
      <c r="AL5709">
        <v>3</v>
      </c>
      <c r="AM5709" t="s">
        <v>10887</v>
      </c>
      <c r="AN5709" t="s">
        <v>10953</v>
      </c>
      <c r="AO5709" t="s">
        <v>11016</v>
      </c>
      <c r="AP5709" t="s">
        <v>11073</v>
      </c>
      <c r="AR5709" t="s">
        <v>11320</v>
      </c>
      <c r="AS5709" t="s">
        <v>9925</v>
      </c>
      <c r="BA5709" t="s">
        <v>11738</v>
      </c>
      <c r="BB5709">
        <v>0</v>
      </c>
      <c r="BC5709">
        <v>0</v>
      </c>
      <c r="BD5709">
        <v>0</v>
      </c>
      <c r="BE5709">
        <v>0</v>
      </c>
      <c r="BF5709">
        <v>5</v>
      </c>
      <c r="BG5709">
        <v>0</v>
      </c>
    </row>
    <row r="5710" spans="1:59">
      <c r="A5710" s="1">
        <f>HYPERLINK("https://lsnyc.legalserver.org/matter/dynamic-profile/view/1909986","19-1909986")</f>
        <v>0</v>
      </c>
      <c r="B5710" t="s">
        <v>4477</v>
      </c>
      <c r="C5710" t="s">
        <v>9339</v>
      </c>
      <c r="D5710" t="s">
        <v>9926</v>
      </c>
      <c r="E5710" t="s">
        <v>10075</v>
      </c>
      <c r="F5710">
        <v>10457</v>
      </c>
      <c r="G5710" t="s">
        <v>10090</v>
      </c>
      <c r="H5710" t="s">
        <v>10137</v>
      </c>
      <c r="I5710" t="s">
        <v>10168</v>
      </c>
      <c r="J5710" t="s">
        <v>10210</v>
      </c>
      <c r="K5710" t="s">
        <v>10217</v>
      </c>
      <c r="M5710" t="s">
        <v>10287</v>
      </c>
      <c r="N5710" t="s">
        <v>10671</v>
      </c>
      <c r="P5710" t="s">
        <v>10751</v>
      </c>
      <c r="Q5710" t="s">
        <v>10761</v>
      </c>
      <c r="R5710" t="s">
        <v>10824</v>
      </c>
      <c r="T5710">
        <v>10864</v>
      </c>
      <c r="U5710">
        <v>905.33</v>
      </c>
      <c r="V5710">
        <v>27</v>
      </c>
      <c r="W5710">
        <v>1</v>
      </c>
      <c r="X5710">
        <v>1</v>
      </c>
      <c r="Z5710">
        <v>64.25</v>
      </c>
      <c r="AA5710">
        <v>40.845219</v>
      </c>
      <c r="AB5710">
        <v>-73.904521</v>
      </c>
      <c r="AD5710" t="s">
        <v>10839</v>
      </c>
      <c r="AG5710" t="s">
        <v>10858</v>
      </c>
      <c r="AH5710" t="s">
        <v>10862</v>
      </c>
      <c r="AI5710">
        <v>230</v>
      </c>
      <c r="AJ5710" t="s">
        <v>10210</v>
      </c>
      <c r="AL5710">
        <v>0</v>
      </c>
      <c r="AM5710" t="s">
        <v>10884</v>
      </c>
      <c r="AN5710" t="s">
        <v>10931</v>
      </c>
      <c r="AO5710" t="s">
        <v>11000</v>
      </c>
      <c r="AP5710" t="s">
        <v>11056</v>
      </c>
      <c r="AR5710" t="s">
        <v>11257</v>
      </c>
      <c r="AS5710" t="s">
        <v>9926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</row>
    <row r="5711" spans="1:59">
      <c r="A5711" s="1">
        <f>HYPERLINK("https://lsnyc.legalserver.org/matter/dynamic-profile/view/1909987","19-1909987")</f>
        <v>0</v>
      </c>
      <c r="B5711" t="s">
        <v>4479</v>
      </c>
      <c r="C5711" t="s">
        <v>9341</v>
      </c>
      <c r="D5711" t="s">
        <v>9925</v>
      </c>
      <c r="E5711" t="s">
        <v>10075</v>
      </c>
      <c r="F5711">
        <v>10011</v>
      </c>
      <c r="G5711" t="s">
        <v>10089</v>
      </c>
      <c r="H5711" t="s">
        <v>10137</v>
      </c>
      <c r="I5711" t="s">
        <v>10168</v>
      </c>
      <c r="J5711" t="s">
        <v>10209</v>
      </c>
      <c r="K5711" t="s">
        <v>10217</v>
      </c>
      <c r="M5711" t="s">
        <v>10332</v>
      </c>
      <c r="N5711" t="s">
        <v>10671</v>
      </c>
      <c r="P5711" t="s">
        <v>10749</v>
      </c>
      <c r="Q5711" t="s">
        <v>10765</v>
      </c>
      <c r="R5711" t="s">
        <v>10821</v>
      </c>
      <c r="T5711">
        <v>12108</v>
      </c>
      <c r="U5711">
        <v>1009</v>
      </c>
      <c r="V5711">
        <v>31</v>
      </c>
      <c r="W5711">
        <v>1</v>
      </c>
      <c r="X5711">
        <v>2</v>
      </c>
      <c r="Z5711">
        <v>56.77</v>
      </c>
      <c r="AA5711">
        <v>40.741889</v>
      </c>
      <c r="AB5711">
        <v>-74.002342</v>
      </c>
      <c r="AC5711" t="s">
        <v>10837</v>
      </c>
      <c r="AD5711" t="s">
        <v>10839</v>
      </c>
      <c r="AG5711" t="s">
        <v>10858</v>
      </c>
      <c r="AH5711" t="s">
        <v>10861</v>
      </c>
      <c r="AI5711">
        <v>234</v>
      </c>
      <c r="AJ5711" t="s">
        <v>10214</v>
      </c>
      <c r="AL5711">
        <v>1.5</v>
      </c>
      <c r="AM5711" t="s">
        <v>10894</v>
      </c>
      <c r="AN5711" t="s">
        <v>10966</v>
      </c>
      <c r="AO5711" t="s">
        <v>11021</v>
      </c>
      <c r="AP5711" t="s">
        <v>11090</v>
      </c>
      <c r="AR5711" t="s">
        <v>11310</v>
      </c>
      <c r="AS5711" t="s">
        <v>9925</v>
      </c>
      <c r="AT5711" t="s">
        <v>11641</v>
      </c>
      <c r="AX5711" t="s">
        <v>10838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</row>
    <row r="5712" spans="1:59">
      <c r="A5712" s="1">
        <f>HYPERLINK("https://lsnyc.legalserver.org/matter/dynamic-profile/view/1909988","19-1909988")</f>
        <v>0</v>
      </c>
      <c r="B5712" t="s">
        <v>4480</v>
      </c>
      <c r="C5712" t="s">
        <v>9342</v>
      </c>
      <c r="D5712" t="s">
        <v>10063</v>
      </c>
      <c r="E5712" t="s">
        <v>10076</v>
      </c>
      <c r="F5712">
        <v>7712</v>
      </c>
      <c r="G5712" t="s">
        <v>10093</v>
      </c>
      <c r="H5712" t="s">
        <v>10137</v>
      </c>
      <c r="I5712" t="s">
        <v>10168</v>
      </c>
      <c r="J5712" t="s">
        <v>10213</v>
      </c>
      <c r="K5712" t="s">
        <v>10218</v>
      </c>
      <c r="L5712" t="s">
        <v>10157</v>
      </c>
      <c r="M5712" t="s">
        <v>10436</v>
      </c>
      <c r="N5712" t="s">
        <v>10710</v>
      </c>
      <c r="P5712" t="s">
        <v>10750</v>
      </c>
      <c r="Q5712" t="s">
        <v>10760</v>
      </c>
      <c r="R5712" t="s">
        <v>10824</v>
      </c>
      <c r="T5712">
        <v>20403.6</v>
      </c>
      <c r="U5712">
        <v>1700.3</v>
      </c>
      <c r="V5712">
        <v>61</v>
      </c>
      <c r="W5712">
        <v>1</v>
      </c>
      <c r="X5712">
        <v>0</v>
      </c>
      <c r="Y5712" t="s">
        <v>10829</v>
      </c>
      <c r="Z5712">
        <v>163.36</v>
      </c>
      <c r="AA5712">
        <v>40.255725</v>
      </c>
      <c r="AB5712">
        <v>-74.05026599999999</v>
      </c>
      <c r="AD5712" t="s">
        <v>10839</v>
      </c>
      <c r="AG5712" t="s">
        <v>10858</v>
      </c>
      <c r="AH5712" t="s">
        <v>10861</v>
      </c>
      <c r="AI5712">
        <v>234</v>
      </c>
      <c r="AJ5712" t="s">
        <v>10214</v>
      </c>
      <c r="AK5712" t="s">
        <v>10838</v>
      </c>
      <c r="AL5712">
        <v>0.91</v>
      </c>
      <c r="AR5712" t="s">
        <v>11296</v>
      </c>
      <c r="AS5712" t="s">
        <v>11621</v>
      </c>
      <c r="AT5712" t="s">
        <v>11641</v>
      </c>
      <c r="AX5712" t="s">
        <v>10838</v>
      </c>
      <c r="AY5712" t="s">
        <v>10829</v>
      </c>
      <c r="AZ5712" t="s">
        <v>11679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</row>
    <row r="5713" spans="1:59">
      <c r="A5713" s="1">
        <f>HYPERLINK("https://lsnyc.legalserver.org/matter/dynamic-profile/view/1909989","19-1909989")</f>
        <v>0</v>
      </c>
      <c r="B5713" t="s">
        <v>4481</v>
      </c>
      <c r="C5713" t="s">
        <v>9343</v>
      </c>
      <c r="D5713" t="s">
        <v>9926</v>
      </c>
      <c r="E5713" t="s">
        <v>10075</v>
      </c>
      <c r="F5713">
        <v>10456</v>
      </c>
      <c r="G5713" t="s">
        <v>10090</v>
      </c>
      <c r="H5713" t="s">
        <v>10137</v>
      </c>
      <c r="I5713" t="s">
        <v>10168</v>
      </c>
      <c r="J5713" t="s">
        <v>10210</v>
      </c>
      <c r="K5713" t="s">
        <v>10217</v>
      </c>
      <c r="M5713" t="s">
        <v>10417</v>
      </c>
      <c r="N5713" t="s">
        <v>10666</v>
      </c>
      <c r="P5713" t="s">
        <v>10749</v>
      </c>
      <c r="Q5713" t="s">
        <v>10765</v>
      </c>
      <c r="R5713" t="s">
        <v>10821</v>
      </c>
      <c r="T5713">
        <v>3900</v>
      </c>
      <c r="U5713">
        <v>325</v>
      </c>
      <c r="V5713">
        <v>32</v>
      </c>
      <c r="W5713">
        <v>1</v>
      </c>
      <c r="X5713">
        <v>2</v>
      </c>
      <c r="Z5713">
        <v>18.28</v>
      </c>
      <c r="AA5713">
        <v>40.828214</v>
      </c>
      <c r="AB5713">
        <v>-73.909023</v>
      </c>
      <c r="AC5713" t="s">
        <v>10837</v>
      </c>
      <c r="AD5713" t="s">
        <v>10839</v>
      </c>
      <c r="AG5713" t="s">
        <v>10858</v>
      </c>
      <c r="AH5713" t="s">
        <v>10861</v>
      </c>
      <c r="AI5713">
        <v>234</v>
      </c>
      <c r="AJ5713" t="s">
        <v>10214</v>
      </c>
      <c r="AL5713">
        <v>1.25</v>
      </c>
      <c r="AR5713" t="s">
        <v>11297</v>
      </c>
      <c r="AS5713" t="s">
        <v>9926</v>
      </c>
      <c r="AT5713" t="s">
        <v>11641</v>
      </c>
      <c r="AX5713" t="s">
        <v>10838</v>
      </c>
      <c r="BA5713" t="s">
        <v>11742</v>
      </c>
      <c r="BB5713">
        <v>0</v>
      </c>
      <c r="BC5713">
        <v>0</v>
      </c>
      <c r="BD5713">
        <v>0</v>
      </c>
      <c r="BE5713">
        <v>0</v>
      </c>
      <c r="BF5713">
        <v>7</v>
      </c>
      <c r="BG5713">
        <v>0</v>
      </c>
    </row>
    <row r="5714" spans="1:59">
      <c r="A5714" s="1">
        <f>HYPERLINK("https://lsnyc.legalserver.org/matter/dynamic-profile/view/1909990","19-1909990")</f>
        <v>0</v>
      </c>
      <c r="B5714" t="s">
        <v>3711</v>
      </c>
      <c r="C5714" t="s">
        <v>8529</v>
      </c>
      <c r="D5714" t="s">
        <v>9928</v>
      </c>
      <c r="E5714" t="s">
        <v>10075</v>
      </c>
      <c r="F5714">
        <v>11230</v>
      </c>
      <c r="G5714" t="s">
        <v>10093</v>
      </c>
      <c r="H5714" t="s">
        <v>10137</v>
      </c>
      <c r="I5714" t="s">
        <v>10169</v>
      </c>
      <c r="J5714" t="s">
        <v>10213</v>
      </c>
      <c r="K5714" t="s">
        <v>10218</v>
      </c>
      <c r="L5714" t="s">
        <v>10162</v>
      </c>
      <c r="M5714" t="s">
        <v>10238</v>
      </c>
      <c r="N5714" t="s">
        <v>10657</v>
      </c>
      <c r="P5714" t="s">
        <v>10749</v>
      </c>
      <c r="Q5714" t="s">
        <v>10765</v>
      </c>
      <c r="R5714" t="s">
        <v>10823</v>
      </c>
      <c r="T5714">
        <v>6888</v>
      </c>
      <c r="U5714">
        <v>574</v>
      </c>
      <c r="V5714">
        <v>69</v>
      </c>
      <c r="W5714">
        <v>1</v>
      </c>
      <c r="X5714">
        <v>1</v>
      </c>
      <c r="Y5714" t="s">
        <v>10829</v>
      </c>
      <c r="Z5714">
        <v>40.73</v>
      </c>
      <c r="AA5714">
        <v>40.620237</v>
      </c>
      <c r="AB5714">
        <v>-73.96016</v>
      </c>
      <c r="AD5714" t="s">
        <v>10839</v>
      </c>
      <c r="AG5714" t="s">
        <v>10858</v>
      </c>
      <c r="AH5714" t="s">
        <v>10860</v>
      </c>
      <c r="AI5714">
        <v>239</v>
      </c>
      <c r="AJ5714" t="s">
        <v>10213</v>
      </c>
      <c r="AK5714" t="s">
        <v>10882</v>
      </c>
      <c r="AL5714">
        <v>1.3</v>
      </c>
      <c r="AM5714" t="s">
        <v>10888</v>
      </c>
      <c r="AN5714" t="s">
        <v>10947</v>
      </c>
      <c r="AO5714" t="s">
        <v>11015</v>
      </c>
      <c r="AP5714" t="s">
        <v>11079</v>
      </c>
      <c r="AR5714" t="s">
        <v>11268</v>
      </c>
      <c r="AS5714" t="s">
        <v>11595</v>
      </c>
      <c r="AT5714" t="s">
        <v>11641</v>
      </c>
      <c r="AX5714" t="s">
        <v>10838</v>
      </c>
      <c r="AY5714" t="s">
        <v>10829</v>
      </c>
      <c r="AZ5714" t="s">
        <v>11681</v>
      </c>
      <c r="BA5714" t="s">
        <v>11741</v>
      </c>
      <c r="BB5714">
        <v>0</v>
      </c>
      <c r="BC5714">
        <v>0</v>
      </c>
      <c r="BD5714">
        <v>0</v>
      </c>
      <c r="BE5714">
        <v>0</v>
      </c>
      <c r="BF5714">
        <v>1</v>
      </c>
      <c r="BG5714">
        <v>0</v>
      </c>
    </row>
    <row r="5715" spans="1:59">
      <c r="A5715" s="1">
        <f>HYPERLINK("https://lsnyc.legalserver.org/matter/dynamic-profile/view/1909991","19-1909991")</f>
        <v>0</v>
      </c>
      <c r="B5715" t="s">
        <v>921</v>
      </c>
      <c r="C5715" t="s">
        <v>9344</v>
      </c>
      <c r="D5715" t="s">
        <v>9926</v>
      </c>
      <c r="E5715" t="s">
        <v>10075</v>
      </c>
      <c r="F5715">
        <v>10451</v>
      </c>
      <c r="G5715" t="s">
        <v>10090</v>
      </c>
      <c r="H5715" t="s">
        <v>10115</v>
      </c>
      <c r="I5715" t="s">
        <v>10168</v>
      </c>
      <c r="J5715" t="s">
        <v>10210</v>
      </c>
      <c r="K5715" t="s">
        <v>10218</v>
      </c>
      <c r="L5715" t="s">
        <v>10101</v>
      </c>
      <c r="M5715" t="s">
        <v>10579</v>
      </c>
      <c r="N5715" t="s">
        <v>10650</v>
      </c>
      <c r="P5715" t="s">
        <v>10749</v>
      </c>
      <c r="Q5715" t="s">
        <v>10765</v>
      </c>
      <c r="R5715" t="s">
        <v>10824</v>
      </c>
      <c r="T5715">
        <v>4300</v>
      </c>
      <c r="U5715">
        <v>358.33</v>
      </c>
      <c r="V5715">
        <v>69</v>
      </c>
      <c r="W5715">
        <v>2</v>
      </c>
      <c r="X5715">
        <v>0</v>
      </c>
      <c r="Y5715" t="s">
        <v>10829</v>
      </c>
      <c r="Z5715">
        <v>25.43</v>
      </c>
      <c r="AA5715">
        <v>40.818739</v>
      </c>
      <c r="AB5715">
        <v>-73.927164</v>
      </c>
      <c r="AD5715" t="s">
        <v>10840</v>
      </c>
      <c r="AG5715" t="s">
        <v>10858</v>
      </c>
      <c r="AH5715" t="s">
        <v>10862</v>
      </c>
      <c r="AI5715">
        <v>230</v>
      </c>
      <c r="AJ5715" t="s">
        <v>10210</v>
      </c>
      <c r="AK5715" t="s">
        <v>10838</v>
      </c>
      <c r="AL5715">
        <v>0.3</v>
      </c>
      <c r="AR5715" t="s">
        <v>10180</v>
      </c>
      <c r="AS5715" t="s">
        <v>9926</v>
      </c>
      <c r="AT5715" t="s">
        <v>11642</v>
      </c>
      <c r="AY5715" t="s">
        <v>10829</v>
      </c>
      <c r="AZ5715" t="s">
        <v>11681</v>
      </c>
      <c r="BA5715" t="s">
        <v>11741</v>
      </c>
      <c r="BB5715">
        <v>0</v>
      </c>
      <c r="BC5715">
        <v>0</v>
      </c>
      <c r="BD5715">
        <v>0</v>
      </c>
      <c r="BE5715">
        <v>0</v>
      </c>
      <c r="BF5715">
        <v>1</v>
      </c>
      <c r="BG5715">
        <v>0</v>
      </c>
    </row>
    <row r="5716" spans="1:59">
      <c r="A5716" s="1">
        <f>HYPERLINK("https://lsnyc.legalserver.org/matter/dynamic-profile/view/1909992","19-1909992")</f>
        <v>0</v>
      </c>
      <c r="B5716" t="s">
        <v>4482</v>
      </c>
      <c r="C5716" t="s">
        <v>9345</v>
      </c>
      <c r="D5716" t="s">
        <v>9926</v>
      </c>
      <c r="E5716" t="s">
        <v>10075</v>
      </c>
      <c r="F5716">
        <v>10457</v>
      </c>
      <c r="G5716" t="s">
        <v>10090</v>
      </c>
      <c r="H5716" t="s">
        <v>10137</v>
      </c>
      <c r="I5716" t="s">
        <v>10169</v>
      </c>
      <c r="J5716" t="s">
        <v>10210</v>
      </c>
      <c r="K5716" t="s">
        <v>10217</v>
      </c>
      <c r="M5716" t="s">
        <v>10540</v>
      </c>
      <c r="N5716" t="s">
        <v>10727</v>
      </c>
      <c r="P5716" t="s">
        <v>10753</v>
      </c>
      <c r="Q5716" t="s">
        <v>10809</v>
      </c>
      <c r="R5716" t="s">
        <v>10821</v>
      </c>
      <c r="T5716">
        <v>19044</v>
      </c>
      <c r="U5716">
        <v>1587</v>
      </c>
      <c r="V5716">
        <v>14</v>
      </c>
      <c r="W5716">
        <v>2</v>
      </c>
      <c r="X5716">
        <v>2</v>
      </c>
      <c r="Z5716">
        <v>73.95999999999999</v>
      </c>
      <c r="AA5716">
        <v>40.847773</v>
      </c>
      <c r="AB5716">
        <v>-73.905607</v>
      </c>
      <c r="AD5716" t="s">
        <v>10839</v>
      </c>
      <c r="AG5716" t="s">
        <v>10858</v>
      </c>
      <c r="AH5716" t="s">
        <v>10877</v>
      </c>
      <c r="AI5716">
        <v>230</v>
      </c>
      <c r="AJ5716" t="s">
        <v>10210</v>
      </c>
      <c r="AL5716">
        <v>1.2</v>
      </c>
      <c r="AM5716" t="s">
        <v>10884</v>
      </c>
      <c r="AN5716" t="s">
        <v>10931</v>
      </c>
      <c r="AO5716" t="s">
        <v>11000</v>
      </c>
      <c r="AP5716" t="s">
        <v>11056</v>
      </c>
      <c r="AQ5716" t="s">
        <v>11180</v>
      </c>
      <c r="AR5716" t="s">
        <v>11295</v>
      </c>
      <c r="AS5716" t="s">
        <v>9926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</row>
    <row r="5717" spans="1:59">
      <c r="A5717" s="1">
        <f>HYPERLINK("https://lsnyc.legalserver.org/matter/dynamic-profile/view/1909993","19-1909993")</f>
        <v>0</v>
      </c>
      <c r="B5717" t="s">
        <v>4451</v>
      </c>
      <c r="C5717" t="s">
        <v>9314</v>
      </c>
      <c r="D5717" t="s">
        <v>9938</v>
      </c>
      <c r="E5717" t="s">
        <v>10075</v>
      </c>
      <c r="F5717">
        <v>11433</v>
      </c>
      <c r="G5717" t="s">
        <v>10092</v>
      </c>
      <c r="H5717" t="s">
        <v>10108</v>
      </c>
      <c r="I5717" t="s">
        <v>10169</v>
      </c>
      <c r="J5717" t="s">
        <v>10212</v>
      </c>
      <c r="K5717" t="s">
        <v>10217</v>
      </c>
      <c r="M5717" t="s">
        <v>10355</v>
      </c>
      <c r="N5717" t="s">
        <v>10648</v>
      </c>
      <c r="P5717" t="s">
        <v>10753</v>
      </c>
      <c r="Q5717" t="s">
        <v>10763</v>
      </c>
      <c r="R5717" t="s">
        <v>10823</v>
      </c>
      <c r="T5717">
        <v>0</v>
      </c>
      <c r="U5717">
        <v>0</v>
      </c>
      <c r="V5717">
        <v>35</v>
      </c>
      <c r="W5717">
        <v>1</v>
      </c>
      <c r="X5717">
        <v>0</v>
      </c>
      <c r="Z5717">
        <v>0</v>
      </c>
      <c r="AA5717">
        <v>40.698695</v>
      </c>
      <c r="AB5717">
        <v>-73.800901</v>
      </c>
      <c r="AD5717" t="s">
        <v>10839</v>
      </c>
      <c r="AF5717" t="s">
        <v>10842</v>
      </c>
      <c r="AG5717" t="s">
        <v>10859</v>
      </c>
      <c r="AH5717" t="s">
        <v>10865</v>
      </c>
      <c r="AI5717">
        <v>237</v>
      </c>
      <c r="AJ5717" t="s">
        <v>10212</v>
      </c>
      <c r="AL5717">
        <v>0</v>
      </c>
      <c r="AQ5717" t="s">
        <v>11140</v>
      </c>
      <c r="AR5717" t="s">
        <v>11267</v>
      </c>
      <c r="AS5717" t="s">
        <v>11594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</row>
    <row r="5718" spans="1:59">
      <c r="A5718" s="1">
        <f>HYPERLINK("https://lsnyc.legalserver.org/matter/dynamic-profile/view/1909994","19-1909994")</f>
        <v>0</v>
      </c>
      <c r="B5718" t="s">
        <v>4483</v>
      </c>
      <c r="C5718" t="s">
        <v>9346</v>
      </c>
      <c r="D5718" t="s">
        <v>9929</v>
      </c>
      <c r="E5718" t="s">
        <v>10075</v>
      </c>
      <c r="F5718">
        <v>10301</v>
      </c>
      <c r="G5718" t="s">
        <v>10088</v>
      </c>
      <c r="H5718" t="s">
        <v>10166</v>
      </c>
      <c r="I5718" t="s">
        <v>10169</v>
      </c>
      <c r="J5718" t="s">
        <v>10208</v>
      </c>
      <c r="K5718" t="s">
        <v>10217</v>
      </c>
      <c r="M5718" t="s">
        <v>10409</v>
      </c>
      <c r="N5718" t="s">
        <v>10649</v>
      </c>
      <c r="P5718" t="s">
        <v>10753</v>
      </c>
      <c r="Q5718" t="s">
        <v>10763</v>
      </c>
      <c r="R5718" t="s">
        <v>10821</v>
      </c>
      <c r="T5718">
        <v>0</v>
      </c>
      <c r="U5718">
        <v>0</v>
      </c>
      <c r="V5718">
        <v>19</v>
      </c>
      <c r="W5718">
        <v>1</v>
      </c>
      <c r="X5718">
        <v>1</v>
      </c>
      <c r="Z5718">
        <v>0</v>
      </c>
      <c r="AA5718">
        <v>40.635669</v>
      </c>
      <c r="AB5718">
        <v>-74.090845</v>
      </c>
      <c r="AD5718" t="s">
        <v>10839</v>
      </c>
      <c r="AF5718" t="s">
        <v>10844</v>
      </c>
      <c r="AG5718" t="s">
        <v>10859</v>
      </c>
      <c r="AH5718" t="s">
        <v>10861</v>
      </c>
      <c r="AI5718">
        <v>285</v>
      </c>
      <c r="AJ5718" t="s">
        <v>10208</v>
      </c>
      <c r="AL5718">
        <v>1.5</v>
      </c>
      <c r="AM5718" t="s">
        <v>10883</v>
      </c>
      <c r="AN5718" t="s">
        <v>10913</v>
      </c>
      <c r="AO5718" t="s">
        <v>11006</v>
      </c>
      <c r="AP5718" t="s">
        <v>11051</v>
      </c>
      <c r="AR5718" t="s">
        <v>11267</v>
      </c>
      <c r="AS5718" t="s">
        <v>11593</v>
      </c>
      <c r="AT5718" t="s">
        <v>11641</v>
      </c>
      <c r="AX5718" t="s">
        <v>10838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</row>
    <row r="5719" spans="1:59">
      <c r="A5719" s="1">
        <f>HYPERLINK("https://lsnyc.legalserver.org/matter/dynamic-profile/view/1909995","19-1909995")</f>
        <v>0</v>
      </c>
      <c r="B5719" t="s">
        <v>4484</v>
      </c>
      <c r="C5719" t="s">
        <v>9346</v>
      </c>
      <c r="D5719" t="s">
        <v>9929</v>
      </c>
      <c r="E5719" t="s">
        <v>10075</v>
      </c>
      <c r="F5719">
        <v>10301</v>
      </c>
      <c r="G5719" t="s">
        <v>10088</v>
      </c>
      <c r="H5719" t="s">
        <v>10166</v>
      </c>
      <c r="I5719" t="s">
        <v>10169</v>
      </c>
      <c r="J5719" t="s">
        <v>10208</v>
      </c>
      <c r="K5719" t="s">
        <v>10217</v>
      </c>
      <c r="M5719" t="s">
        <v>10409</v>
      </c>
      <c r="N5719" t="s">
        <v>10649</v>
      </c>
      <c r="P5719" t="s">
        <v>10753</v>
      </c>
      <c r="Q5719" t="s">
        <v>10763</v>
      </c>
      <c r="R5719" t="s">
        <v>10821</v>
      </c>
      <c r="T5719">
        <v>0</v>
      </c>
      <c r="U5719">
        <v>0</v>
      </c>
      <c r="V5719">
        <v>4</v>
      </c>
      <c r="W5719">
        <v>1</v>
      </c>
      <c r="X5719">
        <v>1</v>
      </c>
      <c r="Z5719">
        <v>0</v>
      </c>
      <c r="AA5719">
        <v>40.635669</v>
      </c>
      <c r="AB5719">
        <v>-74.090845</v>
      </c>
      <c r="AD5719" t="s">
        <v>10839</v>
      </c>
      <c r="AF5719" t="s">
        <v>10844</v>
      </c>
      <c r="AG5719" t="s">
        <v>10859</v>
      </c>
      <c r="AH5719" t="s">
        <v>10861</v>
      </c>
      <c r="AI5719">
        <v>285</v>
      </c>
      <c r="AJ5719" t="s">
        <v>10208</v>
      </c>
      <c r="AL5719">
        <v>1.5</v>
      </c>
      <c r="AM5719" t="s">
        <v>10883</v>
      </c>
      <c r="AN5719" t="s">
        <v>10913</v>
      </c>
      <c r="AO5719" t="s">
        <v>11006</v>
      </c>
      <c r="AP5719" t="s">
        <v>11051</v>
      </c>
      <c r="AR5719" t="s">
        <v>11267</v>
      </c>
      <c r="AS5719" t="s">
        <v>11593</v>
      </c>
      <c r="AT5719" t="s">
        <v>11641</v>
      </c>
      <c r="AX5719" t="s">
        <v>10838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</row>
    <row r="5720" spans="1:59">
      <c r="A5720" s="1">
        <f>HYPERLINK("https://lsnyc.legalserver.org/matter/dynamic-profile/view/1909996","19-1909996")</f>
        <v>0</v>
      </c>
      <c r="B5720" t="s">
        <v>4485</v>
      </c>
      <c r="C5720" t="s">
        <v>9347</v>
      </c>
      <c r="D5720" t="s">
        <v>9925</v>
      </c>
      <c r="E5720" t="s">
        <v>10075</v>
      </c>
      <c r="F5720">
        <v>10035</v>
      </c>
      <c r="G5720" t="s">
        <v>10093</v>
      </c>
      <c r="H5720" t="s">
        <v>10137</v>
      </c>
      <c r="I5720" t="s">
        <v>10168</v>
      </c>
      <c r="J5720" t="s">
        <v>10213</v>
      </c>
      <c r="K5720" t="s">
        <v>10217</v>
      </c>
      <c r="M5720" t="s">
        <v>10358</v>
      </c>
      <c r="N5720" t="s">
        <v>10671</v>
      </c>
      <c r="P5720" t="s">
        <v>10755</v>
      </c>
      <c r="Q5720" t="s">
        <v>10813</v>
      </c>
      <c r="R5720" t="s">
        <v>10824</v>
      </c>
      <c r="T5720">
        <v>20496</v>
      </c>
      <c r="U5720">
        <v>1708</v>
      </c>
      <c r="V5720">
        <v>62</v>
      </c>
      <c r="W5720">
        <v>1</v>
      </c>
      <c r="X5720">
        <v>0</v>
      </c>
      <c r="Z5720">
        <v>164.1</v>
      </c>
      <c r="AA5720">
        <v>40.802083</v>
      </c>
      <c r="AB5720">
        <v>-73.944202</v>
      </c>
      <c r="AC5720" t="s">
        <v>10837</v>
      </c>
      <c r="AD5720" t="s">
        <v>10840</v>
      </c>
      <c r="AG5720" t="s">
        <v>10858</v>
      </c>
      <c r="AH5720" t="s">
        <v>10871</v>
      </c>
      <c r="AI5720">
        <v>234</v>
      </c>
      <c r="AJ5720" t="s">
        <v>10214</v>
      </c>
      <c r="AL5720">
        <v>4.75</v>
      </c>
      <c r="AM5720" t="s">
        <v>10887</v>
      </c>
      <c r="AN5720" t="s">
        <v>10926</v>
      </c>
      <c r="AO5720" t="s">
        <v>11016</v>
      </c>
      <c r="AP5720" t="s">
        <v>11076</v>
      </c>
      <c r="AR5720" t="s">
        <v>11521</v>
      </c>
      <c r="AS5720" t="s">
        <v>9925</v>
      </c>
      <c r="AT5720" t="s">
        <v>11642</v>
      </c>
      <c r="AX5720" t="s">
        <v>10838</v>
      </c>
      <c r="BA5720" t="s">
        <v>11741</v>
      </c>
      <c r="BB5720">
        <v>0</v>
      </c>
      <c r="BC5720">
        <v>0</v>
      </c>
      <c r="BD5720">
        <v>0</v>
      </c>
      <c r="BE5720">
        <v>0</v>
      </c>
      <c r="BF5720">
        <v>1</v>
      </c>
      <c r="BG5720">
        <v>0</v>
      </c>
    </row>
    <row r="5721" spans="1:59">
      <c r="A5721" s="1">
        <f>HYPERLINK("https://lsnyc.legalserver.org/matter/dynamic-profile/view/1909997","19-1909997")</f>
        <v>0</v>
      </c>
      <c r="B5721" t="s">
        <v>2740</v>
      </c>
      <c r="C5721" t="s">
        <v>9348</v>
      </c>
      <c r="D5721" t="s">
        <v>9926</v>
      </c>
      <c r="E5721" t="s">
        <v>10075</v>
      </c>
      <c r="F5721">
        <v>10468</v>
      </c>
      <c r="G5721" t="s">
        <v>10090</v>
      </c>
      <c r="H5721" t="s">
        <v>10137</v>
      </c>
      <c r="I5721" t="s">
        <v>10169</v>
      </c>
      <c r="J5721" t="s">
        <v>10210</v>
      </c>
      <c r="K5721" t="s">
        <v>10217</v>
      </c>
      <c r="M5721" t="s">
        <v>10372</v>
      </c>
      <c r="N5721" t="s">
        <v>10671</v>
      </c>
      <c r="P5721" t="s">
        <v>10750</v>
      </c>
      <c r="Q5721" t="s">
        <v>10778</v>
      </c>
      <c r="R5721" t="s">
        <v>10821</v>
      </c>
      <c r="T5721">
        <v>2184</v>
      </c>
      <c r="U5721">
        <v>182</v>
      </c>
      <c r="V5721">
        <v>58</v>
      </c>
      <c r="W5721">
        <v>1</v>
      </c>
      <c r="X5721">
        <v>0</v>
      </c>
      <c r="Z5721">
        <v>17.49</v>
      </c>
      <c r="AA5721">
        <v>40.865054</v>
      </c>
      <c r="AB5721">
        <v>-73.90133299999999</v>
      </c>
      <c r="AD5721" t="s">
        <v>10840</v>
      </c>
      <c r="AG5721" t="s">
        <v>10858</v>
      </c>
      <c r="AH5721" t="s">
        <v>10861</v>
      </c>
      <c r="AI5721">
        <v>234</v>
      </c>
      <c r="AJ5721" t="s">
        <v>10214</v>
      </c>
      <c r="AL5721">
        <v>1.55</v>
      </c>
      <c r="AM5721" t="s">
        <v>10887</v>
      </c>
      <c r="AN5721" t="s">
        <v>10907</v>
      </c>
      <c r="AO5721" t="s">
        <v>11000</v>
      </c>
      <c r="AP5721" t="s">
        <v>11045</v>
      </c>
      <c r="AR5721" t="s">
        <v>11311</v>
      </c>
      <c r="AS5721" t="s">
        <v>9926</v>
      </c>
      <c r="AT5721" t="s">
        <v>11642</v>
      </c>
      <c r="AX5721" t="s">
        <v>10838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</row>
    <row r="5722" spans="1:59">
      <c r="A5722" s="1">
        <f>HYPERLINK("https://lsnyc.legalserver.org/matter/dynamic-profile/view/1909998","19-1909998")</f>
        <v>0</v>
      </c>
      <c r="B5722" t="s">
        <v>4486</v>
      </c>
      <c r="C5722" t="s">
        <v>8467</v>
      </c>
      <c r="D5722" t="s">
        <v>9928</v>
      </c>
      <c r="E5722" t="s">
        <v>10075</v>
      </c>
      <c r="F5722">
        <v>11221</v>
      </c>
      <c r="G5722" t="s">
        <v>10093</v>
      </c>
      <c r="H5722" t="s">
        <v>10137</v>
      </c>
      <c r="I5722" t="s">
        <v>10169</v>
      </c>
      <c r="J5722" t="s">
        <v>10213</v>
      </c>
      <c r="K5722" t="s">
        <v>10217</v>
      </c>
      <c r="M5722" t="s">
        <v>10359</v>
      </c>
      <c r="N5722" t="s">
        <v>10664</v>
      </c>
      <c r="P5722" t="s">
        <v>10749</v>
      </c>
      <c r="Q5722" t="s">
        <v>10765</v>
      </c>
      <c r="R5722" t="s">
        <v>10821</v>
      </c>
      <c r="T5722">
        <v>13000</v>
      </c>
      <c r="U5722">
        <v>1083.33</v>
      </c>
      <c r="V5722">
        <v>56</v>
      </c>
      <c r="W5722">
        <v>1</v>
      </c>
      <c r="X5722">
        <v>0</v>
      </c>
      <c r="Z5722">
        <v>104.08</v>
      </c>
      <c r="AA5722">
        <v>40.697161</v>
      </c>
      <c r="AB5722">
        <v>-73.929151</v>
      </c>
      <c r="AD5722" t="s">
        <v>10840</v>
      </c>
      <c r="AF5722" t="s">
        <v>10843</v>
      </c>
      <c r="AG5722" t="s">
        <v>10859</v>
      </c>
      <c r="AH5722" t="s">
        <v>10861</v>
      </c>
      <c r="AI5722">
        <v>239</v>
      </c>
      <c r="AJ5722" t="s">
        <v>10213</v>
      </c>
      <c r="AL5722">
        <v>0</v>
      </c>
      <c r="AM5722" t="s">
        <v>10886</v>
      </c>
      <c r="AN5722" t="s">
        <v>10942</v>
      </c>
      <c r="AO5722" t="s">
        <v>11011</v>
      </c>
      <c r="AP5722" t="s">
        <v>11071</v>
      </c>
      <c r="AR5722" t="s">
        <v>11257</v>
      </c>
      <c r="AS5722" t="s">
        <v>11595</v>
      </c>
      <c r="BA5722" t="s">
        <v>11741</v>
      </c>
      <c r="BB5722">
        <v>0</v>
      </c>
      <c r="BC5722">
        <v>0</v>
      </c>
      <c r="BD5722">
        <v>0</v>
      </c>
      <c r="BE5722">
        <v>0</v>
      </c>
      <c r="BF5722">
        <v>1</v>
      </c>
      <c r="BG5722">
        <v>0</v>
      </c>
    </row>
    <row r="5723" spans="1:59">
      <c r="A5723" s="1">
        <f>HYPERLINK("https://lsnyc.legalserver.org/matter/dynamic-profile/view/1909999","19-1909999")</f>
        <v>0</v>
      </c>
      <c r="B5723" t="s">
        <v>4487</v>
      </c>
      <c r="C5723" t="s">
        <v>9349</v>
      </c>
      <c r="D5723" t="s">
        <v>9928</v>
      </c>
      <c r="E5723" t="s">
        <v>10075</v>
      </c>
      <c r="F5723">
        <v>11207</v>
      </c>
      <c r="G5723" t="s">
        <v>10093</v>
      </c>
      <c r="H5723" t="s">
        <v>10137</v>
      </c>
      <c r="I5723" t="s">
        <v>10168</v>
      </c>
      <c r="J5723" t="s">
        <v>10213</v>
      </c>
      <c r="K5723" t="s">
        <v>10217</v>
      </c>
      <c r="M5723" t="s">
        <v>10439</v>
      </c>
      <c r="N5723" t="s">
        <v>10650</v>
      </c>
      <c r="P5723" t="s">
        <v>10749</v>
      </c>
      <c r="Q5723" t="s">
        <v>10765</v>
      </c>
      <c r="R5723" t="s">
        <v>10824</v>
      </c>
      <c r="T5723">
        <v>40000</v>
      </c>
      <c r="U5723">
        <v>3333.33</v>
      </c>
      <c r="V5723">
        <v>39</v>
      </c>
      <c r="W5723">
        <v>1</v>
      </c>
      <c r="X5723">
        <v>0</v>
      </c>
      <c r="Z5723">
        <v>320.26</v>
      </c>
      <c r="AA5723">
        <v>40.687019</v>
      </c>
      <c r="AB5723">
        <v>-73.912499</v>
      </c>
      <c r="AD5723" t="s">
        <v>10840</v>
      </c>
      <c r="AG5723" t="s">
        <v>10858</v>
      </c>
      <c r="AH5723" t="s">
        <v>10862</v>
      </c>
      <c r="AI5723">
        <v>239</v>
      </c>
      <c r="AJ5723" t="s">
        <v>10213</v>
      </c>
      <c r="AL5723">
        <v>0</v>
      </c>
      <c r="AM5723" t="s">
        <v>10889</v>
      </c>
      <c r="AN5723" t="s">
        <v>10920</v>
      </c>
      <c r="AO5723" t="s">
        <v>11011</v>
      </c>
      <c r="AP5723" t="s">
        <v>11058</v>
      </c>
      <c r="AQ5723" t="s">
        <v>11101</v>
      </c>
      <c r="AR5723" t="s">
        <v>11276</v>
      </c>
      <c r="AS5723" t="s">
        <v>11595</v>
      </c>
      <c r="AT5723" t="s">
        <v>11642</v>
      </c>
      <c r="BA5723" t="s">
        <v>11742</v>
      </c>
      <c r="BB5723">
        <v>0</v>
      </c>
      <c r="BC5723">
        <v>0</v>
      </c>
      <c r="BD5723">
        <v>0</v>
      </c>
      <c r="BE5723">
        <v>0</v>
      </c>
      <c r="BF5723">
        <v>7</v>
      </c>
      <c r="BG5723">
        <v>0</v>
      </c>
    </row>
    <row r="5724" spans="1:59">
      <c r="A5724" s="1">
        <f>HYPERLINK("https://lsnyc.legalserver.org/matter/dynamic-profile/view/1910000","19-1910000")</f>
        <v>0</v>
      </c>
      <c r="B5724" t="s">
        <v>3546</v>
      </c>
      <c r="C5724" t="s">
        <v>9350</v>
      </c>
      <c r="D5724" t="s">
        <v>9925</v>
      </c>
      <c r="E5724" t="s">
        <v>10075</v>
      </c>
      <c r="F5724">
        <v>10032</v>
      </c>
      <c r="G5724" t="s">
        <v>10089</v>
      </c>
      <c r="H5724" t="s">
        <v>10137</v>
      </c>
      <c r="I5724" t="s">
        <v>10168</v>
      </c>
      <c r="J5724" t="s">
        <v>10209</v>
      </c>
      <c r="K5724" t="s">
        <v>10217</v>
      </c>
      <c r="M5724" t="s">
        <v>10529</v>
      </c>
      <c r="N5724" t="s">
        <v>10646</v>
      </c>
      <c r="P5724" t="s">
        <v>10750</v>
      </c>
      <c r="Q5724" t="s">
        <v>10799</v>
      </c>
      <c r="R5724" t="s">
        <v>10824</v>
      </c>
      <c r="T5724">
        <v>70800</v>
      </c>
      <c r="U5724">
        <v>5900</v>
      </c>
      <c r="V5724">
        <v>35</v>
      </c>
      <c r="W5724">
        <v>2</v>
      </c>
      <c r="X5724">
        <v>2</v>
      </c>
      <c r="Z5724">
        <v>274.95</v>
      </c>
      <c r="AA5724">
        <v>40.836673</v>
      </c>
      <c r="AB5724">
        <v>-73.943708</v>
      </c>
      <c r="AC5724" t="s">
        <v>10837</v>
      </c>
      <c r="AD5724" t="s">
        <v>10840</v>
      </c>
      <c r="AG5724" t="s">
        <v>10858</v>
      </c>
      <c r="AH5724" t="s">
        <v>10861</v>
      </c>
      <c r="AI5724">
        <v>234</v>
      </c>
      <c r="AJ5724" t="s">
        <v>10214</v>
      </c>
      <c r="AL5724">
        <v>0.5</v>
      </c>
      <c r="AM5724" t="s">
        <v>10887</v>
      </c>
      <c r="AN5724" t="s">
        <v>10943</v>
      </c>
      <c r="AO5724" t="s">
        <v>11019</v>
      </c>
      <c r="AP5724" t="s">
        <v>11073</v>
      </c>
      <c r="AR5724" t="s">
        <v>11505</v>
      </c>
      <c r="AS5724" t="s">
        <v>9925</v>
      </c>
      <c r="AT5724" t="s">
        <v>11642</v>
      </c>
      <c r="AX5724" t="s">
        <v>10838</v>
      </c>
      <c r="BA5724" t="s">
        <v>11742</v>
      </c>
      <c r="BB5724">
        <v>0</v>
      </c>
      <c r="BC5724">
        <v>0</v>
      </c>
      <c r="BD5724">
        <v>0</v>
      </c>
      <c r="BE5724">
        <v>0</v>
      </c>
      <c r="BF5724">
        <v>7</v>
      </c>
      <c r="BG5724">
        <v>0</v>
      </c>
    </row>
    <row r="5725" spans="1:59">
      <c r="A5725" s="1">
        <f>HYPERLINK("https://lsnyc.legalserver.org/matter/dynamic-profile/view/1910001","19-1910001")</f>
        <v>0</v>
      </c>
      <c r="B5725" t="s">
        <v>1959</v>
      </c>
      <c r="C5725" t="s">
        <v>9351</v>
      </c>
      <c r="D5725" t="s">
        <v>9926</v>
      </c>
      <c r="E5725" t="s">
        <v>10075</v>
      </c>
      <c r="F5725">
        <v>10452</v>
      </c>
      <c r="G5725" t="s">
        <v>10090</v>
      </c>
      <c r="H5725" t="s">
        <v>10137</v>
      </c>
      <c r="I5725" t="s">
        <v>10169</v>
      </c>
      <c r="J5725" t="s">
        <v>10210</v>
      </c>
      <c r="K5725" t="s">
        <v>10218</v>
      </c>
      <c r="L5725" t="s">
        <v>10162</v>
      </c>
      <c r="M5725" t="s">
        <v>10336</v>
      </c>
      <c r="N5725" t="s">
        <v>10677</v>
      </c>
      <c r="P5725" t="s">
        <v>10754</v>
      </c>
      <c r="Q5725" t="s">
        <v>10777</v>
      </c>
      <c r="R5725" t="s">
        <v>10821</v>
      </c>
      <c r="T5725">
        <v>9204</v>
      </c>
      <c r="U5725">
        <v>767</v>
      </c>
      <c r="V5725">
        <v>65</v>
      </c>
      <c r="W5725">
        <v>3</v>
      </c>
      <c r="X5725">
        <v>1</v>
      </c>
      <c r="Y5725" t="s">
        <v>10829</v>
      </c>
      <c r="Z5725">
        <v>35.74</v>
      </c>
      <c r="AA5725">
        <v>40.834965</v>
      </c>
      <c r="AB5725">
        <v>-73.920799</v>
      </c>
      <c r="AD5725" t="s">
        <v>10840</v>
      </c>
      <c r="AG5725" t="s">
        <v>10858</v>
      </c>
      <c r="AH5725" t="s">
        <v>10875</v>
      </c>
      <c r="AI5725">
        <v>230</v>
      </c>
      <c r="AJ5725" t="s">
        <v>10210</v>
      </c>
      <c r="AK5725" t="s">
        <v>10882</v>
      </c>
      <c r="AL5725">
        <v>1.6</v>
      </c>
      <c r="AM5725" t="s">
        <v>10884</v>
      </c>
      <c r="AN5725" t="s">
        <v>10924</v>
      </c>
      <c r="AO5725" t="s">
        <v>11013</v>
      </c>
      <c r="AP5725" t="s">
        <v>11055</v>
      </c>
      <c r="AR5725" t="s">
        <v>11268</v>
      </c>
      <c r="AS5725" t="s">
        <v>9926</v>
      </c>
      <c r="AT5725" t="s">
        <v>11642</v>
      </c>
      <c r="AY5725" t="s">
        <v>10829</v>
      </c>
      <c r="AZ5725" t="s">
        <v>11683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</row>
    <row r="5726" spans="1:59">
      <c r="A5726" s="1">
        <f>HYPERLINK("https://lsnyc.legalserver.org/matter/dynamic-profile/view/1910002","19-1910002")</f>
        <v>0</v>
      </c>
      <c r="B5726" t="s">
        <v>4488</v>
      </c>
      <c r="C5726" t="s">
        <v>9352</v>
      </c>
      <c r="D5726" t="s">
        <v>9929</v>
      </c>
      <c r="E5726" t="s">
        <v>10075</v>
      </c>
      <c r="F5726">
        <v>10306</v>
      </c>
      <c r="G5726" t="s">
        <v>10088</v>
      </c>
      <c r="H5726" t="s">
        <v>10136</v>
      </c>
      <c r="I5726" t="s">
        <v>10169</v>
      </c>
      <c r="J5726" t="s">
        <v>10208</v>
      </c>
      <c r="K5726" t="s">
        <v>10217</v>
      </c>
      <c r="M5726" t="s">
        <v>10237</v>
      </c>
      <c r="N5726" t="s">
        <v>10652</v>
      </c>
      <c r="P5726" t="s">
        <v>10754</v>
      </c>
      <c r="Q5726" t="s">
        <v>10777</v>
      </c>
      <c r="R5726" t="s">
        <v>10821</v>
      </c>
      <c r="T5726">
        <v>0</v>
      </c>
      <c r="U5726">
        <v>0</v>
      </c>
      <c r="V5726">
        <v>30</v>
      </c>
      <c r="W5726">
        <v>1</v>
      </c>
      <c r="X5726">
        <v>2</v>
      </c>
      <c r="Z5726">
        <v>0</v>
      </c>
      <c r="AA5726">
        <v>40.56234</v>
      </c>
      <c r="AB5726">
        <v>-74.10383</v>
      </c>
      <c r="AD5726" t="s">
        <v>10839</v>
      </c>
      <c r="AF5726" t="s">
        <v>10842</v>
      </c>
      <c r="AG5726" t="s">
        <v>10859</v>
      </c>
      <c r="AH5726" t="s">
        <v>10861</v>
      </c>
      <c r="AI5726">
        <v>285</v>
      </c>
      <c r="AJ5726" t="s">
        <v>10208</v>
      </c>
      <c r="AL5726">
        <v>1.5</v>
      </c>
      <c r="AM5726" t="s">
        <v>10883</v>
      </c>
      <c r="AN5726" t="s">
        <v>10915</v>
      </c>
      <c r="AO5726" t="s">
        <v>10999</v>
      </c>
      <c r="AP5726" t="s">
        <v>11063</v>
      </c>
      <c r="AQ5726" t="s">
        <v>11128</v>
      </c>
      <c r="AR5726" t="s">
        <v>11266</v>
      </c>
      <c r="AS5726" t="s">
        <v>11593</v>
      </c>
      <c r="AT5726" t="s">
        <v>11641</v>
      </c>
      <c r="AX5726" t="s">
        <v>10838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</row>
    <row r="5727" spans="1:59">
      <c r="A5727" s="1">
        <f>HYPERLINK("https://lsnyc.legalserver.org/matter/dynamic-profile/view/1910004","19-1910004")</f>
        <v>0</v>
      </c>
      <c r="B5727" t="s">
        <v>4147</v>
      </c>
      <c r="C5727" t="s">
        <v>8974</v>
      </c>
      <c r="D5727" t="s">
        <v>9926</v>
      </c>
      <c r="E5727" t="s">
        <v>10075</v>
      </c>
      <c r="F5727">
        <v>10467</v>
      </c>
      <c r="G5727" t="s">
        <v>10090</v>
      </c>
      <c r="H5727" t="s">
        <v>10137</v>
      </c>
      <c r="I5727" t="s">
        <v>10169</v>
      </c>
      <c r="J5727" t="s">
        <v>10210</v>
      </c>
      <c r="K5727" t="s">
        <v>10217</v>
      </c>
      <c r="M5727" t="s">
        <v>10271</v>
      </c>
      <c r="N5727" t="s">
        <v>10651</v>
      </c>
      <c r="P5727" t="s">
        <v>10749</v>
      </c>
      <c r="Q5727" t="s">
        <v>10765</v>
      </c>
      <c r="R5727" t="s">
        <v>10823</v>
      </c>
      <c r="T5727">
        <v>29000</v>
      </c>
      <c r="U5727">
        <v>2416.67</v>
      </c>
      <c r="V5727">
        <v>42</v>
      </c>
      <c r="W5727">
        <v>1</v>
      </c>
      <c r="X5727">
        <v>1</v>
      </c>
      <c r="Z5727">
        <v>171.5</v>
      </c>
      <c r="AA5727">
        <v>40.879908</v>
      </c>
      <c r="AB5727">
        <v>-73.87277400000001</v>
      </c>
      <c r="AD5727" t="s">
        <v>10839</v>
      </c>
      <c r="AF5727" t="s">
        <v>10843</v>
      </c>
      <c r="AG5727" t="s">
        <v>10859</v>
      </c>
      <c r="AH5727" t="s">
        <v>10861</v>
      </c>
      <c r="AI5727">
        <v>230</v>
      </c>
      <c r="AJ5727" t="s">
        <v>10210</v>
      </c>
      <c r="AL5727">
        <v>0</v>
      </c>
      <c r="AM5727" t="s">
        <v>10887</v>
      </c>
      <c r="AN5727" t="s">
        <v>10919</v>
      </c>
      <c r="AO5727" t="s">
        <v>11010</v>
      </c>
      <c r="AP5727" t="s">
        <v>11057</v>
      </c>
      <c r="AR5727" t="s">
        <v>11257</v>
      </c>
      <c r="AS5727" t="s">
        <v>9926</v>
      </c>
      <c r="AU5727" t="s">
        <v>11653</v>
      </c>
      <c r="BA5727" t="s">
        <v>11738</v>
      </c>
      <c r="BB5727">
        <v>0</v>
      </c>
      <c r="BC5727">
        <v>0</v>
      </c>
      <c r="BD5727">
        <v>0</v>
      </c>
      <c r="BE5727">
        <v>0</v>
      </c>
      <c r="BF5727">
        <v>5</v>
      </c>
      <c r="BG5727">
        <v>0</v>
      </c>
    </row>
    <row r="5728" spans="1:59">
      <c r="A5728" s="1">
        <f>HYPERLINK("https://lsnyc.legalserver.org/matter/dynamic-profile/view/1910005","19-1910005")</f>
        <v>0</v>
      </c>
      <c r="B5728" t="s">
        <v>4489</v>
      </c>
      <c r="C5728" t="s">
        <v>8811</v>
      </c>
      <c r="D5728" t="s">
        <v>9926</v>
      </c>
      <c r="E5728" t="s">
        <v>10075</v>
      </c>
      <c r="F5728">
        <v>10457</v>
      </c>
      <c r="G5728" t="s">
        <v>10090</v>
      </c>
      <c r="H5728" t="s">
        <v>10162</v>
      </c>
      <c r="I5728" t="s">
        <v>10169</v>
      </c>
      <c r="J5728" t="s">
        <v>10210</v>
      </c>
      <c r="K5728" t="s">
        <v>10217</v>
      </c>
      <c r="M5728" t="s">
        <v>10296</v>
      </c>
      <c r="N5728" t="s">
        <v>10679</v>
      </c>
      <c r="P5728" t="s">
        <v>10753</v>
      </c>
      <c r="Q5728" t="s">
        <v>10763</v>
      </c>
      <c r="R5728" t="s">
        <v>10821</v>
      </c>
      <c r="T5728">
        <v>0</v>
      </c>
      <c r="U5728">
        <v>0</v>
      </c>
      <c r="V5728">
        <v>9</v>
      </c>
      <c r="W5728">
        <v>0</v>
      </c>
      <c r="X5728">
        <v>1</v>
      </c>
      <c r="Z5728">
        <v>0</v>
      </c>
      <c r="AA5728">
        <v>40.848374</v>
      </c>
      <c r="AB5728">
        <v>-73.891131</v>
      </c>
      <c r="AD5728" t="s">
        <v>10840</v>
      </c>
      <c r="AF5728" t="s">
        <v>10851</v>
      </c>
      <c r="AG5728" t="s">
        <v>10859</v>
      </c>
      <c r="AH5728" t="s">
        <v>10864</v>
      </c>
      <c r="AI5728">
        <v>230</v>
      </c>
      <c r="AJ5728" t="s">
        <v>10210</v>
      </c>
      <c r="AL5728">
        <v>1.5</v>
      </c>
      <c r="AM5728" t="s">
        <v>10884</v>
      </c>
      <c r="AN5728" t="s">
        <v>10931</v>
      </c>
      <c r="AO5728" t="s">
        <v>11000</v>
      </c>
      <c r="AP5728" t="s">
        <v>11056</v>
      </c>
      <c r="AQ5728" t="s">
        <v>11119</v>
      </c>
      <c r="AR5728" t="s">
        <v>11267</v>
      </c>
      <c r="AS5728" t="s">
        <v>9926</v>
      </c>
      <c r="AT5728" t="s">
        <v>11642</v>
      </c>
      <c r="AV5728" t="s">
        <v>11655</v>
      </c>
      <c r="AW5728" t="s">
        <v>11666</v>
      </c>
      <c r="AX5728" t="s">
        <v>10838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</row>
    <row r="5729" spans="1:59">
      <c r="A5729" s="1">
        <f>HYPERLINK("https://lsnyc.legalserver.org/matter/dynamic-profile/view/1910006","19-1910006")</f>
        <v>0</v>
      </c>
      <c r="B5729" t="s">
        <v>4147</v>
      </c>
      <c r="C5729" t="s">
        <v>8974</v>
      </c>
      <c r="D5729" t="s">
        <v>9926</v>
      </c>
      <c r="E5729" t="s">
        <v>10075</v>
      </c>
      <c r="F5729">
        <v>10467</v>
      </c>
      <c r="G5729" t="s">
        <v>10090</v>
      </c>
      <c r="H5729" t="s">
        <v>10137</v>
      </c>
      <c r="I5729" t="s">
        <v>10169</v>
      </c>
      <c r="J5729" t="s">
        <v>10210</v>
      </c>
      <c r="K5729" t="s">
        <v>10217</v>
      </c>
      <c r="M5729" t="s">
        <v>10287</v>
      </c>
      <c r="N5729" t="s">
        <v>10671</v>
      </c>
      <c r="P5729" t="s">
        <v>10751</v>
      </c>
      <c r="Q5729" t="s">
        <v>10761</v>
      </c>
      <c r="R5729" t="s">
        <v>10823</v>
      </c>
      <c r="T5729">
        <v>29000</v>
      </c>
      <c r="U5729">
        <v>2416.67</v>
      </c>
      <c r="V5729">
        <v>42</v>
      </c>
      <c r="W5729">
        <v>1</v>
      </c>
      <c r="X5729">
        <v>1</v>
      </c>
      <c r="Z5729">
        <v>171.5</v>
      </c>
      <c r="AA5729">
        <v>40.879908</v>
      </c>
      <c r="AB5729">
        <v>-73.87277400000001</v>
      </c>
      <c r="AD5729" t="s">
        <v>10839</v>
      </c>
      <c r="AF5729" t="s">
        <v>10843</v>
      </c>
      <c r="AG5729" t="s">
        <v>10859</v>
      </c>
      <c r="AH5729" t="s">
        <v>10861</v>
      </c>
      <c r="AI5729">
        <v>230</v>
      </c>
      <c r="AJ5729" t="s">
        <v>10210</v>
      </c>
      <c r="AL5729">
        <v>0</v>
      </c>
      <c r="AM5729" t="s">
        <v>10887</v>
      </c>
      <c r="AN5729" t="s">
        <v>10919</v>
      </c>
      <c r="AO5729" t="s">
        <v>11010</v>
      </c>
      <c r="AP5729" t="s">
        <v>11057</v>
      </c>
      <c r="AR5729" t="s">
        <v>11257</v>
      </c>
      <c r="AS5729" t="s">
        <v>9926</v>
      </c>
      <c r="AU5729" t="s">
        <v>11653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</row>
    <row r="5730" spans="1:59">
      <c r="A5730" s="1">
        <f>HYPERLINK("https://lsnyc.legalserver.org/matter/dynamic-profile/view/1910007","19-1910007")</f>
        <v>0</v>
      </c>
      <c r="B5730" t="s">
        <v>4490</v>
      </c>
      <c r="C5730" t="s">
        <v>8687</v>
      </c>
      <c r="D5730" t="s">
        <v>9926</v>
      </c>
      <c r="E5730" t="s">
        <v>10075</v>
      </c>
      <c r="F5730">
        <v>10457</v>
      </c>
      <c r="G5730" t="s">
        <v>10090</v>
      </c>
      <c r="H5730" t="s">
        <v>10137</v>
      </c>
      <c r="I5730" t="s">
        <v>10168</v>
      </c>
      <c r="J5730" t="s">
        <v>10210</v>
      </c>
      <c r="K5730" t="s">
        <v>10217</v>
      </c>
      <c r="M5730" t="s">
        <v>10235</v>
      </c>
      <c r="N5730" t="s">
        <v>10651</v>
      </c>
      <c r="P5730" t="s">
        <v>10749</v>
      </c>
      <c r="Q5730" t="s">
        <v>10765</v>
      </c>
      <c r="R5730" t="s">
        <v>10821</v>
      </c>
      <c r="T5730">
        <v>28730</v>
      </c>
      <c r="U5730">
        <v>2394.17</v>
      </c>
      <c r="V5730">
        <v>50</v>
      </c>
      <c r="W5730">
        <v>1</v>
      </c>
      <c r="X5730">
        <v>0</v>
      </c>
      <c r="Z5730">
        <v>230.02</v>
      </c>
      <c r="AA5730">
        <v>40.84788</v>
      </c>
      <c r="AB5730">
        <v>-73.90646599999999</v>
      </c>
      <c r="AD5730" t="s">
        <v>10839</v>
      </c>
      <c r="AF5730" t="s">
        <v>10843</v>
      </c>
      <c r="AG5730" t="s">
        <v>10859</v>
      </c>
      <c r="AH5730" t="s">
        <v>10862</v>
      </c>
      <c r="AI5730">
        <v>230</v>
      </c>
      <c r="AJ5730" t="s">
        <v>10210</v>
      </c>
      <c r="AL5730">
        <v>0.5</v>
      </c>
      <c r="AM5730" t="s">
        <v>10884</v>
      </c>
      <c r="AN5730" t="s">
        <v>10931</v>
      </c>
      <c r="AO5730" t="s">
        <v>11000</v>
      </c>
      <c r="AP5730" t="s">
        <v>11056</v>
      </c>
      <c r="AR5730" t="s">
        <v>11257</v>
      </c>
      <c r="AS5730" t="s">
        <v>9926</v>
      </c>
      <c r="BA5730" t="s">
        <v>11742</v>
      </c>
      <c r="BB5730">
        <v>0</v>
      </c>
      <c r="BC5730">
        <v>0</v>
      </c>
      <c r="BD5730">
        <v>0</v>
      </c>
      <c r="BE5730">
        <v>0</v>
      </c>
      <c r="BF5730">
        <v>7</v>
      </c>
      <c r="BG5730">
        <v>0</v>
      </c>
    </row>
    <row r="5731" spans="1:59">
      <c r="A5731" s="1">
        <f>HYPERLINK("https://lsnyc.legalserver.org/matter/dynamic-profile/view/1910008","19-1910008")</f>
        <v>0</v>
      </c>
      <c r="B5731" t="s">
        <v>4491</v>
      </c>
      <c r="C5731" t="s">
        <v>9353</v>
      </c>
      <c r="D5731" t="s">
        <v>9938</v>
      </c>
      <c r="E5731" t="s">
        <v>10075</v>
      </c>
      <c r="F5731">
        <v>11433</v>
      </c>
      <c r="G5731" t="s">
        <v>10092</v>
      </c>
      <c r="H5731" t="s">
        <v>10137</v>
      </c>
      <c r="I5731" t="s">
        <v>10168</v>
      </c>
      <c r="J5731" t="s">
        <v>10212</v>
      </c>
      <c r="K5731" t="s">
        <v>10217</v>
      </c>
      <c r="M5731" t="s">
        <v>10484</v>
      </c>
      <c r="N5731" t="s">
        <v>10693</v>
      </c>
      <c r="P5731" t="s">
        <v>10749</v>
      </c>
      <c r="Q5731" t="s">
        <v>10765</v>
      </c>
      <c r="R5731" t="s">
        <v>10824</v>
      </c>
      <c r="T5731">
        <v>39500</v>
      </c>
      <c r="U5731">
        <v>3291.67</v>
      </c>
      <c r="V5731">
        <v>50</v>
      </c>
      <c r="W5731">
        <v>3</v>
      </c>
      <c r="X5731">
        <v>0</v>
      </c>
      <c r="Z5731">
        <v>185.19</v>
      </c>
      <c r="AA5731">
        <v>40.700526</v>
      </c>
      <c r="AB5731">
        <v>-73.78527699999999</v>
      </c>
      <c r="AD5731" t="s">
        <v>10839</v>
      </c>
      <c r="AG5731" t="s">
        <v>10858</v>
      </c>
      <c r="AH5731" t="s">
        <v>10862</v>
      </c>
      <c r="AI5731">
        <v>237</v>
      </c>
      <c r="AJ5731" t="s">
        <v>10212</v>
      </c>
      <c r="AL5731">
        <v>0.2</v>
      </c>
      <c r="AM5731" t="s">
        <v>10892</v>
      </c>
      <c r="AN5731" t="s">
        <v>10955</v>
      </c>
      <c r="AO5731" t="s">
        <v>11020</v>
      </c>
      <c r="AP5731" t="s">
        <v>11075</v>
      </c>
      <c r="AR5731" t="s">
        <v>11257</v>
      </c>
      <c r="AS5731" t="s">
        <v>11594</v>
      </c>
      <c r="BA5731" t="s">
        <v>11742</v>
      </c>
      <c r="BB5731">
        <v>0</v>
      </c>
      <c r="BC5731">
        <v>0</v>
      </c>
      <c r="BD5731">
        <v>0</v>
      </c>
      <c r="BE5731">
        <v>0</v>
      </c>
      <c r="BF5731">
        <v>7</v>
      </c>
      <c r="BG5731">
        <v>0</v>
      </c>
    </row>
    <row r="5732" spans="1:59">
      <c r="A5732" s="1">
        <f>HYPERLINK("https://lsnyc.legalserver.org/matter/dynamic-profile/view/1910009","19-1910009")</f>
        <v>0</v>
      </c>
      <c r="B5732" t="s">
        <v>4492</v>
      </c>
      <c r="C5732" t="s">
        <v>9354</v>
      </c>
      <c r="D5732" t="s">
        <v>9928</v>
      </c>
      <c r="E5732" t="s">
        <v>10075</v>
      </c>
      <c r="F5732">
        <v>11235</v>
      </c>
      <c r="G5732" t="s">
        <v>10093</v>
      </c>
      <c r="H5732" t="s">
        <v>10137</v>
      </c>
      <c r="I5732" t="s">
        <v>10169</v>
      </c>
      <c r="J5732" t="s">
        <v>10213</v>
      </c>
      <c r="K5732" t="s">
        <v>10218</v>
      </c>
      <c r="L5732" t="s">
        <v>10156</v>
      </c>
      <c r="M5732" t="s">
        <v>10580</v>
      </c>
      <c r="N5732" t="s">
        <v>10657</v>
      </c>
      <c r="P5732" t="s">
        <v>10750</v>
      </c>
      <c r="Q5732" t="s">
        <v>10760</v>
      </c>
      <c r="R5732" t="s">
        <v>10823</v>
      </c>
      <c r="T5732">
        <v>0</v>
      </c>
      <c r="U5732">
        <v>0</v>
      </c>
      <c r="V5732">
        <v>50</v>
      </c>
      <c r="W5732">
        <v>1</v>
      </c>
      <c r="X5732">
        <v>0</v>
      </c>
      <c r="Y5732" t="s">
        <v>10829</v>
      </c>
      <c r="Z5732">
        <v>0</v>
      </c>
      <c r="AA5732">
        <v>40.578056</v>
      </c>
      <c r="AB5732">
        <v>-73.964281</v>
      </c>
      <c r="AD5732" t="s">
        <v>10840</v>
      </c>
      <c r="AG5732" t="s">
        <v>10858</v>
      </c>
      <c r="AH5732" t="s">
        <v>10860</v>
      </c>
      <c r="AI5732">
        <v>239</v>
      </c>
      <c r="AJ5732" t="s">
        <v>10213</v>
      </c>
      <c r="AK5732" t="s">
        <v>10882</v>
      </c>
      <c r="AL5732">
        <v>1</v>
      </c>
      <c r="AM5732" t="s">
        <v>10889</v>
      </c>
      <c r="AN5732" t="s">
        <v>10960</v>
      </c>
      <c r="AO5732" t="s">
        <v>11006</v>
      </c>
      <c r="AP5732" t="s">
        <v>11092</v>
      </c>
      <c r="AR5732" t="s">
        <v>11267</v>
      </c>
      <c r="AS5732" t="s">
        <v>11595</v>
      </c>
      <c r="AT5732" t="s">
        <v>11642</v>
      </c>
      <c r="AX5732" t="s">
        <v>10838</v>
      </c>
      <c r="AY5732" t="s">
        <v>10829</v>
      </c>
      <c r="AZ5732" t="s">
        <v>11679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</row>
    <row r="5733" spans="1:59">
      <c r="A5733" s="1">
        <f>HYPERLINK("https://lsnyc.legalserver.org/matter/dynamic-profile/view/1910010","19-1910010")</f>
        <v>0</v>
      </c>
      <c r="B5733" t="s">
        <v>4493</v>
      </c>
      <c r="C5733" t="s">
        <v>9355</v>
      </c>
      <c r="D5733" t="s">
        <v>10064</v>
      </c>
      <c r="E5733" t="s">
        <v>10086</v>
      </c>
      <c r="F5733">
        <v>75662</v>
      </c>
      <c r="G5733" t="s">
        <v>10093</v>
      </c>
      <c r="H5733" t="s">
        <v>10137</v>
      </c>
      <c r="J5733" t="s">
        <v>10213</v>
      </c>
      <c r="K5733" t="s">
        <v>10217</v>
      </c>
      <c r="M5733" t="s">
        <v>10358</v>
      </c>
      <c r="N5733" t="s">
        <v>10646</v>
      </c>
      <c r="P5733" t="s">
        <v>10752</v>
      </c>
      <c r="Q5733" t="s">
        <v>10783</v>
      </c>
      <c r="R5733" t="s">
        <v>10820</v>
      </c>
      <c r="T5733">
        <v>40676</v>
      </c>
      <c r="U5733">
        <v>3389.67</v>
      </c>
      <c r="V5733">
        <v>48</v>
      </c>
      <c r="W5733">
        <v>3</v>
      </c>
      <c r="X5733">
        <v>2</v>
      </c>
      <c r="Z5733">
        <v>134.82</v>
      </c>
      <c r="AA5733">
        <v>32.4159</v>
      </c>
      <c r="AB5733">
        <v>-94.809242</v>
      </c>
      <c r="AD5733" t="s">
        <v>10839</v>
      </c>
      <c r="AG5733" t="s">
        <v>10858</v>
      </c>
      <c r="AH5733" t="s">
        <v>10863</v>
      </c>
      <c r="AI5733">
        <v>239</v>
      </c>
      <c r="AJ5733" t="s">
        <v>10213</v>
      </c>
      <c r="AL5733">
        <v>3.25</v>
      </c>
      <c r="AQ5733" t="s">
        <v>11184</v>
      </c>
      <c r="AR5733" t="s">
        <v>11573</v>
      </c>
      <c r="AS5733" t="s">
        <v>11637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</row>
    <row r="5734" spans="1:59">
      <c r="A5734" s="1">
        <f>HYPERLINK("https://lsnyc.legalserver.org/matter/dynamic-profile/view/1910011","19-1910011")</f>
        <v>0</v>
      </c>
      <c r="B5734" t="s">
        <v>4494</v>
      </c>
      <c r="C5734" t="s">
        <v>9356</v>
      </c>
      <c r="D5734" t="s">
        <v>9928</v>
      </c>
      <c r="E5734" t="s">
        <v>10075</v>
      </c>
      <c r="F5734">
        <v>11230</v>
      </c>
      <c r="G5734" t="s">
        <v>10093</v>
      </c>
      <c r="H5734" t="s">
        <v>10137</v>
      </c>
      <c r="I5734" t="s">
        <v>10168</v>
      </c>
      <c r="J5734" t="s">
        <v>10213</v>
      </c>
      <c r="K5734" t="s">
        <v>10218</v>
      </c>
      <c r="L5734" t="s">
        <v>10223</v>
      </c>
      <c r="M5734" t="s">
        <v>10247</v>
      </c>
      <c r="N5734" t="s">
        <v>10657</v>
      </c>
      <c r="P5734" t="s">
        <v>10754</v>
      </c>
      <c r="Q5734" t="s">
        <v>10777</v>
      </c>
      <c r="R5734" t="s">
        <v>10823</v>
      </c>
      <c r="T5734">
        <v>15600</v>
      </c>
      <c r="U5734">
        <v>1300</v>
      </c>
      <c r="V5734">
        <v>17</v>
      </c>
      <c r="W5734">
        <v>2</v>
      </c>
      <c r="X5734">
        <v>3</v>
      </c>
      <c r="Y5734" t="s">
        <v>10829</v>
      </c>
      <c r="Z5734">
        <v>51.71</v>
      </c>
      <c r="AA5734">
        <v>40.631205</v>
      </c>
      <c r="AB5734">
        <v>-73.967696</v>
      </c>
      <c r="AD5734" t="s">
        <v>10839</v>
      </c>
      <c r="AG5734" t="s">
        <v>10858</v>
      </c>
      <c r="AH5734" t="s">
        <v>10860</v>
      </c>
      <c r="AI5734">
        <v>239</v>
      </c>
      <c r="AJ5734" t="s">
        <v>10213</v>
      </c>
      <c r="AK5734" t="s">
        <v>10837</v>
      </c>
      <c r="AL5734">
        <v>3.4</v>
      </c>
      <c r="AM5734" t="s">
        <v>10888</v>
      </c>
      <c r="AN5734" t="s">
        <v>10941</v>
      </c>
      <c r="AO5734" t="s">
        <v>11015</v>
      </c>
      <c r="AP5734" t="s">
        <v>11050</v>
      </c>
      <c r="AQ5734" t="s">
        <v>11165</v>
      </c>
      <c r="AR5734" t="s">
        <v>11257</v>
      </c>
      <c r="AS5734" t="s">
        <v>11595</v>
      </c>
      <c r="AT5734" t="s">
        <v>11641</v>
      </c>
      <c r="AX5734" t="s">
        <v>10838</v>
      </c>
      <c r="AY5734" t="s">
        <v>10829</v>
      </c>
      <c r="AZ5734" t="s">
        <v>11683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</row>
    <row r="5735" spans="1:59">
      <c r="A5735" s="1">
        <f>HYPERLINK("https://lsnyc.legalserver.org/matter/dynamic-profile/view/1910013","19-1910013")</f>
        <v>0</v>
      </c>
      <c r="B5735" t="s">
        <v>4495</v>
      </c>
      <c r="C5735" t="s">
        <v>9357</v>
      </c>
      <c r="D5735" t="s">
        <v>9926</v>
      </c>
      <c r="E5735" t="s">
        <v>10075</v>
      </c>
      <c r="F5735">
        <v>10456</v>
      </c>
      <c r="G5735" t="s">
        <v>10090</v>
      </c>
      <c r="H5735" t="s">
        <v>10137</v>
      </c>
      <c r="I5735" t="s">
        <v>10168</v>
      </c>
      <c r="J5735" t="s">
        <v>10210</v>
      </c>
      <c r="K5735" t="s">
        <v>10217</v>
      </c>
      <c r="M5735" t="s">
        <v>10510</v>
      </c>
      <c r="N5735" t="s">
        <v>10705</v>
      </c>
      <c r="P5735" t="s">
        <v>10757</v>
      </c>
      <c r="Q5735" t="s">
        <v>10789</v>
      </c>
      <c r="R5735" t="s">
        <v>10824</v>
      </c>
      <c r="T5735">
        <v>10296</v>
      </c>
      <c r="U5735">
        <v>858</v>
      </c>
      <c r="V5735">
        <v>56</v>
      </c>
      <c r="W5735">
        <v>1</v>
      </c>
      <c r="X5735">
        <v>0</v>
      </c>
      <c r="Z5735">
        <v>82.43000000000001</v>
      </c>
      <c r="AA5735">
        <v>40.823023</v>
      </c>
      <c r="AB5735">
        <v>-73.908288</v>
      </c>
      <c r="AD5735" t="s">
        <v>10840</v>
      </c>
      <c r="AG5735" t="s">
        <v>10858</v>
      </c>
      <c r="AH5735" t="s">
        <v>10874</v>
      </c>
      <c r="AI5735">
        <v>230</v>
      </c>
      <c r="AJ5735" t="s">
        <v>10210</v>
      </c>
      <c r="AL5735">
        <v>1</v>
      </c>
      <c r="AM5735" t="s">
        <v>10884</v>
      </c>
      <c r="AN5735" t="s">
        <v>10918</v>
      </c>
      <c r="AO5735" t="s">
        <v>11001</v>
      </c>
      <c r="AP5735" t="s">
        <v>11062</v>
      </c>
      <c r="AQ5735" t="s">
        <v>11121</v>
      </c>
      <c r="AR5735" t="s">
        <v>11348</v>
      </c>
      <c r="AS5735" t="s">
        <v>9926</v>
      </c>
      <c r="AT5735" t="s">
        <v>11642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</row>
    <row r="5736" spans="1:59">
      <c r="A5736" s="1">
        <f>HYPERLINK("https://lsnyc.legalserver.org/matter/dynamic-profile/view/1910014","19-1910014")</f>
        <v>0</v>
      </c>
      <c r="B5736" t="s">
        <v>2480</v>
      </c>
      <c r="C5736" t="s">
        <v>7256</v>
      </c>
      <c r="D5736" t="s">
        <v>9926</v>
      </c>
      <c r="E5736" t="s">
        <v>10075</v>
      </c>
      <c r="F5736">
        <v>10451</v>
      </c>
      <c r="G5736" t="s">
        <v>10090</v>
      </c>
      <c r="H5736" t="s">
        <v>10137</v>
      </c>
      <c r="I5736" t="s">
        <v>10168</v>
      </c>
      <c r="J5736" t="s">
        <v>10210</v>
      </c>
      <c r="K5736" t="s">
        <v>10218</v>
      </c>
      <c r="L5736" t="s">
        <v>10137</v>
      </c>
      <c r="M5736" t="s">
        <v>10346</v>
      </c>
      <c r="N5736" t="s">
        <v>10677</v>
      </c>
      <c r="P5736" t="s">
        <v>10757</v>
      </c>
      <c r="Q5736" t="s">
        <v>10789</v>
      </c>
      <c r="R5736" t="s">
        <v>10821</v>
      </c>
      <c r="T5736">
        <v>12991.2</v>
      </c>
      <c r="U5736">
        <v>1082.6</v>
      </c>
      <c r="V5736">
        <v>62</v>
      </c>
      <c r="W5736">
        <v>1</v>
      </c>
      <c r="X5736">
        <v>0</v>
      </c>
      <c r="Y5736" t="s">
        <v>10829</v>
      </c>
      <c r="Z5736">
        <v>104.01</v>
      </c>
      <c r="AA5736">
        <v>40.818655</v>
      </c>
      <c r="AB5736">
        <v>-73.93012</v>
      </c>
      <c r="AD5736" t="s">
        <v>10839</v>
      </c>
      <c r="AG5736" t="s">
        <v>10858</v>
      </c>
      <c r="AH5736" t="s">
        <v>10874</v>
      </c>
      <c r="AI5736">
        <v>230</v>
      </c>
      <c r="AJ5736" t="s">
        <v>10210</v>
      </c>
      <c r="AK5736" t="s">
        <v>10838</v>
      </c>
      <c r="AL5736">
        <v>1.5</v>
      </c>
      <c r="AM5736" t="s">
        <v>10884</v>
      </c>
      <c r="AN5736" t="s">
        <v>10924</v>
      </c>
      <c r="AO5736" t="s">
        <v>11013</v>
      </c>
      <c r="AP5736" t="s">
        <v>11066</v>
      </c>
      <c r="AQ5736" t="s">
        <v>11145</v>
      </c>
      <c r="AR5736" t="s">
        <v>11574</v>
      </c>
      <c r="AS5736" t="s">
        <v>9926</v>
      </c>
      <c r="AT5736" t="s">
        <v>11641</v>
      </c>
      <c r="AY5736" t="s">
        <v>10829</v>
      </c>
      <c r="AZ5736" t="s">
        <v>11703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</row>
    <row r="5737" spans="1:59">
      <c r="A5737" s="1">
        <f>HYPERLINK("https://lsnyc.legalserver.org/matter/dynamic-profile/view/1910015","19-1910015")</f>
        <v>0</v>
      </c>
      <c r="B5737" t="s">
        <v>2480</v>
      </c>
      <c r="C5737" t="s">
        <v>7256</v>
      </c>
      <c r="D5737" t="s">
        <v>9926</v>
      </c>
      <c r="E5737" t="s">
        <v>10075</v>
      </c>
      <c r="F5737">
        <v>10451</v>
      </c>
      <c r="G5737" t="s">
        <v>10090</v>
      </c>
      <c r="H5737" t="s">
        <v>10137</v>
      </c>
      <c r="I5737" t="s">
        <v>10168</v>
      </c>
      <c r="J5737" t="s">
        <v>10210</v>
      </c>
      <c r="K5737" t="s">
        <v>10217</v>
      </c>
      <c r="M5737" t="s">
        <v>10346</v>
      </c>
      <c r="N5737" t="s">
        <v>10677</v>
      </c>
      <c r="P5737" t="s">
        <v>10753</v>
      </c>
      <c r="Q5737" t="s">
        <v>10790</v>
      </c>
      <c r="R5737" t="s">
        <v>10821</v>
      </c>
      <c r="T5737">
        <v>12991.2</v>
      </c>
      <c r="U5737">
        <v>1082.6</v>
      </c>
      <c r="V5737">
        <v>62</v>
      </c>
      <c r="W5737">
        <v>1</v>
      </c>
      <c r="X5737">
        <v>0</v>
      </c>
      <c r="Z5737">
        <v>104.01</v>
      </c>
      <c r="AA5737">
        <v>40.818655</v>
      </c>
      <c r="AB5737">
        <v>-73.93012</v>
      </c>
      <c r="AD5737" t="s">
        <v>10839</v>
      </c>
      <c r="AG5737" t="s">
        <v>10858</v>
      </c>
      <c r="AH5737" t="s">
        <v>10874</v>
      </c>
      <c r="AI5737">
        <v>230</v>
      </c>
      <c r="AJ5737" t="s">
        <v>10210</v>
      </c>
      <c r="AL5737">
        <v>0.25</v>
      </c>
      <c r="AR5737" t="s">
        <v>11574</v>
      </c>
      <c r="AS5737" t="s">
        <v>9926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</row>
    <row r="5738" spans="1:59">
      <c r="A5738" s="1">
        <f>HYPERLINK("https://lsnyc.legalserver.org/matter/dynamic-profile/view/1910016","19-1910016")</f>
        <v>0</v>
      </c>
      <c r="B5738" t="s">
        <v>2480</v>
      </c>
      <c r="C5738" t="s">
        <v>7256</v>
      </c>
      <c r="D5738" t="s">
        <v>9926</v>
      </c>
      <c r="E5738" t="s">
        <v>10075</v>
      </c>
      <c r="F5738">
        <v>10451</v>
      </c>
      <c r="G5738" t="s">
        <v>10090</v>
      </c>
      <c r="H5738" t="s">
        <v>10137</v>
      </c>
      <c r="I5738" t="s">
        <v>10168</v>
      </c>
      <c r="J5738" t="s">
        <v>10210</v>
      </c>
      <c r="K5738" t="s">
        <v>10217</v>
      </c>
      <c r="M5738" t="s">
        <v>10346</v>
      </c>
      <c r="N5738" t="s">
        <v>10650</v>
      </c>
      <c r="P5738" t="s">
        <v>10749</v>
      </c>
      <c r="Q5738" t="s">
        <v>10791</v>
      </c>
      <c r="R5738" t="s">
        <v>10821</v>
      </c>
      <c r="T5738">
        <v>12991.2</v>
      </c>
      <c r="U5738">
        <v>1082.6</v>
      </c>
      <c r="V5738">
        <v>62</v>
      </c>
      <c r="W5738">
        <v>1</v>
      </c>
      <c r="X5738">
        <v>0</v>
      </c>
      <c r="Z5738">
        <v>104.01</v>
      </c>
      <c r="AA5738">
        <v>40.818655</v>
      </c>
      <c r="AB5738">
        <v>-73.93012</v>
      </c>
      <c r="AD5738" t="s">
        <v>10839</v>
      </c>
      <c r="AG5738" t="s">
        <v>10858</v>
      </c>
      <c r="AH5738" t="s">
        <v>10874</v>
      </c>
      <c r="AI5738">
        <v>230</v>
      </c>
      <c r="AJ5738" t="s">
        <v>10210</v>
      </c>
      <c r="AL5738">
        <v>0.25</v>
      </c>
      <c r="AQ5738" t="s">
        <v>11100</v>
      </c>
      <c r="AR5738" t="s">
        <v>11574</v>
      </c>
      <c r="AS5738" t="s">
        <v>9926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</row>
    <row r="5739" spans="1:59">
      <c r="A5739" s="1">
        <f>HYPERLINK("https://lsnyc.legalserver.org/matter/dynamic-profile/view/1910017","19-1910017")</f>
        <v>0</v>
      </c>
      <c r="B5739" t="s">
        <v>4496</v>
      </c>
      <c r="C5739" t="s">
        <v>9358</v>
      </c>
      <c r="D5739" t="s">
        <v>9926</v>
      </c>
      <c r="E5739" t="s">
        <v>10075</v>
      </c>
      <c r="F5739">
        <v>10462</v>
      </c>
      <c r="G5739" t="s">
        <v>10089</v>
      </c>
      <c r="H5739" t="s">
        <v>10137</v>
      </c>
      <c r="I5739" t="s">
        <v>10168</v>
      </c>
      <c r="J5739" t="s">
        <v>10209</v>
      </c>
      <c r="K5739" t="s">
        <v>10217</v>
      </c>
      <c r="M5739" t="s">
        <v>10266</v>
      </c>
      <c r="N5739" t="s">
        <v>10649</v>
      </c>
      <c r="P5739" t="s">
        <v>10753</v>
      </c>
      <c r="Q5739" t="s">
        <v>10763</v>
      </c>
      <c r="R5739" t="s">
        <v>10823</v>
      </c>
      <c r="T5739">
        <v>21866</v>
      </c>
      <c r="U5739">
        <v>1822.17</v>
      </c>
      <c r="V5739">
        <v>63</v>
      </c>
      <c r="W5739">
        <v>1</v>
      </c>
      <c r="X5739">
        <v>1</v>
      </c>
      <c r="Z5739">
        <v>129.31</v>
      </c>
      <c r="AA5739">
        <v>40.841505</v>
      </c>
      <c r="AB5739">
        <v>-73.854991</v>
      </c>
      <c r="AD5739" t="s">
        <v>10840</v>
      </c>
      <c r="AG5739" t="s">
        <v>10858</v>
      </c>
      <c r="AH5739" t="s">
        <v>10864</v>
      </c>
      <c r="AI5739">
        <v>236</v>
      </c>
      <c r="AJ5739" t="s">
        <v>10209</v>
      </c>
      <c r="AL5739">
        <v>0.3</v>
      </c>
      <c r="AM5739" t="s">
        <v>10885</v>
      </c>
      <c r="AN5739" t="s">
        <v>10908</v>
      </c>
      <c r="AO5739" t="s">
        <v>11001</v>
      </c>
      <c r="AP5739" t="s">
        <v>11046</v>
      </c>
      <c r="AQ5739" t="s">
        <v>11230</v>
      </c>
      <c r="AR5739" t="s">
        <v>11257</v>
      </c>
      <c r="AS5739" t="s">
        <v>9926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</row>
    <row r="5740" spans="1:59">
      <c r="A5740" s="1">
        <f>HYPERLINK("https://lsnyc.legalserver.org/matter/dynamic-profile/view/1910020","19-1910020")</f>
        <v>0</v>
      </c>
      <c r="B5740" t="s">
        <v>4497</v>
      </c>
      <c r="C5740" t="s">
        <v>9359</v>
      </c>
      <c r="D5740" t="s">
        <v>9929</v>
      </c>
      <c r="E5740" t="s">
        <v>10075</v>
      </c>
      <c r="F5740">
        <v>10312</v>
      </c>
      <c r="G5740" t="s">
        <v>10088</v>
      </c>
      <c r="H5740" t="s">
        <v>10162</v>
      </c>
      <c r="I5740" t="s">
        <v>10168</v>
      </c>
      <c r="J5740" t="s">
        <v>10208</v>
      </c>
      <c r="K5740" t="s">
        <v>10217</v>
      </c>
      <c r="M5740" t="s">
        <v>10251</v>
      </c>
      <c r="N5740" t="s">
        <v>10742</v>
      </c>
      <c r="P5740" t="s">
        <v>10749</v>
      </c>
      <c r="Q5740" t="s">
        <v>10759</v>
      </c>
      <c r="R5740" t="s">
        <v>10820</v>
      </c>
      <c r="T5740">
        <v>35000</v>
      </c>
      <c r="U5740">
        <v>2916.67</v>
      </c>
      <c r="V5740">
        <v>58</v>
      </c>
      <c r="W5740">
        <v>3</v>
      </c>
      <c r="X5740">
        <v>0</v>
      </c>
      <c r="Z5740">
        <v>164.09</v>
      </c>
      <c r="AA5740">
        <v>40.532634</v>
      </c>
      <c r="AB5740">
        <v>-74.156589</v>
      </c>
      <c r="AD5740" t="s">
        <v>10840</v>
      </c>
      <c r="AG5740" t="s">
        <v>10858</v>
      </c>
      <c r="AH5740" t="s">
        <v>10860</v>
      </c>
      <c r="AI5740">
        <v>285</v>
      </c>
      <c r="AJ5740" t="s">
        <v>10208</v>
      </c>
      <c r="AL5740">
        <v>6</v>
      </c>
      <c r="AM5740" t="s">
        <v>10883</v>
      </c>
      <c r="AN5740" t="s">
        <v>10906</v>
      </c>
      <c r="AO5740" t="s">
        <v>10999</v>
      </c>
      <c r="AP5740" t="s">
        <v>11044</v>
      </c>
      <c r="AR5740" t="s">
        <v>11276</v>
      </c>
      <c r="AS5740" t="s">
        <v>11593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</row>
    <row r="5741" spans="1:59">
      <c r="A5741" s="1">
        <f>HYPERLINK("https://lsnyc.legalserver.org/matter/dynamic-profile/view/1910021","19-1910021")</f>
        <v>0</v>
      </c>
      <c r="B5741" t="s">
        <v>3995</v>
      </c>
      <c r="C5741" t="s">
        <v>9360</v>
      </c>
      <c r="D5741" t="s">
        <v>9938</v>
      </c>
      <c r="E5741" t="s">
        <v>10075</v>
      </c>
      <c r="F5741">
        <v>11434</v>
      </c>
      <c r="G5741" t="s">
        <v>10092</v>
      </c>
      <c r="H5741" t="s">
        <v>10162</v>
      </c>
      <c r="I5741" t="s">
        <v>10168</v>
      </c>
      <c r="J5741" t="s">
        <v>10212</v>
      </c>
      <c r="K5741" t="s">
        <v>10217</v>
      </c>
      <c r="M5741" t="s">
        <v>10594</v>
      </c>
      <c r="N5741" t="s">
        <v>10693</v>
      </c>
      <c r="P5741" t="s">
        <v>10749</v>
      </c>
      <c r="Q5741" t="s">
        <v>10765</v>
      </c>
      <c r="R5741" t="s">
        <v>10824</v>
      </c>
      <c r="T5741">
        <v>24000</v>
      </c>
      <c r="U5741">
        <v>2000</v>
      </c>
      <c r="V5741">
        <v>45</v>
      </c>
      <c r="W5741">
        <v>2</v>
      </c>
      <c r="X5741">
        <v>0</v>
      </c>
      <c r="Z5741">
        <v>141.93</v>
      </c>
      <c r="AA5741">
        <v>40.674412</v>
      </c>
      <c r="AB5741">
        <v>-73.778654</v>
      </c>
      <c r="AD5741" t="s">
        <v>10839</v>
      </c>
      <c r="AG5741" t="s">
        <v>10858</v>
      </c>
      <c r="AH5741" t="s">
        <v>10862</v>
      </c>
      <c r="AI5741">
        <v>237</v>
      </c>
      <c r="AJ5741" t="s">
        <v>10212</v>
      </c>
      <c r="AL5741">
        <v>1.1</v>
      </c>
      <c r="AM5741" t="s">
        <v>10892</v>
      </c>
      <c r="AN5741" t="s">
        <v>10951</v>
      </c>
      <c r="AO5741" t="s">
        <v>11017</v>
      </c>
      <c r="AP5741" t="s">
        <v>11070</v>
      </c>
      <c r="AR5741" t="s">
        <v>11367</v>
      </c>
      <c r="AS5741" t="s">
        <v>11594</v>
      </c>
      <c r="BA5741" t="s">
        <v>11738</v>
      </c>
      <c r="BB5741">
        <v>0</v>
      </c>
      <c r="BC5741">
        <v>0</v>
      </c>
      <c r="BD5741">
        <v>0</v>
      </c>
      <c r="BE5741">
        <v>0</v>
      </c>
      <c r="BF5741">
        <v>5</v>
      </c>
      <c r="BG5741">
        <v>0</v>
      </c>
    </row>
    <row r="5742" spans="1:59">
      <c r="A5742" s="1">
        <f>HYPERLINK("https://lsnyc.legalserver.org/matter/dynamic-profile/view/1910023","19-1910023")</f>
        <v>0</v>
      </c>
      <c r="B5742" t="s">
        <v>4498</v>
      </c>
      <c r="C5742" t="s">
        <v>9361</v>
      </c>
      <c r="D5742" t="s">
        <v>9926</v>
      </c>
      <c r="E5742" t="s">
        <v>10075</v>
      </c>
      <c r="F5742">
        <v>10458</v>
      </c>
      <c r="G5742" t="s">
        <v>10090</v>
      </c>
      <c r="H5742" t="s">
        <v>10162</v>
      </c>
      <c r="I5742" t="s">
        <v>10168</v>
      </c>
      <c r="J5742" t="s">
        <v>10210</v>
      </c>
      <c r="K5742" t="s">
        <v>10217</v>
      </c>
      <c r="M5742" t="s">
        <v>10615</v>
      </c>
      <c r="N5742" t="s">
        <v>10671</v>
      </c>
      <c r="P5742" t="s">
        <v>10751</v>
      </c>
      <c r="Q5742" t="s">
        <v>10780</v>
      </c>
      <c r="R5742" t="s">
        <v>10824</v>
      </c>
      <c r="T5742">
        <v>4176</v>
      </c>
      <c r="U5742">
        <v>348</v>
      </c>
      <c r="V5742">
        <v>54</v>
      </c>
      <c r="W5742">
        <v>2</v>
      </c>
      <c r="X5742">
        <v>1</v>
      </c>
      <c r="Z5742">
        <v>19.58</v>
      </c>
      <c r="AA5742">
        <v>40.868968</v>
      </c>
      <c r="AB5742">
        <v>-73.891229</v>
      </c>
      <c r="AD5742" t="s">
        <v>10840</v>
      </c>
      <c r="AG5742" t="s">
        <v>10858</v>
      </c>
      <c r="AH5742" t="s">
        <v>10861</v>
      </c>
      <c r="AI5742">
        <v>234</v>
      </c>
      <c r="AJ5742" t="s">
        <v>10214</v>
      </c>
      <c r="AL5742">
        <v>2.4</v>
      </c>
      <c r="AR5742" t="s">
        <v>11255</v>
      </c>
      <c r="AS5742" t="s">
        <v>9926</v>
      </c>
      <c r="AT5742" t="s">
        <v>11642</v>
      </c>
      <c r="AX5742" t="s">
        <v>10838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</row>
    <row r="5743" spans="1:59">
      <c r="A5743" s="1">
        <f>HYPERLINK("https://lsnyc.legalserver.org/matter/dynamic-profile/view/1910024","19-1910024")</f>
        <v>0</v>
      </c>
      <c r="B5743" t="s">
        <v>4499</v>
      </c>
      <c r="C5743" t="s">
        <v>9362</v>
      </c>
      <c r="D5743" t="s">
        <v>9926</v>
      </c>
      <c r="E5743" t="s">
        <v>10075</v>
      </c>
      <c r="F5743">
        <v>10469</v>
      </c>
      <c r="G5743" t="s">
        <v>10091</v>
      </c>
      <c r="H5743" t="s">
        <v>10162</v>
      </c>
      <c r="I5743" t="s">
        <v>10168</v>
      </c>
      <c r="J5743" t="s">
        <v>10214</v>
      </c>
      <c r="K5743" t="s">
        <v>10217</v>
      </c>
      <c r="M5743" t="s">
        <v>10537</v>
      </c>
      <c r="N5743" t="s">
        <v>10671</v>
      </c>
      <c r="P5743" t="s">
        <v>10753</v>
      </c>
      <c r="Q5743" t="s">
        <v>10763</v>
      </c>
      <c r="R5743" t="s">
        <v>10824</v>
      </c>
      <c r="T5743">
        <v>2388</v>
      </c>
      <c r="U5743">
        <v>199</v>
      </c>
      <c r="V5743">
        <v>47</v>
      </c>
      <c r="W5743">
        <v>1</v>
      </c>
      <c r="X5743">
        <v>0</v>
      </c>
      <c r="Z5743">
        <v>19.12</v>
      </c>
      <c r="AA5743">
        <v>40.874978</v>
      </c>
      <c r="AB5743">
        <v>-73.846022</v>
      </c>
      <c r="AD5743" t="s">
        <v>10839</v>
      </c>
      <c r="AF5743" t="s">
        <v>10843</v>
      </c>
      <c r="AG5743" t="s">
        <v>10859</v>
      </c>
      <c r="AH5743" t="s">
        <v>10861</v>
      </c>
      <c r="AI5743">
        <v>234</v>
      </c>
      <c r="AJ5743" t="s">
        <v>10214</v>
      </c>
      <c r="AL5743">
        <v>0.7</v>
      </c>
      <c r="AM5743" t="s">
        <v>10893</v>
      </c>
      <c r="AN5743" t="s">
        <v>10956</v>
      </c>
      <c r="AO5743" t="s">
        <v>11010</v>
      </c>
      <c r="AP5743" t="s">
        <v>11085</v>
      </c>
      <c r="AQ5743" t="s">
        <v>11097</v>
      </c>
      <c r="AR5743" t="s">
        <v>11279</v>
      </c>
      <c r="AS5743" t="s">
        <v>9926</v>
      </c>
      <c r="AT5743" t="s">
        <v>11641</v>
      </c>
      <c r="AX5743" t="s">
        <v>10838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</row>
    <row r="5744" spans="1:59">
      <c r="A5744" s="1">
        <f>HYPERLINK("https://lsnyc.legalserver.org/matter/dynamic-profile/view/1910025","19-1910025")</f>
        <v>0</v>
      </c>
      <c r="B5744" t="s">
        <v>4500</v>
      </c>
      <c r="C5744" t="s">
        <v>5033</v>
      </c>
      <c r="D5744" t="s">
        <v>9928</v>
      </c>
      <c r="E5744" t="s">
        <v>10075</v>
      </c>
      <c r="F5744">
        <v>11212</v>
      </c>
      <c r="G5744" t="s">
        <v>10093</v>
      </c>
      <c r="H5744" t="s">
        <v>10162</v>
      </c>
      <c r="I5744" t="s">
        <v>10168</v>
      </c>
      <c r="J5744" t="s">
        <v>10213</v>
      </c>
      <c r="K5744" t="s">
        <v>10217</v>
      </c>
      <c r="M5744" t="s">
        <v>10327</v>
      </c>
      <c r="N5744" t="s">
        <v>10671</v>
      </c>
      <c r="P5744" t="s">
        <v>10749</v>
      </c>
      <c r="Q5744" t="s">
        <v>10767</v>
      </c>
      <c r="R5744" t="s">
        <v>10824</v>
      </c>
      <c r="T5744">
        <v>13260</v>
      </c>
      <c r="U5744">
        <v>1105</v>
      </c>
      <c r="V5744">
        <v>61</v>
      </c>
      <c r="W5744">
        <v>1</v>
      </c>
      <c r="X5744">
        <v>0</v>
      </c>
      <c r="Z5744">
        <v>106.16</v>
      </c>
      <c r="AA5744">
        <v>40.666198</v>
      </c>
      <c r="AB5744">
        <v>-73.90762100000001</v>
      </c>
      <c r="AC5744" t="s">
        <v>10837</v>
      </c>
      <c r="AD5744" t="s">
        <v>10840</v>
      </c>
      <c r="AG5744" t="s">
        <v>10858</v>
      </c>
      <c r="AH5744" t="s">
        <v>10871</v>
      </c>
      <c r="AI5744">
        <v>234</v>
      </c>
      <c r="AJ5744" t="s">
        <v>10214</v>
      </c>
      <c r="AL5744">
        <v>1.86</v>
      </c>
      <c r="AM5744" t="s">
        <v>10888</v>
      </c>
      <c r="AN5744" t="s">
        <v>10922</v>
      </c>
      <c r="AO5744" t="s">
        <v>11005</v>
      </c>
      <c r="AP5744" t="s">
        <v>11064</v>
      </c>
      <c r="AR5744" t="s">
        <v>11257</v>
      </c>
      <c r="AS5744" t="s">
        <v>11595</v>
      </c>
      <c r="AT5744" t="s">
        <v>11642</v>
      </c>
      <c r="AX5744" t="s">
        <v>10838</v>
      </c>
      <c r="BA5744" t="s">
        <v>11741</v>
      </c>
      <c r="BB5744">
        <v>0</v>
      </c>
      <c r="BC5744">
        <v>0</v>
      </c>
      <c r="BD5744">
        <v>0</v>
      </c>
      <c r="BE5744">
        <v>0</v>
      </c>
      <c r="BF5744">
        <v>1</v>
      </c>
      <c r="BG5744">
        <v>0</v>
      </c>
    </row>
    <row r="5745" spans="1:59">
      <c r="A5745" s="1">
        <f>HYPERLINK("https://lsnyc.legalserver.org/matter/dynamic-profile/view/1910027","19-1910027")</f>
        <v>0</v>
      </c>
      <c r="B5745" t="s">
        <v>4501</v>
      </c>
      <c r="C5745" t="s">
        <v>5921</v>
      </c>
      <c r="D5745" t="s">
        <v>9938</v>
      </c>
      <c r="E5745" t="s">
        <v>10075</v>
      </c>
      <c r="F5745">
        <v>11434</v>
      </c>
      <c r="G5745" t="s">
        <v>10092</v>
      </c>
      <c r="H5745" t="s">
        <v>10162</v>
      </c>
      <c r="I5745" t="s">
        <v>10168</v>
      </c>
      <c r="J5745" t="s">
        <v>10212</v>
      </c>
      <c r="K5745" t="s">
        <v>10217</v>
      </c>
      <c r="M5745" t="s">
        <v>10601</v>
      </c>
      <c r="N5745" t="s">
        <v>10693</v>
      </c>
      <c r="P5745" t="s">
        <v>10749</v>
      </c>
      <c r="Q5745" t="s">
        <v>10765</v>
      </c>
      <c r="R5745" t="s">
        <v>10824</v>
      </c>
      <c r="T5745">
        <v>28332</v>
      </c>
      <c r="U5745">
        <v>2361</v>
      </c>
      <c r="V5745">
        <v>60</v>
      </c>
      <c r="W5745">
        <v>1</v>
      </c>
      <c r="X5745">
        <v>0</v>
      </c>
      <c r="Z5745">
        <v>226.84</v>
      </c>
      <c r="AA5745">
        <v>40.676485</v>
      </c>
      <c r="AB5745">
        <v>-73.775977</v>
      </c>
      <c r="AD5745" t="s">
        <v>10840</v>
      </c>
      <c r="AG5745" t="s">
        <v>10858</v>
      </c>
      <c r="AH5745" t="s">
        <v>10862</v>
      </c>
      <c r="AI5745">
        <v>237</v>
      </c>
      <c r="AJ5745" t="s">
        <v>10212</v>
      </c>
      <c r="AK5745" t="s">
        <v>10838</v>
      </c>
      <c r="AL5745">
        <v>5.83</v>
      </c>
      <c r="AM5745" t="s">
        <v>10892</v>
      </c>
      <c r="AN5745" t="s">
        <v>10951</v>
      </c>
      <c r="AO5745" t="s">
        <v>11017</v>
      </c>
      <c r="AP5745" t="s">
        <v>11070</v>
      </c>
      <c r="AR5745" t="s">
        <v>11296</v>
      </c>
      <c r="AS5745" t="s">
        <v>11594</v>
      </c>
      <c r="BA5745" t="s">
        <v>11738</v>
      </c>
      <c r="BB5745">
        <v>0</v>
      </c>
      <c r="BC5745">
        <v>0</v>
      </c>
      <c r="BD5745">
        <v>0</v>
      </c>
      <c r="BE5745">
        <v>0</v>
      </c>
      <c r="BF5745">
        <v>5</v>
      </c>
      <c r="BG5745">
        <v>0</v>
      </c>
    </row>
    <row r="5746" spans="1:59">
      <c r="A5746" s="1">
        <f>HYPERLINK("https://lsnyc.legalserver.org/matter/dynamic-profile/view/1910028","19-1910028")</f>
        <v>0</v>
      </c>
      <c r="B5746" t="s">
        <v>4502</v>
      </c>
      <c r="C5746" t="s">
        <v>9363</v>
      </c>
      <c r="D5746" t="s">
        <v>9941</v>
      </c>
      <c r="E5746" t="s">
        <v>10075</v>
      </c>
      <c r="F5746">
        <v>11427</v>
      </c>
      <c r="G5746" t="s">
        <v>10089</v>
      </c>
      <c r="H5746" t="s">
        <v>10162</v>
      </c>
      <c r="I5746" t="s">
        <v>10169</v>
      </c>
      <c r="J5746" t="s">
        <v>10209</v>
      </c>
      <c r="K5746" t="s">
        <v>10217</v>
      </c>
      <c r="M5746" t="s">
        <v>10488</v>
      </c>
      <c r="N5746" t="s">
        <v>10649</v>
      </c>
      <c r="P5746" t="s">
        <v>10753</v>
      </c>
      <c r="Q5746" t="s">
        <v>10763</v>
      </c>
      <c r="R5746" t="s">
        <v>10823</v>
      </c>
      <c r="T5746">
        <v>10200</v>
      </c>
      <c r="U5746">
        <v>850</v>
      </c>
      <c r="V5746">
        <v>60</v>
      </c>
      <c r="W5746">
        <v>2</v>
      </c>
      <c r="X5746">
        <v>0</v>
      </c>
      <c r="Z5746">
        <v>60.32</v>
      </c>
      <c r="AA5746">
        <v>40.718197</v>
      </c>
      <c r="AB5746">
        <v>-73.75767999999999</v>
      </c>
      <c r="AD5746" t="s">
        <v>10840</v>
      </c>
      <c r="AF5746" t="s">
        <v>10843</v>
      </c>
      <c r="AG5746" t="s">
        <v>10859</v>
      </c>
      <c r="AH5746" t="s">
        <v>10864</v>
      </c>
      <c r="AI5746">
        <v>236</v>
      </c>
      <c r="AJ5746" t="s">
        <v>10209</v>
      </c>
      <c r="AL5746">
        <v>0.75</v>
      </c>
      <c r="AM5746" t="s">
        <v>10892</v>
      </c>
      <c r="AN5746" t="s">
        <v>10955</v>
      </c>
      <c r="AO5746" t="s">
        <v>11020</v>
      </c>
      <c r="AP5746" t="s">
        <v>11078</v>
      </c>
      <c r="AQ5746" t="s">
        <v>11097</v>
      </c>
      <c r="AR5746" t="s">
        <v>11274</v>
      </c>
      <c r="AS5746" t="s">
        <v>11594</v>
      </c>
      <c r="BA5746" t="s">
        <v>11739</v>
      </c>
      <c r="BB5746">
        <v>0</v>
      </c>
      <c r="BC5746">
        <v>0</v>
      </c>
      <c r="BD5746">
        <v>0</v>
      </c>
      <c r="BE5746">
        <v>0</v>
      </c>
      <c r="BF5746">
        <v>4</v>
      </c>
      <c r="BG5746">
        <v>0</v>
      </c>
    </row>
    <row r="5747" spans="1:59">
      <c r="A5747" s="1">
        <f>HYPERLINK("https://lsnyc.legalserver.org/matter/dynamic-profile/view/1910029","19-1910029")</f>
        <v>0</v>
      </c>
      <c r="B5747" t="s">
        <v>4503</v>
      </c>
      <c r="C5747" t="s">
        <v>9364</v>
      </c>
      <c r="D5747" t="s">
        <v>9926</v>
      </c>
      <c r="E5747" t="s">
        <v>10075</v>
      </c>
      <c r="F5747">
        <v>10468</v>
      </c>
      <c r="G5747" t="s">
        <v>10090</v>
      </c>
      <c r="H5747" t="s">
        <v>10162</v>
      </c>
      <c r="I5747" t="s">
        <v>10168</v>
      </c>
      <c r="J5747" t="s">
        <v>10210</v>
      </c>
      <c r="K5747" t="s">
        <v>10217</v>
      </c>
      <c r="M5747" t="s">
        <v>10525</v>
      </c>
      <c r="N5747" t="s">
        <v>10651</v>
      </c>
      <c r="P5747" t="s">
        <v>10749</v>
      </c>
      <c r="Q5747" t="s">
        <v>10765</v>
      </c>
      <c r="R5747" t="s">
        <v>10824</v>
      </c>
      <c r="T5747">
        <v>18356</v>
      </c>
      <c r="U5747">
        <v>1529.67</v>
      </c>
      <c r="V5747">
        <v>54</v>
      </c>
      <c r="W5747">
        <v>1</v>
      </c>
      <c r="X5747">
        <v>0</v>
      </c>
      <c r="Z5747">
        <v>146.97</v>
      </c>
      <c r="AA5747">
        <v>40.873218</v>
      </c>
      <c r="AB5747">
        <v>-73.88851099999999</v>
      </c>
      <c r="AC5747" t="s">
        <v>10838</v>
      </c>
      <c r="AD5747" t="s">
        <v>10839</v>
      </c>
      <c r="AG5747" t="s">
        <v>10858</v>
      </c>
      <c r="AH5747" t="s">
        <v>10862</v>
      </c>
      <c r="AI5747">
        <v>230</v>
      </c>
      <c r="AJ5747" t="s">
        <v>10210</v>
      </c>
      <c r="AL5747">
        <v>2.25</v>
      </c>
      <c r="AM5747" t="s">
        <v>10887</v>
      </c>
      <c r="AN5747" t="s">
        <v>10907</v>
      </c>
      <c r="AO5747" t="s">
        <v>11002</v>
      </c>
      <c r="AP5747" t="s">
        <v>11057</v>
      </c>
      <c r="AR5747" t="s">
        <v>11257</v>
      </c>
      <c r="AS5747" t="s">
        <v>9926</v>
      </c>
      <c r="BA5747" t="s">
        <v>11738</v>
      </c>
      <c r="BB5747">
        <v>0</v>
      </c>
      <c r="BC5747">
        <v>0</v>
      </c>
      <c r="BD5747">
        <v>0</v>
      </c>
      <c r="BE5747">
        <v>0</v>
      </c>
      <c r="BF5747">
        <v>5</v>
      </c>
      <c r="BG5747">
        <v>0</v>
      </c>
    </row>
    <row r="5748" spans="1:59">
      <c r="A5748" s="1">
        <f>HYPERLINK("https://lsnyc.legalserver.org/matter/dynamic-profile/view/1910030","19-1910030")</f>
        <v>0</v>
      </c>
      <c r="B5748" t="s">
        <v>4504</v>
      </c>
      <c r="C5748" t="s">
        <v>9365</v>
      </c>
      <c r="D5748" t="s">
        <v>9975</v>
      </c>
      <c r="E5748" t="s">
        <v>10075</v>
      </c>
      <c r="F5748">
        <v>11415</v>
      </c>
      <c r="G5748" t="s">
        <v>10092</v>
      </c>
      <c r="H5748" t="s">
        <v>10162</v>
      </c>
      <c r="I5748" t="s">
        <v>10168</v>
      </c>
      <c r="J5748" t="s">
        <v>10212</v>
      </c>
      <c r="K5748" t="s">
        <v>10217</v>
      </c>
      <c r="M5748" t="s">
        <v>10637</v>
      </c>
      <c r="N5748" t="s">
        <v>10695</v>
      </c>
      <c r="P5748" t="s">
        <v>10749</v>
      </c>
      <c r="Q5748" t="s">
        <v>10765</v>
      </c>
      <c r="R5748" t="s">
        <v>10820</v>
      </c>
      <c r="T5748">
        <v>10500</v>
      </c>
      <c r="U5748">
        <v>875</v>
      </c>
      <c r="V5748">
        <v>61</v>
      </c>
      <c r="W5748">
        <v>1</v>
      </c>
      <c r="X5748">
        <v>0</v>
      </c>
      <c r="Z5748">
        <v>84.06999999999999</v>
      </c>
      <c r="AA5748">
        <v>40.712555</v>
      </c>
      <c r="AB5748">
        <v>-73.833585</v>
      </c>
      <c r="AD5748" t="s">
        <v>10839</v>
      </c>
      <c r="AG5748" t="s">
        <v>10858</v>
      </c>
      <c r="AH5748" t="s">
        <v>10862</v>
      </c>
      <c r="AI5748">
        <v>237</v>
      </c>
      <c r="AJ5748" t="s">
        <v>10212</v>
      </c>
      <c r="AL5748">
        <v>3.4</v>
      </c>
      <c r="AM5748" t="s">
        <v>10890</v>
      </c>
      <c r="AN5748" t="s">
        <v>10952</v>
      </c>
      <c r="AO5748" t="s">
        <v>11020</v>
      </c>
      <c r="AP5748" t="s">
        <v>11083</v>
      </c>
      <c r="AR5748" t="s">
        <v>11319</v>
      </c>
      <c r="AS5748" t="s">
        <v>11594</v>
      </c>
      <c r="BA5748" t="s">
        <v>11738</v>
      </c>
      <c r="BB5748">
        <v>0</v>
      </c>
      <c r="BC5748">
        <v>0</v>
      </c>
      <c r="BD5748">
        <v>0</v>
      </c>
      <c r="BE5748">
        <v>0</v>
      </c>
      <c r="BF5748">
        <v>5</v>
      </c>
      <c r="BG5748">
        <v>0</v>
      </c>
    </row>
    <row r="5749" spans="1:59">
      <c r="A5749" s="1">
        <f>HYPERLINK("https://lsnyc.legalserver.org/matter/dynamic-profile/view/1910033","19-1910033")</f>
        <v>0</v>
      </c>
      <c r="B5749" t="s">
        <v>4505</v>
      </c>
      <c r="C5749" t="s">
        <v>9366</v>
      </c>
      <c r="D5749" t="s">
        <v>9938</v>
      </c>
      <c r="E5749" t="s">
        <v>10075</v>
      </c>
      <c r="F5749">
        <v>11433</v>
      </c>
      <c r="G5749" t="s">
        <v>10092</v>
      </c>
      <c r="H5749" t="s">
        <v>10162</v>
      </c>
      <c r="I5749" t="s">
        <v>10168</v>
      </c>
      <c r="J5749" t="s">
        <v>10212</v>
      </c>
      <c r="K5749" t="s">
        <v>10217</v>
      </c>
      <c r="M5749" t="s">
        <v>10601</v>
      </c>
      <c r="N5749" t="s">
        <v>10693</v>
      </c>
      <c r="P5749" t="s">
        <v>10749</v>
      </c>
      <c r="Q5749" t="s">
        <v>10767</v>
      </c>
      <c r="R5749" t="s">
        <v>10824</v>
      </c>
      <c r="T5749">
        <v>8292</v>
      </c>
      <c r="U5749">
        <v>691</v>
      </c>
      <c r="V5749">
        <v>37</v>
      </c>
      <c r="W5749">
        <v>1</v>
      </c>
      <c r="X5749">
        <v>2</v>
      </c>
      <c r="Z5749">
        <v>38.87</v>
      </c>
      <c r="AA5749">
        <v>40.696946</v>
      </c>
      <c r="AB5749">
        <v>-73.795062</v>
      </c>
      <c r="AD5749" t="s">
        <v>10839</v>
      </c>
      <c r="AG5749" t="s">
        <v>10858</v>
      </c>
      <c r="AH5749" t="s">
        <v>10862</v>
      </c>
      <c r="AI5749">
        <v>237</v>
      </c>
      <c r="AJ5749" t="s">
        <v>10212</v>
      </c>
      <c r="AL5749">
        <v>3.5</v>
      </c>
      <c r="AM5749" t="s">
        <v>10892</v>
      </c>
      <c r="AN5749" t="s">
        <v>10951</v>
      </c>
      <c r="AO5749" t="s">
        <v>11020</v>
      </c>
      <c r="AP5749" t="s">
        <v>11070</v>
      </c>
      <c r="AR5749" t="s">
        <v>11263</v>
      </c>
      <c r="AS5749" t="s">
        <v>11594</v>
      </c>
      <c r="BA5749" t="s">
        <v>11742</v>
      </c>
      <c r="BB5749">
        <v>0</v>
      </c>
      <c r="BC5749">
        <v>0</v>
      </c>
      <c r="BD5749">
        <v>0</v>
      </c>
      <c r="BE5749">
        <v>0</v>
      </c>
      <c r="BF5749">
        <v>7</v>
      </c>
      <c r="BG5749">
        <v>0</v>
      </c>
    </row>
    <row r="5750" spans="1:59">
      <c r="A5750" s="1">
        <f>HYPERLINK("https://lsnyc.legalserver.org/matter/dynamic-profile/view/1910034","19-1910034")</f>
        <v>0</v>
      </c>
      <c r="B5750" t="s">
        <v>4503</v>
      </c>
      <c r="C5750" t="s">
        <v>9364</v>
      </c>
      <c r="D5750" t="s">
        <v>9926</v>
      </c>
      <c r="E5750" t="s">
        <v>10075</v>
      </c>
      <c r="F5750">
        <v>10468</v>
      </c>
      <c r="G5750" t="s">
        <v>10090</v>
      </c>
      <c r="H5750" t="s">
        <v>10162</v>
      </c>
      <c r="I5750" t="s">
        <v>10168</v>
      </c>
      <c r="J5750" t="s">
        <v>10210</v>
      </c>
      <c r="K5750" t="s">
        <v>10217</v>
      </c>
      <c r="M5750" t="s">
        <v>10401</v>
      </c>
      <c r="N5750" t="s">
        <v>10671</v>
      </c>
      <c r="P5750" t="s">
        <v>10751</v>
      </c>
      <c r="Q5750" t="s">
        <v>10761</v>
      </c>
      <c r="R5750" t="s">
        <v>10824</v>
      </c>
      <c r="T5750">
        <v>18356</v>
      </c>
      <c r="U5750">
        <v>1529.67</v>
      </c>
      <c r="V5750">
        <v>54</v>
      </c>
      <c r="W5750">
        <v>1</v>
      </c>
      <c r="X5750">
        <v>0</v>
      </c>
      <c r="Z5750">
        <v>146.97</v>
      </c>
      <c r="AA5750">
        <v>40.873218</v>
      </c>
      <c r="AB5750">
        <v>-73.88851099999999</v>
      </c>
      <c r="AC5750" t="s">
        <v>10838</v>
      </c>
      <c r="AD5750" t="s">
        <v>10839</v>
      </c>
      <c r="AG5750" t="s">
        <v>10858</v>
      </c>
      <c r="AH5750" t="s">
        <v>10862</v>
      </c>
      <c r="AI5750">
        <v>230</v>
      </c>
      <c r="AJ5750" t="s">
        <v>10210</v>
      </c>
      <c r="AL5750">
        <v>0.75</v>
      </c>
      <c r="AR5750" t="s">
        <v>11257</v>
      </c>
      <c r="AS5750" t="s">
        <v>9926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</row>
    <row r="5751" spans="1:59">
      <c r="A5751" s="1">
        <f>HYPERLINK("https://lsnyc.legalserver.org/matter/dynamic-profile/view/1910035","19-1910035")</f>
        <v>0</v>
      </c>
      <c r="B5751" t="s">
        <v>4506</v>
      </c>
      <c r="C5751" t="s">
        <v>9367</v>
      </c>
      <c r="D5751" t="s">
        <v>9926</v>
      </c>
      <c r="E5751" t="s">
        <v>10075</v>
      </c>
      <c r="F5751">
        <v>10462</v>
      </c>
      <c r="G5751" t="s">
        <v>10090</v>
      </c>
      <c r="H5751" t="s">
        <v>10162</v>
      </c>
      <c r="I5751" t="s">
        <v>10169</v>
      </c>
      <c r="J5751" t="s">
        <v>10210</v>
      </c>
      <c r="K5751" t="s">
        <v>10218</v>
      </c>
      <c r="L5751" t="s">
        <v>10162</v>
      </c>
      <c r="M5751" t="s">
        <v>10455</v>
      </c>
      <c r="N5751" t="s">
        <v>10677</v>
      </c>
      <c r="P5751" t="s">
        <v>10756</v>
      </c>
      <c r="Q5751" t="s">
        <v>10792</v>
      </c>
      <c r="R5751" t="s">
        <v>10823</v>
      </c>
      <c r="T5751">
        <v>19416</v>
      </c>
      <c r="U5751">
        <v>1618</v>
      </c>
      <c r="V5751">
        <v>87</v>
      </c>
      <c r="W5751">
        <v>1</v>
      </c>
      <c r="X5751">
        <v>0</v>
      </c>
      <c r="Y5751" t="s">
        <v>10830</v>
      </c>
      <c r="Z5751">
        <v>155.45</v>
      </c>
      <c r="AA5751">
        <v>40.8472</v>
      </c>
      <c r="AB5751">
        <v>-73.85944600000001</v>
      </c>
      <c r="AD5751" t="s">
        <v>10839</v>
      </c>
      <c r="AG5751" t="s">
        <v>10858</v>
      </c>
      <c r="AH5751" t="s">
        <v>10869</v>
      </c>
      <c r="AI5751">
        <v>230</v>
      </c>
      <c r="AJ5751" t="s">
        <v>10210</v>
      </c>
      <c r="AK5751" t="s">
        <v>10838</v>
      </c>
      <c r="AL5751">
        <v>0.5</v>
      </c>
      <c r="AM5751" t="s">
        <v>10885</v>
      </c>
      <c r="AN5751" t="s">
        <v>10938</v>
      </c>
      <c r="AO5751" t="s">
        <v>11002</v>
      </c>
      <c r="AP5751" t="s">
        <v>11049</v>
      </c>
      <c r="AR5751" t="s">
        <v>11456</v>
      </c>
      <c r="AS5751" t="s">
        <v>9926</v>
      </c>
      <c r="AT5751" t="s">
        <v>11641</v>
      </c>
      <c r="AX5751" t="s">
        <v>10838</v>
      </c>
      <c r="AY5751" t="s">
        <v>10830</v>
      </c>
      <c r="AZ5751" t="s">
        <v>11698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</row>
    <row r="5752" spans="1:59">
      <c r="A5752" s="1">
        <f>HYPERLINK("https://lsnyc.legalserver.org/matter/dynamic-profile/view/1910036","19-1910036")</f>
        <v>0</v>
      </c>
      <c r="B5752" t="s">
        <v>4507</v>
      </c>
      <c r="D5752" t="s">
        <v>9928</v>
      </c>
      <c r="E5752" t="s">
        <v>10075</v>
      </c>
      <c r="F5752">
        <v>11201</v>
      </c>
      <c r="G5752" t="s">
        <v>10093</v>
      </c>
      <c r="H5752" t="s">
        <v>10162</v>
      </c>
      <c r="I5752" t="s">
        <v>10205</v>
      </c>
      <c r="J5752" t="s">
        <v>10213</v>
      </c>
      <c r="K5752" t="s">
        <v>10217</v>
      </c>
      <c r="M5752" t="s">
        <v>10521</v>
      </c>
      <c r="N5752" t="s">
        <v>10732</v>
      </c>
      <c r="P5752" t="s">
        <v>10754</v>
      </c>
      <c r="Q5752" t="s">
        <v>10775</v>
      </c>
      <c r="R5752" t="s">
        <v>10820</v>
      </c>
      <c r="T5752">
        <v>30000</v>
      </c>
      <c r="U5752">
        <v>2500</v>
      </c>
      <c r="V5752">
        <v>22</v>
      </c>
      <c r="W5752">
        <v>1</v>
      </c>
      <c r="X5752">
        <v>0</v>
      </c>
      <c r="Z5752">
        <v>240.19</v>
      </c>
      <c r="AA5752">
        <v>0</v>
      </c>
      <c r="AB5752">
        <v>0</v>
      </c>
      <c r="AD5752" t="s">
        <v>10840</v>
      </c>
      <c r="AF5752" t="s">
        <v>10842</v>
      </c>
      <c r="AG5752" t="s">
        <v>10859</v>
      </c>
      <c r="AH5752" t="s">
        <v>10865</v>
      </c>
      <c r="AI5752">
        <v>239</v>
      </c>
      <c r="AJ5752" t="s">
        <v>10213</v>
      </c>
      <c r="AL5752">
        <v>0</v>
      </c>
      <c r="AQ5752" t="s">
        <v>11143</v>
      </c>
      <c r="AR5752" t="s">
        <v>11257</v>
      </c>
      <c r="AS5752" t="s">
        <v>11595</v>
      </c>
      <c r="AT5752" t="s">
        <v>11642</v>
      </c>
      <c r="AX5752" t="s">
        <v>10837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</row>
    <row r="5753" spans="1:59">
      <c r="A5753" s="1">
        <f>HYPERLINK("https://lsnyc.legalserver.org/matter/dynamic-profile/view/1910037","19-1910037")</f>
        <v>0</v>
      </c>
      <c r="B5753" t="s">
        <v>4508</v>
      </c>
      <c r="C5753" t="s">
        <v>9368</v>
      </c>
      <c r="D5753" t="s">
        <v>9951</v>
      </c>
      <c r="E5753" t="s">
        <v>10075</v>
      </c>
      <c r="F5753">
        <v>11416</v>
      </c>
      <c r="G5753" t="s">
        <v>10092</v>
      </c>
      <c r="H5753" t="s">
        <v>10162</v>
      </c>
      <c r="I5753" t="s">
        <v>10168</v>
      </c>
      <c r="J5753" t="s">
        <v>10212</v>
      </c>
      <c r="K5753" t="s">
        <v>10217</v>
      </c>
      <c r="M5753" t="s">
        <v>10484</v>
      </c>
      <c r="N5753" t="s">
        <v>10695</v>
      </c>
      <c r="P5753" t="s">
        <v>10749</v>
      </c>
      <c r="Q5753" t="s">
        <v>10765</v>
      </c>
      <c r="R5753" t="s">
        <v>10821</v>
      </c>
      <c r="T5753">
        <v>16316</v>
      </c>
      <c r="U5753">
        <v>1359.67</v>
      </c>
      <c r="V5753">
        <v>36</v>
      </c>
      <c r="W5753">
        <v>1</v>
      </c>
      <c r="X5753">
        <v>3</v>
      </c>
      <c r="Z5753">
        <v>63.36</v>
      </c>
      <c r="AA5753">
        <v>40.685776</v>
      </c>
      <c r="AB5753">
        <v>-73.849323</v>
      </c>
      <c r="AD5753" t="s">
        <v>10839</v>
      </c>
      <c r="AG5753" t="s">
        <v>10858</v>
      </c>
      <c r="AH5753" t="s">
        <v>10862</v>
      </c>
      <c r="AI5753">
        <v>237</v>
      </c>
      <c r="AJ5753" t="s">
        <v>10212</v>
      </c>
      <c r="AL5753">
        <v>1.3</v>
      </c>
      <c r="AM5753" t="s">
        <v>10886</v>
      </c>
      <c r="AN5753" t="s">
        <v>10945</v>
      </c>
      <c r="AO5753" t="s">
        <v>11024</v>
      </c>
      <c r="AP5753" t="s">
        <v>11088</v>
      </c>
      <c r="AR5753" t="s">
        <v>11295</v>
      </c>
      <c r="AS5753" t="s">
        <v>11594</v>
      </c>
      <c r="BA5753" t="s">
        <v>11742</v>
      </c>
      <c r="BB5753">
        <v>0</v>
      </c>
      <c r="BC5753">
        <v>0</v>
      </c>
      <c r="BD5753">
        <v>0</v>
      </c>
      <c r="BE5753">
        <v>0</v>
      </c>
      <c r="BF5753">
        <v>7</v>
      </c>
      <c r="BG5753">
        <v>0</v>
      </c>
    </row>
    <row r="5754" spans="1:59">
      <c r="A5754" s="1">
        <f>HYPERLINK("https://lsnyc.legalserver.org/matter/dynamic-profile/view/1910038","19-1910038")</f>
        <v>0</v>
      </c>
      <c r="B5754" t="s">
        <v>542</v>
      </c>
      <c r="C5754" t="s">
        <v>9369</v>
      </c>
      <c r="D5754" t="s">
        <v>9928</v>
      </c>
      <c r="E5754" t="s">
        <v>10075</v>
      </c>
      <c r="F5754">
        <v>11212</v>
      </c>
      <c r="G5754" t="s">
        <v>10093</v>
      </c>
      <c r="H5754" t="s">
        <v>10162</v>
      </c>
      <c r="I5754" t="s">
        <v>10168</v>
      </c>
      <c r="J5754" t="s">
        <v>10213</v>
      </c>
      <c r="K5754" t="s">
        <v>10217</v>
      </c>
      <c r="M5754" t="s">
        <v>10308</v>
      </c>
      <c r="N5754" t="s">
        <v>10650</v>
      </c>
      <c r="P5754" t="s">
        <v>10749</v>
      </c>
      <c r="Q5754" t="s">
        <v>10765</v>
      </c>
      <c r="R5754" t="s">
        <v>10824</v>
      </c>
      <c r="T5754">
        <v>41580</v>
      </c>
      <c r="U5754">
        <v>3465</v>
      </c>
      <c r="V5754">
        <v>43</v>
      </c>
      <c r="W5754">
        <v>3</v>
      </c>
      <c r="X5754">
        <v>1</v>
      </c>
      <c r="Z5754">
        <v>161.48</v>
      </c>
      <c r="AA5754">
        <v>40.66196</v>
      </c>
      <c r="AB5754">
        <v>-73.922715</v>
      </c>
      <c r="AC5754" t="s">
        <v>10838</v>
      </c>
      <c r="AD5754" t="s">
        <v>10840</v>
      </c>
      <c r="AG5754" t="s">
        <v>10858</v>
      </c>
      <c r="AH5754" t="s">
        <v>10861</v>
      </c>
      <c r="AI5754">
        <v>234</v>
      </c>
      <c r="AJ5754" t="s">
        <v>10214</v>
      </c>
      <c r="AL5754">
        <v>4.4</v>
      </c>
      <c r="AM5754" t="s">
        <v>10888</v>
      </c>
      <c r="AN5754" t="s">
        <v>10925</v>
      </c>
      <c r="AO5754" t="s">
        <v>11005</v>
      </c>
      <c r="AP5754" t="s">
        <v>11064</v>
      </c>
      <c r="AR5754" t="s">
        <v>11257</v>
      </c>
      <c r="AS5754" t="s">
        <v>11595</v>
      </c>
      <c r="AT5754" t="s">
        <v>11642</v>
      </c>
      <c r="AX5754" t="s">
        <v>10838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</row>
    <row r="5755" spans="1:59">
      <c r="A5755" s="1">
        <f>HYPERLINK("https://lsnyc.legalserver.org/matter/dynamic-profile/view/1910039","19-1910039")</f>
        <v>0</v>
      </c>
      <c r="B5755" t="s">
        <v>4509</v>
      </c>
      <c r="C5755" t="s">
        <v>9370</v>
      </c>
      <c r="D5755" t="s">
        <v>9925</v>
      </c>
      <c r="E5755" t="s">
        <v>10075</v>
      </c>
      <c r="F5755">
        <v>10026</v>
      </c>
      <c r="G5755" t="s">
        <v>10091</v>
      </c>
      <c r="H5755" t="s">
        <v>10162</v>
      </c>
      <c r="I5755" t="s">
        <v>10168</v>
      </c>
      <c r="J5755" t="s">
        <v>10214</v>
      </c>
      <c r="K5755" t="s">
        <v>10217</v>
      </c>
      <c r="M5755" t="s">
        <v>10286</v>
      </c>
      <c r="N5755" t="s">
        <v>10671</v>
      </c>
      <c r="P5755" t="s">
        <v>10751</v>
      </c>
      <c r="Q5755" t="s">
        <v>10768</v>
      </c>
      <c r="R5755" t="s">
        <v>10824</v>
      </c>
      <c r="T5755">
        <v>13272</v>
      </c>
      <c r="U5755">
        <v>1106</v>
      </c>
      <c r="V5755">
        <v>15</v>
      </c>
      <c r="W5755">
        <v>1</v>
      </c>
      <c r="X5755">
        <v>1</v>
      </c>
      <c r="Z5755">
        <v>78.48999999999999</v>
      </c>
      <c r="AA5755">
        <v>40.806163</v>
      </c>
      <c r="AB5755">
        <v>-73.956211</v>
      </c>
      <c r="AD5755" t="s">
        <v>10840</v>
      </c>
      <c r="AG5755" t="s">
        <v>10858</v>
      </c>
      <c r="AH5755" t="s">
        <v>10871</v>
      </c>
      <c r="AI5755">
        <v>234</v>
      </c>
      <c r="AJ5755" t="s">
        <v>10214</v>
      </c>
      <c r="AL5755">
        <v>1</v>
      </c>
      <c r="AM5755" t="s">
        <v>10887</v>
      </c>
      <c r="AN5755" t="s">
        <v>10936</v>
      </c>
      <c r="AO5755" t="s">
        <v>11016</v>
      </c>
      <c r="AP5755" t="s">
        <v>11076</v>
      </c>
      <c r="AR5755" t="s">
        <v>11319</v>
      </c>
      <c r="AS5755" t="s">
        <v>9925</v>
      </c>
      <c r="AT5755" t="s">
        <v>11642</v>
      </c>
      <c r="AX5755" t="s">
        <v>10838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</row>
    <row r="5756" spans="1:59">
      <c r="A5756" s="1">
        <f>HYPERLINK("https://lsnyc.legalserver.org/matter/dynamic-profile/view/1910040","19-1910040")</f>
        <v>0</v>
      </c>
      <c r="B5756" t="s">
        <v>4510</v>
      </c>
      <c r="C5756" t="s">
        <v>9371</v>
      </c>
      <c r="D5756" t="s">
        <v>9926</v>
      </c>
      <c r="E5756" t="s">
        <v>10075</v>
      </c>
      <c r="F5756">
        <v>10457</v>
      </c>
      <c r="G5756" t="s">
        <v>10090</v>
      </c>
      <c r="H5756" t="s">
        <v>10162</v>
      </c>
      <c r="I5756" t="s">
        <v>10168</v>
      </c>
      <c r="J5756" t="s">
        <v>10210</v>
      </c>
      <c r="K5756" t="s">
        <v>10217</v>
      </c>
      <c r="M5756" t="s">
        <v>10404</v>
      </c>
      <c r="N5756" t="s">
        <v>10651</v>
      </c>
      <c r="P5756" t="s">
        <v>10749</v>
      </c>
      <c r="Q5756" t="s">
        <v>10765</v>
      </c>
      <c r="R5756" t="s">
        <v>10825</v>
      </c>
      <c r="T5756">
        <v>14508</v>
      </c>
      <c r="U5756">
        <v>1209</v>
      </c>
      <c r="V5756">
        <v>66</v>
      </c>
      <c r="W5756">
        <v>1</v>
      </c>
      <c r="X5756">
        <v>0</v>
      </c>
      <c r="Z5756">
        <v>116.16</v>
      </c>
      <c r="AA5756">
        <v>40.8563</v>
      </c>
      <c r="AB5756">
        <v>-73.897739</v>
      </c>
      <c r="AD5756" t="s">
        <v>10839</v>
      </c>
      <c r="AG5756" t="s">
        <v>10858</v>
      </c>
      <c r="AH5756" t="s">
        <v>10862</v>
      </c>
      <c r="AI5756">
        <v>230</v>
      </c>
      <c r="AJ5756" t="s">
        <v>10210</v>
      </c>
      <c r="AL5756">
        <v>8</v>
      </c>
      <c r="AM5756" t="s">
        <v>10884</v>
      </c>
      <c r="AN5756" t="s">
        <v>10931</v>
      </c>
      <c r="AO5756" t="s">
        <v>11000</v>
      </c>
      <c r="AP5756" t="s">
        <v>11056</v>
      </c>
      <c r="AR5756" t="s">
        <v>11263</v>
      </c>
      <c r="AS5756" t="s">
        <v>9926</v>
      </c>
      <c r="BA5756" t="s">
        <v>11741</v>
      </c>
      <c r="BB5756">
        <v>0</v>
      </c>
      <c r="BC5756">
        <v>0</v>
      </c>
      <c r="BD5756">
        <v>0</v>
      </c>
      <c r="BE5756">
        <v>0</v>
      </c>
      <c r="BF5756">
        <v>1</v>
      </c>
      <c r="BG5756">
        <v>0</v>
      </c>
    </row>
    <row r="5757" spans="1:59">
      <c r="A5757" s="1">
        <f>HYPERLINK("https://lsnyc.legalserver.org/matter/dynamic-profile/view/1910041","19-1910041")</f>
        <v>0</v>
      </c>
      <c r="B5757" t="s">
        <v>2791</v>
      </c>
      <c r="C5757" t="s">
        <v>7576</v>
      </c>
      <c r="D5757" t="s">
        <v>9928</v>
      </c>
      <c r="E5757" t="s">
        <v>10075</v>
      </c>
      <c r="F5757">
        <v>11213</v>
      </c>
      <c r="G5757" t="s">
        <v>10093</v>
      </c>
      <c r="H5757" t="s">
        <v>10162</v>
      </c>
      <c r="I5757" t="s">
        <v>10176</v>
      </c>
      <c r="J5757" t="s">
        <v>10213</v>
      </c>
      <c r="K5757" t="s">
        <v>10217</v>
      </c>
      <c r="M5757" t="s">
        <v>10435</v>
      </c>
      <c r="N5757" t="s">
        <v>10694</v>
      </c>
      <c r="P5757" t="s">
        <v>10751</v>
      </c>
      <c r="Q5757" t="s">
        <v>10773</v>
      </c>
      <c r="R5757" t="s">
        <v>10824</v>
      </c>
      <c r="T5757">
        <v>30000</v>
      </c>
      <c r="U5757">
        <v>2500</v>
      </c>
      <c r="V5757">
        <v>43</v>
      </c>
      <c r="W5757">
        <v>2</v>
      </c>
      <c r="X5757">
        <v>2</v>
      </c>
      <c r="Z5757">
        <v>116.5</v>
      </c>
      <c r="AA5757">
        <v>40.66919</v>
      </c>
      <c r="AB5757">
        <v>-73.92693300000001</v>
      </c>
      <c r="AD5757" t="s">
        <v>10840</v>
      </c>
      <c r="AG5757" t="s">
        <v>10858</v>
      </c>
      <c r="AH5757" t="s">
        <v>10876</v>
      </c>
      <c r="AI5757">
        <v>239</v>
      </c>
      <c r="AJ5757" t="s">
        <v>10213</v>
      </c>
      <c r="AL5757">
        <v>7</v>
      </c>
      <c r="AM5757" t="s">
        <v>10888</v>
      </c>
      <c r="AN5757" t="s">
        <v>10922</v>
      </c>
      <c r="AO5757" t="s">
        <v>11005</v>
      </c>
      <c r="AP5757" t="s">
        <v>11064</v>
      </c>
      <c r="AR5757" t="s">
        <v>11257</v>
      </c>
      <c r="AS5757" t="s">
        <v>11595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</row>
    <row r="5758" spans="1:59">
      <c r="A5758" s="1">
        <f>HYPERLINK("https://lsnyc.legalserver.org/matter/dynamic-profile/view/1910042","19-1910042")</f>
        <v>0</v>
      </c>
      <c r="B5758" t="s">
        <v>4511</v>
      </c>
      <c r="C5758" t="s">
        <v>9372</v>
      </c>
      <c r="D5758" t="s">
        <v>9928</v>
      </c>
      <c r="E5758" t="s">
        <v>10075</v>
      </c>
      <c r="F5758">
        <v>11208</v>
      </c>
      <c r="G5758" t="s">
        <v>10093</v>
      </c>
      <c r="H5758" t="s">
        <v>10162</v>
      </c>
      <c r="I5758" t="s">
        <v>10168</v>
      </c>
      <c r="J5758" t="s">
        <v>10213</v>
      </c>
      <c r="K5758" t="s">
        <v>10217</v>
      </c>
      <c r="M5758" t="s">
        <v>10405</v>
      </c>
      <c r="N5758" t="s">
        <v>10671</v>
      </c>
      <c r="P5758" t="s">
        <v>10749</v>
      </c>
      <c r="Q5758" t="s">
        <v>10765</v>
      </c>
      <c r="R5758" t="s">
        <v>10824</v>
      </c>
      <c r="T5758">
        <v>0</v>
      </c>
      <c r="U5758">
        <v>0</v>
      </c>
      <c r="V5758">
        <v>47</v>
      </c>
      <c r="W5758">
        <v>1</v>
      </c>
      <c r="X5758">
        <v>0</v>
      </c>
      <c r="Z5758">
        <v>0</v>
      </c>
      <c r="AA5758">
        <v>40.677669</v>
      </c>
      <c r="AB5758">
        <v>-73.877133</v>
      </c>
      <c r="AD5758" t="s">
        <v>10840</v>
      </c>
      <c r="AG5758" t="s">
        <v>10858</v>
      </c>
      <c r="AH5758" t="s">
        <v>10861</v>
      </c>
      <c r="AI5758">
        <v>234</v>
      </c>
      <c r="AJ5758" t="s">
        <v>10214</v>
      </c>
      <c r="AL5758">
        <v>2.3</v>
      </c>
      <c r="AM5758" t="s">
        <v>10889</v>
      </c>
      <c r="AN5758" t="s">
        <v>10920</v>
      </c>
      <c r="AO5758" t="s">
        <v>11011</v>
      </c>
      <c r="AP5758" t="s">
        <v>11058</v>
      </c>
      <c r="AR5758" t="s">
        <v>11267</v>
      </c>
      <c r="AS5758" t="s">
        <v>11595</v>
      </c>
      <c r="AT5758" t="s">
        <v>11642</v>
      </c>
      <c r="AX5758" t="s">
        <v>10838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</row>
    <row r="5759" spans="1:59">
      <c r="A5759" s="1">
        <f>HYPERLINK("https://lsnyc.legalserver.org/matter/dynamic-profile/view/1910044","19-1910044")</f>
        <v>0</v>
      </c>
      <c r="B5759" t="s">
        <v>4327</v>
      </c>
      <c r="C5759" t="s">
        <v>9373</v>
      </c>
      <c r="D5759" t="s">
        <v>9947</v>
      </c>
      <c r="E5759" t="s">
        <v>10075</v>
      </c>
      <c r="F5759">
        <v>11374</v>
      </c>
      <c r="G5759" t="s">
        <v>10092</v>
      </c>
      <c r="H5759" t="s">
        <v>10162</v>
      </c>
      <c r="I5759" t="s">
        <v>10168</v>
      </c>
      <c r="J5759" t="s">
        <v>10212</v>
      </c>
      <c r="K5759" t="s">
        <v>10217</v>
      </c>
      <c r="M5759" t="s">
        <v>10260</v>
      </c>
      <c r="N5759" t="s">
        <v>10665</v>
      </c>
      <c r="P5759" t="s">
        <v>10751</v>
      </c>
      <c r="Q5759" t="s">
        <v>10773</v>
      </c>
      <c r="R5759" t="s">
        <v>10820</v>
      </c>
      <c r="T5759">
        <v>0</v>
      </c>
      <c r="U5759">
        <v>0</v>
      </c>
      <c r="V5759">
        <v>48</v>
      </c>
      <c r="W5759">
        <v>1</v>
      </c>
      <c r="X5759">
        <v>0</v>
      </c>
      <c r="Z5759">
        <v>0</v>
      </c>
      <c r="AA5759">
        <v>40.725489</v>
      </c>
      <c r="AB5759">
        <v>-73.857626</v>
      </c>
      <c r="AD5759" t="s">
        <v>10840</v>
      </c>
      <c r="AG5759" t="s">
        <v>10858</v>
      </c>
      <c r="AH5759" t="s">
        <v>10861</v>
      </c>
      <c r="AI5759">
        <v>234</v>
      </c>
      <c r="AJ5759" t="s">
        <v>10214</v>
      </c>
      <c r="AL5759">
        <v>1.5</v>
      </c>
      <c r="AR5759" t="s">
        <v>11267</v>
      </c>
      <c r="AS5759" t="s">
        <v>11594</v>
      </c>
      <c r="AT5759" t="s">
        <v>11642</v>
      </c>
      <c r="AX5759" t="s">
        <v>10838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</row>
    <row r="5760" spans="1:59">
      <c r="A5760" s="1">
        <f>HYPERLINK("https://lsnyc.legalserver.org/matter/dynamic-profile/view/1910045","19-1910045")</f>
        <v>0</v>
      </c>
      <c r="B5760" t="s">
        <v>4236</v>
      </c>
      <c r="C5760" t="s">
        <v>5248</v>
      </c>
      <c r="D5760" t="s">
        <v>9926</v>
      </c>
      <c r="E5760" t="s">
        <v>10075</v>
      </c>
      <c r="F5760">
        <v>10456</v>
      </c>
      <c r="G5760" t="s">
        <v>10090</v>
      </c>
      <c r="H5760" t="s">
        <v>10162</v>
      </c>
      <c r="I5760" t="s">
        <v>10169</v>
      </c>
      <c r="J5760" t="s">
        <v>10210</v>
      </c>
      <c r="K5760" t="s">
        <v>10217</v>
      </c>
      <c r="M5760" t="s">
        <v>10622</v>
      </c>
      <c r="N5760" t="s">
        <v>10650</v>
      </c>
      <c r="P5760" t="s">
        <v>10749</v>
      </c>
      <c r="Q5760" t="s">
        <v>10765</v>
      </c>
      <c r="R5760" t="s">
        <v>10821</v>
      </c>
      <c r="T5760">
        <v>9600</v>
      </c>
      <c r="U5760">
        <v>800</v>
      </c>
      <c r="V5760">
        <v>24</v>
      </c>
      <c r="W5760">
        <v>1</v>
      </c>
      <c r="X5760">
        <v>3</v>
      </c>
      <c r="Z5760">
        <v>37.28</v>
      </c>
      <c r="AA5760">
        <v>40.83003</v>
      </c>
      <c r="AB5760">
        <v>-73.90730000000001</v>
      </c>
      <c r="AD5760" t="s">
        <v>10839</v>
      </c>
      <c r="AF5760" t="s">
        <v>10843</v>
      </c>
      <c r="AG5760" t="s">
        <v>10859</v>
      </c>
      <c r="AH5760" t="s">
        <v>10862</v>
      </c>
      <c r="AI5760">
        <v>230</v>
      </c>
      <c r="AJ5760" t="s">
        <v>10210</v>
      </c>
      <c r="AL5760">
        <v>0</v>
      </c>
      <c r="AM5760" t="s">
        <v>10884</v>
      </c>
      <c r="AN5760" t="s">
        <v>10918</v>
      </c>
      <c r="AO5760" t="s">
        <v>11001</v>
      </c>
      <c r="AP5760" t="s">
        <v>11055</v>
      </c>
      <c r="AR5760" t="s">
        <v>11390</v>
      </c>
      <c r="AS5760" t="s">
        <v>9926</v>
      </c>
      <c r="BA5760" t="s">
        <v>11741</v>
      </c>
      <c r="BB5760">
        <v>0</v>
      </c>
      <c r="BC5760">
        <v>0</v>
      </c>
      <c r="BD5760">
        <v>0</v>
      </c>
      <c r="BE5760">
        <v>0</v>
      </c>
      <c r="BF5760">
        <v>1</v>
      </c>
      <c r="BG5760">
        <v>0</v>
      </c>
    </row>
    <row r="5761" spans="1:59">
      <c r="A5761" s="1">
        <f>HYPERLINK("https://lsnyc.legalserver.org/matter/dynamic-profile/view/1910046","19-1910046")</f>
        <v>0</v>
      </c>
      <c r="B5761" t="s">
        <v>4502</v>
      </c>
      <c r="C5761" t="s">
        <v>9363</v>
      </c>
      <c r="D5761" t="s">
        <v>9941</v>
      </c>
      <c r="E5761" t="s">
        <v>10075</v>
      </c>
      <c r="F5761">
        <v>11427</v>
      </c>
      <c r="G5761" t="s">
        <v>10089</v>
      </c>
      <c r="H5761" t="s">
        <v>10162</v>
      </c>
      <c r="I5761" t="s">
        <v>10169</v>
      </c>
      <c r="J5761" t="s">
        <v>10209</v>
      </c>
      <c r="K5761" t="s">
        <v>10217</v>
      </c>
      <c r="M5761" t="s">
        <v>10488</v>
      </c>
      <c r="N5761" t="s">
        <v>10649</v>
      </c>
      <c r="P5761" t="s">
        <v>10753</v>
      </c>
      <c r="Q5761" t="s">
        <v>10763</v>
      </c>
      <c r="R5761" t="s">
        <v>10823</v>
      </c>
      <c r="T5761">
        <v>10200</v>
      </c>
      <c r="U5761">
        <v>850</v>
      </c>
      <c r="V5761">
        <v>60</v>
      </c>
      <c r="W5761">
        <v>1</v>
      </c>
      <c r="X5761">
        <v>0</v>
      </c>
      <c r="Z5761">
        <v>81.67</v>
      </c>
      <c r="AA5761">
        <v>40.718197</v>
      </c>
      <c r="AB5761">
        <v>-73.75767999999999</v>
      </c>
      <c r="AD5761" t="s">
        <v>10840</v>
      </c>
      <c r="AF5761" t="s">
        <v>10843</v>
      </c>
      <c r="AG5761" t="s">
        <v>10859</v>
      </c>
      <c r="AH5761" t="s">
        <v>10864</v>
      </c>
      <c r="AI5761">
        <v>236</v>
      </c>
      <c r="AJ5761" t="s">
        <v>10209</v>
      </c>
      <c r="AL5761">
        <v>0.5</v>
      </c>
      <c r="AM5761" t="s">
        <v>10892</v>
      </c>
      <c r="AN5761" t="s">
        <v>10955</v>
      </c>
      <c r="AO5761" t="s">
        <v>11020</v>
      </c>
      <c r="AP5761" t="s">
        <v>11078</v>
      </c>
      <c r="AQ5761" t="s">
        <v>11104</v>
      </c>
      <c r="AR5761" t="s">
        <v>11274</v>
      </c>
      <c r="AS5761" t="s">
        <v>11594</v>
      </c>
      <c r="BA5761" t="s">
        <v>11739</v>
      </c>
      <c r="BB5761">
        <v>0</v>
      </c>
      <c r="BC5761">
        <v>0</v>
      </c>
      <c r="BD5761">
        <v>0</v>
      </c>
      <c r="BE5761">
        <v>0</v>
      </c>
      <c r="BF5761">
        <v>4</v>
      </c>
      <c r="BG5761">
        <v>0</v>
      </c>
    </row>
    <row r="5762" spans="1:59">
      <c r="A5762" s="1">
        <f>HYPERLINK("https://lsnyc.legalserver.org/matter/dynamic-profile/view/1910047","19-1910047")</f>
        <v>0</v>
      </c>
      <c r="B5762" t="s">
        <v>4512</v>
      </c>
      <c r="C5762" t="s">
        <v>9374</v>
      </c>
      <c r="D5762" t="s">
        <v>9949</v>
      </c>
      <c r="E5762" t="s">
        <v>10075</v>
      </c>
      <c r="F5762">
        <v>11413</v>
      </c>
      <c r="G5762" t="s">
        <v>10092</v>
      </c>
      <c r="H5762" t="s">
        <v>10162</v>
      </c>
      <c r="I5762" t="s">
        <v>10168</v>
      </c>
      <c r="J5762" t="s">
        <v>10212</v>
      </c>
      <c r="K5762" t="s">
        <v>10217</v>
      </c>
      <c r="M5762" t="s">
        <v>10335</v>
      </c>
      <c r="N5762" t="s">
        <v>10695</v>
      </c>
      <c r="P5762" t="s">
        <v>10749</v>
      </c>
      <c r="Q5762" t="s">
        <v>10765</v>
      </c>
      <c r="R5762" t="s">
        <v>10820</v>
      </c>
      <c r="T5762">
        <v>8400</v>
      </c>
      <c r="U5762">
        <v>700</v>
      </c>
      <c r="V5762">
        <v>60</v>
      </c>
      <c r="W5762">
        <v>1</v>
      </c>
      <c r="X5762">
        <v>0</v>
      </c>
      <c r="Z5762">
        <v>67.25</v>
      </c>
      <c r="AA5762">
        <v>0</v>
      </c>
      <c r="AB5762">
        <v>0</v>
      </c>
      <c r="AD5762" t="s">
        <v>10840</v>
      </c>
      <c r="AG5762" t="s">
        <v>10858</v>
      </c>
      <c r="AH5762" t="s">
        <v>10862</v>
      </c>
      <c r="AI5762">
        <v>237</v>
      </c>
      <c r="AJ5762" t="s">
        <v>10212</v>
      </c>
      <c r="AL5762">
        <v>1.3</v>
      </c>
      <c r="AR5762" t="s">
        <v>11263</v>
      </c>
      <c r="AS5762" t="s">
        <v>11594</v>
      </c>
      <c r="BA5762" t="s">
        <v>11742</v>
      </c>
      <c r="BB5762">
        <v>0</v>
      </c>
      <c r="BC5762">
        <v>0</v>
      </c>
      <c r="BD5762">
        <v>0</v>
      </c>
      <c r="BE5762">
        <v>0</v>
      </c>
      <c r="BF5762">
        <v>7</v>
      </c>
      <c r="BG5762">
        <v>0</v>
      </c>
    </row>
    <row r="5763" spans="1:59">
      <c r="A5763" s="1">
        <f>HYPERLINK("https://lsnyc.legalserver.org/matter/dynamic-profile/view/1910048","19-1910048")</f>
        <v>0</v>
      </c>
      <c r="B5763" t="s">
        <v>4506</v>
      </c>
      <c r="C5763" t="s">
        <v>9367</v>
      </c>
      <c r="D5763" t="s">
        <v>9926</v>
      </c>
      <c r="E5763" t="s">
        <v>10075</v>
      </c>
      <c r="F5763">
        <v>10462</v>
      </c>
      <c r="G5763" t="s">
        <v>10090</v>
      </c>
      <c r="H5763" t="s">
        <v>10162</v>
      </c>
      <c r="I5763" t="s">
        <v>10169</v>
      </c>
      <c r="J5763" t="s">
        <v>10210</v>
      </c>
      <c r="K5763" t="s">
        <v>10218</v>
      </c>
      <c r="L5763" t="s">
        <v>10162</v>
      </c>
      <c r="M5763" t="s">
        <v>10455</v>
      </c>
      <c r="N5763" t="s">
        <v>10677</v>
      </c>
      <c r="P5763" t="s">
        <v>10756</v>
      </c>
      <c r="Q5763" t="s">
        <v>10787</v>
      </c>
      <c r="R5763" t="s">
        <v>10823</v>
      </c>
      <c r="T5763">
        <v>19416</v>
      </c>
      <c r="U5763">
        <v>1618</v>
      </c>
      <c r="V5763">
        <v>87</v>
      </c>
      <c r="W5763">
        <v>1</v>
      </c>
      <c r="X5763">
        <v>0</v>
      </c>
      <c r="Y5763" t="s">
        <v>10830</v>
      </c>
      <c r="Z5763">
        <v>155.45</v>
      </c>
      <c r="AA5763">
        <v>40.8472</v>
      </c>
      <c r="AB5763">
        <v>-73.85944600000001</v>
      </c>
      <c r="AD5763" t="s">
        <v>10839</v>
      </c>
      <c r="AG5763" t="s">
        <v>10858</v>
      </c>
      <c r="AH5763" t="s">
        <v>10869</v>
      </c>
      <c r="AI5763">
        <v>230</v>
      </c>
      <c r="AJ5763" t="s">
        <v>10210</v>
      </c>
      <c r="AK5763" t="s">
        <v>10838</v>
      </c>
      <c r="AL5763">
        <v>0.5</v>
      </c>
      <c r="AM5763" t="s">
        <v>10885</v>
      </c>
      <c r="AN5763" t="s">
        <v>10938</v>
      </c>
      <c r="AO5763" t="s">
        <v>11002</v>
      </c>
      <c r="AP5763" t="s">
        <v>11049</v>
      </c>
      <c r="AQ5763" t="s">
        <v>11226</v>
      </c>
      <c r="AR5763" t="s">
        <v>11456</v>
      </c>
      <c r="AS5763" t="s">
        <v>9926</v>
      </c>
      <c r="AT5763" t="s">
        <v>11641</v>
      </c>
      <c r="AX5763" t="s">
        <v>10838</v>
      </c>
      <c r="AY5763" t="s">
        <v>10830</v>
      </c>
      <c r="AZ5763" t="s">
        <v>11698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</row>
    <row r="5764" spans="1:59">
      <c r="A5764" s="1">
        <f>HYPERLINK("https://lsnyc.legalserver.org/matter/dynamic-profile/view/1910049","19-1910049")</f>
        <v>0</v>
      </c>
      <c r="B5764" t="s">
        <v>4513</v>
      </c>
      <c r="C5764" t="s">
        <v>9375</v>
      </c>
      <c r="D5764" t="s">
        <v>9963</v>
      </c>
      <c r="E5764" t="s">
        <v>10075</v>
      </c>
      <c r="F5764">
        <v>11385</v>
      </c>
      <c r="G5764" t="s">
        <v>10092</v>
      </c>
      <c r="H5764" t="s">
        <v>10162</v>
      </c>
      <c r="I5764" t="s">
        <v>10168</v>
      </c>
      <c r="J5764" t="s">
        <v>10212</v>
      </c>
      <c r="K5764" t="s">
        <v>10217</v>
      </c>
      <c r="M5764" t="s">
        <v>10594</v>
      </c>
      <c r="N5764" t="s">
        <v>10693</v>
      </c>
      <c r="P5764" t="s">
        <v>10749</v>
      </c>
      <c r="Q5764" t="s">
        <v>10765</v>
      </c>
      <c r="R5764" t="s">
        <v>10821</v>
      </c>
      <c r="T5764">
        <v>13200</v>
      </c>
      <c r="U5764">
        <v>1100</v>
      </c>
      <c r="V5764">
        <v>57</v>
      </c>
      <c r="W5764">
        <v>1</v>
      </c>
      <c r="X5764">
        <v>0</v>
      </c>
      <c r="Z5764">
        <v>105.68</v>
      </c>
      <c r="AA5764">
        <v>40.703777</v>
      </c>
      <c r="AB5764">
        <v>-73.876701</v>
      </c>
      <c r="AD5764" t="s">
        <v>10839</v>
      </c>
      <c r="AG5764" t="s">
        <v>10858</v>
      </c>
      <c r="AH5764" t="s">
        <v>10862</v>
      </c>
      <c r="AI5764">
        <v>237</v>
      </c>
      <c r="AJ5764" t="s">
        <v>10212</v>
      </c>
      <c r="AL5764">
        <v>1.6</v>
      </c>
      <c r="AM5764" t="s">
        <v>10890</v>
      </c>
      <c r="AN5764" t="s">
        <v>10945</v>
      </c>
      <c r="AO5764" t="s">
        <v>11024</v>
      </c>
      <c r="AP5764" t="s">
        <v>11077</v>
      </c>
      <c r="AR5764" t="s">
        <v>11263</v>
      </c>
      <c r="AS5764" t="s">
        <v>11594</v>
      </c>
      <c r="BA5764" t="s">
        <v>11738</v>
      </c>
      <c r="BB5764">
        <v>0</v>
      </c>
      <c r="BC5764">
        <v>0</v>
      </c>
      <c r="BD5764">
        <v>0</v>
      </c>
      <c r="BE5764">
        <v>0</v>
      </c>
      <c r="BF5764">
        <v>5</v>
      </c>
      <c r="BG5764">
        <v>0</v>
      </c>
    </row>
    <row r="5765" spans="1:59">
      <c r="A5765" s="1">
        <f>HYPERLINK("https://lsnyc.legalserver.org/matter/dynamic-profile/view/1910050","19-1910050")</f>
        <v>0</v>
      </c>
      <c r="B5765" t="s">
        <v>1913</v>
      </c>
      <c r="C5765" t="s">
        <v>9376</v>
      </c>
      <c r="D5765" t="s">
        <v>9925</v>
      </c>
      <c r="E5765" t="s">
        <v>10075</v>
      </c>
      <c r="F5765">
        <v>10037</v>
      </c>
      <c r="G5765" t="s">
        <v>10089</v>
      </c>
      <c r="H5765" t="s">
        <v>10162</v>
      </c>
      <c r="I5765" t="s">
        <v>10168</v>
      </c>
      <c r="J5765" t="s">
        <v>10209</v>
      </c>
      <c r="K5765" t="s">
        <v>10217</v>
      </c>
      <c r="M5765" t="s">
        <v>10229</v>
      </c>
      <c r="N5765" t="s">
        <v>10671</v>
      </c>
      <c r="O5765" t="s">
        <v>10645</v>
      </c>
      <c r="P5765" t="s">
        <v>10758</v>
      </c>
      <c r="Q5765" t="s">
        <v>10793</v>
      </c>
      <c r="R5765" t="s">
        <v>10824</v>
      </c>
      <c r="T5765">
        <v>9600</v>
      </c>
      <c r="U5765">
        <v>800</v>
      </c>
      <c r="V5765">
        <v>60</v>
      </c>
      <c r="W5765">
        <v>1</v>
      </c>
      <c r="X5765">
        <v>0</v>
      </c>
      <c r="Z5765">
        <v>76.86</v>
      </c>
      <c r="AA5765">
        <v>40.81478</v>
      </c>
      <c r="AB5765">
        <v>-73.937934</v>
      </c>
      <c r="AD5765" t="s">
        <v>10839</v>
      </c>
      <c r="AG5765" t="s">
        <v>10858</v>
      </c>
      <c r="AH5765" t="s">
        <v>10861</v>
      </c>
      <c r="AI5765">
        <v>234</v>
      </c>
      <c r="AJ5765" t="s">
        <v>10214</v>
      </c>
      <c r="AL5765">
        <v>3.02</v>
      </c>
      <c r="AM5765" t="s">
        <v>10887</v>
      </c>
      <c r="AN5765" t="s">
        <v>10936</v>
      </c>
      <c r="AO5765" t="s">
        <v>11016</v>
      </c>
      <c r="AP5765" t="s">
        <v>11076</v>
      </c>
      <c r="AR5765" t="s">
        <v>11253</v>
      </c>
      <c r="AS5765" t="s">
        <v>9925</v>
      </c>
      <c r="AT5765" t="s">
        <v>11641</v>
      </c>
      <c r="AX5765" t="s">
        <v>10838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</row>
    <row r="5766" spans="1:59">
      <c r="A5766" s="1">
        <f>HYPERLINK("https://lsnyc.legalserver.org/matter/dynamic-profile/view/1910051","19-1910051")</f>
        <v>0</v>
      </c>
      <c r="B5766" t="s">
        <v>4194</v>
      </c>
      <c r="C5766" t="s">
        <v>9377</v>
      </c>
      <c r="D5766" t="s">
        <v>9925</v>
      </c>
      <c r="E5766" t="s">
        <v>10075</v>
      </c>
      <c r="F5766">
        <v>10022</v>
      </c>
      <c r="G5766" t="s">
        <v>10092</v>
      </c>
      <c r="H5766" t="s">
        <v>10162</v>
      </c>
      <c r="I5766" t="s">
        <v>10168</v>
      </c>
      <c r="J5766" t="s">
        <v>10212</v>
      </c>
      <c r="K5766" t="s">
        <v>10217</v>
      </c>
      <c r="M5766" t="s">
        <v>10398</v>
      </c>
      <c r="N5766" t="s">
        <v>10657</v>
      </c>
      <c r="P5766" t="s">
        <v>10751</v>
      </c>
      <c r="Q5766" t="s">
        <v>10780</v>
      </c>
      <c r="R5766" t="s">
        <v>10824</v>
      </c>
      <c r="T5766">
        <v>0</v>
      </c>
      <c r="U5766">
        <v>0</v>
      </c>
      <c r="V5766">
        <v>64</v>
      </c>
      <c r="W5766">
        <v>1</v>
      </c>
      <c r="X5766">
        <v>0</v>
      </c>
      <c r="Z5766">
        <v>0</v>
      </c>
      <c r="AA5766">
        <v>40.756759</v>
      </c>
      <c r="AB5766">
        <v>-73.963572</v>
      </c>
      <c r="AD5766" t="s">
        <v>10840</v>
      </c>
      <c r="AG5766" t="s">
        <v>10858</v>
      </c>
      <c r="AH5766" t="s">
        <v>10866</v>
      </c>
      <c r="AI5766">
        <v>237</v>
      </c>
      <c r="AJ5766" t="s">
        <v>10212</v>
      </c>
      <c r="AL5766">
        <v>3.5</v>
      </c>
      <c r="AM5766" t="s">
        <v>10891</v>
      </c>
      <c r="AN5766" t="s">
        <v>10970</v>
      </c>
      <c r="AO5766" t="s">
        <v>11026</v>
      </c>
      <c r="AP5766" t="s">
        <v>11091</v>
      </c>
      <c r="AQ5766" t="s">
        <v>11118</v>
      </c>
      <c r="AR5766" t="s">
        <v>11267</v>
      </c>
      <c r="AS5766" t="s">
        <v>9925</v>
      </c>
      <c r="AT5766" t="s">
        <v>11642</v>
      </c>
      <c r="AX5766" t="s">
        <v>10838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</row>
    <row r="5767" spans="1:59">
      <c r="A5767" s="1">
        <f>HYPERLINK("https://lsnyc.legalserver.org/matter/dynamic-profile/view/1910052","19-1910052")</f>
        <v>0</v>
      </c>
      <c r="B5767" t="s">
        <v>4514</v>
      </c>
      <c r="C5767" t="s">
        <v>9378</v>
      </c>
      <c r="D5767" t="s">
        <v>9949</v>
      </c>
      <c r="E5767" t="s">
        <v>10075</v>
      </c>
      <c r="F5767">
        <v>11413</v>
      </c>
      <c r="G5767" t="s">
        <v>10092</v>
      </c>
      <c r="H5767" t="s">
        <v>10162</v>
      </c>
      <c r="I5767" t="s">
        <v>10168</v>
      </c>
      <c r="J5767" t="s">
        <v>10212</v>
      </c>
      <c r="K5767" t="s">
        <v>10217</v>
      </c>
      <c r="M5767" t="s">
        <v>10484</v>
      </c>
      <c r="N5767" t="s">
        <v>10695</v>
      </c>
      <c r="P5767" t="s">
        <v>10749</v>
      </c>
      <c r="Q5767" t="s">
        <v>10765</v>
      </c>
      <c r="R5767" t="s">
        <v>10821</v>
      </c>
      <c r="T5767">
        <v>10200</v>
      </c>
      <c r="U5767">
        <v>850</v>
      </c>
      <c r="V5767">
        <v>60</v>
      </c>
      <c r="W5767">
        <v>1</v>
      </c>
      <c r="X5767">
        <v>0</v>
      </c>
      <c r="Z5767">
        <v>81.67</v>
      </c>
      <c r="AA5767">
        <v>40.686037</v>
      </c>
      <c r="AB5767">
        <v>-73.75093200000001</v>
      </c>
      <c r="AD5767" t="s">
        <v>10840</v>
      </c>
      <c r="AG5767" t="s">
        <v>10858</v>
      </c>
      <c r="AH5767" t="s">
        <v>10862</v>
      </c>
      <c r="AI5767">
        <v>237</v>
      </c>
      <c r="AJ5767" t="s">
        <v>10212</v>
      </c>
      <c r="AL5767">
        <v>1.3</v>
      </c>
      <c r="AM5767" t="s">
        <v>10892</v>
      </c>
      <c r="AN5767" t="s">
        <v>10955</v>
      </c>
      <c r="AO5767" t="s">
        <v>11020</v>
      </c>
      <c r="AP5767" t="s">
        <v>11075</v>
      </c>
      <c r="AR5767" t="s">
        <v>11296</v>
      </c>
      <c r="AS5767" t="s">
        <v>11594</v>
      </c>
      <c r="BA5767" t="s">
        <v>11742</v>
      </c>
      <c r="BB5767">
        <v>0</v>
      </c>
      <c r="BC5767">
        <v>0</v>
      </c>
      <c r="BD5767">
        <v>0</v>
      </c>
      <c r="BE5767">
        <v>0</v>
      </c>
      <c r="BF5767">
        <v>7</v>
      </c>
      <c r="BG5767">
        <v>0</v>
      </c>
    </row>
    <row r="5768" spans="1:59">
      <c r="A5768" s="1">
        <f>HYPERLINK("https://lsnyc.legalserver.org/matter/dynamic-profile/view/1910053","19-1910053")</f>
        <v>0</v>
      </c>
      <c r="B5768" t="s">
        <v>1757</v>
      </c>
      <c r="C5768" t="s">
        <v>8485</v>
      </c>
      <c r="D5768" t="s">
        <v>9925</v>
      </c>
      <c r="E5768" t="s">
        <v>10075</v>
      </c>
      <c r="F5768">
        <v>10040</v>
      </c>
      <c r="G5768" t="s">
        <v>10089</v>
      </c>
      <c r="H5768" t="s">
        <v>10162</v>
      </c>
      <c r="I5768" t="s">
        <v>10168</v>
      </c>
      <c r="J5768" t="s">
        <v>10209</v>
      </c>
      <c r="K5768" t="s">
        <v>10217</v>
      </c>
      <c r="M5768" t="s">
        <v>10442</v>
      </c>
      <c r="N5768" t="s">
        <v>10650</v>
      </c>
      <c r="P5768" t="s">
        <v>10749</v>
      </c>
      <c r="Q5768" t="s">
        <v>10765</v>
      </c>
      <c r="R5768" t="s">
        <v>10821</v>
      </c>
      <c r="T5768">
        <v>60000</v>
      </c>
      <c r="U5768">
        <v>5000</v>
      </c>
      <c r="V5768">
        <v>54</v>
      </c>
      <c r="W5768">
        <v>1</v>
      </c>
      <c r="X5768">
        <v>0</v>
      </c>
      <c r="Z5768">
        <v>480.38</v>
      </c>
      <c r="AA5768">
        <v>40.853758</v>
      </c>
      <c r="AB5768">
        <v>-73.928393</v>
      </c>
      <c r="AD5768" t="s">
        <v>10839</v>
      </c>
      <c r="AG5768" t="s">
        <v>10858</v>
      </c>
      <c r="AH5768" t="s">
        <v>10862</v>
      </c>
      <c r="AI5768">
        <v>236</v>
      </c>
      <c r="AJ5768" t="s">
        <v>10209</v>
      </c>
      <c r="AL5768">
        <v>0</v>
      </c>
      <c r="AM5768" t="s">
        <v>10887</v>
      </c>
      <c r="AN5768" t="s">
        <v>10937</v>
      </c>
      <c r="AO5768" t="s">
        <v>11019</v>
      </c>
      <c r="AP5768" t="s">
        <v>11074</v>
      </c>
      <c r="AR5768" t="s">
        <v>11257</v>
      </c>
      <c r="AS5768" t="s">
        <v>9925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</row>
    <row r="5769" spans="1:59">
      <c r="A5769" s="1">
        <f>HYPERLINK("https://lsnyc.legalserver.org/matter/dynamic-profile/view/1910054","19-1910054")</f>
        <v>0</v>
      </c>
      <c r="B5769" t="s">
        <v>4215</v>
      </c>
      <c r="C5769" t="s">
        <v>9379</v>
      </c>
      <c r="D5769" t="s">
        <v>9941</v>
      </c>
      <c r="E5769" t="s">
        <v>10075</v>
      </c>
      <c r="F5769">
        <v>11429</v>
      </c>
      <c r="G5769" t="s">
        <v>10092</v>
      </c>
      <c r="H5769" t="s">
        <v>10162</v>
      </c>
      <c r="I5769" t="s">
        <v>10168</v>
      </c>
      <c r="J5769" t="s">
        <v>10212</v>
      </c>
      <c r="K5769" t="s">
        <v>10218</v>
      </c>
      <c r="L5769" t="s">
        <v>10136</v>
      </c>
      <c r="M5769" t="s">
        <v>10331</v>
      </c>
      <c r="N5769" t="s">
        <v>10646</v>
      </c>
      <c r="P5769" t="s">
        <v>10754</v>
      </c>
      <c r="Q5769" t="s">
        <v>10770</v>
      </c>
      <c r="R5769" t="s">
        <v>10824</v>
      </c>
      <c r="T5769">
        <v>37200</v>
      </c>
      <c r="U5769">
        <v>3100</v>
      </c>
      <c r="V5769">
        <v>26</v>
      </c>
      <c r="W5769">
        <v>1</v>
      </c>
      <c r="X5769">
        <v>0</v>
      </c>
      <c r="Y5769" t="s">
        <v>10829</v>
      </c>
      <c r="Z5769">
        <v>297.84</v>
      </c>
      <c r="AA5769">
        <v>40.709892</v>
      </c>
      <c r="AB5769">
        <v>-73.735314</v>
      </c>
      <c r="AC5769" t="s">
        <v>10837</v>
      </c>
      <c r="AD5769" t="s">
        <v>10840</v>
      </c>
      <c r="AG5769" t="s">
        <v>10858</v>
      </c>
      <c r="AH5769" t="s">
        <v>10861</v>
      </c>
      <c r="AI5769">
        <v>234</v>
      </c>
      <c r="AJ5769" t="s">
        <v>10214</v>
      </c>
      <c r="AK5769" t="s">
        <v>10838</v>
      </c>
      <c r="AL5769">
        <v>1.7</v>
      </c>
      <c r="AM5769" t="s">
        <v>10892</v>
      </c>
      <c r="AN5769" t="s">
        <v>10940</v>
      </c>
      <c r="AO5769" t="s">
        <v>11020</v>
      </c>
      <c r="AP5769" t="s">
        <v>11075</v>
      </c>
      <c r="AR5769" t="s">
        <v>11303</v>
      </c>
      <c r="AS5769" t="s">
        <v>11594</v>
      </c>
      <c r="AT5769" t="s">
        <v>11642</v>
      </c>
      <c r="AX5769" t="s">
        <v>10838</v>
      </c>
      <c r="AY5769" t="s">
        <v>10829</v>
      </c>
      <c r="AZ5769" t="s">
        <v>11683</v>
      </c>
      <c r="BA5769" t="s">
        <v>11741</v>
      </c>
      <c r="BB5769">
        <v>0</v>
      </c>
      <c r="BC5769">
        <v>0</v>
      </c>
      <c r="BD5769">
        <v>0</v>
      </c>
      <c r="BE5769">
        <v>0</v>
      </c>
      <c r="BF5769">
        <v>1</v>
      </c>
      <c r="BG5769">
        <v>0</v>
      </c>
    </row>
    <row r="5770" spans="1:59">
      <c r="A5770" s="1">
        <f>HYPERLINK("https://lsnyc.legalserver.org/matter/dynamic-profile/view/1910055","19-1910055")</f>
        <v>0</v>
      </c>
      <c r="B5770" t="s">
        <v>3011</v>
      </c>
      <c r="C5770" t="s">
        <v>9380</v>
      </c>
      <c r="D5770" t="s">
        <v>9941</v>
      </c>
      <c r="E5770" t="s">
        <v>10075</v>
      </c>
      <c r="F5770">
        <v>11429</v>
      </c>
      <c r="G5770" t="s">
        <v>10092</v>
      </c>
      <c r="H5770" t="s">
        <v>10162</v>
      </c>
      <c r="I5770" t="s">
        <v>10179</v>
      </c>
      <c r="J5770" t="s">
        <v>10212</v>
      </c>
      <c r="K5770" t="s">
        <v>10217</v>
      </c>
      <c r="M5770" t="s">
        <v>10594</v>
      </c>
      <c r="N5770" t="s">
        <v>10695</v>
      </c>
      <c r="P5770" t="s">
        <v>10749</v>
      </c>
      <c r="Q5770" t="s">
        <v>10765</v>
      </c>
      <c r="R5770" t="s">
        <v>10827</v>
      </c>
      <c r="T5770">
        <v>0</v>
      </c>
      <c r="U5770">
        <v>0</v>
      </c>
      <c r="V5770">
        <v>57</v>
      </c>
      <c r="W5770">
        <v>1</v>
      </c>
      <c r="X5770">
        <v>0</v>
      </c>
      <c r="Z5770">
        <v>0</v>
      </c>
      <c r="AA5770">
        <v>40.707929</v>
      </c>
      <c r="AB5770">
        <v>-73.751814</v>
      </c>
      <c r="AD5770" t="s">
        <v>10840</v>
      </c>
      <c r="AG5770" t="s">
        <v>10858</v>
      </c>
      <c r="AH5770" t="s">
        <v>10862</v>
      </c>
      <c r="AI5770">
        <v>237</v>
      </c>
      <c r="AJ5770" t="s">
        <v>10212</v>
      </c>
      <c r="AL5770">
        <v>0.4</v>
      </c>
      <c r="AM5770" t="s">
        <v>10892</v>
      </c>
      <c r="AN5770" t="s">
        <v>10940</v>
      </c>
      <c r="AO5770" t="s">
        <v>11020</v>
      </c>
      <c r="AP5770" t="s">
        <v>11075</v>
      </c>
      <c r="AR5770" t="s">
        <v>11267</v>
      </c>
      <c r="AS5770" t="s">
        <v>11594</v>
      </c>
      <c r="BA5770" t="s">
        <v>11742</v>
      </c>
      <c r="BB5770">
        <v>0</v>
      </c>
      <c r="BC5770">
        <v>0</v>
      </c>
      <c r="BD5770">
        <v>0</v>
      </c>
      <c r="BE5770">
        <v>0</v>
      </c>
      <c r="BF5770">
        <v>7</v>
      </c>
      <c r="BG5770">
        <v>0</v>
      </c>
    </row>
    <row r="5771" spans="1:59">
      <c r="A5771" s="1">
        <f>HYPERLINK("https://lsnyc.legalserver.org/matter/dynamic-profile/view/1910056","19-1910056")</f>
        <v>0</v>
      </c>
      <c r="B5771" t="s">
        <v>4515</v>
      </c>
      <c r="C5771" t="s">
        <v>5900</v>
      </c>
      <c r="D5771" t="s">
        <v>9925</v>
      </c>
      <c r="E5771" t="s">
        <v>10075</v>
      </c>
      <c r="F5771">
        <v>10033</v>
      </c>
      <c r="G5771" t="s">
        <v>10089</v>
      </c>
      <c r="H5771" t="s">
        <v>10162</v>
      </c>
      <c r="I5771" t="s">
        <v>10168</v>
      </c>
      <c r="J5771" t="s">
        <v>10209</v>
      </c>
      <c r="K5771" t="s">
        <v>10217</v>
      </c>
      <c r="M5771" t="s">
        <v>10483</v>
      </c>
      <c r="N5771" t="s">
        <v>10650</v>
      </c>
      <c r="P5771" t="s">
        <v>10749</v>
      </c>
      <c r="Q5771" t="s">
        <v>10765</v>
      </c>
      <c r="R5771" t="s">
        <v>10820</v>
      </c>
      <c r="T5771">
        <v>25008</v>
      </c>
      <c r="U5771">
        <v>2084</v>
      </c>
      <c r="V5771">
        <v>84</v>
      </c>
      <c r="W5771">
        <v>2</v>
      </c>
      <c r="X5771">
        <v>0</v>
      </c>
      <c r="Z5771">
        <v>147.89</v>
      </c>
      <c r="AA5771">
        <v>40.850001</v>
      </c>
      <c r="AB5771">
        <v>-73.937383</v>
      </c>
      <c r="AD5771" t="s">
        <v>10840</v>
      </c>
      <c r="AG5771" t="s">
        <v>10858</v>
      </c>
      <c r="AH5771" t="s">
        <v>10862</v>
      </c>
      <c r="AI5771">
        <v>236</v>
      </c>
      <c r="AJ5771" t="s">
        <v>10209</v>
      </c>
      <c r="AL5771">
        <v>0</v>
      </c>
      <c r="AM5771" t="s">
        <v>10887</v>
      </c>
      <c r="AN5771" t="s">
        <v>10943</v>
      </c>
      <c r="AO5771" t="s">
        <v>11019</v>
      </c>
      <c r="AP5771" t="s">
        <v>11074</v>
      </c>
      <c r="AR5771" t="s">
        <v>11263</v>
      </c>
      <c r="AS5771" t="s">
        <v>9925</v>
      </c>
      <c r="AT5771" t="s">
        <v>11642</v>
      </c>
      <c r="AX5771" t="s">
        <v>10838</v>
      </c>
      <c r="BA5771" t="s">
        <v>11738</v>
      </c>
      <c r="BB5771">
        <v>0</v>
      </c>
      <c r="BC5771">
        <v>0</v>
      </c>
      <c r="BD5771">
        <v>0</v>
      </c>
      <c r="BE5771">
        <v>0</v>
      </c>
      <c r="BF5771">
        <v>5</v>
      </c>
      <c r="BG5771">
        <v>0</v>
      </c>
    </row>
    <row r="5772" spans="1:59">
      <c r="A5772" s="1">
        <f>HYPERLINK("https://lsnyc.legalserver.org/matter/dynamic-profile/view/1910057","19-1910057")</f>
        <v>0</v>
      </c>
      <c r="B5772" t="s">
        <v>4516</v>
      </c>
      <c r="C5772" t="s">
        <v>9381</v>
      </c>
      <c r="D5772" t="s">
        <v>9928</v>
      </c>
      <c r="E5772" t="s">
        <v>10075</v>
      </c>
      <c r="F5772">
        <v>11207</v>
      </c>
      <c r="G5772" t="s">
        <v>10093</v>
      </c>
      <c r="H5772" t="s">
        <v>10162</v>
      </c>
      <c r="I5772" t="s">
        <v>10169</v>
      </c>
      <c r="J5772" t="s">
        <v>10213</v>
      </c>
      <c r="K5772" t="s">
        <v>10217</v>
      </c>
      <c r="M5772" t="s">
        <v>10621</v>
      </c>
      <c r="N5772" t="s">
        <v>10671</v>
      </c>
      <c r="P5772" t="s">
        <v>10749</v>
      </c>
      <c r="Q5772" t="s">
        <v>10767</v>
      </c>
      <c r="R5772" t="s">
        <v>10821</v>
      </c>
      <c r="T5772">
        <v>10800</v>
      </c>
      <c r="U5772">
        <v>900</v>
      </c>
      <c r="V5772">
        <v>86</v>
      </c>
      <c r="W5772">
        <v>1</v>
      </c>
      <c r="X5772">
        <v>0</v>
      </c>
      <c r="Z5772">
        <v>86.47</v>
      </c>
      <c r="AA5772">
        <v>40.656825</v>
      </c>
      <c r="AB5772">
        <v>-73.883976</v>
      </c>
      <c r="AD5772" t="s">
        <v>10839</v>
      </c>
      <c r="AG5772" t="s">
        <v>10858</v>
      </c>
      <c r="AH5772" t="s">
        <v>10861</v>
      </c>
      <c r="AI5772">
        <v>234</v>
      </c>
      <c r="AJ5772" t="s">
        <v>10214</v>
      </c>
      <c r="AL5772">
        <v>0.85</v>
      </c>
      <c r="AM5772" t="s">
        <v>10889</v>
      </c>
      <c r="AN5772" t="s">
        <v>10946</v>
      </c>
      <c r="AO5772" t="s">
        <v>11012</v>
      </c>
      <c r="AP5772" t="s">
        <v>11060</v>
      </c>
      <c r="AR5772" t="s">
        <v>11253</v>
      </c>
      <c r="AS5772" t="s">
        <v>11595</v>
      </c>
      <c r="AT5772" t="s">
        <v>11641</v>
      </c>
      <c r="AX5772" t="s">
        <v>10838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</row>
    <row r="5773" spans="1:59">
      <c r="A5773" s="1">
        <f>HYPERLINK("https://lsnyc.legalserver.org/matter/dynamic-profile/view/1910058","19-1910058")</f>
        <v>0</v>
      </c>
      <c r="B5773" t="s">
        <v>4517</v>
      </c>
      <c r="C5773" t="s">
        <v>9382</v>
      </c>
      <c r="D5773" t="s">
        <v>9926</v>
      </c>
      <c r="E5773" t="s">
        <v>10075</v>
      </c>
      <c r="F5773">
        <v>10468</v>
      </c>
      <c r="G5773" t="s">
        <v>10090</v>
      </c>
      <c r="H5773" t="s">
        <v>10162</v>
      </c>
      <c r="I5773" t="s">
        <v>10169</v>
      </c>
      <c r="J5773" t="s">
        <v>10210</v>
      </c>
      <c r="K5773" t="s">
        <v>10217</v>
      </c>
      <c r="M5773" t="s">
        <v>10276</v>
      </c>
      <c r="N5773" t="s">
        <v>10651</v>
      </c>
      <c r="P5773" t="s">
        <v>10749</v>
      </c>
      <c r="Q5773" t="s">
        <v>10765</v>
      </c>
      <c r="R5773" t="s">
        <v>10823</v>
      </c>
      <c r="T5773">
        <v>15160</v>
      </c>
      <c r="U5773">
        <v>1263.33</v>
      </c>
      <c r="V5773">
        <v>54</v>
      </c>
      <c r="W5773">
        <v>1</v>
      </c>
      <c r="X5773">
        <v>1</v>
      </c>
      <c r="Z5773">
        <v>89.65000000000001</v>
      </c>
      <c r="AA5773">
        <v>40.864477</v>
      </c>
      <c r="AB5773">
        <v>-73.904521</v>
      </c>
      <c r="AD5773" t="s">
        <v>10839</v>
      </c>
      <c r="AF5773" t="s">
        <v>10843</v>
      </c>
      <c r="AG5773" t="s">
        <v>10859</v>
      </c>
      <c r="AH5773" t="s">
        <v>10862</v>
      </c>
      <c r="AI5773">
        <v>230</v>
      </c>
      <c r="AJ5773" t="s">
        <v>10210</v>
      </c>
      <c r="AL5773">
        <v>2.5</v>
      </c>
      <c r="AM5773" t="s">
        <v>10887</v>
      </c>
      <c r="AN5773" t="s">
        <v>10907</v>
      </c>
      <c r="AO5773" t="s">
        <v>11000</v>
      </c>
      <c r="AP5773" t="s">
        <v>11045</v>
      </c>
      <c r="AR5773" t="s">
        <v>11359</v>
      </c>
      <c r="AS5773" t="s">
        <v>9926</v>
      </c>
      <c r="BA5773" t="s">
        <v>11742</v>
      </c>
      <c r="BB5773">
        <v>0</v>
      </c>
      <c r="BC5773">
        <v>0</v>
      </c>
      <c r="BD5773">
        <v>0</v>
      </c>
      <c r="BE5773">
        <v>0</v>
      </c>
      <c r="BF5773">
        <v>7</v>
      </c>
      <c r="BG5773">
        <v>0</v>
      </c>
    </row>
    <row r="5774" spans="1:59">
      <c r="A5774" s="1">
        <f>HYPERLINK("https://lsnyc.legalserver.org/matter/dynamic-profile/view/1910059","19-1910059")</f>
        <v>0</v>
      </c>
      <c r="B5774" t="s">
        <v>4518</v>
      </c>
      <c r="C5774" t="s">
        <v>9383</v>
      </c>
      <c r="D5774" t="s">
        <v>9927</v>
      </c>
      <c r="E5774" t="s">
        <v>10075</v>
      </c>
      <c r="F5774">
        <v>11377</v>
      </c>
      <c r="G5774" t="s">
        <v>10092</v>
      </c>
      <c r="H5774" t="s">
        <v>10162</v>
      </c>
      <c r="I5774" t="s">
        <v>10168</v>
      </c>
      <c r="J5774" t="s">
        <v>10212</v>
      </c>
      <c r="K5774" t="s">
        <v>10217</v>
      </c>
      <c r="M5774" t="s">
        <v>10335</v>
      </c>
      <c r="N5774" t="s">
        <v>10695</v>
      </c>
      <c r="P5774" t="s">
        <v>10749</v>
      </c>
      <c r="Q5774" t="s">
        <v>10765</v>
      </c>
      <c r="R5774" t="s">
        <v>10821</v>
      </c>
      <c r="T5774">
        <v>33600</v>
      </c>
      <c r="U5774">
        <v>2800</v>
      </c>
      <c r="V5774">
        <v>31</v>
      </c>
      <c r="W5774">
        <v>2</v>
      </c>
      <c r="X5774">
        <v>2</v>
      </c>
      <c r="Z5774">
        <v>130.49</v>
      </c>
      <c r="AA5774">
        <v>40.735859</v>
      </c>
      <c r="AB5774">
        <v>-73.917895</v>
      </c>
      <c r="AD5774" t="s">
        <v>10839</v>
      </c>
      <c r="AG5774" t="s">
        <v>10858</v>
      </c>
      <c r="AH5774" t="s">
        <v>10862</v>
      </c>
      <c r="AI5774">
        <v>237</v>
      </c>
      <c r="AJ5774" t="s">
        <v>10212</v>
      </c>
      <c r="AL5774">
        <v>1.3</v>
      </c>
      <c r="AM5774" t="s">
        <v>10885</v>
      </c>
      <c r="AN5774" t="s">
        <v>10935</v>
      </c>
      <c r="AO5774" t="s">
        <v>11003</v>
      </c>
      <c r="AP5774" t="s">
        <v>11047</v>
      </c>
      <c r="AR5774" t="s">
        <v>11257</v>
      </c>
      <c r="AS5774" t="s">
        <v>11594</v>
      </c>
      <c r="AX5774" t="s">
        <v>10838</v>
      </c>
      <c r="BA5774" t="s">
        <v>11742</v>
      </c>
      <c r="BB5774">
        <v>0</v>
      </c>
      <c r="BC5774">
        <v>0</v>
      </c>
      <c r="BD5774">
        <v>0</v>
      </c>
      <c r="BE5774">
        <v>0</v>
      </c>
      <c r="BF5774">
        <v>7</v>
      </c>
      <c r="BG5774">
        <v>0</v>
      </c>
    </row>
    <row r="5775" spans="1:59">
      <c r="A5775" s="1">
        <f>HYPERLINK("https://lsnyc.legalserver.org/matter/dynamic-profile/view/1910060","19-1910060")</f>
        <v>0</v>
      </c>
      <c r="B5775" t="s">
        <v>4519</v>
      </c>
      <c r="C5775" t="s">
        <v>9384</v>
      </c>
      <c r="D5775" t="s">
        <v>9925</v>
      </c>
      <c r="E5775" t="s">
        <v>10075</v>
      </c>
      <c r="F5775">
        <v>10013</v>
      </c>
      <c r="G5775" t="s">
        <v>10091</v>
      </c>
      <c r="H5775" t="s">
        <v>10162</v>
      </c>
      <c r="I5775" t="s">
        <v>10168</v>
      </c>
      <c r="J5775" t="s">
        <v>10211</v>
      </c>
      <c r="K5775" t="s">
        <v>10217</v>
      </c>
      <c r="M5775" t="s">
        <v>10231</v>
      </c>
      <c r="N5775" t="s">
        <v>10647</v>
      </c>
      <c r="P5775" t="s">
        <v>10752</v>
      </c>
      <c r="Q5775" t="s">
        <v>10762</v>
      </c>
      <c r="R5775" t="s">
        <v>10820</v>
      </c>
      <c r="T5775">
        <v>1200</v>
      </c>
      <c r="U5775">
        <v>100</v>
      </c>
      <c r="V5775">
        <v>43</v>
      </c>
      <c r="W5775">
        <v>1</v>
      </c>
      <c r="X5775">
        <v>0</v>
      </c>
      <c r="Z5775">
        <v>9.609999999999999</v>
      </c>
      <c r="AA5775">
        <v>40.721786</v>
      </c>
      <c r="AB5775">
        <v>-74.00944699999999</v>
      </c>
      <c r="AD5775" t="s">
        <v>10840</v>
      </c>
      <c r="AG5775" t="s">
        <v>10858</v>
      </c>
      <c r="AH5775" t="s">
        <v>10861</v>
      </c>
      <c r="AI5775">
        <v>234</v>
      </c>
      <c r="AJ5775" t="s">
        <v>10214</v>
      </c>
      <c r="AL5775">
        <v>1.2</v>
      </c>
      <c r="AR5775" t="s">
        <v>11255</v>
      </c>
      <c r="AS5775" t="s">
        <v>9925</v>
      </c>
      <c r="AT5775" t="s">
        <v>11642</v>
      </c>
      <c r="AX5775" t="s">
        <v>10838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</row>
    <row r="5776" spans="1:59">
      <c r="A5776" s="1">
        <f>HYPERLINK("https://lsnyc.legalserver.org/matter/dynamic-profile/view/1910061","19-1910061")</f>
        <v>0</v>
      </c>
      <c r="B5776" t="s">
        <v>4450</v>
      </c>
      <c r="C5776" t="s">
        <v>6999</v>
      </c>
      <c r="D5776" t="s">
        <v>9926</v>
      </c>
      <c r="E5776" t="s">
        <v>10075</v>
      </c>
      <c r="F5776">
        <v>10452</v>
      </c>
      <c r="G5776" t="s">
        <v>10090</v>
      </c>
      <c r="H5776" t="s">
        <v>10162</v>
      </c>
      <c r="I5776" t="s">
        <v>10168</v>
      </c>
      <c r="J5776" t="s">
        <v>10210</v>
      </c>
      <c r="K5776" t="s">
        <v>10217</v>
      </c>
      <c r="M5776" t="s">
        <v>10590</v>
      </c>
      <c r="N5776" t="s">
        <v>10650</v>
      </c>
      <c r="P5776" t="s">
        <v>10749</v>
      </c>
      <c r="Q5776" t="s">
        <v>10765</v>
      </c>
      <c r="R5776" t="s">
        <v>10820</v>
      </c>
      <c r="T5776">
        <v>68400</v>
      </c>
      <c r="U5776">
        <v>5700</v>
      </c>
      <c r="V5776">
        <v>70</v>
      </c>
      <c r="W5776">
        <v>1</v>
      </c>
      <c r="X5776">
        <v>0</v>
      </c>
      <c r="Z5776">
        <v>547.64</v>
      </c>
      <c r="AA5776">
        <v>40.828115</v>
      </c>
      <c r="AB5776">
        <v>-73.923996</v>
      </c>
      <c r="AD5776" t="s">
        <v>10840</v>
      </c>
      <c r="AG5776" t="s">
        <v>10858</v>
      </c>
      <c r="AH5776" t="s">
        <v>10861</v>
      </c>
      <c r="AI5776">
        <v>230</v>
      </c>
      <c r="AJ5776" t="s">
        <v>10210</v>
      </c>
      <c r="AL5776">
        <v>3.3</v>
      </c>
      <c r="AM5776" t="s">
        <v>10884</v>
      </c>
      <c r="AN5776" t="s">
        <v>10924</v>
      </c>
      <c r="AO5776" t="s">
        <v>11013</v>
      </c>
      <c r="AP5776" t="s">
        <v>11066</v>
      </c>
      <c r="AR5776" t="s">
        <v>10180</v>
      </c>
      <c r="AS5776" t="s">
        <v>9926</v>
      </c>
      <c r="BA5776" t="s">
        <v>11740</v>
      </c>
      <c r="BB5776">
        <v>0</v>
      </c>
      <c r="BC5776">
        <v>0</v>
      </c>
      <c r="BD5776">
        <v>0</v>
      </c>
      <c r="BE5776">
        <v>0</v>
      </c>
      <c r="BF5776">
        <v>2</v>
      </c>
      <c r="BG5776">
        <v>0</v>
      </c>
    </row>
    <row r="5777" spans="1:59">
      <c r="A5777" s="1">
        <f>HYPERLINK("https://lsnyc.legalserver.org/matter/dynamic-profile/view/1910062","19-1910062")</f>
        <v>0</v>
      </c>
      <c r="B5777" t="s">
        <v>4506</v>
      </c>
      <c r="C5777" t="s">
        <v>9367</v>
      </c>
      <c r="D5777" t="s">
        <v>9926</v>
      </c>
      <c r="E5777" t="s">
        <v>10075</v>
      </c>
      <c r="F5777">
        <v>10462</v>
      </c>
      <c r="G5777" t="s">
        <v>10090</v>
      </c>
      <c r="H5777" t="s">
        <v>10162</v>
      </c>
      <c r="I5777" t="s">
        <v>10169</v>
      </c>
      <c r="J5777" t="s">
        <v>10210</v>
      </c>
      <c r="K5777" t="s">
        <v>10218</v>
      </c>
      <c r="L5777" t="s">
        <v>10162</v>
      </c>
      <c r="M5777" t="s">
        <v>10455</v>
      </c>
      <c r="N5777" t="s">
        <v>10677</v>
      </c>
      <c r="P5777" t="s">
        <v>10756</v>
      </c>
      <c r="Q5777" t="s">
        <v>10787</v>
      </c>
      <c r="R5777" t="s">
        <v>10823</v>
      </c>
      <c r="T5777">
        <v>19416</v>
      </c>
      <c r="U5777">
        <v>1618</v>
      </c>
      <c r="V5777">
        <v>87</v>
      </c>
      <c r="W5777">
        <v>1</v>
      </c>
      <c r="X5777">
        <v>0</v>
      </c>
      <c r="Y5777" t="s">
        <v>10830</v>
      </c>
      <c r="Z5777">
        <v>155.45</v>
      </c>
      <c r="AA5777">
        <v>40.8472</v>
      </c>
      <c r="AB5777">
        <v>-73.85944600000001</v>
      </c>
      <c r="AD5777" t="s">
        <v>10839</v>
      </c>
      <c r="AG5777" t="s">
        <v>10858</v>
      </c>
      <c r="AH5777" t="s">
        <v>10869</v>
      </c>
      <c r="AI5777">
        <v>230</v>
      </c>
      <c r="AJ5777" t="s">
        <v>10210</v>
      </c>
      <c r="AK5777" t="s">
        <v>10838</v>
      </c>
      <c r="AL5777">
        <v>0.5</v>
      </c>
      <c r="AM5777" t="s">
        <v>10885</v>
      </c>
      <c r="AN5777" t="s">
        <v>10938</v>
      </c>
      <c r="AO5777" t="s">
        <v>11002</v>
      </c>
      <c r="AP5777" t="s">
        <v>11049</v>
      </c>
      <c r="AQ5777" t="s">
        <v>11225</v>
      </c>
      <c r="AR5777" t="s">
        <v>11456</v>
      </c>
      <c r="AS5777" t="s">
        <v>9926</v>
      </c>
      <c r="AT5777" t="s">
        <v>11641</v>
      </c>
      <c r="AX5777" t="s">
        <v>10838</v>
      </c>
      <c r="AY5777" t="s">
        <v>10830</v>
      </c>
      <c r="AZ5777" t="s">
        <v>11698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</row>
    <row r="5778" spans="1:59">
      <c r="A5778" s="1">
        <f>HYPERLINK("https://lsnyc.legalserver.org/matter/dynamic-profile/view/1910063","19-1910063")</f>
        <v>0</v>
      </c>
      <c r="B5778" t="s">
        <v>4520</v>
      </c>
      <c r="C5778" t="s">
        <v>9385</v>
      </c>
      <c r="D5778" t="s">
        <v>10065</v>
      </c>
      <c r="E5778" t="s">
        <v>10075</v>
      </c>
      <c r="F5778">
        <v>12065</v>
      </c>
      <c r="G5778" t="s">
        <v>10093</v>
      </c>
      <c r="H5778" t="s">
        <v>10162</v>
      </c>
      <c r="I5778" t="s">
        <v>10168</v>
      </c>
      <c r="J5778" t="s">
        <v>10213</v>
      </c>
      <c r="K5778" t="s">
        <v>10217</v>
      </c>
      <c r="M5778" t="s">
        <v>10462</v>
      </c>
      <c r="N5778" t="s">
        <v>10646</v>
      </c>
      <c r="P5778" t="s">
        <v>10750</v>
      </c>
      <c r="Q5778" t="s">
        <v>10760</v>
      </c>
      <c r="R5778" t="s">
        <v>10820</v>
      </c>
      <c r="T5778">
        <v>65780</v>
      </c>
      <c r="U5778">
        <v>5481.67</v>
      </c>
      <c r="V5778">
        <v>67</v>
      </c>
      <c r="W5778">
        <v>2</v>
      </c>
      <c r="X5778">
        <v>0</v>
      </c>
      <c r="Z5778">
        <v>389</v>
      </c>
      <c r="AA5778">
        <v>42.829682</v>
      </c>
      <c r="AB5778">
        <v>-73.74666000000001</v>
      </c>
      <c r="AD5778" t="s">
        <v>10840</v>
      </c>
      <c r="AG5778" t="s">
        <v>10858</v>
      </c>
      <c r="AH5778" t="s">
        <v>10871</v>
      </c>
      <c r="AI5778">
        <v>234</v>
      </c>
      <c r="AJ5778" t="s">
        <v>10214</v>
      </c>
      <c r="AL5778">
        <v>2.5</v>
      </c>
      <c r="AM5778" t="s">
        <v>10905</v>
      </c>
      <c r="AN5778" t="s">
        <v>10995</v>
      </c>
      <c r="AO5778" t="s">
        <v>11042</v>
      </c>
      <c r="AR5778" t="s">
        <v>11575</v>
      </c>
      <c r="AS5778" t="s">
        <v>9925</v>
      </c>
      <c r="AT5778" t="s">
        <v>11642</v>
      </c>
      <c r="AX5778" t="s">
        <v>10838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</row>
    <row r="5779" spans="1:59">
      <c r="A5779" s="1">
        <f>HYPERLINK("https://lsnyc.legalserver.org/matter/dynamic-profile/view/1910064","19-1910064")</f>
        <v>0</v>
      </c>
      <c r="B5779" t="s">
        <v>4521</v>
      </c>
      <c r="C5779" t="s">
        <v>9386</v>
      </c>
      <c r="D5779" t="s">
        <v>9928</v>
      </c>
      <c r="E5779" t="s">
        <v>10075</v>
      </c>
      <c r="F5779">
        <v>11222</v>
      </c>
      <c r="G5779" t="s">
        <v>10093</v>
      </c>
      <c r="H5779" t="s">
        <v>10162</v>
      </c>
      <c r="I5779" t="s">
        <v>10168</v>
      </c>
      <c r="J5779" t="s">
        <v>10213</v>
      </c>
      <c r="K5779" t="s">
        <v>10217</v>
      </c>
      <c r="M5779" t="s">
        <v>10309</v>
      </c>
      <c r="N5779" t="s">
        <v>10671</v>
      </c>
      <c r="P5779" t="s">
        <v>10750</v>
      </c>
      <c r="Q5779" t="s">
        <v>10760</v>
      </c>
      <c r="R5779" t="s">
        <v>10820</v>
      </c>
      <c r="T5779">
        <v>6000</v>
      </c>
      <c r="U5779">
        <v>500</v>
      </c>
      <c r="V5779">
        <v>28</v>
      </c>
      <c r="W5779">
        <v>1</v>
      </c>
      <c r="X5779">
        <v>0</v>
      </c>
      <c r="Z5779">
        <v>48.04</v>
      </c>
      <c r="AA5779">
        <v>40.722526</v>
      </c>
      <c r="AB5779">
        <v>-73.94233800000001</v>
      </c>
      <c r="AD5779" t="s">
        <v>10839</v>
      </c>
      <c r="AG5779" t="s">
        <v>10858</v>
      </c>
      <c r="AH5779" t="s">
        <v>10861</v>
      </c>
      <c r="AI5779">
        <v>234</v>
      </c>
      <c r="AJ5779" t="s">
        <v>10214</v>
      </c>
      <c r="AL5779">
        <v>0.92</v>
      </c>
      <c r="AM5779" t="s">
        <v>10891</v>
      </c>
      <c r="AN5779" t="s">
        <v>10939</v>
      </c>
      <c r="AO5779" t="s">
        <v>11004</v>
      </c>
      <c r="AP5779" t="s">
        <v>11054</v>
      </c>
      <c r="AR5779" t="s">
        <v>11257</v>
      </c>
      <c r="AS5779" t="s">
        <v>11595</v>
      </c>
      <c r="AT5779" t="s">
        <v>11641</v>
      </c>
      <c r="AX5779" t="s">
        <v>10837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</row>
    <row r="5780" spans="1:59">
      <c r="A5780" s="1">
        <f>HYPERLINK("https://lsnyc.legalserver.org/matter/dynamic-profile/view/1910065","19-1910065")</f>
        <v>0</v>
      </c>
      <c r="B5780" t="s">
        <v>4517</v>
      </c>
      <c r="C5780" t="s">
        <v>9387</v>
      </c>
      <c r="D5780" t="s">
        <v>9926</v>
      </c>
      <c r="E5780" t="s">
        <v>10075</v>
      </c>
      <c r="F5780">
        <v>10468</v>
      </c>
      <c r="G5780" t="s">
        <v>10090</v>
      </c>
      <c r="H5780" t="s">
        <v>10162</v>
      </c>
      <c r="I5780" t="s">
        <v>10169</v>
      </c>
      <c r="J5780" t="s">
        <v>10210</v>
      </c>
      <c r="K5780" t="s">
        <v>10217</v>
      </c>
      <c r="M5780" t="s">
        <v>10287</v>
      </c>
      <c r="N5780" t="s">
        <v>10671</v>
      </c>
      <c r="P5780" t="s">
        <v>10751</v>
      </c>
      <c r="Q5780" t="s">
        <v>10761</v>
      </c>
      <c r="R5780" t="s">
        <v>10823</v>
      </c>
      <c r="T5780">
        <v>15160</v>
      </c>
      <c r="U5780">
        <v>1263.33</v>
      </c>
      <c r="V5780">
        <v>55</v>
      </c>
      <c r="W5780">
        <v>1</v>
      </c>
      <c r="X5780">
        <v>1</v>
      </c>
      <c r="Z5780">
        <v>89.65000000000001</v>
      </c>
      <c r="AA5780">
        <v>40.864477</v>
      </c>
      <c r="AB5780">
        <v>-73.904521</v>
      </c>
      <c r="AD5780" t="s">
        <v>10839</v>
      </c>
      <c r="AF5780" t="s">
        <v>10843</v>
      </c>
      <c r="AG5780" t="s">
        <v>10859</v>
      </c>
      <c r="AH5780" t="s">
        <v>10862</v>
      </c>
      <c r="AI5780">
        <v>230</v>
      </c>
      <c r="AJ5780" t="s">
        <v>10210</v>
      </c>
      <c r="AL5780">
        <v>1.75</v>
      </c>
      <c r="AM5780" t="s">
        <v>10887</v>
      </c>
      <c r="AN5780" t="s">
        <v>10907</v>
      </c>
      <c r="AO5780" t="s">
        <v>11000</v>
      </c>
      <c r="AP5780" t="s">
        <v>11045</v>
      </c>
      <c r="AR5780" t="s">
        <v>11359</v>
      </c>
      <c r="AS5780" t="s">
        <v>9926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</row>
    <row r="5781" spans="1:59">
      <c r="A5781" s="1">
        <f>HYPERLINK("https://lsnyc.legalserver.org/matter/dynamic-profile/view/1910066","19-1910066")</f>
        <v>0</v>
      </c>
      <c r="B5781" t="s">
        <v>4522</v>
      </c>
      <c r="C5781" t="s">
        <v>9388</v>
      </c>
      <c r="D5781" t="s">
        <v>9930</v>
      </c>
      <c r="E5781" t="s">
        <v>10075</v>
      </c>
      <c r="F5781">
        <v>11373</v>
      </c>
      <c r="G5781" t="s">
        <v>10092</v>
      </c>
      <c r="H5781" t="s">
        <v>10162</v>
      </c>
      <c r="I5781" t="s">
        <v>10168</v>
      </c>
      <c r="J5781" t="s">
        <v>10212</v>
      </c>
      <c r="K5781" t="s">
        <v>10217</v>
      </c>
      <c r="M5781" t="s">
        <v>10594</v>
      </c>
      <c r="N5781" t="s">
        <v>10695</v>
      </c>
      <c r="P5781" t="s">
        <v>10749</v>
      </c>
      <c r="Q5781" t="s">
        <v>10765</v>
      </c>
      <c r="R5781" t="s">
        <v>10825</v>
      </c>
      <c r="T5781">
        <v>10200</v>
      </c>
      <c r="U5781">
        <v>850</v>
      </c>
      <c r="V5781">
        <v>63</v>
      </c>
      <c r="W5781">
        <v>1</v>
      </c>
      <c r="X5781">
        <v>1</v>
      </c>
      <c r="Z5781">
        <v>60.32</v>
      </c>
      <c r="AA5781">
        <v>40.741135</v>
      </c>
      <c r="AB5781">
        <v>-73.88893299999999</v>
      </c>
      <c r="AD5781" t="s">
        <v>10840</v>
      </c>
      <c r="AG5781" t="s">
        <v>10858</v>
      </c>
      <c r="AH5781" t="s">
        <v>10862</v>
      </c>
      <c r="AI5781">
        <v>237</v>
      </c>
      <c r="AJ5781" t="s">
        <v>10212</v>
      </c>
      <c r="AL5781">
        <v>2.8</v>
      </c>
      <c r="AM5781" t="s">
        <v>10890</v>
      </c>
      <c r="AN5781" t="s">
        <v>10949</v>
      </c>
      <c r="AO5781" t="s">
        <v>11003</v>
      </c>
      <c r="AP5781" t="s">
        <v>11053</v>
      </c>
      <c r="AR5781" t="s">
        <v>11263</v>
      </c>
      <c r="AS5781" t="s">
        <v>11594</v>
      </c>
      <c r="BA5781" t="s">
        <v>11742</v>
      </c>
      <c r="BB5781">
        <v>0</v>
      </c>
      <c r="BC5781">
        <v>0</v>
      </c>
      <c r="BD5781">
        <v>0</v>
      </c>
      <c r="BE5781">
        <v>0</v>
      </c>
      <c r="BF5781">
        <v>7</v>
      </c>
      <c r="BG5781">
        <v>0</v>
      </c>
    </row>
    <row r="5782" spans="1:59">
      <c r="A5782" s="1">
        <f>HYPERLINK("https://lsnyc.legalserver.org/matter/dynamic-profile/view/1910067","19-1910067")</f>
        <v>0</v>
      </c>
      <c r="B5782" t="s">
        <v>89</v>
      </c>
      <c r="C5782" t="s">
        <v>9389</v>
      </c>
      <c r="D5782" t="s">
        <v>9929</v>
      </c>
      <c r="E5782" t="s">
        <v>10075</v>
      </c>
      <c r="F5782">
        <v>10306</v>
      </c>
      <c r="G5782" t="s">
        <v>10093</v>
      </c>
      <c r="H5782" t="s">
        <v>10162</v>
      </c>
      <c r="I5782" t="s">
        <v>10169</v>
      </c>
      <c r="J5782" t="s">
        <v>10213</v>
      </c>
      <c r="K5782" t="s">
        <v>10217</v>
      </c>
      <c r="M5782" t="s">
        <v>10289</v>
      </c>
      <c r="N5782" t="s">
        <v>10671</v>
      </c>
      <c r="P5782" t="s">
        <v>10757</v>
      </c>
      <c r="Q5782" t="s">
        <v>10789</v>
      </c>
      <c r="R5782" t="s">
        <v>10823</v>
      </c>
      <c r="T5782">
        <v>12000</v>
      </c>
      <c r="U5782">
        <v>1000</v>
      </c>
      <c r="V5782">
        <v>64</v>
      </c>
      <c r="W5782">
        <v>1</v>
      </c>
      <c r="X5782">
        <v>0</v>
      </c>
      <c r="Z5782">
        <v>96.08</v>
      </c>
      <c r="AA5782">
        <v>40.571746</v>
      </c>
      <c r="AB5782">
        <v>-74.091476</v>
      </c>
      <c r="AD5782" t="s">
        <v>10839</v>
      </c>
      <c r="AG5782" t="s">
        <v>10858</v>
      </c>
      <c r="AH5782" t="s">
        <v>10861</v>
      </c>
      <c r="AI5782">
        <v>234</v>
      </c>
      <c r="AJ5782" t="s">
        <v>10214</v>
      </c>
      <c r="AL5782">
        <v>2.5</v>
      </c>
      <c r="AM5782" t="s">
        <v>10883</v>
      </c>
      <c r="AN5782" t="s">
        <v>10915</v>
      </c>
      <c r="AO5782" t="s">
        <v>10999</v>
      </c>
      <c r="AP5782" t="s">
        <v>11063</v>
      </c>
      <c r="AR5782" t="s">
        <v>11300</v>
      </c>
      <c r="AS5782" t="s">
        <v>11593</v>
      </c>
      <c r="AT5782" t="s">
        <v>11641</v>
      </c>
      <c r="AX5782" t="s">
        <v>10838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</row>
    <row r="5783" spans="1:59">
      <c r="A5783" s="1">
        <f>HYPERLINK("https://lsnyc.legalserver.org/matter/dynamic-profile/view/1910068","19-1910068")</f>
        <v>0</v>
      </c>
      <c r="B5783" t="s">
        <v>4523</v>
      </c>
      <c r="C5783" t="s">
        <v>9390</v>
      </c>
      <c r="D5783" t="s">
        <v>9928</v>
      </c>
      <c r="E5783" t="s">
        <v>10075</v>
      </c>
      <c r="F5783">
        <v>11232</v>
      </c>
      <c r="G5783" t="s">
        <v>10091</v>
      </c>
      <c r="H5783" t="s">
        <v>10162</v>
      </c>
      <c r="I5783" t="s">
        <v>10182</v>
      </c>
      <c r="J5783" t="s">
        <v>10214</v>
      </c>
      <c r="K5783" t="s">
        <v>10217</v>
      </c>
      <c r="M5783" t="s">
        <v>10307</v>
      </c>
      <c r="N5783" t="s">
        <v>10671</v>
      </c>
      <c r="P5783" t="s">
        <v>10752</v>
      </c>
      <c r="Q5783" t="s">
        <v>10762</v>
      </c>
      <c r="R5783" t="s">
        <v>10827</v>
      </c>
      <c r="T5783">
        <v>13200</v>
      </c>
      <c r="U5783">
        <v>1100</v>
      </c>
      <c r="V5783">
        <v>38</v>
      </c>
      <c r="W5783">
        <v>2</v>
      </c>
      <c r="X5783">
        <v>0</v>
      </c>
      <c r="Z5783">
        <v>78.06</v>
      </c>
      <c r="AA5783">
        <v>40.645506</v>
      </c>
      <c r="AB5783">
        <v>-73.99945700000001</v>
      </c>
      <c r="AD5783" t="s">
        <v>10839</v>
      </c>
      <c r="AF5783" t="s">
        <v>10842</v>
      </c>
      <c r="AG5783" t="s">
        <v>10859</v>
      </c>
      <c r="AH5783" t="s">
        <v>10861</v>
      </c>
      <c r="AI5783">
        <v>234</v>
      </c>
      <c r="AJ5783" t="s">
        <v>10214</v>
      </c>
      <c r="AL5783">
        <v>1</v>
      </c>
      <c r="AM5783" t="s">
        <v>10886</v>
      </c>
      <c r="AN5783" t="s">
        <v>10921</v>
      </c>
      <c r="AO5783" t="s">
        <v>11015</v>
      </c>
      <c r="AP5783" t="s">
        <v>11069</v>
      </c>
      <c r="AR5783" t="s">
        <v>11257</v>
      </c>
      <c r="AS5783" t="s">
        <v>11595</v>
      </c>
      <c r="AT5783" t="s">
        <v>11641</v>
      </c>
      <c r="AX5783" t="s">
        <v>10838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</row>
    <row r="5784" spans="1:59">
      <c r="A5784" s="1">
        <f>HYPERLINK("https://lsnyc.legalserver.org/matter/dynamic-profile/view/1910069","19-1910069")</f>
        <v>0</v>
      </c>
      <c r="B5784" t="s">
        <v>4524</v>
      </c>
      <c r="C5784" t="s">
        <v>9391</v>
      </c>
      <c r="D5784" t="s">
        <v>9948</v>
      </c>
      <c r="E5784" t="s">
        <v>10075</v>
      </c>
      <c r="F5784">
        <v>11691</v>
      </c>
      <c r="G5784" t="s">
        <v>10092</v>
      </c>
      <c r="H5784" t="s">
        <v>10162</v>
      </c>
      <c r="I5784" t="s">
        <v>10168</v>
      </c>
      <c r="J5784" t="s">
        <v>10212</v>
      </c>
      <c r="K5784" t="s">
        <v>10217</v>
      </c>
      <c r="M5784" t="s">
        <v>10325</v>
      </c>
      <c r="N5784" t="s">
        <v>10671</v>
      </c>
      <c r="P5784" t="s">
        <v>10751</v>
      </c>
      <c r="Q5784" t="s">
        <v>10761</v>
      </c>
      <c r="R5784" t="s">
        <v>10822</v>
      </c>
      <c r="T5784">
        <v>24000</v>
      </c>
      <c r="U5784">
        <v>2000</v>
      </c>
      <c r="V5784">
        <v>38</v>
      </c>
      <c r="W5784">
        <v>1</v>
      </c>
      <c r="X5784">
        <v>3</v>
      </c>
      <c r="Z5784">
        <v>93.2</v>
      </c>
      <c r="AA5784">
        <v>40.595667</v>
      </c>
      <c r="AB5784">
        <v>-73.74181</v>
      </c>
      <c r="AD5784" t="s">
        <v>10840</v>
      </c>
      <c r="AG5784" t="s">
        <v>10858</v>
      </c>
      <c r="AH5784" t="s">
        <v>10861</v>
      </c>
      <c r="AI5784">
        <v>234</v>
      </c>
      <c r="AJ5784" t="s">
        <v>10214</v>
      </c>
      <c r="AL5784">
        <v>1</v>
      </c>
      <c r="AR5784" t="s">
        <v>11276</v>
      </c>
      <c r="AS5784" t="s">
        <v>11594</v>
      </c>
      <c r="AT5784" t="s">
        <v>11642</v>
      </c>
      <c r="AX5784" t="s">
        <v>10838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</row>
    <row r="5785" spans="1:59">
      <c r="A5785" s="1">
        <f>HYPERLINK("https://lsnyc.legalserver.org/matter/dynamic-profile/view/1910070","19-1910070")</f>
        <v>0</v>
      </c>
      <c r="B5785" t="s">
        <v>4357</v>
      </c>
      <c r="C5785" t="s">
        <v>7223</v>
      </c>
      <c r="D5785" t="s">
        <v>9926</v>
      </c>
      <c r="E5785" t="s">
        <v>10075</v>
      </c>
      <c r="F5785">
        <v>10457</v>
      </c>
      <c r="G5785" t="s">
        <v>10090</v>
      </c>
      <c r="H5785" t="s">
        <v>10162</v>
      </c>
      <c r="I5785" t="s">
        <v>10168</v>
      </c>
      <c r="J5785" t="s">
        <v>10210</v>
      </c>
      <c r="K5785" t="s">
        <v>10217</v>
      </c>
      <c r="M5785" t="s">
        <v>10622</v>
      </c>
      <c r="N5785" t="s">
        <v>10650</v>
      </c>
      <c r="P5785" t="s">
        <v>10749</v>
      </c>
      <c r="Q5785" t="s">
        <v>10765</v>
      </c>
      <c r="R5785" t="s">
        <v>10821</v>
      </c>
      <c r="T5785">
        <v>0</v>
      </c>
      <c r="U5785">
        <v>0</v>
      </c>
      <c r="V5785">
        <v>52</v>
      </c>
      <c r="W5785">
        <v>1</v>
      </c>
      <c r="X5785">
        <v>0</v>
      </c>
      <c r="Z5785">
        <v>0</v>
      </c>
      <c r="AA5785">
        <v>40.844471</v>
      </c>
      <c r="AB5785">
        <v>-73.90973700000001</v>
      </c>
      <c r="AD5785" t="s">
        <v>10839</v>
      </c>
      <c r="AG5785" t="s">
        <v>10858</v>
      </c>
      <c r="AH5785" t="s">
        <v>10862</v>
      </c>
      <c r="AI5785">
        <v>230</v>
      </c>
      <c r="AJ5785" t="s">
        <v>10210</v>
      </c>
      <c r="AL5785">
        <v>0</v>
      </c>
      <c r="AM5785" t="s">
        <v>10884</v>
      </c>
      <c r="AN5785" t="s">
        <v>10931</v>
      </c>
      <c r="AO5785" t="s">
        <v>11000</v>
      </c>
      <c r="AP5785" t="s">
        <v>11056</v>
      </c>
      <c r="AR5785" t="s">
        <v>11267</v>
      </c>
      <c r="AS5785" t="s">
        <v>9926</v>
      </c>
      <c r="BA5785" t="s">
        <v>11740</v>
      </c>
      <c r="BB5785">
        <v>0</v>
      </c>
      <c r="BC5785">
        <v>0</v>
      </c>
      <c r="BD5785">
        <v>0</v>
      </c>
      <c r="BE5785">
        <v>0</v>
      </c>
      <c r="BF5785">
        <v>2</v>
      </c>
      <c r="BG5785">
        <v>0</v>
      </c>
    </row>
    <row r="5786" spans="1:59">
      <c r="A5786" s="1">
        <f>HYPERLINK("https://lsnyc.legalserver.org/matter/dynamic-profile/view/1910071","19-1910071")</f>
        <v>0</v>
      </c>
      <c r="B5786" t="s">
        <v>4525</v>
      </c>
      <c r="C5786" t="s">
        <v>7567</v>
      </c>
      <c r="D5786" t="s">
        <v>9954</v>
      </c>
      <c r="E5786" t="s">
        <v>10075</v>
      </c>
      <c r="F5786">
        <v>11372</v>
      </c>
      <c r="G5786" t="s">
        <v>10092</v>
      </c>
      <c r="H5786" t="s">
        <v>10162</v>
      </c>
      <c r="I5786" t="s">
        <v>10169</v>
      </c>
      <c r="J5786" t="s">
        <v>10212</v>
      </c>
      <c r="K5786" t="s">
        <v>10217</v>
      </c>
      <c r="M5786" t="s">
        <v>10312</v>
      </c>
      <c r="N5786" t="s">
        <v>10695</v>
      </c>
      <c r="P5786" t="s">
        <v>10749</v>
      </c>
      <c r="Q5786" t="s">
        <v>10765</v>
      </c>
      <c r="R5786" t="s">
        <v>10821</v>
      </c>
      <c r="T5786">
        <v>24359.04</v>
      </c>
      <c r="U5786">
        <v>2029.92</v>
      </c>
      <c r="V5786">
        <v>65</v>
      </c>
      <c r="W5786">
        <v>1</v>
      </c>
      <c r="X5786">
        <v>0</v>
      </c>
      <c r="Z5786">
        <v>195.03</v>
      </c>
      <c r="AA5786">
        <v>40.749664</v>
      </c>
      <c r="AB5786">
        <v>-73.89267100000001</v>
      </c>
      <c r="AD5786" t="s">
        <v>10839</v>
      </c>
      <c r="AG5786" t="s">
        <v>10858</v>
      </c>
      <c r="AH5786" t="s">
        <v>10862</v>
      </c>
      <c r="AI5786">
        <v>237</v>
      </c>
      <c r="AJ5786" t="s">
        <v>10212</v>
      </c>
      <c r="AL5786">
        <v>0.4</v>
      </c>
      <c r="AM5786" t="s">
        <v>10885</v>
      </c>
      <c r="AN5786" t="s">
        <v>10909</v>
      </c>
      <c r="AO5786" t="s">
        <v>11014</v>
      </c>
      <c r="AP5786" t="s">
        <v>11053</v>
      </c>
      <c r="AR5786" t="s">
        <v>11300</v>
      </c>
      <c r="AS5786" t="s">
        <v>11594</v>
      </c>
      <c r="BA5786" t="s">
        <v>11742</v>
      </c>
      <c r="BB5786">
        <v>0</v>
      </c>
      <c r="BC5786">
        <v>0</v>
      </c>
      <c r="BD5786">
        <v>0</v>
      </c>
      <c r="BE5786">
        <v>0</v>
      </c>
      <c r="BF5786">
        <v>7</v>
      </c>
      <c r="BG5786">
        <v>0</v>
      </c>
    </row>
    <row r="5787" spans="1:59">
      <c r="A5787" s="1">
        <f>HYPERLINK("https://lsnyc.legalserver.org/matter/dynamic-profile/view/1910072","19-1910072")</f>
        <v>0</v>
      </c>
      <c r="B5787" t="s">
        <v>2738</v>
      </c>
      <c r="C5787" t="s">
        <v>9049</v>
      </c>
      <c r="D5787" t="s">
        <v>9925</v>
      </c>
      <c r="E5787" t="s">
        <v>10075</v>
      </c>
      <c r="F5787">
        <v>10009</v>
      </c>
      <c r="G5787" t="s">
        <v>10089</v>
      </c>
      <c r="H5787" t="s">
        <v>10162</v>
      </c>
      <c r="I5787" t="s">
        <v>10169</v>
      </c>
      <c r="J5787" t="s">
        <v>10209</v>
      </c>
      <c r="K5787" t="s">
        <v>10217</v>
      </c>
      <c r="M5787" t="s">
        <v>10488</v>
      </c>
      <c r="N5787" t="s">
        <v>10649</v>
      </c>
      <c r="P5787" t="s">
        <v>10753</v>
      </c>
      <c r="Q5787" t="s">
        <v>10763</v>
      </c>
      <c r="R5787" t="s">
        <v>10823</v>
      </c>
      <c r="T5787">
        <v>17736</v>
      </c>
      <c r="U5787">
        <v>1478</v>
      </c>
      <c r="V5787">
        <v>53</v>
      </c>
      <c r="W5787">
        <v>3</v>
      </c>
      <c r="X5787">
        <v>0</v>
      </c>
      <c r="Z5787">
        <v>83.15000000000001</v>
      </c>
      <c r="AA5787">
        <v>40.727565</v>
      </c>
      <c r="AB5787">
        <v>-73.977268</v>
      </c>
      <c r="AD5787" t="s">
        <v>10839</v>
      </c>
      <c r="AF5787" t="s">
        <v>10843</v>
      </c>
      <c r="AG5787" t="s">
        <v>10859</v>
      </c>
      <c r="AH5787" t="s">
        <v>10864</v>
      </c>
      <c r="AI5787">
        <v>236</v>
      </c>
      <c r="AJ5787" t="s">
        <v>10209</v>
      </c>
      <c r="AL5787">
        <v>0.5</v>
      </c>
      <c r="AM5787" t="s">
        <v>10891</v>
      </c>
      <c r="AN5787" t="s">
        <v>10910</v>
      </c>
      <c r="AO5787" t="s">
        <v>11021</v>
      </c>
      <c r="AP5787" t="s">
        <v>11048</v>
      </c>
      <c r="AQ5787" t="s">
        <v>11104</v>
      </c>
      <c r="AR5787" t="s">
        <v>11263</v>
      </c>
      <c r="AS5787" t="s">
        <v>9925</v>
      </c>
      <c r="BA5787" t="s">
        <v>11742</v>
      </c>
      <c r="BB5787">
        <v>0</v>
      </c>
      <c r="BC5787">
        <v>0</v>
      </c>
      <c r="BD5787">
        <v>0</v>
      </c>
      <c r="BE5787">
        <v>0</v>
      </c>
      <c r="BF5787">
        <v>7</v>
      </c>
      <c r="BG5787">
        <v>0</v>
      </c>
    </row>
    <row r="5788" spans="1:59">
      <c r="A5788" s="1">
        <f>HYPERLINK("https://lsnyc.legalserver.org/matter/dynamic-profile/view/1910073","19-1910073")</f>
        <v>0</v>
      </c>
      <c r="B5788" t="s">
        <v>1428</v>
      </c>
      <c r="C5788" t="s">
        <v>9392</v>
      </c>
      <c r="D5788" t="s">
        <v>9928</v>
      </c>
      <c r="E5788" t="s">
        <v>10075</v>
      </c>
      <c r="F5788">
        <v>11212</v>
      </c>
      <c r="G5788" t="s">
        <v>10091</v>
      </c>
      <c r="H5788" t="s">
        <v>10162</v>
      </c>
      <c r="I5788" t="s">
        <v>10168</v>
      </c>
      <c r="J5788" t="s">
        <v>10214</v>
      </c>
      <c r="K5788" t="s">
        <v>10217</v>
      </c>
      <c r="M5788" t="s">
        <v>10537</v>
      </c>
      <c r="N5788" t="s">
        <v>10646</v>
      </c>
      <c r="P5788" t="s">
        <v>10753</v>
      </c>
      <c r="Q5788" t="s">
        <v>10763</v>
      </c>
      <c r="R5788" t="s">
        <v>10824</v>
      </c>
      <c r="T5788">
        <v>25200</v>
      </c>
      <c r="U5788">
        <v>2100</v>
      </c>
      <c r="V5788">
        <v>79</v>
      </c>
      <c r="W5788">
        <v>1</v>
      </c>
      <c r="X5788">
        <v>0</v>
      </c>
      <c r="Z5788">
        <v>201.76</v>
      </c>
      <c r="AA5788">
        <v>40.657314</v>
      </c>
      <c r="AB5788">
        <v>-73.906829</v>
      </c>
      <c r="AD5788" t="s">
        <v>10840</v>
      </c>
      <c r="AF5788" t="s">
        <v>10843</v>
      </c>
      <c r="AG5788" t="s">
        <v>10859</v>
      </c>
      <c r="AH5788" t="s">
        <v>10861</v>
      </c>
      <c r="AI5788">
        <v>234</v>
      </c>
      <c r="AJ5788" t="s">
        <v>10214</v>
      </c>
      <c r="AL5788">
        <v>1</v>
      </c>
      <c r="AM5788" t="s">
        <v>10889</v>
      </c>
      <c r="AN5788" t="s">
        <v>10946</v>
      </c>
      <c r="AO5788" t="s">
        <v>11012</v>
      </c>
      <c r="AP5788" t="s">
        <v>11060</v>
      </c>
      <c r="AR5788" t="s">
        <v>11300</v>
      </c>
      <c r="AS5788" t="s">
        <v>11595</v>
      </c>
      <c r="AT5788" t="s">
        <v>11642</v>
      </c>
      <c r="AX5788" t="s">
        <v>10838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</row>
    <row r="5789" spans="1:59">
      <c r="A5789" s="1">
        <f>HYPERLINK("https://lsnyc.legalserver.org/matter/dynamic-profile/view/1910074","19-1910074")</f>
        <v>0</v>
      </c>
      <c r="B5789" t="s">
        <v>359</v>
      </c>
      <c r="C5789" t="s">
        <v>9393</v>
      </c>
      <c r="D5789" t="s">
        <v>9928</v>
      </c>
      <c r="E5789" t="s">
        <v>10075</v>
      </c>
      <c r="F5789">
        <v>11233</v>
      </c>
      <c r="G5789" t="s">
        <v>10093</v>
      </c>
      <c r="H5789" t="s">
        <v>10162</v>
      </c>
      <c r="I5789" t="s">
        <v>10168</v>
      </c>
      <c r="J5789" t="s">
        <v>10213</v>
      </c>
      <c r="K5789" t="s">
        <v>10217</v>
      </c>
      <c r="M5789" t="s">
        <v>10348</v>
      </c>
      <c r="N5789" t="s">
        <v>10646</v>
      </c>
      <c r="P5789" t="s">
        <v>10749</v>
      </c>
      <c r="Q5789" t="s">
        <v>10765</v>
      </c>
      <c r="R5789" t="s">
        <v>10824</v>
      </c>
      <c r="T5789">
        <v>59800</v>
      </c>
      <c r="U5789">
        <v>4983.33</v>
      </c>
      <c r="V5789">
        <v>45</v>
      </c>
      <c r="W5789">
        <v>2</v>
      </c>
      <c r="X5789">
        <v>0</v>
      </c>
      <c r="Z5789">
        <v>353.64</v>
      </c>
      <c r="AA5789">
        <v>40.675007</v>
      </c>
      <c r="AB5789">
        <v>-73.90642</v>
      </c>
      <c r="AD5789" t="s">
        <v>10839</v>
      </c>
      <c r="AG5789" t="s">
        <v>10858</v>
      </c>
      <c r="AH5789" t="s">
        <v>10862</v>
      </c>
      <c r="AI5789">
        <v>239</v>
      </c>
      <c r="AJ5789" t="s">
        <v>10213</v>
      </c>
      <c r="AL5789">
        <v>1.25</v>
      </c>
      <c r="AM5789" t="s">
        <v>10889</v>
      </c>
      <c r="AN5789" t="s">
        <v>10922</v>
      </c>
      <c r="AO5789" t="s">
        <v>11012</v>
      </c>
      <c r="AP5789" t="s">
        <v>11058</v>
      </c>
      <c r="AR5789" t="s">
        <v>11328</v>
      </c>
      <c r="AS5789" t="s">
        <v>11595</v>
      </c>
      <c r="AT5789" t="s">
        <v>11641</v>
      </c>
      <c r="AX5789" t="s">
        <v>11678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</row>
    <row r="5790" spans="1:59">
      <c r="A5790" s="1">
        <f>HYPERLINK("https://lsnyc.legalserver.org/matter/dynamic-profile/view/1910075","19-1910075")</f>
        <v>0</v>
      </c>
      <c r="B5790" t="s">
        <v>4526</v>
      </c>
      <c r="C5790" t="s">
        <v>9394</v>
      </c>
      <c r="D5790" t="s">
        <v>9926</v>
      </c>
      <c r="E5790" t="s">
        <v>10075</v>
      </c>
      <c r="F5790">
        <v>10456</v>
      </c>
      <c r="G5790" t="s">
        <v>10090</v>
      </c>
      <c r="H5790" t="s">
        <v>10162</v>
      </c>
      <c r="J5790" t="s">
        <v>10210</v>
      </c>
      <c r="K5790" t="s">
        <v>10217</v>
      </c>
      <c r="M5790" t="s">
        <v>10622</v>
      </c>
      <c r="N5790" t="s">
        <v>10650</v>
      </c>
      <c r="P5790" t="s">
        <v>10749</v>
      </c>
      <c r="Q5790" t="s">
        <v>10765</v>
      </c>
      <c r="R5790" t="s">
        <v>10824</v>
      </c>
      <c r="T5790">
        <v>24900</v>
      </c>
      <c r="U5790">
        <v>2075</v>
      </c>
      <c r="V5790">
        <v>82</v>
      </c>
      <c r="W5790">
        <v>1</v>
      </c>
      <c r="X5790">
        <v>0</v>
      </c>
      <c r="Z5790">
        <v>199.36</v>
      </c>
      <c r="AA5790">
        <v>40.835343</v>
      </c>
      <c r="AB5790">
        <v>-73.910518</v>
      </c>
      <c r="AD5790" t="s">
        <v>10840</v>
      </c>
      <c r="AG5790" t="s">
        <v>10858</v>
      </c>
      <c r="AH5790" t="s">
        <v>10862</v>
      </c>
      <c r="AI5790">
        <v>230</v>
      </c>
      <c r="AJ5790" t="s">
        <v>10210</v>
      </c>
      <c r="AL5790">
        <v>0</v>
      </c>
      <c r="AM5790" t="s">
        <v>10884</v>
      </c>
      <c r="AN5790" t="s">
        <v>10929</v>
      </c>
      <c r="AO5790" t="s">
        <v>11000</v>
      </c>
      <c r="AP5790" t="s">
        <v>11055</v>
      </c>
      <c r="AR5790" t="s">
        <v>11379</v>
      </c>
      <c r="AS5790" t="s">
        <v>9926</v>
      </c>
      <c r="BA5790" t="s">
        <v>11741</v>
      </c>
      <c r="BB5790">
        <v>0</v>
      </c>
      <c r="BC5790">
        <v>0</v>
      </c>
      <c r="BD5790">
        <v>0</v>
      </c>
      <c r="BE5790">
        <v>0</v>
      </c>
      <c r="BF5790">
        <v>1</v>
      </c>
      <c r="BG5790">
        <v>0</v>
      </c>
    </row>
    <row r="5791" spans="1:59">
      <c r="A5791" s="1">
        <f>HYPERLINK("https://lsnyc.legalserver.org/matter/dynamic-profile/view/1910076","19-1910076")</f>
        <v>0</v>
      </c>
      <c r="B5791" t="s">
        <v>2147</v>
      </c>
      <c r="C5791" t="s">
        <v>7944</v>
      </c>
      <c r="D5791" t="s">
        <v>9926</v>
      </c>
      <c r="E5791" t="s">
        <v>10075</v>
      </c>
      <c r="F5791">
        <v>10460</v>
      </c>
      <c r="G5791" t="s">
        <v>10090</v>
      </c>
      <c r="H5791" t="s">
        <v>10162</v>
      </c>
      <c r="I5791" t="s">
        <v>10168</v>
      </c>
      <c r="J5791" t="s">
        <v>10210</v>
      </c>
      <c r="K5791" t="s">
        <v>10217</v>
      </c>
      <c r="M5791" t="s">
        <v>10234</v>
      </c>
      <c r="N5791" t="s">
        <v>10650</v>
      </c>
      <c r="P5791" t="s">
        <v>10749</v>
      </c>
      <c r="Q5791" t="s">
        <v>10774</v>
      </c>
      <c r="R5791" t="s">
        <v>10824</v>
      </c>
      <c r="T5791">
        <v>18600</v>
      </c>
      <c r="U5791">
        <v>1550</v>
      </c>
      <c r="V5791">
        <v>58</v>
      </c>
      <c r="W5791">
        <v>4</v>
      </c>
      <c r="X5791">
        <v>0</v>
      </c>
      <c r="Z5791">
        <v>72.23</v>
      </c>
      <c r="AA5791">
        <v>40.843339</v>
      </c>
      <c r="AB5791">
        <v>-73.884772</v>
      </c>
      <c r="AD5791" t="s">
        <v>10839</v>
      </c>
      <c r="AG5791" t="s">
        <v>10858</v>
      </c>
      <c r="AH5791" t="s">
        <v>10862</v>
      </c>
      <c r="AI5791">
        <v>230</v>
      </c>
      <c r="AJ5791" t="s">
        <v>10210</v>
      </c>
      <c r="AL5791">
        <v>3.25</v>
      </c>
      <c r="AQ5791" t="s">
        <v>11136</v>
      </c>
      <c r="AR5791" t="s">
        <v>11520</v>
      </c>
      <c r="AS5791" t="s">
        <v>9926</v>
      </c>
      <c r="BA5791" t="s">
        <v>11737</v>
      </c>
      <c r="BB5791">
        <v>0</v>
      </c>
      <c r="BC5791">
        <v>0</v>
      </c>
      <c r="BD5791">
        <v>0</v>
      </c>
      <c r="BE5791">
        <v>0</v>
      </c>
      <c r="BF5791">
        <v>3</v>
      </c>
      <c r="BG5791">
        <v>0</v>
      </c>
    </row>
    <row r="5792" spans="1:59">
      <c r="A5792" s="1">
        <f>HYPERLINK("https://lsnyc.legalserver.org/matter/dynamic-profile/view/1910077","19-1910077")</f>
        <v>0</v>
      </c>
      <c r="B5792" t="s">
        <v>4527</v>
      </c>
      <c r="C5792" t="s">
        <v>9395</v>
      </c>
      <c r="D5792" t="s">
        <v>9926</v>
      </c>
      <c r="E5792" t="s">
        <v>10075</v>
      </c>
      <c r="F5792">
        <v>10468</v>
      </c>
      <c r="G5792" t="s">
        <v>10090</v>
      </c>
      <c r="H5792" t="s">
        <v>10162</v>
      </c>
      <c r="I5792" t="s">
        <v>10168</v>
      </c>
      <c r="J5792" t="s">
        <v>10210</v>
      </c>
      <c r="K5792" t="s">
        <v>10217</v>
      </c>
      <c r="M5792" t="s">
        <v>10336</v>
      </c>
      <c r="N5792" t="s">
        <v>10671</v>
      </c>
      <c r="P5792" t="s">
        <v>10754</v>
      </c>
      <c r="Q5792" t="s">
        <v>10771</v>
      </c>
      <c r="R5792" t="s">
        <v>10823</v>
      </c>
      <c r="T5792">
        <v>20040</v>
      </c>
      <c r="U5792">
        <v>1670</v>
      </c>
      <c r="V5792">
        <v>69</v>
      </c>
      <c r="W5792">
        <v>1</v>
      </c>
      <c r="X5792">
        <v>0</v>
      </c>
      <c r="Z5792">
        <v>160.45</v>
      </c>
      <c r="AA5792">
        <v>40.861183</v>
      </c>
      <c r="AB5792">
        <v>-73.910584</v>
      </c>
      <c r="AC5792" t="s">
        <v>10837</v>
      </c>
      <c r="AD5792" t="s">
        <v>10840</v>
      </c>
      <c r="AG5792" t="s">
        <v>10858</v>
      </c>
      <c r="AH5792" t="s">
        <v>10861</v>
      </c>
      <c r="AI5792">
        <v>234</v>
      </c>
      <c r="AJ5792" t="s">
        <v>10214</v>
      </c>
      <c r="AL5792">
        <v>1</v>
      </c>
      <c r="AM5792" t="s">
        <v>10887</v>
      </c>
      <c r="AN5792" t="s">
        <v>10931</v>
      </c>
      <c r="AO5792" t="s">
        <v>11000</v>
      </c>
      <c r="AP5792" t="s">
        <v>11045</v>
      </c>
      <c r="AR5792" t="s">
        <v>11300</v>
      </c>
      <c r="AS5792" t="s">
        <v>9926</v>
      </c>
      <c r="AT5792" t="s">
        <v>11642</v>
      </c>
      <c r="AX5792" t="s">
        <v>10838</v>
      </c>
      <c r="BA5792" t="s">
        <v>11742</v>
      </c>
      <c r="BB5792">
        <v>0</v>
      </c>
      <c r="BC5792">
        <v>0</v>
      </c>
      <c r="BD5792">
        <v>0</v>
      </c>
      <c r="BE5792">
        <v>0</v>
      </c>
      <c r="BF5792">
        <v>7</v>
      </c>
      <c r="BG5792">
        <v>0</v>
      </c>
    </row>
    <row r="5793" spans="1:59">
      <c r="A5793" s="1">
        <f>HYPERLINK("https://lsnyc.legalserver.org/matter/dynamic-profile/view/1910078","19-1910078")</f>
        <v>0</v>
      </c>
      <c r="B5793" t="s">
        <v>3536</v>
      </c>
      <c r="C5793" t="s">
        <v>9396</v>
      </c>
      <c r="D5793" t="s">
        <v>9926</v>
      </c>
      <c r="E5793" t="s">
        <v>10075</v>
      </c>
      <c r="F5793">
        <v>10454</v>
      </c>
      <c r="G5793" t="s">
        <v>10090</v>
      </c>
      <c r="H5793" t="s">
        <v>10162</v>
      </c>
      <c r="I5793" t="s">
        <v>10169</v>
      </c>
      <c r="J5793" t="s">
        <v>10210</v>
      </c>
      <c r="K5793" t="s">
        <v>10217</v>
      </c>
      <c r="M5793" t="s">
        <v>10412</v>
      </c>
      <c r="N5793" t="s">
        <v>10673</v>
      </c>
      <c r="P5793" t="s">
        <v>10753</v>
      </c>
      <c r="Q5793" t="s">
        <v>10763</v>
      </c>
      <c r="R5793" t="s">
        <v>10821</v>
      </c>
      <c r="T5793">
        <v>0</v>
      </c>
      <c r="U5793">
        <v>0</v>
      </c>
      <c r="V5793">
        <v>34</v>
      </c>
      <c r="W5793">
        <v>1</v>
      </c>
      <c r="X5793">
        <v>0</v>
      </c>
      <c r="Z5793">
        <v>0</v>
      </c>
      <c r="AA5793">
        <v>40.805263</v>
      </c>
      <c r="AB5793">
        <v>-73.91820800000001</v>
      </c>
      <c r="AD5793" t="s">
        <v>10840</v>
      </c>
      <c r="AF5793" t="s">
        <v>10844</v>
      </c>
      <c r="AG5793" t="s">
        <v>10859</v>
      </c>
      <c r="AH5793" t="s">
        <v>10864</v>
      </c>
      <c r="AI5793">
        <v>230</v>
      </c>
      <c r="AJ5793" t="s">
        <v>10210</v>
      </c>
      <c r="AL5793">
        <v>3.5</v>
      </c>
      <c r="AM5793" t="s">
        <v>10884</v>
      </c>
      <c r="AN5793" t="s">
        <v>10924</v>
      </c>
      <c r="AO5793" t="s">
        <v>11013</v>
      </c>
      <c r="AP5793" t="s">
        <v>11066</v>
      </c>
      <c r="AQ5793" t="s">
        <v>11119</v>
      </c>
      <c r="AR5793" t="s">
        <v>11267</v>
      </c>
      <c r="AS5793" t="s">
        <v>9926</v>
      </c>
      <c r="AT5793" t="s">
        <v>11642</v>
      </c>
      <c r="AV5793" t="s">
        <v>11655</v>
      </c>
      <c r="AW5793" t="s">
        <v>11666</v>
      </c>
      <c r="AX5793" t="s">
        <v>10838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</row>
    <row r="5794" spans="1:59">
      <c r="A5794" s="1">
        <f>HYPERLINK("https://lsnyc.legalserver.org/matter/dynamic-profile/view/1910079","19-1910079")</f>
        <v>0</v>
      </c>
      <c r="B5794" t="s">
        <v>4528</v>
      </c>
      <c r="C5794" t="s">
        <v>9397</v>
      </c>
      <c r="D5794" t="s">
        <v>9925</v>
      </c>
      <c r="E5794" t="s">
        <v>10075</v>
      </c>
      <c r="F5794">
        <v>10002</v>
      </c>
      <c r="G5794" t="s">
        <v>10089</v>
      </c>
      <c r="H5794" t="s">
        <v>10162</v>
      </c>
      <c r="I5794" t="s">
        <v>10168</v>
      </c>
      <c r="J5794" t="s">
        <v>10209</v>
      </c>
      <c r="K5794" t="s">
        <v>10217</v>
      </c>
      <c r="M5794" t="s">
        <v>10266</v>
      </c>
      <c r="N5794" t="s">
        <v>10673</v>
      </c>
      <c r="P5794" t="s">
        <v>10753</v>
      </c>
      <c r="Q5794" t="s">
        <v>10763</v>
      </c>
      <c r="R5794" t="s">
        <v>10825</v>
      </c>
      <c r="T5794">
        <v>23000</v>
      </c>
      <c r="U5794">
        <v>1916.67</v>
      </c>
      <c r="V5794">
        <v>30</v>
      </c>
      <c r="W5794">
        <v>1</v>
      </c>
      <c r="X5794">
        <v>0</v>
      </c>
      <c r="Z5794">
        <v>184.15</v>
      </c>
      <c r="AA5794">
        <v>40.71368</v>
      </c>
      <c r="AB5794">
        <v>-73.997034</v>
      </c>
      <c r="AD5794" t="s">
        <v>10840</v>
      </c>
      <c r="AF5794" t="s">
        <v>10846</v>
      </c>
      <c r="AG5794" t="s">
        <v>10859</v>
      </c>
      <c r="AH5794" t="s">
        <v>10864</v>
      </c>
      <c r="AI5794">
        <v>236</v>
      </c>
      <c r="AJ5794" t="s">
        <v>10209</v>
      </c>
      <c r="AL5794">
        <v>2.15</v>
      </c>
      <c r="AM5794" t="s">
        <v>10886</v>
      </c>
      <c r="AN5794" t="s">
        <v>10963</v>
      </c>
      <c r="AO5794" t="s">
        <v>11004</v>
      </c>
      <c r="AP5794" t="s">
        <v>11093</v>
      </c>
      <c r="AQ5794" t="s">
        <v>11109</v>
      </c>
      <c r="AR5794" t="s">
        <v>11257</v>
      </c>
      <c r="AS5794" t="s">
        <v>9925</v>
      </c>
      <c r="AX5794" t="s">
        <v>10837</v>
      </c>
      <c r="BA5794" t="s">
        <v>11739</v>
      </c>
      <c r="BB5794">
        <v>0</v>
      </c>
      <c r="BC5794">
        <v>0</v>
      </c>
      <c r="BD5794">
        <v>0</v>
      </c>
      <c r="BE5794">
        <v>0</v>
      </c>
      <c r="BF5794">
        <v>4</v>
      </c>
      <c r="BG5794">
        <v>0</v>
      </c>
    </row>
    <row r="5795" spans="1:59">
      <c r="A5795" s="1">
        <f>HYPERLINK("https://lsnyc.legalserver.org/matter/dynamic-profile/view/1910080","19-1910080")</f>
        <v>0</v>
      </c>
      <c r="B5795" t="s">
        <v>4529</v>
      </c>
      <c r="C5795" t="s">
        <v>9398</v>
      </c>
      <c r="D5795" t="s">
        <v>9933</v>
      </c>
      <c r="E5795" t="s">
        <v>10075</v>
      </c>
      <c r="F5795">
        <v>11420</v>
      </c>
      <c r="G5795" t="s">
        <v>10092</v>
      </c>
      <c r="H5795" t="s">
        <v>10162</v>
      </c>
      <c r="I5795" t="s">
        <v>10168</v>
      </c>
      <c r="J5795" t="s">
        <v>10212</v>
      </c>
      <c r="K5795" t="s">
        <v>10217</v>
      </c>
      <c r="M5795" t="s">
        <v>10258</v>
      </c>
      <c r="N5795" t="s">
        <v>10646</v>
      </c>
      <c r="P5795" t="s">
        <v>10749</v>
      </c>
      <c r="Q5795" t="s">
        <v>10765</v>
      </c>
      <c r="R5795" t="s">
        <v>10824</v>
      </c>
      <c r="T5795">
        <v>26000</v>
      </c>
      <c r="U5795">
        <v>2166.67</v>
      </c>
      <c r="V5795">
        <v>58</v>
      </c>
      <c r="W5795">
        <v>1</v>
      </c>
      <c r="X5795">
        <v>0</v>
      </c>
      <c r="Z5795">
        <v>208.17</v>
      </c>
      <c r="AA5795">
        <v>40.682872</v>
      </c>
      <c r="AB5795">
        <v>-73.820981</v>
      </c>
      <c r="AD5795" t="s">
        <v>10839</v>
      </c>
      <c r="AG5795" t="s">
        <v>10858</v>
      </c>
      <c r="AH5795" t="s">
        <v>10861</v>
      </c>
      <c r="AI5795">
        <v>234</v>
      </c>
      <c r="AJ5795" t="s">
        <v>10214</v>
      </c>
      <c r="AL5795">
        <v>1</v>
      </c>
      <c r="AM5795" t="s">
        <v>10892</v>
      </c>
      <c r="AN5795" t="s">
        <v>10930</v>
      </c>
      <c r="AO5795" t="s">
        <v>11017</v>
      </c>
      <c r="AP5795" t="s">
        <v>11070</v>
      </c>
      <c r="AR5795" t="s">
        <v>11257</v>
      </c>
      <c r="AS5795" t="s">
        <v>9925</v>
      </c>
      <c r="AT5795" t="s">
        <v>11641</v>
      </c>
      <c r="AX5795" t="s">
        <v>10838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</row>
    <row r="5796" spans="1:59">
      <c r="A5796" s="1">
        <f>HYPERLINK("https://lsnyc.legalserver.org/matter/dynamic-profile/view/1910081","19-1910081")</f>
        <v>0</v>
      </c>
      <c r="B5796" t="s">
        <v>4530</v>
      </c>
      <c r="C5796" t="s">
        <v>9399</v>
      </c>
      <c r="D5796" t="s">
        <v>9946</v>
      </c>
      <c r="E5796" t="s">
        <v>10075</v>
      </c>
      <c r="F5796">
        <v>11385</v>
      </c>
      <c r="G5796" t="s">
        <v>10092</v>
      </c>
      <c r="H5796" t="s">
        <v>10162</v>
      </c>
      <c r="I5796" t="s">
        <v>10168</v>
      </c>
      <c r="J5796" t="s">
        <v>10212</v>
      </c>
      <c r="K5796" t="s">
        <v>10217</v>
      </c>
      <c r="M5796" t="s">
        <v>10347</v>
      </c>
      <c r="N5796" t="s">
        <v>10693</v>
      </c>
      <c r="P5796" t="s">
        <v>10749</v>
      </c>
      <c r="Q5796" t="s">
        <v>10765</v>
      </c>
      <c r="R5796" t="s">
        <v>10821</v>
      </c>
      <c r="T5796">
        <v>30000</v>
      </c>
      <c r="U5796">
        <v>2500</v>
      </c>
      <c r="V5796">
        <v>50</v>
      </c>
      <c r="W5796">
        <v>1</v>
      </c>
      <c r="X5796">
        <v>2</v>
      </c>
      <c r="Z5796">
        <v>140.65</v>
      </c>
      <c r="AA5796">
        <v>40.70112</v>
      </c>
      <c r="AB5796">
        <v>-73.909661</v>
      </c>
      <c r="AD5796" t="s">
        <v>10839</v>
      </c>
      <c r="AG5796" t="s">
        <v>10858</v>
      </c>
      <c r="AH5796" t="s">
        <v>10862</v>
      </c>
      <c r="AI5796">
        <v>237</v>
      </c>
      <c r="AJ5796" t="s">
        <v>10212</v>
      </c>
      <c r="AL5796">
        <v>1.6</v>
      </c>
      <c r="AM5796" t="s">
        <v>10886</v>
      </c>
      <c r="AN5796" t="s">
        <v>10945</v>
      </c>
      <c r="AO5796" t="s">
        <v>11003</v>
      </c>
      <c r="AP5796" t="s">
        <v>11071</v>
      </c>
      <c r="AR5796" t="s">
        <v>11257</v>
      </c>
      <c r="AS5796" t="s">
        <v>11594</v>
      </c>
      <c r="BA5796" t="s">
        <v>11742</v>
      </c>
      <c r="BB5796">
        <v>0</v>
      </c>
      <c r="BC5796">
        <v>0</v>
      </c>
      <c r="BD5796">
        <v>0</v>
      </c>
      <c r="BE5796">
        <v>0</v>
      </c>
      <c r="BF5796">
        <v>7</v>
      </c>
      <c r="BG5796">
        <v>0</v>
      </c>
    </row>
    <row r="5797" spans="1:59">
      <c r="A5797" s="1">
        <f>HYPERLINK("https://lsnyc.legalserver.org/matter/dynamic-profile/view/1910082","19-1910082")</f>
        <v>0</v>
      </c>
      <c r="B5797" t="s">
        <v>4531</v>
      </c>
      <c r="C5797" t="s">
        <v>9400</v>
      </c>
      <c r="D5797" t="s">
        <v>9926</v>
      </c>
      <c r="E5797" t="s">
        <v>10075</v>
      </c>
      <c r="F5797">
        <v>10452</v>
      </c>
      <c r="G5797" t="s">
        <v>10090</v>
      </c>
      <c r="H5797" t="s">
        <v>10162</v>
      </c>
      <c r="I5797" t="s">
        <v>10168</v>
      </c>
      <c r="J5797" t="s">
        <v>10210</v>
      </c>
      <c r="K5797" t="s">
        <v>10217</v>
      </c>
      <c r="M5797" t="s">
        <v>10590</v>
      </c>
      <c r="N5797" t="s">
        <v>10650</v>
      </c>
      <c r="P5797" t="s">
        <v>10749</v>
      </c>
      <c r="Q5797" t="s">
        <v>10765</v>
      </c>
      <c r="R5797" t="s">
        <v>10821</v>
      </c>
      <c r="T5797">
        <v>23400</v>
      </c>
      <c r="U5797">
        <v>1950</v>
      </c>
      <c r="V5797">
        <v>23</v>
      </c>
      <c r="W5797">
        <v>1</v>
      </c>
      <c r="X5797">
        <v>0</v>
      </c>
      <c r="Z5797">
        <v>187.35</v>
      </c>
      <c r="AA5797">
        <v>40.836786</v>
      </c>
      <c r="AB5797">
        <v>-73.92305399999999</v>
      </c>
      <c r="AD5797" t="s">
        <v>10839</v>
      </c>
      <c r="AG5797" t="s">
        <v>10858</v>
      </c>
      <c r="AH5797" t="s">
        <v>10862</v>
      </c>
      <c r="AI5797">
        <v>230</v>
      </c>
      <c r="AJ5797" t="s">
        <v>10210</v>
      </c>
      <c r="AL5797">
        <v>1.3</v>
      </c>
      <c r="AM5797" t="s">
        <v>10884</v>
      </c>
      <c r="AN5797" t="s">
        <v>10924</v>
      </c>
      <c r="AO5797" t="s">
        <v>11013</v>
      </c>
      <c r="AP5797" t="s">
        <v>11055</v>
      </c>
      <c r="AR5797" t="s">
        <v>11257</v>
      </c>
      <c r="AS5797" t="s">
        <v>9926</v>
      </c>
      <c r="BA5797" t="s">
        <v>11741</v>
      </c>
      <c r="BB5797">
        <v>0</v>
      </c>
      <c r="BC5797">
        <v>0</v>
      </c>
      <c r="BD5797">
        <v>0</v>
      </c>
      <c r="BE5797">
        <v>0</v>
      </c>
      <c r="BF5797">
        <v>1</v>
      </c>
      <c r="BG5797">
        <v>0</v>
      </c>
    </row>
    <row r="5798" spans="1:59">
      <c r="A5798" s="1">
        <f>HYPERLINK("https://lsnyc.legalserver.org/matter/dynamic-profile/view/1910083","19-1910083")</f>
        <v>0</v>
      </c>
      <c r="B5798" t="s">
        <v>4532</v>
      </c>
      <c r="C5798" t="s">
        <v>9401</v>
      </c>
      <c r="D5798" t="s">
        <v>9928</v>
      </c>
      <c r="E5798" t="s">
        <v>10075</v>
      </c>
      <c r="F5798">
        <v>11212</v>
      </c>
      <c r="G5798" t="s">
        <v>10093</v>
      </c>
      <c r="H5798" t="s">
        <v>10162</v>
      </c>
      <c r="I5798" t="s">
        <v>10168</v>
      </c>
      <c r="J5798" t="s">
        <v>10213</v>
      </c>
      <c r="K5798" t="s">
        <v>10217</v>
      </c>
      <c r="M5798" t="s">
        <v>10405</v>
      </c>
      <c r="N5798" t="s">
        <v>10650</v>
      </c>
      <c r="P5798" t="s">
        <v>10749</v>
      </c>
      <c r="Q5798" t="s">
        <v>10765</v>
      </c>
      <c r="R5798" t="s">
        <v>10824</v>
      </c>
      <c r="T5798">
        <v>12348</v>
      </c>
      <c r="U5798">
        <v>1029</v>
      </c>
      <c r="V5798">
        <v>68</v>
      </c>
      <c r="W5798">
        <v>1</v>
      </c>
      <c r="X5798">
        <v>0</v>
      </c>
      <c r="Z5798">
        <v>98.86</v>
      </c>
      <c r="AA5798">
        <v>40.659013</v>
      </c>
      <c r="AB5798">
        <v>-73.92003</v>
      </c>
      <c r="AD5798" t="s">
        <v>10839</v>
      </c>
      <c r="AG5798" t="s">
        <v>10858</v>
      </c>
      <c r="AH5798" t="s">
        <v>10862</v>
      </c>
      <c r="AI5798">
        <v>234</v>
      </c>
      <c r="AJ5798" t="s">
        <v>10214</v>
      </c>
      <c r="AL5798">
        <v>0.3</v>
      </c>
      <c r="AM5798" t="s">
        <v>10888</v>
      </c>
      <c r="AN5798" t="s">
        <v>10925</v>
      </c>
      <c r="AO5798" t="s">
        <v>11005</v>
      </c>
      <c r="AP5798" t="s">
        <v>11064</v>
      </c>
      <c r="AR5798" t="s">
        <v>11316</v>
      </c>
      <c r="AS5798" t="s">
        <v>11595</v>
      </c>
      <c r="AT5798" t="s">
        <v>11641</v>
      </c>
      <c r="AX5798" t="s">
        <v>11678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</row>
    <row r="5799" spans="1:59">
      <c r="A5799" s="1">
        <f>HYPERLINK("https://lsnyc.legalserver.org/matter/dynamic-profile/view/1910084","19-1910084")</f>
        <v>0</v>
      </c>
      <c r="B5799" t="s">
        <v>4533</v>
      </c>
      <c r="C5799" t="s">
        <v>9402</v>
      </c>
      <c r="D5799" t="s">
        <v>9925</v>
      </c>
      <c r="E5799" t="s">
        <v>10075</v>
      </c>
      <c r="F5799">
        <v>10029</v>
      </c>
      <c r="G5799" t="s">
        <v>10089</v>
      </c>
      <c r="H5799" t="s">
        <v>10162</v>
      </c>
      <c r="I5799" t="s">
        <v>10168</v>
      </c>
      <c r="J5799" t="s">
        <v>10209</v>
      </c>
      <c r="K5799" t="s">
        <v>10217</v>
      </c>
      <c r="M5799" t="s">
        <v>10266</v>
      </c>
      <c r="N5799" t="s">
        <v>10673</v>
      </c>
      <c r="P5799" t="s">
        <v>10753</v>
      </c>
      <c r="Q5799" t="s">
        <v>10763</v>
      </c>
      <c r="R5799" t="s">
        <v>10824</v>
      </c>
      <c r="T5799">
        <v>12000</v>
      </c>
      <c r="U5799">
        <v>1000</v>
      </c>
      <c r="V5799">
        <v>40</v>
      </c>
      <c r="W5799">
        <v>1</v>
      </c>
      <c r="X5799">
        <v>1</v>
      </c>
      <c r="Z5799">
        <v>70.95999999999999</v>
      </c>
      <c r="AA5799">
        <v>40.786872</v>
      </c>
      <c r="AB5799">
        <v>-73.942457</v>
      </c>
      <c r="AD5799" t="s">
        <v>10839</v>
      </c>
      <c r="AF5799" t="s">
        <v>10842</v>
      </c>
      <c r="AG5799" t="s">
        <v>10859</v>
      </c>
      <c r="AH5799" t="s">
        <v>10864</v>
      </c>
      <c r="AI5799">
        <v>236</v>
      </c>
      <c r="AJ5799" t="s">
        <v>10209</v>
      </c>
      <c r="AL5799">
        <v>0.1</v>
      </c>
      <c r="AM5799" t="s">
        <v>10887</v>
      </c>
      <c r="AN5799" t="s">
        <v>10926</v>
      </c>
      <c r="AO5799" t="s">
        <v>11013</v>
      </c>
      <c r="AP5799" t="s">
        <v>11066</v>
      </c>
      <c r="AQ5799" t="s">
        <v>11230</v>
      </c>
      <c r="AR5799" t="s">
        <v>11257</v>
      </c>
      <c r="AS5799" t="s">
        <v>9925</v>
      </c>
      <c r="BA5799" t="s">
        <v>11739</v>
      </c>
      <c r="BB5799">
        <v>0</v>
      </c>
      <c r="BC5799">
        <v>0</v>
      </c>
      <c r="BD5799">
        <v>0</v>
      </c>
      <c r="BE5799">
        <v>0</v>
      </c>
      <c r="BF5799">
        <v>4</v>
      </c>
      <c r="BG5799">
        <v>0</v>
      </c>
    </row>
    <row r="5800" spans="1:59">
      <c r="A5800" s="1">
        <f>HYPERLINK("https://lsnyc.legalserver.org/matter/dynamic-profile/view/1910085","19-1910085")</f>
        <v>0</v>
      </c>
      <c r="B5800" t="s">
        <v>4534</v>
      </c>
      <c r="C5800" t="s">
        <v>9403</v>
      </c>
      <c r="D5800" t="s">
        <v>9928</v>
      </c>
      <c r="E5800" t="s">
        <v>10075</v>
      </c>
      <c r="F5800">
        <v>11217</v>
      </c>
      <c r="G5800" t="s">
        <v>10092</v>
      </c>
      <c r="H5800" t="s">
        <v>10162</v>
      </c>
      <c r="I5800" t="s">
        <v>10168</v>
      </c>
      <c r="J5800" t="s">
        <v>10212</v>
      </c>
      <c r="K5800" t="s">
        <v>10217</v>
      </c>
      <c r="M5800" t="s">
        <v>10326</v>
      </c>
      <c r="N5800" t="s">
        <v>10669</v>
      </c>
      <c r="P5800" t="s">
        <v>10754</v>
      </c>
      <c r="Q5800" t="s">
        <v>10766</v>
      </c>
      <c r="R5800" t="s">
        <v>10820</v>
      </c>
      <c r="T5800">
        <v>6000</v>
      </c>
      <c r="U5800">
        <v>500</v>
      </c>
      <c r="V5800">
        <v>28</v>
      </c>
      <c r="W5800">
        <v>1</v>
      </c>
      <c r="X5800">
        <v>0</v>
      </c>
      <c r="Z5800">
        <v>48.04</v>
      </c>
      <c r="AA5800">
        <v>40.685788</v>
      </c>
      <c r="AB5800">
        <v>-73.98267</v>
      </c>
      <c r="AD5800" t="s">
        <v>10839</v>
      </c>
      <c r="AF5800" t="s">
        <v>10842</v>
      </c>
      <c r="AG5800" t="s">
        <v>10859</v>
      </c>
      <c r="AH5800" t="s">
        <v>10865</v>
      </c>
      <c r="AI5800">
        <v>237</v>
      </c>
      <c r="AJ5800" t="s">
        <v>10212</v>
      </c>
      <c r="AK5800" t="s">
        <v>10837</v>
      </c>
      <c r="AL5800">
        <v>5.6</v>
      </c>
      <c r="AM5800" t="s">
        <v>10889</v>
      </c>
      <c r="AN5800" t="s">
        <v>10917</v>
      </c>
      <c r="AO5800" t="s">
        <v>11007</v>
      </c>
      <c r="AP5800" t="s">
        <v>11054</v>
      </c>
      <c r="AR5800" t="s">
        <v>11257</v>
      </c>
      <c r="AS5800" t="s">
        <v>11595</v>
      </c>
      <c r="BA5800" t="s">
        <v>11741</v>
      </c>
      <c r="BB5800">
        <v>0</v>
      </c>
      <c r="BC5800">
        <v>0</v>
      </c>
      <c r="BD5800">
        <v>0</v>
      </c>
      <c r="BE5800">
        <v>0</v>
      </c>
      <c r="BF5800">
        <v>1</v>
      </c>
      <c r="BG5800">
        <v>0</v>
      </c>
    </row>
    <row r="5801" spans="1:59">
      <c r="A5801" s="1">
        <f>HYPERLINK("https://lsnyc.legalserver.org/matter/dynamic-profile/view/1910086","19-1910086")</f>
        <v>0</v>
      </c>
      <c r="B5801" t="s">
        <v>1254</v>
      </c>
      <c r="C5801" t="s">
        <v>9404</v>
      </c>
      <c r="D5801" t="s">
        <v>9926</v>
      </c>
      <c r="E5801" t="s">
        <v>10075</v>
      </c>
      <c r="F5801">
        <v>10453</v>
      </c>
      <c r="G5801" t="s">
        <v>10090</v>
      </c>
      <c r="H5801" t="s">
        <v>10162</v>
      </c>
      <c r="I5801" t="s">
        <v>10168</v>
      </c>
      <c r="J5801" t="s">
        <v>10210</v>
      </c>
      <c r="K5801" t="s">
        <v>10217</v>
      </c>
      <c r="M5801" t="s">
        <v>10353</v>
      </c>
      <c r="N5801" t="s">
        <v>10671</v>
      </c>
      <c r="P5801" t="s">
        <v>10757</v>
      </c>
      <c r="Q5801" t="s">
        <v>10789</v>
      </c>
      <c r="R5801" t="s">
        <v>10824</v>
      </c>
      <c r="T5801">
        <v>9420</v>
      </c>
      <c r="U5801">
        <v>785</v>
      </c>
      <c r="V5801">
        <v>55</v>
      </c>
      <c r="W5801">
        <v>1</v>
      </c>
      <c r="X5801">
        <v>0</v>
      </c>
      <c r="Z5801">
        <v>75.42</v>
      </c>
      <c r="AA5801">
        <v>40.846091</v>
      </c>
      <c r="AB5801">
        <v>-73.910906</v>
      </c>
      <c r="AD5801" t="s">
        <v>10840</v>
      </c>
      <c r="AG5801" t="s">
        <v>10858</v>
      </c>
      <c r="AH5801" t="s">
        <v>10874</v>
      </c>
      <c r="AI5801">
        <v>230</v>
      </c>
      <c r="AJ5801" t="s">
        <v>10210</v>
      </c>
      <c r="AL5801">
        <v>2.75</v>
      </c>
      <c r="AM5801" t="s">
        <v>10884</v>
      </c>
      <c r="AN5801" t="s">
        <v>10929</v>
      </c>
      <c r="AO5801" t="s">
        <v>11000</v>
      </c>
      <c r="AP5801" t="s">
        <v>11045</v>
      </c>
      <c r="AQ5801" t="s">
        <v>11121</v>
      </c>
      <c r="AR5801" t="s">
        <v>11253</v>
      </c>
      <c r="AS5801" t="s">
        <v>9926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</row>
    <row r="5802" spans="1:59">
      <c r="A5802" s="1">
        <f>HYPERLINK("https://lsnyc.legalserver.org/matter/dynamic-profile/view/1910087","19-1910087")</f>
        <v>0</v>
      </c>
      <c r="B5802" t="s">
        <v>4535</v>
      </c>
      <c r="C5802" t="s">
        <v>9405</v>
      </c>
      <c r="D5802" t="s">
        <v>9963</v>
      </c>
      <c r="E5802" t="s">
        <v>10075</v>
      </c>
      <c r="F5802">
        <v>11385</v>
      </c>
      <c r="G5802" t="s">
        <v>10092</v>
      </c>
      <c r="H5802" t="s">
        <v>10162</v>
      </c>
      <c r="I5802" t="s">
        <v>10184</v>
      </c>
      <c r="J5802" t="s">
        <v>10212</v>
      </c>
      <c r="K5802" t="s">
        <v>10217</v>
      </c>
      <c r="M5802" t="s">
        <v>10423</v>
      </c>
      <c r="N5802" t="s">
        <v>10709</v>
      </c>
      <c r="P5802" t="s">
        <v>10754</v>
      </c>
      <c r="Q5802" t="s">
        <v>10766</v>
      </c>
      <c r="R5802" t="s">
        <v>10828</v>
      </c>
      <c r="T5802">
        <v>0</v>
      </c>
      <c r="U5802">
        <v>0</v>
      </c>
      <c r="V5802">
        <v>36</v>
      </c>
      <c r="W5802">
        <v>2</v>
      </c>
      <c r="X5802">
        <v>2</v>
      </c>
      <c r="Z5802">
        <v>0</v>
      </c>
      <c r="AA5802">
        <v>40.702867</v>
      </c>
      <c r="AB5802">
        <v>-73.85604600000001</v>
      </c>
      <c r="AD5802" t="s">
        <v>10839</v>
      </c>
      <c r="AF5802" t="s">
        <v>10842</v>
      </c>
      <c r="AG5802" t="s">
        <v>10859</v>
      </c>
      <c r="AH5802" t="s">
        <v>10865</v>
      </c>
      <c r="AI5802">
        <v>237</v>
      </c>
      <c r="AJ5802" t="s">
        <v>10212</v>
      </c>
      <c r="AL5802">
        <v>7</v>
      </c>
      <c r="AM5802" t="s">
        <v>10890</v>
      </c>
      <c r="AN5802" t="s">
        <v>10952</v>
      </c>
      <c r="AO5802" t="s">
        <v>11024</v>
      </c>
      <c r="AP5802" t="s">
        <v>11077</v>
      </c>
      <c r="AR5802" t="s">
        <v>11267</v>
      </c>
      <c r="AS5802" t="s">
        <v>11594</v>
      </c>
      <c r="AX5802" t="s">
        <v>10838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</row>
    <row r="5803" spans="1:59">
      <c r="A5803" s="1">
        <f>HYPERLINK("https://lsnyc.legalserver.org/matter/dynamic-profile/view/1910088","19-1910088")</f>
        <v>0</v>
      </c>
      <c r="B5803" t="s">
        <v>4536</v>
      </c>
      <c r="C5803" t="s">
        <v>9406</v>
      </c>
      <c r="D5803" t="s">
        <v>9925</v>
      </c>
      <c r="E5803" t="s">
        <v>10075</v>
      </c>
      <c r="F5803">
        <v>10032</v>
      </c>
      <c r="G5803" t="s">
        <v>10089</v>
      </c>
      <c r="H5803" t="s">
        <v>10162</v>
      </c>
      <c r="I5803" t="s">
        <v>10168</v>
      </c>
      <c r="J5803" t="s">
        <v>10209</v>
      </c>
      <c r="K5803" t="s">
        <v>10217</v>
      </c>
      <c r="M5803" t="s">
        <v>10383</v>
      </c>
      <c r="N5803" t="s">
        <v>10646</v>
      </c>
      <c r="P5803" t="s">
        <v>10751</v>
      </c>
      <c r="Q5803" t="s">
        <v>10768</v>
      </c>
      <c r="R5803" t="s">
        <v>10822</v>
      </c>
      <c r="T5803">
        <v>42000</v>
      </c>
      <c r="U5803">
        <v>3500</v>
      </c>
      <c r="V5803">
        <v>61</v>
      </c>
      <c r="W5803">
        <v>1</v>
      </c>
      <c r="X5803">
        <v>0</v>
      </c>
      <c r="Z5803">
        <v>336.27</v>
      </c>
      <c r="AA5803">
        <v>40.838599</v>
      </c>
      <c r="AB5803">
        <v>-73.94457</v>
      </c>
      <c r="AC5803" t="s">
        <v>10837</v>
      </c>
      <c r="AD5803" t="s">
        <v>10840</v>
      </c>
      <c r="AG5803" t="s">
        <v>10858</v>
      </c>
      <c r="AH5803" t="s">
        <v>10861</v>
      </c>
      <c r="AI5803">
        <v>234</v>
      </c>
      <c r="AJ5803" t="s">
        <v>10214</v>
      </c>
      <c r="AL5803">
        <v>0.5</v>
      </c>
      <c r="AM5803" t="s">
        <v>10887</v>
      </c>
      <c r="AN5803" t="s">
        <v>10943</v>
      </c>
      <c r="AO5803" t="s">
        <v>11019</v>
      </c>
      <c r="AP5803" t="s">
        <v>11073</v>
      </c>
      <c r="AR5803" t="s">
        <v>11303</v>
      </c>
      <c r="AS5803" t="s">
        <v>9925</v>
      </c>
      <c r="AT5803" t="s">
        <v>11642</v>
      </c>
      <c r="AX5803" t="s">
        <v>10838</v>
      </c>
      <c r="BA5803" t="s">
        <v>11741</v>
      </c>
      <c r="BB5803">
        <v>0</v>
      </c>
      <c r="BC5803">
        <v>0</v>
      </c>
      <c r="BD5803">
        <v>0</v>
      </c>
      <c r="BE5803">
        <v>0</v>
      </c>
      <c r="BF5803">
        <v>1</v>
      </c>
      <c r="BG5803">
        <v>0</v>
      </c>
    </row>
    <row r="5804" spans="1:59">
      <c r="A5804" s="1">
        <f>HYPERLINK("https://lsnyc.legalserver.org/matter/dynamic-profile/view/1910089","19-1910089")</f>
        <v>0</v>
      </c>
      <c r="B5804" t="s">
        <v>4537</v>
      </c>
      <c r="C5804" t="s">
        <v>9407</v>
      </c>
      <c r="D5804" t="s">
        <v>9926</v>
      </c>
      <c r="E5804" t="s">
        <v>10075</v>
      </c>
      <c r="F5804">
        <v>10451</v>
      </c>
      <c r="G5804" t="s">
        <v>10090</v>
      </c>
      <c r="H5804" t="s">
        <v>10162</v>
      </c>
      <c r="I5804" t="s">
        <v>10168</v>
      </c>
      <c r="J5804" t="s">
        <v>10210</v>
      </c>
      <c r="K5804" t="s">
        <v>10217</v>
      </c>
      <c r="M5804" t="s">
        <v>10622</v>
      </c>
      <c r="N5804" t="s">
        <v>10650</v>
      </c>
      <c r="P5804" t="s">
        <v>10749</v>
      </c>
      <c r="Q5804" t="s">
        <v>10765</v>
      </c>
      <c r="R5804" t="s">
        <v>10821</v>
      </c>
      <c r="T5804">
        <v>9660</v>
      </c>
      <c r="U5804">
        <v>805</v>
      </c>
      <c r="V5804">
        <v>54</v>
      </c>
      <c r="W5804">
        <v>1</v>
      </c>
      <c r="X5804">
        <v>0</v>
      </c>
      <c r="Z5804">
        <v>77.34</v>
      </c>
      <c r="AA5804">
        <v>40.823884</v>
      </c>
      <c r="AB5804">
        <v>-73.927302</v>
      </c>
      <c r="AD5804" t="s">
        <v>10839</v>
      </c>
      <c r="AG5804" t="s">
        <v>10858</v>
      </c>
      <c r="AH5804" t="s">
        <v>10862</v>
      </c>
      <c r="AI5804">
        <v>230</v>
      </c>
      <c r="AJ5804" t="s">
        <v>10210</v>
      </c>
      <c r="AL5804">
        <v>0.6</v>
      </c>
      <c r="AM5804" t="s">
        <v>10884</v>
      </c>
      <c r="AN5804" t="s">
        <v>10924</v>
      </c>
      <c r="AO5804" t="s">
        <v>11013</v>
      </c>
      <c r="AP5804" t="s">
        <v>11066</v>
      </c>
      <c r="AR5804" t="s">
        <v>11263</v>
      </c>
      <c r="AS5804" t="s">
        <v>9926</v>
      </c>
      <c r="BA5804" t="s">
        <v>11741</v>
      </c>
      <c r="BB5804">
        <v>0</v>
      </c>
      <c r="BC5804">
        <v>0</v>
      </c>
      <c r="BD5804">
        <v>0</v>
      </c>
      <c r="BE5804">
        <v>0</v>
      </c>
      <c r="BF5804">
        <v>1</v>
      </c>
      <c r="BG5804">
        <v>0</v>
      </c>
    </row>
    <row r="5805" spans="1:59">
      <c r="A5805" s="1">
        <f>HYPERLINK("https://lsnyc.legalserver.org/matter/dynamic-profile/view/1910090","19-1910090")</f>
        <v>0</v>
      </c>
      <c r="B5805" t="s">
        <v>4538</v>
      </c>
      <c r="C5805" t="s">
        <v>9408</v>
      </c>
      <c r="D5805" t="s">
        <v>9928</v>
      </c>
      <c r="E5805" t="s">
        <v>10075</v>
      </c>
      <c r="F5805">
        <v>11210</v>
      </c>
      <c r="G5805" t="s">
        <v>10093</v>
      </c>
      <c r="H5805" t="s">
        <v>10162</v>
      </c>
      <c r="I5805" t="s">
        <v>10168</v>
      </c>
      <c r="J5805" t="s">
        <v>10213</v>
      </c>
      <c r="K5805" t="s">
        <v>10217</v>
      </c>
      <c r="M5805" t="s">
        <v>10378</v>
      </c>
      <c r="N5805" t="s">
        <v>10671</v>
      </c>
      <c r="P5805" t="s">
        <v>10749</v>
      </c>
      <c r="Q5805" t="s">
        <v>10765</v>
      </c>
      <c r="R5805" t="s">
        <v>10825</v>
      </c>
      <c r="T5805">
        <v>0</v>
      </c>
      <c r="U5805">
        <v>0</v>
      </c>
      <c r="V5805">
        <v>31</v>
      </c>
      <c r="W5805">
        <v>1</v>
      </c>
      <c r="X5805">
        <v>0</v>
      </c>
      <c r="Z5805">
        <v>0</v>
      </c>
      <c r="AA5805">
        <v>40.638364</v>
      </c>
      <c r="AB5805">
        <v>-73.94427899999999</v>
      </c>
      <c r="AD5805" t="s">
        <v>10840</v>
      </c>
      <c r="AF5805" t="s">
        <v>10842</v>
      </c>
      <c r="AG5805" t="s">
        <v>10859</v>
      </c>
      <c r="AH5805" t="s">
        <v>10861</v>
      </c>
      <c r="AI5805">
        <v>234</v>
      </c>
      <c r="AJ5805" t="s">
        <v>10214</v>
      </c>
      <c r="AL5805">
        <v>1.5</v>
      </c>
      <c r="AR5805" t="s">
        <v>11267</v>
      </c>
      <c r="AS5805" t="s">
        <v>11595</v>
      </c>
      <c r="AT5805" t="s">
        <v>11642</v>
      </c>
      <c r="AX5805" t="s">
        <v>10837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</row>
    <row r="5806" spans="1:59">
      <c r="A5806" s="1">
        <f>HYPERLINK("https://lsnyc.legalserver.org/matter/dynamic-profile/view/1910091","19-1910091")</f>
        <v>0</v>
      </c>
      <c r="B5806" t="s">
        <v>4539</v>
      </c>
      <c r="C5806" t="s">
        <v>9409</v>
      </c>
      <c r="D5806" t="s">
        <v>9929</v>
      </c>
      <c r="E5806" t="s">
        <v>10075</v>
      </c>
      <c r="F5806">
        <v>10314</v>
      </c>
      <c r="G5806" t="s">
        <v>10091</v>
      </c>
      <c r="H5806" t="s">
        <v>10162</v>
      </c>
      <c r="I5806" t="s">
        <v>10168</v>
      </c>
      <c r="J5806" t="s">
        <v>10214</v>
      </c>
      <c r="K5806" t="s">
        <v>10218</v>
      </c>
      <c r="L5806" t="s">
        <v>10223</v>
      </c>
      <c r="M5806" t="s">
        <v>10537</v>
      </c>
      <c r="N5806" t="s">
        <v>10671</v>
      </c>
      <c r="P5806" t="s">
        <v>10753</v>
      </c>
      <c r="Q5806" t="s">
        <v>10763</v>
      </c>
      <c r="R5806" t="s">
        <v>10827</v>
      </c>
      <c r="T5806">
        <v>30000</v>
      </c>
      <c r="U5806">
        <v>2500</v>
      </c>
      <c r="V5806">
        <v>27</v>
      </c>
      <c r="W5806">
        <v>2</v>
      </c>
      <c r="X5806">
        <v>0</v>
      </c>
      <c r="Y5806" t="s">
        <v>10829</v>
      </c>
      <c r="Z5806">
        <v>177.41</v>
      </c>
      <c r="AA5806">
        <v>40.598895</v>
      </c>
      <c r="AB5806">
        <v>-74.12957</v>
      </c>
      <c r="AD5806" t="s">
        <v>10840</v>
      </c>
      <c r="AF5806" t="s">
        <v>10843</v>
      </c>
      <c r="AG5806" t="s">
        <v>10859</v>
      </c>
      <c r="AH5806" t="s">
        <v>10861</v>
      </c>
      <c r="AI5806">
        <v>234</v>
      </c>
      <c r="AJ5806" t="s">
        <v>10214</v>
      </c>
      <c r="AK5806" t="s">
        <v>10882</v>
      </c>
      <c r="AL5806">
        <v>1.1</v>
      </c>
      <c r="AM5806" t="s">
        <v>10883</v>
      </c>
      <c r="AN5806" t="s">
        <v>10928</v>
      </c>
      <c r="AO5806" t="s">
        <v>10999</v>
      </c>
      <c r="AP5806" t="s">
        <v>11063</v>
      </c>
      <c r="AQ5806" t="s">
        <v>11097</v>
      </c>
      <c r="AR5806" t="s">
        <v>11257</v>
      </c>
      <c r="AS5806" t="s">
        <v>11593</v>
      </c>
      <c r="AT5806" t="s">
        <v>11642</v>
      </c>
      <c r="AX5806" t="s">
        <v>10838</v>
      </c>
      <c r="AY5806" t="s">
        <v>10829</v>
      </c>
      <c r="AZ5806" t="s">
        <v>11709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</row>
    <row r="5807" spans="1:59">
      <c r="A5807" s="1">
        <f>HYPERLINK("https://lsnyc.legalserver.org/matter/dynamic-profile/view/1910092","19-1910092")</f>
        <v>0</v>
      </c>
      <c r="B5807" t="s">
        <v>4540</v>
      </c>
      <c r="C5807" t="s">
        <v>9410</v>
      </c>
      <c r="D5807" t="s">
        <v>9925</v>
      </c>
      <c r="E5807" t="s">
        <v>10075</v>
      </c>
      <c r="F5807">
        <v>10009</v>
      </c>
      <c r="G5807" t="s">
        <v>10089</v>
      </c>
      <c r="H5807" t="s">
        <v>10162</v>
      </c>
      <c r="I5807" t="s">
        <v>10169</v>
      </c>
      <c r="J5807" t="s">
        <v>10209</v>
      </c>
      <c r="K5807" t="s">
        <v>10217</v>
      </c>
      <c r="M5807" t="s">
        <v>10488</v>
      </c>
      <c r="N5807" t="s">
        <v>10649</v>
      </c>
      <c r="P5807" t="s">
        <v>10753</v>
      </c>
      <c r="Q5807" t="s">
        <v>10763</v>
      </c>
      <c r="R5807" t="s">
        <v>10821</v>
      </c>
      <c r="T5807">
        <v>9228</v>
      </c>
      <c r="U5807">
        <v>769</v>
      </c>
      <c r="V5807">
        <v>60</v>
      </c>
      <c r="W5807">
        <v>2</v>
      </c>
      <c r="X5807">
        <v>0</v>
      </c>
      <c r="Z5807">
        <v>54.57</v>
      </c>
      <c r="AA5807">
        <v>40.722024</v>
      </c>
      <c r="AB5807">
        <v>-73.97508999999999</v>
      </c>
      <c r="AD5807" t="s">
        <v>10839</v>
      </c>
      <c r="AF5807" t="s">
        <v>10843</v>
      </c>
      <c r="AG5807" t="s">
        <v>10859</v>
      </c>
      <c r="AH5807" t="s">
        <v>10864</v>
      </c>
      <c r="AI5807">
        <v>236</v>
      </c>
      <c r="AJ5807" t="s">
        <v>10209</v>
      </c>
      <c r="AL5807">
        <v>1.25</v>
      </c>
      <c r="AM5807" t="s">
        <v>10886</v>
      </c>
      <c r="AN5807" t="s">
        <v>10910</v>
      </c>
      <c r="AO5807" t="s">
        <v>11021</v>
      </c>
      <c r="AP5807" t="s">
        <v>11048</v>
      </c>
      <c r="AQ5807" t="s">
        <v>11097</v>
      </c>
      <c r="AR5807" t="s">
        <v>11274</v>
      </c>
      <c r="AS5807" t="s">
        <v>9925</v>
      </c>
      <c r="BA5807" t="s">
        <v>11742</v>
      </c>
      <c r="BB5807">
        <v>0</v>
      </c>
      <c r="BC5807">
        <v>0</v>
      </c>
      <c r="BD5807">
        <v>0</v>
      </c>
      <c r="BE5807">
        <v>0</v>
      </c>
      <c r="BF5807">
        <v>7</v>
      </c>
      <c r="BG5807">
        <v>0</v>
      </c>
    </row>
    <row r="5808" spans="1:59">
      <c r="A5808" s="1">
        <f>HYPERLINK("https://lsnyc.legalserver.org/matter/dynamic-profile/view/1910094","19-1910094")</f>
        <v>0</v>
      </c>
      <c r="B5808" t="s">
        <v>4541</v>
      </c>
      <c r="C5808" t="s">
        <v>9411</v>
      </c>
      <c r="D5808" t="s">
        <v>9925</v>
      </c>
      <c r="E5808" t="s">
        <v>10075</v>
      </c>
      <c r="F5808">
        <v>10031</v>
      </c>
      <c r="G5808" t="s">
        <v>10089</v>
      </c>
      <c r="H5808" t="s">
        <v>10162</v>
      </c>
      <c r="I5808" t="s">
        <v>10168</v>
      </c>
      <c r="J5808" t="s">
        <v>10209</v>
      </c>
      <c r="K5808" t="s">
        <v>10217</v>
      </c>
      <c r="M5808" t="s">
        <v>10472</v>
      </c>
      <c r="N5808" t="s">
        <v>10671</v>
      </c>
      <c r="P5808" t="s">
        <v>10751</v>
      </c>
      <c r="Q5808" t="s">
        <v>10761</v>
      </c>
      <c r="R5808" t="s">
        <v>10824</v>
      </c>
      <c r="T5808">
        <v>0</v>
      </c>
      <c r="U5808">
        <v>0</v>
      </c>
      <c r="V5808">
        <v>42</v>
      </c>
      <c r="W5808">
        <v>1</v>
      </c>
      <c r="X5808">
        <v>1</v>
      </c>
      <c r="Z5808">
        <v>0</v>
      </c>
      <c r="AA5808">
        <v>40.818958</v>
      </c>
      <c r="AB5808">
        <v>-73.95385400000001</v>
      </c>
      <c r="AD5808" t="s">
        <v>10840</v>
      </c>
      <c r="AG5808" t="s">
        <v>10858</v>
      </c>
      <c r="AH5808" t="s">
        <v>10861</v>
      </c>
      <c r="AI5808">
        <v>234</v>
      </c>
      <c r="AJ5808" t="s">
        <v>10214</v>
      </c>
      <c r="AL5808">
        <v>0.5</v>
      </c>
      <c r="AR5808" t="s">
        <v>11279</v>
      </c>
      <c r="AS5808" t="s">
        <v>9925</v>
      </c>
      <c r="AT5808" t="s">
        <v>11642</v>
      </c>
      <c r="AX5808" t="s">
        <v>10838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</row>
    <row r="5809" spans="1:59">
      <c r="A5809" s="1">
        <f>HYPERLINK("https://lsnyc.legalserver.org/matter/dynamic-profile/view/1910095","19-1910095")</f>
        <v>0</v>
      </c>
      <c r="B5809" t="s">
        <v>4542</v>
      </c>
      <c r="C5809" t="s">
        <v>9412</v>
      </c>
      <c r="D5809" t="s">
        <v>9925</v>
      </c>
      <c r="E5809" t="s">
        <v>10075</v>
      </c>
      <c r="F5809">
        <v>10033</v>
      </c>
      <c r="G5809" t="s">
        <v>10089</v>
      </c>
      <c r="H5809" t="s">
        <v>10162</v>
      </c>
      <c r="I5809" t="s">
        <v>10169</v>
      </c>
      <c r="J5809" t="s">
        <v>10209</v>
      </c>
      <c r="K5809" t="s">
        <v>10217</v>
      </c>
      <c r="M5809" t="s">
        <v>10381</v>
      </c>
      <c r="N5809" t="s">
        <v>10671</v>
      </c>
      <c r="P5809" t="s">
        <v>10751</v>
      </c>
      <c r="Q5809" t="s">
        <v>10780</v>
      </c>
      <c r="R5809" t="s">
        <v>10821</v>
      </c>
      <c r="T5809">
        <v>33876</v>
      </c>
      <c r="U5809">
        <v>2823</v>
      </c>
      <c r="V5809">
        <v>16</v>
      </c>
      <c r="W5809">
        <v>3</v>
      </c>
      <c r="X5809">
        <v>2</v>
      </c>
      <c r="Z5809">
        <v>112.28</v>
      </c>
      <c r="AA5809">
        <v>40.847969</v>
      </c>
      <c r="AB5809">
        <v>-73.93430600000001</v>
      </c>
      <c r="AD5809" t="s">
        <v>10840</v>
      </c>
      <c r="AG5809" t="s">
        <v>10858</v>
      </c>
      <c r="AH5809" t="s">
        <v>10861</v>
      </c>
      <c r="AI5809">
        <v>234</v>
      </c>
      <c r="AJ5809" t="s">
        <v>10214</v>
      </c>
      <c r="AL5809">
        <v>0.5</v>
      </c>
      <c r="AM5809" t="s">
        <v>10887</v>
      </c>
      <c r="AN5809" t="s">
        <v>10937</v>
      </c>
      <c r="AO5809" t="s">
        <v>11019</v>
      </c>
      <c r="AP5809" t="s">
        <v>11074</v>
      </c>
      <c r="AR5809" t="s">
        <v>11317</v>
      </c>
      <c r="AS5809" t="s">
        <v>9925</v>
      </c>
      <c r="AT5809" t="s">
        <v>11642</v>
      </c>
      <c r="AX5809" t="s">
        <v>10838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</row>
    <row r="5810" spans="1:59">
      <c r="A5810" s="1">
        <f>HYPERLINK("https://lsnyc.legalserver.org/matter/dynamic-profile/view/1910096","19-1910096")</f>
        <v>0</v>
      </c>
      <c r="B5810" t="s">
        <v>4543</v>
      </c>
      <c r="C5810" t="s">
        <v>9413</v>
      </c>
      <c r="D5810" t="s">
        <v>9926</v>
      </c>
      <c r="E5810" t="s">
        <v>10075</v>
      </c>
      <c r="F5810">
        <v>10453</v>
      </c>
      <c r="G5810" t="s">
        <v>10090</v>
      </c>
      <c r="H5810" t="s">
        <v>10162</v>
      </c>
      <c r="I5810" t="s">
        <v>10168</v>
      </c>
      <c r="J5810" t="s">
        <v>10210</v>
      </c>
      <c r="K5810" t="s">
        <v>10217</v>
      </c>
      <c r="M5810" t="s">
        <v>10590</v>
      </c>
      <c r="N5810" t="s">
        <v>10650</v>
      </c>
      <c r="P5810" t="s">
        <v>10749</v>
      </c>
      <c r="Q5810" t="s">
        <v>10765</v>
      </c>
      <c r="R5810" t="s">
        <v>10821</v>
      </c>
      <c r="T5810">
        <v>28912</v>
      </c>
      <c r="U5810">
        <v>2409.33</v>
      </c>
      <c r="V5810">
        <v>44</v>
      </c>
      <c r="W5810">
        <v>1</v>
      </c>
      <c r="X5810">
        <v>0</v>
      </c>
      <c r="Z5810">
        <v>231.48</v>
      </c>
      <c r="AA5810">
        <v>40.853556</v>
      </c>
      <c r="AB5810">
        <v>-73.913774</v>
      </c>
      <c r="AD5810" t="s">
        <v>10839</v>
      </c>
      <c r="AG5810" t="s">
        <v>10858</v>
      </c>
      <c r="AH5810" t="s">
        <v>10862</v>
      </c>
      <c r="AI5810">
        <v>230</v>
      </c>
      <c r="AJ5810" t="s">
        <v>10210</v>
      </c>
      <c r="AL5810">
        <v>1.6</v>
      </c>
      <c r="AM5810" t="s">
        <v>10884</v>
      </c>
      <c r="AN5810" t="s">
        <v>10931</v>
      </c>
      <c r="AO5810" t="s">
        <v>11013</v>
      </c>
      <c r="AP5810" t="s">
        <v>11045</v>
      </c>
      <c r="AR5810" t="s">
        <v>11257</v>
      </c>
      <c r="AS5810" t="s">
        <v>9926</v>
      </c>
      <c r="BA5810" t="s">
        <v>11741</v>
      </c>
      <c r="BB5810">
        <v>0</v>
      </c>
      <c r="BC5810">
        <v>0</v>
      </c>
      <c r="BD5810">
        <v>0</v>
      </c>
      <c r="BE5810">
        <v>0</v>
      </c>
      <c r="BF5810">
        <v>1</v>
      </c>
      <c r="BG5810">
        <v>0</v>
      </c>
    </row>
    <row r="5811" spans="1:59">
      <c r="A5811" s="1">
        <f>HYPERLINK("https://lsnyc.legalserver.org/matter/dynamic-profile/view/1910097","19-1910097")</f>
        <v>0</v>
      </c>
      <c r="B5811" t="s">
        <v>4544</v>
      </c>
      <c r="C5811" t="s">
        <v>9414</v>
      </c>
      <c r="D5811" t="s">
        <v>9931</v>
      </c>
      <c r="E5811" t="s">
        <v>10075</v>
      </c>
      <c r="F5811">
        <v>11358</v>
      </c>
      <c r="G5811" t="s">
        <v>10092</v>
      </c>
      <c r="H5811" t="s">
        <v>10162</v>
      </c>
      <c r="I5811" t="s">
        <v>10168</v>
      </c>
      <c r="J5811" t="s">
        <v>10212</v>
      </c>
      <c r="K5811" t="s">
        <v>10217</v>
      </c>
      <c r="M5811" t="s">
        <v>10258</v>
      </c>
      <c r="N5811" t="s">
        <v>10671</v>
      </c>
      <c r="P5811" t="s">
        <v>10749</v>
      </c>
      <c r="Q5811" t="s">
        <v>10765</v>
      </c>
      <c r="R5811" t="s">
        <v>10821</v>
      </c>
      <c r="T5811">
        <v>19200</v>
      </c>
      <c r="U5811">
        <v>1600</v>
      </c>
      <c r="V5811">
        <v>52</v>
      </c>
      <c r="W5811">
        <v>4</v>
      </c>
      <c r="X5811">
        <v>1</v>
      </c>
      <c r="Z5811">
        <v>63.64</v>
      </c>
      <c r="AA5811">
        <v>40.758669</v>
      </c>
      <c r="AB5811">
        <v>-73.787409</v>
      </c>
      <c r="AD5811" t="s">
        <v>10840</v>
      </c>
      <c r="AG5811" t="s">
        <v>10858</v>
      </c>
      <c r="AH5811" t="s">
        <v>10861</v>
      </c>
      <c r="AI5811">
        <v>234</v>
      </c>
      <c r="AJ5811" t="s">
        <v>10214</v>
      </c>
      <c r="AL5811">
        <v>2.1</v>
      </c>
      <c r="AM5811" t="s">
        <v>10890</v>
      </c>
      <c r="AN5811" t="s">
        <v>10948</v>
      </c>
      <c r="AO5811" t="s">
        <v>11022</v>
      </c>
      <c r="AP5811" t="s">
        <v>11080</v>
      </c>
      <c r="AR5811" t="s">
        <v>11257</v>
      </c>
      <c r="AS5811" t="s">
        <v>11594</v>
      </c>
      <c r="AT5811" t="s">
        <v>11642</v>
      </c>
      <c r="AX5811" t="s">
        <v>10838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</row>
    <row r="5812" spans="1:59">
      <c r="A5812" s="1">
        <f>HYPERLINK("https://lsnyc.legalserver.org/matter/dynamic-profile/view/1910098","19-1910098")</f>
        <v>0</v>
      </c>
      <c r="B5812" t="s">
        <v>4545</v>
      </c>
      <c r="C5812" t="s">
        <v>9415</v>
      </c>
      <c r="D5812" t="s">
        <v>9982</v>
      </c>
      <c r="E5812" t="s">
        <v>10075</v>
      </c>
      <c r="F5812">
        <v>11375</v>
      </c>
      <c r="G5812" t="s">
        <v>10091</v>
      </c>
      <c r="H5812" t="s">
        <v>10162</v>
      </c>
      <c r="I5812" t="s">
        <v>10168</v>
      </c>
      <c r="J5812" t="s">
        <v>10214</v>
      </c>
      <c r="K5812" t="s">
        <v>10217</v>
      </c>
      <c r="M5812" t="s">
        <v>10286</v>
      </c>
      <c r="N5812" t="s">
        <v>10671</v>
      </c>
      <c r="P5812" t="s">
        <v>10751</v>
      </c>
      <c r="Q5812" t="s">
        <v>10780</v>
      </c>
      <c r="R5812" t="s">
        <v>10824</v>
      </c>
      <c r="T5812">
        <v>3732</v>
      </c>
      <c r="U5812">
        <v>311</v>
      </c>
      <c r="V5812">
        <v>6</v>
      </c>
      <c r="W5812">
        <v>1</v>
      </c>
      <c r="X5812">
        <v>1</v>
      </c>
      <c r="Z5812">
        <v>22.07</v>
      </c>
      <c r="AA5812">
        <v>40.731867</v>
      </c>
      <c r="AB5812">
        <v>-73.84523900000001</v>
      </c>
      <c r="AD5812" t="s">
        <v>10840</v>
      </c>
      <c r="AG5812" t="s">
        <v>10858</v>
      </c>
      <c r="AH5812" t="s">
        <v>10861</v>
      </c>
      <c r="AI5812">
        <v>234</v>
      </c>
      <c r="AJ5812" t="s">
        <v>10214</v>
      </c>
      <c r="AL5812">
        <v>1</v>
      </c>
      <c r="AQ5812" t="s">
        <v>11132</v>
      </c>
      <c r="AR5812" t="s">
        <v>11293</v>
      </c>
      <c r="AS5812" t="s">
        <v>11594</v>
      </c>
      <c r="AT5812" t="s">
        <v>11642</v>
      </c>
      <c r="AX5812" t="s">
        <v>10838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</row>
    <row r="5813" spans="1:59">
      <c r="A5813" s="1">
        <f>HYPERLINK("https://lsnyc.legalserver.org/matter/dynamic-profile/view/1910100","19-1910100")</f>
        <v>0</v>
      </c>
      <c r="B5813" t="s">
        <v>4546</v>
      </c>
      <c r="C5813" t="s">
        <v>8345</v>
      </c>
      <c r="D5813" t="s">
        <v>9926</v>
      </c>
      <c r="E5813" t="s">
        <v>10075</v>
      </c>
      <c r="F5813">
        <v>10473</v>
      </c>
      <c r="G5813" t="s">
        <v>10090</v>
      </c>
      <c r="H5813" t="s">
        <v>10162</v>
      </c>
      <c r="I5813" t="s">
        <v>10168</v>
      </c>
      <c r="J5813" t="s">
        <v>10210</v>
      </c>
      <c r="K5813" t="s">
        <v>10217</v>
      </c>
      <c r="M5813" t="s">
        <v>10495</v>
      </c>
      <c r="N5813" t="s">
        <v>10658</v>
      </c>
      <c r="P5813" t="s">
        <v>10749</v>
      </c>
      <c r="Q5813" t="s">
        <v>10769</v>
      </c>
      <c r="R5813" t="s">
        <v>10825</v>
      </c>
      <c r="T5813">
        <v>30000</v>
      </c>
      <c r="U5813">
        <v>2500</v>
      </c>
      <c r="V5813">
        <v>42</v>
      </c>
      <c r="W5813">
        <v>2</v>
      </c>
      <c r="X5813">
        <v>0</v>
      </c>
      <c r="Z5813">
        <v>177.41</v>
      </c>
      <c r="AA5813">
        <v>40.815899</v>
      </c>
      <c r="AB5813">
        <v>-73.864249</v>
      </c>
      <c r="AD5813" t="s">
        <v>10839</v>
      </c>
      <c r="AG5813" t="s">
        <v>10858</v>
      </c>
      <c r="AH5813" t="s">
        <v>10860</v>
      </c>
      <c r="AI5813">
        <v>230</v>
      </c>
      <c r="AJ5813" t="s">
        <v>10210</v>
      </c>
      <c r="AL5813">
        <v>4</v>
      </c>
      <c r="AM5813" t="s">
        <v>10884</v>
      </c>
      <c r="AN5813" t="s">
        <v>10968</v>
      </c>
      <c r="AO5813" t="s">
        <v>11002</v>
      </c>
      <c r="AP5813" t="s">
        <v>11046</v>
      </c>
      <c r="AQ5813" t="s">
        <v>11242</v>
      </c>
      <c r="AR5813" t="s">
        <v>11276</v>
      </c>
      <c r="AS5813" t="s">
        <v>9926</v>
      </c>
      <c r="AT5813" t="s">
        <v>11641</v>
      </c>
      <c r="AX5813" t="s">
        <v>10838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</row>
    <row r="5814" spans="1:59">
      <c r="A5814" s="1">
        <f>HYPERLINK("https://lsnyc.legalserver.org/matter/dynamic-profile/view/1910101","19-1910101")</f>
        <v>0</v>
      </c>
      <c r="B5814" t="s">
        <v>4547</v>
      </c>
      <c r="C5814" t="s">
        <v>9416</v>
      </c>
      <c r="D5814" t="s">
        <v>9929</v>
      </c>
      <c r="E5814" t="s">
        <v>10075</v>
      </c>
      <c r="F5814">
        <v>10304</v>
      </c>
      <c r="G5814" t="s">
        <v>10088</v>
      </c>
      <c r="H5814" t="s">
        <v>10156</v>
      </c>
      <c r="I5814" t="s">
        <v>10169</v>
      </c>
      <c r="J5814" t="s">
        <v>10208</v>
      </c>
      <c r="K5814" t="s">
        <v>10217</v>
      </c>
      <c r="M5814" t="s">
        <v>10515</v>
      </c>
      <c r="N5814" t="s">
        <v>10673</v>
      </c>
      <c r="P5814" t="s">
        <v>10753</v>
      </c>
      <c r="Q5814" t="s">
        <v>10763</v>
      </c>
      <c r="R5814" t="s">
        <v>10821</v>
      </c>
      <c r="T5814">
        <v>13000</v>
      </c>
      <c r="U5814">
        <v>1083.33</v>
      </c>
      <c r="V5814">
        <v>29</v>
      </c>
      <c r="W5814">
        <v>1</v>
      </c>
      <c r="X5814">
        <v>1</v>
      </c>
      <c r="Z5814">
        <v>76.88</v>
      </c>
      <c r="AA5814">
        <v>40.624763</v>
      </c>
      <c r="AB5814">
        <v>-74.080743</v>
      </c>
      <c r="AD5814" t="s">
        <v>10839</v>
      </c>
      <c r="AF5814" t="s">
        <v>10842</v>
      </c>
      <c r="AG5814" t="s">
        <v>10859</v>
      </c>
      <c r="AH5814" t="s">
        <v>10867</v>
      </c>
      <c r="AI5814">
        <v>285</v>
      </c>
      <c r="AJ5814" t="s">
        <v>10208</v>
      </c>
      <c r="AL5814">
        <v>16.7</v>
      </c>
      <c r="AM5814" t="s">
        <v>10883</v>
      </c>
      <c r="AN5814" t="s">
        <v>10913</v>
      </c>
      <c r="AO5814" t="s">
        <v>11006</v>
      </c>
      <c r="AP5814" t="s">
        <v>11051</v>
      </c>
      <c r="AR5814" t="s">
        <v>11257</v>
      </c>
      <c r="AS5814" t="s">
        <v>11593</v>
      </c>
      <c r="AT5814" t="s">
        <v>11641</v>
      </c>
      <c r="AX5814" t="s">
        <v>10838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</row>
    <row r="5815" spans="1:59">
      <c r="A5815" s="1">
        <f>HYPERLINK("https://lsnyc.legalserver.org/matter/dynamic-profile/view/1910102","19-1910102")</f>
        <v>0</v>
      </c>
      <c r="B5815" t="s">
        <v>4548</v>
      </c>
      <c r="C5815" t="s">
        <v>9417</v>
      </c>
      <c r="D5815" t="s">
        <v>9946</v>
      </c>
      <c r="E5815" t="s">
        <v>10075</v>
      </c>
      <c r="F5815">
        <v>11385</v>
      </c>
      <c r="G5815" t="s">
        <v>10092</v>
      </c>
      <c r="H5815" t="s">
        <v>10162</v>
      </c>
      <c r="I5815" t="s">
        <v>10169</v>
      </c>
      <c r="J5815" t="s">
        <v>10212</v>
      </c>
      <c r="K5815" t="s">
        <v>10217</v>
      </c>
      <c r="M5815" t="s">
        <v>10523</v>
      </c>
      <c r="N5815" t="s">
        <v>10714</v>
      </c>
      <c r="P5815" t="s">
        <v>10753</v>
      </c>
      <c r="Q5815" t="s">
        <v>10763</v>
      </c>
      <c r="R5815" t="s">
        <v>10823</v>
      </c>
      <c r="T5815">
        <v>10400</v>
      </c>
      <c r="U5815">
        <v>866.67</v>
      </c>
      <c r="V5815">
        <v>43</v>
      </c>
      <c r="W5815">
        <v>1</v>
      </c>
      <c r="X5815">
        <v>3</v>
      </c>
      <c r="Z5815">
        <v>40.39</v>
      </c>
      <c r="AA5815">
        <v>40.705991</v>
      </c>
      <c r="AB5815">
        <v>-73.91331599999999</v>
      </c>
      <c r="AD5815" t="s">
        <v>10839</v>
      </c>
      <c r="AF5815" t="s">
        <v>10842</v>
      </c>
      <c r="AG5815" t="s">
        <v>10859</v>
      </c>
      <c r="AH5815" t="s">
        <v>10864</v>
      </c>
      <c r="AI5815">
        <v>237</v>
      </c>
      <c r="AJ5815" t="s">
        <v>10212</v>
      </c>
      <c r="AL5815">
        <v>1.3</v>
      </c>
      <c r="AM5815" t="s">
        <v>10886</v>
      </c>
      <c r="AN5815" t="s">
        <v>10961</v>
      </c>
      <c r="AO5815" t="s">
        <v>11003</v>
      </c>
      <c r="AP5815" t="s">
        <v>11071</v>
      </c>
      <c r="AQ5815" t="s">
        <v>11109</v>
      </c>
      <c r="AR5815" t="s">
        <v>11257</v>
      </c>
      <c r="AS5815" t="s">
        <v>11594</v>
      </c>
      <c r="AT5815" t="s">
        <v>11641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</row>
    <row r="5816" spans="1:59">
      <c r="A5816" s="1">
        <f>HYPERLINK("https://lsnyc.legalserver.org/matter/dynamic-profile/view/1910103","19-1910103")</f>
        <v>0</v>
      </c>
      <c r="B5816" t="s">
        <v>4549</v>
      </c>
      <c r="C5816" t="s">
        <v>9418</v>
      </c>
      <c r="D5816" t="s">
        <v>9926</v>
      </c>
      <c r="E5816" t="s">
        <v>10075</v>
      </c>
      <c r="F5816">
        <v>10467</v>
      </c>
      <c r="G5816" t="s">
        <v>10090</v>
      </c>
      <c r="H5816" t="s">
        <v>10162</v>
      </c>
      <c r="I5816" t="s">
        <v>10168</v>
      </c>
      <c r="J5816" t="s">
        <v>10210</v>
      </c>
      <c r="K5816" t="s">
        <v>10217</v>
      </c>
      <c r="M5816" t="s">
        <v>10399</v>
      </c>
      <c r="N5816" t="s">
        <v>10651</v>
      </c>
      <c r="P5816" t="s">
        <v>10749</v>
      </c>
      <c r="Q5816" t="s">
        <v>10765</v>
      </c>
      <c r="R5816" t="s">
        <v>10824</v>
      </c>
      <c r="T5816">
        <v>23400</v>
      </c>
      <c r="U5816">
        <v>1950</v>
      </c>
      <c r="V5816">
        <v>57</v>
      </c>
      <c r="W5816">
        <v>1</v>
      </c>
      <c r="X5816">
        <v>0</v>
      </c>
      <c r="Z5816">
        <v>187.35</v>
      </c>
      <c r="AA5816">
        <v>40.88395</v>
      </c>
      <c r="AB5816">
        <v>-73.859487</v>
      </c>
      <c r="AD5816" t="s">
        <v>10839</v>
      </c>
      <c r="AF5816" t="s">
        <v>10843</v>
      </c>
      <c r="AG5816" t="s">
        <v>10859</v>
      </c>
      <c r="AH5816" t="s">
        <v>10862</v>
      </c>
      <c r="AI5816">
        <v>230</v>
      </c>
      <c r="AJ5816" t="s">
        <v>10210</v>
      </c>
      <c r="AL5816">
        <v>2.5</v>
      </c>
      <c r="AM5816" t="s">
        <v>10893</v>
      </c>
      <c r="AN5816" t="s">
        <v>10956</v>
      </c>
      <c r="AO5816" t="s">
        <v>11010</v>
      </c>
      <c r="AP5816" t="s">
        <v>11085</v>
      </c>
      <c r="AR5816" t="s">
        <v>11257</v>
      </c>
      <c r="AS5816" t="s">
        <v>9926</v>
      </c>
      <c r="AT5816" t="s">
        <v>11641</v>
      </c>
      <c r="AX5816" t="s">
        <v>10838</v>
      </c>
      <c r="BA5816" t="s">
        <v>11738</v>
      </c>
      <c r="BB5816">
        <v>0</v>
      </c>
      <c r="BC5816">
        <v>0</v>
      </c>
      <c r="BD5816">
        <v>0</v>
      </c>
      <c r="BE5816">
        <v>0</v>
      </c>
      <c r="BF5816">
        <v>5</v>
      </c>
      <c r="BG5816">
        <v>0</v>
      </c>
    </row>
    <row r="5817" spans="1:59">
      <c r="A5817" s="1">
        <f>HYPERLINK("https://lsnyc.legalserver.org/matter/dynamic-profile/view/1910104","19-1910104")</f>
        <v>0</v>
      </c>
      <c r="B5817" t="s">
        <v>4550</v>
      </c>
      <c r="C5817" t="s">
        <v>9419</v>
      </c>
      <c r="D5817" t="s">
        <v>9928</v>
      </c>
      <c r="E5817" t="s">
        <v>10075</v>
      </c>
      <c r="F5817">
        <v>11225</v>
      </c>
      <c r="G5817" t="s">
        <v>10093</v>
      </c>
      <c r="H5817" t="s">
        <v>10162</v>
      </c>
      <c r="I5817" t="s">
        <v>10169</v>
      </c>
      <c r="J5817" t="s">
        <v>10213</v>
      </c>
      <c r="K5817" t="s">
        <v>10217</v>
      </c>
      <c r="M5817" t="s">
        <v>10384</v>
      </c>
      <c r="N5817" t="s">
        <v>10650</v>
      </c>
      <c r="P5817" t="s">
        <v>10749</v>
      </c>
      <c r="Q5817" t="s">
        <v>10765</v>
      </c>
      <c r="R5817" t="s">
        <v>10821</v>
      </c>
      <c r="T5817">
        <v>9756</v>
      </c>
      <c r="U5817">
        <v>813</v>
      </c>
      <c r="V5817">
        <v>62</v>
      </c>
      <c r="W5817">
        <v>2</v>
      </c>
      <c r="X5817">
        <v>0</v>
      </c>
      <c r="Z5817">
        <v>57.69</v>
      </c>
      <c r="AA5817">
        <v>40.656275</v>
      </c>
      <c r="AB5817">
        <v>-73.95975</v>
      </c>
      <c r="AD5817" t="s">
        <v>10839</v>
      </c>
      <c r="AG5817" t="s">
        <v>10858</v>
      </c>
      <c r="AH5817" t="s">
        <v>10862</v>
      </c>
      <c r="AI5817">
        <v>239</v>
      </c>
      <c r="AJ5817" t="s">
        <v>10213</v>
      </c>
      <c r="AL5817">
        <v>1.8</v>
      </c>
      <c r="AM5817" t="s">
        <v>10888</v>
      </c>
      <c r="AN5817" t="s">
        <v>10912</v>
      </c>
      <c r="AO5817" t="s">
        <v>11008</v>
      </c>
      <c r="AP5817" t="s">
        <v>11050</v>
      </c>
      <c r="AQ5817" t="s">
        <v>11120</v>
      </c>
      <c r="AR5817" t="s">
        <v>11254</v>
      </c>
      <c r="AS5817" t="s">
        <v>11595</v>
      </c>
      <c r="BA5817" t="s">
        <v>11737</v>
      </c>
      <c r="BB5817">
        <v>0</v>
      </c>
      <c r="BC5817">
        <v>0</v>
      </c>
      <c r="BD5817">
        <v>0</v>
      </c>
      <c r="BE5817">
        <v>0</v>
      </c>
      <c r="BF5817">
        <v>3</v>
      </c>
      <c r="BG5817">
        <v>0</v>
      </c>
    </row>
    <row r="5818" spans="1:59">
      <c r="A5818" s="1">
        <f>HYPERLINK("https://lsnyc.legalserver.org/matter/dynamic-profile/view/1910105","19-1910105")</f>
        <v>0</v>
      </c>
      <c r="B5818" t="s">
        <v>4551</v>
      </c>
      <c r="C5818" t="s">
        <v>9420</v>
      </c>
      <c r="D5818" t="s">
        <v>9925</v>
      </c>
      <c r="E5818" t="s">
        <v>10075</v>
      </c>
      <c r="F5818">
        <v>10027</v>
      </c>
      <c r="G5818" t="s">
        <v>10091</v>
      </c>
      <c r="H5818" t="s">
        <v>10162</v>
      </c>
      <c r="I5818" t="s">
        <v>10169</v>
      </c>
      <c r="J5818" t="s">
        <v>10214</v>
      </c>
      <c r="K5818" t="s">
        <v>10217</v>
      </c>
      <c r="M5818" t="s">
        <v>10537</v>
      </c>
      <c r="N5818" t="s">
        <v>10673</v>
      </c>
      <c r="P5818" t="s">
        <v>10753</v>
      </c>
      <c r="Q5818" t="s">
        <v>10763</v>
      </c>
      <c r="R5818" t="s">
        <v>10823</v>
      </c>
      <c r="T5818">
        <v>20800</v>
      </c>
      <c r="U5818">
        <v>1733.33</v>
      </c>
      <c r="V5818">
        <v>51</v>
      </c>
      <c r="W5818">
        <v>1</v>
      </c>
      <c r="X5818">
        <v>0</v>
      </c>
      <c r="Z5818">
        <v>166.53</v>
      </c>
      <c r="AA5818">
        <v>40.81106</v>
      </c>
      <c r="AB5818">
        <v>-73.948358</v>
      </c>
      <c r="AD5818" t="s">
        <v>10840</v>
      </c>
      <c r="AF5818" t="s">
        <v>10843</v>
      </c>
      <c r="AG5818" t="s">
        <v>10859</v>
      </c>
      <c r="AH5818" t="s">
        <v>10861</v>
      </c>
      <c r="AI5818">
        <v>234</v>
      </c>
      <c r="AJ5818" t="s">
        <v>10214</v>
      </c>
      <c r="AL5818">
        <v>0.45</v>
      </c>
      <c r="AM5818" t="s">
        <v>10887</v>
      </c>
      <c r="AN5818" t="s">
        <v>10936</v>
      </c>
      <c r="AO5818" t="s">
        <v>11016</v>
      </c>
      <c r="AP5818" t="s">
        <v>11076</v>
      </c>
      <c r="AR5818" t="s">
        <v>11257</v>
      </c>
      <c r="AS5818" t="s">
        <v>9925</v>
      </c>
      <c r="AT5818" t="s">
        <v>11642</v>
      </c>
      <c r="AX5818" t="s">
        <v>10838</v>
      </c>
      <c r="BA5818" t="s">
        <v>11742</v>
      </c>
      <c r="BB5818">
        <v>0</v>
      </c>
      <c r="BC5818">
        <v>0</v>
      </c>
      <c r="BD5818">
        <v>0</v>
      </c>
      <c r="BE5818">
        <v>0</v>
      </c>
      <c r="BF5818">
        <v>7</v>
      </c>
      <c r="BG5818">
        <v>0</v>
      </c>
    </row>
    <row r="5819" spans="1:59">
      <c r="A5819" s="1">
        <f>HYPERLINK("https://lsnyc.legalserver.org/matter/dynamic-profile/view/1910106","19-1910106")</f>
        <v>0</v>
      </c>
      <c r="B5819" t="s">
        <v>2601</v>
      </c>
      <c r="C5819" t="s">
        <v>5839</v>
      </c>
      <c r="D5819" t="s">
        <v>9928</v>
      </c>
      <c r="E5819" t="s">
        <v>10075</v>
      </c>
      <c r="F5819">
        <v>11203</v>
      </c>
      <c r="G5819" t="s">
        <v>10093</v>
      </c>
      <c r="H5819" t="s">
        <v>10157</v>
      </c>
      <c r="J5819" t="s">
        <v>10213</v>
      </c>
      <c r="K5819" t="s">
        <v>10217</v>
      </c>
      <c r="M5819" t="s">
        <v>10317</v>
      </c>
      <c r="N5819" t="s">
        <v>10698</v>
      </c>
      <c r="P5819" t="s">
        <v>10749</v>
      </c>
      <c r="Q5819" t="s">
        <v>10765</v>
      </c>
      <c r="R5819" t="s">
        <v>10824</v>
      </c>
      <c r="T5819">
        <v>9600</v>
      </c>
      <c r="U5819">
        <v>800</v>
      </c>
      <c r="V5819">
        <v>58</v>
      </c>
      <c r="W5819">
        <v>1</v>
      </c>
      <c r="X5819">
        <v>0</v>
      </c>
      <c r="Z5819">
        <v>76.86</v>
      </c>
      <c r="AA5819">
        <v>40.662891</v>
      </c>
      <c r="AB5819">
        <v>-73.93777300000001</v>
      </c>
      <c r="AD5819" t="s">
        <v>10840</v>
      </c>
      <c r="AG5819" t="s">
        <v>10858</v>
      </c>
      <c r="AH5819" t="s">
        <v>10868</v>
      </c>
      <c r="AI5819">
        <v>239</v>
      </c>
      <c r="AJ5819" t="s">
        <v>10213</v>
      </c>
      <c r="AL5819">
        <v>0</v>
      </c>
      <c r="AM5819" t="s">
        <v>10888</v>
      </c>
      <c r="AN5819" t="s">
        <v>10912</v>
      </c>
      <c r="AO5819" t="s">
        <v>11005</v>
      </c>
      <c r="AP5819" t="s">
        <v>11064</v>
      </c>
      <c r="AR5819" t="s">
        <v>11274</v>
      </c>
      <c r="AS5819" t="s">
        <v>11595</v>
      </c>
      <c r="AT5819" t="s">
        <v>11642</v>
      </c>
      <c r="AX5819" t="s">
        <v>10838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</row>
    <row r="5820" spans="1:59">
      <c r="A5820" s="1">
        <f>HYPERLINK("https://lsnyc.legalserver.org/matter/dynamic-profile/view/1910107","19-1910107")</f>
        <v>0</v>
      </c>
      <c r="B5820" t="s">
        <v>4552</v>
      </c>
      <c r="C5820" t="s">
        <v>9421</v>
      </c>
      <c r="D5820" t="s">
        <v>9925</v>
      </c>
      <c r="E5820" t="s">
        <v>10075</v>
      </c>
      <c r="F5820">
        <v>10033</v>
      </c>
      <c r="G5820" t="s">
        <v>10091</v>
      </c>
      <c r="H5820" t="s">
        <v>10162</v>
      </c>
      <c r="I5820" t="s">
        <v>10168</v>
      </c>
      <c r="J5820" t="s">
        <v>10214</v>
      </c>
      <c r="K5820" t="s">
        <v>10217</v>
      </c>
      <c r="M5820" t="s">
        <v>10537</v>
      </c>
      <c r="N5820" t="s">
        <v>10673</v>
      </c>
      <c r="P5820" t="s">
        <v>10753</v>
      </c>
      <c r="Q5820" t="s">
        <v>10763</v>
      </c>
      <c r="R5820" t="s">
        <v>10824</v>
      </c>
      <c r="T5820">
        <v>16800</v>
      </c>
      <c r="U5820">
        <v>1400</v>
      </c>
      <c r="V5820">
        <v>24</v>
      </c>
      <c r="W5820">
        <v>1</v>
      </c>
      <c r="X5820">
        <v>0</v>
      </c>
      <c r="Z5820">
        <v>134.51</v>
      </c>
      <c r="AA5820">
        <v>40.851974</v>
      </c>
      <c r="AB5820">
        <v>-73.929602</v>
      </c>
      <c r="AD5820" t="s">
        <v>10840</v>
      </c>
      <c r="AF5820" t="s">
        <v>10842</v>
      </c>
      <c r="AG5820" t="s">
        <v>10859</v>
      </c>
      <c r="AH5820" t="s">
        <v>10871</v>
      </c>
      <c r="AI5820">
        <v>234</v>
      </c>
      <c r="AJ5820" t="s">
        <v>10214</v>
      </c>
      <c r="AL5820">
        <v>1.55</v>
      </c>
      <c r="AM5820" t="s">
        <v>10887</v>
      </c>
      <c r="AN5820" t="s">
        <v>10937</v>
      </c>
      <c r="AO5820" t="s">
        <v>11019</v>
      </c>
      <c r="AP5820" t="s">
        <v>11074</v>
      </c>
      <c r="AR5820" t="s">
        <v>11257</v>
      </c>
      <c r="AS5820" t="s">
        <v>9925</v>
      </c>
      <c r="AT5820" t="s">
        <v>11642</v>
      </c>
      <c r="AX5820" t="s">
        <v>10837</v>
      </c>
      <c r="BA5820" t="s">
        <v>11742</v>
      </c>
      <c r="BB5820">
        <v>0</v>
      </c>
      <c r="BC5820">
        <v>0</v>
      </c>
      <c r="BD5820">
        <v>0</v>
      </c>
      <c r="BE5820">
        <v>0</v>
      </c>
      <c r="BF5820">
        <v>7</v>
      </c>
      <c r="BG5820">
        <v>0</v>
      </c>
    </row>
    <row r="5821" spans="1:59">
      <c r="A5821" s="1">
        <f>HYPERLINK("https://lsnyc.legalserver.org/matter/dynamic-profile/view/1910108","19-1910108")</f>
        <v>0</v>
      </c>
      <c r="B5821" t="s">
        <v>4549</v>
      </c>
      <c r="C5821" t="s">
        <v>9418</v>
      </c>
      <c r="D5821" t="s">
        <v>9926</v>
      </c>
      <c r="E5821" t="s">
        <v>10075</v>
      </c>
      <c r="F5821">
        <v>10467</v>
      </c>
      <c r="G5821" t="s">
        <v>10090</v>
      </c>
      <c r="H5821" t="s">
        <v>10162</v>
      </c>
      <c r="I5821" t="s">
        <v>10168</v>
      </c>
      <c r="J5821" t="s">
        <v>10210</v>
      </c>
      <c r="K5821" t="s">
        <v>10217</v>
      </c>
      <c r="M5821" t="s">
        <v>10406</v>
      </c>
      <c r="N5821" t="s">
        <v>10671</v>
      </c>
      <c r="P5821" t="s">
        <v>10751</v>
      </c>
      <c r="Q5821" t="s">
        <v>10761</v>
      </c>
      <c r="R5821" t="s">
        <v>10824</v>
      </c>
      <c r="T5821">
        <v>23400</v>
      </c>
      <c r="U5821">
        <v>1950</v>
      </c>
      <c r="V5821">
        <v>57</v>
      </c>
      <c r="W5821">
        <v>1</v>
      </c>
      <c r="X5821">
        <v>0</v>
      </c>
      <c r="Z5821">
        <v>187.35</v>
      </c>
      <c r="AA5821">
        <v>40.88395</v>
      </c>
      <c r="AB5821">
        <v>-73.859487</v>
      </c>
      <c r="AD5821" t="s">
        <v>10839</v>
      </c>
      <c r="AF5821" t="s">
        <v>10843</v>
      </c>
      <c r="AG5821" t="s">
        <v>10859</v>
      </c>
      <c r="AH5821" t="s">
        <v>10862</v>
      </c>
      <c r="AI5821">
        <v>230</v>
      </c>
      <c r="AJ5821" t="s">
        <v>10210</v>
      </c>
      <c r="AL5821">
        <v>0.5</v>
      </c>
      <c r="AR5821" t="s">
        <v>11257</v>
      </c>
      <c r="AS5821" t="s">
        <v>9926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</row>
    <row r="5822" spans="1:59">
      <c r="A5822" s="1">
        <f>HYPERLINK("https://lsnyc.legalserver.org/matter/dynamic-profile/view/1910109","19-1910109")</f>
        <v>0</v>
      </c>
      <c r="B5822" t="s">
        <v>4553</v>
      </c>
      <c r="C5822" t="s">
        <v>7286</v>
      </c>
      <c r="D5822" t="s">
        <v>9930</v>
      </c>
      <c r="E5822" t="s">
        <v>10075</v>
      </c>
      <c r="F5822">
        <v>11373</v>
      </c>
      <c r="G5822" t="s">
        <v>10092</v>
      </c>
      <c r="H5822" t="s">
        <v>10162</v>
      </c>
      <c r="I5822" t="s">
        <v>10168</v>
      </c>
      <c r="J5822" t="s">
        <v>10212</v>
      </c>
      <c r="K5822" t="s">
        <v>10217</v>
      </c>
      <c r="M5822" t="s">
        <v>10601</v>
      </c>
      <c r="N5822" t="s">
        <v>10693</v>
      </c>
      <c r="P5822" t="s">
        <v>10749</v>
      </c>
      <c r="Q5822" t="s">
        <v>10765</v>
      </c>
      <c r="R5822" t="s">
        <v>10821</v>
      </c>
      <c r="T5822">
        <v>27600</v>
      </c>
      <c r="U5822">
        <v>2300</v>
      </c>
      <c r="V5822">
        <v>42</v>
      </c>
      <c r="W5822">
        <v>4</v>
      </c>
      <c r="X5822">
        <v>1</v>
      </c>
      <c r="Z5822">
        <v>91.48</v>
      </c>
      <c r="AA5822">
        <v>40.736422</v>
      </c>
      <c r="AB5822">
        <v>-73.867999</v>
      </c>
      <c r="AD5822" t="s">
        <v>10839</v>
      </c>
      <c r="AF5822" t="s">
        <v>10843</v>
      </c>
      <c r="AG5822" t="s">
        <v>10859</v>
      </c>
      <c r="AH5822" t="s">
        <v>10862</v>
      </c>
      <c r="AI5822">
        <v>237</v>
      </c>
      <c r="AJ5822" t="s">
        <v>10212</v>
      </c>
      <c r="AL5822">
        <v>1.88</v>
      </c>
      <c r="AM5822" t="s">
        <v>10890</v>
      </c>
      <c r="AN5822" t="s">
        <v>10916</v>
      </c>
      <c r="AO5822" t="s">
        <v>11014</v>
      </c>
      <c r="AP5822" t="s">
        <v>11053</v>
      </c>
      <c r="AR5822" t="s">
        <v>11541</v>
      </c>
      <c r="AS5822" t="s">
        <v>11594</v>
      </c>
      <c r="BA5822" t="s">
        <v>11742</v>
      </c>
      <c r="BB5822">
        <v>0</v>
      </c>
      <c r="BC5822">
        <v>0</v>
      </c>
      <c r="BD5822">
        <v>0</v>
      </c>
      <c r="BE5822">
        <v>0</v>
      </c>
      <c r="BF5822">
        <v>7</v>
      </c>
      <c r="BG5822">
        <v>0</v>
      </c>
    </row>
    <row r="5823" spans="1:59">
      <c r="A5823" s="1">
        <f>HYPERLINK("https://lsnyc.legalserver.org/matter/dynamic-profile/view/1910110","19-1910110")</f>
        <v>0</v>
      </c>
      <c r="B5823" t="s">
        <v>139</v>
      </c>
      <c r="C5823" t="s">
        <v>5078</v>
      </c>
      <c r="D5823" t="s">
        <v>9926</v>
      </c>
      <c r="E5823" t="s">
        <v>10075</v>
      </c>
      <c r="F5823">
        <v>10453</v>
      </c>
      <c r="G5823" t="s">
        <v>10089</v>
      </c>
      <c r="H5823" t="s">
        <v>10162</v>
      </c>
      <c r="I5823" t="s">
        <v>10169</v>
      </c>
      <c r="J5823" t="s">
        <v>10209</v>
      </c>
      <c r="K5823" t="s">
        <v>10217</v>
      </c>
      <c r="M5823" t="s">
        <v>10278</v>
      </c>
      <c r="N5823" t="s">
        <v>10673</v>
      </c>
      <c r="P5823" t="s">
        <v>10753</v>
      </c>
      <c r="Q5823" t="s">
        <v>10763</v>
      </c>
      <c r="R5823" t="s">
        <v>10821</v>
      </c>
      <c r="T5823">
        <v>42512</v>
      </c>
      <c r="U5823">
        <v>3542.67</v>
      </c>
      <c r="V5823">
        <v>37</v>
      </c>
      <c r="W5823">
        <v>4</v>
      </c>
      <c r="X5823">
        <v>0</v>
      </c>
      <c r="Z5823">
        <v>165.1</v>
      </c>
      <c r="AA5823">
        <v>40.849619</v>
      </c>
      <c r="AB5823">
        <v>-73.90656300000001</v>
      </c>
      <c r="AD5823" t="s">
        <v>10839</v>
      </c>
      <c r="AF5823" t="s">
        <v>10845</v>
      </c>
      <c r="AG5823" t="s">
        <v>10859</v>
      </c>
      <c r="AH5823" t="s">
        <v>10864</v>
      </c>
      <c r="AI5823">
        <v>236</v>
      </c>
      <c r="AJ5823" t="s">
        <v>10209</v>
      </c>
      <c r="AL5823">
        <v>0</v>
      </c>
      <c r="AM5823" t="s">
        <v>10884</v>
      </c>
      <c r="AN5823" t="s">
        <v>10931</v>
      </c>
      <c r="AO5823" t="s">
        <v>11000</v>
      </c>
      <c r="AP5823" t="s">
        <v>11045</v>
      </c>
      <c r="AQ5823" t="s">
        <v>11215</v>
      </c>
      <c r="AR5823" t="s">
        <v>11284</v>
      </c>
      <c r="AS5823" t="s">
        <v>9926</v>
      </c>
      <c r="AX5823" t="s">
        <v>10837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</row>
    <row r="5824" spans="1:59">
      <c r="A5824" s="1">
        <f>HYPERLINK("https://lsnyc.legalserver.org/matter/dynamic-profile/view/1910111","19-1910111")</f>
        <v>0</v>
      </c>
      <c r="B5824" t="s">
        <v>1648</v>
      </c>
      <c r="C5824" t="s">
        <v>9422</v>
      </c>
      <c r="D5824" t="s">
        <v>9938</v>
      </c>
      <c r="E5824" t="s">
        <v>10075</v>
      </c>
      <c r="F5824">
        <v>11434</v>
      </c>
      <c r="G5824" t="s">
        <v>10092</v>
      </c>
      <c r="H5824" t="s">
        <v>10162</v>
      </c>
      <c r="I5824" t="s">
        <v>10168</v>
      </c>
      <c r="J5824" t="s">
        <v>10212</v>
      </c>
      <c r="K5824" t="s">
        <v>10217</v>
      </c>
      <c r="M5824" t="s">
        <v>10610</v>
      </c>
      <c r="N5824" t="s">
        <v>10693</v>
      </c>
      <c r="P5824" t="s">
        <v>10749</v>
      </c>
      <c r="Q5824" t="s">
        <v>10765</v>
      </c>
      <c r="R5824" t="s">
        <v>10824</v>
      </c>
      <c r="T5824">
        <v>20800</v>
      </c>
      <c r="U5824">
        <v>1733.33</v>
      </c>
      <c r="V5824">
        <v>37</v>
      </c>
      <c r="W5824">
        <v>3</v>
      </c>
      <c r="X5824">
        <v>1</v>
      </c>
      <c r="Z5824">
        <v>80.78</v>
      </c>
      <c r="AA5824">
        <v>40.681286</v>
      </c>
      <c r="AB5824">
        <v>-73.791279</v>
      </c>
      <c r="AD5824" t="s">
        <v>10839</v>
      </c>
      <c r="AG5824" t="s">
        <v>10858</v>
      </c>
      <c r="AH5824" t="s">
        <v>10862</v>
      </c>
      <c r="AI5824">
        <v>237</v>
      </c>
      <c r="AJ5824" t="s">
        <v>10212</v>
      </c>
      <c r="AL5824">
        <v>1.6</v>
      </c>
      <c r="AM5824" t="s">
        <v>10892</v>
      </c>
      <c r="AN5824" t="s">
        <v>10951</v>
      </c>
      <c r="AO5824" t="s">
        <v>11017</v>
      </c>
      <c r="AP5824" t="s">
        <v>11070</v>
      </c>
      <c r="AR5824" t="s">
        <v>11257</v>
      </c>
      <c r="AS5824" t="s">
        <v>11594</v>
      </c>
      <c r="BA5824" t="s">
        <v>11738</v>
      </c>
      <c r="BB5824">
        <v>0</v>
      </c>
      <c r="BC5824">
        <v>0</v>
      </c>
      <c r="BD5824">
        <v>0</v>
      </c>
      <c r="BE5824">
        <v>0</v>
      </c>
      <c r="BF5824">
        <v>5</v>
      </c>
      <c r="BG5824">
        <v>0</v>
      </c>
    </row>
    <row r="5825" spans="1:59">
      <c r="A5825" s="1">
        <f>HYPERLINK("https://lsnyc.legalserver.org/matter/dynamic-profile/view/1910112","19-1910112")</f>
        <v>0</v>
      </c>
      <c r="B5825" t="s">
        <v>3544</v>
      </c>
      <c r="C5825" t="s">
        <v>9423</v>
      </c>
      <c r="D5825" t="s">
        <v>9926</v>
      </c>
      <c r="E5825" t="s">
        <v>10075</v>
      </c>
      <c r="F5825">
        <v>10457</v>
      </c>
      <c r="G5825" t="s">
        <v>10090</v>
      </c>
      <c r="H5825" t="s">
        <v>10162</v>
      </c>
      <c r="J5825" t="s">
        <v>10210</v>
      </c>
      <c r="K5825" t="s">
        <v>10217</v>
      </c>
      <c r="M5825" t="s">
        <v>10495</v>
      </c>
      <c r="N5825" t="s">
        <v>10658</v>
      </c>
      <c r="P5825" t="s">
        <v>10749</v>
      </c>
      <c r="Q5825" t="s">
        <v>10769</v>
      </c>
      <c r="R5825" t="s">
        <v>10821</v>
      </c>
      <c r="T5825">
        <v>75400</v>
      </c>
      <c r="U5825">
        <v>6283.33</v>
      </c>
      <c r="V5825">
        <v>58</v>
      </c>
      <c r="W5825">
        <v>1</v>
      </c>
      <c r="X5825">
        <v>1</v>
      </c>
      <c r="Z5825">
        <v>445.89</v>
      </c>
      <c r="AA5825">
        <v>40.845353</v>
      </c>
      <c r="AB5825">
        <v>-73.906856</v>
      </c>
      <c r="AD5825" t="s">
        <v>10839</v>
      </c>
      <c r="AG5825" t="s">
        <v>10858</v>
      </c>
      <c r="AH5825" t="s">
        <v>10860</v>
      </c>
      <c r="AI5825">
        <v>230</v>
      </c>
      <c r="AJ5825" t="s">
        <v>10210</v>
      </c>
      <c r="AL5825">
        <v>3.5</v>
      </c>
      <c r="AM5825" t="s">
        <v>10884</v>
      </c>
      <c r="AN5825" t="s">
        <v>10931</v>
      </c>
      <c r="AO5825" t="s">
        <v>11000</v>
      </c>
      <c r="AP5825" t="s">
        <v>11056</v>
      </c>
      <c r="AQ5825" t="s">
        <v>11242</v>
      </c>
      <c r="AR5825" t="s">
        <v>11356</v>
      </c>
      <c r="AS5825" t="s">
        <v>9926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</row>
    <row r="5826" spans="1:59">
      <c r="A5826" s="1">
        <f>HYPERLINK("https://lsnyc.legalserver.org/matter/dynamic-profile/view/1910113","19-1910113")</f>
        <v>0</v>
      </c>
      <c r="B5826" t="s">
        <v>3960</v>
      </c>
      <c r="C5826" t="s">
        <v>9424</v>
      </c>
      <c r="D5826" t="s">
        <v>9925</v>
      </c>
      <c r="E5826" t="s">
        <v>10075</v>
      </c>
      <c r="F5826">
        <v>10033</v>
      </c>
      <c r="G5826" t="s">
        <v>10089</v>
      </c>
      <c r="H5826" t="s">
        <v>10162</v>
      </c>
      <c r="I5826" t="s">
        <v>10168</v>
      </c>
      <c r="J5826" t="s">
        <v>10209</v>
      </c>
      <c r="K5826" t="s">
        <v>10217</v>
      </c>
      <c r="M5826" t="s">
        <v>10393</v>
      </c>
      <c r="N5826" t="s">
        <v>10650</v>
      </c>
      <c r="P5826" t="s">
        <v>10749</v>
      </c>
      <c r="Q5826" t="s">
        <v>10765</v>
      </c>
      <c r="R5826" t="s">
        <v>10820</v>
      </c>
      <c r="T5826">
        <v>16900</v>
      </c>
      <c r="U5826">
        <v>1408.33</v>
      </c>
      <c r="V5826">
        <v>35</v>
      </c>
      <c r="W5826">
        <v>1</v>
      </c>
      <c r="X5826">
        <v>0</v>
      </c>
      <c r="Z5826">
        <v>135.31</v>
      </c>
      <c r="AA5826">
        <v>40.848815</v>
      </c>
      <c r="AB5826">
        <v>-73.93311199999999</v>
      </c>
      <c r="AD5826" t="s">
        <v>10839</v>
      </c>
      <c r="AG5826" t="s">
        <v>10858</v>
      </c>
      <c r="AH5826" t="s">
        <v>10862</v>
      </c>
      <c r="AI5826">
        <v>236</v>
      </c>
      <c r="AJ5826" t="s">
        <v>10209</v>
      </c>
      <c r="AL5826">
        <v>0</v>
      </c>
      <c r="AM5826" t="s">
        <v>10887</v>
      </c>
      <c r="AN5826" t="s">
        <v>10937</v>
      </c>
      <c r="AO5826" t="s">
        <v>11019</v>
      </c>
      <c r="AP5826" t="s">
        <v>11074</v>
      </c>
      <c r="AR5826" t="s">
        <v>11257</v>
      </c>
      <c r="AS5826" t="s">
        <v>9925</v>
      </c>
      <c r="AT5826" t="s">
        <v>11641</v>
      </c>
      <c r="AX5826" t="s">
        <v>10838</v>
      </c>
      <c r="BA5826" t="s">
        <v>11740</v>
      </c>
      <c r="BB5826">
        <v>0</v>
      </c>
      <c r="BC5826">
        <v>0</v>
      </c>
      <c r="BD5826">
        <v>0</v>
      </c>
      <c r="BE5826">
        <v>0</v>
      </c>
      <c r="BF5826">
        <v>2</v>
      </c>
      <c r="BG5826">
        <v>0</v>
      </c>
    </row>
    <row r="5827" spans="1:59">
      <c r="A5827" s="1">
        <f>HYPERLINK("https://lsnyc.legalserver.org/matter/dynamic-profile/view/1910114","19-1910114")</f>
        <v>0</v>
      </c>
      <c r="B5827" t="s">
        <v>4034</v>
      </c>
      <c r="C5827" t="s">
        <v>5777</v>
      </c>
      <c r="D5827" t="s">
        <v>9925</v>
      </c>
      <c r="E5827" t="s">
        <v>10075</v>
      </c>
      <c r="F5827">
        <v>10040</v>
      </c>
      <c r="G5827" t="s">
        <v>10089</v>
      </c>
      <c r="H5827" t="s">
        <v>10162</v>
      </c>
      <c r="I5827" t="s">
        <v>10169</v>
      </c>
      <c r="J5827" t="s">
        <v>10209</v>
      </c>
      <c r="K5827" t="s">
        <v>10217</v>
      </c>
      <c r="M5827" t="s">
        <v>10381</v>
      </c>
      <c r="N5827" t="s">
        <v>10656</v>
      </c>
      <c r="P5827" t="s">
        <v>10751</v>
      </c>
      <c r="Q5827" t="s">
        <v>10780</v>
      </c>
      <c r="R5827" t="s">
        <v>10821</v>
      </c>
      <c r="T5827">
        <v>12396</v>
      </c>
      <c r="U5827">
        <v>1033</v>
      </c>
      <c r="V5827">
        <v>70</v>
      </c>
      <c r="W5827">
        <v>1</v>
      </c>
      <c r="X5827">
        <v>0</v>
      </c>
      <c r="Z5827">
        <v>99.25</v>
      </c>
      <c r="AA5827">
        <v>40.861784</v>
      </c>
      <c r="AB5827">
        <v>-73.926269</v>
      </c>
      <c r="AD5827" t="s">
        <v>10839</v>
      </c>
      <c r="AG5827" t="s">
        <v>10858</v>
      </c>
      <c r="AH5827" t="s">
        <v>10862</v>
      </c>
      <c r="AI5827">
        <v>236</v>
      </c>
      <c r="AJ5827" t="s">
        <v>10209</v>
      </c>
      <c r="AL5827">
        <v>0</v>
      </c>
      <c r="AR5827" t="s">
        <v>11392</v>
      </c>
      <c r="AS5827" t="s">
        <v>9925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</row>
    <row r="5828" spans="1:59">
      <c r="A5828" s="1">
        <f>HYPERLINK("https://lsnyc.legalserver.org/matter/dynamic-profile/view/1910115","19-1910115")</f>
        <v>0</v>
      </c>
      <c r="B5828" t="s">
        <v>4554</v>
      </c>
      <c r="C5828" t="s">
        <v>5625</v>
      </c>
      <c r="D5828" t="s">
        <v>9925</v>
      </c>
      <c r="E5828" t="s">
        <v>10075</v>
      </c>
      <c r="F5828">
        <v>10033</v>
      </c>
      <c r="G5828" t="s">
        <v>10089</v>
      </c>
      <c r="H5828" t="s">
        <v>10162</v>
      </c>
      <c r="J5828" t="s">
        <v>10209</v>
      </c>
      <c r="K5828" t="s">
        <v>10218</v>
      </c>
      <c r="L5828" t="s">
        <v>10162</v>
      </c>
      <c r="M5828" t="s">
        <v>10393</v>
      </c>
      <c r="N5828" t="s">
        <v>10650</v>
      </c>
      <c r="P5828" t="s">
        <v>10749</v>
      </c>
      <c r="Q5828" t="s">
        <v>10765</v>
      </c>
      <c r="R5828" t="s">
        <v>10821</v>
      </c>
      <c r="T5828">
        <v>52000</v>
      </c>
      <c r="U5828">
        <v>4333.33</v>
      </c>
      <c r="V5828">
        <v>82</v>
      </c>
      <c r="W5828">
        <v>2</v>
      </c>
      <c r="X5828">
        <v>1</v>
      </c>
      <c r="Y5828" t="s">
        <v>10830</v>
      </c>
      <c r="Z5828">
        <v>243.79</v>
      </c>
      <c r="AA5828">
        <v>40.848757</v>
      </c>
      <c r="AB5828">
        <v>-73.932974</v>
      </c>
      <c r="AD5828" t="s">
        <v>10840</v>
      </c>
      <c r="AG5828" t="s">
        <v>10858</v>
      </c>
      <c r="AH5828" t="s">
        <v>10862</v>
      </c>
      <c r="AI5828">
        <v>236</v>
      </c>
      <c r="AJ5828" t="s">
        <v>10209</v>
      </c>
      <c r="AK5828" t="s">
        <v>10838</v>
      </c>
      <c r="AL5828">
        <v>0.7</v>
      </c>
      <c r="AM5828" t="s">
        <v>10887</v>
      </c>
      <c r="AN5828" t="s">
        <v>10937</v>
      </c>
      <c r="AO5828" t="s">
        <v>11019</v>
      </c>
      <c r="AP5828" t="s">
        <v>11074</v>
      </c>
      <c r="AR5828" t="s">
        <v>11288</v>
      </c>
      <c r="AS5828" t="s">
        <v>9925</v>
      </c>
      <c r="AT5828" t="s">
        <v>11642</v>
      </c>
      <c r="AX5828" t="s">
        <v>10838</v>
      </c>
      <c r="AY5828" t="s">
        <v>10830</v>
      </c>
      <c r="AZ5828" t="s">
        <v>11697</v>
      </c>
      <c r="BA5828" t="s">
        <v>11740</v>
      </c>
      <c r="BB5828">
        <v>0</v>
      </c>
      <c r="BC5828">
        <v>0</v>
      </c>
      <c r="BD5828">
        <v>0</v>
      </c>
      <c r="BE5828">
        <v>0</v>
      </c>
      <c r="BF5828">
        <v>2</v>
      </c>
      <c r="BG5828">
        <v>0</v>
      </c>
    </row>
    <row r="5829" spans="1:59">
      <c r="A5829" s="1">
        <f>HYPERLINK("https://lsnyc.legalserver.org/matter/dynamic-profile/view/1910116","19-1910116")</f>
        <v>0</v>
      </c>
      <c r="B5829" t="s">
        <v>3893</v>
      </c>
      <c r="C5829" t="s">
        <v>8711</v>
      </c>
      <c r="D5829" t="s">
        <v>9926</v>
      </c>
      <c r="E5829" t="s">
        <v>10075</v>
      </c>
      <c r="F5829">
        <v>10465</v>
      </c>
      <c r="G5829" t="s">
        <v>10090</v>
      </c>
      <c r="H5829" t="s">
        <v>10162</v>
      </c>
      <c r="I5829" t="s">
        <v>10168</v>
      </c>
      <c r="J5829" t="s">
        <v>10210</v>
      </c>
      <c r="K5829" t="s">
        <v>10217</v>
      </c>
      <c r="M5829" t="s">
        <v>10540</v>
      </c>
      <c r="N5829" t="s">
        <v>10727</v>
      </c>
      <c r="P5829" t="s">
        <v>10753</v>
      </c>
      <c r="Q5829" t="s">
        <v>10809</v>
      </c>
      <c r="R5829" t="s">
        <v>10825</v>
      </c>
      <c r="T5829">
        <v>0</v>
      </c>
      <c r="U5829">
        <v>0</v>
      </c>
      <c r="V5829">
        <v>32</v>
      </c>
      <c r="W5829">
        <v>1</v>
      </c>
      <c r="X5829">
        <v>2</v>
      </c>
      <c r="Z5829">
        <v>0</v>
      </c>
      <c r="AA5829">
        <v>40.828112</v>
      </c>
      <c r="AB5829">
        <v>-73.82235900000001</v>
      </c>
      <c r="AD5829" t="s">
        <v>10839</v>
      </c>
      <c r="AG5829" t="s">
        <v>10858</v>
      </c>
      <c r="AH5829" t="s">
        <v>10861</v>
      </c>
      <c r="AI5829">
        <v>230</v>
      </c>
      <c r="AJ5829" t="s">
        <v>10210</v>
      </c>
      <c r="AL5829">
        <v>1.6</v>
      </c>
      <c r="AM5829" t="s">
        <v>10885</v>
      </c>
      <c r="AN5829" t="s">
        <v>10911</v>
      </c>
      <c r="AO5829" t="s">
        <v>11002</v>
      </c>
      <c r="AP5829" t="s">
        <v>11049</v>
      </c>
      <c r="AQ5829" t="s">
        <v>11180</v>
      </c>
      <c r="AR5829" t="s">
        <v>11279</v>
      </c>
      <c r="AS5829" t="s">
        <v>9926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</row>
    <row r="5830" spans="1:59">
      <c r="A5830" s="1">
        <f>HYPERLINK("https://lsnyc.legalserver.org/matter/dynamic-profile/view/1910117","19-1910117")</f>
        <v>0</v>
      </c>
      <c r="B5830" t="s">
        <v>4555</v>
      </c>
      <c r="C5830" t="s">
        <v>9425</v>
      </c>
      <c r="D5830" t="s">
        <v>9938</v>
      </c>
      <c r="E5830" t="s">
        <v>10075</v>
      </c>
      <c r="F5830">
        <v>11434</v>
      </c>
      <c r="G5830" t="s">
        <v>10092</v>
      </c>
      <c r="H5830" t="s">
        <v>10162</v>
      </c>
      <c r="I5830" t="s">
        <v>10168</v>
      </c>
      <c r="J5830" t="s">
        <v>10212</v>
      </c>
      <c r="K5830" t="s">
        <v>10217</v>
      </c>
      <c r="M5830" t="s">
        <v>10428</v>
      </c>
      <c r="N5830" t="s">
        <v>10693</v>
      </c>
      <c r="P5830" t="s">
        <v>10749</v>
      </c>
      <c r="Q5830" t="s">
        <v>10765</v>
      </c>
      <c r="R5830" t="s">
        <v>10825</v>
      </c>
      <c r="T5830">
        <v>7560</v>
      </c>
      <c r="U5830">
        <v>630</v>
      </c>
      <c r="V5830">
        <v>69</v>
      </c>
      <c r="W5830">
        <v>1</v>
      </c>
      <c r="X5830">
        <v>0</v>
      </c>
      <c r="Z5830">
        <v>60.53</v>
      </c>
      <c r="AA5830">
        <v>40.673556</v>
      </c>
      <c r="AB5830">
        <v>-73.774666</v>
      </c>
      <c r="AD5830" t="s">
        <v>10840</v>
      </c>
      <c r="AG5830" t="s">
        <v>10858</v>
      </c>
      <c r="AH5830" t="s">
        <v>10862</v>
      </c>
      <c r="AI5830">
        <v>237</v>
      </c>
      <c r="AJ5830" t="s">
        <v>10212</v>
      </c>
      <c r="AL5830">
        <v>0.7</v>
      </c>
      <c r="AM5830" t="s">
        <v>10892</v>
      </c>
      <c r="AN5830" t="s">
        <v>10951</v>
      </c>
      <c r="AO5830" t="s">
        <v>11017</v>
      </c>
      <c r="AP5830" t="s">
        <v>11070</v>
      </c>
      <c r="AR5830" t="s">
        <v>11263</v>
      </c>
      <c r="AS5830" t="s">
        <v>11594</v>
      </c>
      <c r="BA5830" t="s">
        <v>11738</v>
      </c>
      <c r="BB5830">
        <v>0</v>
      </c>
      <c r="BC5830">
        <v>0</v>
      </c>
      <c r="BD5830">
        <v>0</v>
      </c>
      <c r="BE5830">
        <v>0</v>
      </c>
      <c r="BF5830">
        <v>5</v>
      </c>
      <c r="BG5830">
        <v>0</v>
      </c>
    </row>
    <row r="5831" spans="1:59">
      <c r="A5831" s="1">
        <f>HYPERLINK("https://lsnyc.legalserver.org/matter/dynamic-profile/view/1910118","19-1910118")</f>
        <v>0</v>
      </c>
      <c r="B5831" t="s">
        <v>4556</v>
      </c>
      <c r="C5831" t="s">
        <v>9426</v>
      </c>
      <c r="D5831" t="s">
        <v>9938</v>
      </c>
      <c r="E5831" t="s">
        <v>10075</v>
      </c>
      <c r="F5831">
        <v>11433</v>
      </c>
      <c r="G5831" t="s">
        <v>10092</v>
      </c>
      <c r="H5831" t="s">
        <v>10162</v>
      </c>
      <c r="I5831" t="s">
        <v>10168</v>
      </c>
      <c r="J5831" t="s">
        <v>10212</v>
      </c>
      <c r="K5831" t="s">
        <v>10217</v>
      </c>
      <c r="M5831" t="s">
        <v>10335</v>
      </c>
      <c r="N5831" t="s">
        <v>10693</v>
      </c>
      <c r="P5831" t="s">
        <v>10749</v>
      </c>
      <c r="Q5831" t="s">
        <v>10765</v>
      </c>
      <c r="R5831" t="s">
        <v>10827</v>
      </c>
      <c r="T5831">
        <v>18240</v>
      </c>
      <c r="U5831">
        <v>1520</v>
      </c>
      <c r="V5831">
        <v>40</v>
      </c>
      <c r="W5831">
        <v>2</v>
      </c>
      <c r="X5831">
        <v>4</v>
      </c>
      <c r="Z5831">
        <v>52.73</v>
      </c>
      <c r="AA5831">
        <v>40.707459</v>
      </c>
      <c r="AB5831">
        <v>-73.78591299999999</v>
      </c>
      <c r="AD5831" t="s">
        <v>10839</v>
      </c>
      <c r="AF5831" t="s">
        <v>10843</v>
      </c>
      <c r="AG5831" t="s">
        <v>10859</v>
      </c>
      <c r="AH5831" t="s">
        <v>10862</v>
      </c>
      <c r="AI5831">
        <v>237</v>
      </c>
      <c r="AJ5831" t="s">
        <v>10212</v>
      </c>
      <c r="AL5831">
        <v>0.9</v>
      </c>
      <c r="AM5831" t="s">
        <v>10892</v>
      </c>
      <c r="AN5831" t="s">
        <v>10955</v>
      </c>
      <c r="AO5831" t="s">
        <v>11020</v>
      </c>
      <c r="AP5831" t="s">
        <v>11075</v>
      </c>
      <c r="AR5831" t="s">
        <v>11257</v>
      </c>
      <c r="AS5831" t="s">
        <v>11594</v>
      </c>
      <c r="BA5831" t="s">
        <v>11742</v>
      </c>
      <c r="BB5831">
        <v>0</v>
      </c>
      <c r="BC5831">
        <v>0</v>
      </c>
      <c r="BD5831">
        <v>0</v>
      </c>
      <c r="BE5831">
        <v>0</v>
      </c>
      <c r="BF5831">
        <v>7</v>
      </c>
      <c r="BG5831">
        <v>0</v>
      </c>
    </row>
    <row r="5832" spans="1:59">
      <c r="A5832" s="1">
        <f>HYPERLINK("https://lsnyc.legalserver.org/matter/dynamic-profile/view/1910119","19-1910119")</f>
        <v>0</v>
      </c>
      <c r="B5832" t="s">
        <v>4557</v>
      </c>
      <c r="C5832" t="s">
        <v>9424</v>
      </c>
      <c r="D5832" t="s">
        <v>9925</v>
      </c>
      <c r="E5832" t="s">
        <v>10075</v>
      </c>
      <c r="F5832">
        <v>10033</v>
      </c>
      <c r="G5832" t="s">
        <v>10089</v>
      </c>
      <c r="H5832" t="s">
        <v>10162</v>
      </c>
      <c r="I5832" t="s">
        <v>10169</v>
      </c>
      <c r="J5832" t="s">
        <v>10209</v>
      </c>
      <c r="K5832" t="s">
        <v>10217</v>
      </c>
      <c r="M5832" t="s">
        <v>10604</v>
      </c>
      <c r="N5832" t="s">
        <v>10650</v>
      </c>
      <c r="P5832" t="s">
        <v>10749</v>
      </c>
      <c r="Q5832" t="s">
        <v>10765</v>
      </c>
      <c r="R5832" t="s">
        <v>10821</v>
      </c>
      <c r="T5832">
        <v>5808</v>
      </c>
      <c r="U5832">
        <v>484</v>
      </c>
      <c r="V5832">
        <v>66</v>
      </c>
      <c r="W5832">
        <v>2</v>
      </c>
      <c r="X5832">
        <v>0</v>
      </c>
      <c r="Z5832">
        <v>34.35</v>
      </c>
      <c r="AA5832">
        <v>40.848815</v>
      </c>
      <c r="AB5832">
        <v>-73.93311199999999</v>
      </c>
      <c r="AD5832" t="s">
        <v>10839</v>
      </c>
      <c r="AG5832" t="s">
        <v>10858</v>
      </c>
      <c r="AH5832" t="s">
        <v>10862</v>
      </c>
      <c r="AI5832">
        <v>236</v>
      </c>
      <c r="AJ5832" t="s">
        <v>10209</v>
      </c>
      <c r="AL5832">
        <v>0</v>
      </c>
      <c r="AM5832" t="s">
        <v>10887</v>
      </c>
      <c r="AN5832" t="s">
        <v>10937</v>
      </c>
      <c r="AO5832" t="s">
        <v>11019</v>
      </c>
      <c r="AP5832" t="s">
        <v>11074</v>
      </c>
      <c r="AR5832" t="s">
        <v>11268</v>
      </c>
      <c r="AS5832" t="s">
        <v>9925</v>
      </c>
      <c r="AT5832" t="s">
        <v>11641</v>
      </c>
      <c r="AX5832" t="s">
        <v>10838</v>
      </c>
      <c r="BA5832" t="s">
        <v>11740</v>
      </c>
      <c r="BB5832">
        <v>0</v>
      </c>
      <c r="BC5832">
        <v>0</v>
      </c>
      <c r="BD5832">
        <v>0</v>
      </c>
      <c r="BE5832">
        <v>0</v>
      </c>
      <c r="BF5832">
        <v>2</v>
      </c>
      <c r="BG5832">
        <v>0</v>
      </c>
    </row>
    <row r="5833" spans="1:59">
      <c r="A5833" s="1">
        <f>HYPERLINK("https://lsnyc.legalserver.org/matter/dynamic-profile/view/1910120","19-1910120")</f>
        <v>0</v>
      </c>
      <c r="B5833" t="s">
        <v>4558</v>
      </c>
      <c r="C5833" t="s">
        <v>9427</v>
      </c>
      <c r="D5833" t="s">
        <v>9928</v>
      </c>
      <c r="E5833" t="s">
        <v>10075</v>
      </c>
      <c r="F5833">
        <v>11226</v>
      </c>
      <c r="G5833" t="s">
        <v>10093</v>
      </c>
      <c r="H5833" t="s">
        <v>10162</v>
      </c>
      <c r="I5833" t="s">
        <v>10168</v>
      </c>
      <c r="J5833" t="s">
        <v>10213</v>
      </c>
      <c r="K5833" t="s">
        <v>10217</v>
      </c>
      <c r="M5833" t="s">
        <v>10621</v>
      </c>
      <c r="N5833" t="s">
        <v>10664</v>
      </c>
      <c r="P5833" t="s">
        <v>10749</v>
      </c>
      <c r="Q5833" t="s">
        <v>10765</v>
      </c>
      <c r="R5833" t="s">
        <v>10824</v>
      </c>
      <c r="T5833">
        <v>9816</v>
      </c>
      <c r="U5833">
        <v>818</v>
      </c>
      <c r="V5833">
        <v>55</v>
      </c>
      <c r="W5833">
        <v>2</v>
      </c>
      <c r="X5833">
        <v>0</v>
      </c>
      <c r="Z5833">
        <v>58.05</v>
      </c>
      <c r="AA5833">
        <v>40.65249</v>
      </c>
      <c r="AB5833">
        <v>-73.963733</v>
      </c>
      <c r="AD5833" t="s">
        <v>10839</v>
      </c>
      <c r="AG5833" t="s">
        <v>10858</v>
      </c>
      <c r="AH5833" t="s">
        <v>10862</v>
      </c>
      <c r="AI5833">
        <v>239</v>
      </c>
      <c r="AJ5833" t="s">
        <v>10213</v>
      </c>
      <c r="AL5833">
        <v>0.5</v>
      </c>
      <c r="AM5833" t="s">
        <v>10888</v>
      </c>
      <c r="AN5833" t="s">
        <v>10932</v>
      </c>
      <c r="AO5833" t="s">
        <v>11008</v>
      </c>
      <c r="AP5833" t="s">
        <v>11050</v>
      </c>
      <c r="AR5833" t="s">
        <v>11432</v>
      </c>
      <c r="AS5833" t="s">
        <v>11595</v>
      </c>
      <c r="BA5833" t="s">
        <v>11740</v>
      </c>
      <c r="BB5833">
        <v>0</v>
      </c>
      <c r="BC5833">
        <v>0</v>
      </c>
      <c r="BD5833">
        <v>0</v>
      </c>
      <c r="BE5833">
        <v>0</v>
      </c>
      <c r="BF5833">
        <v>2</v>
      </c>
      <c r="BG5833">
        <v>0</v>
      </c>
    </row>
    <row r="5834" spans="1:59">
      <c r="A5834" s="1">
        <f>HYPERLINK("https://lsnyc.legalserver.org/matter/dynamic-profile/view/1910121","19-1910121")</f>
        <v>0</v>
      </c>
      <c r="B5834" t="s">
        <v>4559</v>
      </c>
      <c r="C5834" t="s">
        <v>9428</v>
      </c>
      <c r="D5834" t="s">
        <v>9926</v>
      </c>
      <c r="E5834" t="s">
        <v>10075</v>
      </c>
      <c r="F5834">
        <v>10463</v>
      </c>
      <c r="G5834" t="s">
        <v>10090</v>
      </c>
      <c r="H5834" t="s">
        <v>10162</v>
      </c>
      <c r="I5834" t="s">
        <v>10169</v>
      </c>
      <c r="J5834" t="s">
        <v>10210</v>
      </c>
      <c r="K5834" t="s">
        <v>10217</v>
      </c>
      <c r="M5834" t="s">
        <v>10622</v>
      </c>
      <c r="N5834" t="s">
        <v>10650</v>
      </c>
      <c r="P5834" t="s">
        <v>10749</v>
      </c>
      <c r="Q5834" t="s">
        <v>10765</v>
      </c>
      <c r="R5834" t="s">
        <v>10821</v>
      </c>
      <c r="T5834">
        <v>185484</v>
      </c>
      <c r="U5834">
        <v>15457</v>
      </c>
      <c r="V5834">
        <v>61</v>
      </c>
      <c r="W5834">
        <v>2</v>
      </c>
      <c r="X5834">
        <v>0</v>
      </c>
      <c r="Z5834">
        <v>1096.89</v>
      </c>
      <c r="AA5834">
        <v>40.870304</v>
      </c>
      <c r="AB5834">
        <v>-73.906243</v>
      </c>
      <c r="AD5834" t="s">
        <v>10839</v>
      </c>
      <c r="AG5834" t="s">
        <v>10858</v>
      </c>
      <c r="AH5834" t="s">
        <v>10862</v>
      </c>
      <c r="AI5834">
        <v>230</v>
      </c>
      <c r="AJ5834" t="s">
        <v>10210</v>
      </c>
      <c r="AL5834">
        <v>0</v>
      </c>
      <c r="AM5834" t="s">
        <v>10887</v>
      </c>
      <c r="AN5834" t="s">
        <v>10931</v>
      </c>
      <c r="AO5834" t="s">
        <v>11000</v>
      </c>
      <c r="AP5834" t="s">
        <v>11045</v>
      </c>
      <c r="AR5834" t="s">
        <v>11287</v>
      </c>
      <c r="AS5834" t="s">
        <v>9926</v>
      </c>
      <c r="BA5834" t="s">
        <v>11740</v>
      </c>
      <c r="BB5834">
        <v>0</v>
      </c>
      <c r="BC5834">
        <v>0</v>
      </c>
      <c r="BD5834">
        <v>0</v>
      </c>
      <c r="BE5834">
        <v>0</v>
      </c>
      <c r="BF5834">
        <v>2</v>
      </c>
      <c r="BG5834">
        <v>0</v>
      </c>
    </row>
    <row r="5835" spans="1:59">
      <c r="A5835" s="1">
        <f>HYPERLINK("https://lsnyc.legalserver.org/matter/dynamic-profile/view/1910123","19-1910123")</f>
        <v>0</v>
      </c>
      <c r="B5835" t="s">
        <v>3791</v>
      </c>
      <c r="C5835" t="s">
        <v>9429</v>
      </c>
      <c r="D5835" t="s">
        <v>9927</v>
      </c>
      <c r="E5835" t="s">
        <v>10075</v>
      </c>
      <c r="F5835">
        <v>11377</v>
      </c>
      <c r="G5835" t="s">
        <v>10092</v>
      </c>
      <c r="H5835" t="s">
        <v>10162</v>
      </c>
      <c r="I5835" t="s">
        <v>10168</v>
      </c>
      <c r="J5835" t="s">
        <v>10212</v>
      </c>
      <c r="K5835" t="s">
        <v>10217</v>
      </c>
      <c r="M5835" t="s">
        <v>10260</v>
      </c>
      <c r="N5835" t="s">
        <v>10665</v>
      </c>
      <c r="P5835" t="s">
        <v>10751</v>
      </c>
      <c r="Q5835" t="s">
        <v>10773</v>
      </c>
      <c r="R5835" t="s">
        <v>10820</v>
      </c>
      <c r="T5835">
        <v>0</v>
      </c>
      <c r="U5835">
        <v>0</v>
      </c>
      <c r="V5835">
        <v>54</v>
      </c>
      <c r="W5835">
        <v>1</v>
      </c>
      <c r="X5835">
        <v>0</v>
      </c>
      <c r="Z5835">
        <v>0</v>
      </c>
      <c r="AA5835">
        <v>40.738853</v>
      </c>
      <c r="AB5835">
        <v>-73.904077</v>
      </c>
      <c r="AD5835" t="s">
        <v>10840</v>
      </c>
      <c r="AG5835" t="s">
        <v>10858</v>
      </c>
      <c r="AH5835" t="s">
        <v>10861</v>
      </c>
      <c r="AI5835">
        <v>234</v>
      </c>
      <c r="AJ5835" t="s">
        <v>10214</v>
      </c>
      <c r="AL5835">
        <v>4</v>
      </c>
      <c r="AR5835" t="s">
        <v>11267</v>
      </c>
      <c r="AS5835" t="s">
        <v>11594</v>
      </c>
      <c r="AT5835" t="s">
        <v>11642</v>
      </c>
      <c r="AX5835" t="s">
        <v>10838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</row>
    <row r="5836" spans="1:59">
      <c r="A5836" s="1">
        <f>HYPERLINK("https://lsnyc.legalserver.org/matter/dynamic-profile/view/1910124","19-1910124")</f>
        <v>0</v>
      </c>
      <c r="B5836" t="s">
        <v>4560</v>
      </c>
      <c r="C5836" t="s">
        <v>9430</v>
      </c>
      <c r="D5836" t="s">
        <v>9928</v>
      </c>
      <c r="E5836" t="s">
        <v>10075</v>
      </c>
      <c r="F5836">
        <v>11206</v>
      </c>
      <c r="G5836" t="s">
        <v>10093</v>
      </c>
      <c r="H5836" t="s">
        <v>10162</v>
      </c>
      <c r="I5836" t="s">
        <v>10168</v>
      </c>
      <c r="J5836" t="s">
        <v>10213</v>
      </c>
      <c r="K5836" t="s">
        <v>10217</v>
      </c>
      <c r="M5836" t="s">
        <v>10414</v>
      </c>
      <c r="N5836" t="s">
        <v>10671</v>
      </c>
      <c r="P5836" t="s">
        <v>10754</v>
      </c>
      <c r="Q5836" t="s">
        <v>10784</v>
      </c>
      <c r="R5836" t="s">
        <v>10824</v>
      </c>
      <c r="T5836">
        <v>0</v>
      </c>
      <c r="U5836">
        <v>0</v>
      </c>
      <c r="V5836">
        <v>62</v>
      </c>
      <c r="W5836">
        <v>1</v>
      </c>
      <c r="X5836">
        <v>0</v>
      </c>
      <c r="Z5836">
        <v>0</v>
      </c>
      <c r="AA5836">
        <v>40.69864</v>
      </c>
      <c r="AB5836">
        <v>-73.95176600000001</v>
      </c>
      <c r="AC5836" t="s">
        <v>10837</v>
      </c>
      <c r="AD5836" t="s">
        <v>10840</v>
      </c>
      <c r="AG5836" t="s">
        <v>10858</v>
      </c>
      <c r="AH5836" t="s">
        <v>10861</v>
      </c>
      <c r="AI5836">
        <v>234</v>
      </c>
      <c r="AJ5836" t="s">
        <v>10214</v>
      </c>
      <c r="AL5836">
        <v>4.3</v>
      </c>
      <c r="AM5836" t="s">
        <v>10886</v>
      </c>
      <c r="AN5836" t="s">
        <v>10914</v>
      </c>
      <c r="AO5836" t="s">
        <v>11011</v>
      </c>
      <c r="AP5836" t="s">
        <v>11052</v>
      </c>
      <c r="AR5836" t="s">
        <v>11267</v>
      </c>
      <c r="AS5836" t="s">
        <v>11595</v>
      </c>
      <c r="AT5836" t="s">
        <v>11642</v>
      </c>
      <c r="AX5836" t="s">
        <v>10838</v>
      </c>
      <c r="BA5836" t="s">
        <v>11738</v>
      </c>
      <c r="BB5836">
        <v>0</v>
      </c>
      <c r="BC5836">
        <v>0</v>
      </c>
      <c r="BD5836">
        <v>0</v>
      </c>
      <c r="BE5836">
        <v>0</v>
      </c>
      <c r="BF5836">
        <v>5</v>
      </c>
      <c r="BG5836">
        <v>0</v>
      </c>
    </row>
    <row r="5837" spans="1:59">
      <c r="A5837" s="1">
        <f>HYPERLINK("https://lsnyc.legalserver.org/matter/dynamic-profile/view/1910125","19-1910125")</f>
        <v>0</v>
      </c>
      <c r="B5837" t="s">
        <v>595</v>
      </c>
      <c r="C5837" t="s">
        <v>9431</v>
      </c>
      <c r="D5837" t="s">
        <v>9936</v>
      </c>
      <c r="E5837" t="s">
        <v>10075</v>
      </c>
      <c r="F5837">
        <v>11105</v>
      </c>
      <c r="G5837" t="s">
        <v>10092</v>
      </c>
      <c r="H5837" t="s">
        <v>10162</v>
      </c>
      <c r="J5837" t="s">
        <v>10212</v>
      </c>
      <c r="K5837" t="s">
        <v>10217</v>
      </c>
      <c r="M5837" t="s">
        <v>10343</v>
      </c>
      <c r="N5837" t="s">
        <v>10695</v>
      </c>
      <c r="P5837" t="s">
        <v>10749</v>
      </c>
      <c r="Q5837" t="s">
        <v>10765</v>
      </c>
      <c r="R5837" t="s">
        <v>10820</v>
      </c>
      <c r="T5837">
        <v>0</v>
      </c>
      <c r="U5837">
        <v>0</v>
      </c>
      <c r="V5837">
        <v>62</v>
      </c>
      <c r="W5837">
        <v>2</v>
      </c>
      <c r="X5837">
        <v>1</v>
      </c>
      <c r="Z5837">
        <v>0</v>
      </c>
      <c r="AA5837">
        <v>40.778274</v>
      </c>
      <c r="AB5837">
        <v>-73.920732</v>
      </c>
      <c r="AD5837" t="s">
        <v>10840</v>
      </c>
      <c r="AG5837" t="s">
        <v>10858</v>
      </c>
      <c r="AH5837" t="s">
        <v>10862</v>
      </c>
      <c r="AI5837">
        <v>237</v>
      </c>
      <c r="AJ5837" t="s">
        <v>10212</v>
      </c>
      <c r="AL5837">
        <v>2.15</v>
      </c>
      <c r="AM5837" t="s">
        <v>10885</v>
      </c>
      <c r="AN5837" t="s">
        <v>10954</v>
      </c>
      <c r="AO5837" t="s">
        <v>11003</v>
      </c>
      <c r="AP5837" t="s">
        <v>11084</v>
      </c>
      <c r="AR5837" t="s">
        <v>11279</v>
      </c>
      <c r="AS5837" t="s">
        <v>11594</v>
      </c>
      <c r="AT5837" t="s">
        <v>11642</v>
      </c>
      <c r="AX5837" t="s">
        <v>10838</v>
      </c>
      <c r="BA5837" t="s">
        <v>11741</v>
      </c>
      <c r="BB5837">
        <v>0</v>
      </c>
      <c r="BC5837">
        <v>0</v>
      </c>
      <c r="BD5837">
        <v>0</v>
      </c>
      <c r="BE5837">
        <v>0</v>
      </c>
      <c r="BF5837">
        <v>1</v>
      </c>
      <c r="BG5837">
        <v>0</v>
      </c>
    </row>
    <row r="5838" spans="1:59">
      <c r="A5838" s="1">
        <f>HYPERLINK("https://lsnyc.legalserver.org/matter/dynamic-profile/view/1910126","19-1910126")</f>
        <v>0</v>
      </c>
      <c r="B5838" t="s">
        <v>4560</v>
      </c>
      <c r="C5838" t="s">
        <v>9430</v>
      </c>
      <c r="D5838" t="s">
        <v>9928</v>
      </c>
      <c r="E5838" t="s">
        <v>10075</v>
      </c>
      <c r="F5838">
        <v>11206</v>
      </c>
      <c r="G5838" t="s">
        <v>10089</v>
      </c>
      <c r="H5838" t="s">
        <v>10162</v>
      </c>
      <c r="I5838" t="s">
        <v>10168</v>
      </c>
      <c r="J5838" t="s">
        <v>10209</v>
      </c>
      <c r="K5838" t="s">
        <v>10217</v>
      </c>
      <c r="M5838" t="s">
        <v>10529</v>
      </c>
      <c r="N5838" t="s">
        <v>10671</v>
      </c>
      <c r="P5838" t="s">
        <v>10751</v>
      </c>
      <c r="Q5838" t="s">
        <v>10780</v>
      </c>
      <c r="R5838" t="s">
        <v>10824</v>
      </c>
      <c r="T5838">
        <v>0</v>
      </c>
      <c r="U5838">
        <v>0</v>
      </c>
      <c r="V5838">
        <v>62</v>
      </c>
      <c r="W5838">
        <v>1</v>
      </c>
      <c r="X5838">
        <v>0</v>
      </c>
      <c r="Z5838">
        <v>0</v>
      </c>
      <c r="AA5838">
        <v>40.69864</v>
      </c>
      <c r="AB5838">
        <v>-73.95176600000001</v>
      </c>
      <c r="AC5838" t="s">
        <v>10837</v>
      </c>
      <c r="AD5838" t="s">
        <v>10840</v>
      </c>
      <c r="AG5838" t="s">
        <v>10858</v>
      </c>
      <c r="AH5838" t="s">
        <v>10861</v>
      </c>
      <c r="AI5838">
        <v>234</v>
      </c>
      <c r="AJ5838" t="s">
        <v>10214</v>
      </c>
      <c r="AL5838">
        <v>0.75</v>
      </c>
      <c r="AR5838" t="s">
        <v>11267</v>
      </c>
      <c r="AS5838" t="s">
        <v>11595</v>
      </c>
      <c r="AT5838" t="s">
        <v>11642</v>
      </c>
      <c r="AX5838" t="s">
        <v>10838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</row>
    <row r="5839" spans="1:59">
      <c r="A5839" s="1">
        <f>HYPERLINK("https://lsnyc.legalserver.org/matter/dynamic-profile/view/1910127","19-1910127")</f>
        <v>0</v>
      </c>
      <c r="B5839" t="s">
        <v>4561</v>
      </c>
      <c r="C5839" t="s">
        <v>9432</v>
      </c>
      <c r="D5839" t="s">
        <v>9938</v>
      </c>
      <c r="E5839" t="s">
        <v>10075</v>
      </c>
      <c r="F5839">
        <v>11435</v>
      </c>
      <c r="G5839" t="s">
        <v>10093</v>
      </c>
      <c r="H5839" t="s">
        <v>10119</v>
      </c>
      <c r="I5839" t="s">
        <v>10168</v>
      </c>
      <c r="J5839" t="s">
        <v>10213</v>
      </c>
      <c r="K5839" t="s">
        <v>10217</v>
      </c>
      <c r="M5839" t="s">
        <v>10420</v>
      </c>
      <c r="N5839" t="s">
        <v>10673</v>
      </c>
      <c r="P5839" t="s">
        <v>10753</v>
      </c>
      <c r="Q5839" t="s">
        <v>10763</v>
      </c>
      <c r="R5839" t="s">
        <v>10824</v>
      </c>
      <c r="T5839">
        <v>0</v>
      </c>
      <c r="U5839">
        <v>0</v>
      </c>
      <c r="V5839">
        <v>43</v>
      </c>
      <c r="W5839">
        <v>1</v>
      </c>
      <c r="X5839">
        <v>2</v>
      </c>
      <c r="Z5839">
        <v>0</v>
      </c>
      <c r="AA5839">
        <v>40.68734</v>
      </c>
      <c r="AB5839">
        <v>-73.803411</v>
      </c>
      <c r="AD5839" t="s">
        <v>10839</v>
      </c>
      <c r="AF5839" t="s">
        <v>10844</v>
      </c>
      <c r="AG5839" t="s">
        <v>10859</v>
      </c>
      <c r="AH5839" t="s">
        <v>10864</v>
      </c>
      <c r="AI5839">
        <v>239</v>
      </c>
      <c r="AJ5839" t="s">
        <v>10213</v>
      </c>
      <c r="AL5839">
        <v>0.3</v>
      </c>
      <c r="AM5839" t="s">
        <v>10892</v>
      </c>
      <c r="AN5839" t="s">
        <v>10951</v>
      </c>
      <c r="AO5839" t="s">
        <v>11017</v>
      </c>
      <c r="AP5839" t="s">
        <v>11070</v>
      </c>
      <c r="AQ5839" t="s">
        <v>11109</v>
      </c>
      <c r="AR5839" t="s">
        <v>11279</v>
      </c>
      <c r="AS5839" t="s">
        <v>11594</v>
      </c>
      <c r="AX5839" t="s">
        <v>10838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</row>
    <row r="5840" spans="1:59">
      <c r="A5840" s="1">
        <f>HYPERLINK("https://lsnyc.legalserver.org/matter/dynamic-profile/view/1910128","19-1910128")</f>
        <v>0</v>
      </c>
      <c r="B5840" t="s">
        <v>770</v>
      </c>
      <c r="C5840" t="s">
        <v>5672</v>
      </c>
      <c r="D5840" t="s">
        <v>9931</v>
      </c>
      <c r="E5840" t="s">
        <v>10075</v>
      </c>
      <c r="F5840">
        <v>11367</v>
      </c>
      <c r="G5840" t="s">
        <v>10091</v>
      </c>
      <c r="H5840" t="s">
        <v>10101</v>
      </c>
      <c r="I5840" t="s">
        <v>10168</v>
      </c>
      <c r="J5840" t="s">
        <v>10211</v>
      </c>
      <c r="K5840" t="s">
        <v>10217</v>
      </c>
      <c r="M5840" t="s">
        <v>10231</v>
      </c>
      <c r="N5840" t="s">
        <v>10647</v>
      </c>
      <c r="P5840" t="s">
        <v>10752</v>
      </c>
      <c r="Q5840" t="s">
        <v>10762</v>
      </c>
      <c r="R5840" t="s">
        <v>10822</v>
      </c>
      <c r="T5840">
        <v>41859.96</v>
      </c>
      <c r="U5840">
        <v>3488.33</v>
      </c>
      <c r="V5840">
        <v>52</v>
      </c>
      <c r="W5840">
        <v>1</v>
      </c>
      <c r="X5840">
        <v>0</v>
      </c>
      <c r="Z5840">
        <v>335.15</v>
      </c>
      <c r="AA5840">
        <v>40.725667</v>
      </c>
      <c r="AB5840">
        <v>-73.828283</v>
      </c>
      <c r="AD5840" t="s">
        <v>10839</v>
      </c>
      <c r="AG5840" t="s">
        <v>10858</v>
      </c>
      <c r="AH5840" t="s">
        <v>10861</v>
      </c>
      <c r="AI5840">
        <v>235</v>
      </c>
      <c r="AJ5840" t="s">
        <v>10211</v>
      </c>
      <c r="AL5840">
        <v>4.5</v>
      </c>
      <c r="AM5840" t="s">
        <v>10890</v>
      </c>
      <c r="AN5840" t="s">
        <v>10962</v>
      </c>
      <c r="AO5840" t="s">
        <v>11009</v>
      </c>
      <c r="AP5840" t="s">
        <v>11081</v>
      </c>
      <c r="AR5840" t="s">
        <v>11257</v>
      </c>
      <c r="AS5840" t="s">
        <v>11594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</row>
    <row r="5841" spans="1:59">
      <c r="A5841" s="1">
        <f>HYPERLINK("https://lsnyc.legalserver.org/matter/dynamic-profile/view/1910129","19-1910129")</f>
        <v>0</v>
      </c>
      <c r="B5841" t="s">
        <v>4562</v>
      </c>
      <c r="C5841" t="s">
        <v>6844</v>
      </c>
      <c r="D5841" t="s">
        <v>9925</v>
      </c>
      <c r="E5841" t="s">
        <v>10075</v>
      </c>
      <c r="F5841">
        <v>10032</v>
      </c>
      <c r="G5841" t="s">
        <v>10089</v>
      </c>
      <c r="H5841" t="s">
        <v>10162</v>
      </c>
      <c r="I5841" t="s">
        <v>10168</v>
      </c>
      <c r="J5841" t="s">
        <v>10209</v>
      </c>
      <c r="K5841" t="s">
        <v>10217</v>
      </c>
      <c r="M5841" t="s">
        <v>10483</v>
      </c>
      <c r="N5841" t="s">
        <v>10650</v>
      </c>
      <c r="P5841" t="s">
        <v>10749</v>
      </c>
      <c r="Q5841" t="s">
        <v>10765</v>
      </c>
      <c r="R5841" t="s">
        <v>10820</v>
      </c>
      <c r="T5841">
        <v>330000</v>
      </c>
      <c r="U5841">
        <v>27500</v>
      </c>
      <c r="V5841">
        <v>31</v>
      </c>
      <c r="W5841">
        <v>2</v>
      </c>
      <c r="X5841">
        <v>0</v>
      </c>
      <c r="Z5841">
        <v>1951.51</v>
      </c>
      <c r="AA5841">
        <v>40.843778</v>
      </c>
      <c r="AB5841">
        <v>-73.94183700000001</v>
      </c>
      <c r="AD5841" t="s">
        <v>10839</v>
      </c>
      <c r="AG5841" t="s">
        <v>10858</v>
      </c>
      <c r="AH5841" t="s">
        <v>10862</v>
      </c>
      <c r="AI5841">
        <v>236</v>
      </c>
      <c r="AJ5841" t="s">
        <v>10209</v>
      </c>
      <c r="AL5841">
        <v>0</v>
      </c>
      <c r="AM5841" t="s">
        <v>10887</v>
      </c>
      <c r="AN5841" t="s">
        <v>10943</v>
      </c>
      <c r="AO5841" t="s">
        <v>11019</v>
      </c>
      <c r="AP5841" t="s">
        <v>11074</v>
      </c>
      <c r="AR5841" t="s">
        <v>11257</v>
      </c>
      <c r="AS5841" t="s">
        <v>9925</v>
      </c>
      <c r="AT5841" t="s">
        <v>11641</v>
      </c>
      <c r="AX5841" t="s">
        <v>10838</v>
      </c>
      <c r="BA5841" t="s">
        <v>11738</v>
      </c>
      <c r="BB5841">
        <v>0</v>
      </c>
      <c r="BC5841">
        <v>0</v>
      </c>
      <c r="BD5841">
        <v>0</v>
      </c>
      <c r="BE5841">
        <v>0</v>
      </c>
      <c r="BF5841">
        <v>5</v>
      </c>
      <c r="BG5841">
        <v>0</v>
      </c>
    </row>
    <row r="5842" spans="1:59">
      <c r="A5842" s="1">
        <f>HYPERLINK("https://lsnyc.legalserver.org/matter/dynamic-profile/view/1910130","19-1910130")</f>
        <v>0</v>
      </c>
      <c r="B5842" t="s">
        <v>1423</v>
      </c>
      <c r="C5842" t="s">
        <v>9433</v>
      </c>
      <c r="D5842" t="s">
        <v>9926</v>
      </c>
      <c r="E5842" t="s">
        <v>10075</v>
      </c>
      <c r="F5842">
        <v>10452</v>
      </c>
      <c r="G5842" t="s">
        <v>10090</v>
      </c>
      <c r="H5842" t="s">
        <v>10162</v>
      </c>
      <c r="I5842" t="s">
        <v>10169</v>
      </c>
      <c r="J5842" t="s">
        <v>10210</v>
      </c>
      <c r="K5842" t="s">
        <v>10217</v>
      </c>
      <c r="M5842" t="s">
        <v>10590</v>
      </c>
      <c r="N5842" t="s">
        <v>10650</v>
      </c>
      <c r="P5842" t="s">
        <v>10749</v>
      </c>
      <c r="Q5842" t="s">
        <v>10765</v>
      </c>
      <c r="R5842" t="s">
        <v>10821</v>
      </c>
      <c r="T5842">
        <v>15600</v>
      </c>
      <c r="U5842">
        <v>1300</v>
      </c>
      <c r="V5842">
        <v>45</v>
      </c>
      <c r="W5842">
        <v>1</v>
      </c>
      <c r="X5842">
        <v>1</v>
      </c>
      <c r="Z5842">
        <v>92.25</v>
      </c>
      <c r="AA5842">
        <v>40.839703</v>
      </c>
      <c r="AB5842">
        <v>-73.91492100000001</v>
      </c>
      <c r="AD5842" t="s">
        <v>10839</v>
      </c>
      <c r="AG5842" t="s">
        <v>10858</v>
      </c>
      <c r="AH5842" t="s">
        <v>10862</v>
      </c>
      <c r="AI5842">
        <v>230</v>
      </c>
      <c r="AJ5842" t="s">
        <v>10210</v>
      </c>
      <c r="AL5842">
        <v>1.3</v>
      </c>
      <c r="AM5842" t="s">
        <v>10884</v>
      </c>
      <c r="AN5842" t="s">
        <v>10929</v>
      </c>
      <c r="AO5842" t="s">
        <v>11013</v>
      </c>
      <c r="AP5842" t="s">
        <v>11045</v>
      </c>
      <c r="AR5842" t="s">
        <v>11257</v>
      </c>
      <c r="AS5842" t="s">
        <v>9926</v>
      </c>
      <c r="BA5842" t="s">
        <v>11741</v>
      </c>
      <c r="BB5842">
        <v>0</v>
      </c>
      <c r="BC5842">
        <v>0</v>
      </c>
      <c r="BD5842">
        <v>0</v>
      </c>
      <c r="BE5842">
        <v>0</v>
      </c>
      <c r="BF5842">
        <v>1</v>
      </c>
      <c r="BG5842">
        <v>0</v>
      </c>
    </row>
    <row r="5843" spans="1:59">
      <c r="A5843" s="1">
        <f>HYPERLINK("https://lsnyc.legalserver.org/matter/dynamic-profile/view/1910131","19-1910131")</f>
        <v>0</v>
      </c>
      <c r="B5843" t="s">
        <v>4563</v>
      </c>
      <c r="C5843" t="s">
        <v>9434</v>
      </c>
      <c r="D5843" t="s">
        <v>9928</v>
      </c>
      <c r="E5843" t="s">
        <v>10075</v>
      </c>
      <c r="F5843">
        <v>11207</v>
      </c>
      <c r="G5843" t="s">
        <v>10093</v>
      </c>
      <c r="H5843" t="s">
        <v>10162</v>
      </c>
      <c r="I5843" t="s">
        <v>10168</v>
      </c>
      <c r="J5843" t="s">
        <v>10213</v>
      </c>
      <c r="K5843" t="s">
        <v>10217</v>
      </c>
      <c r="M5843" t="s">
        <v>10435</v>
      </c>
      <c r="N5843" t="s">
        <v>10671</v>
      </c>
      <c r="P5843" t="s">
        <v>10750</v>
      </c>
      <c r="Q5843" t="s">
        <v>10799</v>
      </c>
      <c r="R5843" t="s">
        <v>10824</v>
      </c>
      <c r="T5843">
        <v>4224</v>
      </c>
      <c r="U5843">
        <v>352</v>
      </c>
      <c r="V5843">
        <v>79</v>
      </c>
      <c r="W5843">
        <v>1</v>
      </c>
      <c r="X5843">
        <v>0</v>
      </c>
      <c r="Z5843">
        <v>33.82</v>
      </c>
      <c r="AA5843">
        <v>40.659544</v>
      </c>
      <c r="AB5843">
        <v>-73.893855</v>
      </c>
      <c r="AD5843" t="s">
        <v>10839</v>
      </c>
      <c r="AG5843" t="s">
        <v>10858</v>
      </c>
      <c r="AH5843" t="s">
        <v>10871</v>
      </c>
      <c r="AI5843">
        <v>234</v>
      </c>
      <c r="AJ5843" t="s">
        <v>10214</v>
      </c>
      <c r="AL5843">
        <v>2</v>
      </c>
      <c r="AM5843" t="s">
        <v>10889</v>
      </c>
      <c r="AN5843" t="s">
        <v>10946</v>
      </c>
      <c r="AO5843" t="s">
        <v>11012</v>
      </c>
      <c r="AP5843" t="s">
        <v>11060</v>
      </c>
      <c r="AR5843" t="s">
        <v>11263</v>
      </c>
      <c r="AS5843" t="s">
        <v>11595</v>
      </c>
      <c r="AT5843" t="s">
        <v>11641</v>
      </c>
      <c r="AX5843" t="s">
        <v>10838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</row>
    <row r="5844" spans="1:59">
      <c r="A5844" s="1">
        <f>HYPERLINK("https://lsnyc.legalserver.org/matter/dynamic-profile/view/1910132","19-1910132")</f>
        <v>0</v>
      </c>
      <c r="B5844" t="s">
        <v>4564</v>
      </c>
      <c r="C5844" t="s">
        <v>9435</v>
      </c>
      <c r="D5844" t="s">
        <v>9963</v>
      </c>
      <c r="E5844" t="s">
        <v>10075</v>
      </c>
      <c r="F5844">
        <v>11385</v>
      </c>
      <c r="G5844" t="s">
        <v>10092</v>
      </c>
      <c r="H5844" t="s">
        <v>10162</v>
      </c>
      <c r="I5844" t="s">
        <v>10168</v>
      </c>
      <c r="J5844" t="s">
        <v>10212</v>
      </c>
      <c r="K5844" t="s">
        <v>10217</v>
      </c>
      <c r="M5844" t="s">
        <v>10610</v>
      </c>
      <c r="N5844" t="s">
        <v>10693</v>
      </c>
      <c r="P5844" t="s">
        <v>10749</v>
      </c>
      <c r="Q5844" t="s">
        <v>10765</v>
      </c>
      <c r="R5844" t="s">
        <v>10827</v>
      </c>
      <c r="T5844">
        <v>26000</v>
      </c>
      <c r="U5844">
        <v>2166.67</v>
      </c>
      <c r="V5844">
        <v>59</v>
      </c>
      <c r="W5844">
        <v>6</v>
      </c>
      <c r="X5844">
        <v>0</v>
      </c>
      <c r="Z5844">
        <v>75.17</v>
      </c>
      <c r="AA5844">
        <v>40.701827</v>
      </c>
      <c r="AB5844">
        <v>-73.890213</v>
      </c>
      <c r="AD5844" t="s">
        <v>10840</v>
      </c>
      <c r="AF5844" t="s">
        <v>10843</v>
      </c>
      <c r="AG5844" t="s">
        <v>10859</v>
      </c>
      <c r="AH5844" t="s">
        <v>10862</v>
      </c>
      <c r="AI5844">
        <v>237</v>
      </c>
      <c r="AJ5844" t="s">
        <v>10212</v>
      </c>
      <c r="AL5844">
        <v>1.82</v>
      </c>
      <c r="AM5844" t="s">
        <v>10890</v>
      </c>
      <c r="AN5844" t="s">
        <v>10945</v>
      </c>
      <c r="AO5844" t="s">
        <v>11024</v>
      </c>
      <c r="AP5844" t="s">
        <v>11077</v>
      </c>
      <c r="AR5844" t="s">
        <v>11280</v>
      </c>
      <c r="AS5844" t="s">
        <v>11594</v>
      </c>
      <c r="BA5844" t="s">
        <v>11738</v>
      </c>
      <c r="BB5844">
        <v>0</v>
      </c>
      <c r="BC5844">
        <v>0</v>
      </c>
      <c r="BD5844">
        <v>0</v>
      </c>
      <c r="BE5844">
        <v>0</v>
      </c>
      <c r="BF5844">
        <v>5</v>
      </c>
      <c r="BG5844">
        <v>0</v>
      </c>
    </row>
    <row r="5845" spans="1:59">
      <c r="A5845" s="1">
        <f>HYPERLINK("https://lsnyc.legalserver.org/matter/dynamic-profile/view/1910134","19-1910134")</f>
        <v>0</v>
      </c>
      <c r="B5845" t="s">
        <v>4565</v>
      </c>
      <c r="C5845" t="s">
        <v>9436</v>
      </c>
      <c r="D5845" t="s">
        <v>9962</v>
      </c>
      <c r="E5845" t="s">
        <v>10075</v>
      </c>
      <c r="F5845">
        <v>11423</v>
      </c>
      <c r="G5845" t="s">
        <v>10092</v>
      </c>
      <c r="H5845" t="s">
        <v>10162</v>
      </c>
      <c r="I5845" t="s">
        <v>10168</v>
      </c>
      <c r="J5845" t="s">
        <v>10212</v>
      </c>
      <c r="K5845" t="s">
        <v>10217</v>
      </c>
      <c r="M5845" t="s">
        <v>10331</v>
      </c>
      <c r="N5845" t="s">
        <v>10646</v>
      </c>
      <c r="P5845" t="s">
        <v>10749</v>
      </c>
      <c r="Q5845" t="s">
        <v>10765</v>
      </c>
      <c r="R5845" t="s">
        <v>10824</v>
      </c>
      <c r="T5845">
        <v>34200</v>
      </c>
      <c r="U5845">
        <v>2850</v>
      </c>
      <c r="V5845">
        <v>69</v>
      </c>
      <c r="W5845">
        <v>2</v>
      </c>
      <c r="X5845">
        <v>0</v>
      </c>
      <c r="Z5845">
        <v>202.25</v>
      </c>
      <c r="AA5845">
        <v>40.712953</v>
      </c>
      <c r="AB5845">
        <v>-73.76621799999999</v>
      </c>
      <c r="AC5845" t="s">
        <v>10837</v>
      </c>
      <c r="AD5845" t="s">
        <v>10840</v>
      </c>
      <c r="AG5845" t="s">
        <v>10858</v>
      </c>
      <c r="AH5845" t="s">
        <v>10861</v>
      </c>
      <c r="AI5845">
        <v>234</v>
      </c>
      <c r="AJ5845" t="s">
        <v>10214</v>
      </c>
      <c r="AL5845">
        <v>0.7</v>
      </c>
      <c r="AM5845" t="s">
        <v>10892</v>
      </c>
      <c r="AN5845" t="s">
        <v>10955</v>
      </c>
      <c r="AO5845" t="s">
        <v>11020</v>
      </c>
      <c r="AP5845" t="s">
        <v>11075</v>
      </c>
      <c r="AR5845" t="s">
        <v>11265</v>
      </c>
      <c r="AS5845" t="s">
        <v>11594</v>
      </c>
      <c r="AT5845" t="s">
        <v>11642</v>
      </c>
      <c r="AX5845" t="s">
        <v>10838</v>
      </c>
      <c r="BA5845" t="s">
        <v>11742</v>
      </c>
      <c r="BB5845">
        <v>0</v>
      </c>
      <c r="BC5845">
        <v>0</v>
      </c>
      <c r="BD5845">
        <v>0</v>
      </c>
      <c r="BE5845">
        <v>0</v>
      </c>
      <c r="BF5845">
        <v>7</v>
      </c>
      <c r="BG5845">
        <v>0</v>
      </c>
    </row>
    <row r="5846" spans="1:59">
      <c r="A5846" s="1">
        <f>HYPERLINK("https://lsnyc.legalserver.org/matter/dynamic-profile/view/1910136","19-1910136")</f>
        <v>0</v>
      </c>
      <c r="B5846" t="s">
        <v>4566</v>
      </c>
      <c r="C5846" t="s">
        <v>9437</v>
      </c>
      <c r="D5846" t="s">
        <v>9981</v>
      </c>
      <c r="E5846" t="s">
        <v>10075</v>
      </c>
      <c r="F5846">
        <v>11378</v>
      </c>
      <c r="G5846" t="s">
        <v>10092</v>
      </c>
      <c r="H5846" t="s">
        <v>10137</v>
      </c>
      <c r="I5846" t="s">
        <v>10183</v>
      </c>
      <c r="J5846" t="s">
        <v>10212</v>
      </c>
      <c r="K5846" t="s">
        <v>10217</v>
      </c>
      <c r="M5846" t="s">
        <v>10486</v>
      </c>
      <c r="N5846" t="s">
        <v>10673</v>
      </c>
      <c r="O5846" t="s">
        <v>10648</v>
      </c>
      <c r="P5846" t="s">
        <v>10753</v>
      </c>
      <c r="Q5846" t="s">
        <v>10763</v>
      </c>
      <c r="R5846" t="s">
        <v>10820</v>
      </c>
      <c r="T5846">
        <v>7436</v>
      </c>
      <c r="U5846">
        <v>619.67</v>
      </c>
      <c r="V5846">
        <v>36</v>
      </c>
      <c r="W5846">
        <v>1</v>
      </c>
      <c r="X5846">
        <v>1</v>
      </c>
      <c r="Z5846">
        <v>43.97</v>
      </c>
      <c r="AA5846">
        <v>40.721226</v>
      </c>
      <c r="AB5846">
        <v>-73.900807</v>
      </c>
      <c r="AD5846" t="s">
        <v>10839</v>
      </c>
      <c r="AF5846" t="s">
        <v>10844</v>
      </c>
      <c r="AG5846" t="s">
        <v>10859</v>
      </c>
      <c r="AH5846" t="s">
        <v>10864</v>
      </c>
      <c r="AI5846">
        <v>237</v>
      </c>
      <c r="AJ5846" t="s">
        <v>10212</v>
      </c>
      <c r="AL5846">
        <v>2.17</v>
      </c>
      <c r="AM5846" t="s">
        <v>10890</v>
      </c>
      <c r="AN5846" t="s">
        <v>10935</v>
      </c>
      <c r="AO5846" t="s">
        <v>11024</v>
      </c>
      <c r="AP5846" t="s">
        <v>11077</v>
      </c>
      <c r="AQ5846" t="s">
        <v>11140</v>
      </c>
      <c r="AR5846" t="s">
        <v>11401</v>
      </c>
      <c r="AS5846" t="s">
        <v>11594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</row>
    <row r="5847" spans="1:59">
      <c r="A5847" s="1">
        <f>HYPERLINK("https://lsnyc.legalserver.org/matter/dynamic-profile/view/1910137","19-1910137")</f>
        <v>0</v>
      </c>
      <c r="B5847" t="s">
        <v>4567</v>
      </c>
      <c r="C5847" t="s">
        <v>9438</v>
      </c>
      <c r="D5847" t="s">
        <v>9926</v>
      </c>
      <c r="E5847" t="s">
        <v>10075</v>
      </c>
      <c r="F5847">
        <v>10470</v>
      </c>
      <c r="G5847" t="s">
        <v>10092</v>
      </c>
      <c r="H5847" t="s">
        <v>10162</v>
      </c>
      <c r="I5847" t="s">
        <v>10168</v>
      </c>
      <c r="J5847" t="s">
        <v>10212</v>
      </c>
      <c r="K5847" t="s">
        <v>10217</v>
      </c>
      <c r="M5847" t="s">
        <v>10398</v>
      </c>
      <c r="N5847" t="s">
        <v>10657</v>
      </c>
      <c r="P5847" t="s">
        <v>10751</v>
      </c>
      <c r="Q5847" t="s">
        <v>10780</v>
      </c>
      <c r="R5847" t="s">
        <v>10824</v>
      </c>
      <c r="T5847">
        <v>0</v>
      </c>
      <c r="U5847">
        <v>0</v>
      </c>
      <c r="V5847">
        <v>21</v>
      </c>
      <c r="W5847">
        <v>1</v>
      </c>
      <c r="X5847">
        <v>0</v>
      </c>
      <c r="Z5847">
        <v>0</v>
      </c>
      <c r="AA5847">
        <v>40.906048</v>
      </c>
      <c r="AB5847">
        <v>-73.848788</v>
      </c>
      <c r="AD5847" t="s">
        <v>10840</v>
      </c>
      <c r="AG5847" t="s">
        <v>10858</v>
      </c>
      <c r="AH5847" t="s">
        <v>10866</v>
      </c>
      <c r="AI5847">
        <v>237</v>
      </c>
      <c r="AJ5847" t="s">
        <v>10212</v>
      </c>
      <c r="AL5847">
        <v>4.25</v>
      </c>
      <c r="AM5847" t="s">
        <v>10893</v>
      </c>
      <c r="AN5847" t="s">
        <v>10919</v>
      </c>
      <c r="AO5847" t="s">
        <v>11010</v>
      </c>
      <c r="AP5847" t="s">
        <v>11057</v>
      </c>
      <c r="AQ5847" t="s">
        <v>11118</v>
      </c>
      <c r="AR5847" t="s">
        <v>11279</v>
      </c>
      <c r="AS5847" t="s">
        <v>9926</v>
      </c>
      <c r="AT5847" t="s">
        <v>11641</v>
      </c>
      <c r="AX5847" t="s">
        <v>10838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</row>
    <row r="5848" spans="1:59">
      <c r="A5848" s="1">
        <f>HYPERLINK("https://lsnyc.legalserver.org/matter/dynamic-profile/view/1910139","19-1910139")</f>
        <v>0</v>
      </c>
      <c r="B5848" t="s">
        <v>2706</v>
      </c>
      <c r="C5848" t="s">
        <v>7234</v>
      </c>
      <c r="D5848" t="s">
        <v>9926</v>
      </c>
      <c r="E5848" t="s">
        <v>10075</v>
      </c>
      <c r="F5848">
        <v>10451</v>
      </c>
      <c r="G5848" t="s">
        <v>10090</v>
      </c>
      <c r="H5848" t="s">
        <v>10162</v>
      </c>
      <c r="I5848" t="s">
        <v>10168</v>
      </c>
      <c r="J5848" t="s">
        <v>10210</v>
      </c>
      <c r="K5848" t="s">
        <v>10217</v>
      </c>
      <c r="M5848" t="s">
        <v>10590</v>
      </c>
      <c r="N5848" t="s">
        <v>10650</v>
      </c>
      <c r="P5848" t="s">
        <v>10749</v>
      </c>
      <c r="Q5848" t="s">
        <v>10765</v>
      </c>
      <c r="R5848" t="s">
        <v>10824</v>
      </c>
      <c r="T5848">
        <v>12468</v>
      </c>
      <c r="U5848">
        <v>1039</v>
      </c>
      <c r="V5848">
        <v>61</v>
      </c>
      <c r="W5848">
        <v>2</v>
      </c>
      <c r="X5848">
        <v>0</v>
      </c>
      <c r="Z5848">
        <v>73.73</v>
      </c>
      <c r="AA5848">
        <v>40.820094</v>
      </c>
      <c r="AB5848">
        <v>-73.922112</v>
      </c>
      <c r="AC5848" t="s">
        <v>10837</v>
      </c>
      <c r="AD5848" t="s">
        <v>10840</v>
      </c>
      <c r="AG5848" t="s">
        <v>10858</v>
      </c>
      <c r="AH5848" t="s">
        <v>10862</v>
      </c>
      <c r="AI5848">
        <v>230</v>
      </c>
      <c r="AJ5848" t="s">
        <v>10210</v>
      </c>
      <c r="AL5848">
        <v>1.5</v>
      </c>
      <c r="AM5848" t="s">
        <v>10884</v>
      </c>
      <c r="AN5848" t="s">
        <v>10924</v>
      </c>
      <c r="AO5848" t="s">
        <v>11013</v>
      </c>
      <c r="AP5848" t="s">
        <v>11062</v>
      </c>
      <c r="AR5848" t="s">
        <v>11268</v>
      </c>
      <c r="AS5848" t="s">
        <v>9926</v>
      </c>
      <c r="BA5848" t="s">
        <v>11741</v>
      </c>
      <c r="BB5848">
        <v>0</v>
      </c>
      <c r="BC5848">
        <v>0</v>
      </c>
      <c r="BD5848">
        <v>0</v>
      </c>
      <c r="BE5848">
        <v>0</v>
      </c>
      <c r="BF5848">
        <v>1</v>
      </c>
      <c r="BG5848">
        <v>0</v>
      </c>
    </row>
    <row r="5849" spans="1:59">
      <c r="A5849" s="1">
        <f>HYPERLINK("https://lsnyc.legalserver.org/matter/dynamic-profile/view/1910140","19-1910140")</f>
        <v>0</v>
      </c>
      <c r="B5849" t="s">
        <v>4568</v>
      </c>
      <c r="C5849" t="s">
        <v>9439</v>
      </c>
      <c r="D5849" t="s">
        <v>9928</v>
      </c>
      <c r="E5849" t="s">
        <v>10075</v>
      </c>
      <c r="F5849">
        <v>11209</v>
      </c>
      <c r="G5849" t="s">
        <v>10093</v>
      </c>
      <c r="H5849" t="s">
        <v>10162</v>
      </c>
      <c r="I5849" t="s">
        <v>10168</v>
      </c>
      <c r="J5849" t="s">
        <v>10213</v>
      </c>
      <c r="K5849" t="s">
        <v>10217</v>
      </c>
      <c r="M5849" t="s">
        <v>10627</v>
      </c>
      <c r="N5849" t="s">
        <v>10657</v>
      </c>
      <c r="P5849" t="s">
        <v>10749</v>
      </c>
      <c r="Q5849" t="s">
        <v>10765</v>
      </c>
      <c r="R5849" t="s">
        <v>10826</v>
      </c>
      <c r="T5849">
        <v>9000</v>
      </c>
      <c r="U5849">
        <v>750</v>
      </c>
      <c r="V5849">
        <v>51</v>
      </c>
      <c r="W5849">
        <v>2</v>
      </c>
      <c r="X5849">
        <v>0</v>
      </c>
      <c r="Z5849">
        <v>53.22</v>
      </c>
      <c r="AA5849">
        <v>40.625945</v>
      </c>
      <c r="AB5849">
        <v>-74.026753</v>
      </c>
      <c r="AD5849" t="s">
        <v>10840</v>
      </c>
      <c r="AG5849" t="s">
        <v>10858</v>
      </c>
      <c r="AH5849" t="s">
        <v>10862</v>
      </c>
      <c r="AI5849">
        <v>239</v>
      </c>
      <c r="AJ5849" t="s">
        <v>10213</v>
      </c>
      <c r="AL5849">
        <v>2.5</v>
      </c>
      <c r="AM5849" t="s">
        <v>10883</v>
      </c>
      <c r="AN5849" t="s">
        <v>10960</v>
      </c>
      <c r="AO5849" t="s">
        <v>11023</v>
      </c>
      <c r="AP5849" t="s">
        <v>11086</v>
      </c>
      <c r="AR5849" t="s">
        <v>11253</v>
      </c>
      <c r="AS5849" t="s">
        <v>11595</v>
      </c>
      <c r="AT5849" t="s">
        <v>11642</v>
      </c>
      <c r="AX5849" t="s">
        <v>10838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</row>
    <row r="5850" spans="1:59">
      <c r="A5850" s="1">
        <f>HYPERLINK("https://lsnyc.legalserver.org/matter/dynamic-profile/view/1910141","19-1910141")</f>
        <v>0</v>
      </c>
      <c r="B5850" t="s">
        <v>2417</v>
      </c>
      <c r="C5850" t="s">
        <v>9440</v>
      </c>
      <c r="D5850" t="s">
        <v>9926</v>
      </c>
      <c r="E5850" t="s">
        <v>10075</v>
      </c>
      <c r="F5850">
        <v>10468</v>
      </c>
      <c r="G5850" t="s">
        <v>10090</v>
      </c>
      <c r="H5850" t="s">
        <v>10162</v>
      </c>
      <c r="J5850" t="s">
        <v>10210</v>
      </c>
      <c r="K5850" t="s">
        <v>10217</v>
      </c>
      <c r="M5850" t="s">
        <v>10622</v>
      </c>
      <c r="N5850" t="s">
        <v>10650</v>
      </c>
      <c r="P5850" t="s">
        <v>10749</v>
      </c>
      <c r="Q5850" t="s">
        <v>10765</v>
      </c>
      <c r="R5850" t="s">
        <v>10820</v>
      </c>
      <c r="T5850">
        <v>9384</v>
      </c>
      <c r="U5850">
        <v>782</v>
      </c>
      <c r="V5850">
        <v>67</v>
      </c>
      <c r="W5850">
        <v>1</v>
      </c>
      <c r="X5850">
        <v>0</v>
      </c>
      <c r="Z5850">
        <v>75.13</v>
      </c>
      <c r="AA5850">
        <v>40.872292</v>
      </c>
      <c r="AB5850">
        <v>-73.888577</v>
      </c>
      <c r="AD5850" t="s">
        <v>10839</v>
      </c>
      <c r="AG5850" t="s">
        <v>10858</v>
      </c>
      <c r="AH5850" t="s">
        <v>10862</v>
      </c>
      <c r="AI5850">
        <v>230</v>
      </c>
      <c r="AJ5850" t="s">
        <v>10210</v>
      </c>
      <c r="AL5850">
        <v>0</v>
      </c>
      <c r="AM5850" t="s">
        <v>10887</v>
      </c>
      <c r="AN5850" t="s">
        <v>10907</v>
      </c>
      <c r="AO5850" t="s">
        <v>11002</v>
      </c>
      <c r="AP5850" t="s">
        <v>11057</v>
      </c>
      <c r="AQ5850" t="s">
        <v>11120</v>
      </c>
      <c r="AR5850" t="s">
        <v>11263</v>
      </c>
      <c r="AS5850" t="s">
        <v>9926</v>
      </c>
      <c r="BA5850" t="s">
        <v>11741</v>
      </c>
      <c r="BB5850">
        <v>0</v>
      </c>
      <c r="BC5850">
        <v>0</v>
      </c>
      <c r="BD5850">
        <v>0</v>
      </c>
      <c r="BE5850">
        <v>0</v>
      </c>
      <c r="BF5850">
        <v>1</v>
      </c>
      <c r="BG5850">
        <v>0</v>
      </c>
    </row>
    <row r="5851" spans="1:59">
      <c r="A5851" s="1">
        <f>HYPERLINK("https://lsnyc.legalserver.org/matter/dynamic-profile/view/1910142","19-1910142")</f>
        <v>0</v>
      </c>
      <c r="B5851" t="s">
        <v>1643</v>
      </c>
      <c r="C5851" t="s">
        <v>9441</v>
      </c>
      <c r="D5851" t="s">
        <v>9926</v>
      </c>
      <c r="E5851" t="s">
        <v>10075</v>
      </c>
      <c r="F5851">
        <v>10452</v>
      </c>
      <c r="G5851" t="s">
        <v>10090</v>
      </c>
      <c r="H5851" t="s">
        <v>10162</v>
      </c>
      <c r="I5851" t="s">
        <v>10169</v>
      </c>
      <c r="J5851" t="s">
        <v>10210</v>
      </c>
      <c r="K5851" t="s">
        <v>10217</v>
      </c>
      <c r="M5851" t="s">
        <v>10622</v>
      </c>
      <c r="N5851" t="s">
        <v>10650</v>
      </c>
      <c r="P5851" t="s">
        <v>10749</v>
      </c>
      <c r="Q5851" t="s">
        <v>10765</v>
      </c>
      <c r="R5851" t="s">
        <v>10821</v>
      </c>
      <c r="T5851">
        <v>11748</v>
      </c>
      <c r="U5851">
        <v>979</v>
      </c>
      <c r="V5851">
        <v>63</v>
      </c>
      <c r="W5851">
        <v>2</v>
      </c>
      <c r="X5851">
        <v>0</v>
      </c>
      <c r="Z5851">
        <v>69.47</v>
      </c>
      <c r="AA5851">
        <v>40.836615</v>
      </c>
      <c r="AB5851">
        <v>-73.92356100000001</v>
      </c>
      <c r="AD5851" t="s">
        <v>10839</v>
      </c>
      <c r="AG5851" t="s">
        <v>10858</v>
      </c>
      <c r="AH5851" t="s">
        <v>10862</v>
      </c>
      <c r="AI5851">
        <v>230</v>
      </c>
      <c r="AJ5851" t="s">
        <v>10210</v>
      </c>
      <c r="AL5851">
        <v>0</v>
      </c>
      <c r="AM5851" t="s">
        <v>10884</v>
      </c>
      <c r="AN5851" t="s">
        <v>10924</v>
      </c>
      <c r="AO5851" t="s">
        <v>11013</v>
      </c>
      <c r="AP5851" t="s">
        <v>11055</v>
      </c>
      <c r="AR5851" t="s">
        <v>11355</v>
      </c>
      <c r="AS5851" t="s">
        <v>9926</v>
      </c>
      <c r="BA5851" t="s">
        <v>11741</v>
      </c>
      <c r="BB5851">
        <v>0</v>
      </c>
      <c r="BC5851">
        <v>0</v>
      </c>
      <c r="BD5851">
        <v>0</v>
      </c>
      <c r="BE5851">
        <v>0</v>
      </c>
      <c r="BF5851">
        <v>1</v>
      </c>
      <c r="BG5851">
        <v>0</v>
      </c>
    </row>
    <row r="5852" spans="1:59">
      <c r="A5852" s="1">
        <f>HYPERLINK("https://lsnyc.legalserver.org/matter/dynamic-profile/view/1910143","19-1910143")</f>
        <v>0</v>
      </c>
      <c r="B5852" t="s">
        <v>4569</v>
      </c>
      <c r="C5852" t="s">
        <v>9442</v>
      </c>
      <c r="D5852" t="s">
        <v>9926</v>
      </c>
      <c r="E5852" t="s">
        <v>10075</v>
      </c>
      <c r="F5852">
        <v>10468</v>
      </c>
      <c r="G5852" t="s">
        <v>10090</v>
      </c>
      <c r="H5852" t="s">
        <v>10162</v>
      </c>
      <c r="I5852" t="s">
        <v>10168</v>
      </c>
      <c r="J5852" t="s">
        <v>10210</v>
      </c>
      <c r="K5852" t="s">
        <v>10217</v>
      </c>
      <c r="M5852" t="s">
        <v>10540</v>
      </c>
      <c r="N5852" t="s">
        <v>10727</v>
      </c>
      <c r="P5852" t="s">
        <v>10753</v>
      </c>
      <c r="Q5852" t="s">
        <v>10809</v>
      </c>
      <c r="R5852" t="s">
        <v>10824</v>
      </c>
      <c r="T5852">
        <v>8940</v>
      </c>
      <c r="U5852">
        <v>745</v>
      </c>
      <c r="V5852">
        <v>18</v>
      </c>
      <c r="W5852">
        <v>2</v>
      </c>
      <c r="X5852">
        <v>1</v>
      </c>
      <c r="Z5852">
        <v>41.91</v>
      </c>
      <c r="AA5852">
        <v>40.87449</v>
      </c>
      <c r="AB5852">
        <v>-73.888177</v>
      </c>
      <c r="AD5852" t="s">
        <v>10839</v>
      </c>
      <c r="AG5852" t="s">
        <v>10858</v>
      </c>
      <c r="AH5852" t="s">
        <v>10877</v>
      </c>
      <c r="AI5852">
        <v>230</v>
      </c>
      <c r="AJ5852" t="s">
        <v>10210</v>
      </c>
      <c r="AL5852">
        <v>0.2</v>
      </c>
      <c r="AM5852" t="s">
        <v>10887</v>
      </c>
      <c r="AN5852" t="s">
        <v>10907</v>
      </c>
      <c r="AO5852" t="s">
        <v>11002</v>
      </c>
      <c r="AP5852" t="s">
        <v>11057</v>
      </c>
      <c r="AQ5852" t="s">
        <v>11180</v>
      </c>
      <c r="AR5852" t="s">
        <v>11263</v>
      </c>
      <c r="AS5852" t="s">
        <v>9926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</row>
    <row r="5853" spans="1:59">
      <c r="A5853" s="1">
        <f>HYPERLINK("https://lsnyc.legalserver.org/matter/dynamic-profile/view/1910144","19-1910144")</f>
        <v>0</v>
      </c>
      <c r="B5853" t="s">
        <v>670</v>
      </c>
      <c r="C5853" t="s">
        <v>9443</v>
      </c>
      <c r="D5853" t="s">
        <v>9954</v>
      </c>
      <c r="E5853" t="s">
        <v>10075</v>
      </c>
      <c r="F5853">
        <v>11372</v>
      </c>
      <c r="G5853" t="s">
        <v>10092</v>
      </c>
      <c r="H5853" t="s">
        <v>10162</v>
      </c>
      <c r="I5853" t="s">
        <v>10169</v>
      </c>
      <c r="J5853" t="s">
        <v>10212</v>
      </c>
      <c r="K5853" t="s">
        <v>10217</v>
      </c>
      <c r="M5853" t="s">
        <v>10374</v>
      </c>
      <c r="N5853" t="s">
        <v>10699</v>
      </c>
      <c r="P5853" t="s">
        <v>10753</v>
      </c>
      <c r="Q5853" t="s">
        <v>10763</v>
      </c>
      <c r="R5853" t="s">
        <v>10821</v>
      </c>
      <c r="T5853">
        <v>20800</v>
      </c>
      <c r="U5853">
        <v>1733.33</v>
      </c>
      <c r="V5853">
        <v>50</v>
      </c>
      <c r="W5853">
        <v>1</v>
      </c>
      <c r="X5853">
        <v>1</v>
      </c>
      <c r="Z5853">
        <v>123</v>
      </c>
      <c r="AA5853">
        <v>40.748696</v>
      </c>
      <c r="AB5853">
        <v>-73.88003999999999</v>
      </c>
      <c r="AD5853" t="s">
        <v>10839</v>
      </c>
      <c r="AF5853" t="s">
        <v>10842</v>
      </c>
      <c r="AG5853" t="s">
        <v>10859</v>
      </c>
      <c r="AH5853" t="s">
        <v>10865</v>
      </c>
      <c r="AI5853">
        <v>237</v>
      </c>
      <c r="AJ5853" t="s">
        <v>10212</v>
      </c>
      <c r="AL5853">
        <v>1.2</v>
      </c>
      <c r="AM5853" t="s">
        <v>10885</v>
      </c>
      <c r="AN5853" t="s">
        <v>10909</v>
      </c>
      <c r="AO5853" t="s">
        <v>11014</v>
      </c>
      <c r="AP5853" t="s">
        <v>11068</v>
      </c>
      <c r="AR5853" t="s">
        <v>11257</v>
      </c>
      <c r="AS5853" t="s">
        <v>11594</v>
      </c>
      <c r="AT5853" t="s">
        <v>11641</v>
      </c>
      <c r="AX5853" t="s">
        <v>10838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</row>
    <row r="5854" spans="1:59">
      <c r="A5854" s="1">
        <f>HYPERLINK("https://lsnyc.legalserver.org/matter/dynamic-profile/view/1910145","19-1910145")</f>
        <v>0</v>
      </c>
      <c r="B5854" t="s">
        <v>4178</v>
      </c>
      <c r="C5854" t="s">
        <v>9444</v>
      </c>
      <c r="D5854" t="s">
        <v>9932</v>
      </c>
      <c r="E5854" t="s">
        <v>10075</v>
      </c>
      <c r="F5854">
        <v>11368</v>
      </c>
      <c r="G5854" t="s">
        <v>10092</v>
      </c>
      <c r="H5854" t="s">
        <v>10162</v>
      </c>
      <c r="I5854" t="s">
        <v>10169</v>
      </c>
      <c r="J5854" t="s">
        <v>10212</v>
      </c>
      <c r="K5854" t="s">
        <v>10217</v>
      </c>
      <c r="M5854" t="s">
        <v>10374</v>
      </c>
      <c r="N5854" t="s">
        <v>10699</v>
      </c>
      <c r="P5854" t="s">
        <v>10753</v>
      </c>
      <c r="Q5854" t="s">
        <v>10763</v>
      </c>
      <c r="R5854" t="s">
        <v>10821</v>
      </c>
      <c r="T5854">
        <v>20800</v>
      </c>
      <c r="U5854">
        <v>1733.33</v>
      </c>
      <c r="V5854">
        <v>28</v>
      </c>
      <c r="W5854">
        <v>1</v>
      </c>
      <c r="X5854">
        <v>0</v>
      </c>
      <c r="Z5854">
        <v>166.53</v>
      </c>
      <c r="AA5854">
        <v>40.738442</v>
      </c>
      <c r="AB5854">
        <v>-73.86426400000001</v>
      </c>
      <c r="AD5854" t="s">
        <v>10839</v>
      </c>
      <c r="AF5854" t="s">
        <v>10842</v>
      </c>
      <c r="AG5854" t="s">
        <v>10859</v>
      </c>
      <c r="AH5854" t="s">
        <v>10865</v>
      </c>
      <c r="AI5854">
        <v>237</v>
      </c>
      <c r="AJ5854" t="s">
        <v>10212</v>
      </c>
      <c r="AL5854">
        <v>1.1</v>
      </c>
      <c r="AM5854" t="s">
        <v>10885</v>
      </c>
      <c r="AN5854" t="s">
        <v>10916</v>
      </c>
      <c r="AO5854" t="s">
        <v>11014</v>
      </c>
      <c r="AP5854" t="s">
        <v>11068</v>
      </c>
      <c r="AR5854" t="s">
        <v>11257</v>
      </c>
      <c r="AS5854" t="s">
        <v>11594</v>
      </c>
      <c r="AT5854" t="s">
        <v>11641</v>
      </c>
      <c r="AX5854" t="s">
        <v>10838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</row>
    <row r="5855" spans="1:59">
      <c r="A5855" s="1">
        <f>HYPERLINK("https://lsnyc.legalserver.org/matter/dynamic-profile/view/1910146","19-1910146")</f>
        <v>0</v>
      </c>
      <c r="B5855" t="s">
        <v>4570</v>
      </c>
      <c r="C5855" t="s">
        <v>9445</v>
      </c>
      <c r="D5855" t="s">
        <v>10066</v>
      </c>
      <c r="E5855" t="s">
        <v>10075</v>
      </c>
      <c r="F5855">
        <v>11096</v>
      </c>
      <c r="G5855" t="s">
        <v>10092</v>
      </c>
      <c r="H5855" t="s">
        <v>10162</v>
      </c>
      <c r="I5855" t="s">
        <v>10169</v>
      </c>
      <c r="J5855" t="s">
        <v>10212</v>
      </c>
      <c r="K5855" t="s">
        <v>10217</v>
      </c>
      <c r="M5855" t="s">
        <v>10374</v>
      </c>
      <c r="N5855" t="s">
        <v>10699</v>
      </c>
      <c r="P5855" t="s">
        <v>10753</v>
      </c>
      <c r="Q5855" t="s">
        <v>10763</v>
      </c>
      <c r="R5855" t="s">
        <v>10821</v>
      </c>
      <c r="T5855">
        <v>15600</v>
      </c>
      <c r="U5855">
        <v>1300</v>
      </c>
      <c r="V5855">
        <v>45</v>
      </c>
      <c r="W5855">
        <v>1</v>
      </c>
      <c r="X5855">
        <v>0</v>
      </c>
      <c r="Z5855">
        <v>124.9</v>
      </c>
      <c r="AA5855">
        <v>40.615521</v>
      </c>
      <c r="AB5855">
        <v>-73.754428</v>
      </c>
      <c r="AD5855" t="s">
        <v>10840</v>
      </c>
      <c r="AF5855" t="s">
        <v>10842</v>
      </c>
      <c r="AG5855" t="s">
        <v>10859</v>
      </c>
      <c r="AH5855" t="s">
        <v>10865</v>
      </c>
      <c r="AI5855">
        <v>237</v>
      </c>
      <c r="AJ5855" t="s">
        <v>10212</v>
      </c>
      <c r="AL5855">
        <v>1.2</v>
      </c>
      <c r="AM5855" t="s">
        <v>10892</v>
      </c>
      <c r="AN5855" t="s">
        <v>10996</v>
      </c>
      <c r="AO5855" t="s">
        <v>11025</v>
      </c>
      <c r="AR5855" t="s">
        <v>11276</v>
      </c>
      <c r="AS5855" t="s">
        <v>9925</v>
      </c>
      <c r="AT5855" t="s">
        <v>11642</v>
      </c>
      <c r="AX5855" t="s">
        <v>10838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</row>
    <row r="5856" spans="1:59">
      <c r="A5856" s="1">
        <f>HYPERLINK("https://lsnyc.legalserver.org/matter/dynamic-profile/view/1910147","19-1910147")</f>
        <v>0</v>
      </c>
      <c r="B5856" t="s">
        <v>4571</v>
      </c>
      <c r="C5856" t="s">
        <v>9446</v>
      </c>
      <c r="D5856" t="s">
        <v>9950</v>
      </c>
      <c r="E5856" t="s">
        <v>10075</v>
      </c>
      <c r="F5856">
        <v>11418</v>
      </c>
      <c r="G5856" t="s">
        <v>10092</v>
      </c>
      <c r="H5856" t="s">
        <v>10162</v>
      </c>
      <c r="I5856" t="s">
        <v>10168</v>
      </c>
      <c r="J5856" t="s">
        <v>10212</v>
      </c>
      <c r="K5856" t="s">
        <v>10217</v>
      </c>
      <c r="M5856" t="s">
        <v>10374</v>
      </c>
      <c r="N5856" t="s">
        <v>10745</v>
      </c>
      <c r="O5856" t="s">
        <v>10699</v>
      </c>
      <c r="P5856" t="s">
        <v>10754</v>
      </c>
      <c r="Q5856" t="s">
        <v>10775</v>
      </c>
      <c r="R5856" t="s">
        <v>10823</v>
      </c>
      <c r="T5856">
        <v>32000</v>
      </c>
      <c r="U5856">
        <v>2666.67</v>
      </c>
      <c r="V5856">
        <v>27</v>
      </c>
      <c r="W5856">
        <v>1</v>
      </c>
      <c r="X5856">
        <v>2</v>
      </c>
      <c r="Z5856">
        <v>150.02</v>
      </c>
      <c r="AA5856">
        <v>40.697064</v>
      </c>
      <c r="AB5856">
        <v>-73.847217</v>
      </c>
      <c r="AD5856" t="s">
        <v>10839</v>
      </c>
      <c r="AF5856" t="s">
        <v>10842</v>
      </c>
      <c r="AG5856" t="s">
        <v>10859</v>
      </c>
      <c r="AH5856" t="s">
        <v>10865</v>
      </c>
      <c r="AI5856">
        <v>237</v>
      </c>
      <c r="AJ5856" t="s">
        <v>10212</v>
      </c>
      <c r="AL5856">
        <v>1</v>
      </c>
      <c r="AM5856" t="s">
        <v>10886</v>
      </c>
      <c r="AN5856" t="s">
        <v>10945</v>
      </c>
      <c r="AO5856" t="s">
        <v>11017</v>
      </c>
      <c r="AP5856" t="s">
        <v>11088</v>
      </c>
      <c r="AR5856" t="s">
        <v>11335</v>
      </c>
      <c r="AS5856" t="s">
        <v>11594</v>
      </c>
      <c r="AT5856" t="s">
        <v>11641</v>
      </c>
      <c r="AX5856" t="s">
        <v>10838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</row>
    <row r="5857" spans="1:59">
      <c r="A5857" s="1">
        <f>HYPERLINK("https://lsnyc.legalserver.org/matter/dynamic-profile/view/1910148","19-1910148")</f>
        <v>0</v>
      </c>
      <c r="B5857" t="s">
        <v>4572</v>
      </c>
      <c r="C5857" t="s">
        <v>9447</v>
      </c>
      <c r="D5857" t="s">
        <v>9932</v>
      </c>
      <c r="E5857" t="s">
        <v>10075</v>
      </c>
      <c r="F5857">
        <v>11368</v>
      </c>
      <c r="G5857" t="s">
        <v>10092</v>
      </c>
      <c r="H5857" t="s">
        <v>10162</v>
      </c>
      <c r="I5857" t="s">
        <v>10169</v>
      </c>
      <c r="J5857" t="s">
        <v>10212</v>
      </c>
      <c r="K5857" t="s">
        <v>10218</v>
      </c>
      <c r="L5857" t="s">
        <v>10162</v>
      </c>
      <c r="M5857" t="s">
        <v>10374</v>
      </c>
      <c r="N5857" t="s">
        <v>10699</v>
      </c>
      <c r="P5857" t="s">
        <v>10753</v>
      </c>
      <c r="Q5857" t="s">
        <v>10763</v>
      </c>
      <c r="R5857" t="s">
        <v>10821</v>
      </c>
      <c r="T5857">
        <v>31200</v>
      </c>
      <c r="U5857">
        <v>2600</v>
      </c>
      <c r="V5857">
        <v>51</v>
      </c>
      <c r="W5857">
        <v>1</v>
      </c>
      <c r="X5857">
        <v>3</v>
      </c>
      <c r="Y5857" t="s">
        <v>10829</v>
      </c>
      <c r="Z5857">
        <v>121.17</v>
      </c>
      <c r="AA5857">
        <v>40.749178</v>
      </c>
      <c r="AB5857">
        <v>-73.85824</v>
      </c>
      <c r="AD5857" t="s">
        <v>10839</v>
      </c>
      <c r="AF5857" t="s">
        <v>10842</v>
      </c>
      <c r="AG5857" t="s">
        <v>10859</v>
      </c>
      <c r="AH5857" t="s">
        <v>10865</v>
      </c>
      <c r="AI5857">
        <v>237</v>
      </c>
      <c r="AJ5857" t="s">
        <v>10212</v>
      </c>
      <c r="AK5857" t="s">
        <v>10837</v>
      </c>
      <c r="AL5857">
        <v>1</v>
      </c>
      <c r="AM5857" t="s">
        <v>10885</v>
      </c>
      <c r="AN5857" t="s">
        <v>10949</v>
      </c>
      <c r="AO5857" t="s">
        <v>11014</v>
      </c>
      <c r="AP5857" t="s">
        <v>11068</v>
      </c>
      <c r="AR5857" t="s">
        <v>11257</v>
      </c>
      <c r="AS5857" t="s">
        <v>11594</v>
      </c>
      <c r="AT5857" t="s">
        <v>11641</v>
      </c>
      <c r="AX5857" t="s">
        <v>10838</v>
      </c>
      <c r="AY5857" t="s">
        <v>10829</v>
      </c>
      <c r="AZ5857" t="s">
        <v>11709</v>
      </c>
      <c r="BA5857" t="s">
        <v>11741</v>
      </c>
      <c r="BB5857">
        <v>0</v>
      </c>
      <c r="BC5857">
        <v>0</v>
      </c>
      <c r="BD5857">
        <v>0</v>
      </c>
      <c r="BE5857">
        <v>0</v>
      </c>
      <c r="BF5857">
        <v>1</v>
      </c>
      <c r="BG5857">
        <v>0</v>
      </c>
    </row>
    <row r="5858" spans="1:59">
      <c r="A5858" s="1">
        <f>HYPERLINK("https://lsnyc.legalserver.org/matter/dynamic-profile/view/1910149","19-1910149")</f>
        <v>0</v>
      </c>
      <c r="B5858" t="s">
        <v>4573</v>
      </c>
      <c r="C5858" t="s">
        <v>6415</v>
      </c>
      <c r="D5858" t="s">
        <v>9938</v>
      </c>
      <c r="E5858" t="s">
        <v>10075</v>
      </c>
      <c r="F5858">
        <v>11433</v>
      </c>
      <c r="G5858" t="s">
        <v>10092</v>
      </c>
      <c r="H5858" t="s">
        <v>10162</v>
      </c>
      <c r="I5858" t="s">
        <v>10168</v>
      </c>
      <c r="J5858" t="s">
        <v>10212</v>
      </c>
      <c r="K5858" t="s">
        <v>10217</v>
      </c>
      <c r="M5858" t="s">
        <v>10374</v>
      </c>
      <c r="N5858" t="s">
        <v>10745</v>
      </c>
      <c r="O5858" t="s">
        <v>10699</v>
      </c>
      <c r="P5858" t="s">
        <v>10754</v>
      </c>
      <c r="Q5858" t="s">
        <v>10775</v>
      </c>
      <c r="R5858" t="s">
        <v>10824</v>
      </c>
      <c r="T5858">
        <v>32448</v>
      </c>
      <c r="U5858">
        <v>2704</v>
      </c>
      <c r="V5858">
        <v>44</v>
      </c>
      <c r="W5858">
        <v>1</v>
      </c>
      <c r="X5858">
        <v>4</v>
      </c>
      <c r="Z5858">
        <v>107.55</v>
      </c>
      <c r="AA5858">
        <v>40.705279</v>
      </c>
      <c r="AB5858">
        <v>-73.788417</v>
      </c>
      <c r="AD5858" t="s">
        <v>10840</v>
      </c>
      <c r="AF5858" t="s">
        <v>10843</v>
      </c>
      <c r="AG5858" t="s">
        <v>10858</v>
      </c>
      <c r="AH5858" t="s">
        <v>10865</v>
      </c>
      <c r="AI5858">
        <v>237</v>
      </c>
      <c r="AJ5858" t="s">
        <v>10212</v>
      </c>
      <c r="AL5858">
        <v>1</v>
      </c>
      <c r="AR5858" t="s">
        <v>11257</v>
      </c>
      <c r="AS5858" t="s">
        <v>11594</v>
      </c>
      <c r="AT5858" t="s">
        <v>11642</v>
      </c>
      <c r="AX5858" t="s">
        <v>10838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</row>
    <row r="5859" spans="1:59">
      <c r="A5859" s="1">
        <f>HYPERLINK("https://lsnyc.legalserver.org/matter/dynamic-profile/view/1910150","19-1910150")</f>
        <v>0</v>
      </c>
      <c r="B5859" t="s">
        <v>3731</v>
      </c>
      <c r="C5859" t="s">
        <v>6567</v>
      </c>
      <c r="D5859" t="s">
        <v>9925</v>
      </c>
      <c r="E5859" t="s">
        <v>10075</v>
      </c>
      <c r="F5859">
        <v>10037</v>
      </c>
      <c r="G5859" t="s">
        <v>10089</v>
      </c>
      <c r="H5859" t="s">
        <v>10156</v>
      </c>
      <c r="I5859" t="s">
        <v>10168</v>
      </c>
      <c r="J5859" t="s">
        <v>10209</v>
      </c>
      <c r="K5859" t="s">
        <v>10217</v>
      </c>
      <c r="M5859" t="s">
        <v>10379</v>
      </c>
      <c r="N5859" t="s">
        <v>10703</v>
      </c>
      <c r="P5859" t="s">
        <v>10749</v>
      </c>
      <c r="Q5859" t="s">
        <v>10767</v>
      </c>
      <c r="R5859" t="s">
        <v>10824</v>
      </c>
      <c r="T5859">
        <v>21600</v>
      </c>
      <c r="U5859">
        <v>1800</v>
      </c>
      <c r="V5859">
        <v>69</v>
      </c>
      <c r="W5859">
        <v>1</v>
      </c>
      <c r="X5859">
        <v>0</v>
      </c>
      <c r="Z5859">
        <v>172.94</v>
      </c>
      <c r="AA5859">
        <v>40.811401</v>
      </c>
      <c r="AB5859">
        <v>-73.935316</v>
      </c>
      <c r="AD5859" t="s">
        <v>10840</v>
      </c>
      <c r="AG5859" t="s">
        <v>10858</v>
      </c>
      <c r="AH5859" t="s">
        <v>10862</v>
      </c>
      <c r="AI5859">
        <v>236</v>
      </c>
      <c r="AJ5859" t="s">
        <v>10209</v>
      </c>
      <c r="AL5859">
        <v>1</v>
      </c>
      <c r="AM5859" t="s">
        <v>10887</v>
      </c>
      <c r="AN5859" t="s">
        <v>10936</v>
      </c>
      <c r="AO5859" t="s">
        <v>11016</v>
      </c>
      <c r="AP5859" t="s">
        <v>11076</v>
      </c>
      <c r="AR5859" t="s">
        <v>11296</v>
      </c>
      <c r="AS5859" t="s">
        <v>9925</v>
      </c>
      <c r="BA5859" t="s">
        <v>11742</v>
      </c>
      <c r="BB5859">
        <v>0</v>
      </c>
      <c r="BC5859">
        <v>0</v>
      </c>
      <c r="BD5859">
        <v>0</v>
      </c>
      <c r="BE5859">
        <v>0</v>
      </c>
      <c r="BF5859">
        <v>7</v>
      </c>
      <c r="BG5859">
        <v>0</v>
      </c>
    </row>
    <row r="5860" spans="1:59">
      <c r="A5860" s="1">
        <f>HYPERLINK("https://lsnyc.legalserver.org/matter/dynamic-profile/view/1910151","19-1910151")</f>
        <v>0</v>
      </c>
      <c r="B5860" t="s">
        <v>3793</v>
      </c>
      <c r="C5860" t="s">
        <v>6759</v>
      </c>
      <c r="D5860" t="s">
        <v>9925</v>
      </c>
      <c r="E5860" t="s">
        <v>10075</v>
      </c>
      <c r="F5860">
        <v>10033</v>
      </c>
      <c r="G5860" t="s">
        <v>10089</v>
      </c>
      <c r="H5860" t="s">
        <v>10156</v>
      </c>
      <c r="I5860" t="s">
        <v>10169</v>
      </c>
      <c r="J5860" t="s">
        <v>10209</v>
      </c>
      <c r="K5860" t="s">
        <v>10218</v>
      </c>
      <c r="L5860" t="s">
        <v>10158</v>
      </c>
      <c r="M5860" t="s">
        <v>10379</v>
      </c>
      <c r="N5860" t="s">
        <v>10703</v>
      </c>
      <c r="P5860" t="s">
        <v>10749</v>
      </c>
      <c r="Q5860" t="s">
        <v>10765</v>
      </c>
      <c r="R5860" t="s">
        <v>10821</v>
      </c>
      <c r="T5860">
        <v>0</v>
      </c>
      <c r="U5860">
        <v>0</v>
      </c>
      <c r="V5860">
        <v>54</v>
      </c>
      <c r="W5860">
        <v>1</v>
      </c>
      <c r="X5860">
        <v>0</v>
      </c>
      <c r="Y5860" t="s">
        <v>10829</v>
      </c>
      <c r="Z5860">
        <v>0</v>
      </c>
      <c r="AA5860">
        <v>40.846164</v>
      </c>
      <c r="AB5860">
        <v>-73.93649600000001</v>
      </c>
      <c r="AD5860" t="s">
        <v>10840</v>
      </c>
      <c r="AG5860" t="s">
        <v>10858</v>
      </c>
      <c r="AH5860" t="s">
        <v>10862</v>
      </c>
      <c r="AI5860">
        <v>236</v>
      </c>
      <c r="AJ5860" t="s">
        <v>10209</v>
      </c>
      <c r="AK5860" t="s">
        <v>10882</v>
      </c>
      <c r="AL5860">
        <v>0</v>
      </c>
      <c r="AM5860" t="s">
        <v>10887</v>
      </c>
      <c r="AN5860" t="s">
        <v>10937</v>
      </c>
      <c r="AO5860" t="s">
        <v>11019</v>
      </c>
      <c r="AP5860" t="s">
        <v>11074</v>
      </c>
      <c r="AR5860" t="s">
        <v>11279</v>
      </c>
      <c r="AS5860" t="s">
        <v>9925</v>
      </c>
      <c r="AY5860" t="s">
        <v>10829</v>
      </c>
      <c r="AZ5860" t="s">
        <v>11681</v>
      </c>
      <c r="BA5860" t="s">
        <v>11741</v>
      </c>
      <c r="BB5860">
        <v>0</v>
      </c>
      <c r="BC5860">
        <v>0</v>
      </c>
      <c r="BD5860">
        <v>0</v>
      </c>
      <c r="BE5860">
        <v>0</v>
      </c>
      <c r="BF5860">
        <v>1</v>
      </c>
      <c r="BG5860">
        <v>0</v>
      </c>
    </row>
    <row r="5861" spans="1:59">
      <c r="A5861" s="1">
        <f>HYPERLINK("https://lsnyc.legalserver.org/matter/dynamic-profile/view/1910152","19-1910152")</f>
        <v>0</v>
      </c>
      <c r="B5861" t="s">
        <v>4574</v>
      </c>
      <c r="C5861" t="s">
        <v>9448</v>
      </c>
      <c r="D5861" t="s">
        <v>9968</v>
      </c>
      <c r="E5861" t="s">
        <v>10075</v>
      </c>
      <c r="F5861">
        <v>11411</v>
      </c>
      <c r="G5861" t="s">
        <v>10092</v>
      </c>
      <c r="H5861" t="s">
        <v>10156</v>
      </c>
      <c r="I5861" t="s">
        <v>10168</v>
      </c>
      <c r="J5861" t="s">
        <v>10212</v>
      </c>
      <c r="K5861" t="s">
        <v>10217</v>
      </c>
      <c r="M5861" t="s">
        <v>10374</v>
      </c>
      <c r="N5861" t="s">
        <v>10745</v>
      </c>
      <c r="O5861" t="s">
        <v>10699</v>
      </c>
      <c r="P5861" t="s">
        <v>10754</v>
      </c>
      <c r="Q5861" t="s">
        <v>10775</v>
      </c>
      <c r="R5861" t="s">
        <v>10824</v>
      </c>
      <c r="T5861">
        <v>33800</v>
      </c>
      <c r="U5861">
        <v>2816.67</v>
      </c>
      <c r="V5861">
        <v>58</v>
      </c>
      <c r="W5861">
        <v>1</v>
      </c>
      <c r="X5861">
        <v>0</v>
      </c>
      <c r="Z5861">
        <v>270.62</v>
      </c>
      <c r="AA5861">
        <v>40.697349</v>
      </c>
      <c r="AB5861">
        <v>-73.73559899999999</v>
      </c>
      <c r="AD5861" t="s">
        <v>10839</v>
      </c>
      <c r="AG5861" t="s">
        <v>10858</v>
      </c>
      <c r="AH5861" t="s">
        <v>10865</v>
      </c>
      <c r="AI5861">
        <v>237</v>
      </c>
      <c r="AJ5861" t="s">
        <v>10212</v>
      </c>
      <c r="AL5861">
        <v>1.4</v>
      </c>
      <c r="AM5861" t="s">
        <v>10892</v>
      </c>
      <c r="AN5861" t="s">
        <v>10940</v>
      </c>
      <c r="AO5861" t="s">
        <v>11020</v>
      </c>
      <c r="AP5861" t="s">
        <v>11075</v>
      </c>
      <c r="AR5861" t="s">
        <v>11257</v>
      </c>
      <c r="AS5861" t="s">
        <v>11594</v>
      </c>
      <c r="AT5861" t="s">
        <v>11641</v>
      </c>
      <c r="AX5861" t="s">
        <v>10838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</row>
    <row r="5862" spans="1:59">
      <c r="A5862" s="1">
        <f>HYPERLINK("https://lsnyc.legalserver.org/matter/dynamic-profile/view/1910153","19-1910153")</f>
        <v>0</v>
      </c>
      <c r="B5862" t="s">
        <v>4575</v>
      </c>
      <c r="C5862" t="s">
        <v>9449</v>
      </c>
      <c r="D5862" t="s">
        <v>9926</v>
      </c>
      <c r="E5862" t="s">
        <v>10075</v>
      </c>
      <c r="F5862">
        <v>10468</v>
      </c>
      <c r="G5862" t="s">
        <v>10090</v>
      </c>
      <c r="H5862" t="s">
        <v>10156</v>
      </c>
      <c r="I5862" t="s">
        <v>10168</v>
      </c>
      <c r="J5862" t="s">
        <v>10210</v>
      </c>
      <c r="K5862" t="s">
        <v>10217</v>
      </c>
      <c r="M5862" t="s">
        <v>10401</v>
      </c>
      <c r="N5862" t="s">
        <v>10705</v>
      </c>
      <c r="P5862" t="s">
        <v>10757</v>
      </c>
      <c r="Q5862" t="s">
        <v>10789</v>
      </c>
      <c r="R5862" t="s">
        <v>10824</v>
      </c>
      <c r="T5862">
        <v>0</v>
      </c>
      <c r="U5862">
        <v>0</v>
      </c>
      <c r="V5862">
        <v>38</v>
      </c>
      <c r="W5862">
        <v>1</v>
      </c>
      <c r="X5862">
        <v>0</v>
      </c>
      <c r="Z5862">
        <v>0</v>
      </c>
      <c r="AA5862">
        <v>40.85991</v>
      </c>
      <c r="AB5862">
        <v>-73.90544</v>
      </c>
      <c r="AD5862" t="s">
        <v>10839</v>
      </c>
      <c r="AF5862" t="s">
        <v>10842</v>
      </c>
      <c r="AG5862" t="s">
        <v>10859</v>
      </c>
      <c r="AH5862" t="s">
        <v>10874</v>
      </c>
      <c r="AI5862">
        <v>230</v>
      </c>
      <c r="AJ5862" t="s">
        <v>10210</v>
      </c>
      <c r="AL5862">
        <v>0.25</v>
      </c>
      <c r="AM5862" t="s">
        <v>10884</v>
      </c>
      <c r="AN5862" t="s">
        <v>10931</v>
      </c>
      <c r="AO5862" t="s">
        <v>11000</v>
      </c>
      <c r="AP5862" t="s">
        <v>11045</v>
      </c>
      <c r="AQ5862" t="s">
        <v>11121</v>
      </c>
      <c r="AR5862" t="s">
        <v>11267</v>
      </c>
      <c r="AS5862" t="s">
        <v>9926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</row>
    <row r="5863" spans="1:59">
      <c r="A5863" s="1">
        <f>HYPERLINK("https://lsnyc.legalserver.org/matter/dynamic-profile/view/1910154","19-1910154")</f>
        <v>0</v>
      </c>
      <c r="B5863" t="s">
        <v>4576</v>
      </c>
      <c r="C5863" t="s">
        <v>9450</v>
      </c>
      <c r="D5863" t="s">
        <v>9928</v>
      </c>
      <c r="E5863" t="s">
        <v>10075</v>
      </c>
      <c r="F5863">
        <v>11210</v>
      </c>
      <c r="G5863" t="s">
        <v>10092</v>
      </c>
      <c r="H5863" t="s">
        <v>10156</v>
      </c>
      <c r="I5863" t="s">
        <v>10169</v>
      </c>
      <c r="J5863" t="s">
        <v>10212</v>
      </c>
      <c r="K5863" t="s">
        <v>10217</v>
      </c>
      <c r="M5863" t="s">
        <v>10374</v>
      </c>
      <c r="N5863" t="s">
        <v>10745</v>
      </c>
      <c r="O5863" t="s">
        <v>10648</v>
      </c>
      <c r="P5863" t="s">
        <v>10754</v>
      </c>
      <c r="Q5863" t="s">
        <v>10775</v>
      </c>
      <c r="R5863" t="s">
        <v>10821</v>
      </c>
      <c r="T5863">
        <v>12000</v>
      </c>
      <c r="U5863">
        <v>1000</v>
      </c>
      <c r="V5863">
        <v>32</v>
      </c>
      <c r="W5863">
        <v>1</v>
      </c>
      <c r="X5863">
        <v>2</v>
      </c>
      <c r="Z5863">
        <v>56.26</v>
      </c>
      <c r="AA5863">
        <v>40.631718</v>
      </c>
      <c r="AB5863">
        <v>-73.95480999999999</v>
      </c>
      <c r="AD5863" t="s">
        <v>10839</v>
      </c>
      <c r="AF5863" t="s">
        <v>10842</v>
      </c>
      <c r="AG5863" t="s">
        <v>10859</v>
      </c>
      <c r="AH5863" t="s">
        <v>10865</v>
      </c>
      <c r="AI5863">
        <v>237</v>
      </c>
      <c r="AJ5863" t="s">
        <v>10212</v>
      </c>
      <c r="AL5863">
        <v>1.2</v>
      </c>
      <c r="AM5863" t="s">
        <v>10888</v>
      </c>
      <c r="AN5863" t="s">
        <v>10932</v>
      </c>
      <c r="AO5863" t="s">
        <v>11008</v>
      </c>
      <c r="AP5863" t="s">
        <v>11065</v>
      </c>
      <c r="AR5863" t="s">
        <v>11257</v>
      </c>
      <c r="AS5863" t="s">
        <v>11595</v>
      </c>
      <c r="AT5863" t="s">
        <v>11641</v>
      </c>
      <c r="AX5863" t="s">
        <v>10838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</row>
    <row r="5864" spans="1:59">
      <c r="A5864" s="1">
        <f>HYPERLINK("https://lsnyc.legalserver.org/matter/dynamic-profile/view/1910155","19-1910155")</f>
        <v>0</v>
      </c>
      <c r="B5864" t="s">
        <v>4577</v>
      </c>
      <c r="C5864" t="s">
        <v>9451</v>
      </c>
      <c r="D5864" t="s">
        <v>9928</v>
      </c>
      <c r="E5864" t="s">
        <v>10075</v>
      </c>
      <c r="F5864">
        <v>11224</v>
      </c>
      <c r="G5864" t="s">
        <v>10093</v>
      </c>
      <c r="H5864" t="s">
        <v>10156</v>
      </c>
      <c r="I5864" t="s">
        <v>10171</v>
      </c>
      <c r="J5864" t="s">
        <v>10213</v>
      </c>
      <c r="K5864" t="s">
        <v>10217</v>
      </c>
      <c r="M5864" t="s">
        <v>10390</v>
      </c>
      <c r="N5864" t="s">
        <v>10644</v>
      </c>
      <c r="P5864" t="s">
        <v>10749</v>
      </c>
      <c r="Q5864" t="s">
        <v>10765</v>
      </c>
      <c r="R5864" t="s">
        <v>10820</v>
      </c>
      <c r="T5864">
        <v>50000</v>
      </c>
      <c r="U5864">
        <v>4166.67</v>
      </c>
      <c r="V5864">
        <v>72</v>
      </c>
      <c r="W5864">
        <v>1</v>
      </c>
      <c r="X5864">
        <v>0</v>
      </c>
      <c r="Z5864">
        <v>400.32</v>
      </c>
      <c r="AA5864">
        <v>40.573524</v>
      </c>
      <c r="AB5864">
        <v>-73.992518</v>
      </c>
      <c r="AD5864" t="s">
        <v>10839</v>
      </c>
      <c r="AG5864" t="s">
        <v>10858</v>
      </c>
      <c r="AH5864" t="s">
        <v>10869</v>
      </c>
      <c r="AI5864">
        <v>239</v>
      </c>
      <c r="AJ5864" t="s">
        <v>10213</v>
      </c>
      <c r="AL5864">
        <v>0</v>
      </c>
      <c r="AM5864" t="s">
        <v>10889</v>
      </c>
      <c r="AN5864" t="s">
        <v>10960</v>
      </c>
      <c r="AO5864" t="s">
        <v>11006</v>
      </c>
      <c r="AP5864" t="s">
        <v>11087</v>
      </c>
      <c r="AQ5864" t="s">
        <v>11101</v>
      </c>
      <c r="AR5864" t="s">
        <v>11268</v>
      </c>
      <c r="AS5864" t="s">
        <v>11595</v>
      </c>
      <c r="BA5864" t="s">
        <v>11741</v>
      </c>
      <c r="BB5864">
        <v>0</v>
      </c>
      <c r="BC5864">
        <v>0</v>
      </c>
      <c r="BD5864">
        <v>0</v>
      </c>
      <c r="BE5864">
        <v>0</v>
      </c>
      <c r="BF5864">
        <v>1</v>
      </c>
      <c r="BG5864">
        <v>0</v>
      </c>
    </row>
    <row r="5865" spans="1:59">
      <c r="A5865" s="1">
        <f>HYPERLINK("https://lsnyc.legalserver.org/matter/dynamic-profile/view/1910156","19-1910156")</f>
        <v>0</v>
      </c>
      <c r="B5865" t="s">
        <v>4578</v>
      </c>
      <c r="C5865" t="s">
        <v>9452</v>
      </c>
      <c r="D5865" t="s">
        <v>9942</v>
      </c>
      <c r="E5865" t="s">
        <v>10075</v>
      </c>
      <c r="F5865">
        <v>11357</v>
      </c>
      <c r="G5865" t="s">
        <v>10092</v>
      </c>
      <c r="H5865" t="s">
        <v>10156</v>
      </c>
      <c r="I5865" t="s">
        <v>10168</v>
      </c>
      <c r="J5865" t="s">
        <v>10212</v>
      </c>
      <c r="K5865" t="s">
        <v>10217</v>
      </c>
      <c r="M5865" t="s">
        <v>10258</v>
      </c>
      <c r="N5865" t="s">
        <v>10711</v>
      </c>
      <c r="P5865" t="s">
        <v>10749</v>
      </c>
      <c r="Q5865" t="s">
        <v>10765</v>
      </c>
      <c r="R5865" t="s">
        <v>10822</v>
      </c>
      <c r="T5865">
        <v>9468</v>
      </c>
      <c r="U5865">
        <v>789</v>
      </c>
      <c r="V5865">
        <v>61</v>
      </c>
      <c r="W5865">
        <v>1</v>
      </c>
      <c r="X5865">
        <v>0</v>
      </c>
      <c r="Z5865">
        <v>75.8</v>
      </c>
      <c r="AA5865">
        <v>40.778847</v>
      </c>
      <c r="AB5865">
        <v>-73.80406600000001</v>
      </c>
      <c r="AD5865" t="s">
        <v>10839</v>
      </c>
      <c r="AG5865" t="s">
        <v>10858</v>
      </c>
      <c r="AH5865" t="s">
        <v>10862</v>
      </c>
      <c r="AI5865">
        <v>237</v>
      </c>
      <c r="AJ5865" t="s">
        <v>10212</v>
      </c>
      <c r="AL5865">
        <v>9</v>
      </c>
      <c r="AM5865" t="s">
        <v>10895</v>
      </c>
      <c r="AN5865" t="s">
        <v>10927</v>
      </c>
      <c r="AO5865" t="s">
        <v>11022</v>
      </c>
      <c r="AP5865" t="s">
        <v>11080</v>
      </c>
      <c r="AQ5865" t="s">
        <v>11101</v>
      </c>
      <c r="AR5865" t="s">
        <v>11296</v>
      </c>
      <c r="AS5865" t="s">
        <v>11594</v>
      </c>
      <c r="BA5865" t="s">
        <v>11738</v>
      </c>
      <c r="BB5865">
        <v>0</v>
      </c>
      <c r="BC5865">
        <v>0</v>
      </c>
      <c r="BD5865">
        <v>0</v>
      </c>
      <c r="BE5865">
        <v>0</v>
      </c>
      <c r="BF5865">
        <v>5</v>
      </c>
      <c r="BG5865">
        <v>0</v>
      </c>
    </row>
    <row r="5866" spans="1:59">
      <c r="A5866" s="1">
        <f>HYPERLINK("https://lsnyc.legalserver.org/matter/dynamic-profile/view/1910158","19-1910158")</f>
        <v>0</v>
      </c>
      <c r="B5866" t="s">
        <v>4579</v>
      </c>
      <c r="C5866" t="s">
        <v>9453</v>
      </c>
      <c r="D5866" t="s">
        <v>9925</v>
      </c>
      <c r="E5866" t="s">
        <v>10075</v>
      </c>
      <c r="F5866">
        <v>10032</v>
      </c>
      <c r="G5866" t="s">
        <v>10089</v>
      </c>
      <c r="H5866" t="s">
        <v>10156</v>
      </c>
      <c r="I5866" t="s">
        <v>10169</v>
      </c>
      <c r="J5866" t="s">
        <v>10209</v>
      </c>
      <c r="K5866" t="s">
        <v>10217</v>
      </c>
      <c r="M5866" t="s">
        <v>10379</v>
      </c>
      <c r="N5866" t="s">
        <v>10703</v>
      </c>
      <c r="P5866" t="s">
        <v>10749</v>
      </c>
      <c r="Q5866" t="s">
        <v>10765</v>
      </c>
      <c r="R5866" t="s">
        <v>10821</v>
      </c>
      <c r="T5866">
        <v>52000</v>
      </c>
      <c r="U5866">
        <v>4333.33</v>
      </c>
      <c r="V5866">
        <v>54</v>
      </c>
      <c r="W5866">
        <v>3</v>
      </c>
      <c r="X5866">
        <v>2</v>
      </c>
      <c r="Z5866">
        <v>172.36</v>
      </c>
      <c r="AA5866">
        <v>40.83629</v>
      </c>
      <c r="AB5866">
        <v>-73.94271000000001</v>
      </c>
      <c r="AD5866" t="s">
        <v>10839</v>
      </c>
      <c r="AG5866" t="s">
        <v>10858</v>
      </c>
      <c r="AH5866" t="s">
        <v>10862</v>
      </c>
      <c r="AI5866">
        <v>236</v>
      </c>
      <c r="AJ5866" t="s">
        <v>10209</v>
      </c>
      <c r="AL5866">
        <v>1.5</v>
      </c>
      <c r="AM5866" t="s">
        <v>10887</v>
      </c>
      <c r="AN5866" t="s">
        <v>10943</v>
      </c>
      <c r="AO5866" t="s">
        <v>11019</v>
      </c>
      <c r="AP5866" t="s">
        <v>11073</v>
      </c>
      <c r="AR5866" t="s">
        <v>11257</v>
      </c>
      <c r="AS5866" t="s">
        <v>9925</v>
      </c>
      <c r="BA5866" t="s">
        <v>11742</v>
      </c>
      <c r="BB5866">
        <v>0</v>
      </c>
      <c r="BC5866">
        <v>0</v>
      </c>
      <c r="BD5866">
        <v>0</v>
      </c>
      <c r="BE5866">
        <v>0</v>
      </c>
      <c r="BF5866">
        <v>7</v>
      </c>
      <c r="BG5866">
        <v>0</v>
      </c>
    </row>
    <row r="5867" spans="1:59">
      <c r="A5867" s="1">
        <f>HYPERLINK("https://lsnyc.legalserver.org/matter/dynamic-profile/view/1910159","19-1910159")</f>
        <v>0</v>
      </c>
      <c r="B5867" t="s">
        <v>4580</v>
      </c>
      <c r="C5867" t="s">
        <v>9454</v>
      </c>
      <c r="D5867" t="s">
        <v>9926</v>
      </c>
      <c r="E5867" t="s">
        <v>10075</v>
      </c>
      <c r="F5867">
        <v>10451</v>
      </c>
      <c r="G5867" t="s">
        <v>10089</v>
      </c>
      <c r="H5867" t="s">
        <v>10156</v>
      </c>
      <c r="I5867" t="s">
        <v>10168</v>
      </c>
      <c r="J5867" t="s">
        <v>10209</v>
      </c>
      <c r="K5867" t="s">
        <v>10217</v>
      </c>
      <c r="M5867" t="s">
        <v>10301</v>
      </c>
      <c r="N5867" t="s">
        <v>10665</v>
      </c>
      <c r="P5867" t="s">
        <v>10751</v>
      </c>
      <c r="Q5867" t="s">
        <v>10773</v>
      </c>
      <c r="R5867" t="s">
        <v>10821</v>
      </c>
      <c r="T5867">
        <v>0</v>
      </c>
      <c r="U5867">
        <v>0</v>
      </c>
      <c r="V5867">
        <v>25</v>
      </c>
      <c r="W5867">
        <v>1</v>
      </c>
      <c r="X5867">
        <v>0</v>
      </c>
      <c r="Z5867">
        <v>0</v>
      </c>
      <c r="AA5867">
        <v>40.820389</v>
      </c>
      <c r="AB5867">
        <v>-73.922768</v>
      </c>
      <c r="AD5867" t="s">
        <v>10840</v>
      </c>
      <c r="AG5867" t="s">
        <v>10858</v>
      </c>
      <c r="AH5867" t="s">
        <v>10861</v>
      </c>
      <c r="AI5867">
        <v>234</v>
      </c>
      <c r="AJ5867" t="s">
        <v>10214</v>
      </c>
      <c r="AL5867">
        <v>3</v>
      </c>
      <c r="AQ5867" t="s">
        <v>11115</v>
      </c>
      <c r="AR5867" t="s">
        <v>11267</v>
      </c>
      <c r="AS5867" t="s">
        <v>9926</v>
      </c>
      <c r="AT5867" t="s">
        <v>11642</v>
      </c>
      <c r="AX5867" t="s">
        <v>10838</v>
      </c>
      <c r="BA5867" t="s">
        <v>11741</v>
      </c>
      <c r="BB5867">
        <v>0</v>
      </c>
      <c r="BC5867">
        <v>0</v>
      </c>
      <c r="BD5867">
        <v>0</v>
      </c>
      <c r="BE5867">
        <v>0</v>
      </c>
      <c r="BF5867">
        <v>1</v>
      </c>
      <c r="BG5867">
        <v>0</v>
      </c>
    </row>
    <row r="5868" spans="1:59">
      <c r="A5868" s="1">
        <f>HYPERLINK("https://lsnyc.legalserver.org/matter/dynamic-profile/view/1910160","19-1910160")</f>
        <v>0</v>
      </c>
      <c r="B5868" t="s">
        <v>4455</v>
      </c>
      <c r="C5868" t="s">
        <v>9317</v>
      </c>
      <c r="D5868" t="s">
        <v>9926</v>
      </c>
      <c r="E5868" t="s">
        <v>10075</v>
      </c>
      <c r="F5868">
        <v>10453</v>
      </c>
      <c r="G5868" t="s">
        <v>10090</v>
      </c>
      <c r="H5868" t="s">
        <v>10156</v>
      </c>
      <c r="I5868" t="s">
        <v>10168</v>
      </c>
      <c r="J5868" t="s">
        <v>10210</v>
      </c>
      <c r="K5868" t="s">
        <v>10217</v>
      </c>
      <c r="M5868" t="s">
        <v>10262</v>
      </c>
      <c r="N5868" t="s">
        <v>10666</v>
      </c>
      <c r="P5868" t="s">
        <v>10749</v>
      </c>
      <c r="Q5868" t="s">
        <v>10765</v>
      </c>
      <c r="R5868" t="s">
        <v>10821</v>
      </c>
      <c r="T5868">
        <v>12688</v>
      </c>
      <c r="U5868">
        <v>1057.33</v>
      </c>
      <c r="V5868">
        <v>60</v>
      </c>
      <c r="W5868">
        <v>1</v>
      </c>
      <c r="X5868">
        <v>0</v>
      </c>
      <c r="Z5868">
        <v>101.59</v>
      </c>
      <c r="AA5868">
        <v>40.847133</v>
      </c>
      <c r="AB5868">
        <v>-73.924436</v>
      </c>
      <c r="AD5868" t="s">
        <v>10839</v>
      </c>
      <c r="AG5868" t="s">
        <v>10858</v>
      </c>
      <c r="AH5868" t="s">
        <v>10862</v>
      </c>
      <c r="AI5868">
        <v>230</v>
      </c>
      <c r="AJ5868" t="s">
        <v>10210</v>
      </c>
      <c r="AL5868">
        <v>0.1</v>
      </c>
      <c r="AR5868" t="s">
        <v>11293</v>
      </c>
      <c r="AS5868" t="s">
        <v>9926</v>
      </c>
      <c r="BA5868" t="s">
        <v>11741</v>
      </c>
      <c r="BB5868">
        <v>0</v>
      </c>
      <c r="BC5868">
        <v>0</v>
      </c>
      <c r="BD5868">
        <v>0</v>
      </c>
      <c r="BE5868">
        <v>0</v>
      </c>
      <c r="BF5868">
        <v>1</v>
      </c>
      <c r="BG5868">
        <v>0</v>
      </c>
    </row>
    <row r="5869" spans="1:59">
      <c r="A5869" s="1">
        <f>HYPERLINK("https://lsnyc.legalserver.org/matter/dynamic-profile/view/1910161","19-1910161")</f>
        <v>0</v>
      </c>
      <c r="B5869" t="s">
        <v>1366</v>
      </c>
      <c r="C5869" t="s">
        <v>5625</v>
      </c>
      <c r="D5869" t="s">
        <v>9925</v>
      </c>
      <c r="E5869" t="s">
        <v>10075</v>
      </c>
      <c r="F5869">
        <v>10033</v>
      </c>
      <c r="G5869" t="s">
        <v>10089</v>
      </c>
      <c r="H5869" t="s">
        <v>10156</v>
      </c>
      <c r="I5869" t="s">
        <v>10168</v>
      </c>
      <c r="J5869" t="s">
        <v>10209</v>
      </c>
      <c r="K5869" t="s">
        <v>10217</v>
      </c>
      <c r="M5869" t="s">
        <v>10483</v>
      </c>
      <c r="N5869" t="s">
        <v>10650</v>
      </c>
      <c r="P5869" t="s">
        <v>10749</v>
      </c>
      <c r="Q5869" t="s">
        <v>10765</v>
      </c>
      <c r="R5869" t="s">
        <v>10824</v>
      </c>
      <c r="T5869">
        <v>18000</v>
      </c>
      <c r="U5869">
        <v>1500</v>
      </c>
      <c r="V5869">
        <v>28</v>
      </c>
      <c r="W5869">
        <v>1</v>
      </c>
      <c r="X5869">
        <v>0</v>
      </c>
      <c r="Z5869">
        <v>144.12</v>
      </c>
      <c r="AA5869">
        <v>40.848757</v>
      </c>
      <c r="AB5869">
        <v>-73.932974</v>
      </c>
      <c r="AD5869" t="s">
        <v>10839</v>
      </c>
      <c r="AG5869" t="s">
        <v>10858</v>
      </c>
      <c r="AH5869" t="s">
        <v>10862</v>
      </c>
      <c r="AI5869">
        <v>236</v>
      </c>
      <c r="AJ5869" t="s">
        <v>10209</v>
      </c>
      <c r="AL5869">
        <v>0.2</v>
      </c>
      <c r="AM5869" t="s">
        <v>10887</v>
      </c>
      <c r="AN5869" t="s">
        <v>10937</v>
      </c>
      <c r="AO5869" t="s">
        <v>11019</v>
      </c>
      <c r="AP5869" t="s">
        <v>11074</v>
      </c>
      <c r="AR5869" t="s">
        <v>11257</v>
      </c>
      <c r="AS5869" t="s">
        <v>9925</v>
      </c>
      <c r="AT5869" t="s">
        <v>11641</v>
      </c>
      <c r="AX5869" t="s">
        <v>10838</v>
      </c>
      <c r="BA5869" t="s">
        <v>11742</v>
      </c>
      <c r="BB5869">
        <v>0</v>
      </c>
      <c r="BC5869">
        <v>0</v>
      </c>
      <c r="BD5869">
        <v>0</v>
      </c>
      <c r="BE5869">
        <v>0</v>
      </c>
      <c r="BF5869">
        <v>7</v>
      </c>
      <c r="BG5869">
        <v>0</v>
      </c>
    </row>
    <row r="5870" spans="1:59">
      <c r="A5870" s="1">
        <f>HYPERLINK("https://lsnyc.legalserver.org/matter/dynamic-profile/view/1910162","19-1910162")</f>
        <v>0</v>
      </c>
      <c r="B5870" t="s">
        <v>4581</v>
      </c>
      <c r="C5870" t="s">
        <v>9455</v>
      </c>
      <c r="D5870" t="s">
        <v>9926</v>
      </c>
      <c r="E5870" t="s">
        <v>10075</v>
      </c>
      <c r="F5870">
        <v>10451</v>
      </c>
      <c r="G5870" t="s">
        <v>10091</v>
      </c>
      <c r="H5870" t="s">
        <v>10156</v>
      </c>
      <c r="I5870" t="s">
        <v>10169</v>
      </c>
      <c r="J5870" t="s">
        <v>10211</v>
      </c>
      <c r="K5870" t="s">
        <v>10217</v>
      </c>
      <c r="M5870" t="s">
        <v>10231</v>
      </c>
      <c r="N5870" t="s">
        <v>10647</v>
      </c>
      <c r="P5870" t="s">
        <v>10752</v>
      </c>
      <c r="Q5870" t="s">
        <v>10762</v>
      </c>
      <c r="R5870" t="s">
        <v>10821</v>
      </c>
      <c r="T5870">
        <v>3900</v>
      </c>
      <c r="U5870">
        <v>325</v>
      </c>
      <c r="V5870">
        <v>38</v>
      </c>
      <c r="W5870">
        <v>2</v>
      </c>
      <c r="X5870">
        <v>3</v>
      </c>
      <c r="Z5870">
        <v>12.93</v>
      </c>
      <c r="AA5870">
        <v>40.82106</v>
      </c>
      <c r="AB5870">
        <v>-73.91808399999999</v>
      </c>
      <c r="AD5870" t="s">
        <v>10839</v>
      </c>
      <c r="AG5870" t="s">
        <v>10858</v>
      </c>
      <c r="AH5870" t="s">
        <v>10861</v>
      </c>
      <c r="AI5870">
        <v>234</v>
      </c>
      <c r="AJ5870" t="s">
        <v>10214</v>
      </c>
      <c r="AL5870">
        <v>0.7</v>
      </c>
      <c r="AM5870" t="s">
        <v>10884</v>
      </c>
      <c r="AN5870" t="s">
        <v>10918</v>
      </c>
      <c r="AO5870" t="s">
        <v>11001</v>
      </c>
      <c r="AP5870" t="s">
        <v>11062</v>
      </c>
      <c r="AR5870" t="s">
        <v>11344</v>
      </c>
      <c r="AS5870" t="s">
        <v>9926</v>
      </c>
      <c r="AT5870" t="s">
        <v>11641</v>
      </c>
      <c r="AX5870" t="s">
        <v>10838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</row>
    <row r="5871" spans="1:59">
      <c r="A5871" s="1">
        <f>HYPERLINK("https://lsnyc.legalserver.org/matter/dynamic-profile/view/1910163","19-1910163")</f>
        <v>0</v>
      </c>
      <c r="B5871" t="s">
        <v>4582</v>
      </c>
      <c r="C5871" t="s">
        <v>9456</v>
      </c>
      <c r="D5871" t="s">
        <v>9925</v>
      </c>
      <c r="E5871" t="s">
        <v>10075</v>
      </c>
      <c r="F5871">
        <v>10032</v>
      </c>
      <c r="G5871" t="s">
        <v>10089</v>
      </c>
      <c r="H5871" t="s">
        <v>10156</v>
      </c>
      <c r="I5871" t="s">
        <v>10168</v>
      </c>
      <c r="J5871" t="s">
        <v>10209</v>
      </c>
      <c r="K5871" t="s">
        <v>10218</v>
      </c>
      <c r="L5871" t="s">
        <v>10158</v>
      </c>
      <c r="M5871" t="s">
        <v>10379</v>
      </c>
      <c r="N5871" t="s">
        <v>10703</v>
      </c>
      <c r="P5871" t="s">
        <v>10749</v>
      </c>
      <c r="Q5871" t="s">
        <v>10774</v>
      </c>
      <c r="R5871" t="s">
        <v>10824</v>
      </c>
      <c r="T5871">
        <v>10992</v>
      </c>
      <c r="U5871">
        <v>916</v>
      </c>
      <c r="V5871">
        <v>57</v>
      </c>
      <c r="W5871">
        <v>1</v>
      </c>
      <c r="X5871">
        <v>0</v>
      </c>
      <c r="Y5871" t="s">
        <v>10829</v>
      </c>
      <c r="Z5871">
        <v>88.01000000000001</v>
      </c>
      <c r="AA5871">
        <v>40.831027</v>
      </c>
      <c r="AB5871">
        <v>-73.942274</v>
      </c>
      <c r="AD5871" t="s">
        <v>10840</v>
      </c>
      <c r="AG5871" t="s">
        <v>10858</v>
      </c>
      <c r="AH5871" t="s">
        <v>10862</v>
      </c>
      <c r="AI5871">
        <v>236</v>
      </c>
      <c r="AJ5871" t="s">
        <v>10209</v>
      </c>
      <c r="AK5871" t="s">
        <v>10882</v>
      </c>
      <c r="AL5871">
        <v>0</v>
      </c>
      <c r="AM5871" t="s">
        <v>10887</v>
      </c>
      <c r="AN5871" t="s">
        <v>10943</v>
      </c>
      <c r="AO5871" t="s">
        <v>11016</v>
      </c>
      <c r="AP5871" t="s">
        <v>11073</v>
      </c>
      <c r="AR5871" t="s">
        <v>11319</v>
      </c>
      <c r="AS5871" t="s">
        <v>9925</v>
      </c>
      <c r="AY5871" t="s">
        <v>10829</v>
      </c>
      <c r="AZ5871" t="s">
        <v>11681</v>
      </c>
      <c r="BA5871" t="s">
        <v>11741</v>
      </c>
      <c r="BB5871">
        <v>0</v>
      </c>
      <c r="BC5871">
        <v>0</v>
      </c>
      <c r="BD5871">
        <v>0</v>
      </c>
      <c r="BE5871">
        <v>0</v>
      </c>
      <c r="BF5871">
        <v>1</v>
      </c>
      <c r="BG5871">
        <v>0</v>
      </c>
    </row>
    <row r="5872" spans="1:59">
      <c r="A5872" s="1">
        <f>HYPERLINK("https://lsnyc.legalserver.org/matter/dynamic-profile/view/1910164","19-1910164")</f>
        <v>0</v>
      </c>
      <c r="B5872" t="s">
        <v>4583</v>
      </c>
      <c r="C5872" t="s">
        <v>9457</v>
      </c>
      <c r="D5872" t="s">
        <v>9925</v>
      </c>
      <c r="E5872" t="s">
        <v>10075</v>
      </c>
      <c r="F5872">
        <v>10032</v>
      </c>
      <c r="G5872" t="s">
        <v>10089</v>
      </c>
      <c r="H5872" t="s">
        <v>10156</v>
      </c>
      <c r="I5872" t="s">
        <v>10168</v>
      </c>
      <c r="J5872" t="s">
        <v>10209</v>
      </c>
      <c r="K5872" t="s">
        <v>10217</v>
      </c>
      <c r="M5872" t="s">
        <v>10301</v>
      </c>
      <c r="N5872" t="s">
        <v>10665</v>
      </c>
      <c r="P5872" t="s">
        <v>10751</v>
      </c>
      <c r="Q5872" t="s">
        <v>10773</v>
      </c>
      <c r="R5872" t="s">
        <v>10824</v>
      </c>
      <c r="T5872">
        <v>8136</v>
      </c>
      <c r="U5872">
        <v>678</v>
      </c>
      <c r="V5872">
        <v>53</v>
      </c>
      <c r="W5872">
        <v>1</v>
      </c>
      <c r="X5872">
        <v>0</v>
      </c>
      <c r="Z5872">
        <v>65.14</v>
      </c>
      <c r="AA5872">
        <v>40.833309</v>
      </c>
      <c r="AB5872">
        <v>-73.94203400000001</v>
      </c>
      <c r="AD5872" t="s">
        <v>10840</v>
      </c>
      <c r="AG5872" t="s">
        <v>10858</v>
      </c>
      <c r="AH5872" t="s">
        <v>10861</v>
      </c>
      <c r="AI5872">
        <v>234</v>
      </c>
      <c r="AJ5872" t="s">
        <v>10214</v>
      </c>
      <c r="AL5872">
        <v>3.5</v>
      </c>
      <c r="AM5872" t="s">
        <v>10887</v>
      </c>
      <c r="AN5872" t="s">
        <v>10943</v>
      </c>
      <c r="AO5872" t="s">
        <v>11019</v>
      </c>
      <c r="AP5872" t="s">
        <v>11073</v>
      </c>
      <c r="AQ5872" t="s">
        <v>11115</v>
      </c>
      <c r="AR5872" t="s">
        <v>11316</v>
      </c>
      <c r="AS5872" t="s">
        <v>9925</v>
      </c>
      <c r="AT5872" t="s">
        <v>11642</v>
      </c>
      <c r="AX5872" t="s">
        <v>10838</v>
      </c>
      <c r="BA5872" t="s">
        <v>11741</v>
      </c>
      <c r="BB5872">
        <v>0</v>
      </c>
      <c r="BC5872">
        <v>0</v>
      </c>
      <c r="BD5872">
        <v>0</v>
      </c>
      <c r="BE5872">
        <v>0</v>
      </c>
      <c r="BF5872">
        <v>1</v>
      </c>
      <c r="BG5872">
        <v>0</v>
      </c>
    </row>
    <row r="5873" spans="1:59">
      <c r="A5873" s="1">
        <f>HYPERLINK("https://lsnyc.legalserver.org/matter/dynamic-profile/view/1910165","19-1910165")</f>
        <v>0</v>
      </c>
      <c r="B5873" t="s">
        <v>4584</v>
      </c>
      <c r="C5873" t="s">
        <v>6884</v>
      </c>
      <c r="D5873" t="s">
        <v>9928</v>
      </c>
      <c r="E5873" t="s">
        <v>10075</v>
      </c>
      <c r="F5873">
        <v>11212</v>
      </c>
      <c r="G5873" t="s">
        <v>10093</v>
      </c>
      <c r="H5873" t="s">
        <v>10156</v>
      </c>
      <c r="I5873" t="s">
        <v>10168</v>
      </c>
      <c r="J5873" t="s">
        <v>10213</v>
      </c>
      <c r="K5873" t="s">
        <v>10217</v>
      </c>
      <c r="M5873" t="s">
        <v>10439</v>
      </c>
      <c r="N5873" t="s">
        <v>10650</v>
      </c>
      <c r="P5873" t="s">
        <v>10749</v>
      </c>
      <c r="Q5873" t="s">
        <v>10765</v>
      </c>
      <c r="R5873" t="s">
        <v>10821</v>
      </c>
      <c r="T5873">
        <v>9252</v>
      </c>
      <c r="U5873">
        <v>771</v>
      </c>
      <c r="V5873">
        <v>26</v>
      </c>
      <c r="W5873">
        <v>1</v>
      </c>
      <c r="X5873">
        <v>1</v>
      </c>
      <c r="Z5873">
        <v>54.71</v>
      </c>
      <c r="AA5873">
        <v>40.665626</v>
      </c>
      <c r="AB5873">
        <v>-73.921699</v>
      </c>
      <c r="AC5873" t="s">
        <v>10838</v>
      </c>
      <c r="AD5873" t="s">
        <v>10839</v>
      </c>
      <c r="AG5873" t="s">
        <v>10858</v>
      </c>
      <c r="AH5873" t="s">
        <v>10861</v>
      </c>
      <c r="AI5873">
        <v>234</v>
      </c>
      <c r="AJ5873" t="s">
        <v>10214</v>
      </c>
      <c r="AL5873">
        <v>2</v>
      </c>
      <c r="AM5873" t="s">
        <v>10888</v>
      </c>
      <c r="AN5873" t="s">
        <v>10922</v>
      </c>
      <c r="AO5873" t="s">
        <v>11005</v>
      </c>
      <c r="AP5873" t="s">
        <v>11064</v>
      </c>
      <c r="AR5873" t="s">
        <v>11274</v>
      </c>
      <c r="AS5873" t="s">
        <v>11595</v>
      </c>
      <c r="AT5873" t="s">
        <v>11641</v>
      </c>
      <c r="AX5873" t="s">
        <v>10838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</row>
    <row r="5874" spans="1:59">
      <c r="A5874" s="1">
        <f>HYPERLINK("https://lsnyc.legalserver.org/matter/dynamic-profile/view/1910166","19-1910166")</f>
        <v>0</v>
      </c>
      <c r="B5874" t="s">
        <v>4585</v>
      </c>
      <c r="C5874" t="s">
        <v>9458</v>
      </c>
      <c r="D5874" t="s">
        <v>9925</v>
      </c>
      <c r="E5874" t="s">
        <v>10075</v>
      </c>
      <c r="F5874">
        <v>10039</v>
      </c>
      <c r="G5874" t="s">
        <v>10089</v>
      </c>
      <c r="H5874" t="s">
        <v>10156</v>
      </c>
      <c r="I5874" t="s">
        <v>10169</v>
      </c>
      <c r="J5874" t="s">
        <v>10209</v>
      </c>
      <c r="K5874" t="s">
        <v>10217</v>
      </c>
      <c r="M5874" t="s">
        <v>10431</v>
      </c>
      <c r="N5874" t="s">
        <v>10703</v>
      </c>
      <c r="P5874" t="s">
        <v>10749</v>
      </c>
      <c r="Q5874" t="s">
        <v>10765</v>
      </c>
      <c r="R5874" t="s">
        <v>10821</v>
      </c>
      <c r="T5874">
        <v>15000</v>
      </c>
      <c r="U5874">
        <v>1250</v>
      </c>
      <c r="V5874">
        <v>69</v>
      </c>
      <c r="W5874">
        <v>2</v>
      </c>
      <c r="X5874">
        <v>0</v>
      </c>
      <c r="Z5874">
        <v>88.7</v>
      </c>
      <c r="AA5874">
        <v>40.823729</v>
      </c>
      <c r="AB5874">
        <v>-73.94041900000001</v>
      </c>
      <c r="AD5874" t="s">
        <v>10839</v>
      </c>
      <c r="AG5874" t="s">
        <v>10858</v>
      </c>
      <c r="AH5874" t="s">
        <v>10862</v>
      </c>
      <c r="AI5874">
        <v>236</v>
      </c>
      <c r="AJ5874" t="s">
        <v>10209</v>
      </c>
      <c r="AL5874">
        <v>2.25</v>
      </c>
      <c r="AM5874" t="s">
        <v>10887</v>
      </c>
      <c r="AN5874" t="s">
        <v>10943</v>
      </c>
      <c r="AO5874" t="s">
        <v>11016</v>
      </c>
      <c r="AP5874" t="s">
        <v>11076</v>
      </c>
      <c r="AR5874" t="s">
        <v>11300</v>
      </c>
      <c r="AS5874" t="s">
        <v>9925</v>
      </c>
      <c r="BA5874" t="s">
        <v>11742</v>
      </c>
      <c r="BB5874">
        <v>0</v>
      </c>
      <c r="BC5874">
        <v>0</v>
      </c>
      <c r="BD5874">
        <v>0</v>
      </c>
      <c r="BE5874">
        <v>0</v>
      </c>
      <c r="BF5874">
        <v>7</v>
      </c>
      <c r="BG5874">
        <v>0</v>
      </c>
    </row>
    <row r="5875" spans="1:59">
      <c r="A5875" s="1">
        <f>HYPERLINK("https://lsnyc.legalserver.org/matter/dynamic-profile/view/1910167","19-1910167")</f>
        <v>0</v>
      </c>
      <c r="B5875" t="s">
        <v>4586</v>
      </c>
      <c r="C5875" t="s">
        <v>9459</v>
      </c>
      <c r="D5875" t="s">
        <v>9926</v>
      </c>
      <c r="E5875" t="s">
        <v>10075</v>
      </c>
      <c r="F5875">
        <v>10456</v>
      </c>
      <c r="G5875" t="s">
        <v>10090</v>
      </c>
      <c r="H5875" t="s">
        <v>10156</v>
      </c>
      <c r="I5875" t="s">
        <v>10180</v>
      </c>
      <c r="J5875" t="s">
        <v>10210</v>
      </c>
      <c r="K5875" t="s">
        <v>10217</v>
      </c>
      <c r="M5875" t="s">
        <v>10234</v>
      </c>
      <c r="N5875" t="s">
        <v>10650</v>
      </c>
      <c r="P5875" t="s">
        <v>10749</v>
      </c>
      <c r="Q5875" t="s">
        <v>10765</v>
      </c>
      <c r="R5875" t="s">
        <v>10824</v>
      </c>
      <c r="T5875">
        <v>10800</v>
      </c>
      <c r="U5875">
        <v>900</v>
      </c>
      <c r="V5875">
        <v>27</v>
      </c>
      <c r="W5875">
        <v>1</v>
      </c>
      <c r="X5875">
        <v>3</v>
      </c>
      <c r="Z5875">
        <v>41.94</v>
      </c>
      <c r="AA5875">
        <v>40.830909</v>
      </c>
      <c r="AB5875">
        <v>-73.918323</v>
      </c>
      <c r="AD5875" t="s">
        <v>10839</v>
      </c>
      <c r="AG5875" t="s">
        <v>10858</v>
      </c>
      <c r="AH5875" t="s">
        <v>10862</v>
      </c>
      <c r="AI5875">
        <v>230</v>
      </c>
      <c r="AJ5875" t="s">
        <v>10210</v>
      </c>
      <c r="AL5875">
        <v>0</v>
      </c>
      <c r="AM5875" t="s">
        <v>10884</v>
      </c>
      <c r="AN5875" t="s">
        <v>10929</v>
      </c>
      <c r="AO5875" t="s">
        <v>11001</v>
      </c>
      <c r="AP5875" t="s">
        <v>11055</v>
      </c>
      <c r="AR5875" t="s">
        <v>11257</v>
      </c>
      <c r="AS5875" t="s">
        <v>9926</v>
      </c>
      <c r="BA5875" t="s">
        <v>11738</v>
      </c>
      <c r="BB5875">
        <v>0</v>
      </c>
      <c r="BC5875">
        <v>0</v>
      </c>
      <c r="BD5875">
        <v>0</v>
      </c>
      <c r="BE5875">
        <v>0</v>
      </c>
      <c r="BF5875">
        <v>5</v>
      </c>
      <c r="BG5875">
        <v>0</v>
      </c>
    </row>
    <row r="5876" spans="1:59">
      <c r="A5876" s="1">
        <f>HYPERLINK("https://lsnyc.legalserver.org/matter/dynamic-profile/view/1910168","19-1910168")</f>
        <v>0</v>
      </c>
      <c r="B5876" t="s">
        <v>4227</v>
      </c>
      <c r="C5876" t="s">
        <v>9460</v>
      </c>
      <c r="D5876" t="s">
        <v>9928</v>
      </c>
      <c r="E5876" t="s">
        <v>10075</v>
      </c>
      <c r="F5876">
        <v>11235</v>
      </c>
      <c r="G5876" t="s">
        <v>10093</v>
      </c>
      <c r="H5876" t="s">
        <v>10156</v>
      </c>
      <c r="I5876" t="s">
        <v>10171</v>
      </c>
      <c r="J5876" t="s">
        <v>10213</v>
      </c>
      <c r="K5876" t="s">
        <v>10217</v>
      </c>
      <c r="M5876" t="s">
        <v>10390</v>
      </c>
      <c r="N5876" t="s">
        <v>10644</v>
      </c>
      <c r="P5876" t="s">
        <v>10749</v>
      </c>
      <c r="Q5876" t="s">
        <v>10791</v>
      </c>
      <c r="R5876" t="s">
        <v>10820</v>
      </c>
      <c r="T5876">
        <v>37200</v>
      </c>
      <c r="U5876">
        <v>3100</v>
      </c>
      <c r="V5876">
        <v>70</v>
      </c>
      <c r="W5876">
        <v>1</v>
      </c>
      <c r="X5876">
        <v>0</v>
      </c>
      <c r="Z5876">
        <v>297.84</v>
      </c>
      <c r="AA5876">
        <v>40.586095</v>
      </c>
      <c r="AB5876">
        <v>-73.94234299999999</v>
      </c>
      <c r="AD5876" t="s">
        <v>10839</v>
      </c>
      <c r="AG5876" t="s">
        <v>10858</v>
      </c>
      <c r="AH5876" t="s">
        <v>10869</v>
      </c>
      <c r="AI5876">
        <v>239</v>
      </c>
      <c r="AJ5876" t="s">
        <v>10213</v>
      </c>
      <c r="AL5876">
        <v>1</v>
      </c>
      <c r="AM5876" t="s">
        <v>10888</v>
      </c>
      <c r="AN5876" t="s">
        <v>10957</v>
      </c>
      <c r="AO5876" t="s">
        <v>11006</v>
      </c>
      <c r="AP5876" t="s">
        <v>11092</v>
      </c>
      <c r="AQ5876" t="s">
        <v>11133</v>
      </c>
      <c r="AR5876" t="s">
        <v>11287</v>
      </c>
      <c r="AS5876" t="s">
        <v>11595</v>
      </c>
      <c r="BA5876" t="s">
        <v>11740</v>
      </c>
      <c r="BB5876">
        <v>0</v>
      </c>
      <c r="BC5876">
        <v>0</v>
      </c>
      <c r="BD5876">
        <v>0</v>
      </c>
      <c r="BE5876">
        <v>0</v>
      </c>
      <c r="BF5876">
        <v>2</v>
      </c>
      <c r="BG5876">
        <v>0</v>
      </c>
    </row>
    <row r="5877" spans="1:59">
      <c r="A5877" s="1">
        <f>HYPERLINK("https://lsnyc.legalserver.org/matter/dynamic-profile/view/1910169","19-1910169")</f>
        <v>0</v>
      </c>
      <c r="B5877" t="s">
        <v>4587</v>
      </c>
      <c r="C5877" t="s">
        <v>9225</v>
      </c>
      <c r="D5877" t="s">
        <v>9925</v>
      </c>
      <c r="E5877" t="s">
        <v>10075</v>
      </c>
      <c r="F5877">
        <v>10032</v>
      </c>
      <c r="G5877" t="s">
        <v>10089</v>
      </c>
      <c r="H5877" t="s">
        <v>10156</v>
      </c>
      <c r="I5877" t="s">
        <v>10169</v>
      </c>
      <c r="J5877" t="s">
        <v>10209</v>
      </c>
      <c r="K5877" t="s">
        <v>10217</v>
      </c>
      <c r="M5877" t="s">
        <v>10451</v>
      </c>
      <c r="N5877" t="s">
        <v>10650</v>
      </c>
      <c r="P5877" t="s">
        <v>10749</v>
      </c>
      <c r="Q5877" t="s">
        <v>10765</v>
      </c>
      <c r="R5877" t="s">
        <v>10821</v>
      </c>
      <c r="T5877">
        <v>53872</v>
      </c>
      <c r="U5877">
        <v>4489.33</v>
      </c>
      <c r="V5877">
        <v>55</v>
      </c>
      <c r="W5877">
        <v>5</v>
      </c>
      <c r="X5877">
        <v>0</v>
      </c>
      <c r="Z5877">
        <v>178.56</v>
      </c>
      <c r="AA5877">
        <v>40.844855</v>
      </c>
      <c r="AB5877">
        <v>-73.939882</v>
      </c>
      <c r="AD5877" t="s">
        <v>10839</v>
      </c>
      <c r="AF5877" t="s">
        <v>10843</v>
      </c>
      <c r="AG5877" t="s">
        <v>10859</v>
      </c>
      <c r="AH5877" t="s">
        <v>10862</v>
      </c>
      <c r="AI5877">
        <v>236</v>
      </c>
      <c r="AJ5877" t="s">
        <v>10209</v>
      </c>
      <c r="AL5877">
        <v>1</v>
      </c>
      <c r="AM5877" t="s">
        <v>10887</v>
      </c>
      <c r="AN5877" t="s">
        <v>10943</v>
      </c>
      <c r="AO5877" t="s">
        <v>11019</v>
      </c>
      <c r="AP5877" t="s">
        <v>11074</v>
      </c>
      <c r="AR5877" t="s">
        <v>11257</v>
      </c>
      <c r="AS5877" t="s">
        <v>9925</v>
      </c>
      <c r="AT5877" t="s">
        <v>11641</v>
      </c>
      <c r="AX5877" t="s">
        <v>10838</v>
      </c>
      <c r="BA5877" t="s">
        <v>11742</v>
      </c>
      <c r="BB5877">
        <v>0</v>
      </c>
      <c r="BC5877">
        <v>0</v>
      </c>
      <c r="BD5877">
        <v>0</v>
      </c>
      <c r="BE5877">
        <v>0</v>
      </c>
      <c r="BF5877">
        <v>7</v>
      </c>
      <c r="BG5877">
        <v>0</v>
      </c>
    </row>
    <row r="5878" spans="1:59">
      <c r="A5878" s="1">
        <f>HYPERLINK("https://lsnyc.legalserver.org/matter/dynamic-profile/view/1910170","19-1910170")</f>
        <v>0</v>
      </c>
      <c r="B5878" t="s">
        <v>4586</v>
      </c>
      <c r="C5878" t="s">
        <v>9459</v>
      </c>
      <c r="D5878" t="s">
        <v>9926</v>
      </c>
      <c r="E5878" t="s">
        <v>10075</v>
      </c>
      <c r="F5878">
        <v>10456</v>
      </c>
      <c r="G5878" t="s">
        <v>10090</v>
      </c>
      <c r="H5878" t="s">
        <v>10156</v>
      </c>
      <c r="I5878" t="s">
        <v>10180</v>
      </c>
      <c r="J5878" t="s">
        <v>10210</v>
      </c>
      <c r="K5878" t="s">
        <v>10217</v>
      </c>
      <c r="M5878" t="s">
        <v>10234</v>
      </c>
      <c r="N5878" t="s">
        <v>10650</v>
      </c>
      <c r="P5878" t="s">
        <v>10749</v>
      </c>
      <c r="Q5878" t="s">
        <v>10765</v>
      </c>
      <c r="R5878" t="s">
        <v>10824</v>
      </c>
      <c r="T5878">
        <v>10800</v>
      </c>
      <c r="U5878">
        <v>900</v>
      </c>
      <c r="V5878">
        <v>27</v>
      </c>
      <c r="W5878">
        <v>1</v>
      </c>
      <c r="X5878">
        <v>3</v>
      </c>
      <c r="Z5878">
        <v>41.94</v>
      </c>
      <c r="AA5878">
        <v>40.830909</v>
      </c>
      <c r="AB5878">
        <v>-73.918323</v>
      </c>
      <c r="AD5878" t="s">
        <v>10839</v>
      </c>
      <c r="AG5878" t="s">
        <v>10858</v>
      </c>
      <c r="AH5878" t="s">
        <v>10862</v>
      </c>
      <c r="AI5878">
        <v>230</v>
      </c>
      <c r="AJ5878" t="s">
        <v>10210</v>
      </c>
      <c r="AL5878">
        <v>0</v>
      </c>
      <c r="AM5878" t="s">
        <v>10884</v>
      </c>
      <c r="AN5878" t="s">
        <v>10929</v>
      </c>
      <c r="AO5878" t="s">
        <v>11001</v>
      </c>
      <c r="AP5878" t="s">
        <v>11055</v>
      </c>
      <c r="AR5878" t="s">
        <v>11257</v>
      </c>
      <c r="AS5878" t="s">
        <v>9926</v>
      </c>
      <c r="BA5878" t="s">
        <v>11739</v>
      </c>
      <c r="BB5878">
        <v>0</v>
      </c>
      <c r="BC5878">
        <v>0</v>
      </c>
      <c r="BD5878">
        <v>0</v>
      </c>
      <c r="BE5878">
        <v>0</v>
      </c>
      <c r="BF5878">
        <v>4</v>
      </c>
      <c r="BG5878">
        <v>0</v>
      </c>
    </row>
    <row r="5879" spans="1:59">
      <c r="A5879" s="1">
        <f>HYPERLINK("https://lsnyc.legalserver.org/matter/dynamic-profile/view/1910171","19-1910171")</f>
        <v>0</v>
      </c>
      <c r="B5879" t="s">
        <v>4588</v>
      </c>
      <c r="C5879" t="s">
        <v>8721</v>
      </c>
      <c r="D5879" t="s">
        <v>9925</v>
      </c>
      <c r="E5879" t="s">
        <v>10075</v>
      </c>
      <c r="F5879">
        <v>10019</v>
      </c>
      <c r="G5879" t="s">
        <v>10089</v>
      </c>
      <c r="H5879" t="s">
        <v>10156</v>
      </c>
      <c r="I5879" t="s">
        <v>10168</v>
      </c>
      <c r="J5879" t="s">
        <v>10209</v>
      </c>
      <c r="K5879" t="s">
        <v>10218</v>
      </c>
      <c r="L5879" t="s">
        <v>10158</v>
      </c>
      <c r="M5879" t="s">
        <v>10379</v>
      </c>
      <c r="N5879" t="s">
        <v>10703</v>
      </c>
      <c r="P5879" t="s">
        <v>10749</v>
      </c>
      <c r="Q5879" t="s">
        <v>10765</v>
      </c>
      <c r="R5879" t="s">
        <v>10825</v>
      </c>
      <c r="T5879">
        <v>3120</v>
      </c>
      <c r="U5879">
        <v>260</v>
      </c>
      <c r="V5879">
        <v>42</v>
      </c>
      <c r="W5879">
        <v>1</v>
      </c>
      <c r="X5879">
        <v>0</v>
      </c>
      <c r="Y5879" t="s">
        <v>10829</v>
      </c>
      <c r="Z5879">
        <v>24.98</v>
      </c>
      <c r="AA5879">
        <v>40.769473</v>
      </c>
      <c r="AB5879">
        <v>-73.985606</v>
      </c>
      <c r="AD5879" t="s">
        <v>10839</v>
      </c>
      <c r="AG5879" t="s">
        <v>10858</v>
      </c>
      <c r="AH5879" t="s">
        <v>10862</v>
      </c>
      <c r="AI5879">
        <v>236</v>
      </c>
      <c r="AJ5879" t="s">
        <v>10209</v>
      </c>
      <c r="AK5879" t="s">
        <v>10882</v>
      </c>
      <c r="AL5879">
        <v>0</v>
      </c>
      <c r="AR5879" t="s">
        <v>11262</v>
      </c>
      <c r="AS5879" t="s">
        <v>9925</v>
      </c>
      <c r="AY5879" t="s">
        <v>10829</v>
      </c>
      <c r="AZ5879" t="s">
        <v>11681</v>
      </c>
      <c r="BA5879" t="s">
        <v>11741</v>
      </c>
      <c r="BB5879">
        <v>0</v>
      </c>
      <c r="BC5879">
        <v>0</v>
      </c>
      <c r="BD5879">
        <v>0</v>
      </c>
      <c r="BE5879">
        <v>0</v>
      </c>
      <c r="BF5879">
        <v>1</v>
      </c>
      <c r="BG5879">
        <v>0</v>
      </c>
    </row>
    <row r="5880" spans="1:59">
      <c r="A5880" s="1">
        <f>HYPERLINK("https://lsnyc.legalserver.org/matter/dynamic-profile/view/1910172","19-1910172")</f>
        <v>0</v>
      </c>
      <c r="B5880" t="s">
        <v>4589</v>
      </c>
      <c r="C5880" t="s">
        <v>9461</v>
      </c>
      <c r="D5880" t="s">
        <v>9928</v>
      </c>
      <c r="E5880" t="s">
        <v>10075</v>
      </c>
      <c r="F5880">
        <v>11212</v>
      </c>
      <c r="G5880" t="s">
        <v>10093</v>
      </c>
      <c r="H5880" t="s">
        <v>10156</v>
      </c>
      <c r="I5880" t="s">
        <v>10168</v>
      </c>
      <c r="J5880" t="s">
        <v>10213</v>
      </c>
      <c r="K5880" t="s">
        <v>10217</v>
      </c>
      <c r="M5880" t="s">
        <v>10345</v>
      </c>
      <c r="N5880" t="s">
        <v>10650</v>
      </c>
      <c r="P5880" t="s">
        <v>10749</v>
      </c>
      <c r="Q5880" t="s">
        <v>10765</v>
      </c>
      <c r="R5880" t="s">
        <v>10824</v>
      </c>
      <c r="T5880">
        <v>27000</v>
      </c>
      <c r="U5880">
        <v>2250</v>
      </c>
      <c r="V5880">
        <v>40</v>
      </c>
      <c r="W5880">
        <v>4</v>
      </c>
      <c r="X5880">
        <v>0</v>
      </c>
      <c r="Z5880">
        <v>104.85</v>
      </c>
      <c r="AA5880">
        <v>40.664076</v>
      </c>
      <c r="AB5880">
        <v>-73.923693</v>
      </c>
      <c r="AD5880" t="s">
        <v>10840</v>
      </c>
      <c r="AG5880" t="s">
        <v>10858</v>
      </c>
      <c r="AH5880" t="s">
        <v>10862</v>
      </c>
      <c r="AI5880">
        <v>239</v>
      </c>
      <c r="AJ5880" t="s">
        <v>10213</v>
      </c>
      <c r="AL5880">
        <v>1.25</v>
      </c>
      <c r="AM5880" t="s">
        <v>10888</v>
      </c>
      <c r="AN5880" t="s">
        <v>10922</v>
      </c>
      <c r="AO5880" t="s">
        <v>11005</v>
      </c>
      <c r="AP5880" t="s">
        <v>11064</v>
      </c>
      <c r="AR5880" t="s">
        <v>11257</v>
      </c>
      <c r="AS5880" t="s">
        <v>11595</v>
      </c>
      <c r="AT5880" t="s">
        <v>11642</v>
      </c>
      <c r="AX5880" t="s">
        <v>10838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</row>
    <row r="5881" spans="1:59">
      <c r="A5881" s="1">
        <f>HYPERLINK("https://lsnyc.legalserver.org/matter/dynamic-profile/view/1910173","19-1910173")</f>
        <v>0</v>
      </c>
      <c r="B5881" t="s">
        <v>4590</v>
      </c>
      <c r="C5881" t="s">
        <v>9462</v>
      </c>
      <c r="D5881" t="s">
        <v>9926</v>
      </c>
      <c r="E5881" t="s">
        <v>10075</v>
      </c>
      <c r="F5881">
        <v>10463</v>
      </c>
      <c r="G5881" t="s">
        <v>10091</v>
      </c>
      <c r="H5881" t="s">
        <v>10156</v>
      </c>
      <c r="I5881" t="s">
        <v>10168</v>
      </c>
      <c r="J5881" t="s">
        <v>10214</v>
      </c>
      <c r="K5881" t="s">
        <v>10217</v>
      </c>
      <c r="M5881" t="s">
        <v>10286</v>
      </c>
      <c r="N5881" t="s">
        <v>10671</v>
      </c>
      <c r="P5881" t="s">
        <v>10752</v>
      </c>
      <c r="Q5881" t="s">
        <v>10762</v>
      </c>
      <c r="R5881" t="s">
        <v>10824</v>
      </c>
      <c r="T5881">
        <v>24000</v>
      </c>
      <c r="U5881">
        <v>2000</v>
      </c>
      <c r="V5881">
        <v>76</v>
      </c>
      <c r="W5881">
        <v>1</v>
      </c>
      <c r="X5881">
        <v>0</v>
      </c>
      <c r="Z5881">
        <v>192.15</v>
      </c>
      <c r="AA5881">
        <v>40.874224</v>
      </c>
      <c r="AB5881">
        <v>-73.908233</v>
      </c>
      <c r="AD5881" t="s">
        <v>10839</v>
      </c>
      <c r="AG5881" t="s">
        <v>10858</v>
      </c>
      <c r="AH5881" t="s">
        <v>10861</v>
      </c>
      <c r="AI5881">
        <v>234</v>
      </c>
      <c r="AJ5881" t="s">
        <v>10214</v>
      </c>
      <c r="AL5881">
        <v>0.4</v>
      </c>
      <c r="AM5881" t="s">
        <v>10887</v>
      </c>
      <c r="AN5881" t="s">
        <v>10937</v>
      </c>
      <c r="AO5881" t="s">
        <v>11019</v>
      </c>
      <c r="AP5881" t="s">
        <v>11074</v>
      </c>
      <c r="AR5881" t="s">
        <v>11345</v>
      </c>
      <c r="AS5881" t="s">
        <v>9926</v>
      </c>
      <c r="AT5881" t="s">
        <v>11642</v>
      </c>
      <c r="AX5881" t="s">
        <v>10838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</row>
    <row r="5882" spans="1:59">
      <c r="A5882" s="1">
        <f>HYPERLINK("https://lsnyc.legalserver.org/matter/dynamic-profile/view/1910174","19-1910174")</f>
        <v>0</v>
      </c>
      <c r="B5882" t="s">
        <v>4591</v>
      </c>
      <c r="C5882" t="s">
        <v>9463</v>
      </c>
      <c r="D5882" t="s">
        <v>9928</v>
      </c>
      <c r="E5882" t="s">
        <v>10075</v>
      </c>
      <c r="F5882">
        <v>11226</v>
      </c>
      <c r="G5882" t="s">
        <v>10093</v>
      </c>
      <c r="H5882" t="s">
        <v>10156</v>
      </c>
      <c r="I5882" t="s">
        <v>10168</v>
      </c>
      <c r="J5882" t="s">
        <v>10213</v>
      </c>
      <c r="K5882" t="s">
        <v>10217</v>
      </c>
      <c r="M5882" t="s">
        <v>10344</v>
      </c>
      <c r="N5882" t="s">
        <v>10646</v>
      </c>
      <c r="P5882" t="s">
        <v>10749</v>
      </c>
      <c r="Q5882" t="s">
        <v>10765</v>
      </c>
      <c r="R5882" t="s">
        <v>10824</v>
      </c>
      <c r="T5882">
        <v>28500</v>
      </c>
      <c r="U5882">
        <v>2375</v>
      </c>
      <c r="V5882">
        <v>75</v>
      </c>
      <c r="W5882">
        <v>1</v>
      </c>
      <c r="X5882">
        <v>0</v>
      </c>
      <c r="Z5882">
        <v>228.18</v>
      </c>
      <c r="AA5882">
        <v>40.652171</v>
      </c>
      <c r="AB5882">
        <v>-73.95298</v>
      </c>
      <c r="AD5882" t="s">
        <v>10840</v>
      </c>
      <c r="AG5882" t="s">
        <v>10858</v>
      </c>
      <c r="AH5882" t="s">
        <v>10862</v>
      </c>
      <c r="AI5882">
        <v>239</v>
      </c>
      <c r="AJ5882" t="s">
        <v>10213</v>
      </c>
      <c r="AL5882">
        <v>0</v>
      </c>
      <c r="AM5882" t="s">
        <v>10888</v>
      </c>
      <c r="AN5882" t="s">
        <v>10912</v>
      </c>
      <c r="AO5882" t="s">
        <v>11005</v>
      </c>
      <c r="AP5882" t="s">
        <v>11050</v>
      </c>
      <c r="AR5882" t="s">
        <v>11379</v>
      </c>
      <c r="AS5882" t="s">
        <v>11595</v>
      </c>
      <c r="BA5882" t="s">
        <v>11742</v>
      </c>
      <c r="BB5882">
        <v>0</v>
      </c>
      <c r="BC5882">
        <v>0</v>
      </c>
      <c r="BD5882">
        <v>0</v>
      </c>
      <c r="BE5882">
        <v>0</v>
      </c>
      <c r="BF5882">
        <v>7</v>
      </c>
      <c r="BG5882">
        <v>0</v>
      </c>
    </row>
    <row r="5883" spans="1:59">
      <c r="A5883" s="1">
        <f>HYPERLINK("https://lsnyc.legalserver.org/matter/dynamic-profile/view/1910175","19-1910175")</f>
        <v>0</v>
      </c>
      <c r="B5883" t="s">
        <v>818</v>
      </c>
      <c r="C5883" t="s">
        <v>8779</v>
      </c>
      <c r="D5883" t="s">
        <v>9928</v>
      </c>
      <c r="E5883" t="s">
        <v>10075</v>
      </c>
      <c r="F5883">
        <v>11209</v>
      </c>
      <c r="G5883" t="s">
        <v>10093</v>
      </c>
      <c r="H5883" t="s">
        <v>10156</v>
      </c>
      <c r="I5883" t="s">
        <v>10168</v>
      </c>
      <c r="J5883" t="s">
        <v>10213</v>
      </c>
      <c r="K5883" t="s">
        <v>10217</v>
      </c>
      <c r="M5883" t="s">
        <v>10315</v>
      </c>
      <c r="N5883" t="s">
        <v>10671</v>
      </c>
      <c r="P5883" t="s">
        <v>10750</v>
      </c>
      <c r="Q5883" t="s">
        <v>10778</v>
      </c>
      <c r="R5883" t="s">
        <v>10820</v>
      </c>
      <c r="T5883">
        <v>0</v>
      </c>
      <c r="U5883">
        <v>0</v>
      </c>
      <c r="V5883">
        <v>57</v>
      </c>
      <c r="W5883">
        <v>1</v>
      </c>
      <c r="X5883">
        <v>0</v>
      </c>
      <c r="Z5883">
        <v>0</v>
      </c>
      <c r="AA5883">
        <v>40.617646</v>
      </c>
      <c r="AB5883">
        <v>-74.038157</v>
      </c>
      <c r="AD5883" t="s">
        <v>10839</v>
      </c>
      <c r="AG5883" t="s">
        <v>10858</v>
      </c>
      <c r="AH5883" t="s">
        <v>10861</v>
      </c>
      <c r="AI5883">
        <v>234</v>
      </c>
      <c r="AJ5883" t="s">
        <v>10214</v>
      </c>
      <c r="AL5883">
        <v>1.3</v>
      </c>
      <c r="AR5883" t="s">
        <v>11267</v>
      </c>
      <c r="AS5883" t="s">
        <v>11595</v>
      </c>
      <c r="AT5883" t="s">
        <v>11641</v>
      </c>
      <c r="AX5883" t="s">
        <v>10838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</row>
    <row r="5884" spans="1:59">
      <c r="A5884" s="1">
        <f>HYPERLINK("https://lsnyc.legalserver.org/matter/dynamic-profile/view/1910176","19-1910176")</f>
        <v>0</v>
      </c>
      <c r="B5884" t="s">
        <v>4569</v>
      </c>
      <c r="C5884" t="s">
        <v>9459</v>
      </c>
      <c r="D5884" t="s">
        <v>9926</v>
      </c>
      <c r="E5884" t="s">
        <v>10075</v>
      </c>
      <c r="F5884">
        <v>10456</v>
      </c>
      <c r="G5884" t="s">
        <v>10090</v>
      </c>
      <c r="H5884" t="s">
        <v>10156</v>
      </c>
      <c r="I5884" t="s">
        <v>10168</v>
      </c>
      <c r="J5884" t="s">
        <v>10210</v>
      </c>
      <c r="K5884" t="s">
        <v>10217</v>
      </c>
      <c r="M5884" t="s">
        <v>10234</v>
      </c>
      <c r="N5884" t="s">
        <v>10650</v>
      </c>
      <c r="P5884" t="s">
        <v>10749</v>
      </c>
      <c r="Q5884" t="s">
        <v>10765</v>
      </c>
      <c r="R5884" t="s">
        <v>10824</v>
      </c>
      <c r="T5884">
        <v>27944</v>
      </c>
      <c r="U5884">
        <v>2328.67</v>
      </c>
      <c r="V5884">
        <v>18</v>
      </c>
      <c r="W5884">
        <v>3</v>
      </c>
      <c r="X5884">
        <v>1</v>
      </c>
      <c r="Z5884">
        <v>108.52</v>
      </c>
      <c r="AA5884">
        <v>40.830909</v>
      </c>
      <c r="AB5884">
        <v>-73.918323</v>
      </c>
      <c r="AD5884" t="s">
        <v>10840</v>
      </c>
      <c r="AG5884" t="s">
        <v>10858</v>
      </c>
      <c r="AH5884" t="s">
        <v>10862</v>
      </c>
      <c r="AI5884">
        <v>230</v>
      </c>
      <c r="AJ5884" t="s">
        <v>10210</v>
      </c>
      <c r="AL5884">
        <v>0</v>
      </c>
      <c r="AM5884" t="s">
        <v>10884</v>
      </c>
      <c r="AN5884" t="s">
        <v>10929</v>
      </c>
      <c r="AO5884" t="s">
        <v>11001</v>
      </c>
      <c r="AP5884" t="s">
        <v>11055</v>
      </c>
      <c r="AR5884" t="s">
        <v>11265</v>
      </c>
      <c r="AS5884" t="s">
        <v>9926</v>
      </c>
      <c r="BA5884" t="s">
        <v>11738</v>
      </c>
      <c r="BB5884">
        <v>0</v>
      </c>
      <c r="BC5884">
        <v>0</v>
      </c>
      <c r="BD5884">
        <v>0</v>
      </c>
      <c r="BE5884">
        <v>0</v>
      </c>
      <c r="BF5884">
        <v>5</v>
      </c>
      <c r="BG5884">
        <v>0</v>
      </c>
    </row>
    <row r="5885" spans="1:59">
      <c r="A5885" s="1">
        <f>HYPERLINK("https://lsnyc.legalserver.org/matter/dynamic-profile/view/1910177","19-1910177")</f>
        <v>0</v>
      </c>
      <c r="B5885" t="s">
        <v>4148</v>
      </c>
      <c r="C5885" t="s">
        <v>9464</v>
      </c>
      <c r="D5885" t="s">
        <v>9925</v>
      </c>
      <c r="E5885" t="s">
        <v>10075</v>
      </c>
      <c r="F5885">
        <v>10030</v>
      </c>
      <c r="G5885" t="s">
        <v>10089</v>
      </c>
      <c r="H5885" t="s">
        <v>10156</v>
      </c>
      <c r="I5885" t="s">
        <v>10168</v>
      </c>
      <c r="J5885" t="s">
        <v>10209</v>
      </c>
      <c r="K5885" t="s">
        <v>10218</v>
      </c>
      <c r="L5885" t="s">
        <v>10158</v>
      </c>
      <c r="M5885" t="s">
        <v>10379</v>
      </c>
      <c r="N5885" t="s">
        <v>10703</v>
      </c>
      <c r="P5885" t="s">
        <v>10749</v>
      </c>
      <c r="Q5885" t="s">
        <v>10767</v>
      </c>
      <c r="R5885" t="s">
        <v>10824</v>
      </c>
      <c r="T5885">
        <v>9252</v>
      </c>
      <c r="U5885">
        <v>771</v>
      </c>
      <c r="V5885">
        <v>56</v>
      </c>
      <c r="W5885">
        <v>1</v>
      </c>
      <c r="X5885">
        <v>0</v>
      </c>
      <c r="Y5885" t="s">
        <v>10829</v>
      </c>
      <c r="Z5885">
        <v>74.08</v>
      </c>
      <c r="AA5885">
        <v>40.821739</v>
      </c>
      <c r="AB5885">
        <v>-73.942365</v>
      </c>
      <c r="AD5885" t="s">
        <v>10839</v>
      </c>
      <c r="AG5885" t="s">
        <v>10858</v>
      </c>
      <c r="AH5885" t="s">
        <v>10862</v>
      </c>
      <c r="AI5885">
        <v>236</v>
      </c>
      <c r="AJ5885" t="s">
        <v>10209</v>
      </c>
      <c r="AK5885" t="s">
        <v>10882</v>
      </c>
      <c r="AL5885">
        <v>0</v>
      </c>
      <c r="AM5885" t="s">
        <v>10887</v>
      </c>
      <c r="AN5885" t="s">
        <v>10936</v>
      </c>
      <c r="AO5885" t="s">
        <v>11016</v>
      </c>
      <c r="AP5885" t="s">
        <v>11076</v>
      </c>
      <c r="AR5885" t="s">
        <v>11263</v>
      </c>
      <c r="AS5885" t="s">
        <v>9925</v>
      </c>
      <c r="AY5885" t="s">
        <v>10829</v>
      </c>
      <c r="AZ5885" t="s">
        <v>11681</v>
      </c>
      <c r="BA5885" t="s">
        <v>11741</v>
      </c>
      <c r="BB5885">
        <v>0</v>
      </c>
      <c r="BC5885">
        <v>0</v>
      </c>
      <c r="BD5885">
        <v>0</v>
      </c>
      <c r="BE5885">
        <v>0</v>
      </c>
      <c r="BF5885">
        <v>1</v>
      </c>
      <c r="BG5885">
        <v>0</v>
      </c>
    </row>
    <row r="5886" spans="1:59">
      <c r="A5886" s="1">
        <f>HYPERLINK("https://lsnyc.legalserver.org/matter/dynamic-profile/view/1910178","19-1910178")</f>
        <v>0</v>
      </c>
      <c r="B5886" t="s">
        <v>4215</v>
      </c>
      <c r="C5886" t="s">
        <v>5118</v>
      </c>
      <c r="D5886" t="s">
        <v>9925</v>
      </c>
      <c r="E5886" t="s">
        <v>10075</v>
      </c>
      <c r="F5886">
        <v>10030</v>
      </c>
      <c r="G5886" t="s">
        <v>10089</v>
      </c>
      <c r="H5886" t="s">
        <v>10156</v>
      </c>
      <c r="I5886" t="s">
        <v>10168</v>
      </c>
      <c r="J5886" t="s">
        <v>10209</v>
      </c>
      <c r="K5886" t="s">
        <v>10217</v>
      </c>
      <c r="M5886" t="s">
        <v>10301</v>
      </c>
      <c r="N5886" t="s">
        <v>10665</v>
      </c>
      <c r="P5886" t="s">
        <v>10751</v>
      </c>
      <c r="Q5886" t="s">
        <v>10773</v>
      </c>
      <c r="R5886" t="s">
        <v>10824</v>
      </c>
      <c r="T5886">
        <v>13364</v>
      </c>
      <c r="U5886">
        <v>1113.67</v>
      </c>
      <c r="V5886">
        <v>26</v>
      </c>
      <c r="W5886">
        <v>1</v>
      </c>
      <c r="X5886">
        <v>1</v>
      </c>
      <c r="Z5886">
        <v>79.03</v>
      </c>
      <c r="AA5886">
        <v>40.819841</v>
      </c>
      <c r="AB5886">
        <v>-73.939909</v>
      </c>
      <c r="AD5886" t="s">
        <v>10839</v>
      </c>
      <c r="AG5886" t="s">
        <v>10858</v>
      </c>
      <c r="AH5886" t="s">
        <v>10861</v>
      </c>
      <c r="AI5886">
        <v>234</v>
      </c>
      <c r="AJ5886" t="s">
        <v>10214</v>
      </c>
      <c r="AL5886">
        <v>3.75</v>
      </c>
      <c r="AQ5886" t="s">
        <v>11115</v>
      </c>
      <c r="AR5886" t="s">
        <v>11275</v>
      </c>
      <c r="AS5886" t="s">
        <v>9925</v>
      </c>
      <c r="AT5886" t="s">
        <v>11641</v>
      </c>
      <c r="AX5886" t="s">
        <v>10837</v>
      </c>
      <c r="BA5886" t="s">
        <v>11741</v>
      </c>
      <c r="BB5886">
        <v>0</v>
      </c>
      <c r="BC5886">
        <v>0</v>
      </c>
      <c r="BD5886">
        <v>0</v>
      </c>
      <c r="BE5886">
        <v>0</v>
      </c>
      <c r="BF5886">
        <v>1</v>
      </c>
      <c r="BG5886">
        <v>0</v>
      </c>
    </row>
    <row r="5887" spans="1:59">
      <c r="A5887" s="1">
        <f>HYPERLINK("https://lsnyc.legalserver.org/matter/dynamic-profile/view/1910179","19-1910179")</f>
        <v>0</v>
      </c>
      <c r="B5887" t="s">
        <v>259</v>
      </c>
      <c r="C5887" t="s">
        <v>9465</v>
      </c>
      <c r="D5887" t="s">
        <v>9948</v>
      </c>
      <c r="E5887" t="s">
        <v>10075</v>
      </c>
      <c r="F5887">
        <v>11691</v>
      </c>
      <c r="G5887" t="s">
        <v>10092</v>
      </c>
      <c r="H5887" t="s">
        <v>10156</v>
      </c>
      <c r="I5887" t="s">
        <v>10168</v>
      </c>
      <c r="J5887" t="s">
        <v>10212</v>
      </c>
      <c r="K5887" t="s">
        <v>10217</v>
      </c>
      <c r="M5887" t="s">
        <v>10258</v>
      </c>
      <c r="N5887" t="s">
        <v>10671</v>
      </c>
      <c r="P5887" t="s">
        <v>10749</v>
      </c>
      <c r="Q5887" t="s">
        <v>10765</v>
      </c>
      <c r="R5887" t="s">
        <v>10824</v>
      </c>
      <c r="T5887">
        <v>8400</v>
      </c>
      <c r="U5887">
        <v>700</v>
      </c>
      <c r="V5887">
        <v>49</v>
      </c>
      <c r="W5887">
        <v>1</v>
      </c>
      <c r="X5887">
        <v>1</v>
      </c>
      <c r="Z5887">
        <v>49.67</v>
      </c>
      <c r="AA5887">
        <v>40.604774</v>
      </c>
      <c r="AB5887">
        <v>-73.759806</v>
      </c>
      <c r="AD5887" t="s">
        <v>10840</v>
      </c>
      <c r="AF5887" t="s">
        <v>10843</v>
      </c>
      <c r="AG5887" t="s">
        <v>10859</v>
      </c>
      <c r="AH5887" t="s">
        <v>10861</v>
      </c>
      <c r="AI5887">
        <v>234</v>
      </c>
      <c r="AJ5887" t="s">
        <v>10214</v>
      </c>
      <c r="AL5887">
        <v>0.6</v>
      </c>
      <c r="AM5887" t="s">
        <v>10892</v>
      </c>
      <c r="AN5887" t="s">
        <v>10930</v>
      </c>
      <c r="AO5887" t="s">
        <v>11017</v>
      </c>
      <c r="AP5887" t="s">
        <v>11082</v>
      </c>
      <c r="AR5887" t="s">
        <v>11263</v>
      </c>
      <c r="AS5887" t="s">
        <v>11594</v>
      </c>
      <c r="AT5887" t="s">
        <v>11642</v>
      </c>
      <c r="AX5887" t="s">
        <v>10838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</row>
    <row r="5888" spans="1:59">
      <c r="A5888" s="1">
        <f>HYPERLINK("https://lsnyc.legalserver.org/matter/dynamic-profile/view/1910180","19-1910180")</f>
        <v>0</v>
      </c>
      <c r="B5888" t="s">
        <v>4592</v>
      </c>
      <c r="C5888" t="s">
        <v>9466</v>
      </c>
      <c r="D5888" t="s">
        <v>9926</v>
      </c>
      <c r="E5888" t="s">
        <v>10075</v>
      </c>
      <c r="F5888">
        <v>10459</v>
      </c>
      <c r="G5888" t="s">
        <v>10090</v>
      </c>
      <c r="H5888" t="s">
        <v>10156</v>
      </c>
      <c r="I5888" t="s">
        <v>10168</v>
      </c>
      <c r="J5888" t="s">
        <v>10210</v>
      </c>
      <c r="K5888" t="s">
        <v>10217</v>
      </c>
      <c r="M5888" t="s">
        <v>10262</v>
      </c>
      <c r="N5888" t="s">
        <v>10666</v>
      </c>
      <c r="P5888" t="s">
        <v>10749</v>
      </c>
      <c r="Q5888" t="s">
        <v>10765</v>
      </c>
      <c r="R5888" t="s">
        <v>10821</v>
      </c>
      <c r="T5888">
        <v>16001.52</v>
      </c>
      <c r="U5888">
        <v>1333.46</v>
      </c>
      <c r="V5888">
        <v>55</v>
      </c>
      <c r="W5888">
        <v>1</v>
      </c>
      <c r="X5888">
        <v>0</v>
      </c>
      <c r="Z5888">
        <v>128.11</v>
      </c>
      <c r="AA5888">
        <v>40.82392</v>
      </c>
      <c r="AB5888">
        <v>-73.891499</v>
      </c>
      <c r="AD5888" t="s">
        <v>10839</v>
      </c>
      <c r="AG5888" t="s">
        <v>10858</v>
      </c>
      <c r="AH5888" t="s">
        <v>10861</v>
      </c>
      <c r="AI5888">
        <v>230</v>
      </c>
      <c r="AJ5888" t="s">
        <v>10210</v>
      </c>
      <c r="AL5888">
        <v>0.4</v>
      </c>
      <c r="AM5888" t="s">
        <v>10884</v>
      </c>
      <c r="AN5888" t="s">
        <v>10968</v>
      </c>
      <c r="AO5888" t="s">
        <v>11001</v>
      </c>
      <c r="AP5888" t="s">
        <v>11062</v>
      </c>
      <c r="AR5888" t="s">
        <v>11254</v>
      </c>
      <c r="AS5888" t="s">
        <v>9926</v>
      </c>
      <c r="AT5888" t="s">
        <v>11641</v>
      </c>
      <c r="AX5888" t="s">
        <v>10838</v>
      </c>
      <c r="BA5888" t="s">
        <v>11741</v>
      </c>
      <c r="BB5888">
        <v>0</v>
      </c>
      <c r="BC5888">
        <v>0</v>
      </c>
      <c r="BD5888">
        <v>0</v>
      </c>
      <c r="BE5888">
        <v>0</v>
      </c>
      <c r="BF5888">
        <v>1</v>
      </c>
      <c r="BG5888">
        <v>0</v>
      </c>
    </row>
    <row r="5889" spans="1:59">
      <c r="A5889" s="1">
        <f>HYPERLINK("https://lsnyc.legalserver.org/matter/dynamic-profile/view/1910181","19-1910181")</f>
        <v>0</v>
      </c>
      <c r="B5889" t="s">
        <v>4569</v>
      </c>
      <c r="C5889" t="s">
        <v>9459</v>
      </c>
      <c r="D5889" t="s">
        <v>9926</v>
      </c>
      <c r="E5889" t="s">
        <v>10075</v>
      </c>
      <c r="F5889">
        <v>10456</v>
      </c>
      <c r="G5889" t="s">
        <v>10090</v>
      </c>
      <c r="H5889" t="s">
        <v>10156</v>
      </c>
      <c r="I5889" t="s">
        <v>10168</v>
      </c>
      <c r="J5889" t="s">
        <v>10210</v>
      </c>
      <c r="K5889" t="s">
        <v>10217</v>
      </c>
      <c r="M5889" t="s">
        <v>10234</v>
      </c>
      <c r="N5889" t="s">
        <v>10650</v>
      </c>
      <c r="P5889" t="s">
        <v>10749</v>
      </c>
      <c r="Q5889" t="s">
        <v>10765</v>
      </c>
      <c r="R5889" t="s">
        <v>10824</v>
      </c>
      <c r="T5889">
        <v>27944</v>
      </c>
      <c r="U5889">
        <v>2328.67</v>
      </c>
      <c r="V5889">
        <v>18</v>
      </c>
      <c r="W5889">
        <v>3</v>
      </c>
      <c r="X5889">
        <v>1</v>
      </c>
      <c r="Z5889">
        <v>108.52</v>
      </c>
      <c r="AA5889">
        <v>40.830909</v>
      </c>
      <c r="AB5889">
        <v>-73.918323</v>
      </c>
      <c r="AD5889" t="s">
        <v>10840</v>
      </c>
      <c r="AG5889" t="s">
        <v>10858</v>
      </c>
      <c r="AH5889" t="s">
        <v>10862</v>
      </c>
      <c r="AI5889">
        <v>230</v>
      </c>
      <c r="AJ5889" t="s">
        <v>10210</v>
      </c>
      <c r="AL5889">
        <v>0</v>
      </c>
      <c r="AM5889" t="s">
        <v>10884</v>
      </c>
      <c r="AN5889" t="s">
        <v>10929</v>
      </c>
      <c r="AO5889" t="s">
        <v>11001</v>
      </c>
      <c r="AP5889" t="s">
        <v>11055</v>
      </c>
      <c r="AR5889" t="s">
        <v>11265</v>
      </c>
      <c r="AS5889" t="s">
        <v>9926</v>
      </c>
      <c r="BA5889" t="s">
        <v>11739</v>
      </c>
      <c r="BB5889">
        <v>0</v>
      </c>
      <c r="BC5889">
        <v>0</v>
      </c>
      <c r="BD5889">
        <v>0</v>
      </c>
      <c r="BE5889">
        <v>0</v>
      </c>
      <c r="BF5889">
        <v>4</v>
      </c>
      <c r="BG5889">
        <v>0</v>
      </c>
    </row>
    <row r="5890" spans="1:59">
      <c r="A5890" s="1">
        <f>HYPERLINK("https://lsnyc.legalserver.org/matter/dynamic-profile/view/1910183","19-1910183")</f>
        <v>0</v>
      </c>
      <c r="B5890" t="s">
        <v>4593</v>
      </c>
      <c r="C5890" t="s">
        <v>9459</v>
      </c>
      <c r="D5890" t="s">
        <v>9926</v>
      </c>
      <c r="E5890" t="s">
        <v>10075</v>
      </c>
      <c r="F5890">
        <v>10456</v>
      </c>
      <c r="G5890" t="s">
        <v>10090</v>
      </c>
      <c r="H5890" t="s">
        <v>10156</v>
      </c>
      <c r="I5890" t="s">
        <v>10168</v>
      </c>
      <c r="J5890" t="s">
        <v>10210</v>
      </c>
      <c r="K5890" t="s">
        <v>10217</v>
      </c>
      <c r="M5890" t="s">
        <v>10234</v>
      </c>
      <c r="N5890" t="s">
        <v>10650</v>
      </c>
      <c r="P5890" t="s">
        <v>10749</v>
      </c>
      <c r="Q5890" t="s">
        <v>10765</v>
      </c>
      <c r="R5890" t="s">
        <v>10824</v>
      </c>
      <c r="T5890">
        <v>0</v>
      </c>
      <c r="U5890">
        <v>0</v>
      </c>
      <c r="V5890">
        <v>48</v>
      </c>
      <c r="W5890">
        <v>5</v>
      </c>
      <c r="X5890">
        <v>1</v>
      </c>
      <c r="Z5890">
        <v>0</v>
      </c>
      <c r="AA5890">
        <v>40.830909</v>
      </c>
      <c r="AB5890">
        <v>-73.918323</v>
      </c>
      <c r="AD5890" t="s">
        <v>10839</v>
      </c>
      <c r="AG5890" t="s">
        <v>10858</v>
      </c>
      <c r="AH5890" t="s">
        <v>10862</v>
      </c>
      <c r="AI5890">
        <v>230</v>
      </c>
      <c r="AJ5890" t="s">
        <v>10210</v>
      </c>
      <c r="AL5890">
        <v>0</v>
      </c>
      <c r="AM5890" t="s">
        <v>10884</v>
      </c>
      <c r="AN5890" t="s">
        <v>10929</v>
      </c>
      <c r="AO5890" t="s">
        <v>11001</v>
      </c>
      <c r="AP5890" t="s">
        <v>11055</v>
      </c>
      <c r="AR5890" t="s">
        <v>11267</v>
      </c>
      <c r="AS5890" t="s">
        <v>9926</v>
      </c>
      <c r="BA5890" t="s">
        <v>11738</v>
      </c>
      <c r="BB5890">
        <v>0</v>
      </c>
      <c r="BC5890">
        <v>0</v>
      </c>
      <c r="BD5890">
        <v>0</v>
      </c>
      <c r="BE5890">
        <v>0</v>
      </c>
      <c r="BF5890">
        <v>5</v>
      </c>
      <c r="BG5890">
        <v>0</v>
      </c>
    </row>
    <row r="5891" spans="1:59">
      <c r="A5891" s="1">
        <f>HYPERLINK("https://lsnyc.legalserver.org/matter/dynamic-profile/view/1910184","19-1910184")</f>
        <v>0</v>
      </c>
      <c r="B5891" t="s">
        <v>4594</v>
      </c>
      <c r="C5891" t="s">
        <v>9467</v>
      </c>
      <c r="D5891" t="s">
        <v>9925</v>
      </c>
      <c r="E5891" t="s">
        <v>10075</v>
      </c>
      <c r="F5891">
        <v>10034</v>
      </c>
      <c r="G5891" t="s">
        <v>10089</v>
      </c>
      <c r="H5891" t="s">
        <v>10156</v>
      </c>
      <c r="I5891" t="s">
        <v>10168</v>
      </c>
      <c r="J5891" t="s">
        <v>10209</v>
      </c>
      <c r="K5891" t="s">
        <v>10217</v>
      </c>
      <c r="M5891" t="s">
        <v>10431</v>
      </c>
      <c r="N5891" t="s">
        <v>10703</v>
      </c>
      <c r="P5891" t="s">
        <v>10749</v>
      </c>
      <c r="Q5891" t="s">
        <v>10765</v>
      </c>
      <c r="R5891" t="s">
        <v>10823</v>
      </c>
      <c r="T5891">
        <v>11774</v>
      </c>
      <c r="U5891">
        <v>981.17</v>
      </c>
      <c r="V5891">
        <v>32</v>
      </c>
      <c r="W5891">
        <v>1</v>
      </c>
      <c r="X5891">
        <v>2</v>
      </c>
      <c r="Z5891">
        <v>55.2</v>
      </c>
      <c r="AA5891">
        <v>40.864447</v>
      </c>
      <c r="AB5891">
        <v>-73.920964</v>
      </c>
      <c r="AD5891" t="s">
        <v>10839</v>
      </c>
      <c r="AG5891" t="s">
        <v>10858</v>
      </c>
      <c r="AH5891" t="s">
        <v>10862</v>
      </c>
      <c r="AI5891">
        <v>236</v>
      </c>
      <c r="AJ5891" t="s">
        <v>10209</v>
      </c>
      <c r="AL5891">
        <v>1.25</v>
      </c>
      <c r="AM5891" t="s">
        <v>10887</v>
      </c>
      <c r="AN5891" t="s">
        <v>10937</v>
      </c>
      <c r="AO5891" t="s">
        <v>11019</v>
      </c>
      <c r="AP5891" t="s">
        <v>11074</v>
      </c>
      <c r="AR5891" t="s">
        <v>11571</v>
      </c>
      <c r="AS5891" t="s">
        <v>9925</v>
      </c>
      <c r="BA5891" t="s">
        <v>11741</v>
      </c>
      <c r="BB5891">
        <v>0</v>
      </c>
      <c r="BC5891">
        <v>0</v>
      </c>
      <c r="BD5891">
        <v>0</v>
      </c>
      <c r="BE5891">
        <v>0</v>
      </c>
      <c r="BF5891">
        <v>1</v>
      </c>
      <c r="BG5891">
        <v>0</v>
      </c>
    </row>
    <row r="5892" spans="1:59">
      <c r="A5892" s="1">
        <f>HYPERLINK("https://lsnyc.legalserver.org/matter/dynamic-profile/view/1910185","19-1910185")</f>
        <v>0</v>
      </c>
      <c r="B5892" t="s">
        <v>3611</v>
      </c>
      <c r="C5892" t="s">
        <v>8414</v>
      </c>
      <c r="D5892" t="s">
        <v>9926</v>
      </c>
      <c r="E5892" t="s">
        <v>10075</v>
      </c>
      <c r="F5892">
        <v>10451</v>
      </c>
      <c r="G5892" t="s">
        <v>10090</v>
      </c>
      <c r="H5892" t="s">
        <v>10156</v>
      </c>
      <c r="I5892" t="s">
        <v>10168</v>
      </c>
      <c r="J5892" t="s">
        <v>10210</v>
      </c>
      <c r="K5892" t="s">
        <v>10217</v>
      </c>
      <c r="M5892" t="s">
        <v>10593</v>
      </c>
      <c r="N5892" t="s">
        <v>10677</v>
      </c>
      <c r="P5892" t="s">
        <v>10753</v>
      </c>
      <c r="Q5892" t="s">
        <v>10790</v>
      </c>
      <c r="R5892" t="s">
        <v>10824</v>
      </c>
      <c r="T5892">
        <v>9840</v>
      </c>
      <c r="U5892">
        <v>820</v>
      </c>
      <c r="V5892">
        <v>72</v>
      </c>
      <c r="W5892">
        <v>1</v>
      </c>
      <c r="X5892">
        <v>0</v>
      </c>
      <c r="Z5892">
        <v>78.78</v>
      </c>
      <c r="AA5892">
        <v>40.821463</v>
      </c>
      <c r="AB5892">
        <v>-73.91949200000001</v>
      </c>
      <c r="AD5892" t="s">
        <v>10839</v>
      </c>
      <c r="AG5892" t="s">
        <v>10858</v>
      </c>
      <c r="AH5892" t="s">
        <v>10861</v>
      </c>
      <c r="AI5892">
        <v>234</v>
      </c>
      <c r="AJ5892" t="s">
        <v>10214</v>
      </c>
      <c r="AL5892">
        <v>0.3</v>
      </c>
      <c r="AQ5892" t="s">
        <v>11125</v>
      </c>
      <c r="AR5892" t="s">
        <v>11274</v>
      </c>
      <c r="AS5892" t="s">
        <v>9926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</row>
    <row r="5893" spans="1:59">
      <c r="A5893" s="1">
        <f>HYPERLINK("https://lsnyc.legalserver.org/matter/dynamic-profile/view/1910186","19-1910186")</f>
        <v>0</v>
      </c>
      <c r="B5893" t="s">
        <v>4593</v>
      </c>
      <c r="C5893" t="s">
        <v>9459</v>
      </c>
      <c r="D5893" t="s">
        <v>9926</v>
      </c>
      <c r="E5893" t="s">
        <v>10075</v>
      </c>
      <c r="F5893">
        <v>10456</v>
      </c>
      <c r="G5893" t="s">
        <v>10090</v>
      </c>
      <c r="H5893" t="s">
        <v>10156</v>
      </c>
      <c r="I5893" t="s">
        <v>10168</v>
      </c>
      <c r="J5893" t="s">
        <v>10210</v>
      </c>
      <c r="K5893" t="s">
        <v>10217</v>
      </c>
      <c r="M5893" t="s">
        <v>10234</v>
      </c>
      <c r="N5893" t="s">
        <v>10650</v>
      </c>
      <c r="P5893" t="s">
        <v>10749</v>
      </c>
      <c r="Q5893" t="s">
        <v>10765</v>
      </c>
      <c r="R5893" t="s">
        <v>10824</v>
      </c>
      <c r="T5893">
        <v>0</v>
      </c>
      <c r="U5893">
        <v>0</v>
      </c>
      <c r="V5893">
        <v>48</v>
      </c>
      <c r="W5893">
        <v>5</v>
      </c>
      <c r="X5893">
        <v>1</v>
      </c>
      <c r="Z5893">
        <v>0</v>
      </c>
      <c r="AA5893">
        <v>40.830909</v>
      </c>
      <c r="AB5893">
        <v>-73.918323</v>
      </c>
      <c r="AD5893" t="s">
        <v>10839</v>
      </c>
      <c r="AG5893" t="s">
        <v>10858</v>
      </c>
      <c r="AH5893" t="s">
        <v>10862</v>
      </c>
      <c r="AI5893">
        <v>230</v>
      </c>
      <c r="AJ5893" t="s">
        <v>10210</v>
      </c>
      <c r="AL5893">
        <v>0</v>
      </c>
      <c r="AM5893" t="s">
        <v>10884</v>
      </c>
      <c r="AN5893" t="s">
        <v>10929</v>
      </c>
      <c r="AO5893" t="s">
        <v>11001</v>
      </c>
      <c r="AP5893" t="s">
        <v>11055</v>
      </c>
      <c r="AR5893" t="s">
        <v>11267</v>
      </c>
      <c r="AS5893" t="s">
        <v>9926</v>
      </c>
      <c r="BA5893" t="s">
        <v>11739</v>
      </c>
      <c r="BB5893">
        <v>0</v>
      </c>
      <c r="BC5893">
        <v>0</v>
      </c>
      <c r="BD5893">
        <v>0</v>
      </c>
      <c r="BE5893">
        <v>0</v>
      </c>
      <c r="BF5893">
        <v>4</v>
      </c>
      <c r="BG5893">
        <v>0</v>
      </c>
    </row>
    <row r="5894" spans="1:59">
      <c r="A5894" s="1">
        <f>HYPERLINK("https://lsnyc.legalserver.org/matter/dynamic-profile/view/1910187","19-1910187")</f>
        <v>0</v>
      </c>
      <c r="B5894" t="s">
        <v>4595</v>
      </c>
      <c r="C5894" t="s">
        <v>9459</v>
      </c>
      <c r="D5894" t="s">
        <v>9926</v>
      </c>
      <c r="E5894" t="s">
        <v>10075</v>
      </c>
      <c r="F5894">
        <v>10456</v>
      </c>
      <c r="G5894" t="s">
        <v>10090</v>
      </c>
      <c r="H5894" t="s">
        <v>10156</v>
      </c>
      <c r="J5894" t="s">
        <v>10210</v>
      </c>
      <c r="K5894" t="s">
        <v>10217</v>
      </c>
      <c r="M5894" t="s">
        <v>10234</v>
      </c>
      <c r="N5894" t="s">
        <v>10650</v>
      </c>
      <c r="P5894" t="s">
        <v>10749</v>
      </c>
      <c r="Q5894" t="s">
        <v>10765</v>
      </c>
      <c r="R5894" t="s">
        <v>10824</v>
      </c>
      <c r="T5894">
        <v>48308</v>
      </c>
      <c r="U5894">
        <v>4025.67</v>
      </c>
      <c r="V5894">
        <v>48</v>
      </c>
      <c r="W5894">
        <v>3</v>
      </c>
      <c r="X5894">
        <v>1</v>
      </c>
      <c r="Z5894">
        <v>187.6</v>
      </c>
      <c r="AA5894">
        <v>40.830909</v>
      </c>
      <c r="AB5894">
        <v>-73.918323</v>
      </c>
      <c r="AD5894" t="s">
        <v>10839</v>
      </c>
      <c r="AF5894" t="s">
        <v>10843</v>
      </c>
      <c r="AG5894" t="s">
        <v>10859</v>
      </c>
      <c r="AH5894" t="s">
        <v>10862</v>
      </c>
      <c r="AI5894">
        <v>230</v>
      </c>
      <c r="AJ5894" t="s">
        <v>10210</v>
      </c>
      <c r="AL5894">
        <v>0</v>
      </c>
      <c r="AM5894" t="s">
        <v>10884</v>
      </c>
      <c r="AN5894" t="s">
        <v>10929</v>
      </c>
      <c r="AO5894" t="s">
        <v>11001</v>
      </c>
      <c r="AP5894" t="s">
        <v>11055</v>
      </c>
      <c r="AR5894" t="s">
        <v>11257</v>
      </c>
      <c r="AS5894" t="s">
        <v>9926</v>
      </c>
      <c r="BA5894" t="s">
        <v>11738</v>
      </c>
      <c r="BB5894">
        <v>0</v>
      </c>
      <c r="BC5894">
        <v>0</v>
      </c>
      <c r="BD5894">
        <v>0</v>
      </c>
      <c r="BE5894">
        <v>0</v>
      </c>
      <c r="BF5894">
        <v>5</v>
      </c>
      <c r="BG5894">
        <v>0</v>
      </c>
    </row>
    <row r="5895" spans="1:59">
      <c r="A5895" s="1">
        <f>HYPERLINK("https://lsnyc.legalserver.org/matter/dynamic-profile/view/1910188","19-1910188")</f>
        <v>0</v>
      </c>
      <c r="B5895" t="s">
        <v>4596</v>
      </c>
      <c r="C5895" t="s">
        <v>9468</v>
      </c>
      <c r="D5895" t="s">
        <v>9928</v>
      </c>
      <c r="E5895" t="s">
        <v>10075</v>
      </c>
      <c r="F5895">
        <v>11235</v>
      </c>
      <c r="G5895" t="s">
        <v>10093</v>
      </c>
      <c r="H5895" t="s">
        <v>10156</v>
      </c>
      <c r="I5895" t="s">
        <v>10171</v>
      </c>
      <c r="J5895" t="s">
        <v>10213</v>
      </c>
      <c r="K5895" t="s">
        <v>10217</v>
      </c>
      <c r="M5895" t="s">
        <v>10390</v>
      </c>
      <c r="N5895" t="s">
        <v>10644</v>
      </c>
      <c r="P5895" t="s">
        <v>10749</v>
      </c>
      <c r="Q5895" t="s">
        <v>10791</v>
      </c>
      <c r="R5895" t="s">
        <v>10820</v>
      </c>
      <c r="T5895">
        <v>12000</v>
      </c>
      <c r="U5895">
        <v>1000</v>
      </c>
      <c r="V5895">
        <v>69</v>
      </c>
      <c r="W5895">
        <v>1</v>
      </c>
      <c r="X5895">
        <v>0</v>
      </c>
      <c r="Z5895">
        <v>96.08</v>
      </c>
      <c r="AA5895">
        <v>40.57521</v>
      </c>
      <c r="AB5895">
        <v>-73.96679</v>
      </c>
      <c r="AD5895" t="s">
        <v>10839</v>
      </c>
      <c r="AG5895" t="s">
        <v>10858</v>
      </c>
      <c r="AH5895" t="s">
        <v>10869</v>
      </c>
      <c r="AI5895">
        <v>239</v>
      </c>
      <c r="AJ5895" t="s">
        <v>10213</v>
      </c>
      <c r="AL5895">
        <v>0</v>
      </c>
      <c r="AQ5895" t="s">
        <v>11133</v>
      </c>
      <c r="AR5895" t="s">
        <v>11268</v>
      </c>
      <c r="AS5895" t="s">
        <v>11595</v>
      </c>
      <c r="BA5895" t="s">
        <v>11741</v>
      </c>
      <c r="BB5895">
        <v>0</v>
      </c>
      <c r="BC5895">
        <v>0</v>
      </c>
      <c r="BD5895">
        <v>0</v>
      </c>
      <c r="BE5895">
        <v>0</v>
      </c>
      <c r="BF5895">
        <v>1</v>
      </c>
      <c r="BG5895">
        <v>0</v>
      </c>
    </row>
    <row r="5896" spans="1:59">
      <c r="A5896" s="1">
        <f>HYPERLINK("https://lsnyc.legalserver.org/matter/dynamic-profile/view/1910189","19-1910189")</f>
        <v>0</v>
      </c>
      <c r="B5896" t="s">
        <v>4597</v>
      </c>
      <c r="C5896" t="s">
        <v>5088</v>
      </c>
      <c r="D5896" t="s">
        <v>9926</v>
      </c>
      <c r="E5896" t="s">
        <v>10075</v>
      </c>
      <c r="F5896">
        <v>10460</v>
      </c>
      <c r="G5896" t="s">
        <v>10090</v>
      </c>
      <c r="H5896" t="s">
        <v>10156</v>
      </c>
      <c r="I5896" t="s">
        <v>10168</v>
      </c>
      <c r="J5896" t="s">
        <v>10210</v>
      </c>
      <c r="K5896" t="s">
        <v>10217</v>
      </c>
      <c r="M5896" t="s">
        <v>10262</v>
      </c>
      <c r="N5896" t="s">
        <v>10666</v>
      </c>
      <c r="P5896" t="s">
        <v>10749</v>
      </c>
      <c r="Q5896" t="s">
        <v>10765</v>
      </c>
      <c r="R5896" t="s">
        <v>10824</v>
      </c>
      <c r="T5896">
        <v>24564</v>
      </c>
      <c r="U5896">
        <v>2047</v>
      </c>
      <c r="V5896">
        <v>66</v>
      </c>
      <c r="W5896">
        <v>1</v>
      </c>
      <c r="X5896">
        <v>0</v>
      </c>
      <c r="Z5896">
        <v>196.67</v>
      </c>
      <c r="AA5896">
        <v>40.846284</v>
      </c>
      <c r="AB5896">
        <v>-73.884609</v>
      </c>
      <c r="AD5896" t="s">
        <v>10839</v>
      </c>
      <c r="AG5896" t="s">
        <v>10858</v>
      </c>
      <c r="AH5896" t="s">
        <v>10862</v>
      </c>
      <c r="AI5896">
        <v>230</v>
      </c>
      <c r="AJ5896" t="s">
        <v>10210</v>
      </c>
      <c r="AL5896">
        <v>0.3</v>
      </c>
      <c r="AM5896" t="s">
        <v>10884</v>
      </c>
      <c r="AN5896" t="s">
        <v>10918</v>
      </c>
      <c r="AO5896" t="s">
        <v>11000</v>
      </c>
      <c r="AP5896" t="s">
        <v>11056</v>
      </c>
      <c r="AR5896" t="s">
        <v>11300</v>
      </c>
      <c r="AS5896" t="s">
        <v>9926</v>
      </c>
      <c r="AT5896" t="s">
        <v>11641</v>
      </c>
      <c r="AX5896" t="s">
        <v>10838</v>
      </c>
      <c r="BA5896" t="s">
        <v>11741</v>
      </c>
      <c r="BB5896">
        <v>0</v>
      </c>
      <c r="BC5896">
        <v>0</v>
      </c>
      <c r="BD5896">
        <v>0</v>
      </c>
      <c r="BE5896">
        <v>0</v>
      </c>
      <c r="BF5896">
        <v>1</v>
      </c>
      <c r="BG5896">
        <v>0</v>
      </c>
    </row>
    <row r="5897" spans="1:59">
      <c r="A5897" s="1">
        <f>HYPERLINK("https://lsnyc.legalserver.org/matter/dynamic-profile/view/1910190","19-1910190")</f>
        <v>0</v>
      </c>
      <c r="B5897" t="s">
        <v>4598</v>
      </c>
      <c r="C5897" t="s">
        <v>9469</v>
      </c>
      <c r="D5897" t="s">
        <v>9925</v>
      </c>
      <c r="E5897" t="s">
        <v>10075</v>
      </c>
      <c r="F5897">
        <v>10017</v>
      </c>
      <c r="G5897" t="s">
        <v>10089</v>
      </c>
      <c r="H5897" t="s">
        <v>10156</v>
      </c>
      <c r="I5897" t="s">
        <v>10168</v>
      </c>
      <c r="J5897" t="s">
        <v>10209</v>
      </c>
      <c r="K5897" t="s">
        <v>10218</v>
      </c>
      <c r="L5897" t="s">
        <v>10158</v>
      </c>
      <c r="M5897" t="s">
        <v>10379</v>
      </c>
      <c r="N5897" t="s">
        <v>10703</v>
      </c>
      <c r="P5897" t="s">
        <v>10749</v>
      </c>
      <c r="Q5897" t="s">
        <v>10765</v>
      </c>
      <c r="R5897" t="s">
        <v>10820</v>
      </c>
      <c r="T5897">
        <v>14800</v>
      </c>
      <c r="U5897">
        <v>1233.33</v>
      </c>
      <c r="V5897">
        <v>64</v>
      </c>
      <c r="W5897">
        <v>1</v>
      </c>
      <c r="X5897">
        <v>0</v>
      </c>
      <c r="Y5897" t="s">
        <v>10829</v>
      </c>
      <c r="Z5897">
        <v>118.49</v>
      </c>
      <c r="AA5897">
        <v>40.754659</v>
      </c>
      <c r="AB5897">
        <v>-73.97213000000001</v>
      </c>
      <c r="AD5897" t="s">
        <v>10840</v>
      </c>
      <c r="AG5897" t="s">
        <v>10858</v>
      </c>
      <c r="AH5897" t="s">
        <v>10862</v>
      </c>
      <c r="AI5897">
        <v>236</v>
      </c>
      <c r="AJ5897" t="s">
        <v>10209</v>
      </c>
      <c r="AK5897" t="s">
        <v>10882</v>
      </c>
      <c r="AL5897">
        <v>0</v>
      </c>
      <c r="AM5897" t="s">
        <v>10891</v>
      </c>
      <c r="AN5897" t="s">
        <v>10970</v>
      </c>
      <c r="AO5897" t="s">
        <v>11026</v>
      </c>
      <c r="AP5897" t="s">
        <v>11091</v>
      </c>
      <c r="AR5897" t="s">
        <v>11336</v>
      </c>
      <c r="AS5897" t="s">
        <v>9925</v>
      </c>
      <c r="AY5897" t="s">
        <v>10829</v>
      </c>
      <c r="AZ5897" t="s">
        <v>11681</v>
      </c>
      <c r="BA5897" t="s">
        <v>11741</v>
      </c>
      <c r="BB5897">
        <v>0</v>
      </c>
      <c r="BC5897">
        <v>0</v>
      </c>
      <c r="BD5897">
        <v>0</v>
      </c>
      <c r="BE5897">
        <v>0</v>
      </c>
      <c r="BF5897">
        <v>1</v>
      </c>
      <c r="BG5897">
        <v>0</v>
      </c>
    </row>
    <row r="5898" spans="1:59">
      <c r="A5898" s="1">
        <f>HYPERLINK("https://lsnyc.legalserver.org/matter/dynamic-profile/view/1910191","19-1910191")</f>
        <v>0</v>
      </c>
      <c r="B5898" t="s">
        <v>4595</v>
      </c>
      <c r="C5898" t="s">
        <v>9459</v>
      </c>
      <c r="D5898" t="s">
        <v>9926</v>
      </c>
      <c r="E5898" t="s">
        <v>10075</v>
      </c>
      <c r="F5898">
        <v>10456</v>
      </c>
      <c r="G5898" t="s">
        <v>10090</v>
      </c>
      <c r="H5898" t="s">
        <v>10156</v>
      </c>
      <c r="J5898" t="s">
        <v>10210</v>
      </c>
      <c r="K5898" t="s">
        <v>10217</v>
      </c>
      <c r="M5898" t="s">
        <v>10234</v>
      </c>
      <c r="N5898" t="s">
        <v>10650</v>
      </c>
      <c r="P5898" t="s">
        <v>10749</v>
      </c>
      <c r="Q5898" t="s">
        <v>10765</v>
      </c>
      <c r="R5898" t="s">
        <v>10824</v>
      </c>
      <c r="T5898">
        <v>48308</v>
      </c>
      <c r="U5898">
        <v>4025.67</v>
      </c>
      <c r="V5898">
        <v>48</v>
      </c>
      <c r="W5898">
        <v>3</v>
      </c>
      <c r="X5898">
        <v>1</v>
      </c>
      <c r="Z5898">
        <v>187.6</v>
      </c>
      <c r="AA5898">
        <v>40.830909</v>
      </c>
      <c r="AB5898">
        <v>-73.918323</v>
      </c>
      <c r="AD5898" t="s">
        <v>10839</v>
      </c>
      <c r="AF5898" t="s">
        <v>10843</v>
      </c>
      <c r="AG5898" t="s">
        <v>10859</v>
      </c>
      <c r="AH5898" t="s">
        <v>10862</v>
      </c>
      <c r="AI5898">
        <v>230</v>
      </c>
      <c r="AJ5898" t="s">
        <v>10210</v>
      </c>
      <c r="AL5898">
        <v>0</v>
      </c>
      <c r="AM5898" t="s">
        <v>10884</v>
      </c>
      <c r="AN5898" t="s">
        <v>10929</v>
      </c>
      <c r="AO5898" t="s">
        <v>11001</v>
      </c>
      <c r="AP5898" t="s">
        <v>11055</v>
      </c>
      <c r="AR5898" t="s">
        <v>11257</v>
      </c>
      <c r="AS5898" t="s">
        <v>9926</v>
      </c>
      <c r="BA5898" t="s">
        <v>11739</v>
      </c>
      <c r="BB5898">
        <v>0</v>
      </c>
      <c r="BC5898">
        <v>0</v>
      </c>
      <c r="BD5898">
        <v>0</v>
      </c>
      <c r="BE5898">
        <v>0</v>
      </c>
      <c r="BF5898">
        <v>4</v>
      </c>
      <c r="BG5898">
        <v>0</v>
      </c>
    </row>
    <row r="5899" spans="1:59">
      <c r="A5899" s="1">
        <f>HYPERLINK("https://lsnyc.legalserver.org/matter/dynamic-profile/view/1910192","19-1910192")</f>
        <v>0</v>
      </c>
      <c r="B5899" t="s">
        <v>4599</v>
      </c>
      <c r="C5899" t="s">
        <v>9470</v>
      </c>
      <c r="D5899" t="s">
        <v>9925</v>
      </c>
      <c r="E5899" t="s">
        <v>10075</v>
      </c>
      <c r="F5899">
        <v>10040</v>
      </c>
      <c r="G5899" t="s">
        <v>10089</v>
      </c>
      <c r="H5899" t="s">
        <v>10156</v>
      </c>
      <c r="I5899" t="s">
        <v>10169</v>
      </c>
      <c r="J5899" t="s">
        <v>10209</v>
      </c>
      <c r="K5899" t="s">
        <v>10218</v>
      </c>
      <c r="L5899" t="s">
        <v>10158</v>
      </c>
      <c r="M5899" t="s">
        <v>10379</v>
      </c>
      <c r="N5899" t="s">
        <v>10703</v>
      </c>
      <c r="P5899" t="s">
        <v>10749</v>
      </c>
      <c r="Q5899" t="s">
        <v>10765</v>
      </c>
      <c r="R5899" t="s">
        <v>10823</v>
      </c>
      <c r="T5899">
        <v>9600</v>
      </c>
      <c r="U5899">
        <v>800</v>
      </c>
      <c r="V5899">
        <v>59</v>
      </c>
      <c r="W5899">
        <v>2</v>
      </c>
      <c r="X5899">
        <v>0</v>
      </c>
      <c r="Y5899" t="s">
        <v>10829</v>
      </c>
      <c r="Z5899">
        <v>56.77</v>
      </c>
      <c r="AA5899">
        <v>40.861807</v>
      </c>
      <c r="AB5899">
        <v>-73.929265</v>
      </c>
      <c r="AD5899" t="s">
        <v>10839</v>
      </c>
      <c r="AG5899" t="s">
        <v>10858</v>
      </c>
      <c r="AH5899" t="s">
        <v>10862</v>
      </c>
      <c r="AI5899">
        <v>236</v>
      </c>
      <c r="AJ5899" t="s">
        <v>10209</v>
      </c>
      <c r="AK5899" t="s">
        <v>10882</v>
      </c>
      <c r="AL5899">
        <v>0</v>
      </c>
      <c r="AM5899" t="s">
        <v>10887</v>
      </c>
      <c r="AN5899" t="s">
        <v>10937</v>
      </c>
      <c r="AO5899" t="s">
        <v>11019</v>
      </c>
      <c r="AP5899" t="s">
        <v>11074</v>
      </c>
      <c r="AR5899" t="s">
        <v>11274</v>
      </c>
      <c r="AS5899" t="s">
        <v>9925</v>
      </c>
      <c r="AY5899" t="s">
        <v>10829</v>
      </c>
      <c r="AZ5899" t="s">
        <v>11681</v>
      </c>
      <c r="BA5899" t="s">
        <v>11741</v>
      </c>
      <c r="BB5899">
        <v>0</v>
      </c>
      <c r="BC5899">
        <v>0</v>
      </c>
      <c r="BD5899">
        <v>0</v>
      </c>
      <c r="BE5899">
        <v>0</v>
      </c>
      <c r="BF5899">
        <v>1</v>
      </c>
      <c r="BG5899">
        <v>0</v>
      </c>
    </row>
    <row r="5900" spans="1:59">
      <c r="A5900" s="1">
        <f>HYPERLINK("https://lsnyc.legalserver.org/matter/dynamic-profile/view/1910193","19-1910193")</f>
        <v>0</v>
      </c>
      <c r="B5900" t="s">
        <v>4600</v>
      </c>
      <c r="C5900" t="s">
        <v>9459</v>
      </c>
      <c r="D5900" t="s">
        <v>9926</v>
      </c>
      <c r="E5900" t="s">
        <v>10075</v>
      </c>
      <c r="F5900">
        <v>10456</v>
      </c>
      <c r="G5900" t="s">
        <v>10090</v>
      </c>
      <c r="H5900" t="s">
        <v>10156</v>
      </c>
      <c r="I5900" t="s">
        <v>10168</v>
      </c>
      <c r="J5900" t="s">
        <v>10210</v>
      </c>
      <c r="K5900" t="s">
        <v>10217</v>
      </c>
      <c r="M5900" t="s">
        <v>10234</v>
      </c>
      <c r="N5900" t="s">
        <v>10650</v>
      </c>
      <c r="P5900" t="s">
        <v>10749</v>
      </c>
      <c r="Q5900" t="s">
        <v>10765</v>
      </c>
      <c r="R5900" t="s">
        <v>10824</v>
      </c>
      <c r="T5900">
        <v>14000</v>
      </c>
      <c r="U5900">
        <v>1166.67</v>
      </c>
      <c r="V5900">
        <v>47</v>
      </c>
      <c r="W5900">
        <v>1</v>
      </c>
      <c r="X5900">
        <v>1</v>
      </c>
      <c r="Z5900">
        <v>82.79000000000001</v>
      </c>
      <c r="AA5900">
        <v>40.830909</v>
      </c>
      <c r="AB5900">
        <v>-73.918323</v>
      </c>
      <c r="AD5900" t="s">
        <v>10839</v>
      </c>
      <c r="AG5900" t="s">
        <v>10858</v>
      </c>
      <c r="AH5900" t="s">
        <v>10862</v>
      </c>
      <c r="AI5900">
        <v>230</v>
      </c>
      <c r="AJ5900" t="s">
        <v>10210</v>
      </c>
      <c r="AL5900">
        <v>0</v>
      </c>
      <c r="AM5900" t="s">
        <v>10884</v>
      </c>
      <c r="AN5900" t="s">
        <v>10929</v>
      </c>
      <c r="AO5900" t="s">
        <v>11001</v>
      </c>
      <c r="AP5900" t="s">
        <v>11055</v>
      </c>
      <c r="AR5900" t="s">
        <v>11257</v>
      </c>
      <c r="AS5900" t="s">
        <v>9926</v>
      </c>
      <c r="BA5900" t="s">
        <v>11738</v>
      </c>
      <c r="BB5900">
        <v>0</v>
      </c>
      <c r="BC5900">
        <v>0</v>
      </c>
      <c r="BD5900">
        <v>0</v>
      </c>
      <c r="BE5900">
        <v>0</v>
      </c>
      <c r="BF5900">
        <v>5</v>
      </c>
      <c r="BG5900">
        <v>0</v>
      </c>
    </row>
    <row r="5901" spans="1:59">
      <c r="A5901" s="1">
        <f>HYPERLINK("https://lsnyc.legalserver.org/matter/dynamic-profile/view/1910194","19-1910194")</f>
        <v>0</v>
      </c>
      <c r="B5901" t="s">
        <v>4600</v>
      </c>
      <c r="C5901" t="s">
        <v>9459</v>
      </c>
      <c r="D5901" t="s">
        <v>9926</v>
      </c>
      <c r="E5901" t="s">
        <v>10075</v>
      </c>
      <c r="F5901">
        <v>10456</v>
      </c>
      <c r="G5901" t="s">
        <v>10090</v>
      </c>
      <c r="H5901" t="s">
        <v>10156</v>
      </c>
      <c r="I5901" t="s">
        <v>10168</v>
      </c>
      <c r="J5901" t="s">
        <v>10210</v>
      </c>
      <c r="K5901" t="s">
        <v>10217</v>
      </c>
      <c r="M5901" t="s">
        <v>10234</v>
      </c>
      <c r="N5901" t="s">
        <v>10650</v>
      </c>
      <c r="P5901" t="s">
        <v>10749</v>
      </c>
      <c r="Q5901" t="s">
        <v>10765</v>
      </c>
      <c r="R5901" t="s">
        <v>10824</v>
      </c>
      <c r="T5901">
        <v>14000</v>
      </c>
      <c r="U5901">
        <v>1166.67</v>
      </c>
      <c r="V5901">
        <v>47</v>
      </c>
      <c r="W5901">
        <v>1</v>
      </c>
      <c r="X5901">
        <v>1</v>
      </c>
      <c r="Z5901">
        <v>82.79000000000001</v>
      </c>
      <c r="AA5901">
        <v>40.830909</v>
      </c>
      <c r="AB5901">
        <v>-73.918323</v>
      </c>
      <c r="AD5901" t="s">
        <v>10839</v>
      </c>
      <c r="AG5901" t="s">
        <v>10858</v>
      </c>
      <c r="AH5901" t="s">
        <v>10862</v>
      </c>
      <c r="AI5901">
        <v>230</v>
      </c>
      <c r="AJ5901" t="s">
        <v>10210</v>
      </c>
      <c r="AL5901">
        <v>0</v>
      </c>
      <c r="AM5901" t="s">
        <v>10884</v>
      </c>
      <c r="AN5901" t="s">
        <v>10929</v>
      </c>
      <c r="AO5901" t="s">
        <v>11001</v>
      </c>
      <c r="AP5901" t="s">
        <v>11055</v>
      </c>
      <c r="AR5901" t="s">
        <v>11257</v>
      </c>
      <c r="AS5901" t="s">
        <v>9926</v>
      </c>
      <c r="BA5901" t="s">
        <v>11739</v>
      </c>
      <c r="BB5901">
        <v>0</v>
      </c>
      <c r="BC5901">
        <v>0</v>
      </c>
      <c r="BD5901">
        <v>0</v>
      </c>
      <c r="BE5901">
        <v>0</v>
      </c>
      <c r="BF5901">
        <v>4</v>
      </c>
      <c r="BG5901">
        <v>0</v>
      </c>
    </row>
    <row r="5902" spans="1:59">
      <c r="A5902" s="1">
        <f>HYPERLINK("https://lsnyc.legalserver.org/matter/dynamic-profile/view/1910195","19-1910195")</f>
        <v>0</v>
      </c>
      <c r="B5902" t="s">
        <v>4601</v>
      </c>
      <c r="C5902" t="s">
        <v>9471</v>
      </c>
      <c r="D5902" t="s">
        <v>9928</v>
      </c>
      <c r="E5902" t="s">
        <v>10075</v>
      </c>
      <c r="F5902">
        <v>11223</v>
      </c>
      <c r="G5902" t="s">
        <v>10093</v>
      </c>
      <c r="H5902" t="s">
        <v>10156</v>
      </c>
      <c r="I5902" t="s">
        <v>10177</v>
      </c>
      <c r="J5902" t="s">
        <v>10213</v>
      </c>
      <c r="K5902" t="s">
        <v>10217</v>
      </c>
      <c r="M5902" t="s">
        <v>10352</v>
      </c>
      <c r="N5902" t="s">
        <v>10650</v>
      </c>
      <c r="P5902" t="s">
        <v>10749</v>
      </c>
      <c r="Q5902" t="s">
        <v>10765</v>
      </c>
      <c r="R5902" t="s">
        <v>10824</v>
      </c>
      <c r="T5902">
        <v>23000</v>
      </c>
      <c r="U5902">
        <v>1916.67</v>
      </c>
      <c r="V5902">
        <v>52</v>
      </c>
      <c r="W5902">
        <v>1</v>
      </c>
      <c r="X5902">
        <v>0</v>
      </c>
      <c r="Z5902">
        <v>184.15</v>
      </c>
      <c r="AA5902">
        <v>40.605862</v>
      </c>
      <c r="AB5902">
        <v>-73.965704</v>
      </c>
      <c r="AD5902" t="s">
        <v>10839</v>
      </c>
      <c r="AF5902" t="s">
        <v>10843</v>
      </c>
      <c r="AG5902" t="s">
        <v>10859</v>
      </c>
      <c r="AH5902" t="s">
        <v>10862</v>
      </c>
      <c r="AI5902">
        <v>239</v>
      </c>
      <c r="AJ5902" t="s">
        <v>10213</v>
      </c>
      <c r="AL5902">
        <v>6.2</v>
      </c>
      <c r="AM5902" t="s">
        <v>10883</v>
      </c>
      <c r="AN5902" t="s">
        <v>10965</v>
      </c>
      <c r="AO5902" t="s">
        <v>11023</v>
      </c>
      <c r="AP5902" t="s">
        <v>11079</v>
      </c>
      <c r="AR5902" t="s">
        <v>11257</v>
      </c>
      <c r="AS5902" t="s">
        <v>11595</v>
      </c>
      <c r="BA5902" t="s">
        <v>11737</v>
      </c>
      <c r="BB5902">
        <v>0</v>
      </c>
      <c r="BC5902">
        <v>0</v>
      </c>
      <c r="BD5902">
        <v>0</v>
      </c>
      <c r="BE5902">
        <v>0</v>
      </c>
      <c r="BF5902">
        <v>3</v>
      </c>
      <c r="BG5902">
        <v>0</v>
      </c>
    </row>
    <row r="5903" spans="1:59">
      <c r="A5903" s="1">
        <f>HYPERLINK("https://lsnyc.legalserver.org/matter/dynamic-profile/view/1910196","19-1910196")</f>
        <v>0</v>
      </c>
      <c r="B5903" t="s">
        <v>4602</v>
      </c>
      <c r="C5903" t="s">
        <v>7456</v>
      </c>
      <c r="D5903" t="s">
        <v>9926</v>
      </c>
      <c r="E5903" t="s">
        <v>10075</v>
      </c>
      <c r="F5903">
        <v>10452</v>
      </c>
      <c r="G5903" t="s">
        <v>10090</v>
      </c>
      <c r="H5903" t="s">
        <v>10156</v>
      </c>
      <c r="I5903" t="s">
        <v>10168</v>
      </c>
      <c r="J5903" t="s">
        <v>10210</v>
      </c>
      <c r="K5903" t="s">
        <v>10218</v>
      </c>
      <c r="L5903" t="s">
        <v>10223</v>
      </c>
      <c r="M5903" t="s">
        <v>10262</v>
      </c>
      <c r="N5903" t="s">
        <v>10646</v>
      </c>
      <c r="P5903" t="s">
        <v>10749</v>
      </c>
      <c r="Q5903" t="s">
        <v>10765</v>
      </c>
      <c r="R5903" t="s">
        <v>10824</v>
      </c>
      <c r="T5903">
        <v>86000</v>
      </c>
      <c r="U5903">
        <v>7166.67</v>
      </c>
      <c r="V5903">
        <v>39</v>
      </c>
      <c r="W5903">
        <v>2</v>
      </c>
      <c r="X5903">
        <v>0</v>
      </c>
      <c r="Y5903" t="s">
        <v>10829</v>
      </c>
      <c r="Z5903">
        <v>508.57</v>
      </c>
      <c r="AA5903">
        <v>40.833709</v>
      </c>
      <c r="AB5903">
        <v>-73.92160699999999</v>
      </c>
      <c r="AD5903" t="s">
        <v>10840</v>
      </c>
      <c r="AG5903" t="s">
        <v>10858</v>
      </c>
      <c r="AH5903" t="s">
        <v>10861</v>
      </c>
      <c r="AI5903">
        <v>230</v>
      </c>
      <c r="AJ5903" t="s">
        <v>10210</v>
      </c>
      <c r="AK5903" t="s">
        <v>10838</v>
      </c>
      <c r="AL5903">
        <v>1</v>
      </c>
      <c r="AM5903" t="s">
        <v>10884</v>
      </c>
      <c r="AN5903" t="s">
        <v>10924</v>
      </c>
      <c r="AO5903" t="s">
        <v>11013</v>
      </c>
      <c r="AP5903" t="s">
        <v>11055</v>
      </c>
      <c r="AR5903" t="s">
        <v>11257</v>
      </c>
      <c r="AS5903" t="s">
        <v>9926</v>
      </c>
      <c r="AT5903" t="s">
        <v>11642</v>
      </c>
      <c r="AX5903" t="s">
        <v>10837</v>
      </c>
      <c r="AY5903" t="s">
        <v>10829</v>
      </c>
      <c r="AZ5903" t="s">
        <v>11681</v>
      </c>
      <c r="BA5903" t="s">
        <v>11741</v>
      </c>
      <c r="BB5903">
        <v>0</v>
      </c>
      <c r="BC5903">
        <v>0</v>
      </c>
      <c r="BD5903">
        <v>0</v>
      </c>
      <c r="BE5903">
        <v>0</v>
      </c>
      <c r="BF5903">
        <v>1</v>
      </c>
      <c r="BG5903">
        <v>0</v>
      </c>
    </row>
    <row r="5904" spans="1:59">
      <c r="A5904" s="1">
        <f>HYPERLINK("https://lsnyc.legalserver.org/matter/dynamic-profile/view/1910197","19-1910197")</f>
        <v>0</v>
      </c>
      <c r="B5904" t="s">
        <v>4603</v>
      </c>
      <c r="C5904" t="s">
        <v>9459</v>
      </c>
      <c r="D5904" t="s">
        <v>9926</v>
      </c>
      <c r="E5904" t="s">
        <v>10075</v>
      </c>
      <c r="F5904">
        <v>10456</v>
      </c>
      <c r="G5904" t="s">
        <v>10090</v>
      </c>
      <c r="H5904" t="s">
        <v>10156</v>
      </c>
      <c r="I5904" t="s">
        <v>10168</v>
      </c>
      <c r="J5904" t="s">
        <v>10210</v>
      </c>
      <c r="K5904" t="s">
        <v>10217</v>
      </c>
      <c r="M5904" t="s">
        <v>10234</v>
      </c>
      <c r="N5904" t="s">
        <v>10650</v>
      </c>
      <c r="P5904" t="s">
        <v>10749</v>
      </c>
      <c r="Q5904" t="s">
        <v>10765</v>
      </c>
      <c r="R5904" t="s">
        <v>10824</v>
      </c>
      <c r="T5904">
        <v>0</v>
      </c>
      <c r="U5904">
        <v>0</v>
      </c>
      <c r="V5904">
        <v>39</v>
      </c>
      <c r="W5904">
        <v>2</v>
      </c>
      <c r="X5904">
        <v>3</v>
      </c>
      <c r="Z5904">
        <v>0</v>
      </c>
      <c r="AA5904">
        <v>40.830909</v>
      </c>
      <c r="AB5904">
        <v>-73.918323</v>
      </c>
      <c r="AD5904" t="s">
        <v>10839</v>
      </c>
      <c r="AF5904" t="s">
        <v>10843</v>
      </c>
      <c r="AG5904" t="s">
        <v>10859</v>
      </c>
      <c r="AH5904" t="s">
        <v>10862</v>
      </c>
      <c r="AI5904">
        <v>230</v>
      </c>
      <c r="AJ5904" t="s">
        <v>10210</v>
      </c>
      <c r="AL5904">
        <v>0</v>
      </c>
      <c r="AM5904" t="s">
        <v>10884</v>
      </c>
      <c r="AN5904" t="s">
        <v>10929</v>
      </c>
      <c r="AO5904" t="s">
        <v>11001</v>
      </c>
      <c r="AP5904" t="s">
        <v>11055</v>
      </c>
      <c r="AR5904" t="s">
        <v>11266</v>
      </c>
      <c r="AS5904" t="s">
        <v>9926</v>
      </c>
      <c r="BA5904" t="s">
        <v>11738</v>
      </c>
      <c r="BB5904">
        <v>0</v>
      </c>
      <c r="BC5904">
        <v>0</v>
      </c>
      <c r="BD5904">
        <v>0</v>
      </c>
      <c r="BE5904">
        <v>0</v>
      </c>
      <c r="BF5904">
        <v>5</v>
      </c>
      <c r="BG5904">
        <v>0</v>
      </c>
    </row>
    <row r="5905" spans="1:59">
      <c r="A5905" s="1">
        <f>HYPERLINK("https://lsnyc.legalserver.org/matter/dynamic-profile/view/1910198","19-1910198")</f>
        <v>0</v>
      </c>
      <c r="B5905" t="s">
        <v>4604</v>
      </c>
      <c r="C5905" t="s">
        <v>9472</v>
      </c>
      <c r="D5905" t="s">
        <v>9938</v>
      </c>
      <c r="E5905" t="s">
        <v>10075</v>
      </c>
      <c r="F5905">
        <v>11434</v>
      </c>
      <c r="G5905" t="s">
        <v>10092</v>
      </c>
      <c r="H5905" t="s">
        <v>10156</v>
      </c>
      <c r="I5905" t="s">
        <v>10168</v>
      </c>
      <c r="J5905" t="s">
        <v>10212</v>
      </c>
      <c r="K5905" t="s">
        <v>10218</v>
      </c>
      <c r="L5905" t="s">
        <v>10158</v>
      </c>
      <c r="M5905" t="s">
        <v>10325</v>
      </c>
      <c r="N5905" t="s">
        <v>10671</v>
      </c>
      <c r="P5905" t="s">
        <v>10751</v>
      </c>
      <c r="Q5905" t="s">
        <v>10786</v>
      </c>
      <c r="R5905" t="s">
        <v>10824</v>
      </c>
      <c r="T5905">
        <v>3000</v>
      </c>
      <c r="U5905">
        <v>250</v>
      </c>
      <c r="V5905">
        <v>42</v>
      </c>
      <c r="W5905">
        <v>1</v>
      </c>
      <c r="X5905">
        <v>2</v>
      </c>
      <c r="Y5905" t="s">
        <v>10829</v>
      </c>
      <c r="Z5905">
        <v>14.06</v>
      </c>
      <c r="AA5905">
        <v>40.675884</v>
      </c>
      <c r="AB5905">
        <v>-73.7869</v>
      </c>
      <c r="AD5905" t="s">
        <v>10839</v>
      </c>
      <c r="AG5905" t="s">
        <v>10858</v>
      </c>
      <c r="AH5905" t="s">
        <v>10861</v>
      </c>
      <c r="AI5905">
        <v>234</v>
      </c>
      <c r="AJ5905" t="s">
        <v>10214</v>
      </c>
      <c r="AK5905" t="s">
        <v>10838</v>
      </c>
      <c r="AL5905">
        <v>2.35</v>
      </c>
      <c r="AQ5905" t="s">
        <v>11134</v>
      </c>
      <c r="AR5905" t="s">
        <v>11257</v>
      </c>
      <c r="AS5905" t="s">
        <v>11594</v>
      </c>
      <c r="AT5905" t="s">
        <v>11641</v>
      </c>
      <c r="AX5905" t="s">
        <v>10838</v>
      </c>
      <c r="AY5905" t="s">
        <v>10829</v>
      </c>
      <c r="AZ5905" t="s">
        <v>11682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</row>
    <row r="5906" spans="1:59">
      <c r="A5906" s="1">
        <f>HYPERLINK("https://lsnyc.legalserver.org/matter/dynamic-profile/view/1910199","19-1910199")</f>
        <v>0</v>
      </c>
      <c r="B5906" t="s">
        <v>4605</v>
      </c>
      <c r="C5906" t="s">
        <v>9473</v>
      </c>
      <c r="D5906" t="s">
        <v>10067</v>
      </c>
      <c r="E5906" t="s">
        <v>10075</v>
      </c>
      <c r="F5906">
        <v>2886</v>
      </c>
      <c r="G5906" t="s">
        <v>10090</v>
      </c>
      <c r="H5906" t="s">
        <v>10156</v>
      </c>
      <c r="I5906" t="s">
        <v>10168</v>
      </c>
      <c r="J5906" t="s">
        <v>10210</v>
      </c>
      <c r="K5906" t="s">
        <v>10218</v>
      </c>
      <c r="L5906" t="s">
        <v>10220</v>
      </c>
      <c r="M5906" t="s">
        <v>10336</v>
      </c>
      <c r="N5906" t="s">
        <v>10690</v>
      </c>
      <c r="P5906" t="s">
        <v>10754</v>
      </c>
      <c r="Q5906" t="s">
        <v>10777</v>
      </c>
      <c r="R5906" t="s">
        <v>10821</v>
      </c>
      <c r="T5906">
        <v>54438</v>
      </c>
      <c r="U5906">
        <v>4536.5</v>
      </c>
      <c r="V5906">
        <v>50</v>
      </c>
      <c r="W5906">
        <v>3</v>
      </c>
      <c r="X5906">
        <v>1</v>
      </c>
      <c r="Y5906" t="s">
        <v>10829</v>
      </c>
      <c r="Z5906">
        <v>211.41</v>
      </c>
      <c r="AA5906">
        <v>0</v>
      </c>
      <c r="AB5906">
        <v>0</v>
      </c>
      <c r="AC5906" t="s">
        <v>10837</v>
      </c>
      <c r="AD5906" t="s">
        <v>10840</v>
      </c>
      <c r="AG5906" t="s">
        <v>10858</v>
      </c>
      <c r="AH5906" t="s">
        <v>10861</v>
      </c>
      <c r="AI5906">
        <v>234</v>
      </c>
      <c r="AJ5906" t="s">
        <v>10214</v>
      </c>
      <c r="AK5906" t="s">
        <v>10882</v>
      </c>
      <c r="AL5906">
        <v>1.9</v>
      </c>
      <c r="AR5906" t="s">
        <v>11363</v>
      </c>
      <c r="AS5906" t="s">
        <v>11613</v>
      </c>
      <c r="AT5906" t="s">
        <v>11642</v>
      </c>
      <c r="AX5906" t="s">
        <v>10838</v>
      </c>
      <c r="AY5906" t="s">
        <v>10829</v>
      </c>
      <c r="AZ5906" t="s">
        <v>11683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</row>
    <row r="5907" spans="1:59">
      <c r="A5907" s="1">
        <f>HYPERLINK("https://lsnyc.legalserver.org/matter/dynamic-profile/view/1910200","19-1910200")</f>
        <v>0</v>
      </c>
      <c r="B5907" t="s">
        <v>4606</v>
      </c>
      <c r="C5907" t="s">
        <v>9474</v>
      </c>
      <c r="D5907" t="s">
        <v>9928</v>
      </c>
      <c r="E5907" t="s">
        <v>10075</v>
      </c>
      <c r="F5907">
        <v>11218</v>
      </c>
      <c r="G5907" t="s">
        <v>10093</v>
      </c>
      <c r="H5907" t="s">
        <v>10156</v>
      </c>
      <c r="I5907" t="s">
        <v>10168</v>
      </c>
      <c r="J5907" t="s">
        <v>10213</v>
      </c>
      <c r="K5907" t="s">
        <v>10217</v>
      </c>
      <c r="M5907" t="s">
        <v>10327</v>
      </c>
      <c r="N5907" t="s">
        <v>10671</v>
      </c>
      <c r="P5907" t="s">
        <v>10749</v>
      </c>
      <c r="Q5907" t="s">
        <v>10765</v>
      </c>
      <c r="R5907" t="s">
        <v>10820</v>
      </c>
      <c r="T5907">
        <v>1440</v>
      </c>
      <c r="U5907">
        <v>120</v>
      </c>
      <c r="V5907">
        <v>52</v>
      </c>
      <c r="W5907">
        <v>1</v>
      </c>
      <c r="X5907">
        <v>0</v>
      </c>
      <c r="Z5907">
        <v>11.53</v>
      </c>
      <c r="AA5907">
        <v>40.654926</v>
      </c>
      <c r="AB5907">
        <v>-73.981285</v>
      </c>
      <c r="AC5907" t="s">
        <v>10837</v>
      </c>
      <c r="AD5907" t="s">
        <v>10840</v>
      </c>
      <c r="AG5907" t="s">
        <v>10858</v>
      </c>
      <c r="AH5907" t="s">
        <v>10861</v>
      </c>
      <c r="AI5907">
        <v>234</v>
      </c>
      <c r="AJ5907" t="s">
        <v>10214</v>
      </c>
      <c r="AL5907">
        <v>2.4</v>
      </c>
      <c r="AM5907" t="s">
        <v>10888</v>
      </c>
      <c r="AN5907" t="s">
        <v>10941</v>
      </c>
      <c r="AO5907" t="s">
        <v>11008</v>
      </c>
      <c r="AP5907" t="s">
        <v>11059</v>
      </c>
      <c r="AR5907" t="s">
        <v>11255</v>
      </c>
      <c r="AS5907" t="s">
        <v>11595</v>
      </c>
      <c r="AT5907" t="s">
        <v>11642</v>
      </c>
      <c r="AX5907" t="s">
        <v>10838</v>
      </c>
      <c r="BA5907" t="s">
        <v>11742</v>
      </c>
      <c r="BB5907">
        <v>0</v>
      </c>
      <c r="BC5907">
        <v>0</v>
      </c>
      <c r="BD5907">
        <v>0</v>
      </c>
      <c r="BE5907">
        <v>0</v>
      </c>
      <c r="BF5907">
        <v>7</v>
      </c>
      <c r="BG5907">
        <v>0</v>
      </c>
    </row>
    <row r="5908" spans="1:59">
      <c r="A5908" s="1">
        <f>HYPERLINK("https://lsnyc.legalserver.org/matter/dynamic-profile/view/1910201","19-1910201")</f>
        <v>0</v>
      </c>
      <c r="B5908" t="s">
        <v>4603</v>
      </c>
      <c r="C5908" t="s">
        <v>9459</v>
      </c>
      <c r="D5908" t="s">
        <v>9926</v>
      </c>
      <c r="E5908" t="s">
        <v>10075</v>
      </c>
      <c r="F5908">
        <v>10456</v>
      </c>
      <c r="G5908" t="s">
        <v>10090</v>
      </c>
      <c r="H5908" t="s">
        <v>10156</v>
      </c>
      <c r="I5908" t="s">
        <v>10168</v>
      </c>
      <c r="J5908" t="s">
        <v>10210</v>
      </c>
      <c r="K5908" t="s">
        <v>10217</v>
      </c>
      <c r="M5908" t="s">
        <v>10234</v>
      </c>
      <c r="N5908" t="s">
        <v>10650</v>
      </c>
      <c r="P5908" t="s">
        <v>10749</v>
      </c>
      <c r="Q5908" t="s">
        <v>10765</v>
      </c>
      <c r="R5908" t="s">
        <v>10824</v>
      </c>
      <c r="T5908">
        <v>0</v>
      </c>
      <c r="U5908">
        <v>0</v>
      </c>
      <c r="V5908">
        <v>39</v>
      </c>
      <c r="W5908">
        <v>2</v>
      </c>
      <c r="X5908">
        <v>3</v>
      </c>
      <c r="Z5908">
        <v>0</v>
      </c>
      <c r="AA5908">
        <v>40.830909</v>
      </c>
      <c r="AB5908">
        <v>-73.918323</v>
      </c>
      <c r="AD5908" t="s">
        <v>10839</v>
      </c>
      <c r="AF5908" t="s">
        <v>10843</v>
      </c>
      <c r="AG5908" t="s">
        <v>10859</v>
      </c>
      <c r="AH5908" t="s">
        <v>10862</v>
      </c>
      <c r="AI5908">
        <v>230</v>
      </c>
      <c r="AJ5908" t="s">
        <v>10210</v>
      </c>
      <c r="AL5908">
        <v>0</v>
      </c>
      <c r="AM5908" t="s">
        <v>10884</v>
      </c>
      <c r="AN5908" t="s">
        <v>10929</v>
      </c>
      <c r="AO5908" t="s">
        <v>11001</v>
      </c>
      <c r="AP5908" t="s">
        <v>11055</v>
      </c>
      <c r="AR5908" t="s">
        <v>11266</v>
      </c>
      <c r="AS5908" t="s">
        <v>9926</v>
      </c>
      <c r="BA5908" t="s">
        <v>11739</v>
      </c>
      <c r="BB5908">
        <v>0</v>
      </c>
      <c r="BC5908">
        <v>0</v>
      </c>
      <c r="BD5908">
        <v>0</v>
      </c>
      <c r="BE5908">
        <v>0</v>
      </c>
      <c r="BF5908">
        <v>4</v>
      </c>
      <c r="BG5908">
        <v>0</v>
      </c>
    </row>
    <row r="5909" spans="1:59">
      <c r="A5909" s="1">
        <f>HYPERLINK("https://lsnyc.legalserver.org/matter/dynamic-profile/view/1910202","19-1910202")</f>
        <v>0</v>
      </c>
      <c r="B5909" t="s">
        <v>4607</v>
      </c>
      <c r="C5909" t="s">
        <v>9475</v>
      </c>
      <c r="D5909" t="s">
        <v>9947</v>
      </c>
      <c r="E5909" t="s">
        <v>10075</v>
      </c>
      <c r="F5909">
        <v>11374</v>
      </c>
      <c r="G5909" t="s">
        <v>10092</v>
      </c>
      <c r="H5909" t="s">
        <v>10156</v>
      </c>
      <c r="I5909" t="s">
        <v>10168</v>
      </c>
      <c r="J5909" t="s">
        <v>10212</v>
      </c>
      <c r="K5909" t="s">
        <v>10217</v>
      </c>
      <c r="M5909" t="s">
        <v>10452</v>
      </c>
      <c r="N5909" t="s">
        <v>10678</v>
      </c>
      <c r="P5909" t="s">
        <v>10749</v>
      </c>
      <c r="Q5909" t="s">
        <v>10769</v>
      </c>
      <c r="R5909" t="s">
        <v>10827</v>
      </c>
      <c r="T5909">
        <v>84000</v>
      </c>
      <c r="U5909">
        <v>7000</v>
      </c>
      <c r="V5909">
        <v>51</v>
      </c>
      <c r="W5909">
        <v>5</v>
      </c>
      <c r="X5909">
        <v>1</v>
      </c>
      <c r="Z5909">
        <v>242.84</v>
      </c>
      <c r="AA5909">
        <v>40.730577</v>
      </c>
      <c r="AB5909">
        <v>-73.869378</v>
      </c>
      <c r="AD5909" t="s">
        <v>10839</v>
      </c>
      <c r="AG5909" t="s">
        <v>10858</v>
      </c>
      <c r="AH5909" t="s">
        <v>10861</v>
      </c>
      <c r="AI5909">
        <v>234</v>
      </c>
      <c r="AJ5909" t="s">
        <v>10214</v>
      </c>
      <c r="AL5909">
        <v>3.6</v>
      </c>
      <c r="AM5909" t="s">
        <v>10890</v>
      </c>
      <c r="AN5909" t="s">
        <v>10952</v>
      </c>
      <c r="AO5909" t="s">
        <v>11024</v>
      </c>
      <c r="AP5909" t="s">
        <v>11083</v>
      </c>
      <c r="AR5909" t="s">
        <v>11257</v>
      </c>
      <c r="AS5909" t="s">
        <v>11594</v>
      </c>
      <c r="AT5909" t="s">
        <v>11641</v>
      </c>
      <c r="AX5909" t="s">
        <v>10838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</row>
    <row r="5910" spans="1:59">
      <c r="A5910" s="1">
        <f>HYPERLINK("https://lsnyc.legalserver.org/matter/dynamic-profile/view/1910203","19-1910203")</f>
        <v>0</v>
      </c>
      <c r="B5910" t="s">
        <v>4608</v>
      </c>
      <c r="C5910" t="s">
        <v>9476</v>
      </c>
      <c r="D5910" t="s">
        <v>9925</v>
      </c>
      <c r="E5910" t="s">
        <v>10075</v>
      </c>
      <c r="F5910">
        <v>10029</v>
      </c>
      <c r="G5910" t="s">
        <v>10089</v>
      </c>
      <c r="H5910" t="s">
        <v>10156</v>
      </c>
      <c r="I5910" t="s">
        <v>10168</v>
      </c>
      <c r="J5910" t="s">
        <v>10209</v>
      </c>
      <c r="K5910" t="s">
        <v>10218</v>
      </c>
      <c r="L5910" t="s">
        <v>10158</v>
      </c>
      <c r="M5910" t="s">
        <v>10379</v>
      </c>
      <c r="N5910" t="s">
        <v>10703</v>
      </c>
      <c r="P5910" t="s">
        <v>10749</v>
      </c>
      <c r="Q5910" t="s">
        <v>10765</v>
      </c>
      <c r="R5910" t="s">
        <v>10824</v>
      </c>
      <c r="T5910">
        <v>2028</v>
      </c>
      <c r="U5910">
        <v>169</v>
      </c>
      <c r="V5910">
        <v>61</v>
      </c>
      <c r="W5910">
        <v>1</v>
      </c>
      <c r="X5910">
        <v>0</v>
      </c>
      <c r="Y5910" t="s">
        <v>10829</v>
      </c>
      <c r="Z5910">
        <v>16.24</v>
      </c>
      <c r="AA5910">
        <v>40.796752</v>
      </c>
      <c r="AB5910">
        <v>-73.938693</v>
      </c>
      <c r="AD5910" t="s">
        <v>10840</v>
      </c>
      <c r="AG5910" t="s">
        <v>10858</v>
      </c>
      <c r="AH5910" t="s">
        <v>10862</v>
      </c>
      <c r="AI5910">
        <v>236</v>
      </c>
      <c r="AJ5910" t="s">
        <v>10209</v>
      </c>
      <c r="AK5910" t="s">
        <v>10882</v>
      </c>
      <c r="AL5910">
        <v>0</v>
      </c>
      <c r="AM5910" t="s">
        <v>10887</v>
      </c>
      <c r="AN5910" t="s">
        <v>10926</v>
      </c>
      <c r="AO5910" t="s">
        <v>11013</v>
      </c>
      <c r="AP5910" t="s">
        <v>11066</v>
      </c>
      <c r="AR5910" t="s">
        <v>11260</v>
      </c>
      <c r="AS5910" t="s">
        <v>9925</v>
      </c>
      <c r="AY5910" t="s">
        <v>10829</v>
      </c>
      <c r="AZ5910" t="s">
        <v>11681</v>
      </c>
      <c r="BA5910" t="s">
        <v>11741</v>
      </c>
      <c r="BB5910">
        <v>0</v>
      </c>
      <c r="BC5910">
        <v>0</v>
      </c>
      <c r="BD5910">
        <v>0</v>
      </c>
      <c r="BE5910">
        <v>0</v>
      </c>
      <c r="BF5910">
        <v>1</v>
      </c>
      <c r="BG5910">
        <v>0</v>
      </c>
    </row>
    <row r="5911" spans="1:59">
      <c r="A5911" s="1">
        <f>HYPERLINK("https://lsnyc.legalserver.org/matter/dynamic-profile/view/1910204","19-1910204")</f>
        <v>0</v>
      </c>
      <c r="B5911" t="s">
        <v>2708</v>
      </c>
      <c r="C5911" t="s">
        <v>7492</v>
      </c>
      <c r="D5911" t="s">
        <v>9926</v>
      </c>
      <c r="E5911" t="s">
        <v>10075</v>
      </c>
      <c r="F5911">
        <v>10452</v>
      </c>
      <c r="G5911" t="s">
        <v>10090</v>
      </c>
      <c r="H5911" t="s">
        <v>10156</v>
      </c>
      <c r="I5911" t="s">
        <v>10169</v>
      </c>
      <c r="J5911" t="s">
        <v>10210</v>
      </c>
      <c r="K5911" t="s">
        <v>10217</v>
      </c>
      <c r="M5911" t="s">
        <v>10593</v>
      </c>
      <c r="N5911" t="s">
        <v>10677</v>
      </c>
      <c r="P5911" t="s">
        <v>10753</v>
      </c>
      <c r="Q5911" t="s">
        <v>10790</v>
      </c>
      <c r="R5911" t="s">
        <v>10823</v>
      </c>
      <c r="T5911">
        <v>0</v>
      </c>
      <c r="U5911">
        <v>0</v>
      </c>
      <c r="V5911">
        <v>65</v>
      </c>
      <c r="W5911">
        <v>2</v>
      </c>
      <c r="X5911">
        <v>0</v>
      </c>
      <c r="Z5911">
        <v>0</v>
      </c>
      <c r="AA5911">
        <v>40.840745</v>
      </c>
      <c r="AB5911">
        <v>-73.92649900000001</v>
      </c>
      <c r="AD5911" t="s">
        <v>10839</v>
      </c>
      <c r="AF5911" t="s">
        <v>10843</v>
      </c>
      <c r="AG5911" t="s">
        <v>10859</v>
      </c>
      <c r="AH5911" t="s">
        <v>10874</v>
      </c>
      <c r="AI5911">
        <v>230</v>
      </c>
      <c r="AJ5911" t="s">
        <v>10210</v>
      </c>
      <c r="AL5911">
        <v>1</v>
      </c>
      <c r="AM5911" t="s">
        <v>10884</v>
      </c>
      <c r="AN5911" t="s">
        <v>10929</v>
      </c>
      <c r="AO5911" t="s">
        <v>11013</v>
      </c>
      <c r="AP5911" t="s">
        <v>11055</v>
      </c>
      <c r="AQ5911" t="s">
        <v>11125</v>
      </c>
      <c r="AR5911" t="s">
        <v>11267</v>
      </c>
      <c r="AS5911" t="s">
        <v>9926</v>
      </c>
      <c r="AT5911" t="s">
        <v>11641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</row>
    <row r="5912" spans="1:59">
      <c r="A5912" s="1">
        <f>HYPERLINK("https://lsnyc.legalserver.org/matter/dynamic-profile/view/1910205","19-1910205")</f>
        <v>0</v>
      </c>
      <c r="B5912" t="s">
        <v>4609</v>
      </c>
      <c r="C5912" t="s">
        <v>5824</v>
      </c>
      <c r="D5912" t="s">
        <v>9926</v>
      </c>
      <c r="E5912" t="s">
        <v>10075</v>
      </c>
      <c r="F5912">
        <v>10457</v>
      </c>
      <c r="G5912" t="s">
        <v>10090</v>
      </c>
      <c r="H5912" t="s">
        <v>10156</v>
      </c>
      <c r="I5912" t="s">
        <v>10169</v>
      </c>
      <c r="J5912" t="s">
        <v>10210</v>
      </c>
      <c r="K5912" t="s">
        <v>10217</v>
      </c>
      <c r="M5912" t="s">
        <v>10511</v>
      </c>
      <c r="N5912" t="s">
        <v>10651</v>
      </c>
      <c r="P5912" t="s">
        <v>10749</v>
      </c>
      <c r="Q5912" t="s">
        <v>10765</v>
      </c>
      <c r="R5912" t="s">
        <v>10823</v>
      </c>
      <c r="T5912">
        <v>7800</v>
      </c>
      <c r="U5912">
        <v>650</v>
      </c>
      <c r="V5912">
        <v>25</v>
      </c>
      <c r="W5912">
        <v>1</v>
      </c>
      <c r="X5912">
        <v>1</v>
      </c>
      <c r="Z5912">
        <v>46.13</v>
      </c>
      <c r="AA5912">
        <v>40.841297</v>
      </c>
      <c r="AB5912">
        <v>-73.91159500000001</v>
      </c>
      <c r="AD5912" t="s">
        <v>10839</v>
      </c>
      <c r="AF5912" t="s">
        <v>10843</v>
      </c>
      <c r="AG5912" t="s">
        <v>10859</v>
      </c>
      <c r="AH5912" t="s">
        <v>10861</v>
      </c>
      <c r="AI5912">
        <v>230</v>
      </c>
      <c r="AJ5912" t="s">
        <v>10210</v>
      </c>
      <c r="AL5912">
        <v>1.5</v>
      </c>
      <c r="AM5912" t="s">
        <v>10884</v>
      </c>
      <c r="AN5912" t="s">
        <v>10929</v>
      </c>
      <c r="AO5912" t="s">
        <v>11013</v>
      </c>
      <c r="AP5912" t="s">
        <v>11055</v>
      </c>
      <c r="AR5912" t="s">
        <v>11262</v>
      </c>
      <c r="AS5912" t="s">
        <v>9926</v>
      </c>
      <c r="AT5912" t="s">
        <v>11641</v>
      </c>
      <c r="AX5912" t="s">
        <v>10838</v>
      </c>
      <c r="BA5912" t="s">
        <v>11738</v>
      </c>
      <c r="BB5912">
        <v>0</v>
      </c>
      <c r="BC5912">
        <v>0</v>
      </c>
      <c r="BD5912">
        <v>0</v>
      </c>
      <c r="BE5912">
        <v>0</v>
      </c>
      <c r="BF5912">
        <v>5</v>
      </c>
      <c r="BG5912">
        <v>0</v>
      </c>
    </row>
    <row r="5913" spans="1:59">
      <c r="A5913" s="1">
        <f>HYPERLINK("https://lsnyc.legalserver.org/matter/dynamic-profile/view/1910206","19-1910206")</f>
        <v>0</v>
      </c>
      <c r="B5913" t="s">
        <v>4610</v>
      </c>
      <c r="C5913" t="s">
        <v>7709</v>
      </c>
      <c r="D5913" t="s">
        <v>9928</v>
      </c>
      <c r="E5913" t="s">
        <v>10075</v>
      </c>
      <c r="F5913">
        <v>11226</v>
      </c>
      <c r="G5913" t="s">
        <v>10093</v>
      </c>
      <c r="H5913" t="s">
        <v>10156</v>
      </c>
      <c r="I5913" t="s">
        <v>10168</v>
      </c>
      <c r="J5913" t="s">
        <v>10213</v>
      </c>
      <c r="K5913" t="s">
        <v>10217</v>
      </c>
      <c r="M5913" t="s">
        <v>10275</v>
      </c>
      <c r="N5913" t="s">
        <v>10667</v>
      </c>
      <c r="P5913" t="s">
        <v>10749</v>
      </c>
      <c r="Q5913" t="s">
        <v>10765</v>
      </c>
      <c r="R5913" t="s">
        <v>10824</v>
      </c>
      <c r="T5913">
        <v>0</v>
      </c>
      <c r="U5913">
        <v>0</v>
      </c>
      <c r="V5913">
        <v>25</v>
      </c>
      <c r="W5913">
        <v>1</v>
      </c>
      <c r="X5913">
        <v>0</v>
      </c>
      <c r="Z5913">
        <v>0</v>
      </c>
      <c r="AA5913">
        <v>40.642682</v>
      </c>
      <c r="AB5913">
        <v>-73.953731</v>
      </c>
      <c r="AD5913" t="s">
        <v>10839</v>
      </c>
      <c r="AG5913" t="s">
        <v>10858</v>
      </c>
      <c r="AH5913" t="s">
        <v>10862</v>
      </c>
      <c r="AI5913">
        <v>239</v>
      </c>
      <c r="AJ5913" t="s">
        <v>10213</v>
      </c>
      <c r="AL5913">
        <v>0</v>
      </c>
      <c r="AM5913" t="s">
        <v>10888</v>
      </c>
      <c r="AN5913" t="s">
        <v>10932</v>
      </c>
      <c r="AO5913" t="s">
        <v>11008</v>
      </c>
      <c r="AP5913" t="s">
        <v>11065</v>
      </c>
      <c r="AR5913" t="s">
        <v>11267</v>
      </c>
      <c r="AS5913" t="s">
        <v>11595</v>
      </c>
      <c r="AX5913" t="s">
        <v>10837</v>
      </c>
      <c r="BA5913" t="s">
        <v>11738</v>
      </c>
      <c r="BB5913">
        <v>0</v>
      </c>
      <c r="BC5913">
        <v>0</v>
      </c>
      <c r="BD5913">
        <v>0</v>
      </c>
      <c r="BE5913">
        <v>0</v>
      </c>
      <c r="BF5913">
        <v>5</v>
      </c>
      <c r="BG5913">
        <v>0</v>
      </c>
    </row>
    <row r="5914" spans="1:59">
      <c r="A5914" s="1">
        <f>HYPERLINK("https://lsnyc.legalserver.org/matter/dynamic-profile/view/1910207","19-1910207")</f>
        <v>0</v>
      </c>
      <c r="B5914" t="s">
        <v>4609</v>
      </c>
      <c r="C5914" t="s">
        <v>5824</v>
      </c>
      <c r="D5914" t="s">
        <v>9926</v>
      </c>
      <c r="E5914" t="s">
        <v>10075</v>
      </c>
      <c r="F5914">
        <v>10457</v>
      </c>
      <c r="G5914" t="s">
        <v>10090</v>
      </c>
      <c r="H5914" t="s">
        <v>10156</v>
      </c>
      <c r="I5914" t="s">
        <v>10169</v>
      </c>
      <c r="J5914" t="s">
        <v>10210</v>
      </c>
      <c r="K5914" t="s">
        <v>10217</v>
      </c>
      <c r="M5914" t="s">
        <v>10511</v>
      </c>
      <c r="N5914" t="s">
        <v>10688</v>
      </c>
      <c r="P5914" t="s">
        <v>10751</v>
      </c>
      <c r="Q5914" t="s">
        <v>10761</v>
      </c>
      <c r="R5914" t="s">
        <v>10823</v>
      </c>
      <c r="T5914">
        <v>7800</v>
      </c>
      <c r="U5914">
        <v>650</v>
      </c>
      <c r="V5914">
        <v>25</v>
      </c>
      <c r="W5914">
        <v>1</v>
      </c>
      <c r="X5914">
        <v>1</v>
      </c>
      <c r="Z5914">
        <v>46.13</v>
      </c>
      <c r="AA5914">
        <v>40.841297</v>
      </c>
      <c r="AB5914">
        <v>-73.91159500000001</v>
      </c>
      <c r="AD5914" t="s">
        <v>10839</v>
      </c>
      <c r="AF5914" t="s">
        <v>10843</v>
      </c>
      <c r="AG5914" t="s">
        <v>10859</v>
      </c>
      <c r="AH5914" t="s">
        <v>10861</v>
      </c>
      <c r="AI5914">
        <v>230</v>
      </c>
      <c r="AJ5914" t="s">
        <v>10210</v>
      </c>
      <c r="AL5914">
        <v>0</v>
      </c>
      <c r="AR5914" t="s">
        <v>11262</v>
      </c>
      <c r="AS5914" t="s">
        <v>9926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</row>
    <row r="5915" spans="1:59">
      <c r="A5915" s="1">
        <f>HYPERLINK("https://lsnyc.legalserver.org/matter/dynamic-profile/view/1910208","19-1910208")</f>
        <v>0</v>
      </c>
      <c r="B5915" t="s">
        <v>4611</v>
      </c>
      <c r="C5915" t="s">
        <v>9477</v>
      </c>
      <c r="D5915" t="s">
        <v>9925</v>
      </c>
      <c r="E5915" t="s">
        <v>10075</v>
      </c>
      <c r="F5915">
        <v>10035</v>
      </c>
      <c r="G5915" t="s">
        <v>10089</v>
      </c>
      <c r="H5915" t="s">
        <v>10156</v>
      </c>
      <c r="I5915" t="s">
        <v>10168</v>
      </c>
      <c r="J5915" t="s">
        <v>10209</v>
      </c>
      <c r="K5915" t="s">
        <v>10217</v>
      </c>
      <c r="M5915" t="s">
        <v>10613</v>
      </c>
      <c r="N5915" t="s">
        <v>10650</v>
      </c>
      <c r="P5915" t="s">
        <v>10749</v>
      </c>
      <c r="Q5915" t="s">
        <v>10765</v>
      </c>
      <c r="R5915" t="s">
        <v>10821</v>
      </c>
      <c r="T5915">
        <v>9100</v>
      </c>
      <c r="U5915">
        <v>758.33</v>
      </c>
      <c r="V5915">
        <v>24</v>
      </c>
      <c r="W5915">
        <v>1</v>
      </c>
      <c r="X5915">
        <v>0</v>
      </c>
      <c r="Z5915">
        <v>72.86</v>
      </c>
      <c r="AA5915">
        <v>40.799068</v>
      </c>
      <c r="AB5915">
        <v>-73.937335</v>
      </c>
      <c r="AD5915" t="s">
        <v>10840</v>
      </c>
      <c r="AG5915" t="s">
        <v>10858</v>
      </c>
      <c r="AH5915" t="s">
        <v>10862</v>
      </c>
      <c r="AI5915">
        <v>236</v>
      </c>
      <c r="AJ5915" t="s">
        <v>10209</v>
      </c>
      <c r="AL5915">
        <v>0.5</v>
      </c>
      <c r="AM5915" t="s">
        <v>10887</v>
      </c>
      <c r="AN5915" t="s">
        <v>10926</v>
      </c>
      <c r="AO5915" t="s">
        <v>11016</v>
      </c>
      <c r="AP5915" t="s">
        <v>11066</v>
      </c>
      <c r="AR5915" t="s">
        <v>11257</v>
      </c>
      <c r="AS5915" t="s">
        <v>9925</v>
      </c>
      <c r="BA5915" t="s">
        <v>11742</v>
      </c>
      <c r="BB5915">
        <v>0</v>
      </c>
      <c r="BC5915">
        <v>0</v>
      </c>
      <c r="BD5915">
        <v>0</v>
      </c>
      <c r="BE5915">
        <v>0</v>
      </c>
      <c r="BF5915">
        <v>7</v>
      </c>
      <c r="BG5915">
        <v>0</v>
      </c>
    </row>
    <row r="5916" spans="1:59">
      <c r="A5916" s="1">
        <f>HYPERLINK("https://lsnyc.legalserver.org/matter/dynamic-profile/view/1910209","19-1910209")</f>
        <v>0</v>
      </c>
      <c r="B5916" t="s">
        <v>4612</v>
      </c>
      <c r="C5916" t="s">
        <v>9478</v>
      </c>
      <c r="D5916" t="s">
        <v>9925</v>
      </c>
      <c r="E5916" t="s">
        <v>10075</v>
      </c>
      <c r="F5916">
        <v>10029</v>
      </c>
      <c r="G5916" t="s">
        <v>10093</v>
      </c>
      <c r="H5916" t="s">
        <v>10156</v>
      </c>
      <c r="I5916" t="s">
        <v>10168</v>
      </c>
      <c r="J5916" t="s">
        <v>10213</v>
      </c>
      <c r="K5916" t="s">
        <v>10218</v>
      </c>
      <c r="L5916" t="s">
        <v>4843</v>
      </c>
      <c r="M5916" t="s">
        <v>10436</v>
      </c>
      <c r="N5916" t="s">
        <v>10710</v>
      </c>
      <c r="P5916" t="s">
        <v>10750</v>
      </c>
      <c r="Q5916" t="s">
        <v>10760</v>
      </c>
      <c r="R5916" t="s">
        <v>10824</v>
      </c>
      <c r="T5916">
        <v>10440</v>
      </c>
      <c r="U5916">
        <v>870</v>
      </c>
      <c r="V5916">
        <v>71</v>
      </c>
      <c r="W5916">
        <v>1</v>
      </c>
      <c r="X5916">
        <v>0</v>
      </c>
      <c r="Y5916" t="s">
        <v>10829</v>
      </c>
      <c r="Z5916">
        <v>83.59</v>
      </c>
      <c r="AA5916">
        <v>40.786994</v>
      </c>
      <c r="AB5916">
        <v>-73.944666</v>
      </c>
      <c r="AD5916" t="s">
        <v>10839</v>
      </c>
      <c r="AG5916" t="s">
        <v>10858</v>
      </c>
      <c r="AH5916" t="s">
        <v>10861</v>
      </c>
      <c r="AI5916">
        <v>234</v>
      </c>
      <c r="AJ5916" t="s">
        <v>10214</v>
      </c>
      <c r="AK5916" t="s">
        <v>10838</v>
      </c>
      <c r="AL5916">
        <v>1</v>
      </c>
      <c r="AM5916" t="s">
        <v>10887</v>
      </c>
      <c r="AN5916" t="s">
        <v>10926</v>
      </c>
      <c r="AO5916" t="s">
        <v>11013</v>
      </c>
      <c r="AP5916" t="s">
        <v>11066</v>
      </c>
      <c r="AR5916" t="s">
        <v>11316</v>
      </c>
      <c r="AS5916" t="s">
        <v>9925</v>
      </c>
      <c r="AT5916" t="s">
        <v>11641</v>
      </c>
      <c r="AX5916" t="s">
        <v>10838</v>
      </c>
      <c r="AY5916" t="s">
        <v>10829</v>
      </c>
      <c r="AZ5916" t="s">
        <v>11679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</row>
    <row r="5917" spans="1:59">
      <c r="A5917" s="1">
        <f>HYPERLINK("https://lsnyc.legalserver.org/matter/dynamic-profile/view/1910210","19-1910210")</f>
        <v>0</v>
      </c>
      <c r="B5917" t="s">
        <v>3089</v>
      </c>
      <c r="C5917" t="s">
        <v>9479</v>
      </c>
      <c r="D5917" t="s">
        <v>9928</v>
      </c>
      <c r="E5917" t="s">
        <v>10075</v>
      </c>
      <c r="F5917">
        <v>11228</v>
      </c>
      <c r="G5917" t="s">
        <v>10093</v>
      </c>
      <c r="H5917" t="s">
        <v>10156</v>
      </c>
      <c r="I5917" t="s">
        <v>10168</v>
      </c>
      <c r="J5917" t="s">
        <v>10213</v>
      </c>
      <c r="K5917" t="s">
        <v>10217</v>
      </c>
      <c r="M5917" t="s">
        <v>10289</v>
      </c>
      <c r="N5917" t="s">
        <v>10671</v>
      </c>
      <c r="P5917" t="s">
        <v>10757</v>
      </c>
      <c r="Q5917" t="s">
        <v>10789</v>
      </c>
      <c r="R5917" t="s">
        <v>10820</v>
      </c>
      <c r="T5917">
        <v>11628</v>
      </c>
      <c r="U5917">
        <v>969</v>
      </c>
      <c r="V5917">
        <v>55</v>
      </c>
      <c r="W5917">
        <v>1</v>
      </c>
      <c r="X5917">
        <v>0</v>
      </c>
      <c r="Z5917">
        <v>93.09999999999999</v>
      </c>
      <c r="AA5917">
        <v>40.620361</v>
      </c>
      <c r="AB5917">
        <v>-74.01852599999999</v>
      </c>
      <c r="AD5917" t="s">
        <v>10840</v>
      </c>
      <c r="AG5917" t="s">
        <v>10858</v>
      </c>
      <c r="AH5917" t="s">
        <v>10861</v>
      </c>
      <c r="AI5917">
        <v>234</v>
      </c>
      <c r="AJ5917" t="s">
        <v>10214</v>
      </c>
      <c r="AL5917">
        <v>1.5</v>
      </c>
      <c r="AM5917" t="s">
        <v>10883</v>
      </c>
      <c r="AN5917" t="s">
        <v>10960</v>
      </c>
      <c r="AO5917" t="s">
        <v>11023</v>
      </c>
      <c r="AP5917" t="s">
        <v>11086</v>
      </c>
      <c r="AR5917" t="s">
        <v>11298</v>
      </c>
      <c r="AS5917" t="s">
        <v>11595</v>
      </c>
      <c r="AT5917" t="s">
        <v>11642</v>
      </c>
      <c r="AX5917" t="s">
        <v>10838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</row>
    <row r="5918" spans="1:59">
      <c r="A5918" s="1">
        <f>HYPERLINK("https://lsnyc.legalserver.org/matter/dynamic-profile/view/1910211","19-1910211")</f>
        <v>0</v>
      </c>
      <c r="B5918" t="s">
        <v>4613</v>
      </c>
      <c r="C5918" t="s">
        <v>9480</v>
      </c>
      <c r="D5918" t="s">
        <v>9938</v>
      </c>
      <c r="E5918" t="s">
        <v>10075</v>
      </c>
      <c r="F5918">
        <v>11434</v>
      </c>
      <c r="G5918" t="s">
        <v>10092</v>
      </c>
      <c r="H5918" t="s">
        <v>10156</v>
      </c>
      <c r="I5918" t="s">
        <v>10168</v>
      </c>
      <c r="J5918" t="s">
        <v>10212</v>
      </c>
      <c r="K5918" t="s">
        <v>10217</v>
      </c>
      <c r="M5918" t="s">
        <v>10342</v>
      </c>
      <c r="N5918" t="s">
        <v>10693</v>
      </c>
      <c r="P5918" t="s">
        <v>10749</v>
      </c>
      <c r="Q5918" t="s">
        <v>10765</v>
      </c>
      <c r="R5918" t="s">
        <v>10824</v>
      </c>
      <c r="T5918">
        <v>16000</v>
      </c>
      <c r="U5918">
        <v>1333.33</v>
      </c>
      <c r="V5918">
        <v>38</v>
      </c>
      <c r="W5918">
        <v>1</v>
      </c>
      <c r="X5918">
        <v>1</v>
      </c>
      <c r="Z5918">
        <v>94.62</v>
      </c>
      <c r="AA5918">
        <v>40.691837</v>
      </c>
      <c r="AB5918">
        <v>-73.77794299999999</v>
      </c>
      <c r="AD5918" t="s">
        <v>10839</v>
      </c>
      <c r="AG5918" t="s">
        <v>10858</v>
      </c>
      <c r="AH5918" t="s">
        <v>10862</v>
      </c>
      <c r="AI5918">
        <v>237</v>
      </c>
      <c r="AJ5918" t="s">
        <v>10212</v>
      </c>
      <c r="AL5918">
        <v>2.62</v>
      </c>
      <c r="AM5918" t="s">
        <v>10892</v>
      </c>
      <c r="AN5918" t="s">
        <v>10955</v>
      </c>
      <c r="AO5918" t="s">
        <v>11020</v>
      </c>
      <c r="AP5918" t="s">
        <v>11075</v>
      </c>
      <c r="AR5918" t="s">
        <v>11257</v>
      </c>
      <c r="AS5918" t="s">
        <v>11594</v>
      </c>
      <c r="BA5918" t="s">
        <v>11738</v>
      </c>
      <c r="BB5918">
        <v>0</v>
      </c>
      <c r="BC5918">
        <v>0</v>
      </c>
      <c r="BD5918">
        <v>0</v>
      </c>
      <c r="BE5918">
        <v>0</v>
      </c>
      <c r="BF5918">
        <v>5</v>
      </c>
      <c r="BG5918">
        <v>0</v>
      </c>
    </row>
    <row r="5919" spans="1:59">
      <c r="A5919" s="1">
        <f>HYPERLINK("https://lsnyc.legalserver.org/matter/dynamic-profile/view/1910212","19-1910212")</f>
        <v>0</v>
      </c>
      <c r="B5919" t="s">
        <v>4614</v>
      </c>
      <c r="C5919" t="s">
        <v>9481</v>
      </c>
      <c r="D5919" t="s">
        <v>9925</v>
      </c>
      <c r="E5919" t="s">
        <v>10075</v>
      </c>
      <c r="F5919">
        <v>10002</v>
      </c>
      <c r="G5919" t="s">
        <v>10089</v>
      </c>
      <c r="H5919" t="s">
        <v>10156</v>
      </c>
      <c r="I5919" t="s">
        <v>10202</v>
      </c>
      <c r="J5919" t="s">
        <v>10209</v>
      </c>
      <c r="K5919" t="s">
        <v>10217</v>
      </c>
      <c r="M5919" t="s">
        <v>10431</v>
      </c>
      <c r="N5919" t="s">
        <v>10703</v>
      </c>
      <c r="P5919" t="s">
        <v>10749</v>
      </c>
      <c r="Q5919" t="s">
        <v>10765</v>
      </c>
      <c r="R5919" t="s">
        <v>10827</v>
      </c>
      <c r="T5919">
        <v>6480</v>
      </c>
      <c r="U5919">
        <v>540</v>
      </c>
      <c r="V5919">
        <v>74</v>
      </c>
      <c r="W5919">
        <v>2</v>
      </c>
      <c r="X5919">
        <v>0</v>
      </c>
      <c r="Z5919">
        <v>38.32</v>
      </c>
      <c r="AA5919">
        <v>40.713402</v>
      </c>
      <c r="AB5919">
        <v>-73.991477</v>
      </c>
      <c r="AD5919" t="s">
        <v>10839</v>
      </c>
      <c r="AG5919" t="s">
        <v>10858</v>
      </c>
      <c r="AH5919" t="s">
        <v>10862</v>
      </c>
      <c r="AI5919">
        <v>236</v>
      </c>
      <c r="AJ5919" t="s">
        <v>10209</v>
      </c>
      <c r="AL5919">
        <v>1</v>
      </c>
      <c r="AM5919" t="s">
        <v>10886</v>
      </c>
      <c r="AN5919" t="s">
        <v>10963</v>
      </c>
      <c r="AO5919" t="s">
        <v>11004</v>
      </c>
      <c r="AP5919" t="s">
        <v>11093</v>
      </c>
      <c r="AR5919" t="s">
        <v>11253</v>
      </c>
      <c r="AS5919" t="s">
        <v>9925</v>
      </c>
      <c r="BA5919" t="s">
        <v>11742</v>
      </c>
      <c r="BB5919">
        <v>0</v>
      </c>
      <c r="BC5919">
        <v>0</v>
      </c>
      <c r="BD5919">
        <v>0</v>
      </c>
      <c r="BE5919">
        <v>0</v>
      </c>
      <c r="BF5919">
        <v>7</v>
      </c>
      <c r="BG5919">
        <v>0</v>
      </c>
    </row>
    <row r="5920" spans="1:59">
      <c r="A5920" s="1">
        <f>HYPERLINK("https://lsnyc.legalserver.org/matter/dynamic-profile/view/1910213","19-1910213")</f>
        <v>0</v>
      </c>
      <c r="B5920" t="s">
        <v>4615</v>
      </c>
      <c r="C5920" t="s">
        <v>9482</v>
      </c>
      <c r="D5920" t="s">
        <v>9926</v>
      </c>
      <c r="E5920" t="s">
        <v>10075</v>
      </c>
      <c r="F5920">
        <v>10454</v>
      </c>
      <c r="G5920" t="s">
        <v>10090</v>
      </c>
      <c r="H5920" t="s">
        <v>10156</v>
      </c>
      <c r="I5920" t="s">
        <v>10169</v>
      </c>
      <c r="J5920" t="s">
        <v>10210</v>
      </c>
      <c r="K5920" t="s">
        <v>10217</v>
      </c>
      <c r="M5920" t="s">
        <v>10303</v>
      </c>
      <c r="N5920" t="s">
        <v>10682</v>
      </c>
      <c r="P5920" t="s">
        <v>10751</v>
      </c>
      <c r="Q5920" t="s">
        <v>10761</v>
      </c>
      <c r="R5920" t="s">
        <v>10823</v>
      </c>
      <c r="T5920">
        <v>0</v>
      </c>
      <c r="U5920">
        <v>0</v>
      </c>
      <c r="V5920">
        <v>24</v>
      </c>
      <c r="W5920">
        <v>2</v>
      </c>
      <c r="X5920">
        <v>1</v>
      </c>
      <c r="Z5920">
        <v>0</v>
      </c>
      <c r="AA5920">
        <v>40.806536</v>
      </c>
      <c r="AB5920">
        <v>-73.91214600000001</v>
      </c>
      <c r="AD5920" t="s">
        <v>10839</v>
      </c>
      <c r="AG5920" t="s">
        <v>10858</v>
      </c>
      <c r="AH5920" t="s">
        <v>10861</v>
      </c>
      <c r="AI5920">
        <v>230</v>
      </c>
      <c r="AJ5920" t="s">
        <v>10210</v>
      </c>
      <c r="AL5920">
        <v>3.9</v>
      </c>
      <c r="AM5920" t="s">
        <v>10884</v>
      </c>
      <c r="AN5920" t="s">
        <v>10924</v>
      </c>
      <c r="AO5920" t="s">
        <v>11013</v>
      </c>
      <c r="AP5920" t="s">
        <v>11066</v>
      </c>
      <c r="AR5920" t="s">
        <v>11267</v>
      </c>
      <c r="AS5920" t="s">
        <v>9926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</row>
    <row r="5921" spans="1:59">
      <c r="A5921" s="1">
        <f>HYPERLINK("https://lsnyc.legalserver.org/matter/dynamic-profile/view/1910214","19-1910214")</f>
        <v>0</v>
      </c>
      <c r="B5921" t="s">
        <v>4616</v>
      </c>
      <c r="C5921" t="s">
        <v>9483</v>
      </c>
      <c r="D5921" t="s">
        <v>9941</v>
      </c>
      <c r="E5921" t="s">
        <v>10075</v>
      </c>
      <c r="F5921">
        <v>11429</v>
      </c>
      <c r="G5921" t="s">
        <v>10092</v>
      </c>
      <c r="H5921" t="s">
        <v>10156</v>
      </c>
      <c r="I5921" t="s">
        <v>10168</v>
      </c>
      <c r="J5921" t="s">
        <v>10212</v>
      </c>
      <c r="K5921" t="s">
        <v>10218</v>
      </c>
      <c r="L5921" t="s">
        <v>10136</v>
      </c>
      <c r="M5921" t="s">
        <v>10331</v>
      </c>
      <c r="N5921" t="s">
        <v>10675</v>
      </c>
      <c r="P5921" t="s">
        <v>10754</v>
      </c>
      <c r="Q5921" t="s">
        <v>10770</v>
      </c>
      <c r="R5921" t="s">
        <v>10824</v>
      </c>
      <c r="T5921">
        <v>35000</v>
      </c>
      <c r="U5921">
        <v>2916.67</v>
      </c>
      <c r="V5921">
        <v>42</v>
      </c>
      <c r="W5921">
        <v>1</v>
      </c>
      <c r="X5921">
        <v>1</v>
      </c>
      <c r="Y5921" t="s">
        <v>10829</v>
      </c>
      <c r="Z5921">
        <v>206.98</v>
      </c>
      <c r="AA5921">
        <v>40.714296</v>
      </c>
      <c r="AB5921">
        <v>-73.748144</v>
      </c>
      <c r="AC5921" t="s">
        <v>10837</v>
      </c>
      <c r="AD5921" t="s">
        <v>10839</v>
      </c>
      <c r="AG5921" t="s">
        <v>10858</v>
      </c>
      <c r="AH5921" t="s">
        <v>10861</v>
      </c>
      <c r="AI5921">
        <v>234</v>
      </c>
      <c r="AJ5921" t="s">
        <v>10214</v>
      </c>
      <c r="AK5921" t="s">
        <v>10838</v>
      </c>
      <c r="AL5921">
        <v>0.8</v>
      </c>
      <c r="AM5921" t="s">
        <v>10892</v>
      </c>
      <c r="AN5921" t="s">
        <v>10940</v>
      </c>
      <c r="AO5921" t="s">
        <v>11020</v>
      </c>
      <c r="AP5921" t="s">
        <v>11075</v>
      </c>
      <c r="AR5921" t="s">
        <v>11257</v>
      </c>
      <c r="AS5921" t="s">
        <v>11594</v>
      </c>
      <c r="AT5921" t="s">
        <v>11641</v>
      </c>
      <c r="AX5921" t="s">
        <v>10838</v>
      </c>
      <c r="AY5921" t="s">
        <v>10829</v>
      </c>
      <c r="AZ5921" t="s">
        <v>11683</v>
      </c>
      <c r="BA5921" t="s">
        <v>11742</v>
      </c>
      <c r="BB5921">
        <v>0</v>
      </c>
      <c r="BC5921">
        <v>0</v>
      </c>
      <c r="BD5921">
        <v>0</v>
      </c>
      <c r="BE5921">
        <v>0</v>
      </c>
      <c r="BF5921">
        <v>7</v>
      </c>
      <c r="BG5921">
        <v>0</v>
      </c>
    </row>
    <row r="5922" spans="1:59">
      <c r="A5922" s="1">
        <f>HYPERLINK("https://lsnyc.legalserver.org/matter/dynamic-profile/view/1910216","19-1910216")</f>
        <v>0</v>
      </c>
      <c r="B5922" t="s">
        <v>4617</v>
      </c>
      <c r="C5922" t="s">
        <v>9484</v>
      </c>
      <c r="D5922" t="s">
        <v>9925</v>
      </c>
      <c r="E5922" t="s">
        <v>10075</v>
      </c>
      <c r="F5922">
        <v>10037</v>
      </c>
      <c r="G5922" t="s">
        <v>10089</v>
      </c>
      <c r="H5922" t="s">
        <v>10156</v>
      </c>
      <c r="I5922" t="s">
        <v>10169</v>
      </c>
      <c r="J5922" t="s">
        <v>10209</v>
      </c>
      <c r="K5922" t="s">
        <v>10217</v>
      </c>
      <c r="M5922" t="s">
        <v>10431</v>
      </c>
      <c r="N5922" t="s">
        <v>10703</v>
      </c>
      <c r="P5922" t="s">
        <v>10749</v>
      </c>
      <c r="Q5922" t="s">
        <v>10765</v>
      </c>
      <c r="R5922" t="s">
        <v>10821</v>
      </c>
      <c r="T5922">
        <v>30364</v>
      </c>
      <c r="U5922">
        <v>2530.33</v>
      </c>
      <c r="V5922">
        <v>67</v>
      </c>
      <c r="W5922">
        <v>1</v>
      </c>
      <c r="X5922">
        <v>0</v>
      </c>
      <c r="Z5922">
        <v>243.11</v>
      </c>
      <c r="AA5922">
        <v>40.809292</v>
      </c>
      <c r="AB5922">
        <v>-73.936874</v>
      </c>
      <c r="AD5922" t="s">
        <v>10839</v>
      </c>
      <c r="AG5922" t="s">
        <v>10858</v>
      </c>
      <c r="AH5922" t="s">
        <v>10862</v>
      </c>
      <c r="AI5922">
        <v>236</v>
      </c>
      <c r="AJ5922" t="s">
        <v>10209</v>
      </c>
      <c r="AL5922">
        <v>1.5</v>
      </c>
      <c r="AM5922" t="s">
        <v>10887</v>
      </c>
      <c r="AN5922" t="s">
        <v>10926</v>
      </c>
      <c r="AO5922" t="s">
        <v>11016</v>
      </c>
      <c r="AP5922" t="s">
        <v>11076</v>
      </c>
      <c r="AR5922" t="s">
        <v>11430</v>
      </c>
      <c r="AS5922" t="s">
        <v>9925</v>
      </c>
      <c r="BA5922" t="s">
        <v>11741</v>
      </c>
      <c r="BB5922">
        <v>0</v>
      </c>
      <c r="BC5922">
        <v>0</v>
      </c>
      <c r="BD5922">
        <v>0</v>
      </c>
      <c r="BE5922">
        <v>0</v>
      </c>
      <c r="BF5922">
        <v>1</v>
      </c>
      <c r="BG5922">
        <v>0</v>
      </c>
    </row>
    <row r="5923" spans="1:59">
      <c r="A5923" s="1">
        <f>HYPERLINK("https://lsnyc.legalserver.org/matter/dynamic-profile/view/1910217","19-1910217")</f>
        <v>0</v>
      </c>
      <c r="B5923" t="s">
        <v>3846</v>
      </c>
      <c r="C5923" t="s">
        <v>8279</v>
      </c>
      <c r="D5923" t="s">
        <v>9925</v>
      </c>
      <c r="E5923" t="s">
        <v>10075</v>
      </c>
      <c r="F5923">
        <v>10011</v>
      </c>
      <c r="G5923" t="s">
        <v>10089</v>
      </c>
      <c r="H5923" t="s">
        <v>10156</v>
      </c>
      <c r="I5923" t="s">
        <v>10168</v>
      </c>
      <c r="J5923" t="s">
        <v>10209</v>
      </c>
      <c r="K5923" t="s">
        <v>10217</v>
      </c>
      <c r="M5923" t="s">
        <v>10431</v>
      </c>
      <c r="N5923" t="s">
        <v>10703</v>
      </c>
      <c r="P5923" t="s">
        <v>10749</v>
      </c>
      <c r="Q5923" t="s">
        <v>10767</v>
      </c>
      <c r="R5923" t="s">
        <v>10821</v>
      </c>
      <c r="T5923">
        <v>20800</v>
      </c>
      <c r="U5923">
        <v>1733.33</v>
      </c>
      <c r="V5923">
        <v>30</v>
      </c>
      <c r="W5923">
        <v>1</v>
      </c>
      <c r="X5923">
        <v>1</v>
      </c>
      <c r="Z5923">
        <v>123</v>
      </c>
      <c r="AA5923">
        <v>40.744176</v>
      </c>
      <c r="AB5923">
        <v>-74.00432600000001</v>
      </c>
      <c r="AD5923" t="s">
        <v>10839</v>
      </c>
      <c r="AG5923" t="s">
        <v>10858</v>
      </c>
      <c r="AH5923" t="s">
        <v>10862</v>
      </c>
      <c r="AI5923">
        <v>236</v>
      </c>
      <c r="AJ5923" t="s">
        <v>10209</v>
      </c>
      <c r="AL5923">
        <v>0.75</v>
      </c>
      <c r="AM5923" t="s">
        <v>10894</v>
      </c>
      <c r="AN5923" t="s">
        <v>10966</v>
      </c>
      <c r="AO5923" t="s">
        <v>11021</v>
      </c>
      <c r="AP5923" t="s">
        <v>11090</v>
      </c>
      <c r="AR5923" t="s">
        <v>11262</v>
      </c>
      <c r="AS5923" t="s">
        <v>9925</v>
      </c>
      <c r="BA5923" t="s">
        <v>11742</v>
      </c>
      <c r="BB5923">
        <v>0</v>
      </c>
      <c r="BC5923">
        <v>0</v>
      </c>
      <c r="BD5923">
        <v>0</v>
      </c>
      <c r="BE5923">
        <v>0</v>
      </c>
      <c r="BF5923">
        <v>7</v>
      </c>
      <c r="BG5923">
        <v>0</v>
      </c>
    </row>
    <row r="5924" spans="1:59">
      <c r="A5924" s="1">
        <f>HYPERLINK("https://lsnyc.legalserver.org/matter/dynamic-profile/view/1910218","19-1910218")</f>
        <v>0</v>
      </c>
      <c r="B5924" t="s">
        <v>4618</v>
      </c>
      <c r="C5924" t="s">
        <v>9485</v>
      </c>
      <c r="D5924" t="s">
        <v>9926</v>
      </c>
      <c r="E5924" t="s">
        <v>10075</v>
      </c>
      <c r="F5924">
        <v>10466</v>
      </c>
      <c r="G5924" t="s">
        <v>10091</v>
      </c>
      <c r="H5924" t="s">
        <v>10156</v>
      </c>
      <c r="I5924" t="s">
        <v>10168</v>
      </c>
      <c r="J5924" t="s">
        <v>10214</v>
      </c>
      <c r="K5924" t="s">
        <v>10217</v>
      </c>
      <c r="M5924" t="s">
        <v>10286</v>
      </c>
      <c r="N5924" t="s">
        <v>10671</v>
      </c>
      <c r="P5924" t="s">
        <v>10749</v>
      </c>
      <c r="Q5924" t="s">
        <v>10765</v>
      </c>
      <c r="R5924" t="s">
        <v>10824</v>
      </c>
      <c r="T5924">
        <v>51464</v>
      </c>
      <c r="U5924">
        <v>4288.67</v>
      </c>
      <c r="V5924">
        <v>33</v>
      </c>
      <c r="W5924">
        <v>2</v>
      </c>
      <c r="X5924">
        <v>3</v>
      </c>
      <c r="Z5924">
        <v>170.58</v>
      </c>
      <c r="AA5924">
        <v>40.90037</v>
      </c>
      <c r="AB5924">
        <v>-73.843951</v>
      </c>
      <c r="AD5924" t="s">
        <v>10839</v>
      </c>
      <c r="AG5924" t="s">
        <v>10858</v>
      </c>
      <c r="AH5924" t="s">
        <v>10861</v>
      </c>
      <c r="AI5924">
        <v>234</v>
      </c>
      <c r="AJ5924" t="s">
        <v>10214</v>
      </c>
      <c r="AL5924">
        <v>0.75</v>
      </c>
      <c r="AM5924" t="s">
        <v>10893</v>
      </c>
      <c r="AN5924" t="s">
        <v>10956</v>
      </c>
      <c r="AO5924" t="s">
        <v>11010</v>
      </c>
      <c r="AP5924" t="s">
        <v>11085</v>
      </c>
      <c r="AR5924" t="s">
        <v>11576</v>
      </c>
      <c r="AS5924" t="s">
        <v>9926</v>
      </c>
      <c r="AT5924" t="s">
        <v>11641</v>
      </c>
      <c r="AX5924" t="s">
        <v>10838</v>
      </c>
      <c r="BA5924" t="s">
        <v>11741</v>
      </c>
      <c r="BB5924">
        <v>0</v>
      </c>
      <c r="BC5924">
        <v>0</v>
      </c>
      <c r="BD5924">
        <v>0</v>
      </c>
      <c r="BE5924">
        <v>0</v>
      </c>
      <c r="BF5924">
        <v>1</v>
      </c>
      <c r="BG5924">
        <v>0</v>
      </c>
    </row>
    <row r="5925" spans="1:59">
      <c r="A5925" s="1">
        <f>HYPERLINK("https://lsnyc.legalserver.org/matter/dynamic-profile/view/1910219","19-1910219")</f>
        <v>0</v>
      </c>
      <c r="B5925" t="s">
        <v>4619</v>
      </c>
      <c r="C5925" t="s">
        <v>9486</v>
      </c>
      <c r="D5925" t="s">
        <v>9929</v>
      </c>
      <c r="E5925" t="s">
        <v>10075</v>
      </c>
      <c r="F5925">
        <v>10304</v>
      </c>
      <c r="G5925" t="s">
        <v>10088</v>
      </c>
      <c r="H5925" t="s">
        <v>10136</v>
      </c>
      <c r="I5925" t="s">
        <v>10168</v>
      </c>
      <c r="J5925" t="s">
        <v>10208</v>
      </c>
      <c r="K5925" t="s">
        <v>10217</v>
      </c>
      <c r="M5925" t="s">
        <v>10257</v>
      </c>
      <c r="N5925" t="s">
        <v>10650</v>
      </c>
      <c r="P5925" t="s">
        <v>10749</v>
      </c>
      <c r="Q5925" t="s">
        <v>10765</v>
      </c>
      <c r="R5925" t="s">
        <v>10821</v>
      </c>
      <c r="T5925">
        <v>31020</v>
      </c>
      <c r="U5925">
        <v>2585</v>
      </c>
      <c r="V5925">
        <v>39</v>
      </c>
      <c r="W5925">
        <v>2</v>
      </c>
      <c r="X5925">
        <v>0</v>
      </c>
      <c r="Z5925">
        <v>183.44</v>
      </c>
      <c r="AA5925">
        <v>40.633371</v>
      </c>
      <c r="AB5925">
        <v>-74.085538</v>
      </c>
      <c r="AC5925" t="s">
        <v>10837</v>
      </c>
      <c r="AD5925" t="s">
        <v>10840</v>
      </c>
      <c r="AG5925" t="s">
        <v>10858</v>
      </c>
      <c r="AH5925" t="s">
        <v>10862</v>
      </c>
      <c r="AI5925">
        <v>285</v>
      </c>
      <c r="AJ5925" t="s">
        <v>10208</v>
      </c>
      <c r="AL5925">
        <v>2.4</v>
      </c>
      <c r="AM5925" t="s">
        <v>10883</v>
      </c>
      <c r="AN5925" t="s">
        <v>10913</v>
      </c>
      <c r="AO5925" t="s">
        <v>11006</v>
      </c>
      <c r="AP5925" t="s">
        <v>11051</v>
      </c>
      <c r="AR5925" t="s">
        <v>11303</v>
      </c>
      <c r="AS5925" t="s">
        <v>11593</v>
      </c>
      <c r="BA5925" t="s">
        <v>11738</v>
      </c>
      <c r="BB5925">
        <v>0</v>
      </c>
      <c r="BC5925">
        <v>0</v>
      </c>
      <c r="BD5925">
        <v>0</v>
      </c>
      <c r="BE5925">
        <v>0</v>
      </c>
      <c r="BF5925">
        <v>5</v>
      </c>
      <c r="BG5925">
        <v>0</v>
      </c>
    </row>
    <row r="5926" spans="1:59">
      <c r="A5926" s="1">
        <f>HYPERLINK("https://lsnyc.legalserver.org/matter/dynamic-profile/view/1910220","19-1910220")</f>
        <v>0</v>
      </c>
      <c r="B5926" t="s">
        <v>4620</v>
      </c>
      <c r="C5926" t="s">
        <v>9487</v>
      </c>
      <c r="D5926" t="s">
        <v>9926</v>
      </c>
      <c r="E5926" t="s">
        <v>10075</v>
      </c>
      <c r="F5926">
        <v>10454</v>
      </c>
      <c r="G5926" t="s">
        <v>10090</v>
      </c>
      <c r="H5926" t="s">
        <v>10156</v>
      </c>
      <c r="I5926" t="s">
        <v>10169</v>
      </c>
      <c r="J5926" t="s">
        <v>10210</v>
      </c>
      <c r="K5926" t="s">
        <v>10217</v>
      </c>
      <c r="M5926" t="s">
        <v>10412</v>
      </c>
      <c r="N5926" t="s">
        <v>10677</v>
      </c>
      <c r="P5926" t="s">
        <v>10753</v>
      </c>
      <c r="Q5926" t="s">
        <v>10763</v>
      </c>
      <c r="R5926" t="s">
        <v>10824</v>
      </c>
      <c r="T5926">
        <v>33116</v>
      </c>
      <c r="U5926">
        <v>2759.67</v>
      </c>
      <c r="V5926">
        <v>62</v>
      </c>
      <c r="W5926">
        <v>2</v>
      </c>
      <c r="X5926">
        <v>0</v>
      </c>
      <c r="Z5926">
        <v>195.84</v>
      </c>
      <c r="AA5926">
        <v>40.809305</v>
      </c>
      <c r="AB5926">
        <v>-73.926258</v>
      </c>
      <c r="AD5926" t="s">
        <v>10839</v>
      </c>
      <c r="AF5926" t="s">
        <v>10845</v>
      </c>
      <c r="AG5926" t="s">
        <v>10859</v>
      </c>
      <c r="AH5926" t="s">
        <v>10864</v>
      </c>
      <c r="AI5926">
        <v>230</v>
      </c>
      <c r="AJ5926" t="s">
        <v>10210</v>
      </c>
      <c r="AL5926">
        <v>2.1</v>
      </c>
      <c r="AM5926" t="s">
        <v>10884</v>
      </c>
      <c r="AN5926" t="s">
        <v>10924</v>
      </c>
      <c r="AO5926" t="s">
        <v>11013</v>
      </c>
      <c r="AP5926" t="s">
        <v>11066</v>
      </c>
      <c r="AQ5926" t="s">
        <v>11109</v>
      </c>
      <c r="AR5926" t="s">
        <v>11257</v>
      </c>
      <c r="AS5926" t="s">
        <v>9926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</row>
    <row r="5927" spans="1:59">
      <c r="A5927" s="1">
        <f>HYPERLINK("https://lsnyc.legalserver.org/matter/dynamic-profile/view/1910221","19-1910221")</f>
        <v>0</v>
      </c>
      <c r="B5927" t="s">
        <v>4621</v>
      </c>
      <c r="C5927" t="s">
        <v>9488</v>
      </c>
      <c r="D5927" t="s">
        <v>9925</v>
      </c>
      <c r="E5927" t="s">
        <v>10075</v>
      </c>
      <c r="F5927">
        <v>10002</v>
      </c>
      <c r="G5927" t="s">
        <v>10089</v>
      </c>
      <c r="H5927" t="s">
        <v>10162</v>
      </c>
      <c r="I5927" t="s">
        <v>10168</v>
      </c>
      <c r="J5927" t="s">
        <v>10209</v>
      </c>
      <c r="K5927" t="s">
        <v>10217</v>
      </c>
      <c r="M5927" t="s">
        <v>10270</v>
      </c>
      <c r="N5927" t="s">
        <v>10670</v>
      </c>
      <c r="P5927" t="s">
        <v>10754</v>
      </c>
      <c r="Q5927" t="s">
        <v>10777</v>
      </c>
      <c r="R5927" t="s">
        <v>10821</v>
      </c>
      <c r="T5927">
        <v>0</v>
      </c>
      <c r="U5927">
        <v>0</v>
      </c>
      <c r="V5927">
        <v>21</v>
      </c>
      <c r="W5927">
        <v>1</v>
      </c>
      <c r="X5927">
        <v>2</v>
      </c>
      <c r="Z5927">
        <v>0</v>
      </c>
      <c r="AA5927">
        <v>40.717066</v>
      </c>
      <c r="AB5927">
        <v>-73.977957</v>
      </c>
      <c r="AD5927" t="s">
        <v>10839</v>
      </c>
      <c r="AG5927" t="s">
        <v>10858</v>
      </c>
      <c r="AH5927" t="s">
        <v>10865</v>
      </c>
      <c r="AI5927">
        <v>236</v>
      </c>
      <c r="AJ5927" t="s">
        <v>10209</v>
      </c>
      <c r="AK5927" t="s">
        <v>10837</v>
      </c>
      <c r="AL5927">
        <v>0</v>
      </c>
      <c r="AM5927" t="s">
        <v>10886</v>
      </c>
      <c r="AN5927" t="s">
        <v>10910</v>
      </c>
      <c r="AO5927" t="s">
        <v>11004</v>
      </c>
      <c r="AP5927" t="s">
        <v>11048</v>
      </c>
      <c r="AQ5927" t="s">
        <v>11165</v>
      </c>
      <c r="AR5927" t="s">
        <v>11279</v>
      </c>
      <c r="AS5927" t="s">
        <v>9925</v>
      </c>
      <c r="AT5927" t="s">
        <v>11641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</row>
    <row r="5928" spans="1:59">
      <c r="A5928" s="1">
        <f>HYPERLINK("https://lsnyc.legalserver.org/matter/dynamic-profile/view/1910222","19-1910222")</f>
        <v>0</v>
      </c>
      <c r="B5928" t="s">
        <v>4622</v>
      </c>
      <c r="C5928" t="s">
        <v>9489</v>
      </c>
      <c r="D5928" t="s">
        <v>9928</v>
      </c>
      <c r="E5928" t="s">
        <v>10075</v>
      </c>
      <c r="F5928">
        <v>11207</v>
      </c>
      <c r="G5928" t="s">
        <v>10091</v>
      </c>
      <c r="H5928" t="s">
        <v>10156</v>
      </c>
      <c r="I5928" t="s">
        <v>10168</v>
      </c>
      <c r="J5928" t="s">
        <v>10214</v>
      </c>
      <c r="K5928" t="s">
        <v>10217</v>
      </c>
      <c r="M5928" t="s">
        <v>10537</v>
      </c>
      <c r="N5928" t="s">
        <v>10671</v>
      </c>
      <c r="P5928" t="s">
        <v>10753</v>
      </c>
      <c r="Q5928" t="s">
        <v>10763</v>
      </c>
      <c r="R5928" t="s">
        <v>10824</v>
      </c>
      <c r="T5928">
        <v>0</v>
      </c>
      <c r="U5928">
        <v>0</v>
      </c>
      <c r="V5928">
        <v>70</v>
      </c>
      <c r="W5928">
        <v>1</v>
      </c>
      <c r="X5928">
        <v>0</v>
      </c>
      <c r="Z5928">
        <v>0</v>
      </c>
      <c r="AA5928">
        <v>40.657425</v>
      </c>
      <c r="AB5928">
        <v>-73.896287</v>
      </c>
      <c r="AC5928" t="s">
        <v>10837</v>
      </c>
      <c r="AD5928" t="s">
        <v>10840</v>
      </c>
      <c r="AF5928" t="s">
        <v>10843</v>
      </c>
      <c r="AG5928" t="s">
        <v>10859</v>
      </c>
      <c r="AH5928" t="s">
        <v>10861</v>
      </c>
      <c r="AI5928">
        <v>234</v>
      </c>
      <c r="AJ5928" t="s">
        <v>10214</v>
      </c>
      <c r="AL5928">
        <v>1</v>
      </c>
      <c r="AM5928" t="s">
        <v>10889</v>
      </c>
      <c r="AN5928" t="s">
        <v>10946</v>
      </c>
      <c r="AO5928" t="s">
        <v>11012</v>
      </c>
      <c r="AP5928" t="s">
        <v>11060</v>
      </c>
      <c r="AR5928" t="s">
        <v>11267</v>
      </c>
      <c r="AS5928" t="s">
        <v>11595</v>
      </c>
      <c r="AT5928" t="s">
        <v>11642</v>
      </c>
      <c r="AX5928" t="s">
        <v>10838</v>
      </c>
      <c r="BA5928" t="s">
        <v>11737</v>
      </c>
      <c r="BB5928">
        <v>0</v>
      </c>
      <c r="BC5928">
        <v>0</v>
      </c>
      <c r="BD5928">
        <v>0</v>
      </c>
      <c r="BE5928">
        <v>0</v>
      </c>
      <c r="BF5928">
        <v>3</v>
      </c>
      <c r="BG5928">
        <v>0</v>
      </c>
    </row>
    <row r="5929" spans="1:59">
      <c r="A5929" s="1">
        <f>HYPERLINK("https://lsnyc.legalserver.org/matter/dynamic-profile/view/1910223","19-1910223")</f>
        <v>0</v>
      </c>
      <c r="B5929" t="s">
        <v>3257</v>
      </c>
      <c r="C5929" t="s">
        <v>9490</v>
      </c>
      <c r="D5929" t="s">
        <v>9925</v>
      </c>
      <c r="E5929" t="s">
        <v>10075</v>
      </c>
      <c r="F5929">
        <v>10023</v>
      </c>
      <c r="G5929" t="s">
        <v>10089</v>
      </c>
      <c r="H5929" t="s">
        <v>10156</v>
      </c>
      <c r="I5929" t="s">
        <v>10168</v>
      </c>
      <c r="J5929" t="s">
        <v>10209</v>
      </c>
      <c r="K5929" t="s">
        <v>10218</v>
      </c>
      <c r="L5929" t="s">
        <v>10158</v>
      </c>
      <c r="M5929" t="s">
        <v>10379</v>
      </c>
      <c r="N5929" t="s">
        <v>10703</v>
      </c>
      <c r="P5929" t="s">
        <v>10749</v>
      </c>
      <c r="Q5929" t="s">
        <v>10765</v>
      </c>
      <c r="R5929" t="s">
        <v>10824</v>
      </c>
      <c r="T5929">
        <v>12948</v>
      </c>
      <c r="U5929">
        <v>1079</v>
      </c>
      <c r="V5929">
        <v>74</v>
      </c>
      <c r="W5929">
        <v>1</v>
      </c>
      <c r="X5929">
        <v>0</v>
      </c>
      <c r="Y5929" t="s">
        <v>10829</v>
      </c>
      <c r="Z5929">
        <v>103.67</v>
      </c>
      <c r="AA5929">
        <v>40.77523</v>
      </c>
      <c r="AB5929">
        <v>-73.98102900000001</v>
      </c>
      <c r="AD5929" t="s">
        <v>10839</v>
      </c>
      <c r="AG5929" t="s">
        <v>10858</v>
      </c>
      <c r="AH5929" t="s">
        <v>10862</v>
      </c>
      <c r="AI5929">
        <v>236</v>
      </c>
      <c r="AJ5929" t="s">
        <v>10209</v>
      </c>
      <c r="AK5929" t="s">
        <v>10882</v>
      </c>
      <c r="AL5929">
        <v>0</v>
      </c>
      <c r="AM5929" t="s">
        <v>10894</v>
      </c>
      <c r="AN5929" t="s">
        <v>10964</v>
      </c>
      <c r="AO5929" t="s">
        <v>11021</v>
      </c>
      <c r="AP5929" t="s">
        <v>11089</v>
      </c>
      <c r="AR5929" t="s">
        <v>11274</v>
      </c>
      <c r="AS5929" t="s">
        <v>9925</v>
      </c>
      <c r="AY5929" t="s">
        <v>10829</v>
      </c>
      <c r="AZ5929" t="s">
        <v>11681</v>
      </c>
      <c r="BA5929" t="s">
        <v>11741</v>
      </c>
      <c r="BB5929">
        <v>0</v>
      </c>
      <c r="BC5929">
        <v>0</v>
      </c>
      <c r="BD5929">
        <v>0</v>
      </c>
      <c r="BE5929">
        <v>0</v>
      </c>
      <c r="BF5929">
        <v>1</v>
      </c>
      <c r="BG5929">
        <v>0</v>
      </c>
    </row>
    <row r="5930" spans="1:59">
      <c r="A5930" s="1">
        <f>HYPERLINK("https://lsnyc.legalserver.org/matter/dynamic-profile/view/1910224","19-1910224")</f>
        <v>0</v>
      </c>
      <c r="B5930" t="s">
        <v>4621</v>
      </c>
      <c r="C5930" t="s">
        <v>9488</v>
      </c>
      <c r="D5930" t="s">
        <v>9925</v>
      </c>
      <c r="E5930" t="s">
        <v>10075</v>
      </c>
      <c r="F5930">
        <v>10002</v>
      </c>
      <c r="G5930" t="s">
        <v>10089</v>
      </c>
      <c r="H5930" t="s">
        <v>10162</v>
      </c>
      <c r="I5930" t="s">
        <v>10168</v>
      </c>
      <c r="J5930" t="s">
        <v>10209</v>
      </c>
      <c r="K5930" t="s">
        <v>10217</v>
      </c>
      <c r="M5930" t="s">
        <v>10270</v>
      </c>
      <c r="N5930" t="s">
        <v>10670</v>
      </c>
      <c r="P5930" t="s">
        <v>10754</v>
      </c>
      <c r="Q5930" t="s">
        <v>10775</v>
      </c>
      <c r="R5930" t="s">
        <v>10821</v>
      </c>
      <c r="T5930">
        <v>0</v>
      </c>
      <c r="U5930">
        <v>0</v>
      </c>
      <c r="V5930">
        <v>21</v>
      </c>
      <c r="W5930">
        <v>1</v>
      </c>
      <c r="X5930">
        <v>2</v>
      </c>
      <c r="Z5930">
        <v>0</v>
      </c>
      <c r="AA5930">
        <v>40.717066</v>
      </c>
      <c r="AB5930">
        <v>-73.977957</v>
      </c>
      <c r="AD5930" t="s">
        <v>10839</v>
      </c>
      <c r="AG5930" t="s">
        <v>10858</v>
      </c>
      <c r="AH5930" t="s">
        <v>10865</v>
      </c>
      <c r="AI5930">
        <v>236</v>
      </c>
      <c r="AJ5930" t="s">
        <v>10209</v>
      </c>
      <c r="AK5930" t="s">
        <v>10837</v>
      </c>
      <c r="AL5930">
        <v>0</v>
      </c>
      <c r="AQ5930" t="s">
        <v>11114</v>
      </c>
      <c r="AR5930" t="s">
        <v>11279</v>
      </c>
      <c r="AS5930" t="s">
        <v>9925</v>
      </c>
      <c r="AT5930" t="s">
        <v>11641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</row>
    <row r="5931" spans="1:59">
      <c r="A5931" s="1">
        <f>HYPERLINK("https://lsnyc.legalserver.org/matter/dynamic-profile/view/1910225","19-1910225")</f>
        <v>0</v>
      </c>
      <c r="B5931" t="s">
        <v>2936</v>
      </c>
      <c r="C5931" t="s">
        <v>8410</v>
      </c>
      <c r="D5931" t="s">
        <v>9926</v>
      </c>
      <c r="E5931" t="s">
        <v>10075</v>
      </c>
      <c r="F5931">
        <v>10458</v>
      </c>
      <c r="G5931" t="s">
        <v>10090</v>
      </c>
      <c r="H5931" t="s">
        <v>10156</v>
      </c>
      <c r="I5931" t="s">
        <v>10168</v>
      </c>
      <c r="J5931" t="s">
        <v>10210</v>
      </c>
      <c r="K5931" t="s">
        <v>10217</v>
      </c>
      <c r="M5931" t="s">
        <v>10262</v>
      </c>
      <c r="N5931" t="s">
        <v>10666</v>
      </c>
      <c r="P5931" t="s">
        <v>10749</v>
      </c>
      <c r="Q5931" t="s">
        <v>10765</v>
      </c>
      <c r="R5931" t="s">
        <v>10821</v>
      </c>
      <c r="T5931">
        <v>18663.96</v>
      </c>
      <c r="U5931">
        <v>1555.33</v>
      </c>
      <c r="V5931">
        <v>58</v>
      </c>
      <c r="W5931">
        <v>1</v>
      </c>
      <c r="X5931">
        <v>0</v>
      </c>
      <c r="Z5931">
        <v>149.43</v>
      </c>
      <c r="AA5931">
        <v>40.867404</v>
      </c>
      <c r="AB5931">
        <v>-73.892826</v>
      </c>
      <c r="AD5931" t="s">
        <v>10839</v>
      </c>
      <c r="AG5931" t="s">
        <v>10858</v>
      </c>
      <c r="AH5931" t="s">
        <v>10861</v>
      </c>
      <c r="AI5931">
        <v>230</v>
      </c>
      <c r="AJ5931" t="s">
        <v>10210</v>
      </c>
      <c r="AL5931">
        <v>0.1</v>
      </c>
      <c r="AM5931" t="s">
        <v>10887</v>
      </c>
      <c r="AN5931" t="s">
        <v>10907</v>
      </c>
      <c r="AO5931" t="s">
        <v>11000</v>
      </c>
      <c r="AP5931" t="s">
        <v>11056</v>
      </c>
      <c r="AR5931" t="s">
        <v>11254</v>
      </c>
      <c r="AS5931" t="s">
        <v>9926</v>
      </c>
      <c r="AT5931" t="s">
        <v>11641</v>
      </c>
      <c r="AX5931" t="s">
        <v>10838</v>
      </c>
      <c r="BA5931" t="s">
        <v>11741</v>
      </c>
      <c r="BB5931">
        <v>0</v>
      </c>
      <c r="BC5931">
        <v>0</v>
      </c>
      <c r="BD5931">
        <v>0</v>
      </c>
      <c r="BE5931">
        <v>0</v>
      </c>
      <c r="BF5931">
        <v>1</v>
      </c>
      <c r="BG5931">
        <v>0</v>
      </c>
    </row>
    <row r="5932" spans="1:59">
      <c r="A5932" s="1">
        <f>HYPERLINK("https://lsnyc.legalserver.org/matter/dynamic-profile/view/1910226","19-1910226")</f>
        <v>0</v>
      </c>
      <c r="B5932" t="s">
        <v>4623</v>
      </c>
      <c r="C5932" t="s">
        <v>9491</v>
      </c>
      <c r="D5932" t="s">
        <v>9928</v>
      </c>
      <c r="E5932" t="s">
        <v>10075</v>
      </c>
      <c r="F5932">
        <v>11226</v>
      </c>
      <c r="G5932" t="s">
        <v>10093</v>
      </c>
      <c r="H5932" t="s">
        <v>10156</v>
      </c>
      <c r="I5932" t="s">
        <v>10168</v>
      </c>
      <c r="J5932" t="s">
        <v>10213</v>
      </c>
      <c r="K5932" t="s">
        <v>10217</v>
      </c>
      <c r="M5932" t="s">
        <v>10315</v>
      </c>
      <c r="N5932" t="s">
        <v>10686</v>
      </c>
      <c r="P5932" t="s">
        <v>10750</v>
      </c>
      <c r="Q5932" t="s">
        <v>10778</v>
      </c>
      <c r="R5932" t="s">
        <v>10820</v>
      </c>
      <c r="T5932">
        <v>14400</v>
      </c>
      <c r="U5932">
        <v>1200</v>
      </c>
      <c r="V5932">
        <v>26</v>
      </c>
      <c r="W5932">
        <v>2</v>
      </c>
      <c r="X5932">
        <v>2</v>
      </c>
      <c r="Z5932">
        <v>55.92</v>
      </c>
      <c r="AA5932">
        <v>40.654144</v>
      </c>
      <c r="AB5932">
        <v>-73.962018</v>
      </c>
      <c r="AD5932" t="s">
        <v>10840</v>
      </c>
      <c r="AG5932" t="s">
        <v>10858</v>
      </c>
      <c r="AH5932" t="s">
        <v>10871</v>
      </c>
      <c r="AI5932">
        <v>234</v>
      </c>
      <c r="AJ5932" t="s">
        <v>10214</v>
      </c>
      <c r="AL5932">
        <v>1.89</v>
      </c>
      <c r="AM5932" t="s">
        <v>10888</v>
      </c>
      <c r="AN5932" t="s">
        <v>10932</v>
      </c>
      <c r="AO5932" t="s">
        <v>11008</v>
      </c>
      <c r="AP5932" t="s">
        <v>11050</v>
      </c>
      <c r="AR5932" t="s">
        <v>11262</v>
      </c>
      <c r="AS5932" t="s">
        <v>11595</v>
      </c>
      <c r="AT5932" t="s">
        <v>11642</v>
      </c>
      <c r="AX5932" t="s">
        <v>10838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</row>
    <row r="5933" spans="1:59">
      <c r="A5933" s="1">
        <f>HYPERLINK("https://lsnyc.legalserver.org/matter/dynamic-profile/view/1910227","19-1910227")</f>
        <v>0</v>
      </c>
      <c r="B5933" t="s">
        <v>1558</v>
      </c>
      <c r="C5933" t="s">
        <v>9492</v>
      </c>
      <c r="D5933" t="s">
        <v>9925</v>
      </c>
      <c r="E5933" t="s">
        <v>10075</v>
      </c>
      <c r="F5933">
        <v>10030</v>
      </c>
      <c r="G5933" t="s">
        <v>10089</v>
      </c>
      <c r="H5933" t="s">
        <v>10156</v>
      </c>
      <c r="I5933" t="s">
        <v>10169</v>
      </c>
      <c r="J5933" t="s">
        <v>10209</v>
      </c>
      <c r="K5933" t="s">
        <v>10218</v>
      </c>
      <c r="L5933" t="s">
        <v>10158</v>
      </c>
      <c r="M5933" t="s">
        <v>10379</v>
      </c>
      <c r="N5933" t="s">
        <v>10650</v>
      </c>
      <c r="P5933" t="s">
        <v>10749</v>
      </c>
      <c r="Q5933" t="s">
        <v>10765</v>
      </c>
      <c r="R5933" t="s">
        <v>10821</v>
      </c>
      <c r="T5933">
        <v>31200</v>
      </c>
      <c r="U5933">
        <v>2600</v>
      </c>
      <c r="V5933">
        <v>58</v>
      </c>
      <c r="W5933">
        <v>1</v>
      </c>
      <c r="X5933">
        <v>0</v>
      </c>
      <c r="Y5933" t="s">
        <v>10829</v>
      </c>
      <c r="Z5933">
        <v>249.8</v>
      </c>
      <c r="AA5933">
        <v>40.81838</v>
      </c>
      <c r="AB5933">
        <v>-73.938577</v>
      </c>
      <c r="AD5933" t="s">
        <v>10840</v>
      </c>
      <c r="AF5933" t="s">
        <v>10844</v>
      </c>
      <c r="AG5933" t="s">
        <v>10859</v>
      </c>
      <c r="AH5933" t="s">
        <v>10862</v>
      </c>
      <c r="AI5933">
        <v>236</v>
      </c>
      <c r="AJ5933" t="s">
        <v>10209</v>
      </c>
      <c r="AK5933" t="s">
        <v>10882</v>
      </c>
      <c r="AL5933">
        <v>0</v>
      </c>
      <c r="AM5933" t="s">
        <v>10887</v>
      </c>
      <c r="AN5933" t="s">
        <v>10936</v>
      </c>
      <c r="AO5933" t="s">
        <v>11016</v>
      </c>
      <c r="AP5933" t="s">
        <v>11076</v>
      </c>
      <c r="AR5933" t="s">
        <v>11257</v>
      </c>
      <c r="AS5933" t="s">
        <v>9925</v>
      </c>
      <c r="AY5933" t="s">
        <v>10829</v>
      </c>
      <c r="AZ5933" t="s">
        <v>11681</v>
      </c>
      <c r="BA5933" t="s">
        <v>11741</v>
      </c>
      <c r="BB5933">
        <v>0</v>
      </c>
      <c r="BC5933">
        <v>0</v>
      </c>
      <c r="BD5933">
        <v>0</v>
      </c>
      <c r="BE5933">
        <v>0</v>
      </c>
      <c r="BF5933">
        <v>1</v>
      </c>
      <c r="BG5933">
        <v>0</v>
      </c>
    </row>
    <row r="5934" spans="1:59">
      <c r="A5934" s="1">
        <f>HYPERLINK("https://lsnyc.legalserver.org/matter/dynamic-profile/view/1910228","19-1910228")</f>
        <v>0</v>
      </c>
      <c r="B5934" t="s">
        <v>4624</v>
      </c>
      <c r="C5934" t="s">
        <v>9493</v>
      </c>
      <c r="D5934" t="s">
        <v>9925</v>
      </c>
      <c r="E5934" t="s">
        <v>10075</v>
      </c>
      <c r="F5934">
        <v>10027</v>
      </c>
      <c r="G5934" t="s">
        <v>10089</v>
      </c>
      <c r="H5934" t="s">
        <v>10162</v>
      </c>
      <c r="I5934" t="s">
        <v>10168</v>
      </c>
      <c r="J5934" t="s">
        <v>10209</v>
      </c>
      <c r="K5934" t="s">
        <v>10217</v>
      </c>
      <c r="M5934" t="s">
        <v>10270</v>
      </c>
      <c r="N5934" t="s">
        <v>10716</v>
      </c>
      <c r="P5934" t="s">
        <v>10754</v>
      </c>
      <c r="Q5934" t="s">
        <v>10766</v>
      </c>
      <c r="R5934" t="s">
        <v>10824</v>
      </c>
      <c r="T5934">
        <v>2184</v>
      </c>
      <c r="U5934">
        <v>182</v>
      </c>
      <c r="V5934">
        <v>34</v>
      </c>
      <c r="W5934">
        <v>1</v>
      </c>
      <c r="X5934">
        <v>1</v>
      </c>
      <c r="Z5934">
        <v>12.92</v>
      </c>
      <c r="AA5934">
        <v>40.811516</v>
      </c>
      <c r="AB5934">
        <v>-73.948373</v>
      </c>
      <c r="AD5934" t="s">
        <v>10839</v>
      </c>
      <c r="AG5934" t="s">
        <v>10858</v>
      </c>
      <c r="AH5934" t="s">
        <v>10865</v>
      </c>
      <c r="AI5934">
        <v>236</v>
      </c>
      <c r="AJ5934" t="s">
        <v>10209</v>
      </c>
      <c r="AK5934" t="s">
        <v>10837</v>
      </c>
      <c r="AL5934">
        <v>0</v>
      </c>
      <c r="AM5934" t="s">
        <v>10887</v>
      </c>
      <c r="AN5934" t="s">
        <v>10936</v>
      </c>
      <c r="AO5934" t="s">
        <v>11016</v>
      </c>
      <c r="AP5934" t="s">
        <v>11076</v>
      </c>
      <c r="AQ5934" t="s">
        <v>11175</v>
      </c>
      <c r="AR5934" t="s">
        <v>11306</v>
      </c>
      <c r="AS5934" t="s">
        <v>9925</v>
      </c>
      <c r="AT5934" t="s">
        <v>11641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</row>
    <row r="5935" spans="1:59">
      <c r="A5935" s="1">
        <f>HYPERLINK("https://lsnyc.legalserver.org/matter/dynamic-profile/view/1910229","19-1910229")</f>
        <v>0</v>
      </c>
      <c r="B5935" t="s">
        <v>4624</v>
      </c>
      <c r="C5935" t="s">
        <v>9493</v>
      </c>
      <c r="D5935" t="s">
        <v>9925</v>
      </c>
      <c r="E5935" t="s">
        <v>10075</v>
      </c>
      <c r="F5935">
        <v>10027</v>
      </c>
      <c r="G5935" t="s">
        <v>10089</v>
      </c>
      <c r="H5935" t="s">
        <v>10162</v>
      </c>
      <c r="I5935" t="s">
        <v>10168</v>
      </c>
      <c r="J5935" t="s">
        <v>10209</v>
      </c>
      <c r="K5935" t="s">
        <v>10217</v>
      </c>
      <c r="M5935" t="s">
        <v>10270</v>
      </c>
      <c r="N5935" t="s">
        <v>10716</v>
      </c>
      <c r="P5935" t="s">
        <v>10754</v>
      </c>
      <c r="Q5935" t="s">
        <v>10766</v>
      </c>
      <c r="R5935" t="s">
        <v>10824</v>
      </c>
      <c r="T5935">
        <v>2184</v>
      </c>
      <c r="U5935">
        <v>182</v>
      </c>
      <c r="V5935">
        <v>34</v>
      </c>
      <c r="W5935">
        <v>1</v>
      </c>
      <c r="X5935">
        <v>1</v>
      </c>
      <c r="Z5935">
        <v>12.92</v>
      </c>
      <c r="AA5935">
        <v>40.811516</v>
      </c>
      <c r="AB5935">
        <v>-73.948373</v>
      </c>
      <c r="AD5935" t="s">
        <v>10839</v>
      </c>
      <c r="AG5935" t="s">
        <v>10858</v>
      </c>
      <c r="AH5935" t="s">
        <v>10865</v>
      </c>
      <c r="AI5935">
        <v>236</v>
      </c>
      <c r="AJ5935" t="s">
        <v>10209</v>
      </c>
      <c r="AK5935" t="s">
        <v>10837</v>
      </c>
      <c r="AL5935">
        <v>0</v>
      </c>
      <c r="AM5935" t="s">
        <v>10887</v>
      </c>
      <c r="AN5935" t="s">
        <v>10936</v>
      </c>
      <c r="AO5935" t="s">
        <v>11016</v>
      </c>
      <c r="AP5935" t="s">
        <v>11076</v>
      </c>
      <c r="AQ5935" t="s">
        <v>11175</v>
      </c>
      <c r="AR5935" t="s">
        <v>11306</v>
      </c>
      <c r="AS5935" t="s">
        <v>9925</v>
      </c>
      <c r="AT5935" t="s">
        <v>11641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</row>
    <row r="5936" spans="1:59">
      <c r="A5936" s="1">
        <f>HYPERLINK("https://lsnyc.legalserver.org/matter/dynamic-profile/view/1910230","19-1910230")</f>
        <v>0</v>
      </c>
      <c r="B5936" t="s">
        <v>4625</v>
      </c>
      <c r="C5936" t="s">
        <v>9494</v>
      </c>
      <c r="D5936" t="s">
        <v>9932</v>
      </c>
      <c r="E5936" t="s">
        <v>10075</v>
      </c>
      <c r="F5936">
        <v>11368</v>
      </c>
      <c r="G5936" t="s">
        <v>10092</v>
      </c>
      <c r="H5936" t="s">
        <v>10156</v>
      </c>
      <c r="I5936" t="s">
        <v>10169</v>
      </c>
      <c r="J5936" t="s">
        <v>10212</v>
      </c>
      <c r="K5936" t="s">
        <v>10217</v>
      </c>
      <c r="M5936" t="s">
        <v>10547</v>
      </c>
      <c r="N5936" t="s">
        <v>10671</v>
      </c>
      <c r="P5936" t="s">
        <v>10753</v>
      </c>
      <c r="Q5936" t="s">
        <v>10763</v>
      </c>
      <c r="R5936" t="s">
        <v>10821</v>
      </c>
      <c r="T5936">
        <v>16276</v>
      </c>
      <c r="U5936">
        <v>1356.33</v>
      </c>
      <c r="V5936">
        <v>65</v>
      </c>
      <c r="W5936">
        <v>1</v>
      </c>
      <c r="X5936">
        <v>0</v>
      </c>
      <c r="Z5936">
        <v>130.31</v>
      </c>
      <c r="AA5936">
        <v>40.74169</v>
      </c>
      <c r="AB5936">
        <v>-73.85620299999999</v>
      </c>
      <c r="AD5936" t="s">
        <v>10839</v>
      </c>
      <c r="AF5936" t="s">
        <v>10843</v>
      </c>
      <c r="AG5936" t="s">
        <v>10859</v>
      </c>
      <c r="AH5936" t="s">
        <v>10861</v>
      </c>
      <c r="AI5936">
        <v>234</v>
      </c>
      <c r="AJ5936" t="s">
        <v>10214</v>
      </c>
      <c r="AL5936">
        <v>0.75</v>
      </c>
      <c r="AM5936" t="s">
        <v>10885</v>
      </c>
      <c r="AN5936" t="s">
        <v>10949</v>
      </c>
      <c r="AO5936" t="s">
        <v>11014</v>
      </c>
      <c r="AP5936" t="s">
        <v>11068</v>
      </c>
      <c r="AR5936" t="s">
        <v>11257</v>
      </c>
      <c r="AS5936" t="s">
        <v>11594</v>
      </c>
      <c r="AT5936" t="s">
        <v>11641</v>
      </c>
      <c r="AX5936" t="s">
        <v>10838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</row>
    <row r="5937" spans="1:59">
      <c r="A5937" s="1">
        <f>HYPERLINK("https://lsnyc.legalserver.org/matter/dynamic-profile/view/1910231","19-1910231")</f>
        <v>0</v>
      </c>
      <c r="B5937" t="s">
        <v>4626</v>
      </c>
      <c r="C5937" t="s">
        <v>9495</v>
      </c>
      <c r="D5937" t="s">
        <v>9928</v>
      </c>
      <c r="E5937" t="s">
        <v>10075</v>
      </c>
      <c r="F5937">
        <v>11221</v>
      </c>
      <c r="G5937" t="s">
        <v>10093</v>
      </c>
      <c r="H5937" t="s">
        <v>10156</v>
      </c>
      <c r="I5937" t="s">
        <v>10168</v>
      </c>
      <c r="J5937" t="s">
        <v>10213</v>
      </c>
      <c r="K5937" t="s">
        <v>10218</v>
      </c>
      <c r="L5937" t="s">
        <v>10223</v>
      </c>
      <c r="M5937" t="s">
        <v>10317</v>
      </c>
      <c r="N5937" t="s">
        <v>10671</v>
      </c>
      <c r="P5937" t="s">
        <v>10751</v>
      </c>
      <c r="Q5937" t="s">
        <v>10761</v>
      </c>
      <c r="R5937" t="s">
        <v>10822</v>
      </c>
      <c r="T5937">
        <v>6444</v>
      </c>
      <c r="U5937">
        <v>537</v>
      </c>
      <c r="V5937">
        <v>43</v>
      </c>
      <c r="W5937">
        <v>1</v>
      </c>
      <c r="X5937">
        <v>0</v>
      </c>
      <c r="Y5937" t="s">
        <v>10829</v>
      </c>
      <c r="Z5937">
        <v>51.59</v>
      </c>
      <c r="AA5937">
        <v>40.687662</v>
      </c>
      <c r="AB5937">
        <v>-73.93965900000001</v>
      </c>
      <c r="AD5937" t="s">
        <v>10839</v>
      </c>
      <c r="AG5937" t="s">
        <v>10858</v>
      </c>
      <c r="AH5937" t="s">
        <v>10861</v>
      </c>
      <c r="AI5937">
        <v>234</v>
      </c>
      <c r="AJ5937" t="s">
        <v>10214</v>
      </c>
      <c r="AK5937" t="s">
        <v>10882</v>
      </c>
      <c r="AL5937">
        <v>0.7</v>
      </c>
      <c r="AM5937" t="s">
        <v>10889</v>
      </c>
      <c r="AN5937" t="s">
        <v>10914</v>
      </c>
      <c r="AO5937" t="s">
        <v>11007</v>
      </c>
      <c r="AP5937" t="s">
        <v>11052</v>
      </c>
      <c r="AR5937" t="s">
        <v>11255</v>
      </c>
      <c r="AS5937" t="s">
        <v>11595</v>
      </c>
      <c r="AT5937" t="s">
        <v>11641</v>
      </c>
      <c r="AX5937" t="s">
        <v>11678</v>
      </c>
      <c r="AY5937" t="s">
        <v>10829</v>
      </c>
      <c r="AZ5937" t="s">
        <v>11682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</row>
    <row r="5938" spans="1:59">
      <c r="A5938" s="1">
        <f>HYPERLINK("https://lsnyc.legalserver.org/matter/dynamic-profile/view/1910233","19-1910233")</f>
        <v>0</v>
      </c>
      <c r="B5938" t="s">
        <v>4627</v>
      </c>
      <c r="C5938" t="s">
        <v>9496</v>
      </c>
      <c r="D5938" t="s">
        <v>9926</v>
      </c>
      <c r="E5938" t="s">
        <v>10075</v>
      </c>
      <c r="F5938">
        <v>10458</v>
      </c>
      <c r="G5938" t="s">
        <v>10090</v>
      </c>
      <c r="H5938" t="s">
        <v>10156</v>
      </c>
      <c r="I5938" t="s">
        <v>10168</v>
      </c>
      <c r="J5938" t="s">
        <v>10210</v>
      </c>
      <c r="K5938" t="s">
        <v>10217</v>
      </c>
      <c r="M5938" t="s">
        <v>10262</v>
      </c>
      <c r="N5938" t="s">
        <v>10646</v>
      </c>
      <c r="P5938" t="s">
        <v>10749</v>
      </c>
      <c r="Q5938" t="s">
        <v>10765</v>
      </c>
      <c r="R5938" t="s">
        <v>10821</v>
      </c>
      <c r="T5938">
        <v>25000</v>
      </c>
      <c r="U5938">
        <v>2083.33</v>
      </c>
      <c r="V5938">
        <v>54</v>
      </c>
      <c r="W5938">
        <v>1</v>
      </c>
      <c r="X5938">
        <v>0</v>
      </c>
      <c r="Z5938">
        <v>200.16</v>
      </c>
      <c r="AA5938">
        <v>40.869628</v>
      </c>
      <c r="AB5938">
        <v>-73.884354</v>
      </c>
      <c r="AD5938" t="s">
        <v>10840</v>
      </c>
      <c r="AF5938" t="s">
        <v>10843</v>
      </c>
      <c r="AG5938" t="s">
        <v>10859</v>
      </c>
      <c r="AH5938" t="s">
        <v>10861</v>
      </c>
      <c r="AI5938">
        <v>230</v>
      </c>
      <c r="AJ5938" t="s">
        <v>10210</v>
      </c>
      <c r="AL5938">
        <v>0.3</v>
      </c>
      <c r="AM5938" t="s">
        <v>10887</v>
      </c>
      <c r="AN5938" t="s">
        <v>10907</v>
      </c>
      <c r="AO5938" t="s">
        <v>11002</v>
      </c>
      <c r="AP5938" t="s">
        <v>11057</v>
      </c>
      <c r="AR5938" t="s">
        <v>11257</v>
      </c>
      <c r="AS5938" t="s">
        <v>9926</v>
      </c>
      <c r="AT5938" t="s">
        <v>11642</v>
      </c>
      <c r="AX5938" t="s">
        <v>10838</v>
      </c>
      <c r="BA5938" t="s">
        <v>11741</v>
      </c>
      <c r="BB5938">
        <v>0</v>
      </c>
      <c r="BC5938">
        <v>0</v>
      </c>
      <c r="BD5938">
        <v>0</v>
      </c>
      <c r="BE5938">
        <v>0</v>
      </c>
      <c r="BF5938">
        <v>1</v>
      </c>
      <c r="BG5938">
        <v>0</v>
      </c>
    </row>
    <row r="5939" spans="1:59">
      <c r="A5939" s="1">
        <f>HYPERLINK("https://lsnyc.legalserver.org/matter/dynamic-profile/view/1910234","19-1910234")</f>
        <v>0</v>
      </c>
      <c r="B5939" t="s">
        <v>4628</v>
      </c>
      <c r="C5939" t="s">
        <v>7743</v>
      </c>
      <c r="D5939" t="s">
        <v>9938</v>
      </c>
      <c r="E5939" t="s">
        <v>10075</v>
      </c>
      <c r="F5939">
        <v>11433</v>
      </c>
      <c r="G5939" t="s">
        <v>10092</v>
      </c>
      <c r="H5939" t="s">
        <v>10156</v>
      </c>
      <c r="I5939" t="s">
        <v>10169</v>
      </c>
      <c r="J5939" t="s">
        <v>10212</v>
      </c>
      <c r="K5939" t="s">
        <v>10217</v>
      </c>
      <c r="M5939" t="s">
        <v>10318</v>
      </c>
      <c r="N5939" t="s">
        <v>10684</v>
      </c>
      <c r="P5939" t="s">
        <v>10751</v>
      </c>
      <c r="Q5939" t="s">
        <v>10786</v>
      </c>
      <c r="R5939" t="s">
        <v>10823</v>
      </c>
      <c r="S5939" t="s">
        <v>10821</v>
      </c>
      <c r="T5939">
        <v>6611.8</v>
      </c>
      <c r="U5939">
        <v>550.98</v>
      </c>
      <c r="V5939">
        <v>68</v>
      </c>
      <c r="W5939">
        <v>1</v>
      </c>
      <c r="X5939">
        <v>0</v>
      </c>
      <c r="Z5939">
        <v>52.94</v>
      </c>
      <c r="AA5939">
        <v>40.694163</v>
      </c>
      <c r="AB5939">
        <v>-73.793013</v>
      </c>
      <c r="AD5939" t="s">
        <v>10839</v>
      </c>
      <c r="AF5939" t="s">
        <v>10843</v>
      </c>
      <c r="AG5939" t="s">
        <v>10858</v>
      </c>
      <c r="AH5939" t="s">
        <v>10873</v>
      </c>
      <c r="AI5939">
        <v>234</v>
      </c>
      <c r="AJ5939" t="s">
        <v>10214</v>
      </c>
      <c r="AL5939">
        <v>1.35</v>
      </c>
      <c r="AM5939" t="s">
        <v>10892</v>
      </c>
      <c r="AN5939" t="s">
        <v>10951</v>
      </c>
      <c r="AO5939" t="s">
        <v>11017</v>
      </c>
      <c r="AP5939" t="s">
        <v>11070</v>
      </c>
      <c r="AR5939" t="s">
        <v>11344</v>
      </c>
      <c r="AS5939" t="s">
        <v>11594</v>
      </c>
      <c r="AT5939" t="s">
        <v>11641</v>
      </c>
      <c r="AX5939" t="s">
        <v>10838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</row>
    <row r="5940" spans="1:59">
      <c r="A5940" s="1">
        <f>HYPERLINK("https://lsnyc.legalserver.org/matter/dynamic-profile/view/1910235","19-1910235")</f>
        <v>0</v>
      </c>
      <c r="B5940" t="s">
        <v>4629</v>
      </c>
      <c r="C5940" t="s">
        <v>9497</v>
      </c>
      <c r="D5940" t="s">
        <v>9948</v>
      </c>
      <c r="E5940" t="s">
        <v>10075</v>
      </c>
      <c r="F5940">
        <v>11691</v>
      </c>
      <c r="G5940" t="s">
        <v>10093</v>
      </c>
      <c r="H5940" t="s">
        <v>10156</v>
      </c>
      <c r="I5940" t="s">
        <v>10168</v>
      </c>
      <c r="J5940" t="s">
        <v>10213</v>
      </c>
      <c r="K5940" t="s">
        <v>10217</v>
      </c>
      <c r="M5940" t="s">
        <v>10436</v>
      </c>
      <c r="N5940" t="s">
        <v>10710</v>
      </c>
      <c r="P5940" t="s">
        <v>10750</v>
      </c>
      <c r="Q5940" t="s">
        <v>10760</v>
      </c>
      <c r="R5940" t="s">
        <v>10824</v>
      </c>
      <c r="T5940">
        <v>1800</v>
      </c>
      <c r="U5940">
        <v>150</v>
      </c>
      <c r="V5940">
        <v>73</v>
      </c>
      <c r="W5940">
        <v>1</v>
      </c>
      <c r="X5940">
        <v>0</v>
      </c>
      <c r="Z5940">
        <v>14.41</v>
      </c>
      <c r="AA5940">
        <v>40.602081</v>
      </c>
      <c r="AB5940">
        <v>-73.748085</v>
      </c>
      <c r="AD5940" t="s">
        <v>10839</v>
      </c>
      <c r="AG5940" t="s">
        <v>10858</v>
      </c>
      <c r="AH5940" t="s">
        <v>10861</v>
      </c>
      <c r="AI5940">
        <v>234</v>
      </c>
      <c r="AJ5940" t="s">
        <v>10214</v>
      </c>
      <c r="AL5940">
        <v>0.5</v>
      </c>
      <c r="AM5940" t="s">
        <v>10892</v>
      </c>
      <c r="AN5940" t="s">
        <v>10958</v>
      </c>
      <c r="AO5940" t="s">
        <v>11024</v>
      </c>
      <c r="AP5940" t="s">
        <v>11082</v>
      </c>
      <c r="AR5940" t="s">
        <v>11296</v>
      </c>
      <c r="AS5940" t="s">
        <v>11594</v>
      </c>
      <c r="AT5940" t="s">
        <v>11641</v>
      </c>
      <c r="AX5940" t="s">
        <v>10838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</row>
    <row r="5941" spans="1:59">
      <c r="A5941" s="1">
        <f>HYPERLINK("https://lsnyc.legalserver.org/matter/dynamic-profile/view/1910236","19-1910236")</f>
        <v>0</v>
      </c>
      <c r="B5941" t="s">
        <v>1640</v>
      </c>
      <c r="C5941" t="s">
        <v>9498</v>
      </c>
      <c r="D5941" t="s">
        <v>9926</v>
      </c>
      <c r="E5941" t="s">
        <v>10075</v>
      </c>
      <c r="F5941">
        <v>10456</v>
      </c>
      <c r="G5941" t="s">
        <v>10090</v>
      </c>
      <c r="H5941" t="s">
        <v>10156</v>
      </c>
      <c r="I5941" t="s">
        <v>10168</v>
      </c>
      <c r="J5941" t="s">
        <v>10210</v>
      </c>
      <c r="K5941" t="s">
        <v>10217</v>
      </c>
      <c r="M5941" t="s">
        <v>10338</v>
      </c>
      <c r="N5941" t="s">
        <v>10671</v>
      </c>
      <c r="P5941" t="s">
        <v>10751</v>
      </c>
      <c r="Q5941" t="s">
        <v>10768</v>
      </c>
      <c r="R5941" t="s">
        <v>10824</v>
      </c>
      <c r="T5941">
        <v>4356</v>
      </c>
      <c r="U5941">
        <v>363</v>
      </c>
      <c r="V5941">
        <v>60</v>
      </c>
      <c r="W5941">
        <v>1</v>
      </c>
      <c r="X5941">
        <v>0</v>
      </c>
      <c r="Z5941">
        <v>34.88</v>
      </c>
      <c r="AA5941">
        <v>40.8291</v>
      </c>
      <c r="AB5941">
        <v>-73.901054</v>
      </c>
      <c r="AD5941" t="s">
        <v>10839</v>
      </c>
      <c r="AG5941" t="s">
        <v>10858</v>
      </c>
      <c r="AH5941" t="s">
        <v>10874</v>
      </c>
      <c r="AI5941">
        <v>230</v>
      </c>
      <c r="AJ5941" t="s">
        <v>10210</v>
      </c>
      <c r="AL5941">
        <v>0.5</v>
      </c>
      <c r="AM5941" t="s">
        <v>10884</v>
      </c>
      <c r="AN5941" t="s">
        <v>10918</v>
      </c>
      <c r="AO5941" t="s">
        <v>11001</v>
      </c>
      <c r="AP5941" t="s">
        <v>11062</v>
      </c>
      <c r="AR5941" t="s">
        <v>11387</v>
      </c>
      <c r="AS5941" t="s">
        <v>9926</v>
      </c>
      <c r="AT5941" t="s">
        <v>11641</v>
      </c>
      <c r="AX5941" t="s">
        <v>10838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</row>
    <row r="5942" spans="1:59">
      <c r="A5942" s="1">
        <f>HYPERLINK("https://lsnyc.legalserver.org/matter/dynamic-profile/view/1910237","19-1910237")</f>
        <v>0</v>
      </c>
      <c r="B5942" t="s">
        <v>4630</v>
      </c>
      <c r="C5942" t="s">
        <v>9402</v>
      </c>
      <c r="D5942" t="s">
        <v>9925</v>
      </c>
      <c r="E5942" t="s">
        <v>10075</v>
      </c>
      <c r="F5942">
        <v>10029</v>
      </c>
      <c r="G5942" t="s">
        <v>10089</v>
      </c>
      <c r="H5942" t="s">
        <v>10156</v>
      </c>
      <c r="I5942" t="s">
        <v>10169</v>
      </c>
      <c r="J5942" t="s">
        <v>10209</v>
      </c>
      <c r="K5942" t="s">
        <v>10217</v>
      </c>
      <c r="M5942" t="s">
        <v>10431</v>
      </c>
      <c r="N5942" t="s">
        <v>10703</v>
      </c>
      <c r="P5942" t="s">
        <v>10749</v>
      </c>
      <c r="Q5942" t="s">
        <v>10767</v>
      </c>
      <c r="R5942" t="s">
        <v>10821</v>
      </c>
      <c r="T5942">
        <v>12620.52</v>
      </c>
      <c r="U5942">
        <v>1051.71</v>
      </c>
      <c r="V5942">
        <v>71</v>
      </c>
      <c r="W5942">
        <v>1</v>
      </c>
      <c r="X5942">
        <v>0</v>
      </c>
      <c r="Z5942">
        <v>101.04</v>
      </c>
      <c r="AA5942">
        <v>40.786881</v>
      </c>
      <c r="AB5942">
        <v>-73.942466</v>
      </c>
      <c r="AD5942" t="s">
        <v>10840</v>
      </c>
      <c r="AG5942" t="s">
        <v>10858</v>
      </c>
      <c r="AH5942" t="s">
        <v>10862</v>
      </c>
      <c r="AI5942">
        <v>236</v>
      </c>
      <c r="AJ5942" t="s">
        <v>10209</v>
      </c>
      <c r="AL5942">
        <v>0.5</v>
      </c>
      <c r="AM5942" t="s">
        <v>10887</v>
      </c>
      <c r="AN5942" t="s">
        <v>10926</v>
      </c>
      <c r="AO5942" t="s">
        <v>11013</v>
      </c>
      <c r="AP5942" t="s">
        <v>11066</v>
      </c>
      <c r="AR5942" t="s">
        <v>11253</v>
      </c>
      <c r="AS5942" t="s">
        <v>9925</v>
      </c>
      <c r="BA5942" t="s">
        <v>11742</v>
      </c>
      <c r="BB5942">
        <v>0</v>
      </c>
      <c r="BC5942">
        <v>0</v>
      </c>
      <c r="BD5942">
        <v>0</v>
      </c>
      <c r="BE5942">
        <v>0</v>
      </c>
      <c r="BF5942">
        <v>7</v>
      </c>
      <c r="BG5942">
        <v>0</v>
      </c>
    </row>
    <row r="5943" spans="1:59">
      <c r="A5943" s="1">
        <f>HYPERLINK("https://lsnyc.legalserver.org/matter/dynamic-profile/view/1910238","19-1910238")</f>
        <v>0</v>
      </c>
      <c r="B5943" t="s">
        <v>4631</v>
      </c>
      <c r="C5943" t="s">
        <v>9499</v>
      </c>
      <c r="D5943" t="s">
        <v>9925</v>
      </c>
      <c r="E5943" t="s">
        <v>10075</v>
      </c>
      <c r="F5943">
        <v>10039</v>
      </c>
      <c r="G5943" t="s">
        <v>10089</v>
      </c>
      <c r="H5943" t="s">
        <v>10156</v>
      </c>
      <c r="I5943" t="s">
        <v>10168</v>
      </c>
      <c r="J5943" t="s">
        <v>10209</v>
      </c>
      <c r="K5943" t="s">
        <v>10217</v>
      </c>
      <c r="M5943" t="s">
        <v>10379</v>
      </c>
      <c r="N5943" t="s">
        <v>10703</v>
      </c>
      <c r="P5943" t="s">
        <v>10749</v>
      </c>
      <c r="Q5943" t="s">
        <v>10765</v>
      </c>
      <c r="R5943" t="s">
        <v>10824</v>
      </c>
      <c r="T5943">
        <v>30280</v>
      </c>
      <c r="U5943">
        <v>2523.33</v>
      </c>
      <c r="V5943">
        <v>54</v>
      </c>
      <c r="W5943">
        <v>2</v>
      </c>
      <c r="X5943">
        <v>0</v>
      </c>
      <c r="Z5943">
        <v>179.07</v>
      </c>
      <c r="AA5943">
        <v>40.821558</v>
      </c>
      <c r="AB5943">
        <v>-73.938164</v>
      </c>
      <c r="AD5943" t="s">
        <v>10839</v>
      </c>
      <c r="AG5943" t="s">
        <v>10858</v>
      </c>
      <c r="AH5943" t="s">
        <v>10862</v>
      </c>
      <c r="AI5943">
        <v>236</v>
      </c>
      <c r="AJ5943" t="s">
        <v>10209</v>
      </c>
      <c r="AL5943">
        <v>1.25</v>
      </c>
      <c r="AM5943" t="s">
        <v>10887</v>
      </c>
      <c r="AN5943" t="s">
        <v>10943</v>
      </c>
      <c r="AO5943" t="s">
        <v>11016</v>
      </c>
      <c r="AP5943" t="s">
        <v>11076</v>
      </c>
      <c r="AR5943" t="s">
        <v>11328</v>
      </c>
      <c r="AS5943" t="s">
        <v>9925</v>
      </c>
      <c r="BA5943" t="s">
        <v>11742</v>
      </c>
      <c r="BB5943">
        <v>0</v>
      </c>
      <c r="BC5943">
        <v>0</v>
      </c>
      <c r="BD5943">
        <v>0</v>
      </c>
      <c r="BE5943">
        <v>0</v>
      </c>
      <c r="BF5943">
        <v>7</v>
      </c>
      <c r="BG5943">
        <v>0</v>
      </c>
    </row>
    <row r="5944" spans="1:59">
      <c r="A5944" s="1">
        <f>HYPERLINK("https://lsnyc.legalserver.org/matter/dynamic-profile/view/1910239","19-1910239")</f>
        <v>0</v>
      </c>
      <c r="B5944" t="s">
        <v>81</v>
      </c>
      <c r="C5944" t="s">
        <v>5020</v>
      </c>
      <c r="D5944" t="s">
        <v>9926</v>
      </c>
      <c r="E5944" t="s">
        <v>10075</v>
      </c>
      <c r="F5944">
        <v>10456</v>
      </c>
      <c r="G5944" t="s">
        <v>10090</v>
      </c>
      <c r="H5944" t="s">
        <v>10156</v>
      </c>
      <c r="I5944" t="s">
        <v>10170</v>
      </c>
      <c r="J5944" t="s">
        <v>10210</v>
      </c>
      <c r="K5944" t="s">
        <v>10217</v>
      </c>
      <c r="M5944" t="s">
        <v>10262</v>
      </c>
      <c r="N5944" t="s">
        <v>10666</v>
      </c>
      <c r="P5944" t="s">
        <v>10749</v>
      </c>
      <c r="Q5944" t="s">
        <v>10765</v>
      </c>
      <c r="R5944" t="s">
        <v>10824</v>
      </c>
      <c r="T5944">
        <v>19000</v>
      </c>
      <c r="U5944">
        <v>1583.33</v>
      </c>
      <c r="V5944">
        <v>42</v>
      </c>
      <c r="W5944">
        <v>1</v>
      </c>
      <c r="X5944">
        <v>0</v>
      </c>
      <c r="Z5944">
        <v>152.12</v>
      </c>
      <c r="AA5944">
        <v>40.829372</v>
      </c>
      <c r="AB5944">
        <v>-73.91876000000001</v>
      </c>
      <c r="AD5944" t="s">
        <v>10840</v>
      </c>
      <c r="AG5944" t="s">
        <v>10858</v>
      </c>
      <c r="AH5944" t="s">
        <v>10862</v>
      </c>
      <c r="AI5944">
        <v>230</v>
      </c>
      <c r="AJ5944" t="s">
        <v>10210</v>
      </c>
      <c r="AL5944">
        <v>0.4</v>
      </c>
      <c r="AM5944" t="s">
        <v>10884</v>
      </c>
      <c r="AN5944" t="s">
        <v>10918</v>
      </c>
      <c r="AO5944" t="s">
        <v>11001</v>
      </c>
      <c r="AP5944" t="s">
        <v>11055</v>
      </c>
      <c r="AR5944" t="s">
        <v>11257</v>
      </c>
      <c r="AS5944" t="s">
        <v>9926</v>
      </c>
      <c r="BA5944" t="s">
        <v>11741</v>
      </c>
      <c r="BB5944">
        <v>0</v>
      </c>
      <c r="BC5944">
        <v>0</v>
      </c>
      <c r="BD5944">
        <v>0</v>
      </c>
      <c r="BE5944">
        <v>0</v>
      </c>
      <c r="BF5944">
        <v>1</v>
      </c>
      <c r="BG5944">
        <v>0</v>
      </c>
    </row>
    <row r="5945" spans="1:59">
      <c r="A5945" s="1">
        <f>HYPERLINK("https://lsnyc.legalserver.org/matter/dynamic-profile/view/1910240","19-1910240")</f>
        <v>0</v>
      </c>
      <c r="B5945" t="s">
        <v>4632</v>
      </c>
      <c r="C5945" t="s">
        <v>9500</v>
      </c>
      <c r="D5945" t="s">
        <v>9928</v>
      </c>
      <c r="E5945" t="s">
        <v>10075</v>
      </c>
      <c r="F5945">
        <v>11204</v>
      </c>
      <c r="G5945" t="s">
        <v>10093</v>
      </c>
      <c r="H5945" t="s">
        <v>10156</v>
      </c>
      <c r="I5945" t="s">
        <v>10168</v>
      </c>
      <c r="J5945" t="s">
        <v>10213</v>
      </c>
      <c r="K5945" t="s">
        <v>10217</v>
      </c>
      <c r="M5945" t="s">
        <v>10275</v>
      </c>
      <c r="N5945" t="s">
        <v>10664</v>
      </c>
      <c r="P5945" t="s">
        <v>10749</v>
      </c>
      <c r="Q5945" t="s">
        <v>10765</v>
      </c>
      <c r="R5945" t="s">
        <v>10820</v>
      </c>
      <c r="T5945">
        <v>20112</v>
      </c>
      <c r="U5945">
        <v>1676</v>
      </c>
      <c r="V5945">
        <v>69</v>
      </c>
      <c r="W5945">
        <v>1</v>
      </c>
      <c r="X5945">
        <v>0</v>
      </c>
      <c r="Z5945">
        <v>161.02</v>
      </c>
      <c r="AA5945">
        <v>40.618109</v>
      </c>
      <c r="AB5945">
        <v>-73.984954</v>
      </c>
      <c r="AD5945" t="s">
        <v>10840</v>
      </c>
      <c r="AG5945" t="s">
        <v>10858</v>
      </c>
      <c r="AH5945" t="s">
        <v>10862</v>
      </c>
      <c r="AI5945">
        <v>239</v>
      </c>
      <c r="AJ5945" t="s">
        <v>10213</v>
      </c>
      <c r="AL5945">
        <v>0</v>
      </c>
      <c r="AM5945" t="s">
        <v>10894</v>
      </c>
      <c r="AN5945" t="s">
        <v>10974</v>
      </c>
      <c r="AO5945" t="s">
        <v>11023</v>
      </c>
      <c r="AP5945" t="s">
        <v>11087</v>
      </c>
      <c r="AR5945" t="s">
        <v>11253</v>
      </c>
      <c r="AS5945" t="s">
        <v>11595</v>
      </c>
      <c r="BA5945" t="s">
        <v>11738</v>
      </c>
      <c r="BB5945">
        <v>0</v>
      </c>
      <c r="BC5945">
        <v>0</v>
      </c>
      <c r="BD5945">
        <v>0</v>
      </c>
      <c r="BE5945">
        <v>0</v>
      </c>
      <c r="BF5945">
        <v>5</v>
      </c>
      <c r="BG5945">
        <v>0</v>
      </c>
    </row>
    <row r="5946" spans="1:59">
      <c r="A5946" s="1">
        <f>HYPERLINK("https://lsnyc.legalserver.org/matter/dynamic-profile/view/1910241","19-1910241")</f>
        <v>0</v>
      </c>
      <c r="B5946" t="s">
        <v>4633</v>
      </c>
      <c r="C5946" t="s">
        <v>9501</v>
      </c>
      <c r="D5946" t="s">
        <v>9928</v>
      </c>
      <c r="E5946" t="s">
        <v>10075</v>
      </c>
      <c r="F5946">
        <v>11236</v>
      </c>
      <c r="G5946" t="s">
        <v>10093</v>
      </c>
      <c r="H5946" t="s">
        <v>10156</v>
      </c>
      <c r="I5946" t="s">
        <v>10168</v>
      </c>
      <c r="J5946" t="s">
        <v>10213</v>
      </c>
      <c r="K5946" t="s">
        <v>10217</v>
      </c>
      <c r="M5946" t="s">
        <v>10253</v>
      </c>
      <c r="N5946" t="s">
        <v>10649</v>
      </c>
      <c r="P5946" t="s">
        <v>10753</v>
      </c>
      <c r="Q5946" t="s">
        <v>10763</v>
      </c>
      <c r="R5946" t="s">
        <v>10824</v>
      </c>
      <c r="T5946">
        <v>12000</v>
      </c>
      <c r="U5946">
        <v>1000</v>
      </c>
      <c r="V5946">
        <v>36</v>
      </c>
      <c r="W5946">
        <v>1</v>
      </c>
      <c r="X5946">
        <v>0</v>
      </c>
      <c r="Z5946">
        <v>96.08</v>
      </c>
      <c r="AA5946">
        <v>40.650641</v>
      </c>
      <c r="AB5946">
        <v>-73.91845000000001</v>
      </c>
      <c r="AD5946" t="s">
        <v>10840</v>
      </c>
      <c r="AF5946" t="s">
        <v>10846</v>
      </c>
      <c r="AG5946" t="s">
        <v>10859</v>
      </c>
      <c r="AH5946" t="s">
        <v>10864</v>
      </c>
      <c r="AI5946">
        <v>239</v>
      </c>
      <c r="AJ5946" t="s">
        <v>10213</v>
      </c>
      <c r="AL5946">
        <v>2.25</v>
      </c>
      <c r="AM5946" t="s">
        <v>10889</v>
      </c>
      <c r="AN5946" t="s">
        <v>10925</v>
      </c>
      <c r="AO5946" t="s">
        <v>11008</v>
      </c>
      <c r="AP5946" t="s">
        <v>11065</v>
      </c>
      <c r="AQ5946" t="s">
        <v>11251</v>
      </c>
      <c r="AR5946" t="s">
        <v>11257</v>
      </c>
      <c r="AS5946" t="s">
        <v>11595</v>
      </c>
      <c r="AX5946" t="s">
        <v>10837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</row>
    <row r="5947" spans="1:59">
      <c r="A5947" s="1">
        <f>HYPERLINK("https://lsnyc.legalserver.org/matter/dynamic-profile/view/1910242","19-1910242")</f>
        <v>0</v>
      </c>
      <c r="B5947" t="s">
        <v>4634</v>
      </c>
      <c r="C5947" t="s">
        <v>9502</v>
      </c>
      <c r="D5947" t="s">
        <v>9928</v>
      </c>
      <c r="E5947" t="s">
        <v>10075</v>
      </c>
      <c r="F5947">
        <v>11213</v>
      </c>
      <c r="G5947" t="s">
        <v>10093</v>
      </c>
      <c r="H5947" t="s">
        <v>10156</v>
      </c>
      <c r="I5947" t="s">
        <v>10168</v>
      </c>
      <c r="J5947" t="s">
        <v>10213</v>
      </c>
      <c r="K5947" t="s">
        <v>10217</v>
      </c>
      <c r="M5947" t="s">
        <v>10253</v>
      </c>
      <c r="N5947" t="s">
        <v>10673</v>
      </c>
      <c r="P5947" t="s">
        <v>10753</v>
      </c>
      <c r="Q5947" t="s">
        <v>10763</v>
      </c>
      <c r="R5947" t="s">
        <v>10824</v>
      </c>
      <c r="T5947">
        <v>9252</v>
      </c>
      <c r="U5947">
        <v>771</v>
      </c>
      <c r="V5947">
        <v>39</v>
      </c>
      <c r="W5947">
        <v>1</v>
      </c>
      <c r="X5947">
        <v>2</v>
      </c>
      <c r="Z5947">
        <v>43.38</v>
      </c>
      <c r="AA5947">
        <v>40.666355</v>
      </c>
      <c r="AB5947">
        <v>-73.93116000000001</v>
      </c>
      <c r="AD5947" t="s">
        <v>10839</v>
      </c>
      <c r="AF5947" t="s">
        <v>10842</v>
      </c>
      <c r="AG5947" t="s">
        <v>10859</v>
      </c>
      <c r="AH5947" t="s">
        <v>10864</v>
      </c>
      <c r="AI5947">
        <v>239</v>
      </c>
      <c r="AJ5947" t="s">
        <v>10213</v>
      </c>
      <c r="AL5947">
        <v>2.5</v>
      </c>
      <c r="AM5947" t="s">
        <v>10888</v>
      </c>
      <c r="AN5947" t="s">
        <v>10922</v>
      </c>
      <c r="AO5947" t="s">
        <v>11005</v>
      </c>
      <c r="AP5947" t="s">
        <v>11064</v>
      </c>
      <c r="AQ5947" t="s">
        <v>11109</v>
      </c>
      <c r="AR5947" t="s">
        <v>11263</v>
      </c>
      <c r="AS5947" t="s">
        <v>11595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</row>
    <row r="5948" spans="1:59">
      <c r="A5948" s="1">
        <f>HYPERLINK("https://lsnyc.legalserver.org/matter/dynamic-profile/view/1910243","19-1910243")</f>
        <v>0</v>
      </c>
      <c r="B5948" t="s">
        <v>420</v>
      </c>
      <c r="C5948" t="s">
        <v>9503</v>
      </c>
      <c r="D5948" t="s">
        <v>9928</v>
      </c>
      <c r="E5948" t="s">
        <v>10075</v>
      </c>
      <c r="F5948">
        <v>11207</v>
      </c>
      <c r="G5948" t="s">
        <v>10093</v>
      </c>
      <c r="H5948" t="s">
        <v>10156</v>
      </c>
      <c r="I5948" t="s">
        <v>10168</v>
      </c>
      <c r="J5948" t="s">
        <v>10213</v>
      </c>
      <c r="K5948" t="s">
        <v>10218</v>
      </c>
      <c r="L5948" t="s">
        <v>10221</v>
      </c>
      <c r="M5948" t="s">
        <v>10317</v>
      </c>
      <c r="N5948" t="s">
        <v>10671</v>
      </c>
      <c r="P5948" t="s">
        <v>10751</v>
      </c>
      <c r="Q5948" t="s">
        <v>10761</v>
      </c>
      <c r="R5948" t="s">
        <v>10824</v>
      </c>
      <c r="T5948">
        <v>7692</v>
      </c>
      <c r="U5948">
        <v>641</v>
      </c>
      <c r="V5948">
        <v>37</v>
      </c>
      <c r="W5948">
        <v>1</v>
      </c>
      <c r="X5948">
        <v>0</v>
      </c>
      <c r="Y5948" t="s">
        <v>10829</v>
      </c>
      <c r="Z5948">
        <v>61.59</v>
      </c>
      <c r="AA5948">
        <v>40.672779</v>
      </c>
      <c r="AB5948">
        <v>-73.891109</v>
      </c>
      <c r="AD5948" t="s">
        <v>10839</v>
      </c>
      <c r="AG5948" t="s">
        <v>10858</v>
      </c>
      <c r="AH5948" t="s">
        <v>10861</v>
      </c>
      <c r="AI5948">
        <v>234</v>
      </c>
      <c r="AJ5948" t="s">
        <v>10214</v>
      </c>
      <c r="AK5948" t="s">
        <v>10838</v>
      </c>
      <c r="AL5948">
        <v>6.85</v>
      </c>
      <c r="AR5948" t="s">
        <v>11255</v>
      </c>
      <c r="AS5948" t="s">
        <v>11595</v>
      </c>
      <c r="AT5948" t="s">
        <v>11641</v>
      </c>
      <c r="AX5948" t="s">
        <v>10838</v>
      </c>
      <c r="AY5948" t="s">
        <v>10829</v>
      </c>
      <c r="AZ5948" t="s">
        <v>11682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</row>
    <row r="5949" spans="1:59">
      <c r="A5949" s="1">
        <f>HYPERLINK("https://lsnyc.legalserver.org/matter/dynamic-profile/view/1910244","19-1910244")</f>
        <v>0</v>
      </c>
      <c r="B5949" t="s">
        <v>4635</v>
      </c>
      <c r="C5949" t="s">
        <v>9504</v>
      </c>
      <c r="D5949" t="s">
        <v>9925</v>
      </c>
      <c r="E5949" t="s">
        <v>10075</v>
      </c>
      <c r="F5949">
        <v>10006</v>
      </c>
      <c r="G5949" t="s">
        <v>10093</v>
      </c>
      <c r="H5949" t="s">
        <v>10156</v>
      </c>
      <c r="I5949" t="s">
        <v>10168</v>
      </c>
      <c r="J5949" t="s">
        <v>10213</v>
      </c>
      <c r="K5949" t="s">
        <v>10217</v>
      </c>
      <c r="M5949" t="s">
        <v>10290</v>
      </c>
      <c r="N5949" t="s">
        <v>10665</v>
      </c>
      <c r="P5949" t="s">
        <v>10751</v>
      </c>
      <c r="Q5949" t="s">
        <v>10773</v>
      </c>
      <c r="R5949" t="s">
        <v>10822</v>
      </c>
      <c r="T5949">
        <v>300</v>
      </c>
      <c r="U5949">
        <v>25</v>
      </c>
      <c r="V5949">
        <v>34</v>
      </c>
      <c r="W5949">
        <v>1</v>
      </c>
      <c r="X5949">
        <v>0</v>
      </c>
      <c r="Z5949">
        <v>2.4</v>
      </c>
      <c r="AA5949">
        <v>40.708019</v>
      </c>
      <c r="AB5949">
        <v>-74.015005</v>
      </c>
      <c r="AD5949" t="s">
        <v>10839</v>
      </c>
      <c r="AF5949" t="s">
        <v>10843</v>
      </c>
      <c r="AG5949" t="s">
        <v>10859</v>
      </c>
      <c r="AH5949" t="s">
        <v>10861</v>
      </c>
      <c r="AI5949">
        <v>234</v>
      </c>
      <c r="AJ5949" t="s">
        <v>10214</v>
      </c>
      <c r="AL5949">
        <v>8.9</v>
      </c>
      <c r="AM5949" t="s">
        <v>10894</v>
      </c>
      <c r="AN5949" t="s">
        <v>10963</v>
      </c>
      <c r="AO5949" t="s">
        <v>11004</v>
      </c>
      <c r="AP5949" t="s">
        <v>11093</v>
      </c>
      <c r="AQ5949" t="s">
        <v>11115</v>
      </c>
      <c r="AR5949" t="s">
        <v>11257</v>
      </c>
      <c r="AS5949" t="s">
        <v>9925</v>
      </c>
      <c r="AT5949" t="s">
        <v>11641</v>
      </c>
      <c r="AX5949" t="s">
        <v>10838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</row>
    <row r="5950" spans="1:59">
      <c r="A5950" s="1">
        <f>HYPERLINK("https://lsnyc.legalserver.org/matter/dynamic-profile/view/1910245","19-1910245")</f>
        <v>0</v>
      </c>
      <c r="B5950" t="s">
        <v>4636</v>
      </c>
      <c r="C5950" t="s">
        <v>9505</v>
      </c>
      <c r="D5950" t="s">
        <v>9925</v>
      </c>
      <c r="E5950" t="s">
        <v>10075</v>
      </c>
      <c r="F5950">
        <v>10035</v>
      </c>
      <c r="G5950" t="s">
        <v>10089</v>
      </c>
      <c r="H5950" t="s">
        <v>10156</v>
      </c>
      <c r="I5950" t="s">
        <v>10168</v>
      </c>
      <c r="J5950" t="s">
        <v>10209</v>
      </c>
      <c r="K5950" t="s">
        <v>10218</v>
      </c>
      <c r="L5950" t="s">
        <v>10158</v>
      </c>
      <c r="M5950" t="s">
        <v>10379</v>
      </c>
      <c r="N5950" t="s">
        <v>10703</v>
      </c>
      <c r="P5950" t="s">
        <v>10749</v>
      </c>
      <c r="Q5950" t="s">
        <v>10765</v>
      </c>
      <c r="R5950" t="s">
        <v>10821</v>
      </c>
      <c r="T5950">
        <v>5200</v>
      </c>
      <c r="U5950">
        <v>433.33</v>
      </c>
      <c r="V5950">
        <v>39</v>
      </c>
      <c r="W5950">
        <v>2</v>
      </c>
      <c r="X5950">
        <v>3</v>
      </c>
      <c r="Y5950" t="s">
        <v>10829</v>
      </c>
      <c r="Z5950">
        <v>17.24</v>
      </c>
      <c r="AA5950">
        <v>40.799042</v>
      </c>
      <c r="AB5950">
        <v>-73.937061</v>
      </c>
      <c r="AD5950" t="s">
        <v>10840</v>
      </c>
      <c r="AG5950" t="s">
        <v>10858</v>
      </c>
      <c r="AH5950" t="s">
        <v>10862</v>
      </c>
      <c r="AI5950">
        <v>236</v>
      </c>
      <c r="AJ5950" t="s">
        <v>10209</v>
      </c>
      <c r="AK5950" t="s">
        <v>10882</v>
      </c>
      <c r="AL5950">
        <v>0</v>
      </c>
      <c r="AM5950" t="s">
        <v>10887</v>
      </c>
      <c r="AN5950" t="s">
        <v>10926</v>
      </c>
      <c r="AO5950" t="s">
        <v>11016</v>
      </c>
      <c r="AP5950" t="s">
        <v>11066</v>
      </c>
      <c r="AR5950" t="s">
        <v>11260</v>
      </c>
      <c r="AS5950" t="s">
        <v>9925</v>
      </c>
      <c r="AY5950" t="s">
        <v>10829</v>
      </c>
      <c r="AZ5950" t="s">
        <v>11681</v>
      </c>
      <c r="BA5950" t="s">
        <v>11741</v>
      </c>
      <c r="BB5950">
        <v>0</v>
      </c>
      <c r="BC5950">
        <v>0</v>
      </c>
      <c r="BD5950">
        <v>0</v>
      </c>
      <c r="BE5950">
        <v>0</v>
      </c>
      <c r="BF5950">
        <v>1</v>
      </c>
      <c r="BG5950">
        <v>0</v>
      </c>
    </row>
    <row r="5951" spans="1:59">
      <c r="A5951" s="1">
        <f>HYPERLINK("https://lsnyc.legalserver.org/matter/dynamic-profile/view/1910246","19-1910246")</f>
        <v>0</v>
      </c>
      <c r="B5951" t="s">
        <v>4161</v>
      </c>
      <c r="C5951" t="s">
        <v>9506</v>
      </c>
      <c r="D5951" t="s">
        <v>9926</v>
      </c>
      <c r="E5951" t="s">
        <v>10075</v>
      </c>
      <c r="F5951">
        <v>10466</v>
      </c>
      <c r="G5951" t="s">
        <v>10090</v>
      </c>
      <c r="H5951" t="s">
        <v>10156</v>
      </c>
      <c r="I5951" t="s">
        <v>10169</v>
      </c>
      <c r="J5951" t="s">
        <v>10210</v>
      </c>
      <c r="K5951" t="s">
        <v>10217</v>
      </c>
      <c r="M5951" t="s">
        <v>10545</v>
      </c>
      <c r="N5951" t="s">
        <v>10671</v>
      </c>
      <c r="P5951" t="s">
        <v>10749</v>
      </c>
      <c r="Q5951" t="s">
        <v>10759</v>
      </c>
      <c r="R5951" t="s">
        <v>10821</v>
      </c>
      <c r="T5951">
        <v>45760</v>
      </c>
      <c r="U5951">
        <v>3813.33</v>
      </c>
      <c r="V5951">
        <v>36</v>
      </c>
      <c r="W5951">
        <v>3</v>
      </c>
      <c r="X5951">
        <v>2</v>
      </c>
      <c r="Z5951">
        <v>151.67</v>
      </c>
      <c r="AA5951">
        <v>40.890282</v>
      </c>
      <c r="AB5951">
        <v>-73.86124</v>
      </c>
      <c r="AD5951" t="s">
        <v>10839</v>
      </c>
      <c r="AG5951" t="s">
        <v>10858</v>
      </c>
      <c r="AH5951" t="s">
        <v>10861</v>
      </c>
      <c r="AI5951">
        <v>234</v>
      </c>
      <c r="AJ5951" t="s">
        <v>10214</v>
      </c>
      <c r="AL5951">
        <v>0.75</v>
      </c>
      <c r="AM5951" t="s">
        <v>10893</v>
      </c>
      <c r="AN5951" t="s">
        <v>10956</v>
      </c>
      <c r="AO5951" t="s">
        <v>11010</v>
      </c>
      <c r="AP5951" t="s">
        <v>11085</v>
      </c>
      <c r="AR5951" t="s">
        <v>11466</v>
      </c>
      <c r="AS5951" t="s">
        <v>9926</v>
      </c>
      <c r="AT5951" t="s">
        <v>11641</v>
      </c>
      <c r="AX5951" t="s">
        <v>10838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</row>
    <row r="5952" spans="1:59">
      <c r="A5952" s="1">
        <f>HYPERLINK("https://lsnyc.legalserver.org/matter/dynamic-profile/view/1910247","19-1910247")</f>
        <v>0</v>
      </c>
      <c r="B5952" t="s">
        <v>4637</v>
      </c>
      <c r="C5952" t="s">
        <v>9507</v>
      </c>
      <c r="D5952" t="s">
        <v>9925</v>
      </c>
      <c r="E5952" t="s">
        <v>10075</v>
      </c>
      <c r="F5952">
        <v>10032</v>
      </c>
      <c r="G5952" t="s">
        <v>10089</v>
      </c>
      <c r="H5952" t="s">
        <v>10156</v>
      </c>
      <c r="I5952" t="s">
        <v>10168</v>
      </c>
      <c r="J5952" t="s">
        <v>10209</v>
      </c>
      <c r="K5952" t="s">
        <v>10218</v>
      </c>
      <c r="L5952" t="s">
        <v>10158</v>
      </c>
      <c r="M5952" t="s">
        <v>10431</v>
      </c>
      <c r="N5952" t="s">
        <v>10703</v>
      </c>
      <c r="P5952" t="s">
        <v>10749</v>
      </c>
      <c r="Q5952" t="s">
        <v>10765</v>
      </c>
      <c r="R5952" t="s">
        <v>10825</v>
      </c>
      <c r="T5952">
        <v>16000</v>
      </c>
      <c r="U5952">
        <v>1333.33</v>
      </c>
      <c r="V5952">
        <v>48</v>
      </c>
      <c r="W5952">
        <v>1</v>
      </c>
      <c r="X5952">
        <v>0</v>
      </c>
      <c r="Y5952" t="s">
        <v>10829</v>
      </c>
      <c r="Z5952">
        <v>128.1</v>
      </c>
      <c r="AA5952">
        <v>40.843047</v>
      </c>
      <c r="AB5952">
        <v>-73.939955</v>
      </c>
      <c r="AD5952" t="s">
        <v>10840</v>
      </c>
      <c r="AG5952" t="s">
        <v>10858</v>
      </c>
      <c r="AH5952" t="s">
        <v>10862</v>
      </c>
      <c r="AI5952">
        <v>236</v>
      </c>
      <c r="AJ5952" t="s">
        <v>10209</v>
      </c>
      <c r="AK5952" t="s">
        <v>10882</v>
      </c>
      <c r="AL5952">
        <v>0</v>
      </c>
      <c r="AM5952" t="s">
        <v>10887</v>
      </c>
      <c r="AN5952" t="s">
        <v>10943</v>
      </c>
      <c r="AO5952" t="s">
        <v>11019</v>
      </c>
      <c r="AP5952" t="s">
        <v>11074</v>
      </c>
      <c r="AR5952" t="s">
        <v>11276</v>
      </c>
      <c r="AS5952" t="s">
        <v>9925</v>
      </c>
      <c r="AY5952" t="s">
        <v>10829</v>
      </c>
      <c r="AZ5952" t="s">
        <v>11681</v>
      </c>
      <c r="BA5952" t="s">
        <v>11741</v>
      </c>
      <c r="BB5952">
        <v>0</v>
      </c>
      <c r="BC5952">
        <v>0</v>
      </c>
      <c r="BD5952">
        <v>0</v>
      </c>
      <c r="BE5952">
        <v>0</v>
      </c>
      <c r="BF5952">
        <v>1</v>
      </c>
      <c r="BG5952">
        <v>0</v>
      </c>
    </row>
    <row r="5953" spans="1:59">
      <c r="A5953" s="1">
        <f>HYPERLINK("https://lsnyc.legalserver.org/matter/dynamic-profile/view/1910248","19-1910248")</f>
        <v>0</v>
      </c>
      <c r="B5953" t="s">
        <v>2967</v>
      </c>
      <c r="C5953" t="s">
        <v>7762</v>
      </c>
      <c r="D5953" t="s">
        <v>9928</v>
      </c>
      <c r="E5953" t="s">
        <v>10075</v>
      </c>
      <c r="F5953">
        <v>11238</v>
      </c>
      <c r="G5953" t="s">
        <v>10093</v>
      </c>
      <c r="H5953" t="s">
        <v>10156</v>
      </c>
      <c r="I5953" t="s">
        <v>10168</v>
      </c>
      <c r="J5953" t="s">
        <v>10213</v>
      </c>
      <c r="K5953" t="s">
        <v>10217</v>
      </c>
      <c r="M5953" t="s">
        <v>10411</v>
      </c>
      <c r="N5953" t="s">
        <v>10650</v>
      </c>
      <c r="P5953" t="s">
        <v>10749</v>
      </c>
      <c r="Q5953" t="s">
        <v>10765</v>
      </c>
      <c r="R5953" t="s">
        <v>10824</v>
      </c>
      <c r="T5953">
        <v>9000</v>
      </c>
      <c r="U5953">
        <v>750</v>
      </c>
      <c r="V5953">
        <v>57</v>
      </c>
      <c r="W5953">
        <v>1</v>
      </c>
      <c r="X5953">
        <v>0</v>
      </c>
      <c r="Z5953">
        <v>72.06</v>
      </c>
      <c r="AA5953">
        <v>40.682939</v>
      </c>
      <c r="AB5953">
        <v>-73.96139100000001</v>
      </c>
      <c r="AD5953" t="s">
        <v>10840</v>
      </c>
      <c r="AG5953" t="s">
        <v>10858</v>
      </c>
      <c r="AH5953" t="s">
        <v>10862</v>
      </c>
      <c r="AI5953">
        <v>239</v>
      </c>
      <c r="AJ5953" t="s">
        <v>10213</v>
      </c>
      <c r="AL5953">
        <v>3.5</v>
      </c>
      <c r="AM5953" t="s">
        <v>10889</v>
      </c>
      <c r="AN5953" t="s">
        <v>10923</v>
      </c>
      <c r="AO5953" t="s">
        <v>11007</v>
      </c>
      <c r="AP5953" t="s">
        <v>11061</v>
      </c>
      <c r="AR5953" t="s">
        <v>11263</v>
      </c>
      <c r="AS5953" t="s">
        <v>11595</v>
      </c>
      <c r="AT5953" t="s">
        <v>11642</v>
      </c>
      <c r="BA5953" t="s">
        <v>11738</v>
      </c>
      <c r="BB5953">
        <v>0</v>
      </c>
      <c r="BC5953">
        <v>0</v>
      </c>
      <c r="BD5953">
        <v>0</v>
      </c>
      <c r="BE5953">
        <v>0</v>
      </c>
      <c r="BF5953">
        <v>5</v>
      </c>
      <c r="BG5953">
        <v>0</v>
      </c>
    </row>
    <row r="5954" spans="1:59">
      <c r="A5954" s="1">
        <f>HYPERLINK("https://lsnyc.legalserver.org/matter/dynamic-profile/view/1910250","19-1910250")</f>
        <v>0</v>
      </c>
      <c r="B5954" t="s">
        <v>4638</v>
      </c>
      <c r="C5954" t="s">
        <v>9508</v>
      </c>
      <c r="D5954" t="s">
        <v>9928</v>
      </c>
      <c r="E5954" t="s">
        <v>10075</v>
      </c>
      <c r="F5954">
        <v>11213</v>
      </c>
      <c r="G5954" t="s">
        <v>10093</v>
      </c>
      <c r="H5954" t="s">
        <v>10156</v>
      </c>
      <c r="I5954" t="s">
        <v>10168</v>
      </c>
      <c r="J5954" t="s">
        <v>10213</v>
      </c>
      <c r="K5954" t="s">
        <v>10217</v>
      </c>
      <c r="M5954" t="s">
        <v>10315</v>
      </c>
      <c r="N5954" t="s">
        <v>10686</v>
      </c>
      <c r="P5954" t="s">
        <v>10750</v>
      </c>
      <c r="Q5954" t="s">
        <v>10778</v>
      </c>
      <c r="R5954" t="s">
        <v>10824</v>
      </c>
      <c r="T5954">
        <v>0</v>
      </c>
      <c r="U5954">
        <v>0</v>
      </c>
      <c r="V5954">
        <v>52</v>
      </c>
      <c r="W5954">
        <v>1</v>
      </c>
      <c r="X5954">
        <v>0</v>
      </c>
      <c r="Z5954">
        <v>0</v>
      </c>
      <c r="AA5954">
        <v>40.671232</v>
      </c>
      <c r="AB5954">
        <v>-73.93026399999999</v>
      </c>
      <c r="AD5954" t="s">
        <v>10840</v>
      </c>
      <c r="AG5954" t="s">
        <v>10858</v>
      </c>
      <c r="AH5954" t="s">
        <v>10861</v>
      </c>
      <c r="AI5954">
        <v>234</v>
      </c>
      <c r="AJ5954" t="s">
        <v>10214</v>
      </c>
      <c r="AL5954">
        <v>3.55</v>
      </c>
      <c r="AR5954" t="s">
        <v>11279</v>
      </c>
      <c r="AS5954" t="s">
        <v>11595</v>
      </c>
      <c r="AT5954" t="s">
        <v>11642</v>
      </c>
      <c r="AX5954" t="s">
        <v>10838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</row>
    <row r="5955" spans="1:59">
      <c r="A5955" s="1">
        <f>HYPERLINK("https://lsnyc.legalserver.org/matter/dynamic-profile/view/1910252","19-1910252")</f>
        <v>0</v>
      </c>
      <c r="B5955" t="s">
        <v>4639</v>
      </c>
      <c r="C5955" t="s">
        <v>9509</v>
      </c>
      <c r="D5955" t="s">
        <v>9925</v>
      </c>
      <c r="E5955" t="s">
        <v>10075</v>
      </c>
      <c r="F5955">
        <v>10002</v>
      </c>
      <c r="G5955" t="s">
        <v>10089</v>
      </c>
      <c r="H5955" t="s">
        <v>10156</v>
      </c>
      <c r="I5955" t="s">
        <v>10169</v>
      </c>
      <c r="J5955" t="s">
        <v>10209</v>
      </c>
      <c r="K5955" t="s">
        <v>10218</v>
      </c>
      <c r="L5955" t="s">
        <v>10158</v>
      </c>
      <c r="M5955" t="s">
        <v>10379</v>
      </c>
      <c r="N5955" t="s">
        <v>10703</v>
      </c>
      <c r="P5955" t="s">
        <v>10749</v>
      </c>
      <c r="Q5955" t="s">
        <v>10765</v>
      </c>
      <c r="R5955" t="s">
        <v>10821</v>
      </c>
      <c r="S5955" t="s">
        <v>10821</v>
      </c>
      <c r="T5955">
        <v>12251</v>
      </c>
      <c r="U5955">
        <v>1020.92</v>
      </c>
      <c r="V5955">
        <v>56</v>
      </c>
      <c r="W5955">
        <v>3</v>
      </c>
      <c r="X5955">
        <v>0</v>
      </c>
      <c r="Y5955" t="s">
        <v>10829</v>
      </c>
      <c r="Z5955">
        <v>57.44</v>
      </c>
      <c r="AA5955">
        <v>40.71802</v>
      </c>
      <c r="AB5955">
        <v>-73.980071</v>
      </c>
      <c r="AD5955" t="s">
        <v>10839</v>
      </c>
      <c r="AG5955" t="s">
        <v>10858</v>
      </c>
      <c r="AH5955" t="s">
        <v>10862</v>
      </c>
      <c r="AI5955">
        <v>236</v>
      </c>
      <c r="AJ5955" t="s">
        <v>10209</v>
      </c>
      <c r="AK5955" t="s">
        <v>10882</v>
      </c>
      <c r="AL5955">
        <v>0</v>
      </c>
      <c r="AM5955" t="s">
        <v>10886</v>
      </c>
      <c r="AN5955" t="s">
        <v>10963</v>
      </c>
      <c r="AO5955" t="s">
        <v>11004</v>
      </c>
      <c r="AP5955" t="s">
        <v>11048</v>
      </c>
      <c r="AR5955" t="s">
        <v>11257</v>
      </c>
      <c r="AS5955" t="s">
        <v>9925</v>
      </c>
      <c r="AY5955" t="s">
        <v>10829</v>
      </c>
      <c r="AZ5955" t="s">
        <v>11681</v>
      </c>
      <c r="BA5955" t="s">
        <v>11742</v>
      </c>
      <c r="BB5955">
        <v>0</v>
      </c>
      <c r="BC5955">
        <v>0</v>
      </c>
      <c r="BD5955">
        <v>0</v>
      </c>
      <c r="BE5955">
        <v>0</v>
      </c>
      <c r="BF5955">
        <v>7</v>
      </c>
      <c r="BG5955">
        <v>0</v>
      </c>
    </row>
    <row r="5956" spans="1:59">
      <c r="A5956" s="1">
        <f>HYPERLINK("https://lsnyc.legalserver.org/matter/dynamic-profile/view/1910253","19-1910253")</f>
        <v>0</v>
      </c>
      <c r="B5956" t="s">
        <v>4640</v>
      </c>
      <c r="C5956" t="s">
        <v>9510</v>
      </c>
      <c r="D5956" t="s">
        <v>9948</v>
      </c>
      <c r="E5956" t="s">
        <v>10075</v>
      </c>
      <c r="F5956">
        <v>11691</v>
      </c>
      <c r="G5956" t="s">
        <v>10092</v>
      </c>
      <c r="H5956" t="s">
        <v>10137</v>
      </c>
      <c r="I5956" t="s">
        <v>10169</v>
      </c>
      <c r="J5956" t="s">
        <v>10212</v>
      </c>
      <c r="K5956" t="s">
        <v>10217</v>
      </c>
      <c r="M5956" t="s">
        <v>10486</v>
      </c>
      <c r="N5956" t="s">
        <v>10673</v>
      </c>
      <c r="P5956" t="s">
        <v>10753</v>
      </c>
      <c r="Q5956" t="s">
        <v>10763</v>
      </c>
      <c r="R5956" t="s">
        <v>10823</v>
      </c>
      <c r="T5956">
        <v>6240</v>
      </c>
      <c r="U5956">
        <v>520</v>
      </c>
      <c r="V5956">
        <v>57</v>
      </c>
      <c r="W5956">
        <v>1</v>
      </c>
      <c r="X5956">
        <v>0</v>
      </c>
      <c r="Z5956">
        <v>49.96</v>
      </c>
      <c r="AA5956">
        <v>40.601816</v>
      </c>
      <c r="AB5956">
        <v>-73.74984000000001</v>
      </c>
      <c r="AD5956" t="s">
        <v>10839</v>
      </c>
      <c r="AF5956" t="s">
        <v>10844</v>
      </c>
      <c r="AG5956" t="s">
        <v>10859</v>
      </c>
      <c r="AH5956" t="s">
        <v>10864</v>
      </c>
      <c r="AI5956">
        <v>237</v>
      </c>
      <c r="AJ5956" t="s">
        <v>10212</v>
      </c>
      <c r="AL5956">
        <v>1.2</v>
      </c>
      <c r="AM5956" t="s">
        <v>10892</v>
      </c>
      <c r="AN5956" t="s">
        <v>10958</v>
      </c>
      <c r="AO5956" t="s">
        <v>11017</v>
      </c>
      <c r="AP5956" t="s">
        <v>11082</v>
      </c>
      <c r="AQ5956" t="s">
        <v>11096</v>
      </c>
      <c r="AR5956" t="s">
        <v>11276</v>
      </c>
      <c r="AS5956" t="s">
        <v>11594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</row>
    <row r="5957" spans="1:59">
      <c r="A5957" s="1">
        <f>HYPERLINK("https://lsnyc.legalserver.org/matter/dynamic-profile/view/1910254","19-1910254")</f>
        <v>0</v>
      </c>
      <c r="B5957" t="s">
        <v>4641</v>
      </c>
      <c r="C5957" t="s">
        <v>9511</v>
      </c>
      <c r="D5957" t="s">
        <v>9926</v>
      </c>
      <c r="E5957" t="s">
        <v>10075</v>
      </c>
      <c r="F5957">
        <v>10455</v>
      </c>
      <c r="G5957" t="s">
        <v>10090</v>
      </c>
      <c r="H5957" t="s">
        <v>10156</v>
      </c>
      <c r="I5957" t="s">
        <v>10168</v>
      </c>
      <c r="J5957" t="s">
        <v>10210</v>
      </c>
      <c r="K5957" t="s">
        <v>10217</v>
      </c>
      <c r="M5957" t="s">
        <v>10614</v>
      </c>
      <c r="N5957" t="s">
        <v>10666</v>
      </c>
      <c r="P5957" t="s">
        <v>10749</v>
      </c>
      <c r="Q5957" t="s">
        <v>10765</v>
      </c>
      <c r="R5957" t="s">
        <v>10821</v>
      </c>
      <c r="T5957">
        <v>15600</v>
      </c>
      <c r="U5957">
        <v>1300</v>
      </c>
      <c r="V5957">
        <v>34</v>
      </c>
      <c r="W5957">
        <v>1</v>
      </c>
      <c r="X5957">
        <v>3</v>
      </c>
      <c r="Z5957">
        <v>60.58</v>
      </c>
      <c r="AA5957">
        <v>40.81364</v>
      </c>
      <c r="AB5957">
        <v>-73.917602</v>
      </c>
      <c r="AD5957" t="s">
        <v>10840</v>
      </c>
      <c r="AG5957" t="s">
        <v>10858</v>
      </c>
      <c r="AH5957" t="s">
        <v>10861</v>
      </c>
      <c r="AI5957">
        <v>230</v>
      </c>
      <c r="AJ5957" t="s">
        <v>10210</v>
      </c>
      <c r="AL5957">
        <v>0</v>
      </c>
      <c r="AM5957" t="s">
        <v>10884</v>
      </c>
      <c r="AN5957" t="s">
        <v>10924</v>
      </c>
      <c r="AO5957" t="s">
        <v>11013</v>
      </c>
      <c r="AP5957" t="s">
        <v>11066</v>
      </c>
      <c r="AR5957" t="s">
        <v>11257</v>
      </c>
      <c r="AS5957" t="s">
        <v>9926</v>
      </c>
      <c r="AT5957" t="s">
        <v>11642</v>
      </c>
      <c r="AX5957" t="s">
        <v>10838</v>
      </c>
      <c r="BA5957" t="s">
        <v>11741</v>
      </c>
      <c r="BB5957">
        <v>0</v>
      </c>
      <c r="BC5957">
        <v>0</v>
      </c>
      <c r="BD5957">
        <v>0</v>
      </c>
      <c r="BE5957">
        <v>0</v>
      </c>
      <c r="BF5957">
        <v>1</v>
      </c>
      <c r="BG5957">
        <v>0</v>
      </c>
    </row>
    <row r="5958" spans="1:59">
      <c r="A5958" s="1">
        <f>HYPERLINK("https://lsnyc.legalserver.org/matter/dynamic-profile/view/1910255","19-1910255")</f>
        <v>0</v>
      </c>
      <c r="B5958" t="s">
        <v>968</v>
      </c>
      <c r="C5958" t="s">
        <v>5847</v>
      </c>
      <c r="D5958" t="s">
        <v>9926</v>
      </c>
      <c r="E5958" t="s">
        <v>10075</v>
      </c>
      <c r="F5958">
        <v>10469</v>
      </c>
      <c r="G5958" t="s">
        <v>10090</v>
      </c>
      <c r="H5958" t="s">
        <v>10156</v>
      </c>
      <c r="I5958" t="s">
        <v>10168</v>
      </c>
      <c r="J5958" t="s">
        <v>10210</v>
      </c>
      <c r="K5958" t="s">
        <v>10217</v>
      </c>
      <c r="M5958" t="s">
        <v>10401</v>
      </c>
      <c r="N5958" t="s">
        <v>10677</v>
      </c>
      <c r="P5958" t="s">
        <v>10751</v>
      </c>
      <c r="Q5958" t="s">
        <v>10786</v>
      </c>
      <c r="R5958" t="s">
        <v>10824</v>
      </c>
      <c r="T5958">
        <v>12480</v>
      </c>
      <c r="U5958">
        <v>1040</v>
      </c>
      <c r="V5958">
        <v>103</v>
      </c>
      <c r="W5958">
        <v>1</v>
      </c>
      <c r="X5958">
        <v>0</v>
      </c>
      <c r="Z5958">
        <v>99.92</v>
      </c>
      <c r="AA5958">
        <v>40.87082</v>
      </c>
      <c r="AB5958">
        <v>-73.850369</v>
      </c>
      <c r="AD5958" t="s">
        <v>10839</v>
      </c>
      <c r="AG5958" t="s">
        <v>10858</v>
      </c>
      <c r="AH5958" t="s">
        <v>10874</v>
      </c>
      <c r="AI5958">
        <v>230</v>
      </c>
      <c r="AJ5958" t="s">
        <v>10210</v>
      </c>
      <c r="AL5958">
        <v>2.5</v>
      </c>
      <c r="AM5958" t="s">
        <v>10893</v>
      </c>
      <c r="AN5958" t="s">
        <v>10956</v>
      </c>
      <c r="AO5958" t="s">
        <v>11010</v>
      </c>
      <c r="AP5958" t="s">
        <v>11085</v>
      </c>
      <c r="AR5958" t="s">
        <v>11300</v>
      </c>
      <c r="AS5958" t="s">
        <v>9926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</row>
    <row r="5959" spans="1:59">
      <c r="A5959" s="1">
        <f>HYPERLINK("https://lsnyc.legalserver.org/matter/dynamic-profile/view/1910256","19-1910256")</f>
        <v>0</v>
      </c>
      <c r="B5959" t="s">
        <v>4642</v>
      </c>
      <c r="C5959" t="s">
        <v>9512</v>
      </c>
      <c r="D5959" t="s">
        <v>10028</v>
      </c>
      <c r="E5959" t="s">
        <v>10076</v>
      </c>
      <c r="F5959">
        <v>7307</v>
      </c>
      <c r="G5959" t="s">
        <v>10089</v>
      </c>
      <c r="H5959" t="s">
        <v>10156</v>
      </c>
      <c r="I5959" t="s">
        <v>10169</v>
      </c>
      <c r="J5959" t="s">
        <v>10209</v>
      </c>
      <c r="K5959" t="s">
        <v>10217</v>
      </c>
      <c r="M5959" t="s">
        <v>10301</v>
      </c>
      <c r="N5959" t="s">
        <v>10665</v>
      </c>
      <c r="P5959" t="s">
        <v>10751</v>
      </c>
      <c r="Q5959" t="s">
        <v>10773</v>
      </c>
      <c r="R5959" t="s">
        <v>10823</v>
      </c>
      <c r="T5959">
        <v>0</v>
      </c>
      <c r="U5959">
        <v>0</v>
      </c>
      <c r="V5959">
        <v>59</v>
      </c>
      <c r="W5959">
        <v>1</v>
      </c>
      <c r="X5959">
        <v>0</v>
      </c>
      <c r="Z5959">
        <v>0</v>
      </c>
      <c r="AA5959">
        <v>40.743687</v>
      </c>
      <c r="AB5959">
        <v>-74.045097</v>
      </c>
      <c r="AD5959" t="s">
        <v>10839</v>
      </c>
      <c r="AG5959" t="s">
        <v>10858</v>
      </c>
      <c r="AH5959" t="s">
        <v>10861</v>
      </c>
      <c r="AI5959">
        <v>234</v>
      </c>
      <c r="AJ5959" t="s">
        <v>10214</v>
      </c>
      <c r="AL5959">
        <v>1.1</v>
      </c>
      <c r="AR5959" t="s">
        <v>11267</v>
      </c>
      <c r="AS5959" t="s">
        <v>10028</v>
      </c>
      <c r="AT5959" t="s">
        <v>11641</v>
      </c>
      <c r="AX5959" t="s">
        <v>10838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</row>
    <row r="5960" spans="1:59">
      <c r="A5960" s="1">
        <f>HYPERLINK("https://lsnyc.legalserver.org/matter/dynamic-profile/view/1910257","19-1910257")</f>
        <v>0</v>
      </c>
      <c r="B5960" t="s">
        <v>4643</v>
      </c>
      <c r="C5960" t="s">
        <v>9513</v>
      </c>
      <c r="D5960" t="s">
        <v>10061</v>
      </c>
      <c r="E5960" t="s">
        <v>10075</v>
      </c>
      <c r="F5960">
        <v>11364</v>
      </c>
      <c r="G5960" t="s">
        <v>10092</v>
      </c>
      <c r="H5960" t="s">
        <v>10156</v>
      </c>
      <c r="I5960" t="s">
        <v>10168</v>
      </c>
      <c r="J5960" t="s">
        <v>10212</v>
      </c>
      <c r="K5960" t="s">
        <v>10217</v>
      </c>
      <c r="M5960" t="s">
        <v>10260</v>
      </c>
      <c r="N5960" t="s">
        <v>10665</v>
      </c>
      <c r="P5960" t="s">
        <v>10751</v>
      </c>
      <c r="Q5960" t="s">
        <v>10773</v>
      </c>
      <c r="R5960" t="s">
        <v>10825</v>
      </c>
      <c r="T5960">
        <v>0</v>
      </c>
      <c r="U5960">
        <v>0</v>
      </c>
      <c r="V5960">
        <v>64</v>
      </c>
      <c r="W5960">
        <v>1</v>
      </c>
      <c r="X5960">
        <v>1</v>
      </c>
      <c r="Z5960">
        <v>0</v>
      </c>
      <c r="AA5960">
        <v>40.745509</v>
      </c>
      <c r="AB5960">
        <v>-73.74972699999999</v>
      </c>
      <c r="AD5960" t="s">
        <v>10840</v>
      </c>
      <c r="AG5960" t="s">
        <v>10858</v>
      </c>
      <c r="AH5960" t="s">
        <v>10861</v>
      </c>
      <c r="AI5960">
        <v>234</v>
      </c>
      <c r="AJ5960" t="s">
        <v>10214</v>
      </c>
      <c r="AL5960">
        <v>3.75</v>
      </c>
      <c r="AM5960" t="s">
        <v>10890</v>
      </c>
      <c r="AN5960" t="s">
        <v>10934</v>
      </c>
      <c r="AO5960" t="s">
        <v>11022</v>
      </c>
      <c r="AP5960" t="s">
        <v>11078</v>
      </c>
      <c r="AR5960" t="s">
        <v>11279</v>
      </c>
      <c r="AS5960" t="s">
        <v>11594</v>
      </c>
      <c r="AT5960" t="s">
        <v>11642</v>
      </c>
      <c r="AX5960" t="s">
        <v>10838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</row>
    <row r="5961" spans="1:59">
      <c r="A5961" s="1">
        <f>HYPERLINK("https://lsnyc.legalserver.org/matter/dynamic-profile/view/1910258","19-1910258")</f>
        <v>0</v>
      </c>
      <c r="B5961" t="s">
        <v>4644</v>
      </c>
      <c r="C5961" t="s">
        <v>9514</v>
      </c>
      <c r="D5961" t="s">
        <v>9926</v>
      </c>
      <c r="E5961" t="s">
        <v>10075</v>
      </c>
      <c r="F5961">
        <v>10468</v>
      </c>
      <c r="G5961" t="s">
        <v>10090</v>
      </c>
      <c r="H5961" t="s">
        <v>10156</v>
      </c>
      <c r="J5961" t="s">
        <v>10210</v>
      </c>
      <c r="K5961" t="s">
        <v>10217</v>
      </c>
      <c r="M5961" t="s">
        <v>10316</v>
      </c>
      <c r="N5961" t="s">
        <v>10651</v>
      </c>
      <c r="P5961" t="s">
        <v>10749</v>
      </c>
      <c r="Q5961" t="s">
        <v>10765</v>
      </c>
      <c r="R5961" t="s">
        <v>10821</v>
      </c>
      <c r="T5961">
        <v>55640</v>
      </c>
      <c r="U5961">
        <v>4636.67</v>
      </c>
      <c r="V5961">
        <v>46</v>
      </c>
      <c r="W5961">
        <v>3</v>
      </c>
      <c r="X5961">
        <v>0</v>
      </c>
      <c r="Z5961">
        <v>260.85</v>
      </c>
      <c r="AA5961">
        <v>40.870073</v>
      </c>
      <c r="AB5961">
        <v>-73.891936</v>
      </c>
      <c r="AD5961" t="s">
        <v>10839</v>
      </c>
      <c r="AG5961" t="s">
        <v>10858</v>
      </c>
      <c r="AH5961" t="s">
        <v>10862</v>
      </c>
      <c r="AI5961">
        <v>230</v>
      </c>
      <c r="AJ5961" t="s">
        <v>10210</v>
      </c>
      <c r="AL5961">
        <v>3</v>
      </c>
      <c r="AM5961" t="s">
        <v>10887</v>
      </c>
      <c r="AN5961" t="s">
        <v>10907</v>
      </c>
      <c r="AO5961" t="s">
        <v>11000</v>
      </c>
      <c r="AP5961" t="s">
        <v>11045</v>
      </c>
      <c r="AR5961" t="s">
        <v>11262</v>
      </c>
      <c r="AS5961" t="s">
        <v>9926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</row>
    <row r="5962" spans="1:59">
      <c r="A5962" s="1">
        <f>HYPERLINK("https://lsnyc.legalserver.org/matter/dynamic-profile/view/1910261","19-1910261")</f>
        <v>0</v>
      </c>
      <c r="B5962" t="s">
        <v>4645</v>
      </c>
      <c r="C5962" t="s">
        <v>9515</v>
      </c>
      <c r="D5962" t="s">
        <v>9939</v>
      </c>
      <c r="E5962" t="s">
        <v>10075</v>
      </c>
      <c r="F5962">
        <v>11419</v>
      </c>
      <c r="G5962" t="s">
        <v>10092</v>
      </c>
      <c r="H5962" t="s">
        <v>10137</v>
      </c>
      <c r="I5962" t="s">
        <v>10169</v>
      </c>
      <c r="J5962" t="s">
        <v>10212</v>
      </c>
      <c r="K5962" t="s">
        <v>10217</v>
      </c>
      <c r="M5962" t="s">
        <v>10486</v>
      </c>
      <c r="N5962" t="s">
        <v>10730</v>
      </c>
      <c r="P5962" t="s">
        <v>10753</v>
      </c>
      <c r="Q5962" t="s">
        <v>10763</v>
      </c>
      <c r="R5962" t="s">
        <v>10823</v>
      </c>
      <c r="T5962">
        <v>23400</v>
      </c>
      <c r="U5962">
        <v>1950</v>
      </c>
      <c r="V5962">
        <v>28</v>
      </c>
      <c r="W5962">
        <v>1</v>
      </c>
      <c r="X5962">
        <v>2</v>
      </c>
      <c r="Z5962">
        <v>109.7</v>
      </c>
      <c r="AA5962">
        <v>40.68879</v>
      </c>
      <c r="AB5962">
        <v>-73.828588</v>
      </c>
      <c r="AD5962" t="s">
        <v>10839</v>
      </c>
      <c r="AF5962" t="s">
        <v>10842</v>
      </c>
      <c r="AG5962" t="s">
        <v>10859</v>
      </c>
      <c r="AH5962" t="s">
        <v>10864</v>
      </c>
      <c r="AI5962">
        <v>237</v>
      </c>
      <c r="AJ5962" t="s">
        <v>10212</v>
      </c>
      <c r="AL5962">
        <v>4.5</v>
      </c>
      <c r="AM5962" t="s">
        <v>10892</v>
      </c>
      <c r="AN5962" t="s">
        <v>10944</v>
      </c>
      <c r="AO5962" t="s">
        <v>11017</v>
      </c>
      <c r="AP5962" t="s">
        <v>11070</v>
      </c>
      <c r="AQ5962" t="s">
        <v>11140</v>
      </c>
      <c r="AR5962" t="s">
        <v>11257</v>
      </c>
      <c r="AS5962" t="s">
        <v>11594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</row>
    <row r="5963" spans="1:59">
      <c r="A5963" s="1">
        <f>HYPERLINK("https://lsnyc.legalserver.org/matter/dynamic-profile/view/1910262","19-1910262")</f>
        <v>0</v>
      </c>
      <c r="B5963" t="s">
        <v>4646</v>
      </c>
      <c r="C5963" t="s">
        <v>9516</v>
      </c>
      <c r="D5963" t="s">
        <v>9932</v>
      </c>
      <c r="E5963" t="s">
        <v>10075</v>
      </c>
      <c r="F5963">
        <v>11368</v>
      </c>
      <c r="G5963" t="s">
        <v>10092</v>
      </c>
      <c r="H5963" t="s">
        <v>10157</v>
      </c>
      <c r="I5963" t="s">
        <v>10169</v>
      </c>
      <c r="J5963" t="s">
        <v>10212</v>
      </c>
      <c r="K5963" t="s">
        <v>10217</v>
      </c>
      <c r="M5963" t="s">
        <v>10486</v>
      </c>
      <c r="N5963" t="s">
        <v>10673</v>
      </c>
      <c r="P5963" t="s">
        <v>10753</v>
      </c>
      <c r="Q5963" t="s">
        <v>10763</v>
      </c>
      <c r="R5963" t="s">
        <v>10823</v>
      </c>
      <c r="T5963">
        <v>20800</v>
      </c>
      <c r="U5963">
        <v>1733.33</v>
      </c>
      <c r="V5963">
        <v>33</v>
      </c>
      <c r="W5963">
        <v>1</v>
      </c>
      <c r="X5963">
        <v>1</v>
      </c>
      <c r="Z5963">
        <v>123</v>
      </c>
      <c r="AA5963">
        <v>40.75063</v>
      </c>
      <c r="AB5963">
        <v>-73.85297</v>
      </c>
      <c r="AD5963" t="s">
        <v>10839</v>
      </c>
      <c r="AF5963" t="s">
        <v>10853</v>
      </c>
      <c r="AG5963" t="s">
        <v>10859</v>
      </c>
      <c r="AH5963" t="s">
        <v>10864</v>
      </c>
      <c r="AI5963">
        <v>237</v>
      </c>
      <c r="AJ5963" t="s">
        <v>10212</v>
      </c>
      <c r="AL5963">
        <v>3.17</v>
      </c>
      <c r="AM5963" t="s">
        <v>10885</v>
      </c>
      <c r="AN5963" t="s">
        <v>10916</v>
      </c>
      <c r="AO5963" t="s">
        <v>11014</v>
      </c>
      <c r="AP5963" t="s">
        <v>11068</v>
      </c>
      <c r="AQ5963" t="s">
        <v>11096</v>
      </c>
      <c r="AR5963" t="s">
        <v>11257</v>
      </c>
      <c r="AS5963" t="s">
        <v>11594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</row>
    <row r="5964" spans="1:59">
      <c r="A5964" s="1">
        <f>HYPERLINK("https://lsnyc.legalserver.org/matter/dynamic-profile/view/1910263","19-1910263")</f>
        <v>0</v>
      </c>
      <c r="B5964" t="s">
        <v>513</v>
      </c>
      <c r="C5964" t="s">
        <v>9517</v>
      </c>
      <c r="D5964" t="s">
        <v>9946</v>
      </c>
      <c r="E5964" t="s">
        <v>10075</v>
      </c>
      <c r="F5964">
        <v>11385</v>
      </c>
      <c r="G5964" t="s">
        <v>10092</v>
      </c>
      <c r="H5964" t="s">
        <v>10156</v>
      </c>
      <c r="J5964" t="s">
        <v>10212</v>
      </c>
      <c r="K5964" t="s">
        <v>10217</v>
      </c>
      <c r="M5964" t="s">
        <v>10486</v>
      </c>
      <c r="N5964" t="s">
        <v>10730</v>
      </c>
      <c r="P5964" t="s">
        <v>10753</v>
      </c>
      <c r="Q5964" t="s">
        <v>10763</v>
      </c>
      <c r="R5964" t="s">
        <v>10820</v>
      </c>
      <c r="T5964">
        <v>25000</v>
      </c>
      <c r="U5964">
        <v>2083.33</v>
      </c>
      <c r="V5964">
        <v>32</v>
      </c>
      <c r="W5964">
        <v>1</v>
      </c>
      <c r="X5964">
        <v>0</v>
      </c>
      <c r="Z5964">
        <v>200.16</v>
      </c>
      <c r="AA5964">
        <v>40.710783</v>
      </c>
      <c r="AB5964">
        <v>-73.905958</v>
      </c>
      <c r="AD5964" t="s">
        <v>10840</v>
      </c>
      <c r="AF5964" t="s">
        <v>10848</v>
      </c>
      <c r="AG5964" t="s">
        <v>10859</v>
      </c>
      <c r="AH5964" t="s">
        <v>10864</v>
      </c>
      <c r="AI5964">
        <v>237</v>
      </c>
      <c r="AJ5964" t="s">
        <v>10212</v>
      </c>
      <c r="AL5964">
        <v>4.7</v>
      </c>
      <c r="AM5964" t="s">
        <v>10886</v>
      </c>
      <c r="AN5964" t="s">
        <v>10961</v>
      </c>
      <c r="AO5964" t="s">
        <v>11024</v>
      </c>
      <c r="AP5964" t="s">
        <v>11077</v>
      </c>
      <c r="AQ5964" t="s">
        <v>11140</v>
      </c>
      <c r="AR5964" t="s">
        <v>11257</v>
      </c>
      <c r="AS5964" t="s">
        <v>11594</v>
      </c>
      <c r="AT5964" t="s">
        <v>11642</v>
      </c>
      <c r="AX5964" t="s">
        <v>10837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</row>
    <row r="5965" spans="1:59">
      <c r="A5965" s="1">
        <f>HYPERLINK("https://lsnyc.legalserver.org/matter/dynamic-profile/view/1910264","19-1910264")</f>
        <v>0</v>
      </c>
      <c r="B5965" t="s">
        <v>3200</v>
      </c>
      <c r="C5965" t="s">
        <v>7990</v>
      </c>
      <c r="D5965" t="s">
        <v>9926</v>
      </c>
      <c r="E5965" t="s">
        <v>10075</v>
      </c>
      <c r="F5965">
        <v>10453</v>
      </c>
      <c r="G5965" t="s">
        <v>10090</v>
      </c>
      <c r="H5965" t="s">
        <v>10135</v>
      </c>
      <c r="I5965" t="s">
        <v>10169</v>
      </c>
      <c r="J5965" t="s">
        <v>10210</v>
      </c>
      <c r="K5965" t="s">
        <v>10217</v>
      </c>
      <c r="M5965" t="s">
        <v>10287</v>
      </c>
      <c r="N5965" t="s">
        <v>10671</v>
      </c>
      <c r="P5965" t="s">
        <v>10751</v>
      </c>
      <c r="Q5965" t="s">
        <v>10761</v>
      </c>
      <c r="R5965" t="s">
        <v>10823</v>
      </c>
      <c r="T5965">
        <v>20488</v>
      </c>
      <c r="U5965">
        <v>1707.33</v>
      </c>
      <c r="V5965">
        <v>60</v>
      </c>
      <c r="W5965">
        <v>3</v>
      </c>
      <c r="X5965">
        <v>0</v>
      </c>
      <c r="Z5965">
        <v>96.05</v>
      </c>
      <c r="AA5965">
        <v>40.852182</v>
      </c>
      <c r="AB5965">
        <v>-73.916584</v>
      </c>
      <c r="AD5965" t="s">
        <v>10840</v>
      </c>
      <c r="AG5965" t="s">
        <v>10858</v>
      </c>
      <c r="AH5965" t="s">
        <v>10862</v>
      </c>
      <c r="AI5965">
        <v>230</v>
      </c>
      <c r="AJ5965" t="s">
        <v>10210</v>
      </c>
      <c r="AL5965">
        <v>3.5</v>
      </c>
      <c r="AM5965" t="s">
        <v>10884</v>
      </c>
      <c r="AN5965" t="s">
        <v>10931</v>
      </c>
      <c r="AO5965" t="s">
        <v>11013</v>
      </c>
      <c r="AP5965" t="s">
        <v>11045</v>
      </c>
      <c r="AR5965" t="s">
        <v>11257</v>
      </c>
      <c r="AS5965" t="s">
        <v>9926</v>
      </c>
      <c r="AT5965" t="s">
        <v>11642</v>
      </c>
      <c r="AX5965" t="s">
        <v>10838</v>
      </c>
      <c r="BA5965" t="s">
        <v>11737</v>
      </c>
      <c r="BB5965">
        <v>0</v>
      </c>
      <c r="BC5965">
        <v>0</v>
      </c>
      <c r="BD5965">
        <v>0</v>
      </c>
      <c r="BE5965">
        <v>0</v>
      </c>
      <c r="BF5965">
        <v>3</v>
      </c>
      <c r="BG5965">
        <v>0</v>
      </c>
    </row>
    <row r="5966" spans="1:59">
      <c r="A5966" s="1">
        <f>HYPERLINK("https://lsnyc.legalserver.org/matter/dynamic-profile/view/1910265","19-1910265")</f>
        <v>0</v>
      </c>
      <c r="B5966" t="s">
        <v>4647</v>
      </c>
      <c r="C5966" t="s">
        <v>8039</v>
      </c>
      <c r="D5966" t="s">
        <v>9938</v>
      </c>
      <c r="E5966" t="s">
        <v>10075</v>
      </c>
      <c r="F5966">
        <v>11432</v>
      </c>
      <c r="G5966" t="s">
        <v>10092</v>
      </c>
      <c r="H5966" t="s">
        <v>10156</v>
      </c>
      <c r="I5966" t="s">
        <v>10168</v>
      </c>
      <c r="J5966" t="s">
        <v>10212</v>
      </c>
      <c r="K5966" t="s">
        <v>10217</v>
      </c>
      <c r="M5966" t="s">
        <v>10422</v>
      </c>
      <c r="N5966" t="s">
        <v>10679</v>
      </c>
      <c r="P5966" t="s">
        <v>10753</v>
      </c>
      <c r="Q5966" t="s">
        <v>10763</v>
      </c>
      <c r="R5966" t="s">
        <v>10827</v>
      </c>
      <c r="T5966">
        <v>12000</v>
      </c>
      <c r="U5966">
        <v>1000</v>
      </c>
      <c r="V5966">
        <v>19</v>
      </c>
      <c r="W5966">
        <v>2</v>
      </c>
      <c r="X5966">
        <v>0</v>
      </c>
      <c r="Z5966">
        <v>70.95999999999999</v>
      </c>
      <c r="AA5966">
        <v>40.708923</v>
      </c>
      <c r="AB5966">
        <v>-73.79737900000001</v>
      </c>
      <c r="AD5966" t="s">
        <v>10840</v>
      </c>
      <c r="AF5966" t="s">
        <v>10848</v>
      </c>
      <c r="AG5966" t="s">
        <v>10859</v>
      </c>
      <c r="AH5966" t="s">
        <v>10864</v>
      </c>
      <c r="AI5966">
        <v>237</v>
      </c>
      <c r="AJ5966" t="s">
        <v>10212</v>
      </c>
      <c r="AL5966">
        <v>2.75</v>
      </c>
      <c r="AM5966" t="s">
        <v>10892</v>
      </c>
      <c r="AN5966" t="s">
        <v>10955</v>
      </c>
      <c r="AO5966" t="s">
        <v>11020</v>
      </c>
      <c r="AP5966" t="s">
        <v>11081</v>
      </c>
      <c r="AQ5966" t="s">
        <v>11198</v>
      </c>
      <c r="AR5966" t="s">
        <v>11257</v>
      </c>
      <c r="AS5966" t="s">
        <v>11594</v>
      </c>
      <c r="AT5966" t="s">
        <v>11642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</row>
    <row r="5967" spans="1:59">
      <c r="A5967" s="1">
        <f>HYPERLINK("https://lsnyc.legalserver.org/matter/dynamic-profile/view/1910266","19-1910266")</f>
        <v>0</v>
      </c>
      <c r="B5967" t="s">
        <v>4647</v>
      </c>
      <c r="C5967" t="s">
        <v>8039</v>
      </c>
      <c r="D5967" t="s">
        <v>9938</v>
      </c>
      <c r="E5967" t="s">
        <v>10075</v>
      </c>
      <c r="F5967">
        <v>11432</v>
      </c>
      <c r="G5967" t="s">
        <v>10092</v>
      </c>
      <c r="H5967" t="s">
        <v>10156</v>
      </c>
      <c r="I5967" t="s">
        <v>10168</v>
      </c>
      <c r="J5967" t="s">
        <v>10212</v>
      </c>
      <c r="K5967" t="s">
        <v>10217</v>
      </c>
      <c r="M5967" t="s">
        <v>10422</v>
      </c>
      <c r="N5967" t="s">
        <v>10679</v>
      </c>
      <c r="P5967" t="s">
        <v>10753</v>
      </c>
      <c r="Q5967" t="s">
        <v>10763</v>
      </c>
      <c r="R5967" t="s">
        <v>10827</v>
      </c>
      <c r="T5967">
        <v>12000</v>
      </c>
      <c r="U5967">
        <v>1000</v>
      </c>
      <c r="V5967">
        <v>19</v>
      </c>
      <c r="W5967">
        <v>2</v>
      </c>
      <c r="X5967">
        <v>0</v>
      </c>
      <c r="Z5967">
        <v>70.95999999999999</v>
      </c>
      <c r="AA5967">
        <v>40.708923</v>
      </c>
      <c r="AB5967">
        <v>-73.79737900000001</v>
      </c>
      <c r="AD5967" t="s">
        <v>10840</v>
      </c>
      <c r="AF5967" t="s">
        <v>10848</v>
      </c>
      <c r="AG5967" t="s">
        <v>10859</v>
      </c>
      <c r="AH5967" t="s">
        <v>10864</v>
      </c>
      <c r="AI5967">
        <v>237</v>
      </c>
      <c r="AJ5967" t="s">
        <v>10212</v>
      </c>
      <c r="AL5967">
        <v>1.25</v>
      </c>
      <c r="AQ5967" t="s">
        <v>11168</v>
      </c>
      <c r="AR5967" t="s">
        <v>11257</v>
      </c>
      <c r="AS5967" t="s">
        <v>11594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</row>
    <row r="5968" spans="1:59">
      <c r="A5968" s="1">
        <f>HYPERLINK("https://lsnyc.legalserver.org/matter/dynamic-profile/view/1910267","19-1910267")</f>
        <v>0</v>
      </c>
      <c r="B5968" t="s">
        <v>1994</v>
      </c>
      <c r="C5968" t="s">
        <v>9518</v>
      </c>
      <c r="D5968" t="s">
        <v>9928</v>
      </c>
      <c r="E5968" t="s">
        <v>10075</v>
      </c>
      <c r="F5968">
        <v>11225</v>
      </c>
      <c r="G5968" t="s">
        <v>10093</v>
      </c>
      <c r="H5968" t="s">
        <v>10135</v>
      </c>
      <c r="I5968" t="s">
        <v>10168</v>
      </c>
      <c r="J5968" t="s">
        <v>10213</v>
      </c>
      <c r="K5968" t="s">
        <v>10217</v>
      </c>
      <c r="M5968" t="s">
        <v>10236</v>
      </c>
      <c r="N5968" t="s">
        <v>10650</v>
      </c>
      <c r="P5968" t="s">
        <v>10749</v>
      </c>
      <c r="Q5968" t="s">
        <v>10765</v>
      </c>
      <c r="R5968" t="s">
        <v>10824</v>
      </c>
      <c r="T5968">
        <v>32000</v>
      </c>
      <c r="U5968">
        <v>2666.67</v>
      </c>
      <c r="V5968">
        <v>65</v>
      </c>
      <c r="W5968">
        <v>3</v>
      </c>
      <c r="X5968">
        <v>0</v>
      </c>
      <c r="Z5968">
        <v>150.02</v>
      </c>
      <c r="AA5968">
        <v>40.658602</v>
      </c>
      <c r="AB5968">
        <v>-73.960206</v>
      </c>
      <c r="AD5968" t="s">
        <v>10839</v>
      </c>
      <c r="AG5968" t="s">
        <v>10858</v>
      </c>
      <c r="AH5968" t="s">
        <v>10862</v>
      </c>
      <c r="AI5968">
        <v>239</v>
      </c>
      <c r="AJ5968" t="s">
        <v>10213</v>
      </c>
      <c r="AL5968">
        <v>0</v>
      </c>
      <c r="AM5968" t="s">
        <v>10888</v>
      </c>
      <c r="AN5968" t="s">
        <v>10912</v>
      </c>
      <c r="AO5968" t="s">
        <v>11005</v>
      </c>
      <c r="AP5968" t="s">
        <v>11050</v>
      </c>
      <c r="AR5968" t="s">
        <v>11262</v>
      </c>
      <c r="AS5968" t="s">
        <v>11595</v>
      </c>
      <c r="BA5968" t="s">
        <v>11739</v>
      </c>
      <c r="BB5968">
        <v>0</v>
      </c>
      <c r="BC5968">
        <v>0</v>
      </c>
      <c r="BD5968">
        <v>0</v>
      </c>
      <c r="BE5968">
        <v>0</v>
      </c>
      <c r="BF5968">
        <v>4</v>
      </c>
      <c r="BG5968">
        <v>0</v>
      </c>
    </row>
    <row r="5969" spans="1:59">
      <c r="A5969" s="1">
        <f>HYPERLINK("https://lsnyc.legalserver.org/matter/dynamic-profile/view/1910268","19-1910268")</f>
        <v>0</v>
      </c>
      <c r="B5969" t="s">
        <v>4648</v>
      </c>
      <c r="C5969" t="s">
        <v>9519</v>
      </c>
      <c r="D5969" t="s">
        <v>9962</v>
      </c>
      <c r="E5969" t="s">
        <v>10075</v>
      </c>
      <c r="F5969">
        <v>11423</v>
      </c>
      <c r="G5969" t="s">
        <v>10092</v>
      </c>
      <c r="H5969" t="s">
        <v>10167</v>
      </c>
      <c r="I5969" t="s">
        <v>10174</v>
      </c>
      <c r="J5969" t="s">
        <v>10212</v>
      </c>
      <c r="K5969" t="s">
        <v>10218</v>
      </c>
      <c r="L5969" t="s">
        <v>4843</v>
      </c>
      <c r="M5969" t="s">
        <v>10374</v>
      </c>
      <c r="N5969" t="s">
        <v>10730</v>
      </c>
      <c r="O5969" t="s">
        <v>10699</v>
      </c>
      <c r="P5969" t="s">
        <v>10754</v>
      </c>
      <c r="Q5969" t="s">
        <v>10766</v>
      </c>
      <c r="R5969" t="s">
        <v>10827</v>
      </c>
      <c r="T5969">
        <v>0</v>
      </c>
      <c r="U5969">
        <v>0</v>
      </c>
      <c r="V5969">
        <v>37</v>
      </c>
      <c r="W5969">
        <v>1</v>
      </c>
      <c r="X5969">
        <v>3</v>
      </c>
      <c r="Y5969" t="s">
        <v>10829</v>
      </c>
      <c r="Z5969">
        <v>0</v>
      </c>
      <c r="AA5969">
        <v>40.715666</v>
      </c>
      <c r="AB5969">
        <v>-73.771213</v>
      </c>
      <c r="AD5969" t="s">
        <v>10839</v>
      </c>
      <c r="AF5969" t="s">
        <v>10842</v>
      </c>
      <c r="AG5969" t="s">
        <v>10859</v>
      </c>
      <c r="AH5969" t="s">
        <v>10865</v>
      </c>
      <c r="AI5969">
        <v>237</v>
      </c>
      <c r="AJ5969" t="s">
        <v>10212</v>
      </c>
      <c r="AK5969" t="s">
        <v>10837</v>
      </c>
      <c r="AL5969">
        <v>1</v>
      </c>
      <c r="AM5969" t="s">
        <v>10892</v>
      </c>
      <c r="AN5969" t="s">
        <v>10955</v>
      </c>
      <c r="AO5969" t="s">
        <v>11020</v>
      </c>
      <c r="AP5969" t="s">
        <v>11078</v>
      </c>
      <c r="AR5969" t="s">
        <v>11267</v>
      </c>
      <c r="AS5969" t="s">
        <v>11594</v>
      </c>
      <c r="AT5969" t="s">
        <v>11641</v>
      </c>
      <c r="AX5969" t="s">
        <v>10838</v>
      </c>
      <c r="AY5969" t="s">
        <v>10829</v>
      </c>
      <c r="AZ5969" t="s">
        <v>11683</v>
      </c>
      <c r="BA5969" t="s">
        <v>11741</v>
      </c>
      <c r="BB5969">
        <v>0</v>
      </c>
      <c r="BC5969">
        <v>0</v>
      </c>
      <c r="BD5969">
        <v>0</v>
      </c>
      <c r="BE5969">
        <v>0</v>
      </c>
      <c r="BF5969">
        <v>1</v>
      </c>
      <c r="BG5969">
        <v>0</v>
      </c>
    </row>
    <row r="5970" spans="1:59">
      <c r="A5970" s="1">
        <f>HYPERLINK("https://lsnyc.legalserver.org/matter/dynamic-profile/view/1910269","19-1910269")</f>
        <v>0</v>
      </c>
      <c r="B5970" t="s">
        <v>4649</v>
      </c>
      <c r="C5970" t="s">
        <v>9520</v>
      </c>
      <c r="D5970" t="s">
        <v>9932</v>
      </c>
      <c r="E5970" t="s">
        <v>10075</v>
      </c>
      <c r="F5970">
        <v>11368</v>
      </c>
      <c r="G5970" t="s">
        <v>10092</v>
      </c>
      <c r="H5970" t="s">
        <v>10167</v>
      </c>
      <c r="I5970" t="s">
        <v>10169</v>
      </c>
      <c r="J5970" t="s">
        <v>10212</v>
      </c>
      <c r="K5970" t="s">
        <v>10218</v>
      </c>
      <c r="L5970" t="s">
        <v>4843</v>
      </c>
      <c r="M5970" t="s">
        <v>10374</v>
      </c>
      <c r="N5970" t="s">
        <v>10745</v>
      </c>
      <c r="O5970" t="s">
        <v>10699</v>
      </c>
      <c r="P5970" t="s">
        <v>10754</v>
      </c>
      <c r="Q5970" t="s">
        <v>10777</v>
      </c>
      <c r="R5970" t="s">
        <v>10821</v>
      </c>
      <c r="T5970">
        <v>0</v>
      </c>
      <c r="U5970">
        <v>0</v>
      </c>
      <c r="V5970">
        <v>32</v>
      </c>
      <c r="W5970">
        <v>1</v>
      </c>
      <c r="X5970">
        <v>1</v>
      </c>
      <c r="Y5970" t="s">
        <v>10829</v>
      </c>
      <c r="Z5970">
        <v>0</v>
      </c>
      <c r="AA5970">
        <v>40.750989</v>
      </c>
      <c r="AB5970">
        <v>-73.85334400000001</v>
      </c>
      <c r="AD5970" t="s">
        <v>10839</v>
      </c>
      <c r="AF5970" t="s">
        <v>10842</v>
      </c>
      <c r="AG5970" t="s">
        <v>10859</v>
      </c>
      <c r="AH5970" t="s">
        <v>10865</v>
      </c>
      <c r="AI5970">
        <v>237</v>
      </c>
      <c r="AJ5970" t="s">
        <v>10212</v>
      </c>
      <c r="AK5970" t="s">
        <v>10837</v>
      </c>
      <c r="AL5970">
        <v>1</v>
      </c>
      <c r="AM5970" t="s">
        <v>10885</v>
      </c>
      <c r="AN5970" t="s">
        <v>10916</v>
      </c>
      <c r="AO5970" t="s">
        <v>11014</v>
      </c>
      <c r="AP5970" t="s">
        <v>11068</v>
      </c>
      <c r="AR5970" t="s">
        <v>11267</v>
      </c>
      <c r="AS5970" t="s">
        <v>11594</v>
      </c>
      <c r="AT5970" t="s">
        <v>11641</v>
      </c>
      <c r="AX5970" t="s">
        <v>10838</v>
      </c>
      <c r="AY5970" t="s">
        <v>10829</v>
      </c>
      <c r="AZ5970" t="s">
        <v>11683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</row>
    <row r="5971" spans="1:59">
      <c r="A5971" s="1">
        <f>HYPERLINK("https://lsnyc.legalserver.org/matter/dynamic-profile/view/1910270","19-1910270")</f>
        <v>0</v>
      </c>
      <c r="B5971" t="s">
        <v>1173</v>
      </c>
      <c r="C5971" t="s">
        <v>6883</v>
      </c>
      <c r="D5971" t="s">
        <v>9933</v>
      </c>
      <c r="E5971" t="s">
        <v>10075</v>
      </c>
      <c r="F5971">
        <v>11420</v>
      </c>
      <c r="G5971" t="s">
        <v>10092</v>
      </c>
      <c r="H5971" t="s">
        <v>10167</v>
      </c>
      <c r="I5971" t="s">
        <v>10169</v>
      </c>
      <c r="J5971" t="s">
        <v>10212</v>
      </c>
      <c r="K5971" t="s">
        <v>10218</v>
      </c>
      <c r="L5971" t="s">
        <v>4843</v>
      </c>
      <c r="M5971" t="s">
        <v>10374</v>
      </c>
      <c r="N5971" t="s">
        <v>10745</v>
      </c>
      <c r="O5971" t="s">
        <v>10699</v>
      </c>
      <c r="P5971" t="s">
        <v>10754</v>
      </c>
      <c r="Q5971" t="s">
        <v>10775</v>
      </c>
      <c r="R5971" t="s">
        <v>10821</v>
      </c>
      <c r="T5971">
        <v>0</v>
      </c>
      <c r="U5971">
        <v>0</v>
      </c>
      <c r="V5971">
        <v>34</v>
      </c>
      <c r="W5971">
        <v>1</v>
      </c>
      <c r="X5971">
        <v>3</v>
      </c>
      <c r="Y5971" t="s">
        <v>10829</v>
      </c>
      <c r="Z5971">
        <v>0</v>
      </c>
      <c r="AA5971">
        <v>40.666986</v>
      </c>
      <c r="AB5971">
        <v>-73.816346</v>
      </c>
      <c r="AD5971" t="s">
        <v>10839</v>
      </c>
      <c r="AF5971" t="s">
        <v>10843</v>
      </c>
      <c r="AG5971" t="s">
        <v>10859</v>
      </c>
      <c r="AH5971" t="s">
        <v>10865</v>
      </c>
      <c r="AI5971">
        <v>237</v>
      </c>
      <c r="AJ5971" t="s">
        <v>10212</v>
      </c>
      <c r="AK5971" t="s">
        <v>10837</v>
      </c>
      <c r="AL5971">
        <v>1</v>
      </c>
      <c r="AM5971" t="s">
        <v>10892</v>
      </c>
      <c r="AN5971" t="s">
        <v>10930</v>
      </c>
      <c r="AO5971" t="s">
        <v>11017</v>
      </c>
      <c r="AP5971" t="s">
        <v>11070</v>
      </c>
      <c r="AR5971" t="s">
        <v>11267</v>
      </c>
      <c r="AS5971" t="s">
        <v>11594</v>
      </c>
      <c r="AT5971" t="s">
        <v>11641</v>
      </c>
      <c r="AX5971" t="s">
        <v>10838</v>
      </c>
      <c r="AY5971" t="s">
        <v>10829</v>
      </c>
      <c r="AZ5971" t="s">
        <v>11683</v>
      </c>
      <c r="BA5971" t="s">
        <v>11741</v>
      </c>
      <c r="BB5971">
        <v>0</v>
      </c>
      <c r="BC5971">
        <v>0</v>
      </c>
      <c r="BD5971">
        <v>0</v>
      </c>
      <c r="BE5971">
        <v>0</v>
      </c>
      <c r="BF5971">
        <v>1</v>
      </c>
      <c r="BG5971">
        <v>0</v>
      </c>
    </row>
    <row r="5972" spans="1:59">
      <c r="A5972" s="1">
        <f>HYPERLINK("https://lsnyc.legalserver.org/matter/dynamic-profile/view/1910271","19-1910271")</f>
        <v>0</v>
      </c>
      <c r="B5972" t="s">
        <v>4650</v>
      </c>
      <c r="C5972" t="s">
        <v>9521</v>
      </c>
      <c r="D5972" t="s">
        <v>9931</v>
      </c>
      <c r="E5972" t="s">
        <v>10075</v>
      </c>
      <c r="F5972">
        <v>11367</v>
      </c>
      <c r="G5972" t="s">
        <v>10092</v>
      </c>
      <c r="H5972" t="s">
        <v>10167</v>
      </c>
      <c r="I5972" t="s">
        <v>10169</v>
      </c>
      <c r="J5972" t="s">
        <v>10212</v>
      </c>
      <c r="K5972" t="s">
        <v>10218</v>
      </c>
      <c r="L5972" t="s">
        <v>4843</v>
      </c>
      <c r="M5972" t="s">
        <v>10374</v>
      </c>
      <c r="N5972" t="s">
        <v>10745</v>
      </c>
      <c r="O5972" t="s">
        <v>10699</v>
      </c>
      <c r="P5972" t="s">
        <v>10754</v>
      </c>
      <c r="Q5972" t="s">
        <v>10777</v>
      </c>
      <c r="R5972" t="s">
        <v>10821</v>
      </c>
      <c r="T5972">
        <v>15600</v>
      </c>
      <c r="U5972">
        <v>1300</v>
      </c>
      <c r="V5972">
        <v>49</v>
      </c>
      <c r="W5972">
        <v>1</v>
      </c>
      <c r="X5972">
        <v>1</v>
      </c>
      <c r="Y5972" t="s">
        <v>10829</v>
      </c>
      <c r="Z5972">
        <v>92.25</v>
      </c>
      <c r="AA5972">
        <v>40.726081</v>
      </c>
      <c r="AB5972">
        <v>-73.816765</v>
      </c>
      <c r="AD5972" t="s">
        <v>10839</v>
      </c>
      <c r="AG5972" t="s">
        <v>10858</v>
      </c>
      <c r="AH5972" t="s">
        <v>10865</v>
      </c>
      <c r="AI5972">
        <v>237</v>
      </c>
      <c r="AJ5972" t="s">
        <v>10212</v>
      </c>
      <c r="AK5972" t="s">
        <v>10837</v>
      </c>
      <c r="AL5972">
        <v>1</v>
      </c>
      <c r="AM5972" t="s">
        <v>10890</v>
      </c>
      <c r="AN5972" t="s">
        <v>10962</v>
      </c>
      <c r="AO5972" t="s">
        <v>11024</v>
      </c>
      <c r="AP5972" t="s">
        <v>11081</v>
      </c>
      <c r="AR5972" t="s">
        <v>11257</v>
      </c>
      <c r="AS5972" t="s">
        <v>11594</v>
      </c>
      <c r="AT5972" t="s">
        <v>11641</v>
      </c>
      <c r="AX5972" t="s">
        <v>10838</v>
      </c>
      <c r="AY5972" t="s">
        <v>10829</v>
      </c>
      <c r="AZ5972" t="s">
        <v>11683</v>
      </c>
      <c r="BA5972" t="s">
        <v>11741</v>
      </c>
      <c r="BB5972">
        <v>0</v>
      </c>
      <c r="BC5972">
        <v>0</v>
      </c>
      <c r="BD5972">
        <v>0</v>
      </c>
      <c r="BE5972">
        <v>0</v>
      </c>
      <c r="BF5972">
        <v>1</v>
      </c>
      <c r="BG5972">
        <v>0</v>
      </c>
    </row>
    <row r="5973" spans="1:59">
      <c r="A5973" s="1">
        <f>HYPERLINK("https://lsnyc.legalserver.org/matter/dynamic-profile/view/1910272","19-1910272")</f>
        <v>0</v>
      </c>
      <c r="B5973" t="s">
        <v>1804</v>
      </c>
      <c r="C5973" t="s">
        <v>6600</v>
      </c>
      <c r="D5973" t="s">
        <v>9938</v>
      </c>
      <c r="E5973" t="s">
        <v>10075</v>
      </c>
      <c r="F5973">
        <v>11435</v>
      </c>
      <c r="G5973" t="s">
        <v>10092</v>
      </c>
      <c r="H5973" t="s">
        <v>10167</v>
      </c>
      <c r="I5973" t="s">
        <v>10168</v>
      </c>
      <c r="J5973" t="s">
        <v>10212</v>
      </c>
      <c r="K5973" t="s">
        <v>10217</v>
      </c>
      <c r="M5973" t="s">
        <v>10258</v>
      </c>
      <c r="N5973" t="s">
        <v>10650</v>
      </c>
      <c r="P5973" t="s">
        <v>10749</v>
      </c>
      <c r="Q5973" t="s">
        <v>10765</v>
      </c>
      <c r="R5973" t="s">
        <v>10827</v>
      </c>
      <c r="T5973">
        <v>54000</v>
      </c>
      <c r="U5973">
        <v>4500</v>
      </c>
      <c r="V5973">
        <v>33</v>
      </c>
      <c r="W5973">
        <v>2</v>
      </c>
      <c r="X5973">
        <v>3</v>
      </c>
      <c r="Z5973">
        <v>178.99</v>
      </c>
      <c r="AA5973">
        <v>40.703478</v>
      </c>
      <c r="AB5973">
        <v>-73.809316</v>
      </c>
      <c r="AD5973" t="s">
        <v>10839</v>
      </c>
      <c r="AG5973" t="s">
        <v>10858</v>
      </c>
      <c r="AH5973" t="s">
        <v>10862</v>
      </c>
      <c r="AI5973">
        <v>237</v>
      </c>
      <c r="AJ5973" t="s">
        <v>10212</v>
      </c>
      <c r="AL5973">
        <v>0.3</v>
      </c>
      <c r="AM5973" t="s">
        <v>10892</v>
      </c>
      <c r="AN5973" t="s">
        <v>10951</v>
      </c>
      <c r="AO5973" t="s">
        <v>11020</v>
      </c>
      <c r="AP5973" t="s">
        <v>11081</v>
      </c>
      <c r="AQ5973" t="s">
        <v>11101</v>
      </c>
      <c r="AR5973" t="s">
        <v>11257</v>
      </c>
      <c r="AS5973" t="s">
        <v>11594</v>
      </c>
      <c r="AT5973" t="s">
        <v>11641</v>
      </c>
      <c r="BA5973" t="s">
        <v>11738</v>
      </c>
      <c r="BB5973">
        <v>0</v>
      </c>
      <c r="BC5973">
        <v>0</v>
      </c>
      <c r="BD5973">
        <v>0</v>
      </c>
      <c r="BE5973">
        <v>0</v>
      </c>
      <c r="BF5973">
        <v>5</v>
      </c>
      <c r="BG5973">
        <v>0</v>
      </c>
    </row>
    <row r="5974" spans="1:59">
      <c r="A5974" s="1">
        <f>HYPERLINK("https://lsnyc.legalserver.org/matter/dynamic-profile/view/1910273","19-1910273")</f>
        <v>0</v>
      </c>
      <c r="B5974" t="s">
        <v>1804</v>
      </c>
      <c r="C5974" t="s">
        <v>6600</v>
      </c>
      <c r="D5974" t="s">
        <v>9938</v>
      </c>
      <c r="E5974" t="s">
        <v>10075</v>
      </c>
      <c r="F5974">
        <v>11435</v>
      </c>
      <c r="G5974" t="s">
        <v>10092</v>
      </c>
      <c r="H5974" t="s">
        <v>10167</v>
      </c>
      <c r="I5974" t="s">
        <v>10168</v>
      </c>
      <c r="J5974" t="s">
        <v>10212</v>
      </c>
      <c r="K5974" t="s">
        <v>10217</v>
      </c>
      <c r="M5974" t="s">
        <v>10258</v>
      </c>
      <c r="N5974" t="s">
        <v>10650</v>
      </c>
      <c r="P5974" t="s">
        <v>10749</v>
      </c>
      <c r="Q5974" t="s">
        <v>10765</v>
      </c>
      <c r="R5974" t="s">
        <v>10827</v>
      </c>
      <c r="T5974">
        <v>648000</v>
      </c>
      <c r="U5974">
        <v>54000</v>
      </c>
      <c r="V5974">
        <v>33</v>
      </c>
      <c r="W5974">
        <v>2</v>
      </c>
      <c r="X5974">
        <v>3</v>
      </c>
      <c r="Z5974">
        <v>2147.83</v>
      </c>
      <c r="AA5974">
        <v>40.703478</v>
      </c>
      <c r="AB5974">
        <v>-73.809316</v>
      </c>
      <c r="AD5974" t="s">
        <v>10839</v>
      </c>
      <c r="AG5974" t="s">
        <v>10858</v>
      </c>
      <c r="AH5974" t="s">
        <v>10862</v>
      </c>
      <c r="AI5974">
        <v>237</v>
      </c>
      <c r="AJ5974" t="s">
        <v>10212</v>
      </c>
      <c r="AL5974">
        <v>0.3</v>
      </c>
      <c r="AM5974" t="s">
        <v>10892</v>
      </c>
      <c r="AN5974" t="s">
        <v>10951</v>
      </c>
      <c r="AO5974" t="s">
        <v>11020</v>
      </c>
      <c r="AP5974" t="s">
        <v>11081</v>
      </c>
      <c r="AQ5974" t="s">
        <v>11116</v>
      </c>
      <c r="AR5974" t="s">
        <v>11257</v>
      </c>
      <c r="AS5974" t="s">
        <v>11594</v>
      </c>
      <c r="AT5974" t="s">
        <v>11641</v>
      </c>
      <c r="BA5974" t="s">
        <v>11740</v>
      </c>
      <c r="BB5974">
        <v>0</v>
      </c>
      <c r="BC5974">
        <v>0</v>
      </c>
      <c r="BD5974">
        <v>0</v>
      </c>
      <c r="BE5974">
        <v>0</v>
      </c>
      <c r="BF5974">
        <v>2</v>
      </c>
      <c r="BG5974">
        <v>0</v>
      </c>
    </row>
    <row r="5975" spans="1:59">
      <c r="A5975" s="1">
        <f>HYPERLINK("https://lsnyc.legalserver.org/matter/dynamic-profile/view/1910274","19-1910274")</f>
        <v>0</v>
      </c>
      <c r="B5975" t="s">
        <v>538</v>
      </c>
      <c r="C5975" t="s">
        <v>5455</v>
      </c>
      <c r="D5975" t="s">
        <v>9928</v>
      </c>
      <c r="E5975" t="s">
        <v>10075</v>
      </c>
      <c r="F5975">
        <v>11221</v>
      </c>
      <c r="G5975" t="s">
        <v>10093</v>
      </c>
      <c r="H5975" t="s">
        <v>10135</v>
      </c>
      <c r="I5975" t="s">
        <v>10168</v>
      </c>
      <c r="J5975" t="s">
        <v>10213</v>
      </c>
      <c r="K5975" t="s">
        <v>10217</v>
      </c>
      <c r="M5975" t="s">
        <v>10268</v>
      </c>
      <c r="N5975" t="s">
        <v>10667</v>
      </c>
      <c r="P5975" t="s">
        <v>10749</v>
      </c>
      <c r="Q5975" t="s">
        <v>10765</v>
      </c>
      <c r="R5975" t="s">
        <v>10824</v>
      </c>
      <c r="T5975">
        <v>19734.78</v>
      </c>
      <c r="U5975">
        <v>1644.57</v>
      </c>
      <c r="V5975">
        <v>51</v>
      </c>
      <c r="W5975">
        <v>2</v>
      </c>
      <c r="X5975">
        <v>1</v>
      </c>
      <c r="Z5975">
        <v>92.52</v>
      </c>
      <c r="AA5975">
        <v>40.688319</v>
      </c>
      <c r="AB5975">
        <v>-73.943147</v>
      </c>
      <c r="AD5975" t="s">
        <v>10839</v>
      </c>
      <c r="AG5975" t="s">
        <v>10858</v>
      </c>
      <c r="AH5975" t="s">
        <v>10862</v>
      </c>
      <c r="AI5975">
        <v>239</v>
      </c>
      <c r="AJ5975" t="s">
        <v>10213</v>
      </c>
      <c r="AL5975">
        <v>0</v>
      </c>
      <c r="AM5975" t="s">
        <v>10889</v>
      </c>
      <c r="AN5975" t="s">
        <v>10914</v>
      </c>
      <c r="AO5975" t="s">
        <v>11007</v>
      </c>
      <c r="AP5975" t="s">
        <v>11052</v>
      </c>
      <c r="AQ5975" t="s">
        <v>11101</v>
      </c>
      <c r="AR5975" t="s">
        <v>11372</v>
      </c>
      <c r="AS5975" t="s">
        <v>11595</v>
      </c>
      <c r="BA5975" t="s">
        <v>11738</v>
      </c>
      <c r="BB5975">
        <v>0</v>
      </c>
      <c r="BC5975">
        <v>0</v>
      </c>
      <c r="BD5975">
        <v>0</v>
      </c>
      <c r="BE5975">
        <v>0</v>
      </c>
      <c r="BF5975">
        <v>5</v>
      </c>
      <c r="BG5975">
        <v>0</v>
      </c>
    </row>
    <row r="5976" spans="1:59">
      <c r="A5976" s="1">
        <f>HYPERLINK("https://lsnyc.legalserver.org/matter/dynamic-profile/view/1910275","19-1910275")</f>
        <v>0</v>
      </c>
      <c r="B5976" t="s">
        <v>538</v>
      </c>
      <c r="C5976" t="s">
        <v>5455</v>
      </c>
      <c r="D5976" t="s">
        <v>9928</v>
      </c>
      <c r="E5976" t="s">
        <v>10075</v>
      </c>
      <c r="F5976">
        <v>11221</v>
      </c>
      <c r="G5976" t="s">
        <v>10093</v>
      </c>
      <c r="H5976" t="s">
        <v>10135</v>
      </c>
      <c r="I5976" t="s">
        <v>10168</v>
      </c>
      <c r="J5976" t="s">
        <v>10213</v>
      </c>
      <c r="K5976" t="s">
        <v>10217</v>
      </c>
      <c r="M5976" t="s">
        <v>10268</v>
      </c>
      <c r="N5976" t="s">
        <v>10668</v>
      </c>
      <c r="P5976" t="s">
        <v>10751</v>
      </c>
      <c r="Q5976" t="s">
        <v>10761</v>
      </c>
      <c r="R5976" t="s">
        <v>10824</v>
      </c>
      <c r="T5976">
        <v>19734.78</v>
      </c>
      <c r="U5976">
        <v>1644.57</v>
      </c>
      <c r="V5976">
        <v>51</v>
      </c>
      <c r="W5976">
        <v>2</v>
      </c>
      <c r="X5976">
        <v>1</v>
      </c>
      <c r="Z5976">
        <v>92.52</v>
      </c>
      <c r="AA5976">
        <v>40.688319</v>
      </c>
      <c r="AB5976">
        <v>-73.943147</v>
      </c>
      <c r="AD5976" t="s">
        <v>10839</v>
      </c>
      <c r="AG5976" t="s">
        <v>10858</v>
      </c>
      <c r="AH5976" t="s">
        <v>10862</v>
      </c>
      <c r="AI5976">
        <v>239</v>
      </c>
      <c r="AJ5976" t="s">
        <v>10213</v>
      </c>
      <c r="AL5976">
        <v>0</v>
      </c>
      <c r="AM5976" t="s">
        <v>10889</v>
      </c>
      <c r="AN5976" t="s">
        <v>10914</v>
      </c>
      <c r="AO5976" t="s">
        <v>11007</v>
      </c>
      <c r="AP5976" t="s">
        <v>11052</v>
      </c>
      <c r="AR5976" t="s">
        <v>11372</v>
      </c>
      <c r="AS5976" t="s">
        <v>11595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</row>
    <row r="5977" spans="1:59">
      <c r="A5977" s="1">
        <f>HYPERLINK("https://lsnyc.legalserver.org/matter/dynamic-profile/view/1910276","19-1910276")</f>
        <v>0</v>
      </c>
      <c r="B5977" t="s">
        <v>3880</v>
      </c>
      <c r="C5977" t="s">
        <v>9522</v>
      </c>
      <c r="D5977" t="s">
        <v>9926</v>
      </c>
      <c r="E5977" t="s">
        <v>10075</v>
      </c>
      <c r="F5977">
        <v>10457</v>
      </c>
      <c r="G5977" t="s">
        <v>10090</v>
      </c>
      <c r="H5977" t="s">
        <v>10135</v>
      </c>
      <c r="I5977" t="s">
        <v>10168</v>
      </c>
      <c r="J5977" t="s">
        <v>10210</v>
      </c>
      <c r="K5977" t="s">
        <v>10217</v>
      </c>
      <c r="M5977" t="s">
        <v>10419</v>
      </c>
      <c r="N5977" t="s">
        <v>10651</v>
      </c>
      <c r="P5977" t="s">
        <v>10749</v>
      </c>
      <c r="Q5977" t="s">
        <v>10765</v>
      </c>
      <c r="R5977" t="s">
        <v>10824</v>
      </c>
      <c r="T5977">
        <v>10800</v>
      </c>
      <c r="U5977">
        <v>900</v>
      </c>
      <c r="V5977">
        <v>65</v>
      </c>
      <c r="W5977">
        <v>2</v>
      </c>
      <c r="X5977">
        <v>0</v>
      </c>
      <c r="Z5977">
        <v>63.87</v>
      </c>
      <c r="AA5977">
        <v>40.857064</v>
      </c>
      <c r="AB5977">
        <v>-73.89961599999999</v>
      </c>
      <c r="AD5977" t="s">
        <v>10840</v>
      </c>
      <c r="AG5977" t="s">
        <v>10858</v>
      </c>
      <c r="AH5977" t="s">
        <v>10862</v>
      </c>
      <c r="AI5977">
        <v>230</v>
      </c>
      <c r="AJ5977" t="s">
        <v>10210</v>
      </c>
      <c r="AL5977">
        <v>1</v>
      </c>
      <c r="AM5977" t="s">
        <v>10884</v>
      </c>
      <c r="AN5977" t="s">
        <v>10931</v>
      </c>
      <c r="AO5977" t="s">
        <v>11000</v>
      </c>
      <c r="AP5977" t="s">
        <v>11056</v>
      </c>
      <c r="AR5977" t="s">
        <v>11263</v>
      </c>
      <c r="AS5977" t="s">
        <v>9926</v>
      </c>
      <c r="AT5977" t="s">
        <v>11642</v>
      </c>
      <c r="AV5977" t="s">
        <v>11655</v>
      </c>
      <c r="AW5977" t="s">
        <v>11666</v>
      </c>
      <c r="AX5977" t="s">
        <v>10838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</row>
    <row r="5978" spans="1:59">
      <c r="A5978" s="1">
        <f>HYPERLINK("https://lsnyc.legalserver.org/matter/dynamic-profile/view/1910277","19-1910277")</f>
        <v>0</v>
      </c>
      <c r="B5978" t="s">
        <v>4651</v>
      </c>
      <c r="C5978" t="s">
        <v>9523</v>
      </c>
      <c r="D5978" t="s">
        <v>9926</v>
      </c>
      <c r="E5978" t="s">
        <v>10075</v>
      </c>
      <c r="F5978">
        <v>10467</v>
      </c>
      <c r="G5978" t="s">
        <v>10090</v>
      </c>
      <c r="H5978" t="s">
        <v>10135</v>
      </c>
      <c r="I5978" t="s">
        <v>10168</v>
      </c>
      <c r="J5978" t="s">
        <v>10210</v>
      </c>
      <c r="K5978" t="s">
        <v>10217</v>
      </c>
      <c r="M5978" t="s">
        <v>10276</v>
      </c>
      <c r="N5978" t="s">
        <v>10646</v>
      </c>
      <c r="P5978" t="s">
        <v>10749</v>
      </c>
      <c r="Q5978" t="s">
        <v>10765</v>
      </c>
      <c r="R5978" t="s">
        <v>10824</v>
      </c>
      <c r="T5978">
        <v>42500</v>
      </c>
      <c r="U5978">
        <v>3541.67</v>
      </c>
      <c r="V5978">
        <v>63</v>
      </c>
      <c r="W5978">
        <v>1</v>
      </c>
      <c r="X5978">
        <v>0</v>
      </c>
      <c r="Z5978">
        <v>340.27</v>
      </c>
      <c r="AA5978">
        <v>40.877978</v>
      </c>
      <c r="AB5978">
        <v>-73.863559</v>
      </c>
      <c r="AD5978" t="s">
        <v>10840</v>
      </c>
      <c r="AG5978" t="s">
        <v>10858</v>
      </c>
      <c r="AH5978" t="s">
        <v>10862</v>
      </c>
      <c r="AI5978">
        <v>230</v>
      </c>
      <c r="AJ5978" t="s">
        <v>10210</v>
      </c>
      <c r="AL5978">
        <v>0</v>
      </c>
      <c r="AM5978" t="s">
        <v>10893</v>
      </c>
      <c r="AN5978" t="s">
        <v>10956</v>
      </c>
      <c r="AO5978" t="s">
        <v>11010</v>
      </c>
      <c r="AP5978" t="s">
        <v>11085</v>
      </c>
      <c r="AR5978" t="s">
        <v>11257</v>
      </c>
      <c r="AS5978" t="s">
        <v>9926</v>
      </c>
      <c r="AT5978" t="s">
        <v>11642</v>
      </c>
      <c r="AX5978" t="s">
        <v>10838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</row>
    <row r="5979" spans="1:59">
      <c r="A5979" s="1">
        <f>HYPERLINK("https://lsnyc.legalserver.org/matter/dynamic-profile/view/1910278","19-1910278")</f>
        <v>0</v>
      </c>
      <c r="B5979" t="s">
        <v>3880</v>
      </c>
      <c r="C5979" t="s">
        <v>9522</v>
      </c>
      <c r="D5979" t="s">
        <v>9926</v>
      </c>
      <c r="E5979" t="s">
        <v>10075</v>
      </c>
      <c r="F5979">
        <v>10457</v>
      </c>
      <c r="G5979" t="s">
        <v>10090</v>
      </c>
      <c r="H5979" t="s">
        <v>10135</v>
      </c>
      <c r="I5979" t="s">
        <v>10168</v>
      </c>
      <c r="J5979" t="s">
        <v>10210</v>
      </c>
      <c r="K5979" t="s">
        <v>10217</v>
      </c>
      <c r="M5979" t="s">
        <v>10283</v>
      </c>
      <c r="N5979" t="s">
        <v>10688</v>
      </c>
      <c r="P5979" t="s">
        <v>10751</v>
      </c>
      <c r="Q5979" t="s">
        <v>10761</v>
      </c>
      <c r="R5979" t="s">
        <v>10824</v>
      </c>
      <c r="T5979">
        <v>10800</v>
      </c>
      <c r="U5979">
        <v>900</v>
      </c>
      <c r="V5979">
        <v>65</v>
      </c>
      <c r="W5979">
        <v>2</v>
      </c>
      <c r="X5979">
        <v>0</v>
      </c>
      <c r="Z5979">
        <v>63.87</v>
      </c>
      <c r="AA5979">
        <v>40.857064</v>
      </c>
      <c r="AB5979">
        <v>-73.89961599999999</v>
      </c>
      <c r="AD5979" t="s">
        <v>10840</v>
      </c>
      <c r="AG5979" t="s">
        <v>10858</v>
      </c>
      <c r="AH5979" t="s">
        <v>10862</v>
      </c>
      <c r="AI5979">
        <v>230</v>
      </c>
      <c r="AJ5979" t="s">
        <v>10210</v>
      </c>
      <c r="AL5979">
        <v>0</v>
      </c>
      <c r="AR5979" t="s">
        <v>11263</v>
      </c>
      <c r="AS5979" t="s">
        <v>9926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</row>
    <row r="5980" spans="1:59">
      <c r="A5980" s="1">
        <f>HYPERLINK("https://lsnyc.legalserver.org/matter/dynamic-profile/view/1910279","19-1910279")</f>
        <v>0</v>
      </c>
      <c r="B5980" t="s">
        <v>4652</v>
      </c>
      <c r="C5980" t="s">
        <v>9524</v>
      </c>
      <c r="D5980" t="s">
        <v>9928</v>
      </c>
      <c r="E5980" t="s">
        <v>10075</v>
      </c>
      <c r="F5980">
        <v>11225</v>
      </c>
      <c r="G5980" t="s">
        <v>10093</v>
      </c>
      <c r="H5980" t="s">
        <v>10135</v>
      </c>
      <c r="J5980" t="s">
        <v>10213</v>
      </c>
      <c r="K5980" t="s">
        <v>10217</v>
      </c>
      <c r="M5980" t="s">
        <v>10361</v>
      </c>
      <c r="N5980" t="s">
        <v>10667</v>
      </c>
      <c r="P5980" t="s">
        <v>10749</v>
      </c>
      <c r="Q5980" t="s">
        <v>10765</v>
      </c>
      <c r="R5980" t="s">
        <v>10824</v>
      </c>
      <c r="T5980">
        <v>51000</v>
      </c>
      <c r="U5980">
        <v>4250</v>
      </c>
      <c r="V5980">
        <v>53</v>
      </c>
      <c r="W5980">
        <v>3</v>
      </c>
      <c r="X5980">
        <v>0</v>
      </c>
      <c r="Z5980">
        <v>239.1</v>
      </c>
      <c r="AA5980">
        <v>40.66294</v>
      </c>
      <c r="AB5980">
        <v>-73.945993</v>
      </c>
      <c r="AD5980" t="s">
        <v>10840</v>
      </c>
      <c r="AG5980" t="s">
        <v>10858</v>
      </c>
      <c r="AH5980" t="s">
        <v>10862</v>
      </c>
      <c r="AI5980">
        <v>239</v>
      </c>
      <c r="AJ5980" t="s">
        <v>10213</v>
      </c>
      <c r="AL5980">
        <v>0</v>
      </c>
      <c r="AM5980" t="s">
        <v>10888</v>
      </c>
      <c r="AN5980" t="s">
        <v>10912</v>
      </c>
      <c r="AO5980" t="s">
        <v>11005</v>
      </c>
      <c r="AP5980" t="s">
        <v>11050</v>
      </c>
      <c r="AR5980" t="s">
        <v>11257</v>
      </c>
      <c r="AS5980" t="s">
        <v>11595</v>
      </c>
      <c r="AT5980" t="s">
        <v>11642</v>
      </c>
      <c r="AX5980" t="s">
        <v>10838</v>
      </c>
      <c r="BA5980" t="s">
        <v>11738</v>
      </c>
      <c r="BB5980">
        <v>0</v>
      </c>
      <c r="BC5980">
        <v>0</v>
      </c>
      <c r="BD5980">
        <v>0</v>
      </c>
      <c r="BE5980">
        <v>0</v>
      </c>
      <c r="BF5980">
        <v>5</v>
      </c>
      <c r="BG5980">
        <v>0</v>
      </c>
    </row>
    <row r="5981" spans="1:59">
      <c r="A5981" s="1">
        <f>HYPERLINK("https://lsnyc.legalserver.org/matter/dynamic-profile/view/1910282","19-1910282")</f>
        <v>0</v>
      </c>
      <c r="B5981" t="s">
        <v>4651</v>
      </c>
      <c r="C5981" t="s">
        <v>9523</v>
      </c>
      <c r="D5981" t="s">
        <v>9926</v>
      </c>
      <c r="E5981" t="s">
        <v>10075</v>
      </c>
      <c r="F5981">
        <v>10467</v>
      </c>
      <c r="G5981" t="s">
        <v>10090</v>
      </c>
      <c r="H5981" t="s">
        <v>10135</v>
      </c>
      <c r="I5981" t="s">
        <v>10168</v>
      </c>
      <c r="J5981" t="s">
        <v>10210</v>
      </c>
      <c r="K5981" t="s">
        <v>10217</v>
      </c>
      <c r="M5981" t="s">
        <v>10287</v>
      </c>
      <c r="N5981" t="s">
        <v>10646</v>
      </c>
      <c r="P5981" t="s">
        <v>10751</v>
      </c>
      <c r="Q5981" t="s">
        <v>10761</v>
      </c>
      <c r="R5981" t="s">
        <v>10824</v>
      </c>
      <c r="T5981">
        <v>42500</v>
      </c>
      <c r="U5981">
        <v>3541.67</v>
      </c>
      <c r="V5981">
        <v>63</v>
      </c>
      <c r="W5981">
        <v>1</v>
      </c>
      <c r="X5981">
        <v>0</v>
      </c>
      <c r="Z5981">
        <v>340.27</v>
      </c>
      <c r="AA5981">
        <v>40.877978</v>
      </c>
      <c r="AB5981">
        <v>-73.863559</v>
      </c>
      <c r="AD5981" t="s">
        <v>10840</v>
      </c>
      <c r="AG5981" t="s">
        <v>10858</v>
      </c>
      <c r="AH5981" t="s">
        <v>10862</v>
      </c>
      <c r="AI5981">
        <v>230</v>
      </c>
      <c r="AJ5981" t="s">
        <v>10210</v>
      </c>
      <c r="AL5981">
        <v>0.25</v>
      </c>
      <c r="AR5981" t="s">
        <v>11254</v>
      </c>
      <c r="AS5981" t="s">
        <v>9926</v>
      </c>
      <c r="AT5981" t="s">
        <v>11642</v>
      </c>
      <c r="AX5981" t="s">
        <v>10838</v>
      </c>
      <c r="BA5981" t="s">
        <v>11742</v>
      </c>
      <c r="BB5981">
        <v>0</v>
      </c>
      <c r="BC5981">
        <v>0</v>
      </c>
      <c r="BD5981">
        <v>0</v>
      </c>
      <c r="BE5981">
        <v>0</v>
      </c>
      <c r="BF5981">
        <v>7</v>
      </c>
      <c r="BG5981">
        <v>0</v>
      </c>
    </row>
    <row r="5982" spans="1:59">
      <c r="A5982" s="1">
        <f>HYPERLINK("https://lsnyc.legalserver.org/matter/dynamic-profile/view/1910283","19-1910283")</f>
        <v>0</v>
      </c>
      <c r="B5982" t="s">
        <v>3197</v>
      </c>
      <c r="C5982" t="s">
        <v>7988</v>
      </c>
      <c r="D5982" t="s">
        <v>9938</v>
      </c>
      <c r="E5982" t="s">
        <v>10075</v>
      </c>
      <c r="F5982">
        <v>11436</v>
      </c>
      <c r="G5982" t="s">
        <v>10092</v>
      </c>
      <c r="H5982" t="s">
        <v>10135</v>
      </c>
      <c r="I5982" t="s">
        <v>10168</v>
      </c>
      <c r="J5982" t="s">
        <v>10212</v>
      </c>
      <c r="K5982" t="s">
        <v>10217</v>
      </c>
      <c r="M5982" t="s">
        <v>10366</v>
      </c>
      <c r="N5982" t="s">
        <v>10678</v>
      </c>
      <c r="P5982" t="s">
        <v>10749</v>
      </c>
      <c r="Q5982" t="s">
        <v>10769</v>
      </c>
      <c r="R5982" t="s">
        <v>10824</v>
      </c>
      <c r="T5982">
        <v>21600</v>
      </c>
      <c r="U5982">
        <v>1800</v>
      </c>
      <c r="V5982">
        <v>56</v>
      </c>
      <c r="W5982">
        <v>2</v>
      </c>
      <c r="X5982">
        <v>1</v>
      </c>
      <c r="Z5982">
        <v>101.27</v>
      </c>
      <c r="AA5982">
        <v>40.672895</v>
      </c>
      <c r="AB5982">
        <v>-73.792458</v>
      </c>
      <c r="AD5982" t="s">
        <v>10840</v>
      </c>
      <c r="AG5982" t="s">
        <v>10858</v>
      </c>
      <c r="AH5982" t="s">
        <v>10860</v>
      </c>
      <c r="AI5982">
        <v>237</v>
      </c>
      <c r="AJ5982" t="s">
        <v>10212</v>
      </c>
      <c r="AL5982">
        <v>1.9</v>
      </c>
      <c r="AM5982" t="s">
        <v>10892</v>
      </c>
      <c r="AN5982" t="s">
        <v>10951</v>
      </c>
      <c r="AO5982" t="s">
        <v>11017</v>
      </c>
      <c r="AP5982" t="s">
        <v>11070</v>
      </c>
      <c r="AR5982" t="s">
        <v>11257</v>
      </c>
      <c r="AS5982" t="s">
        <v>11594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</row>
    <row r="5983" spans="1:59">
      <c r="A5983" s="1">
        <f>HYPERLINK("https://lsnyc.legalserver.org/matter/dynamic-profile/view/1910284","19-1910284")</f>
        <v>0</v>
      </c>
      <c r="B5983" t="s">
        <v>4653</v>
      </c>
      <c r="C5983" t="s">
        <v>9525</v>
      </c>
      <c r="D5983" t="s">
        <v>9930</v>
      </c>
      <c r="E5983" t="s">
        <v>10075</v>
      </c>
      <c r="F5983">
        <v>11373</v>
      </c>
      <c r="G5983" t="s">
        <v>10092</v>
      </c>
      <c r="H5983" t="s">
        <v>10135</v>
      </c>
      <c r="I5983" t="s">
        <v>10169</v>
      </c>
      <c r="J5983" t="s">
        <v>10212</v>
      </c>
      <c r="K5983" t="s">
        <v>10217</v>
      </c>
      <c r="M5983" t="s">
        <v>10320</v>
      </c>
      <c r="N5983" t="s">
        <v>10673</v>
      </c>
      <c r="P5983" t="s">
        <v>10753</v>
      </c>
      <c r="Q5983" t="s">
        <v>10763</v>
      </c>
      <c r="R5983" t="s">
        <v>10821</v>
      </c>
      <c r="T5983">
        <v>0</v>
      </c>
      <c r="U5983">
        <v>0</v>
      </c>
      <c r="V5983">
        <v>46</v>
      </c>
      <c r="W5983">
        <v>1</v>
      </c>
      <c r="X5983">
        <v>2</v>
      </c>
      <c r="Z5983">
        <v>0</v>
      </c>
      <c r="AA5983">
        <v>40.746551</v>
      </c>
      <c r="AB5983">
        <v>-73.879563</v>
      </c>
      <c r="AD5983" t="s">
        <v>10839</v>
      </c>
      <c r="AF5983" t="s">
        <v>10844</v>
      </c>
      <c r="AG5983" t="s">
        <v>10859</v>
      </c>
      <c r="AH5983" t="s">
        <v>10875</v>
      </c>
      <c r="AI5983">
        <v>237</v>
      </c>
      <c r="AJ5983" t="s">
        <v>10212</v>
      </c>
      <c r="AL5983">
        <v>1.35</v>
      </c>
      <c r="AM5983" t="s">
        <v>10885</v>
      </c>
      <c r="AN5983" t="s">
        <v>10949</v>
      </c>
      <c r="AO5983" t="s">
        <v>11014</v>
      </c>
      <c r="AP5983" t="s">
        <v>11053</v>
      </c>
      <c r="AQ5983" t="s">
        <v>11252</v>
      </c>
      <c r="AR5983" t="s">
        <v>11267</v>
      </c>
      <c r="AS5983" t="s">
        <v>11594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</row>
    <row r="5984" spans="1:59">
      <c r="A5984" s="1">
        <f>HYPERLINK("https://lsnyc.legalserver.org/matter/dynamic-profile/view/1910285","19-1910285")</f>
        <v>0</v>
      </c>
      <c r="B5984" t="s">
        <v>4654</v>
      </c>
      <c r="C5984" t="s">
        <v>9526</v>
      </c>
      <c r="D5984" t="s">
        <v>9928</v>
      </c>
      <c r="E5984" t="s">
        <v>10075</v>
      </c>
      <c r="F5984">
        <v>11234</v>
      </c>
      <c r="G5984" t="s">
        <v>10093</v>
      </c>
      <c r="H5984" t="s">
        <v>10135</v>
      </c>
      <c r="I5984" t="s">
        <v>10168</v>
      </c>
      <c r="J5984" t="s">
        <v>10213</v>
      </c>
      <c r="K5984" t="s">
        <v>10218</v>
      </c>
      <c r="L5984" t="s">
        <v>10136</v>
      </c>
      <c r="M5984" t="s">
        <v>10268</v>
      </c>
      <c r="N5984" t="s">
        <v>10664</v>
      </c>
      <c r="P5984" t="s">
        <v>10749</v>
      </c>
      <c r="Q5984" t="s">
        <v>10765</v>
      </c>
      <c r="R5984" t="s">
        <v>10824</v>
      </c>
      <c r="T5984">
        <v>46000</v>
      </c>
      <c r="U5984">
        <v>3833.33</v>
      </c>
      <c r="V5984">
        <v>54</v>
      </c>
      <c r="W5984">
        <v>2</v>
      </c>
      <c r="X5984">
        <v>2</v>
      </c>
      <c r="Y5984" t="s">
        <v>10829</v>
      </c>
      <c r="Z5984">
        <v>178.64</v>
      </c>
      <c r="AA5984">
        <v>40.634242</v>
      </c>
      <c r="AB5984">
        <v>-73.92301999999999</v>
      </c>
      <c r="AD5984" t="s">
        <v>10840</v>
      </c>
      <c r="AG5984" t="s">
        <v>10858</v>
      </c>
      <c r="AH5984" t="s">
        <v>10862</v>
      </c>
      <c r="AI5984">
        <v>239</v>
      </c>
      <c r="AJ5984" t="s">
        <v>10213</v>
      </c>
      <c r="AK5984" t="s">
        <v>10838</v>
      </c>
      <c r="AL5984">
        <v>1</v>
      </c>
      <c r="AM5984" t="s">
        <v>10889</v>
      </c>
      <c r="AN5984" t="s">
        <v>10959</v>
      </c>
      <c r="AO5984" t="s">
        <v>11008</v>
      </c>
      <c r="AP5984" t="s">
        <v>11072</v>
      </c>
      <c r="AR5984" t="s">
        <v>11257</v>
      </c>
      <c r="AS5984" t="s">
        <v>11595</v>
      </c>
      <c r="AY5984" t="s">
        <v>10829</v>
      </c>
      <c r="AZ5984" t="s">
        <v>11681</v>
      </c>
      <c r="BA5984" t="s">
        <v>11741</v>
      </c>
      <c r="BB5984">
        <v>0</v>
      </c>
      <c r="BC5984">
        <v>0</v>
      </c>
      <c r="BD5984">
        <v>0</v>
      </c>
      <c r="BE5984">
        <v>0</v>
      </c>
      <c r="BF5984">
        <v>1</v>
      </c>
      <c r="BG5984">
        <v>0</v>
      </c>
    </row>
    <row r="5985" spans="1:59">
      <c r="A5985" s="1">
        <f>HYPERLINK("https://lsnyc.legalserver.org/matter/dynamic-profile/view/1910286","19-1910286")</f>
        <v>0</v>
      </c>
      <c r="B5985" t="s">
        <v>4655</v>
      </c>
      <c r="C5985" t="s">
        <v>9527</v>
      </c>
      <c r="D5985" t="s">
        <v>9926</v>
      </c>
      <c r="E5985" t="s">
        <v>10075</v>
      </c>
      <c r="F5985">
        <v>10451</v>
      </c>
      <c r="G5985" t="s">
        <v>10090</v>
      </c>
      <c r="H5985" t="s">
        <v>10135</v>
      </c>
      <c r="I5985" t="s">
        <v>10168</v>
      </c>
      <c r="J5985" t="s">
        <v>10210</v>
      </c>
      <c r="K5985" t="s">
        <v>10218</v>
      </c>
      <c r="L5985" t="s">
        <v>10157</v>
      </c>
      <c r="M5985" t="s">
        <v>10546</v>
      </c>
      <c r="N5985" t="s">
        <v>10666</v>
      </c>
      <c r="P5985" t="s">
        <v>10749</v>
      </c>
      <c r="Q5985" t="s">
        <v>10765</v>
      </c>
      <c r="R5985" t="s">
        <v>10824</v>
      </c>
      <c r="T5985">
        <v>13000</v>
      </c>
      <c r="U5985">
        <v>1083.33</v>
      </c>
      <c r="V5985">
        <v>58</v>
      </c>
      <c r="W5985">
        <v>2</v>
      </c>
      <c r="X5985">
        <v>1</v>
      </c>
      <c r="Y5985" t="s">
        <v>10829</v>
      </c>
      <c r="Z5985">
        <v>60.95</v>
      </c>
      <c r="AA5985">
        <v>40.824345</v>
      </c>
      <c r="AB5985">
        <v>-73.91619300000001</v>
      </c>
      <c r="AD5985" t="s">
        <v>10839</v>
      </c>
      <c r="AG5985" t="s">
        <v>10858</v>
      </c>
      <c r="AH5985" t="s">
        <v>10861</v>
      </c>
      <c r="AI5985">
        <v>230</v>
      </c>
      <c r="AJ5985" t="s">
        <v>10210</v>
      </c>
      <c r="AK5985" t="s">
        <v>10838</v>
      </c>
      <c r="AL5985">
        <v>2.55</v>
      </c>
      <c r="AM5985" t="s">
        <v>10884</v>
      </c>
      <c r="AN5985" t="s">
        <v>10918</v>
      </c>
      <c r="AO5985" t="s">
        <v>11001</v>
      </c>
      <c r="AP5985" t="s">
        <v>11062</v>
      </c>
      <c r="AR5985" t="s">
        <v>11276</v>
      </c>
      <c r="AS5985" t="s">
        <v>9926</v>
      </c>
      <c r="AT5985" t="s">
        <v>11641</v>
      </c>
      <c r="AX5985" t="s">
        <v>10838</v>
      </c>
      <c r="AY5985" t="s">
        <v>10829</v>
      </c>
      <c r="AZ5985" t="s">
        <v>11681</v>
      </c>
      <c r="BA5985" t="s">
        <v>11741</v>
      </c>
      <c r="BB5985">
        <v>0</v>
      </c>
      <c r="BC5985">
        <v>0</v>
      </c>
      <c r="BD5985">
        <v>0</v>
      </c>
      <c r="BE5985">
        <v>0</v>
      </c>
      <c r="BF5985">
        <v>1</v>
      </c>
      <c r="BG5985">
        <v>0</v>
      </c>
    </row>
    <row r="5986" spans="1:59">
      <c r="A5986" s="1">
        <f>HYPERLINK("https://lsnyc.legalserver.org/matter/dynamic-profile/view/1910287","19-1910287")</f>
        <v>0</v>
      </c>
      <c r="B5986" t="s">
        <v>1892</v>
      </c>
      <c r="C5986" t="s">
        <v>9528</v>
      </c>
      <c r="D5986" t="s">
        <v>9926</v>
      </c>
      <c r="E5986" t="s">
        <v>10075</v>
      </c>
      <c r="F5986">
        <v>10456</v>
      </c>
      <c r="G5986" t="s">
        <v>10090</v>
      </c>
      <c r="H5986" t="s">
        <v>10135</v>
      </c>
      <c r="I5986" t="s">
        <v>10169</v>
      </c>
      <c r="J5986" t="s">
        <v>10210</v>
      </c>
      <c r="K5986" t="s">
        <v>10218</v>
      </c>
      <c r="L5986" t="s">
        <v>10221</v>
      </c>
      <c r="M5986" t="s">
        <v>10593</v>
      </c>
      <c r="N5986" t="s">
        <v>10677</v>
      </c>
      <c r="P5986" t="s">
        <v>10751</v>
      </c>
      <c r="Q5986" t="s">
        <v>10761</v>
      </c>
      <c r="R5986" t="s">
        <v>10821</v>
      </c>
      <c r="T5986">
        <v>10704</v>
      </c>
      <c r="U5986">
        <v>892</v>
      </c>
      <c r="V5986">
        <v>61</v>
      </c>
      <c r="W5986">
        <v>1</v>
      </c>
      <c r="X5986">
        <v>0</v>
      </c>
      <c r="Y5986" t="s">
        <v>10830</v>
      </c>
      <c r="Z5986">
        <v>85.7</v>
      </c>
      <c r="AA5986">
        <v>40.835274</v>
      </c>
      <c r="AB5986">
        <v>-73.916371</v>
      </c>
      <c r="AD5986" t="s">
        <v>10839</v>
      </c>
      <c r="AG5986" t="s">
        <v>10858</v>
      </c>
      <c r="AH5986" t="s">
        <v>10861</v>
      </c>
      <c r="AI5986">
        <v>234</v>
      </c>
      <c r="AJ5986" t="s">
        <v>10214</v>
      </c>
      <c r="AK5986" t="s">
        <v>10838</v>
      </c>
      <c r="AL5986">
        <v>2.6</v>
      </c>
      <c r="AM5986" t="s">
        <v>10884</v>
      </c>
      <c r="AN5986" t="s">
        <v>10929</v>
      </c>
      <c r="AO5986" t="s">
        <v>11013</v>
      </c>
      <c r="AP5986" t="s">
        <v>11055</v>
      </c>
      <c r="AR5986" t="s">
        <v>11457</v>
      </c>
      <c r="AS5986" t="s">
        <v>9926</v>
      </c>
      <c r="AT5986" t="s">
        <v>11641</v>
      </c>
      <c r="AX5986" t="s">
        <v>10838</v>
      </c>
      <c r="AY5986" t="s">
        <v>10830</v>
      </c>
      <c r="AZ5986" t="s">
        <v>11682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</row>
    <row r="5987" spans="1:59">
      <c r="A5987" s="1">
        <f>HYPERLINK("https://lsnyc.legalserver.org/matter/dynamic-profile/view/1910289","19-1910289")</f>
        <v>0</v>
      </c>
      <c r="B5987" t="s">
        <v>2164</v>
      </c>
      <c r="C5987" t="s">
        <v>9529</v>
      </c>
      <c r="D5987" t="s">
        <v>9928</v>
      </c>
      <c r="E5987" t="s">
        <v>10075</v>
      </c>
      <c r="F5987">
        <v>11223</v>
      </c>
      <c r="G5987" t="s">
        <v>10093</v>
      </c>
      <c r="H5987" t="s">
        <v>10135</v>
      </c>
      <c r="I5987" t="s">
        <v>10181</v>
      </c>
      <c r="J5987" t="s">
        <v>10213</v>
      </c>
      <c r="K5987" t="s">
        <v>10217</v>
      </c>
      <c r="M5987" t="s">
        <v>10280</v>
      </c>
      <c r="N5987" t="s">
        <v>10671</v>
      </c>
      <c r="P5987" t="s">
        <v>10751</v>
      </c>
      <c r="Q5987" t="s">
        <v>10780</v>
      </c>
      <c r="R5987" t="s">
        <v>10827</v>
      </c>
      <c r="T5987">
        <v>0</v>
      </c>
      <c r="U5987">
        <v>0</v>
      </c>
      <c r="V5987">
        <v>67</v>
      </c>
      <c r="W5987">
        <v>3</v>
      </c>
      <c r="X5987">
        <v>0</v>
      </c>
      <c r="Z5987">
        <v>0</v>
      </c>
      <c r="AA5987">
        <v>40.590823</v>
      </c>
      <c r="AB5987">
        <v>-73.981207</v>
      </c>
      <c r="AD5987" t="s">
        <v>10839</v>
      </c>
      <c r="AF5987" t="s">
        <v>10843</v>
      </c>
      <c r="AG5987" t="s">
        <v>10859</v>
      </c>
      <c r="AH5987" t="s">
        <v>10861</v>
      </c>
      <c r="AI5987">
        <v>234</v>
      </c>
      <c r="AJ5987" t="s">
        <v>10214</v>
      </c>
      <c r="AL5987">
        <v>1</v>
      </c>
      <c r="AM5987" t="s">
        <v>10883</v>
      </c>
      <c r="AN5987" t="s">
        <v>10965</v>
      </c>
      <c r="AO5987" t="s">
        <v>11006</v>
      </c>
      <c r="AP5987" t="s">
        <v>11087</v>
      </c>
      <c r="AR5987" t="s">
        <v>11279</v>
      </c>
      <c r="AS5987" t="s">
        <v>11595</v>
      </c>
      <c r="AT5987" t="s">
        <v>11641</v>
      </c>
      <c r="AX5987" t="s">
        <v>10838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</row>
    <row r="5988" spans="1:59">
      <c r="A5988" s="1">
        <f>HYPERLINK("https://lsnyc.legalserver.org/matter/dynamic-profile/view/1910291","19-1910291")</f>
        <v>0</v>
      </c>
      <c r="B5988" t="s">
        <v>4411</v>
      </c>
      <c r="C5988" t="s">
        <v>9530</v>
      </c>
      <c r="D5988" t="s">
        <v>9928</v>
      </c>
      <c r="E5988" t="s">
        <v>10075</v>
      </c>
      <c r="F5988">
        <v>11208</v>
      </c>
      <c r="G5988" t="s">
        <v>10093</v>
      </c>
      <c r="H5988" t="s">
        <v>10135</v>
      </c>
      <c r="I5988" t="s">
        <v>10168</v>
      </c>
      <c r="J5988" t="s">
        <v>10213</v>
      </c>
      <c r="K5988" t="s">
        <v>10218</v>
      </c>
      <c r="L5988" t="s">
        <v>10135</v>
      </c>
      <c r="M5988" t="s">
        <v>10564</v>
      </c>
      <c r="N5988" t="s">
        <v>10650</v>
      </c>
      <c r="P5988" t="s">
        <v>10749</v>
      </c>
      <c r="Q5988" t="s">
        <v>10765</v>
      </c>
      <c r="R5988" t="s">
        <v>10825</v>
      </c>
      <c r="T5988">
        <v>66840</v>
      </c>
      <c r="U5988">
        <v>5570</v>
      </c>
      <c r="V5988">
        <v>54</v>
      </c>
      <c r="W5988">
        <v>2</v>
      </c>
      <c r="X5988">
        <v>0</v>
      </c>
      <c r="Y5988" t="s">
        <v>10829</v>
      </c>
      <c r="Z5988">
        <v>395.27</v>
      </c>
      <c r="AA5988">
        <v>40.67706</v>
      </c>
      <c r="AB5988">
        <v>-73.874629</v>
      </c>
      <c r="AD5988" t="s">
        <v>10840</v>
      </c>
      <c r="AG5988" t="s">
        <v>10858</v>
      </c>
      <c r="AH5988" t="s">
        <v>10871</v>
      </c>
      <c r="AI5988">
        <v>234</v>
      </c>
      <c r="AJ5988" t="s">
        <v>10214</v>
      </c>
      <c r="AK5988" t="s">
        <v>10838</v>
      </c>
      <c r="AL5988">
        <v>1</v>
      </c>
      <c r="AM5988" t="s">
        <v>10889</v>
      </c>
      <c r="AN5988" t="s">
        <v>10920</v>
      </c>
      <c r="AO5988" t="s">
        <v>11012</v>
      </c>
      <c r="AP5988" t="s">
        <v>11058</v>
      </c>
      <c r="AR5988" t="s">
        <v>11257</v>
      </c>
      <c r="AS5988" t="s">
        <v>11595</v>
      </c>
      <c r="AT5988" t="s">
        <v>11642</v>
      </c>
      <c r="AX5988" t="s">
        <v>10838</v>
      </c>
      <c r="AY5988" t="s">
        <v>10829</v>
      </c>
      <c r="AZ5988" t="s">
        <v>11681</v>
      </c>
      <c r="BA5988" t="s">
        <v>11741</v>
      </c>
      <c r="BB5988">
        <v>0</v>
      </c>
      <c r="BC5988">
        <v>0</v>
      </c>
      <c r="BD5988">
        <v>0</v>
      </c>
      <c r="BE5988">
        <v>0</v>
      </c>
      <c r="BF5988">
        <v>1</v>
      </c>
      <c r="BG5988">
        <v>0</v>
      </c>
    </row>
    <row r="5989" spans="1:59">
      <c r="A5989" s="1">
        <f>HYPERLINK("https://lsnyc.legalserver.org/matter/dynamic-profile/view/1910292","19-1910292")</f>
        <v>0</v>
      </c>
      <c r="B5989" t="s">
        <v>4656</v>
      </c>
      <c r="C5989" t="s">
        <v>9531</v>
      </c>
      <c r="D5989" t="s">
        <v>9926</v>
      </c>
      <c r="E5989" t="s">
        <v>10075</v>
      </c>
      <c r="F5989">
        <v>10468</v>
      </c>
      <c r="G5989" t="s">
        <v>10090</v>
      </c>
      <c r="H5989" t="s">
        <v>10135</v>
      </c>
      <c r="I5989" t="s">
        <v>10169</v>
      </c>
      <c r="J5989" t="s">
        <v>10210</v>
      </c>
      <c r="K5989" t="s">
        <v>10217</v>
      </c>
      <c r="M5989" t="s">
        <v>10276</v>
      </c>
      <c r="N5989" t="s">
        <v>10651</v>
      </c>
      <c r="P5989" t="s">
        <v>10749</v>
      </c>
      <c r="Q5989" t="s">
        <v>10765</v>
      </c>
      <c r="R5989" t="s">
        <v>10821</v>
      </c>
      <c r="T5989">
        <v>9600</v>
      </c>
      <c r="U5989">
        <v>800</v>
      </c>
      <c r="V5989">
        <v>32</v>
      </c>
      <c r="W5989">
        <v>1</v>
      </c>
      <c r="X5989">
        <v>2</v>
      </c>
      <c r="Z5989">
        <v>45.01</v>
      </c>
      <c r="AA5989">
        <v>40.871623</v>
      </c>
      <c r="AB5989">
        <v>-73.89887899999999</v>
      </c>
      <c r="AC5989" t="s">
        <v>10837</v>
      </c>
      <c r="AD5989" t="s">
        <v>10839</v>
      </c>
      <c r="AF5989" t="s">
        <v>10843</v>
      </c>
      <c r="AG5989" t="s">
        <v>10859</v>
      </c>
      <c r="AH5989" t="s">
        <v>10862</v>
      </c>
      <c r="AI5989">
        <v>230</v>
      </c>
      <c r="AJ5989" t="s">
        <v>10210</v>
      </c>
      <c r="AL5989">
        <v>1</v>
      </c>
      <c r="AM5989" t="s">
        <v>10887</v>
      </c>
      <c r="AN5989" t="s">
        <v>10919</v>
      </c>
      <c r="AO5989" t="s">
        <v>11000</v>
      </c>
      <c r="AP5989" t="s">
        <v>11045</v>
      </c>
      <c r="AR5989" t="s">
        <v>11257</v>
      </c>
      <c r="AS5989" t="s">
        <v>9926</v>
      </c>
      <c r="AT5989" t="s">
        <v>11641</v>
      </c>
      <c r="BA5989" t="s">
        <v>11738</v>
      </c>
      <c r="BB5989">
        <v>0</v>
      </c>
      <c r="BC5989">
        <v>0</v>
      </c>
      <c r="BD5989">
        <v>0</v>
      </c>
      <c r="BE5989">
        <v>0</v>
      </c>
      <c r="BF5989">
        <v>5</v>
      </c>
      <c r="BG5989">
        <v>0</v>
      </c>
    </row>
    <row r="5990" spans="1:59">
      <c r="A5990" s="1">
        <f>HYPERLINK("https://lsnyc.legalserver.org/matter/dynamic-profile/view/1910293","19-1910293")</f>
        <v>0</v>
      </c>
      <c r="B5990" t="s">
        <v>3810</v>
      </c>
      <c r="C5990" t="s">
        <v>9532</v>
      </c>
      <c r="D5990" t="s">
        <v>9925</v>
      </c>
      <c r="E5990" t="s">
        <v>10075</v>
      </c>
      <c r="F5990">
        <v>10016</v>
      </c>
      <c r="G5990" t="s">
        <v>10089</v>
      </c>
      <c r="H5990" t="s">
        <v>10135</v>
      </c>
      <c r="I5990" t="s">
        <v>10169</v>
      </c>
      <c r="J5990" t="s">
        <v>10209</v>
      </c>
      <c r="K5990" t="s">
        <v>10217</v>
      </c>
      <c r="M5990" t="s">
        <v>10270</v>
      </c>
      <c r="N5990" t="s">
        <v>10716</v>
      </c>
      <c r="P5990" t="s">
        <v>10754</v>
      </c>
      <c r="Q5990" t="s">
        <v>10775</v>
      </c>
      <c r="R5990" t="s">
        <v>10823</v>
      </c>
      <c r="T5990">
        <v>1098</v>
      </c>
      <c r="U5990">
        <v>91.5</v>
      </c>
      <c r="V5990">
        <v>35</v>
      </c>
      <c r="W5990">
        <v>1</v>
      </c>
      <c r="X5990">
        <v>1</v>
      </c>
      <c r="Z5990">
        <v>6.49</v>
      </c>
      <c r="AA5990">
        <v>40.744254</v>
      </c>
      <c r="AB5990">
        <v>-73.986751</v>
      </c>
      <c r="AD5990" t="s">
        <v>10839</v>
      </c>
      <c r="AF5990" t="s">
        <v>10842</v>
      </c>
      <c r="AG5990" t="s">
        <v>10859</v>
      </c>
      <c r="AH5990" t="s">
        <v>10865</v>
      </c>
      <c r="AI5990">
        <v>236</v>
      </c>
      <c r="AJ5990" t="s">
        <v>10209</v>
      </c>
      <c r="AK5990" t="s">
        <v>10837</v>
      </c>
      <c r="AL5990">
        <v>0</v>
      </c>
      <c r="AM5990" t="s">
        <v>10891</v>
      </c>
      <c r="AN5990" t="s">
        <v>10966</v>
      </c>
      <c r="AO5990" t="s">
        <v>11026</v>
      </c>
      <c r="AP5990" t="s">
        <v>11048</v>
      </c>
      <c r="AQ5990" t="s">
        <v>11114</v>
      </c>
      <c r="AR5990" t="s">
        <v>11255</v>
      </c>
      <c r="AS5990" t="s">
        <v>9925</v>
      </c>
      <c r="AT5990" t="s">
        <v>11641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</row>
    <row r="5991" spans="1:59">
      <c r="A5991" s="1">
        <f>HYPERLINK("https://lsnyc.legalserver.org/matter/dynamic-profile/view/1910294","19-1910294")</f>
        <v>0</v>
      </c>
      <c r="B5991" t="s">
        <v>3598</v>
      </c>
      <c r="C5991" t="s">
        <v>9533</v>
      </c>
      <c r="D5991" t="s">
        <v>9925</v>
      </c>
      <c r="E5991" t="s">
        <v>10075</v>
      </c>
      <c r="F5991">
        <v>10031</v>
      </c>
      <c r="G5991" t="s">
        <v>10089</v>
      </c>
      <c r="H5991" t="s">
        <v>10135</v>
      </c>
      <c r="I5991" t="s">
        <v>10168</v>
      </c>
      <c r="J5991" t="s">
        <v>10209</v>
      </c>
      <c r="K5991" t="s">
        <v>10217</v>
      </c>
      <c r="M5991" t="s">
        <v>10383</v>
      </c>
      <c r="N5991" t="s">
        <v>10671</v>
      </c>
      <c r="P5991" t="s">
        <v>10751</v>
      </c>
      <c r="Q5991" t="s">
        <v>10768</v>
      </c>
      <c r="R5991" t="s">
        <v>10824</v>
      </c>
      <c r="T5991">
        <v>2376</v>
      </c>
      <c r="U5991">
        <v>198</v>
      </c>
      <c r="V5991">
        <v>54</v>
      </c>
      <c r="W5991">
        <v>1</v>
      </c>
      <c r="X5991">
        <v>0</v>
      </c>
      <c r="Z5991">
        <v>19.02</v>
      </c>
      <c r="AA5991">
        <v>40.830052</v>
      </c>
      <c r="AB5991">
        <v>-73.945826</v>
      </c>
      <c r="AD5991" t="s">
        <v>10839</v>
      </c>
      <c r="AG5991" t="s">
        <v>10858</v>
      </c>
      <c r="AH5991" t="s">
        <v>10861</v>
      </c>
      <c r="AI5991">
        <v>234</v>
      </c>
      <c r="AJ5991" t="s">
        <v>10214</v>
      </c>
      <c r="AL5991">
        <v>0.5</v>
      </c>
      <c r="AR5991" t="s">
        <v>11279</v>
      </c>
      <c r="AS5991" t="s">
        <v>9925</v>
      </c>
      <c r="AT5991" t="s">
        <v>11641</v>
      </c>
      <c r="AX5991" t="s">
        <v>10838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</row>
    <row r="5992" spans="1:59">
      <c r="A5992" s="1">
        <f>HYPERLINK("https://lsnyc.legalserver.org/matter/dynamic-profile/view/1910295","19-1910295")</f>
        <v>0</v>
      </c>
      <c r="B5992" t="s">
        <v>4657</v>
      </c>
      <c r="C5992" t="s">
        <v>9534</v>
      </c>
      <c r="D5992" t="s">
        <v>9928</v>
      </c>
      <c r="E5992" t="s">
        <v>10075</v>
      </c>
      <c r="F5992">
        <v>11216</v>
      </c>
      <c r="G5992" t="s">
        <v>10093</v>
      </c>
      <c r="H5992" t="s">
        <v>10135</v>
      </c>
      <c r="I5992" t="s">
        <v>10168</v>
      </c>
      <c r="J5992" t="s">
        <v>10213</v>
      </c>
      <c r="K5992" t="s">
        <v>10217</v>
      </c>
      <c r="M5992" t="s">
        <v>10264</v>
      </c>
      <c r="N5992" t="s">
        <v>10667</v>
      </c>
      <c r="P5992" t="s">
        <v>10749</v>
      </c>
      <c r="Q5992" t="s">
        <v>10765</v>
      </c>
      <c r="R5992" t="s">
        <v>10824</v>
      </c>
      <c r="T5992">
        <v>36752</v>
      </c>
      <c r="U5992">
        <v>3062.67</v>
      </c>
      <c r="V5992">
        <v>31</v>
      </c>
      <c r="W5992">
        <v>2</v>
      </c>
      <c r="X5992">
        <v>0</v>
      </c>
      <c r="Z5992">
        <v>217.34</v>
      </c>
      <c r="AA5992">
        <v>40.680262</v>
      </c>
      <c r="AB5992">
        <v>-73.938693</v>
      </c>
      <c r="AD5992" t="s">
        <v>10839</v>
      </c>
      <c r="AG5992" t="s">
        <v>10858</v>
      </c>
      <c r="AH5992" t="s">
        <v>10861</v>
      </c>
      <c r="AI5992">
        <v>239</v>
      </c>
      <c r="AJ5992" t="s">
        <v>10213</v>
      </c>
      <c r="AL5992">
        <v>0</v>
      </c>
      <c r="AR5992" t="s">
        <v>11437</v>
      </c>
      <c r="AS5992" t="s">
        <v>11595</v>
      </c>
      <c r="BA5992" t="s">
        <v>11738</v>
      </c>
      <c r="BB5992">
        <v>0</v>
      </c>
      <c r="BC5992">
        <v>0</v>
      </c>
      <c r="BD5992">
        <v>0</v>
      </c>
      <c r="BE5992">
        <v>0</v>
      </c>
      <c r="BF5992">
        <v>5</v>
      </c>
      <c r="BG5992">
        <v>0</v>
      </c>
    </row>
    <row r="5993" spans="1:59">
      <c r="A5993" s="1">
        <f>HYPERLINK("https://lsnyc.legalserver.org/matter/dynamic-profile/view/1910297","19-1910297")</f>
        <v>0</v>
      </c>
      <c r="B5993" t="s">
        <v>4656</v>
      </c>
      <c r="C5993" t="s">
        <v>9531</v>
      </c>
      <c r="D5993" t="s">
        <v>9926</v>
      </c>
      <c r="E5993" t="s">
        <v>10075</v>
      </c>
      <c r="F5993">
        <v>10468</v>
      </c>
      <c r="G5993" t="s">
        <v>10090</v>
      </c>
      <c r="H5993" t="s">
        <v>10135</v>
      </c>
      <c r="I5993" t="s">
        <v>10169</v>
      </c>
      <c r="J5993" t="s">
        <v>10210</v>
      </c>
      <c r="K5993" t="s">
        <v>10217</v>
      </c>
      <c r="M5993" t="s">
        <v>10287</v>
      </c>
      <c r="N5993" t="s">
        <v>10671</v>
      </c>
      <c r="P5993" t="s">
        <v>10751</v>
      </c>
      <c r="Q5993" t="s">
        <v>10761</v>
      </c>
      <c r="R5993" t="s">
        <v>10821</v>
      </c>
      <c r="T5993">
        <v>9600</v>
      </c>
      <c r="U5993">
        <v>800</v>
      </c>
      <c r="V5993">
        <v>32</v>
      </c>
      <c r="W5993">
        <v>1</v>
      </c>
      <c r="X5993">
        <v>2</v>
      </c>
      <c r="Z5993">
        <v>45.01</v>
      </c>
      <c r="AA5993">
        <v>40.871623</v>
      </c>
      <c r="AB5993">
        <v>-73.89887899999999</v>
      </c>
      <c r="AC5993" t="s">
        <v>10837</v>
      </c>
      <c r="AD5993" t="s">
        <v>10839</v>
      </c>
      <c r="AF5993" t="s">
        <v>10843</v>
      </c>
      <c r="AG5993" t="s">
        <v>10859</v>
      </c>
      <c r="AH5993" t="s">
        <v>10862</v>
      </c>
      <c r="AI5993">
        <v>230</v>
      </c>
      <c r="AJ5993" t="s">
        <v>10210</v>
      </c>
      <c r="AL5993">
        <v>0.25</v>
      </c>
      <c r="AM5993" t="s">
        <v>10887</v>
      </c>
      <c r="AN5993" t="s">
        <v>10919</v>
      </c>
      <c r="AO5993" t="s">
        <v>11000</v>
      </c>
      <c r="AP5993" t="s">
        <v>11045</v>
      </c>
      <c r="AR5993" t="s">
        <v>11257</v>
      </c>
      <c r="AS5993" t="s">
        <v>9926</v>
      </c>
      <c r="AT5993" t="s">
        <v>11641</v>
      </c>
      <c r="BA5993" t="s">
        <v>11742</v>
      </c>
      <c r="BB5993">
        <v>0</v>
      </c>
      <c r="BC5993">
        <v>0</v>
      </c>
      <c r="BD5993">
        <v>0</v>
      </c>
      <c r="BE5993">
        <v>0</v>
      </c>
      <c r="BF5993">
        <v>7</v>
      </c>
      <c r="BG5993">
        <v>0</v>
      </c>
    </row>
    <row r="5994" spans="1:59">
      <c r="A5994" s="1">
        <f>HYPERLINK("https://lsnyc.legalserver.org/matter/dynamic-profile/view/1910298","19-1910298")</f>
        <v>0</v>
      </c>
      <c r="B5994" t="s">
        <v>4411</v>
      </c>
      <c r="C5994" t="s">
        <v>9530</v>
      </c>
      <c r="D5994" t="s">
        <v>9928</v>
      </c>
      <c r="E5994" t="s">
        <v>10075</v>
      </c>
      <c r="F5994">
        <v>11208</v>
      </c>
      <c r="G5994" t="s">
        <v>10091</v>
      </c>
      <c r="H5994" t="s">
        <v>10135</v>
      </c>
      <c r="I5994" t="s">
        <v>10168</v>
      </c>
      <c r="J5994" t="s">
        <v>10214</v>
      </c>
      <c r="K5994" t="s">
        <v>10217</v>
      </c>
      <c r="M5994" t="s">
        <v>10286</v>
      </c>
      <c r="N5994" t="s">
        <v>10646</v>
      </c>
      <c r="P5994" t="s">
        <v>10749</v>
      </c>
      <c r="Q5994" t="s">
        <v>10765</v>
      </c>
      <c r="R5994" t="s">
        <v>10825</v>
      </c>
      <c r="T5994">
        <v>66840</v>
      </c>
      <c r="U5994">
        <v>5570</v>
      </c>
      <c r="V5994">
        <v>54</v>
      </c>
      <c r="W5994">
        <v>2</v>
      </c>
      <c r="X5994">
        <v>0</v>
      </c>
      <c r="Z5994">
        <v>395.27</v>
      </c>
      <c r="AA5994">
        <v>40.67706</v>
      </c>
      <c r="AB5994">
        <v>-73.874629</v>
      </c>
      <c r="AC5994" t="s">
        <v>10838</v>
      </c>
      <c r="AD5994" t="s">
        <v>10840</v>
      </c>
      <c r="AG5994" t="s">
        <v>10858</v>
      </c>
      <c r="AH5994" t="s">
        <v>10871</v>
      </c>
      <c r="AI5994">
        <v>234</v>
      </c>
      <c r="AJ5994" t="s">
        <v>10214</v>
      </c>
      <c r="AL5994">
        <v>0.34</v>
      </c>
      <c r="AM5994" t="s">
        <v>10889</v>
      </c>
      <c r="AN5994" t="s">
        <v>10920</v>
      </c>
      <c r="AO5994" t="s">
        <v>11012</v>
      </c>
      <c r="AP5994" t="s">
        <v>11058</v>
      </c>
      <c r="AR5994" t="s">
        <v>11257</v>
      </c>
      <c r="AS5994" t="s">
        <v>11595</v>
      </c>
      <c r="AT5994" t="s">
        <v>11642</v>
      </c>
      <c r="AX5994" t="s">
        <v>10838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</row>
    <row r="5995" spans="1:59">
      <c r="A5995" s="1">
        <f>HYPERLINK("https://lsnyc.legalserver.org/matter/dynamic-profile/view/1910299","19-1910299")</f>
        <v>0</v>
      </c>
      <c r="B5995" t="s">
        <v>4658</v>
      </c>
      <c r="C5995" t="s">
        <v>9535</v>
      </c>
      <c r="D5995" t="s">
        <v>9955</v>
      </c>
      <c r="E5995" t="s">
        <v>10075</v>
      </c>
      <c r="F5995">
        <v>11692</v>
      </c>
      <c r="G5995" t="s">
        <v>10093</v>
      </c>
      <c r="H5995" t="s">
        <v>10135</v>
      </c>
      <c r="I5995" t="s">
        <v>10168</v>
      </c>
      <c r="J5995" t="s">
        <v>10213</v>
      </c>
      <c r="K5995" t="s">
        <v>10217</v>
      </c>
      <c r="M5995" t="s">
        <v>10258</v>
      </c>
      <c r="N5995" t="s">
        <v>10671</v>
      </c>
      <c r="P5995" t="s">
        <v>10749</v>
      </c>
      <c r="Q5995" t="s">
        <v>10765</v>
      </c>
      <c r="R5995" t="s">
        <v>10820</v>
      </c>
      <c r="T5995">
        <v>18552</v>
      </c>
      <c r="U5995">
        <v>1546</v>
      </c>
      <c r="V5995">
        <v>50</v>
      </c>
      <c r="W5995">
        <v>2</v>
      </c>
      <c r="X5995">
        <v>2</v>
      </c>
      <c r="Z5995">
        <v>72.05</v>
      </c>
      <c r="AA5995">
        <v>40.590944</v>
      </c>
      <c r="AB5995">
        <v>-73.78828</v>
      </c>
      <c r="AD5995" t="s">
        <v>10839</v>
      </c>
      <c r="AG5995" t="s">
        <v>10858</v>
      </c>
      <c r="AH5995" t="s">
        <v>10861</v>
      </c>
      <c r="AI5995">
        <v>234</v>
      </c>
      <c r="AJ5995" t="s">
        <v>10214</v>
      </c>
      <c r="AL5995">
        <v>1.75</v>
      </c>
      <c r="AM5995" t="s">
        <v>10892</v>
      </c>
      <c r="AN5995" t="s">
        <v>10930</v>
      </c>
      <c r="AO5995" t="s">
        <v>11017</v>
      </c>
      <c r="AP5995" t="s">
        <v>11082</v>
      </c>
      <c r="AR5995" t="s">
        <v>11309</v>
      </c>
      <c r="AS5995" t="s">
        <v>11594</v>
      </c>
      <c r="AT5995" t="s">
        <v>11641</v>
      </c>
      <c r="AX5995" t="s">
        <v>10838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</row>
    <row r="5996" spans="1:59">
      <c r="A5996" s="1">
        <f>HYPERLINK("https://lsnyc.legalserver.org/matter/dynamic-profile/view/1910300","19-1910300")</f>
        <v>0</v>
      </c>
      <c r="B5996" t="s">
        <v>3810</v>
      </c>
      <c r="C5996" t="s">
        <v>9532</v>
      </c>
      <c r="D5996" t="s">
        <v>9925</v>
      </c>
      <c r="E5996" t="s">
        <v>10075</v>
      </c>
      <c r="F5996">
        <v>10016</v>
      </c>
      <c r="G5996" t="s">
        <v>10089</v>
      </c>
      <c r="H5996" t="s">
        <v>10162</v>
      </c>
      <c r="I5996" t="s">
        <v>10169</v>
      </c>
      <c r="J5996" t="s">
        <v>10209</v>
      </c>
      <c r="K5996" t="s">
        <v>10217</v>
      </c>
      <c r="M5996" t="s">
        <v>10270</v>
      </c>
      <c r="N5996" t="s">
        <v>10716</v>
      </c>
      <c r="P5996" t="s">
        <v>10754</v>
      </c>
      <c r="Q5996" t="s">
        <v>10777</v>
      </c>
      <c r="R5996" t="s">
        <v>10823</v>
      </c>
      <c r="T5996">
        <v>1098</v>
      </c>
      <c r="U5996">
        <v>91.5</v>
      </c>
      <c r="V5996">
        <v>35</v>
      </c>
      <c r="W5996">
        <v>1</v>
      </c>
      <c r="X5996">
        <v>1</v>
      </c>
      <c r="Z5996">
        <v>6.49</v>
      </c>
      <c r="AA5996">
        <v>40.744254</v>
      </c>
      <c r="AB5996">
        <v>-73.986751</v>
      </c>
      <c r="AD5996" t="s">
        <v>10839</v>
      </c>
      <c r="AF5996" t="s">
        <v>10842</v>
      </c>
      <c r="AG5996" t="s">
        <v>10859</v>
      </c>
      <c r="AH5996" t="s">
        <v>10865</v>
      </c>
      <c r="AI5996">
        <v>236</v>
      </c>
      <c r="AJ5996" t="s">
        <v>10209</v>
      </c>
      <c r="AK5996" t="s">
        <v>10837</v>
      </c>
      <c r="AL5996">
        <v>0</v>
      </c>
      <c r="AM5996" t="s">
        <v>10891</v>
      </c>
      <c r="AN5996" t="s">
        <v>10966</v>
      </c>
      <c r="AO5996" t="s">
        <v>11026</v>
      </c>
      <c r="AP5996" t="s">
        <v>11048</v>
      </c>
      <c r="AQ5996" t="s">
        <v>11128</v>
      </c>
      <c r="AR5996" t="s">
        <v>11255</v>
      </c>
      <c r="AS5996" t="s">
        <v>9925</v>
      </c>
      <c r="AT5996" t="s">
        <v>11641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</row>
    <row r="5997" spans="1:59">
      <c r="A5997" s="1">
        <f>HYPERLINK("https://lsnyc.legalserver.org/matter/dynamic-profile/view/1910301","19-1910301")</f>
        <v>0</v>
      </c>
      <c r="B5997" t="s">
        <v>4659</v>
      </c>
      <c r="C5997" t="s">
        <v>9536</v>
      </c>
      <c r="D5997" t="s">
        <v>9926</v>
      </c>
      <c r="E5997" t="s">
        <v>10075</v>
      </c>
      <c r="F5997">
        <v>10460</v>
      </c>
      <c r="G5997" t="s">
        <v>10090</v>
      </c>
      <c r="H5997" t="s">
        <v>10135</v>
      </c>
      <c r="I5997" t="s">
        <v>10168</v>
      </c>
      <c r="J5997" t="s">
        <v>10210</v>
      </c>
      <c r="K5997" t="s">
        <v>10217</v>
      </c>
      <c r="M5997" t="s">
        <v>10525</v>
      </c>
      <c r="N5997" t="s">
        <v>10651</v>
      </c>
      <c r="P5997" t="s">
        <v>10749</v>
      </c>
      <c r="Q5997" t="s">
        <v>10765</v>
      </c>
      <c r="R5997" t="s">
        <v>10821</v>
      </c>
      <c r="T5997">
        <v>36400</v>
      </c>
      <c r="U5997">
        <v>3033.33</v>
      </c>
      <c r="V5997">
        <v>26</v>
      </c>
      <c r="W5997">
        <v>2</v>
      </c>
      <c r="X5997">
        <v>1</v>
      </c>
      <c r="Z5997">
        <v>170.65</v>
      </c>
      <c r="AA5997">
        <v>40.842591</v>
      </c>
      <c r="AB5997">
        <v>-73.88829</v>
      </c>
      <c r="AD5997" t="s">
        <v>10839</v>
      </c>
      <c r="AF5997" t="s">
        <v>10843</v>
      </c>
      <c r="AG5997" t="s">
        <v>10859</v>
      </c>
      <c r="AH5997" t="s">
        <v>10862</v>
      </c>
      <c r="AI5997">
        <v>230</v>
      </c>
      <c r="AJ5997" t="s">
        <v>10210</v>
      </c>
      <c r="AL5997">
        <v>9.550000000000001</v>
      </c>
      <c r="AM5997" t="s">
        <v>10884</v>
      </c>
      <c r="AN5997" t="s">
        <v>10918</v>
      </c>
      <c r="AO5997" t="s">
        <v>11000</v>
      </c>
      <c r="AP5997" t="s">
        <v>11062</v>
      </c>
      <c r="AR5997" t="s">
        <v>11257</v>
      </c>
      <c r="AS5997" t="s">
        <v>9926</v>
      </c>
      <c r="AT5997" t="s">
        <v>11641</v>
      </c>
      <c r="AX5997" t="s">
        <v>10838</v>
      </c>
      <c r="BA5997" t="s">
        <v>11738</v>
      </c>
      <c r="BB5997">
        <v>0</v>
      </c>
      <c r="BC5997">
        <v>0</v>
      </c>
      <c r="BD5997">
        <v>0</v>
      </c>
      <c r="BE5997">
        <v>0</v>
      </c>
      <c r="BF5997">
        <v>5</v>
      </c>
      <c r="BG5997">
        <v>0</v>
      </c>
    </row>
    <row r="5998" spans="1:59">
      <c r="A5998" s="1">
        <f>HYPERLINK("https://lsnyc.legalserver.org/matter/dynamic-profile/view/1910302","19-1910302")</f>
        <v>0</v>
      </c>
      <c r="B5998" t="s">
        <v>2943</v>
      </c>
      <c r="C5998" t="s">
        <v>9537</v>
      </c>
      <c r="D5998" t="s">
        <v>9928</v>
      </c>
      <c r="E5998" t="s">
        <v>10075</v>
      </c>
      <c r="F5998">
        <v>11225</v>
      </c>
      <c r="G5998" t="s">
        <v>10093</v>
      </c>
      <c r="H5998" t="s">
        <v>10135</v>
      </c>
      <c r="I5998" t="s">
        <v>10168</v>
      </c>
      <c r="J5998" t="s">
        <v>10213</v>
      </c>
      <c r="K5998" t="s">
        <v>10217</v>
      </c>
      <c r="M5998" t="s">
        <v>10405</v>
      </c>
      <c r="N5998" t="s">
        <v>10671</v>
      </c>
      <c r="P5998" t="s">
        <v>10749</v>
      </c>
      <c r="Q5998" t="s">
        <v>10765</v>
      </c>
      <c r="R5998" t="s">
        <v>10824</v>
      </c>
      <c r="T5998">
        <v>14400</v>
      </c>
      <c r="U5998">
        <v>1200</v>
      </c>
      <c r="V5998">
        <v>45</v>
      </c>
      <c r="W5998">
        <v>2</v>
      </c>
      <c r="X5998">
        <v>3</v>
      </c>
      <c r="Z5998">
        <v>47.73</v>
      </c>
      <c r="AA5998">
        <v>40.656804</v>
      </c>
      <c r="AB5998">
        <v>-73.95829999999999</v>
      </c>
      <c r="AD5998" t="s">
        <v>10839</v>
      </c>
      <c r="AF5998" t="s">
        <v>10843</v>
      </c>
      <c r="AG5998" t="s">
        <v>10859</v>
      </c>
      <c r="AH5998" t="s">
        <v>10861</v>
      </c>
      <c r="AI5998">
        <v>234</v>
      </c>
      <c r="AJ5998" t="s">
        <v>10214</v>
      </c>
      <c r="AL5998">
        <v>1.2</v>
      </c>
      <c r="AR5998" t="s">
        <v>11273</v>
      </c>
      <c r="AS5998" t="s">
        <v>11595</v>
      </c>
      <c r="AT5998" t="s">
        <v>11641</v>
      </c>
      <c r="AX5998" t="s">
        <v>10838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</row>
    <row r="5999" spans="1:59">
      <c r="A5999" s="1">
        <f>HYPERLINK("https://lsnyc.legalserver.org/matter/dynamic-profile/view/1910303","19-1910303")</f>
        <v>0</v>
      </c>
      <c r="B5999" t="s">
        <v>4660</v>
      </c>
      <c r="C5999" t="s">
        <v>9538</v>
      </c>
      <c r="D5999" t="s">
        <v>9928</v>
      </c>
      <c r="E5999" t="s">
        <v>10075</v>
      </c>
      <c r="F5999">
        <v>11236</v>
      </c>
      <c r="G5999" t="s">
        <v>10093</v>
      </c>
      <c r="H5999" t="s">
        <v>10135</v>
      </c>
      <c r="I5999" t="s">
        <v>10168</v>
      </c>
      <c r="J5999" t="s">
        <v>10213</v>
      </c>
      <c r="K5999" t="s">
        <v>10217</v>
      </c>
      <c r="M5999" t="s">
        <v>10248</v>
      </c>
      <c r="N5999" t="s">
        <v>10720</v>
      </c>
      <c r="P5999" t="s">
        <v>10749</v>
      </c>
      <c r="Q5999" t="s">
        <v>10759</v>
      </c>
      <c r="R5999" t="s">
        <v>10824</v>
      </c>
      <c r="T5999">
        <v>53916</v>
      </c>
      <c r="U5999">
        <v>4493</v>
      </c>
      <c r="V5999">
        <v>77</v>
      </c>
      <c r="W5999">
        <v>2</v>
      </c>
      <c r="X5999">
        <v>0</v>
      </c>
      <c r="Z5999">
        <v>318.84</v>
      </c>
      <c r="AA5999">
        <v>40.640861</v>
      </c>
      <c r="AB5999">
        <v>-73.89514</v>
      </c>
      <c r="AC5999" t="s">
        <v>10838</v>
      </c>
      <c r="AD5999" t="s">
        <v>10839</v>
      </c>
      <c r="AG5999" t="s">
        <v>10858</v>
      </c>
      <c r="AH5999" t="s">
        <v>10860</v>
      </c>
      <c r="AI5999">
        <v>239</v>
      </c>
      <c r="AJ5999" t="s">
        <v>10213</v>
      </c>
      <c r="AL5999">
        <v>6.55</v>
      </c>
      <c r="AM5999" t="s">
        <v>10889</v>
      </c>
      <c r="AN5999" t="s">
        <v>10925</v>
      </c>
      <c r="AO5999" t="s">
        <v>11012</v>
      </c>
      <c r="AP5999" t="s">
        <v>11072</v>
      </c>
      <c r="AR5999" t="s">
        <v>11265</v>
      </c>
      <c r="AS5999" t="s">
        <v>11595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</row>
    <row r="6000" spans="1:59">
      <c r="A6000" s="1">
        <f>HYPERLINK("https://lsnyc.legalserver.org/matter/dynamic-profile/view/1910304","19-1910304")</f>
        <v>0</v>
      </c>
      <c r="B6000" t="s">
        <v>3810</v>
      </c>
      <c r="C6000" t="s">
        <v>9532</v>
      </c>
      <c r="D6000" t="s">
        <v>9925</v>
      </c>
      <c r="E6000" t="s">
        <v>10075</v>
      </c>
      <c r="F6000">
        <v>10016</v>
      </c>
      <c r="G6000" t="s">
        <v>10089</v>
      </c>
      <c r="H6000" t="s">
        <v>10162</v>
      </c>
      <c r="I6000" t="s">
        <v>10169</v>
      </c>
      <c r="J6000" t="s">
        <v>10209</v>
      </c>
      <c r="K6000" t="s">
        <v>10217</v>
      </c>
      <c r="M6000" t="s">
        <v>10270</v>
      </c>
      <c r="N6000" t="s">
        <v>10688</v>
      </c>
      <c r="P6000" t="s">
        <v>10754</v>
      </c>
      <c r="Q6000" t="s">
        <v>10770</v>
      </c>
      <c r="R6000" t="s">
        <v>10823</v>
      </c>
      <c r="T6000">
        <v>1098</v>
      </c>
      <c r="U6000">
        <v>91.5</v>
      </c>
      <c r="V6000">
        <v>35</v>
      </c>
      <c r="W6000">
        <v>1</v>
      </c>
      <c r="X6000">
        <v>1</v>
      </c>
      <c r="Z6000">
        <v>6.49</v>
      </c>
      <c r="AA6000">
        <v>40.744254</v>
      </c>
      <c r="AB6000">
        <v>-73.986751</v>
      </c>
      <c r="AD6000" t="s">
        <v>10839</v>
      </c>
      <c r="AF6000" t="s">
        <v>10842</v>
      </c>
      <c r="AG6000" t="s">
        <v>10859</v>
      </c>
      <c r="AH6000" t="s">
        <v>10865</v>
      </c>
      <c r="AI6000">
        <v>236</v>
      </c>
      <c r="AJ6000" t="s">
        <v>10209</v>
      </c>
      <c r="AK6000" t="s">
        <v>10837</v>
      </c>
      <c r="AL6000">
        <v>0</v>
      </c>
      <c r="AM6000" t="s">
        <v>10891</v>
      </c>
      <c r="AN6000" t="s">
        <v>10966</v>
      </c>
      <c r="AO6000" t="s">
        <v>11026</v>
      </c>
      <c r="AP6000" t="s">
        <v>11048</v>
      </c>
      <c r="AQ6000" t="s">
        <v>11152</v>
      </c>
      <c r="AR6000" t="s">
        <v>11255</v>
      </c>
      <c r="AS6000" t="s">
        <v>9925</v>
      </c>
      <c r="AT6000" t="s">
        <v>11641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</row>
    <row r="6001" spans="1:59">
      <c r="A6001" s="1">
        <f>HYPERLINK("https://lsnyc.legalserver.org/matter/dynamic-profile/view/1910305","19-1910305")</f>
        <v>0</v>
      </c>
      <c r="B6001" t="s">
        <v>4661</v>
      </c>
      <c r="C6001" t="s">
        <v>9539</v>
      </c>
      <c r="D6001" t="s">
        <v>9925</v>
      </c>
      <c r="E6001" t="s">
        <v>10075</v>
      </c>
      <c r="F6001">
        <v>10037</v>
      </c>
      <c r="G6001" t="s">
        <v>10091</v>
      </c>
      <c r="H6001" t="s">
        <v>10135</v>
      </c>
      <c r="I6001" t="s">
        <v>10169</v>
      </c>
      <c r="J6001" t="s">
        <v>10214</v>
      </c>
      <c r="K6001" t="s">
        <v>10217</v>
      </c>
      <c r="M6001" t="s">
        <v>10286</v>
      </c>
      <c r="N6001" t="s">
        <v>10671</v>
      </c>
      <c r="P6001" t="s">
        <v>10751</v>
      </c>
      <c r="Q6001" t="s">
        <v>10768</v>
      </c>
      <c r="R6001" t="s">
        <v>10827</v>
      </c>
      <c r="T6001">
        <v>12000</v>
      </c>
      <c r="U6001">
        <v>1000</v>
      </c>
      <c r="V6001">
        <v>30</v>
      </c>
      <c r="W6001">
        <v>1</v>
      </c>
      <c r="X6001">
        <v>0</v>
      </c>
      <c r="Z6001">
        <v>96.08</v>
      </c>
      <c r="AA6001">
        <v>40.811223</v>
      </c>
      <c r="AB6001">
        <v>-73.937144</v>
      </c>
      <c r="AD6001" t="s">
        <v>10839</v>
      </c>
      <c r="AG6001" t="s">
        <v>10858</v>
      </c>
      <c r="AH6001" t="s">
        <v>10871</v>
      </c>
      <c r="AI6001">
        <v>234</v>
      </c>
      <c r="AJ6001" t="s">
        <v>10214</v>
      </c>
      <c r="AL6001">
        <v>1</v>
      </c>
      <c r="AM6001" t="s">
        <v>10887</v>
      </c>
      <c r="AN6001" t="s">
        <v>10936</v>
      </c>
      <c r="AO6001" t="s">
        <v>11016</v>
      </c>
      <c r="AP6001" t="s">
        <v>11076</v>
      </c>
      <c r="AR6001" t="s">
        <v>11319</v>
      </c>
      <c r="AS6001" t="s">
        <v>9925</v>
      </c>
      <c r="AT6001" t="s">
        <v>11641</v>
      </c>
      <c r="AX6001" t="s">
        <v>10838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</row>
    <row r="6002" spans="1:59">
      <c r="A6002" s="1">
        <f>HYPERLINK("https://lsnyc.legalserver.org/matter/dynamic-profile/view/1910306","19-1910306")</f>
        <v>0</v>
      </c>
      <c r="B6002" t="s">
        <v>3531</v>
      </c>
      <c r="C6002" t="s">
        <v>9540</v>
      </c>
      <c r="D6002" t="s">
        <v>9925</v>
      </c>
      <c r="E6002" t="s">
        <v>10075</v>
      </c>
      <c r="F6002">
        <v>10025</v>
      </c>
      <c r="G6002" t="s">
        <v>10089</v>
      </c>
      <c r="H6002" t="s">
        <v>10135</v>
      </c>
      <c r="I6002" t="s">
        <v>10168</v>
      </c>
      <c r="J6002" t="s">
        <v>10209</v>
      </c>
      <c r="K6002" t="s">
        <v>10217</v>
      </c>
      <c r="M6002" t="s">
        <v>10288</v>
      </c>
      <c r="N6002" t="s">
        <v>10671</v>
      </c>
      <c r="P6002" t="s">
        <v>10750</v>
      </c>
      <c r="Q6002" t="s">
        <v>10779</v>
      </c>
      <c r="R6002" t="s">
        <v>10822</v>
      </c>
      <c r="T6002">
        <v>4200</v>
      </c>
      <c r="U6002">
        <v>350</v>
      </c>
      <c r="V6002">
        <v>69</v>
      </c>
      <c r="W6002">
        <v>1</v>
      </c>
      <c r="X6002">
        <v>0</v>
      </c>
      <c r="Z6002">
        <v>33.63</v>
      </c>
      <c r="AA6002">
        <v>40.805806</v>
      </c>
      <c r="AB6002">
        <v>-73.963211</v>
      </c>
      <c r="AD6002" t="s">
        <v>10839</v>
      </c>
      <c r="AG6002" t="s">
        <v>10858</v>
      </c>
      <c r="AH6002" t="s">
        <v>10861</v>
      </c>
      <c r="AI6002">
        <v>234</v>
      </c>
      <c r="AJ6002" t="s">
        <v>10214</v>
      </c>
      <c r="AL6002">
        <v>0.5</v>
      </c>
      <c r="AM6002" t="s">
        <v>10894</v>
      </c>
      <c r="AN6002" t="s">
        <v>10953</v>
      </c>
      <c r="AO6002" t="s">
        <v>11016</v>
      </c>
      <c r="AP6002" t="s">
        <v>11073</v>
      </c>
      <c r="AR6002" t="s">
        <v>11577</v>
      </c>
      <c r="AS6002" t="s">
        <v>9925</v>
      </c>
      <c r="AT6002" t="s">
        <v>11641</v>
      </c>
      <c r="AX6002" t="s">
        <v>10838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</row>
    <row r="6003" spans="1:59">
      <c r="A6003" s="1">
        <f>HYPERLINK("https://lsnyc.legalserver.org/matter/dynamic-profile/view/1910307","19-1910307")</f>
        <v>0</v>
      </c>
      <c r="B6003" t="s">
        <v>4662</v>
      </c>
      <c r="C6003" t="s">
        <v>9541</v>
      </c>
      <c r="D6003" t="s">
        <v>9928</v>
      </c>
      <c r="E6003" t="s">
        <v>10075</v>
      </c>
      <c r="F6003">
        <v>11225</v>
      </c>
      <c r="G6003" t="s">
        <v>10093</v>
      </c>
      <c r="H6003" t="s">
        <v>10135</v>
      </c>
      <c r="I6003" t="s">
        <v>10168</v>
      </c>
      <c r="J6003" t="s">
        <v>10213</v>
      </c>
      <c r="K6003" t="s">
        <v>10217</v>
      </c>
      <c r="M6003" t="s">
        <v>10268</v>
      </c>
      <c r="N6003" t="s">
        <v>10667</v>
      </c>
      <c r="P6003" t="s">
        <v>10749</v>
      </c>
      <c r="Q6003" t="s">
        <v>10765</v>
      </c>
      <c r="R6003" t="s">
        <v>10824</v>
      </c>
      <c r="T6003">
        <v>20800</v>
      </c>
      <c r="U6003">
        <v>1733.33</v>
      </c>
      <c r="V6003">
        <v>35</v>
      </c>
      <c r="W6003">
        <v>1</v>
      </c>
      <c r="X6003">
        <v>0</v>
      </c>
      <c r="Z6003">
        <v>166.53</v>
      </c>
      <c r="AA6003">
        <v>40.658647</v>
      </c>
      <c r="AB6003">
        <v>-73.96089600000001</v>
      </c>
      <c r="AD6003" t="s">
        <v>10822</v>
      </c>
      <c r="AG6003" t="s">
        <v>10858</v>
      </c>
      <c r="AH6003" t="s">
        <v>10862</v>
      </c>
      <c r="AI6003">
        <v>239</v>
      </c>
      <c r="AJ6003" t="s">
        <v>10213</v>
      </c>
      <c r="AL6003">
        <v>0.6</v>
      </c>
      <c r="AM6003" t="s">
        <v>10888</v>
      </c>
      <c r="AN6003" t="s">
        <v>10912</v>
      </c>
      <c r="AO6003" t="s">
        <v>11008</v>
      </c>
      <c r="AP6003" t="s">
        <v>11050</v>
      </c>
      <c r="AQ6003" t="s">
        <v>11101</v>
      </c>
      <c r="AR6003" t="s">
        <v>11257</v>
      </c>
      <c r="AS6003" t="s">
        <v>11595</v>
      </c>
      <c r="BA6003" t="s">
        <v>11738</v>
      </c>
      <c r="BB6003">
        <v>0</v>
      </c>
      <c r="BC6003">
        <v>0</v>
      </c>
      <c r="BD6003">
        <v>0</v>
      </c>
      <c r="BE6003">
        <v>0</v>
      </c>
      <c r="BF6003">
        <v>5</v>
      </c>
      <c r="BG6003">
        <v>0</v>
      </c>
    </row>
    <row r="6004" spans="1:59">
      <c r="A6004" s="1">
        <f>HYPERLINK("https://lsnyc.legalserver.org/matter/dynamic-profile/view/1910308","19-1910308")</f>
        <v>0</v>
      </c>
      <c r="B6004" t="s">
        <v>2931</v>
      </c>
      <c r="C6004" t="s">
        <v>7310</v>
      </c>
      <c r="D6004" t="s">
        <v>9925</v>
      </c>
      <c r="E6004" t="s">
        <v>10075</v>
      </c>
      <c r="F6004">
        <v>10009</v>
      </c>
      <c r="G6004" t="s">
        <v>10089</v>
      </c>
      <c r="H6004" t="s">
        <v>10135</v>
      </c>
      <c r="I6004" t="s">
        <v>10169</v>
      </c>
      <c r="J6004" t="s">
        <v>10209</v>
      </c>
      <c r="K6004" t="s">
        <v>10217</v>
      </c>
      <c r="M6004" t="s">
        <v>10266</v>
      </c>
      <c r="N6004" t="s">
        <v>10649</v>
      </c>
      <c r="P6004" t="s">
        <v>10753</v>
      </c>
      <c r="Q6004" t="s">
        <v>10763</v>
      </c>
      <c r="R6004" t="s">
        <v>10823</v>
      </c>
      <c r="T6004">
        <v>10536</v>
      </c>
      <c r="U6004">
        <v>878</v>
      </c>
      <c r="V6004">
        <v>78</v>
      </c>
      <c r="W6004">
        <v>1</v>
      </c>
      <c r="X6004">
        <v>0</v>
      </c>
      <c r="Z6004">
        <v>84.36</v>
      </c>
      <c r="AA6004">
        <v>40.723735</v>
      </c>
      <c r="AB6004">
        <v>-73.979428</v>
      </c>
      <c r="AD6004" t="s">
        <v>10840</v>
      </c>
      <c r="AF6004" t="s">
        <v>10843</v>
      </c>
      <c r="AG6004" t="s">
        <v>10859</v>
      </c>
      <c r="AH6004" t="s">
        <v>10864</v>
      </c>
      <c r="AI6004">
        <v>236</v>
      </c>
      <c r="AJ6004" t="s">
        <v>10209</v>
      </c>
      <c r="AL6004">
        <v>0.1</v>
      </c>
      <c r="AM6004" t="s">
        <v>10891</v>
      </c>
      <c r="AN6004" t="s">
        <v>10910</v>
      </c>
      <c r="AO6004" t="s">
        <v>11021</v>
      </c>
      <c r="AP6004" t="s">
        <v>11048</v>
      </c>
      <c r="AQ6004" t="s">
        <v>11104</v>
      </c>
      <c r="AR6004" t="s">
        <v>11423</v>
      </c>
      <c r="AS6004" t="s">
        <v>9925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</row>
    <row r="6005" spans="1:59">
      <c r="A6005" s="1">
        <f>HYPERLINK("https://lsnyc.legalserver.org/matter/dynamic-profile/view/1910309","19-1910309")</f>
        <v>0</v>
      </c>
      <c r="B6005" t="s">
        <v>4663</v>
      </c>
      <c r="C6005" t="s">
        <v>9542</v>
      </c>
      <c r="D6005" t="s">
        <v>9926</v>
      </c>
      <c r="E6005" t="s">
        <v>10075</v>
      </c>
      <c r="F6005">
        <v>10468</v>
      </c>
      <c r="G6005" t="s">
        <v>10090</v>
      </c>
      <c r="H6005" t="s">
        <v>10135</v>
      </c>
      <c r="I6005" t="s">
        <v>10168</v>
      </c>
      <c r="J6005" t="s">
        <v>10210</v>
      </c>
      <c r="K6005" t="s">
        <v>10217</v>
      </c>
      <c r="M6005" t="s">
        <v>10279</v>
      </c>
      <c r="N6005" t="s">
        <v>10651</v>
      </c>
      <c r="P6005" t="s">
        <v>10749</v>
      </c>
      <c r="Q6005" t="s">
        <v>10765</v>
      </c>
      <c r="R6005" t="s">
        <v>10821</v>
      </c>
      <c r="T6005">
        <v>8316</v>
      </c>
      <c r="U6005">
        <v>693</v>
      </c>
      <c r="V6005">
        <v>53</v>
      </c>
      <c r="W6005">
        <v>3</v>
      </c>
      <c r="X6005">
        <v>0</v>
      </c>
      <c r="Z6005">
        <v>38.99</v>
      </c>
      <c r="AA6005">
        <v>40.871308</v>
      </c>
      <c r="AB6005">
        <v>-73.900514</v>
      </c>
      <c r="AD6005" t="s">
        <v>10839</v>
      </c>
      <c r="AG6005" t="s">
        <v>10858</v>
      </c>
      <c r="AH6005" t="s">
        <v>10861</v>
      </c>
      <c r="AI6005">
        <v>230</v>
      </c>
      <c r="AJ6005" t="s">
        <v>10210</v>
      </c>
      <c r="AL6005">
        <v>2</v>
      </c>
      <c r="AM6005" t="s">
        <v>10887</v>
      </c>
      <c r="AN6005" t="s">
        <v>10919</v>
      </c>
      <c r="AO6005" t="s">
        <v>11000</v>
      </c>
      <c r="AP6005" t="s">
        <v>11045</v>
      </c>
      <c r="AR6005" t="s">
        <v>11263</v>
      </c>
      <c r="AS6005" t="s">
        <v>9926</v>
      </c>
      <c r="AT6005" t="s">
        <v>11641</v>
      </c>
      <c r="AX6005" t="s">
        <v>10838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</row>
    <row r="6006" spans="1:59">
      <c r="A6006" s="1">
        <f>HYPERLINK("https://lsnyc.legalserver.org/matter/dynamic-profile/view/1910310","19-1910310")</f>
        <v>0</v>
      </c>
      <c r="B6006" t="s">
        <v>2945</v>
      </c>
      <c r="C6006" t="s">
        <v>8016</v>
      </c>
      <c r="D6006" t="s">
        <v>9925</v>
      </c>
      <c r="E6006" t="s">
        <v>10075</v>
      </c>
      <c r="F6006">
        <v>10031</v>
      </c>
      <c r="G6006" t="s">
        <v>10089</v>
      </c>
      <c r="H6006" t="s">
        <v>10162</v>
      </c>
      <c r="I6006" t="s">
        <v>10168</v>
      </c>
      <c r="J6006" t="s">
        <v>10209</v>
      </c>
      <c r="K6006" t="s">
        <v>10217</v>
      </c>
      <c r="M6006" t="s">
        <v>10270</v>
      </c>
      <c r="N6006" t="s">
        <v>10670</v>
      </c>
      <c r="P6006" t="s">
        <v>10753</v>
      </c>
      <c r="Q6006" t="s">
        <v>10763</v>
      </c>
      <c r="R6006" t="s">
        <v>10821</v>
      </c>
      <c r="T6006">
        <v>7280</v>
      </c>
      <c r="U6006">
        <v>606.67</v>
      </c>
      <c r="V6006">
        <v>28</v>
      </c>
      <c r="W6006">
        <v>1</v>
      </c>
      <c r="X6006">
        <v>1</v>
      </c>
      <c r="Z6006">
        <v>43.05</v>
      </c>
      <c r="AA6006">
        <v>40.82197</v>
      </c>
      <c r="AB6006">
        <v>-73.952692</v>
      </c>
      <c r="AD6006" t="s">
        <v>10839</v>
      </c>
      <c r="AF6006" t="s">
        <v>10843</v>
      </c>
      <c r="AG6006" t="s">
        <v>10859</v>
      </c>
      <c r="AH6006" t="s">
        <v>10865</v>
      </c>
      <c r="AI6006">
        <v>236</v>
      </c>
      <c r="AJ6006" t="s">
        <v>10209</v>
      </c>
      <c r="AK6006" t="s">
        <v>10837</v>
      </c>
      <c r="AL6006">
        <v>0</v>
      </c>
      <c r="AR6006" t="s">
        <v>11257</v>
      </c>
      <c r="AS6006" t="s">
        <v>9925</v>
      </c>
      <c r="AT6006" t="s">
        <v>11641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</row>
    <row r="6007" spans="1:59">
      <c r="A6007" s="1">
        <f>HYPERLINK("https://lsnyc.legalserver.org/matter/dynamic-profile/view/1910311","19-1910311")</f>
        <v>0</v>
      </c>
      <c r="B6007" t="s">
        <v>131</v>
      </c>
      <c r="C6007" t="s">
        <v>5070</v>
      </c>
      <c r="D6007" t="s">
        <v>9928</v>
      </c>
      <c r="E6007" t="s">
        <v>10075</v>
      </c>
      <c r="F6007">
        <v>11226</v>
      </c>
      <c r="G6007" t="s">
        <v>10093</v>
      </c>
      <c r="H6007" t="s">
        <v>10135</v>
      </c>
      <c r="I6007" t="s">
        <v>10168</v>
      </c>
      <c r="J6007" t="s">
        <v>10213</v>
      </c>
      <c r="K6007" t="s">
        <v>10217</v>
      </c>
      <c r="M6007" t="s">
        <v>10268</v>
      </c>
      <c r="N6007" t="s">
        <v>10671</v>
      </c>
      <c r="P6007" t="s">
        <v>10751</v>
      </c>
      <c r="Q6007" t="s">
        <v>10761</v>
      </c>
      <c r="R6007" t="s">
        <v>10824</v>
      </c>
      <c r="T6007">
        <v>26000</v>
      </c>
      <c r="U6007">
        <v>2166.67</v>
      </c>
      <c r="V6007">
        <v>58</v>
      </c>
      <c r="W6007">
        <v>2</v>
      </c>
      <c r="X6007">
        <v>0</v>
      </c>
      <c r="Z6007">
        <v>153.76</v>
      </c>
      <c r="AA6007">
        <v>40.652154</v>
      </c>
      <c r="AB6007">
        <v>-73.962846</v>
      </c>
      <c r="AD6007" t="s">
        <v>10840</v>
      </c>
      <c r="AG6007" t="s">
        <v>10858</v>
      </c>
      <c r="AH6007" t="s">
        <v>10862</v>
      </c>
      <c r="AI6007">
        <v>239</v>
      </c>
      <c r="AJ6007" t="s">
        <v>10213</v>
      </c>
      <c r="AL6007">
        <v>0</v>
      </c>
      <c r="AM6007" t="s">
        <v>10888</v>
      </c>
      <c r="AN6007" t="s">
        <v>10932</v>
      </c>
      <c r="AO6007" t="s">
        <v>11008</v>
      </c>
      <c r="AP6007" t="s">
        <v>11050</v>
      </c>
      <c r="AR6007" t="s">
        <v>11257</v>
      </c>
      <c r="AS6007" t="s">
        <v>11595</v>
      </c>
      <c r="BA6007" t="s">
        <v>11742</v>
      </c>
      <c r="BB6007">
        <v>0</v>
      </c>
      <c r="BC6007">
        <v>0</v>
      </c>
      <c r="BD6007">
        <v>0</v>
      </c>
      <c r="BE6007">
        <v>0</v>
      </c>
      <c r="BF6007">
        <v>7</v>
      </c>
      <c r="BG6007">
        <v>0</v>
      </c>
    </row>
    <row r="6008" spans="1:59">
      <c r="A6008" s="1">
        <f>HYPERLINK("https://lsnyc.legalserver.org/matter/dynamic-profile/view/1910312","19-1910312")</f>
        <v>0</v>
      </c>
      <c r="B6008" t="s">
        <v>2945</v>
      </c>
      <c r="C6008" t="s">
        <v>8016</v>
      </c>
      <c r="D6008" t="s">
        <v>9925</v>
      </c>
      <c r="E6008" t="s">
        <v>10075</v>
      </c>
      <c r="F6008">
        <v>10031</v>
      </c>
      <c r="G6008" t="s">
        <v>10089</v>
      </c>
      <c r="H6008" t="s">
        <v>10162</v>
      </c>
      <c r="I6008" t="s">
        <v>10168</v>
      </c>
      <c r="J6008" t="s">
        <v>10209</v>
      </c>
      <c r="K6008" t="s">
        <v>10217</v>
      </c>
      <c r="M6008" t="s">
        <v>10270</v>
      </c>
      <c r="N6008" t="s">
        <v>10670</v>
      </c>
      <c r="P6008" t="s">
        <v>10754</v>
      </c>
      <c r="Q6008" t="s">
        <v>10770</v>
      </c>
      <c r="R6008" t="s">
        <v>10821</v>
      </c>
      <c r="T6008">
        <v>7280</v>
      </c>
      <c r="U6008">
        <v>606.67</v>
      </c>
      <c r="V6008">
        <v>28</v>
      </c>
      <c r="W6008">
        <v>1</v>
      </c>
      <c r="X6008">
        <v>1</v>
      </c>
      <c r="Z6008">
        <v>43.05</v>
      </c>
      <c r="AA6008">
        <v>40.82197</v>
      </c>
      <c r="AB6008">
        <v>-73.952692</v>
      </c>
      <c r="AD6008" t="s">
        <v>10839</v>
      </c>
      <c r="AF6008" t="s">
        <v>10843</v>
      </c>
      <c r="AG6008" t="s">
        <v>10859</v>
      </c>
      <c r="AH6008" t="s">
        <v>10865</v>
      </c>
      <c r="AI6008">
        <v>236</v>
      </c>
      <c r="AJ6008" t="s">
        <v>10209</v>
      </c>
      <c r="AK6008" t="s">
        <v>10837</v>
      </c>
      <c r="AL6008">
        <v>0</v>
      </c>
      <c r="AQ6008" t="s">
        <v>11152</v>
      </c>
      <c r="AR6008" t="s">
        <v>11257</v>
      </c>
      <c r="AS6008" t="s">
        <v>9925</v>
      </c>
      <c r="AT6008" t="s">
        <v>11641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</row>
    <row r="6009" spans="1:59">
      <c r="A6009" s="1">
        <f>HYPERLINK("https://lsnyc.legalserver.org/matter/dynamic-profile/view/1910313","19-1910313")</f>
        <v>0</v>
      </c>
      <c r="B6009" t="s">
        <v>4664</v>
      </c>
      <c r="C6009" t="s">
        <v>9543</v>
      </c>
      <c r="D6009" t="s">
        <v>9926</v>
      </c>
      <c r="E6009" t="s">
        <v>10075</v>
      </c>
      <c r="F6009">
        <v>10460</v>
      </c>
      <c r="G6009" t="s">
        <v>10090</v>
      </c>
      <c r="H6009" t="s">
        <v>10135</v>
      </c>
      <c r="I6009" t="s">
        <v>10168</v>
      </c>
      <c r="J6009" t="s">
        <v>10210</v>
      </c>
      <c r="K6009" t="s">
        <v>10217</v>
      </c>
      <c r="M6009" t="s">
        <v>10615</v>
      </c>
      <c r="N6009" t="s">
        <v>10656</v>
      </c>
      <c r="P6009" t="s">
        <v>10751</v>
      </c>
      <c r="Q6009" t="s">
        <v>10768</v>
      </c>
      <c r="R6009" t="s">
        <v>10821</v>
      </c>
      <c r="T6009">
        <v>9252</v>
      </c>
      <c r="U6009">
        <v>771</v>
      </c>
      <c r="V6009">
        <v>40</v>
      </c>
      <c r="W6009">
        <v>1</v>
      </c>
      <c r="X6009">
        <v>0</v>
      </c>
      <c r="Z6009">
        <v>74.08</v>
      </c>
      <c r="AA6009">
        <v>40.837448</v>
      </c>
      <c r="AB6009">
        <v>-73.871172</v>
      </c>
      <c r="AD6009" t="s">
        <v>10840</v>
      </c>
      <c r="AG6009" t="s">
        <v>10858</v>
      </c>
      <c r="AH6009" t="s">
        <v>10871</v>
      </c>
      <c r="AI6009">
        <v>234</v>
      </c>
      <c r="AJ6009" t="s">
        <v>10214</v>
      </c>
      <c r="AL6009">
        <v>7.8</v>
      </c>
      <c r="AM6009" t="s">
        <v>10884</v>
      </c>
      <c r="AN6009" t="s">
        <v>10908</v>
      </c>
      <c r="AO6009" t="s">
        <v>11001</v>
      </c>
      <c r="AP6009" t="s">
        <v>11046</v>
      </c>
      <c r="AR6009" t="s">
        <v>11274</v>
      </c>
      <c r="AS6009" t="s">
        <v>9926</v>
      </c>
      <c r="AT6009" t="s">
        <v>11642</v>
      </c>
      <c r="AX6009" t="s">
        <v>10838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</row>
    <row r="6010" spans="1:59">
      <c r="A6010" s="1">
        <f>HYPERLINK("https://lsnyc.legalserver.org/matter/dynamic-profile/view/1910314","19-1910314")</f>
        <v>0</v>
      </c>
      <c r="B6010" t="s">
        <v>4665</v>
      </c>
      <c r="C6010" t="s">
        <v>9544</v>
      </c>
      <c r="D6010" t="s">
        <v>9938</v>
      </c>
      <c r="E6010" t="s">
        <v>10075</v>
      </c>
      <c r="F6010">
        <v>11436</v>
      </c>
      <c r="G6010" t="s">
        <v>10092</v>
      </c>
      <c r="H6010" t="s">
        <v>10135</v>
      </c>
      <c r="I6010" t="s">
        <v>10169</v>
      </c>
      <c r="J6010" t="s">
        <v>10212</v>
      </c>
      <c r="K6010" t="s">
        <v>10217</v>
      </c>
      <c r="M6010" t="s">
        <v>10547</v>
      </c>
      <c r="N6010" t="s">
        <v>10671</v>
      </c>
      <c r="P6010" t="s">
        <v>10753</v>
      </c>
      <c r="Q6010" t="s">
        <v>10763</v>
      </c>
      <c r="R6010" t="s">
        <v>10821</v>
      </c>
      <c r="T6010">
        <v>8328</v>
      </c>
      <c r="U6010">
        <v>694</v>
      </c>
      <c r="V6010">
        <v>54</v>
      </c>
      <c r="W6010">
        <v>1</v>
      </c>
      <c r="X6010">
        <v>0</v>
      </c>
      <c r="Z6010">
        <v>66.68000000000001</v>
      </c>
      <c r="AA6010">
        <v>40.676627</v>
      </c>
      <c r="AB6010">
        <v>-73.79265700000001</v>
      </c>
      <c r="AD6010" t="s">
        <v>10840</v>
      </c>
      <c r="AF6010" t="s">
        <v>10843</v>
      </c>
      <c r="AG6010" t="s">
        <v>10859</v>
      </c>
      <c r="AH6010" t="s">
        <v>10871</v>
      </c>
      <c r="AI6010">
        <v>234</v>
      </c>
      <c r="AJ6010" t="s">
        <v>10214</v>
      </c>
      <c r="AL6010">
        <v>0.5</v>
      </c>
      <c r="AM6010" t="s">
        <v>10892</v>
      </c>
      <c r="AN6010" t="s">
        <v>10951</v>
      </c>
      <c r="AO6010" t="s">
        <v>11017</v>
      </c>
      <c r="AP6010" t="s">
        <v>11070</v>
      </c>
      <c r="AR6010" t="s">
        <v>11298</v>
      </c>
      <c r="AS6010" t="s">
        <v>11594</v>
      </c>
      <c r="AT6010" t="s">
        <v>11642</v>
      </c>
      <c r="AX6010" t="s">
        <v>10838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</row>
    <row r="6011" spans="1:59">
      <c r="A6011" s="1">
        <f>HYPERLINK("https://lsnyc.legalserver.org/matter/dynamic-profile/view/1910315","19-1910315")</f>
        <v>0</v>
      </c>
      <c r="B6011" t="s">
        <v>4666</v>
      </c>
      <c r="C6011" t="s">
        <v>9545</v>
      </c>
      <c r="D6011" t="s">
        <v>9926</v>
      </c>
      <c r="E6011" t="s">
        <v>10075</v>
      </c>
      <c r="F6011">
        <v>10461</v>
      </c>
      <c r="G6011" t="s">
        <v>10090</v>
      </c>
      <c r="H6011" t="s">
        <v>10135</v>
      </c>
      <c r="I6011" t="s">
        <v>10168</v>
      </c>
      <c r="J6011" t="s">
        <v>10210</v>
      </c>
      <c r="K6011" t="s">
        <v>10217</v>
      </c>
      <c r="M6011" t="s">
        <v>10406</v>
      </c>
      <c r="N6011" t="s">
        <v>10671</v>
      </c>
      <c r="P6011" t="s">
        <v>10757</v>
      </c>
      <c r="Q6011" t="s">
        <v>10789</v>
      </c>
      <c r="R6011" t="s">
        <v>10820</v>
      </c>
      <c r="T6011">
        <v>10152</v>
      </c>
      <c r="U6011">
        <v>846</v>
      </c>
      <c r="V6011">
        <v>64</v>
      </c>
      <c r="W6011">
        <v>1</v>
      </c>
      <c r="X6011">
        <v>0</v>
      </c>
      <c r="Z6011">
        <v>81.28</v>
      </c>
      <c r="AA6011">
        <v>40.847917</v>
      </c>
      <c r="AB6011">
        <v>-73.829179</v>
      </c>
      <c r="AD6011" t="s">
        <v>10839</v>
      </c>
      <c r="AG6011" t="s">
        <v>10858</v>
      </c>
      <c r="AH6011" t="s">
        <v>10881</v>
      </c>
      <c r="AI6011">
        <v>234</v>
      </c>
      <c r="AJ6011" t="s">
        <v>10214</v>
      </c>
      <c r="AL6011">
        <v>2.35</v>
      </c>
      <c r="AM6011" t="s">
        <v>10885</v>
      </c>
      <c r="AN6011" t="s">
        <v>10911</v>
      </c>
      <c r="AO6011" t="s">
        <v>11002</v>
      </c>
      <c r="AP6011" t="s">
        <v>11049</v>
      </c>
      <c r="AR6011" t="s">
        <v>11298</v>
      </c>
      <c r="AS6011" t="s">
        <v>9926</v>
      </c>
      <c r="AX6011" t="s">
        <v>10838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</row>
    <row r="6012" spans="1:59">
      <c r="A6012" s="1">
        <f>HYPERLINK("https://lsnyc.legalserver.org/matter/dynamic-profile/view/1910316","19-1910316")</f>
        <v>0</v>
      </c>
      <c r="B6012" t="s">
        <v>4667</v>
      </c>
      <c r="C6012" t="s">
        <v>9546</v>
      </c>
      <c r="D6012" t="s">
        <v>9928</v>
      </c>
      <c r="E6012" t="s">
        <v>10075</v>
      </c>
      <c r="F6012">
        <v>11221</v>
      </c>
      <c r="G6012" t="s">
        <v>10093</v>
      </c>
      <c r="H6012" t="s">
        <v>10136</v>
      </c>
      <c r="I6012" t="s">
        <v>10168</v>
      </c>
      <c r="J6012" t="s">
        <v>10213</v>
      </c>
      <c r="K6012" t="s">
        <v>10217</v>
      </c>
      <c r="M6012" t="s">
        <v>10268</v>
      </c>
      <c r="N6012" t="s">
        <v>10667</v>
      </c>
      <c r="P6012" t="s">
        <v>10749</v>
      </c>
      <c r="Q6012" t="s">
        <v>10765</v>
      </c>
      <c r="R6012" t="s">
        <v>10824</v>
      </c>
      <c r="T6012">
        <v>28800</v>
      </c>
      <c r="U6012">
        <v>2400</v>
      </c>
      <c r="V6012">
        <v>59</v>
      </c>
      <c r="W6012">
        <v>2</v>
      </c>
      <c r="X6012">
        <v>0</v>
      </c>
      <c r="Z6012">
        <v>170.31</v>
      </c>
      <c r="AA6012">
        <v>40.691051</v>
      </c>
      <c r="AB6012">
        <v>-73.936466</v>
      </c>
      <c r="AD6012" t="s">
        <v>10840</v>
      </c>
      <c r="AF6012" t="s">
        <v>10843</v>
      </c>
      <c r="AG6012" t="s">
        <v>10859</v>
      </c>
      <c r="AH6012" t="s">
        <v>10862</v>
      </c>
      <c r="AI6012">
        <v>239</v>
      </c>
      <c r="AJ6012" t="s">
        <v>10213</v>
      </c>
      <c r="AL6012">
        <v>4.6</v>
      </c>
      <c r="AM6012" t="s">
        <v>10889</v>
      </c>
      <c r="AN6012" t="s">
        <v>10914</v>
      </c>
      <c r="AO6012" t="s">
        <v>11007</v>
      </c>
      <c r="AP6012" t="s">
        <v>11052</v>
      </c>
      <c r="AQ6012" t="s">
        <v>11101</v>
      </c>
      <c r="AR6012" t="s">
        <v>11257</v>
      </c>
      <c r="AS6012" t="s">
        <v>11595</v>
      </c>
      <c r="BA6012" t="s">
        <v>11738</v>
      </c>
      <c r="BB6012">
        <v>0</v>
      </c>
      <c r="BC6012">
        <v>0</v>
      </c>
      <c r="BD6012">
        <v>0</v>
      </c>
      <c r="BE6012">
        <v>0</v>
      </c>
      <c r="BF6012">
        <v>5</v>
      </c>
      <c r="BG6012">
        <v>0</v>
      </c>
    </row>
    <row r="6013" spans="1:59">
      <c r="A6013" s="1">
        <f>HYPERLINK("https://lsnyc.legalserver.org/matter/dynamic-profile/view/1910317","19-1910317")</f>
        <v>0</v>
      </c>
      <c r="B6013" t="s">
        <v>4668</v>
      </c>
      <c r="C6013" t="s">
        <v>9547</v>
      </c>
      <c r="D6013" t="s">
        <v>9926</v>
      </c>
      <c r="E6013" t="s">
        <v>10075</v>
      </c>
      <c r="F6013">
        <v>10468</v>
      </c>
      <c r="G6013" t="s">
        <v>10090</v>
      </c>
      <c r="H6013" t="s">
        <v>10135</v>
      </c>
      <c r="I6013" t="s">
        <v>10169</v>
      </c>
      <c r="J6013" t="s">
        <v>10210</v>
      </c>
      <c r="K6013" t="s">
        <v>10217</v>
      </c>
      <c r="M6013" t="s">
        <v>10415</v>
      </c>
      <c r="N6013" t="s">
        <v>10651</v>
      </c>
      <c r="P6013" t="s">
        <v>10749</v>
      </c>
      <c r="Q6013" t="s">
        <v>10765</v>
      </c>
      <c r="R6013" t="s">
        <v>10821</v>
      </c>
      <c r="T6013">
        <v>18434</v>
      </c>
      <c r="U6013">
        <v>1536.17</v>
      </c>
      <c r="V6013">
        <v>35</v>
      </c>
      <c r="W6013">
        <v>2</v>
      </c>
      <c r="X6013">
        <v>2</v>
      </c>
      <c r="Z6013">
        <v>71.59</v>
      </c>
      <c r="AA6013">
        <v>40.874551</v>
      </c>
      <c r="AB6013">
        <v>-73.887196</v>
      </c>
      <c r="AD6013" t="s">
        <v>10839</v>
      </c>
      <c r="AG6013" t="s">
        <v>10858</v>
      </c>
      <c r="AH6013" t="s">
        <v>10862</v>
      </c>
      <c r="AI6013">
        <v>230</v>
      </c>
      <c r="AJ6013" t="s">
        <v>10210</v>
      </c>
      <c r="AL6013">
        <v>1.5</v>
      </c>
      <c r="AM6013" t="s">
        <v>10887</v>
      </c>
      <c r="AN6013" t="s">
        <v>10907</v>
      </c>
      <c r="AO6013" t="s">
        <v>11002</v>
      </c>
      <c r="AP6013" t="s">
        <v>11057</v>
      </c>
      <c r="AR6013" t="s">
        <v>11255</v>
      </c>
      <c r="AS6013" t="s">
        <v>9926</v>
      </c>
      <c r="BA6013" t="s">
        <v>11738</v>
      </c>
      <c r="BB6013">
        <v>0</v>
      </c>
      <c r="BC6013">
        <v>0</v>
      </c>
      <c r="BD6013">
        <v>0</v>
      </c>
      <c r="BE6013">
        <v>0</v>
      </c>
      <c r="BF6013">
        <v>5</v>
      </c>
      <c r="BG6013">
        <v>0</v>
      </c>
    </row>
    <row r="6014" spans="1:59">
      <c r="A6014" s="1">
        <f>HYPERLINK("https://lsnyc.legalserver.org/matter/dynamic-profile/view/1910318","19-1910318")</f>
        <v>0</v>
      </c>
      <c r="B6014" t="s">
        <v>4669</v>
      </c>
      <c r="C6014" t="s">
        <v>9548</v>
      </c>
      <c r="D6014" t="s">
        <v>9926</v>
      </c>
      <c r="E6014" t="s">
        <v>10075</v>
      </c>
      <c r="F6014">
        <v>10457</v>
      </c>
      <c r="G6014" t="s">
        <v>10090</v>
      </c>
      <c r="H6014" t="s">
        <v>10135</v>
      </c>
      <c r="I6014" t="s">
        <v>10168</v>
      </c>
      <c r="J6014" t="s">
        <v>10210</v>
      </c>
      <c r="K6014" t="s">
        <v>10217</v>
      </c>
      <c r="M6014" t="s">
        <v>10477</v>
      </c>
      <c r="N6014" t="s">
        <v>10671</v>
      </c>
      <c r="P6014" t="s">
        <v>10749</v>
      </c>
      <c r="Q6014" t="s">
        <v>10765</v>
      </c>
      <c r="R6014" t="s">
        <v>10824</v>
      </c>
      <c r="T6014">
        <v>12480</v>
      </c>
      <c r="U6014">
        <v>1040</v>
      </c>
      <c r="V6014">
        <v>81</v>
      </c>
      <c r="W6014">
        <v>1</v>
      </c>
      <c r="X6014">
        <v>0</v>
      </c>
      <c r="Z6014">
        <v>99.92</v>
      </c>
      <c r="AA6014">
        <v>40.848293</v>
      </c>
      <c r="AB6014">
        <v>-73.896535</v>
      </c>
      <c r="AD6014" t="s">
        <v>10839</v>
      </c>
      <c r="AG6014" t="s">
        <v>10858</v>
      </c>
      <c r="AH6014" t="s">
        <v>10861</v>
      </c>
      <c r="AI6014">
        <v>234</v>
      </c>
      <c r="AJ6014" t="s">
        <v>10214</v>
      </c>
      <c r="AL6014">
        <v>0.7</v>
      </c>
      <c r="AR6014" t="s">
        <v>11345</v>
      </c>
      <c r="AS6014" t="s">
        <v>9926</v>
      </c>
      <c r="AT6014" t="s">
        <v>11641</v>
      </c>
      <c r="AX6014" t="s">
        <v>10838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</row>
    <row r="6015" spans="1:59">
      <c r="A6015" s="1">
        <f>HYPERLINK("https://lsnyc.legalserver.org/matter/dynamic-profile/view/1910319","19-1910319")</f>
        <v>0</v>
      </c>
      <c r="B6015" t="s">
        <v>3050</v>
      </c>
      <c r="C6015" t="s">
        <v>9549</v>
      </c>
      <c r="D6015" t="s">
        <v>9928</v>
      </c>
      <c r="E6015" t="s">
        <v>10075</v>
      </c>
      <c r="F6015">
        <v>11216</v>
      </c>
      <c r="G6015" t="s">
        <v>10093</v>
      </c>
      <c r="H6015" t="s">
        <v>10136</v>
      </c>
      <c r="I6015" t="s">
        <v>10168</v>
      </c>
      <c r="J6015" t="s">
        <v>10213</v>
      </c>
      <c r="K6015" t="s">
        <v>10217</v>
      </c>
      <c r="M6015" t="s">
        <v>10264</v>
      </c>
      <c r="N6015" t="s">
        <v>10667</v>
      </c>
      <c r="P6015" t="s">
        <v>10749</v>
      </c>
      <c r="Q6015" t="s">
        <v>10765</v>
      </c>
      <c r="R6015" t="s">
        <v>10824</v>
      </c>
      <c r="T6015">
        <v>3600</v>
      </c>
      <c r="U6015">
        <v>300</v>
      </c>
      <c r="V6015">
        <v>28</v>
      </c>
      <c r="W6015">
        <v>1</v>
      </c>
      <c r="X6015">
        <v>2</v>
      </c>
      <c r="Z6015">
        <v>16.88</v>
      </c>
      <c r="AA6015">
        <v>40.690678</v>
      </c>
      <c r="AB6015">
        <v>-73.946223</v>
      </c>
      <c r="AD6015" t="s">
        <v>10839</v>
      </c>
      <c r="AG6015" t="s">
        <v>10858</v>
      </c>
      <c r="AH6015" t="s">
        <v>10862</v>
      </c>
      <c r="AI6015">
        <v>239</v>
      </c>
      <c r="AJ6015" t="s">
        <v>10213</v>
      </c>
      <c r="AL6015">
        <v>2.5</v>
      </c>
      <c r="AM6015" t="s">
        <v>10889</v>
      </c>
      <c r="AN6015" t="s">
        <v>10914</v>
      </c>
      <c r="AO6015" t="s">
        <v>11007</v>
      </c>
      <c r="AP6015" t="s">
        <v>11052</v>
      </c>
      <c r="AQ6015" t="s">
        <v>11101</v>
      </c>
      <c r="AR6015" t="s">
        <v>11273</v>
      </c>
      <c r="AS6015" t="s">
        <v>11595</v>
      </c>
      <c r="BA6015" t="s">
        <v>11738</v>
      </c>
      <c r="BB6015">
        <v>0</v>
      </c>
      <c r="BC6015">
        <v>0</v>
      </c>
      <c r="BD6015">
        <v>0</v>
      </c>
      <c r="BE6015">
        <v>0</v>
      </c>
      <c r="BF6015">
        <v>5</v>
      </c>
      <c r="BG6015">
        <v>0</v>
      </c>
    </row>
    <row r="6016" spans="1:59">
      <c r="A6016" s="1">
        <f>HYPERLINK("https://lsnyc.legalserver.org/matter/dynamic-profile/view/1910320","19-1910320")</f>
        <v>0</v>
      </c>
      <c r="B6016" t="s">
        <v>4670</v>
      </c>
      <c r="C6016" t="s">
        <v>9550</v>
      </c>
      <c r="D6016" t="s">
        <v>9928</v>
      </c>
      <c r="E6016" t="s">
        <v>10075</v>
      </c>
      <c r="F6016">
        <v>11203</v>
      </c>
      <c r="G6016" t="s">
        <v>10093</v>
      </c>
      <c r="H6016" t="s">
        <v>10135</v>
      </c>
      <c r="I6016" t="s">
        <v>10168</v>
      </c>
      <c r="J6016" t="s">
        <v>10213</v>
      </c>
      <c r="K6016" t="s">
        <v>10217</v>
      </c>
      <c r="M6016" t="s">
        <v>10344</v>
      </c>
      <c r="N6016" t="s">
        <v>10664</v>
      </c>
      <c r="P6016" t="s">
        <v>10749</v>
      </c>
      <c r="Q6016" t="s">
        <v>10765</v>
      </c>
      <c r="R6016" t="s">
        <v>10824</v>
      </c>
      <c r="T6016">
        <v>1800</v>
      </c>
      <c r="U6016">
        <v>150</v>
      </c>
      <c r="V6016">
        <v>31</v>
      </c>
      <c r="W6016">
        <v>1</v>
      </c>
      <c r="X6016">
        <v>4</v>
      </c>
      <c r="Z6016">
        <v>5.97</v>
      </c>
      <c r="AA6016">
        <v>40.652457</v>
      </c>
      <c r="AB6016">
        <v>-73.934122</v>
      </c>
      <c r="AD6016" t="s">
        <v>10839</v>
      </c>
      <c r="AG6016" t="s">
        <v>10858</v>
      </c>
      <c r="AH6016" t="s">
        <v>10862</v>
      </c>
      <c r="AI6016">
        <v>239</v>
      </c>
      <c r="AJ6016" t="s">
        <v>10213</v>
      </c>
      <c r="AL6016">
        <v>7.5</v>
      </c>
      <c r="AM6016" t="s">
        <v>10888</v>
      </c>
      <c r="AN6016" t="s">
        <v>10925</v>
      </c>
      <c r="AO6016" t="s">
        <v>11005</v>
      </c>
      <c r="AP6016" t="s">
        <v>11064</v>
      </c>
      <c r="AQ6016" t="s">
        <v>11101</v>
      </c>
      <c r="AR6016" t="s">
        <v>11306</v>
      </c>
      <c r="AS6016" t="s">
        <v>11595</v>
      </c>
      <c r="AT6016" t="s">
        <v>11641</v>
      </c>
      <c r="AX6016" t="s">
        <v>10838</v>
      </c>
      <c r="BA6016" t="s">
        <v>11738</v>
      </c>
      <c r="BB6016">
        <v>0</v>
      </c>
      <c r="BC6016">
        <v>0</v>
      </c>
      <c r="BD6016">
        <v>0</v>
      </c>
      <c r="BE6016">
        <v>0</v>
      </c>
      <c r="BF6016">
        <v>5</v>
      </c>
      <c r="BG6016">
        <v>0</v>
      </c>
    </row>
    <row r="6017" spans="1:59">
      <c r="A6017" s="1">
        <f>HYPERLINK("https://lsnyc.legalserver.org/matter/dynamic-profile/view/1910321","19-1910321")</f>
        <v>0</v>
      </c>
      <c r="B6017" t="s">
        <v>4671</v>
      </c>
      <c r="C6017" t="s">
        <v>9551</v>
      </c>
      <c r="D6017" t="s">
        <v>9926</v>
      </c>
      <c r="E6017" t="s">
        <v>10075</v>
      </c>
      <c r="F6017">
        <v>10455</v>
      </c>
      <c r="G6017" t="s">
        <v>10090</v>
      </c>
      <c r="H6017" t="s">
        <v>10135</v>
      </c>
      <c r="I6017" t="s">
        <v>10169</v>
      </c>
      <c r="J6017" t="s">
        <v>10210</v>
      </c>
      <c r="K6017" t="s">
        <v>10217</v>
      </c>
      <c r="M6017" t="s">
        <v>10250</v>
      </c>
      <c r="N6017" t="s">
        <v>10711</v>
      </c>
      <c r="P6017" t="s">
        <v>10749</v>
      </c>
      <c r="Q6017" t="s">
        <v>10765</v>
      </c>
      <c r="R6017" t="s">
        <v>10821</v>
      </c>
      <c r="T6017">
        <v>0</v>
      </c>
      <c r="U6017">
        <v>0</v>
      </c>
      <c r="V6017">
        <v>34</v>
      </c>
      <c r="W6017">
        <v>2</v>
      </c>
      <c r="X6017">
        <v>1</v>
      </c>
      <c r="Z6017">
        <v>0</v>
      </c>
      <c r="AA6017">
        <v>40.816706</v>
      </c>
      <c r="AB6017">
        <v>-73.909941</v>
      </c>
      <c r="AD6017" t="s">
        <v>10839</v>
      </c>
      <c r="AG6017" t="s">
        <v>10858</v>
      </c>
      <c r="AH6017" t="s">
        <v>10862</v>
      </c>
      <c r="AI6017">
        <v>230</v>
      </c>
      <c r="AJ6017" t="s">
        <v>10210</v>
      </c>
      <c r="AL6017">
        <v>2.2</v>
      </c>
      <c r="AM6017" t="s">
        <v>10884</v>
      </c>
      <c r="AN6017" t="s">
        <v>10918</v>
      </c>
      <c r="AO6017" t="s">
        <v>11001</v>
      </c>
      <c r="AP6017" t="s">
        <v>11062</v>
      </c>
      <c r="AR6017" t="s">
        <v>11267</v>
      </c>
      <c r="AS6017" t="s">
        <v>9926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</row>
    <row r="6018" spans="1:59">
      <c r="A6018" s="1">
        <f>HYPERLINK("https://lsnyc.legalserver.org/matter/dynamic-profile/view/1910322","19-1910322")</f>
        <v>0</v>
      </c>
      <c r="B6018" t="s">
        <v>4107</v>
      </c>
      <c r="C6018" t="s">
        <v>9552</v>
      </c>
      <c r="D6018" t="s">
        <v>9928</v>
      </c>
      <c r="E6018" t="s">
        <v>10075</v>
      </c>
      <c r="F6018">
        <v>11237</v>
      </c>
      <c r="G6018" t="s">
        <v>10093</v>
      </c>
      <c r="H6018" t="s">
        <v>10135</v>
      </c>
      <c r="I6018" t="s">
        <v>10168</v>
      </c>
      <c r="J6018" t="s">
        <v>10213</v>
      </c>
      <c r="K6018" t="s">
        <v>10217</v>
      </c>
      <c r="M6018" t="s">
        <v>10293</v>
      </c>
      <c r="N6018" t="s">
        <v>10644</v>
      </c>
      <c r="P6018" t="s">
        <v>10749</v>
      </c>
      <c r="Q6018" t="s">
        <v>10765</v>
      </c>
      <c r="R6018" t="s">
        <v>10821</v>
      </c>
      <c r="T6018">
        <v>14184</v>
      </c>
      <c r="U6018">
        <v>1182</v>
      </c>
      <c r="V6018">
        <v>60</v>
      </c>
      <c r="W6018">
        <v>2</v>
      </c>
      <c r="X6018">
        <v>2</v>
      </c>
      <c r="Z6018">
        <v>55.08</v>
      </c>
      <c r="AA6018">
        <v>40.701417</v>
      </c>
      <c r="AB6018">
        <v>-73.918966</v>
      </c>
      <c r="AD6018" t="s">
        <v>10839</v>
      </c>
      <c r="AG6018" t="s">
        <v>10858</v>
      </c>
      <c r="AH6018" t="s">
        <v>10869</v>
      </c>
      <c r="AI6018">
        <v>239</v>
      </c>
      <c r="AJ6018" t="s">
        <v>10213</v>
      </c>
      <c r="AL6018">
        <v>0</v>
      </c>
      <c r="AM6018" t="s">
        <v>10886</v>
      </c>
      <c r="AN6018" t="s">
        <v>10942</v>
      </c>
      <c r="AO6018" t="s">
        <v>11011</v>
      </c>
      <c r="AP6018" t="s">
        <v>11058</v>
      </c>
      <c r="AR6018" t="s">
        <v>11452</v>
      </c>
      <c r="AS6018" t="s">
        <v>11595</v>
      </c>
      <c r="AT6018" t="s">
        <v>11641</v>
      </c>
      <c r="AV6018" t="s">
        <v>11656</v>
      </c>
      <c r="AW6018" t="s">
        <v>11645</v>
      </c>
      <c r="AX6018" t="s">
        <v>10838</v>
      </c>
      <c r="BA6018" t="s">
        <v>11742</v>
      </c>
      <c r="BB6018">
        <v>0</v>
      </c>
      <c r="BC6018">
        <v>0</v>
      </c>
      <c r="BD6018">
        <v>0</v>
      </c>
      <c r="BE6018">
        <v>0</v>
      </c>
      <c r="BF6018">
        <v>7</v>
      </c>
      <c r="BG6018">
        <v>0</v>
      </c>
    </row>
    <row r="6019" spans="1:59">
      <c r="A6019" s="1">
        <f>HYPERLINK("https://lsnyc.legalserver.org/matter/dynamic-profile/view/1910323","19-1910323")</f>
        <v>0</v>
      </c>
      <c r="B6019" t="s">
        <v>4672</v>
      </c>
      <c r="C6019" t="s">
        <v>9553</v>
      </c>
      <c r="D6019" t="s">
        <v>9926</v>
      </c>
      <c r="E6019" t="s">
        <v>10075</v>
      </c>
      <c r="F6019">
        <v>10467</v>
      </c>
      <c r="G6019" t="s">
        <v>10090</v>
      </c>
      <c r="H6019" t="s">
        <v>10135</v>
      </c>
      <c r="I6019" t="s">
        <v>10168</v>
      </c>
      <c r="J6019" t="s">
        <v>10210</v>
      </c>
      <c r="K6019" t="s">
        <v>10217</v>
      </c>
      <c r="M6019" t="s">
        <v>10297</v>
      </c>
      <c r="N6019" t="s">
        <v>10651</v>
      </c>
      <c r="P6019" t="s">
        <v>10749</v>
      </c>
      <c r="Q6019" t="s">
        <v>10765</v>
      </c>
      <c r="R6019" t="s">
        <v>10820</v>
      </c>
      <c r="T6019">
        <v>0</v>
      </c>
      <c r="U6019">
        <v>0</v>
      </c>
      <c r="V6019">
        <v>34</v>
      </c>
      <c r="W6019">
        <v>1</v>
      </c>
      <c r="X6019">
        <v>0</v>
      </c>
      <c r="Z6019">
        <v>0</v>
      </c>
      <c r="AA6019">
        <v>40.876209</v>
      </c>
      <c r="AB6019">
        <v>-73.879936</v>
      </c>
      <c r="AD6019" t="s">
        <v>10840</v>
      </c>
      <c r="AG6019" t="s">
        <v>10858</v>
      </c>
      <c r="AH6019" t="s">
        <v>10862</v>
      </c>
      <c r="AI6019">
        <v>230</v>
      </c>
      <c r="AJ6019" t="s">
        <v>10210</v>
      </c>
      <c r="AL6019">
        <v>2</v>
      </c>
      <c r="AM6019" t="s">
        <v>10887</v>
      </c>
      <c r="AN6019" t="s">
        <v>10938</v>
      </c>
      <c r="AO6019" t="s">
        <v>11010</v>
      </c>
      <c r="AP6019" t="s">
        <v>11057</v>
      </c>
      <c r="AR6019" t="s">
        <v>11267</v>
      </c>
      <c r="AS6019" t="s">
        <v>9926</v>
      </c>
      <c r="AT6019" t="s">
        <v>11642</v>
      </c>
      <c r="BA6019" t="s">
        <v>11738</v>
      </c>
      <c r="BB6019">
        <v>0</v>
      </c>
      <c r="BC6019">
        <v>0</v>
      </c>
      <c r="BD6019">
        <v>0</v>
      </c>
      <c r="BE6019">
        <v>0</v>
      </c>
      <c r="BF6019">
        <v>5</v>
      </c>
      <c r="BG6019">
        <v>0</v>
      </c>
    </row>
    <row r="6020" spans="1:59">
      <c r="A6020" s="1">
        <f>HYPERLINK("https://lsnyc.legalserver.org/matter/dynamic-profile/view/1910324","19-1910324")</f>
        <v>0</v>
      </c>
      <c r="B6020" t="s">
        <v>4673</v>
      </c>
      <c r="C6020" t="s">
        <v>9554</v>
      </c>
      <c r="D6020" t="s">
        <v>9926</v>
      </c>
      <c r="E6020" t="s">
        <v>10075</v>
      </c>
      <c r="F6020">
        <v>10465</v>
      </c>
      <c r="G6020" t="s">
        <v>10091</v>
      </c>
      <c r="H6020" t="s">
        <v>10135</v>
      </c>
      <c r="I6020" t="s">
        <v>10168</v>
      </c>
      <c r="J6020" t="s">
        <v>10214</v>
      </c>
      <c r="K6020" t="s">
        <v>10217</v>
      </c>
      <c r="M6020" t="s">
        <v>10274</v>
      </c>
      <c r="N6020" t="s">
        <v>10665</v>
      </c>
      <c r="P6020" t="s">
        <v>10750</v>
      </c>
      <c r="Q6020" t="s">
        <v>10799</v>
      </c>
      <c r="R6020" t="s">
        <v>10821</v>
      </c>
      <c r="T6020">
        <v>7200</v>
      </c>
      <c r="U6020">
        <v>600</v>
      </c>
      <c r="V6020">
        <v>27</v>
      </c>
      <c r="W6020">
        <v>2</v>
      </c>
      <c r="X6020">
        <v>2</v>
      </c>
      <c r="Z6020">
        <v>27.96</v>
      </c>
      <c r="AA6020">
        <v>40.818727</v>
      </c>
      <c r="AB6020">
        <v>-73.824095</v>
      </c>
      <c r="AD6020" t="s">
        <v>10840</v>
      </c>
      <c r="AG6020" t="s">
        <v>10858</v>
      </c>
      <c r="AH6020" t="s">
        <v>10867</v>
      </c>
      <c r="AI6020">
        <v>234</v>
      </c>
      <c r="AJ6020" t="s">
        <v>10214</v>
      </c>
      <c r="AL6020">
        <v>1.5</v>
      </c>
      <c r="AM6020" t="s">
        <v>10885</v>
      </c>
      <c r="AN6020" t="s">
        <v>10911</v>
      </c>
      <c r="AO6020" t="s">
        <v>11002</v>
      </c>
      <c r="AP6020" t="s">
        <v>11049</v>
      </c>
      <c r="AQ6020" t="s">
        <v>11220</v>
      </c>
      <c r="AR6020" t="s">
        <v>11274</v>
      </c>
      <c r="AS6020" t="s">
        <v>9926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</row>
    <row r="6021" spans="1:59">
      <c r="A6021" s="1">
        <f>HYPERLINK("https://lsnyc.legalserver.org/matter/dynamic-profile/view/1910325","19-1910325")</f>
        <v>0</v>
      </c>
      <c r="B6021" t="s">
        <v>767</v>
      </c>
      <c r="C6021" t="s">
        <v>9555</v>
      </c>
      <c r="D6021" t="s">
        <v>9925</v>
      </c>
      <c r="E6021" t="s">
        <v>10075</v>
      </c>
      <c r="F6021">
        <v>10009</v>
      </c>
      <c r="G6021" t="s">
        <v>10089</v>
      </c>
      <c r="H6021" t="s">
        <v>10135</v>
      </c>
      <c r="I6021" t="s">
        <v>10168</v>
      </c>
      <c r="J6021" t="s">
        <v>10209</v>
      </c>
      <c r="K6021" t="s">
        <v>10217</v>
      </c>
      <c r="M6021" t="s">
        <v>10544</v>
      </c>
      <c r="N6021" t="s">
        <v>10707</v>
      </c>
      <c r="P6021" t="s">
        <v>10749</v>
      </c>
      <c r="Q6021" t="s">
        <v>10765</v>
      </c>
      <c r="R6021" t="s">
        <v>10821</v>
      </c>
      <c r="T6021">
        <v>192</v>
      </c>
      <c r="U6021">
        <v>16</v>
      </c>
      <c r="V6021">
        <v>51</v>
      </c>
      <c r="W6021">
        <v>1</v>
      </c>
      <c r="X6021">
        <v>0</v>
      </c>
      <c r="Z6021">
        <v>1.54</v>
      </c>
      <c r="AA6021">
        <v>40.728932</v>
      </c>
      <c r="AB6021">
        <v>-73.97586800000001</v>
      </c>
      <c r="AD6021" t="s">
        <v>10840</v>
      </c>
      <c r="AG6021" t="s">
        <v>10858</v>
      </c>
      <c r="AH6021" t="s">
        <v>10868</v>
      </c>
      <c r="AI6021">
        <v>236</v>
      </c>
      <c r="AJ6021" t="s">
        <v>10209</v>
      </c>
      <c r="AL6021">
        <v>0.25</v>
      </c>
      <c r="AM6021" t="s">
        <v>10891</v>
      </c>
      <c r="AN6021" t="s">
        <v>10910</v>
      </c>
      <c r="AO6021" t="s">
        <v>11021</v>
      </c>
      <c r="AP6021" t="s">
        <v>11091</v>
      </c>
      <c r="AQ6021" t="s">
        <v>11101</v>
      </c>
      <c r="AR6021" t="s">
        <v>11380</v>
      </c>
      <c r="AS6021" t="s">
        <v>9925</v>
      </c>
      <c r="AT6021" t="s">
        <v>11642</v>
      </c>
      <c r="AX6021" t="s">
        <v>11678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</row>
    <row r="6022" spans="1:59">
      <c r="A6022" s="1">
        <f>HYPERLINK("https://lsnyc.legalserver.org/matter/dynamic-profile/view/1910326","19-1910326")</f>
        <v>0</v>
      </c>
      <c r="B6022" t="s">
        <v>4674</v>
      </c>
      <c r="C6022" t="s">
        <v>9556</v>
      </c>
      <c r="D6022" t="s">
        <v>9926</v>
      </c>
      <c r="E6022" t="s">
        <v>10075</v>
      </c>
      <c r="F6022">
        <v>10458</v>
      </c>
      <c r="G6022" t="s">
        <v>10090</v>
      </c>
      <c r="H6022" t="s">
        <v>10135</v>
      </c>
      <c r="I6022" t="s">
        <v>10169</v>
      </c>
      <c r="J6022" t="s">
        <v>10210</v>
      </c>
      <c r="K6022" t="s">
        <v>10217</v>
      </c>
      <c r="M6022" t="s">
        <v>10537</v>
      </c>
      <c r="N6022" t="s">
        <v>10671</v>
      </c>
      <c r="P6022" t="s">
        <v>10753</v>
      </c>
      <c r="Q6022" t="s">
        <v>10763</v>
      </c>
      <c r="R6022" t="s">
        <v>10821</v>
      </c>
      <c r="T6022">
        <v>0</v>
      </c>
      <c r="U6022">
        <v>0</v>
      </c>
      <c r="V6022">
        <v>37</v>
      </c>
      <c r="W6022">
        <v>1</v>
      </c>
      <c r="X6022">
        <v>0</v>
      </c>
      <c r="Z6022">
        <v>0</v>
      </c>
      <c r="AA6022">
        <v>40.873516</v>
      </c>
      <c r="AB6022">
        <v>-73.885639</v>
      </c>
      <c r="AD6022" t="s">
        <v>10839</v>
      </c>
      <c r="AF6022" t="s">
        <v>10842</v>
      </c>
      <c r="AG6022" t="s">
        <v>10859</v>
      </c>
      <c r="AH6022" t="s">
        <v>10871</v>
      </c>
      <c r="AI6022">
        <v>234</v>
      </c>
      <c r="AJ6022" t="s">
        <v>10214</v>
      </c>
      <c r="AL6022">
        <v>0</v>
      </c>
      <c r="AM6022" t="s">
        <v>10887</v>
      </c>
      <c r="AN6022" t="s">
        <v>10907</v>
      </c>
      <c r="AO6022" t="s">
        <v>11010</v>
      </c>
      <c r="AP6022" t="s">
        <v>11057</v>
      </c>
      <c r="AR6022" t="s">
        <v>11267</v>
      </c>
      <c r="AS6022" t="s">
        <v>9926</v>
      </c>
      <c r="AT6022" t="s">
        <v>11641</v>
      </c>
      <c r="AX6022" t="s">
        <v>10838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</row>
    <row r="6023" spans="1:59">
      <c r="A6023" s="1">
        <f>HYPERLINK("https://lsnyc.legalserver.org/matter/dynamic-profile/view/1910328","19-1910328")</f>
        <v>0</v>
      </c>
      <c r="B6023" t="s">
        <v>1139</v>
      </c>
      <c r="C6023" t="s">
        <v>5601</v>
      </c>
      <c r="D6023" t="s">
        <v>9926</v>
      </c>
      <c r="E6023" t="s">
        <v>10075</v>
      </c>
      <c r="F6023">
        <v>10453</v>
      </c>
      <c r="G6023" t="s">
        <v>10090</v>
      </c>
      <c r="H6023" t="s">
        <v>10135</v>
      </c>
      <c r="I6023" t="s">
        <v>10169</v>
      </c>
      <c r="J6023" t="s">
        <v>10210</v>
      </c>
      <c r="K6023" t="s">
        <v>10217</v>
      </c>
      <c r="M6023" t="s">
        <v>10250</v>
      </c>
      <c r="N6023" t="s">
        <v>10650</v>
      </c>
      <c r="P6023" t="s">
        <v>10749</v>
      </c>
      <c r="Q6023" t="s">
        <v>10765</v>
      </c>
      <c r="R6023" t="s">
        <v>10821</v>
      </c>
      <c r="T6023">
        <v>9768</v>
      </c>
      <c r="U6023">
        <v>814</v>
      </c>
      <c r="V6023">
        <v>53</v>
      </c>
      <c r="W6023">
        <v>2</v>
      </c>
      <c r="X6023">
        <v>2</v>
      </c>
      <c r="Z6023">
        <v>37.93</v>
      </c>
      <c r="AA6023">
        <v>40.846849</v>
      </c>
      <c r="AB6023">
        <v>-73.90953500000001</v>
      </c>
      <c r="AD6023" t="s">
        <v>10840</v>
      </c>
      <c r="AG6023" t="s">
        <v>10858</v>
      </c>
      <c r="AH6023" t="s">
        <v>10862</v>
      </c>
      <c r="AI6023">
        <v>230</v>
      </c>
      <c r="AJ6023" t="s">
        <v>10210</v>
      </c>
      <c r="AL6023">
        <v>4.4</v>
      </c>
      <c r="AM6023" t="s">
        <v>10884</v>
      </c>
      <c r="AN6023" t="s">
        <v>10931</v>
      </c>
      <c r="AO6023" t="s">
        <v>11000</v>
      </c>
      <c r="AP6023" t="s">
        <v>11045</v>
      </c>
      <c r="AR6023" t="s">
        <v>11296</v>
      </c>
      <c r="AS6023" t="s">
        <v>9926</v>
      </c>
      <c r="AT6023" t="s">
        <v>11642</v>
      </c>
      <c r="AX6023" t="s">
        <v>10838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</row>
    <row r="6024" spans="1:59">
      <c r="A6024" s="1">
        <f>HYPERLINK("https://lsnyc.legalserver.org/matter/dynamic-profile/view/1910329","19-1910329")</f>
        <v>0</v>
      </c>
      <c r="B6024" t="s">
        <v>4675</v>
      </c>
      <c r="C6024" t="s">
        <v>9557</v>
      </c>
      <c r="D6024" t="s">
        <v>9926</v>
      </c>
      <c r="E6024" t="s">
        <v>10075</v>
      </c>
      <c r="F6024">
        <v>10458</v>
      </c>
      <c r="G6024" t="s">
        <v>10091</v>
      </c>
      <c r="H6024" t="s">
        <v>10135</v>
      </c>
      <c r="I6024" t="s">
        <v>10169</v>
      </c>
      <c r="J6024" t="s">
        <v>10214</v>
      </c>
      <c r="K6024" t="s">
        <v>10217</v>
      </c>
      <c r="M6024" t="s">
        <v>10537</v>
      </c>
      <c r="N6024" t="s">
        <v>10671</v>
      </c>
      <c r="P6024" t="s">
        <v>10753</v>
      </c>
      <c r="Q6024" t="s">
        <v>10763</v>
      </c>
      <c r="R6024" t="s">
        <v>10823</v>
      </c>
      <c r="T6024">
        <v>26000</v>
      </c>
      <c r="U6024">
        <v>2166.67</v>
      </c>
      <c r="V6024">
        <v>38</v>
      </c>
      <c r="W6024">
        <v>1</v>
      </c>
      <c r="X6024">
        <v>4</v>
      </c>
      <c r="Z6024">
        <v>86.18000000000001</v>
      </c>
      <c r="AA6024">
        <v>40.867059</v>
      </c>
      <c r="AB6024">
        <v>-73.88900700000001</v>
      </c>
      <c r="AD6024" t="s">
        <v>10839</v>
      </c>
      <c r="AF6024" t="s">
        <v>10843</v>
      </c>
      <c r="AG6024" t="s">
        <v>10859</v>
      </c>
      <c r="AH6024" t="s">
        <v>10861</v>
      </c>
      <c r="AI6024">
        <v>234</v>
      </c>
      <c r="AJ6024" t="s">
        <v>10214</v>
      </c>
      <c r="AL6024">
        <v>0.4</v>
      </c>
      <c r="AM6024" t="s">
        <v>10887</v>
      </c>
      <c r="AN6024" t="s">
        <v>10907</v>
      </c>
      <c r="AO6024" t="s">
        <v>11000</v>
      </c>
      <c r="AP6024" t="s">
        <v>11056</v>
      </c>
      <c r="AR6024" t="s">
        <v>11335</v>
      </c>
      <c r="AS6024" t="s">
        <v>9926</v>
      </c>
      <c r="AT6024" t="s">
        <v>11641</v>
      </c>
      <c r="AX6024" t="s">
        <v>10838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</row>
    <row r="6025" spans="1:59">
      <c r="A6025" s="1">
        <f>HYPERLINK("https://lsnyc.legalserver.org/matter/dynamic-profile/view/1910330","19-1910330")</f>
        <v>0</v>
      </c>
      <c r="B6025" t="s">
        <v>3335</v>
      </c>
      <c r="C6025" t="s">
        <v>8127</v>
      </c>
      <c r="D6025" t="s">
        <v>9928</v>
      </c>
      <c r="E6025" t="s">
        <v>10075</v>
      </c>
      <c r="F6025">
        <v>11221</v>
      </c>
      <c r="G6025" t="s">
        <v>10093</v>
      </c>
      <c r="H6025" t="s">
        <v>10135</v>
      </c>
      <c r="I6025" t="s">
        <v>10168</v>
      </c>
      <c r="J6025" t="s">
        <v>10213</v>
      </c>
      <c r="K6025" t="s">
        <v>10218</v>
      </c>
      <c r="L6025" t="s">
        <v>10157</v>
      </c>
      <c r="M6025" t="s">
        <v>10264</v>
      </c>
      <c r="N6025" t="s">
        <v>10664</v>
      </c>
      <c r="P6025" t="s">
        <v>10749</v>
      </c>
      <c r="Q6025" t="s">
        <v>10765</v>
      </c>
      <c r="R6025" t="s">
        <v>10824</v>
      </c>
      <c r="T6025">
        <v>10296</v>
      </c>
      <c r="U6025">
        <v>858</v>
      </c>
      <c r="V6025">
        <v>35</v>
      </c>
      <c r="W6025">
        <v>1</v>
      </c>
      <c r="X6025">
        <v>0</v>
      </c>
      <c r="Y6025" t="s">
        <v>10829</v>
      </c>
      <c r="Z6025">
        <v>82.43000000000001</v>
      </c>
      <c r="AA6025">
        <v>40.69082</v>
      </c>
      <c r="AB6025">
        <v>-73.932034</v>
      </c>
      <c r="AD6025" t="s">
        <v>10840</v>
      </c>
      <c r="AG6025" t="s">
        <v>10858</v>
      </c>
      <c r="AH6025" t="s">
        <v>10861</v>
      </c>
      <c r="AI6025">
        <v>239</v>
      </c>
      <c r="AJ6025" t="s">
        <v>10213</v>
      </c>
      <c r="AK6025" t="s">
        <v>10838</v>
      </c>
      <c r="AL6025">
        <v>1</v>
      </c>
      <c r="AM6025" t="s">
        <v>10889</v>
      </c>
      <c r="AN6025" t="s">
        <v>10914</v>
      </c>
      <c r="AO6025" t="s">
        <v>11007</v>
      </c>
      <c r="AP6025" t="s">
        <v>11052</v>
      </c>
      <c r="AR6025" t="s">
        <v>11392</v>
      </c>
      <c r="AS6025" t="s">
        <v>11595</v>
      </c>
      <c r="AY6025" t="s">
        <v>10829</v>
      </c>
      <c r="AZ6025" t="s">
        <v>11681</v>
      </c>
      <c r="BA6025" t="s">
        <v>11741</v>
      </c>
      <c r="BB6025">
        <v>0</v>
      </c>
      <c r="BC6025">
        <v>0</v>
      </c>
      <c r="BD6025">
        <v>0</v>
      </c>
      <c r="BE6025">
        <v>0</v>
      </c>
      <c r="BF6025">
        <v>1</v>
      </c>
      <c r="BG6025">
        <v>0</v>
      </c>
    </row>
    <row r="6026" spans="1:59">
      <c r="A6026" s="1">
        <f>HYPERLINK("https://lsnyc.legalserver.org/matter/dynamic-profile/view/1910331","19-1910331")</f>
        <v>0</v>
      </c>
      <c r="B6026" t="s">
        <v>4676</v>
      </c>
      <c r="C6026" t="s">
        <v>9558</v>
      </c>
      <c r="D6026" t="s">
        <v>10001</v>
      </c>
      <c r="E6026" t="s">
        <v>10075</v>
      </c>
      <c r="F6026">
        <v>11379</v>
      </c>
      <c r="G6026" t="s">
        <v>10092</v>
      </c>
      <c r="H6026" t="s">
        <v>10156</v>
      </c>
      <c r="I6026" t="s">
        <v>10169</v>
      </c>
      <c r="J6026" t="s">
        <v>10212</v>
      </c>
      <c r="K6026" t="s">
        <v>10217</v>
      </c>
      <c r="M6026" t="s">
        <v>10355</v>
      </c>
      <c r="N6026" t="s">
        <v>10648</v>
      </c>
      <c r="P6026" t="s">
        <v>10753</v>
      </c>
      <c r="Q6026" t="s">
        <v>10763</v>
      </c>
      <c r="R6026" t="s">
        <v>10823</v>
      </c>
      <c r="T6026">
        <v>0</v>
      </c>
      <c r="U6026">
        <v>0</v>
      </c>
      <c r="V6026">
        <v>35</v>
      </c>
      <c r="W6026">
        <v>1</v>
      </c>
      <c r="X6026">
        <v>2</v>
      </c>
      <c r="Z6026">
        <v>0</v>
      </c>
      <c r="AA6026">
        <v>40.725947</v>
      </c>
      <c r="AB6026">
        <v>-73.872095</v>
      </c>
      <c r="AD6026" t="s">
        <v>10839</v>
      </c>
      <c r="AF6026" t="s">
        <v>10842</v>
      </c>
      <c r="AG6026" t="s">
        <v>10859</v>
      </c>
      <c r="AH6026" t="s">
        <v>10864</v>
      </c>
      <c r="AI6026">
        <v>237</v>
      </c>
      <c r="AJ6026" t="s">
        <v>10212</v>
      </c>
      <c r="AL6026">
        <v>1.5</v>
      </c>
      <c r="AM6026" t="s">
        <v>10890</v>
      </c>
      <c r="AN6026" t="s">
        <v>10935</v>
      </c>
      <c r="AO6026" t="s">
        <v>11009</v>
      </c>
      <c r="AP6026" t="s">
        <v>11083</v>
      </c>
      <c r="AQ6026" t="s">
        <v>11096</v>
      </c>
      <c r="AR6026" t="s">
        <v>11267</v>
      </c>
      <c r="AS6026" t="s">
        <v>11594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</row>
    <row r="6027" spans="1:59">
      <c r="A6027" s="1">
        <f>HYPERLINK("https://lsnyc.legalserver.org/matter/dynamic-profile/view/1910332","19-1910332")</f>
        <v>0</v>
      </c>
      <c r="B6027" t="s">
        <v>4668</v>
      </c>
      <c r="C6027" t="s">
        <v>9547</v>
      </c>
      <c r="D6027" t="s">
        <v>9926</v>
      </c>
      <c r="E6027" t="s">
        <v>10075</v>
      </c>
      <c r="F6027">
        <v>10468</v>
      </c>
      <c r="G6027" t="s">
        <v>10090</v>
      </c>
      <c r="H6027" t="s">
        <v>10135</v>
      </c>
      <c r="I6027" t="s">
        <v>10169</v>
      </c>
      <c r="J6027" t="s">
        <v>10210</v>
      </c>
      <c r="K6027" t="s">
        <v>10217</v>
      </c>
      <c r="M6027" t="s">
        <v>10415</v>
      </c>
      <c r="N6027" t="s">
        <v>10671</v>
      </c>
      <c r="P6027" t="s">
        <v>10751</v>
      </c>
      <c r="Q6027" t="s">
        <v>10761</v>
      </c>
      <c r="R6027" t="s">
        <v>10821</v>
      </c>
      <c r="T6027">
        <v>18434</v>
      </c>
      <c r="U6027">
        <v>1536.17</v>
      </c>
      <c r="V6027">
        <v>35</v>
      </c>
      <c r="W6027">
        <v>2</v>
      </c>
      <c r="X6027">
        <v>2</v>
      </c>
      <c r="Z6027">
        <v>71.59</v>
      </c>
      <c r="AA6027">
        <v>40.874551</v>
      </c>
      <c r="AB6027">
        <v>-73.887196</v>
      </c>
      <c r="AD6027" t="s">
        <v>10839</v>
      </c>
      <c r="AG6027" t="s">
        <v>10858</v>
      </c>
      <c r="AH6027" t="s">
        <v>10862</v>
      </c>
      <c r="AI6027">
        <v>230</v>
      </c>
      <c r="AJ6027" t="s">
        <v>10210</v>
      </c>
      <c r="AL6027">
        <v>0</v>
      </c>
      <c r="AM6027" t="s">
        <v>10887</v>
      </c>
      <c r="AN6027" t="s">
        <v>10907</v>
      </c>
      <c r="AO6027" t="s">
        <v>11002</v>
      </c>
      <c r="AP6027" t="s">
        <v>11057</v>
      </c>
      <c r="AR6027" t="s">
        <v>11255</v>
      </c>
      <c r="AS6027" t="s">
        <v>9926</v>
      </c>
      <c r="BA6027" t="s">
        <v>11738</v>
      </c>
      <c r="BB6027">
        <v>0</v>
      </c>
      <c r="BC6027">
        <v>0</v>
      </c>
      <c r="BD6027">
        <v>0</v>
      </c>
      <c r="BE6027">
        <v>0</v>
      </c>
      <c r="BF6027">
        <v>5</v>
      </c>
      <c r="BG6027">
        <v>0</v>
      </c>
    </row>
    <row r="6028" spans="1:59">
      <c r="A6028" s="1">
        <f>HYPERLINK("https://lsnyc.legalserver.org/matter/dynamic-profile/view/1910333","19-1910333")</f>
        <v>0</v>
      </c>
      <c r="B6028" t="s">
        <v>4677</v>
      </c>
      <c r="C6028" t="s">
        <v>6236</v>
      </c>
      <c r="D6028" t="s">
        <v>9926</v>
      </c>
      <c r="E6028" t="s">
        <v>10075</v>
      </c>
      <c r="F6028">
        <v>10452</v>
      </c>
      <c r="G6028" t="s">
        <v>10091</v>
      </c>
      <c r="H6028" t="s">
        <v>10135</v>
      </c>
      <c r="I6028" t="s">
        <v>10206</v>
      </c>
      <c r="J6028" t="s">
        <v>10211</v>
      </c>
      <c r="K6028" t="s">
        <v>10217</v>
      </c>
      <c r="M6028" t="s">
        <v>10231</v>
      </c>
      <c r="N6028" t="s">
        <v>10647</v>
      </c>
      <c r="P6028" t="s">
        <v>10752</v>
      </c>
      <c r="Q6028" t="s">
        <v>10762</v>
      </c>
      <c r="R6028" t="s">
        <v>10820</v>
      </c>
      <c r="T6028">
        <v>10044</v>
      </c>
      <c r="U6028">
        <v>837</v>
      </c>
      <c r="V6028">
        <v>60</v>
      </c>
      <c r="W6028">
        <v>1</v>
      </c>
      <c r="X6028">
        <v>0</v>
      </c>
      <c r="Z6028">
        <v>80.42</v>
      </c>
      <c r="AA6028">
        <v>40.832781</v>
      </c>
      <c r="AB6028">
        <v>-73.928279</v>
      </c>
      <c r="AD6028" t="s">
        <v>10840</v>
      </c>
      <c r="AG6028" t="s">
        <v>10858</v>
      </c>
      <c r="AH6028" t="s">
        <v>10871</v>
      </c>
      <c r="AI6028">
        <v>234</v>
      </c>
      <c r="AJ6028" t="s">
        <v>10214</v>
      </c>
      <c r="AL6028">
        <v>1.2</v>
      </c>
      <c r="AM6028" t="s">
        <v>10884</v>
      </c>
      <c r="AN6028" t="s">
        <v>10924</v>
      </c>
      <c r="AO6028" t="s">
        <v>11013</v>
      </c>
      <c r="AP6028" t="s">
        <v>11066</v>
      </c>
      <c r="AR6028" t="s">
        <v>11319</v>
      </c>
      <c r="AS6028" t="s">
        <v>9926</v>
      </c>
      <c r="AT6028" t="s">
        <v>11642</v>
      </c>
      <c r="AX6028" t="s">
        <v>10838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</row>
    <row r="6029" spans="1:59">
      <c r="A6029" s="1">
        <f>HYPERLINK("https://lsnyc.legalserver.org/matter/dynamic-profile/view/1910334","19-1910334")</f>
        <v>0</v>
      </c>
      <c r="B6029" t="s">
        <v>4678</v>
      </c>
      <c r="C6029" t="s">
        <v>9557</v>
      </c>
      <c r="D6029" t="s">
        <v>9926</v>
      </c>
      <c r="E6029" t="s">
        <v>10075</v>
      </c>
      <c r="F6029">
        <v>10458</v>
      </c>
      <c r="G6029" t="s">
        <v>10091</v>
      </c>
      <c r="H6029" t="s">
        <v>10135</v>
      </c>
      <c r="I6029" t="s">
        <v>10169</v>
      </c>
      <c r="J6029" t="s">
        <v>10214</v>
      </c>
      <c r="K6029" t="s">
        <v>10217</v>
      </c>
      <c r="M6029" t="s">
        <v>10380</v>
      </c>
      <c r="N6029" t="s">
        <v>10671</v>
      </c>
      <c r="P6029" t="s">
        <v>10753</v>
      </c>
      <c r="Q6029" t="s">
        <v>10763</v>
      </c>
      <c r="R6029" t="s">
        <v>10823</v>
      </c>
      <c r="T6029">
        <v>0</v>
      </c>
      <c r="U6029">
        <v>0</v>
      </c>
      <c r="V6029">
        <v>57</v>
      </c>
      <c r="W6029">
        <v>1</v>
      </c>
      <c r="X6029">
        <v>0</v>
      </c>
      <c r="Z6029">
        <v>0</v>
      </c>
      <c r="AA6029">
        <v>40.867059</v>
      </c>
      <c r="AB6029">
        <v>-73.88900700000001</v>
      </c>
      <c r="AD6029" t="s">
        <v>10839</v>
      </c>
      <c r="AF6029" t="s">
        <v>10843</v>
      </c>
      <c r="AG6029" t="s">
        <v>10859</v>
      </c>
      <c r="AH6029" t="s">
        <v>10861</v>
      </c>
      <c r="AI6029">
        <v>234</v>
      </c>
      <c r="AJ6029" t="s">
        <v>10214</v>
      </c>
      <c r="AL6029">
        <v>0.2</v>
      </c>
      <c r="AM6029" t="s">
        <v>10887</v>
      </c>
      <c r="AN6029" t="s">
        <v>10907</v>
      </c>
      <c r="AO6029" t="s">
        <v>11000</v>
      </c>
      <c r="AP6029" t="s">
        <v>11056</v>
      </c>
      <c r="AQ6029" t="s">
        <v>11131</v>
      </c>
      <c r="AR6029" t="s">
        <v>11267</v>
      </c>
      <c r="AS6029" t="s">
        <v>9926</v>
      </c>
      <c r="AT6029" t="s">
        <v>11641</v>
      </c>
      <c r="AX6029" t="s">
        <v>10838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</row>
    <row r="6030" spans="1:59">
      <c r="A6030" s="1">
        <f>HYPERLINK("https://lsnyc.legalserver.org/matter/dynamic-profile/view/1910336","19-1910336")</f>
        <v>0</v>
      </c>
      <c r="B6030" t="s">
        <v>4679</v>
      </c>
      <c r="C6030" t="s">
        <v>9559</v>
      </c>
      <c r="D6030" t="s">
        <v>9935</v>
      </c>
      <c r="E6030" t="s">
        <v>10075</v>
      </c>
      <c r="F6030">
        <v>11370</v>
      </c>
      <c r="G6030" t="s">
        <v>10092</v>
      </c>
      <c r="H6030" t="s">
        <v>10135</v>
      </c>
      <c r="I6030" t="s">
        <v>10168</v>
      </c>
      <c r="J6030" t="s">
        <v>10212</v>
      </c>
      <c r="K6030" t="s">
        <v>10218</v>
      </c>
      <c r="L6030" t="s">
        <v>10220</v>
      </c>
      <c r="M6030" t="s">
        <v>10340</v>
      </c>
      <c r="N6030" t="s">
        <v>10694</v>
      </c>
      <c r="P6030" t="s">
        <v>10751</v>
      </c>
      <c r="Q6030" t="s">
        <v>10768</v>
      </c>
      <c r="R6030" t="s">
        <v>10820</v>
      </c>
      <c r="T6030">
        <v>0</v>
      </c>
      <c r="U6030">
        <v>0</v>
      </c>
      <c r="V6030">
        <v>44</v>
      </c>
      <c r="W6030">
        <v>1</v>
      </c>
      <c r="X6030">
        <v>0</v>
      </c>
      <c r="Y6030" t="s">
        <v>10829</v>
      </c>
      <c r="Z6030">
        <v>0</v>
      </c>
      <c r="AA6030">
        <v>40.770265</v>
      </c>
      <c r="AB6030">
        <v>-73.898037</v>
      </c>
      <c r="AD6030" t="s">
        <v>10839</v>
      </c>
      <c r="AG6030" t="s">
        <v>10858</v>
      </c>
      <c r="AH6030" t="s">
        <v>10871</v>
      </c>
      <c r="AI6030">
        <v>234</v>
      </c>
      <c r="AJ6030" t="s">
        <v>10214</v>
      </c>
      <c r="AK6030" t="s">
        <v>10838</v>
      </c>
      <c r="AL6030">
        <v>1.9</v>
      </c>
      <c r="AM6030" t="s">
        <v>10885</v>
      </c>
      <c r="AN6030" t="s">
        <v>10954</v>
      </c>
      <c r="AO6030" t="s">
        <v>11014</v>
      </c>
      <c r="AP6030" t="s">
        <v>11084</v>
      </c>
      <c r="AR6030" t="s">
        <v>11267</v>
      </c>
      <c r="AS6030" t="s">
        <v>11594</v>
      </c>
      <c r="AT6030" t="s">
        <v>11641</v>
      </c>
      <c r="AX6030" t="s">
        <v>10838</v>
      </c>
      <c r="AY6030" t="s">
        <v>10829</v>
      </c>
      <c r="AZ6030" t="s">
        <v>11682</v>
      </c>
      <c r="BA6030" t="s">
        <v>11741</v>
      </c>
      <c r="BB6030">
        <v>0</v>
      </c>
      <c r="BC6030">
        <v>0</v>
      </c>
      <c r="BD6030">
        <v>0</v>
      </c>
      <c r="BE6030">
        <v>0</v>
      </c>
      <c r="BF6030">
        <v>1</v>
      </c>
      <c r="BG6030">
        <v>0</v>
      </c>
    </row>
    <row r="6031" spans="1:59">
      <c r="A6031" s="1">
        <f>HYPERLINK("https://lsnyc.legalserver.org/matter/dynamic-profile/view/1910337","19-1910337")</f>
        <v>0</v>
      </c>
      <c r="B6031" t="s">
        <v>4049</v>
      </c>
      <c r="C6031" t="s">
        <v>8871</v>
      </c>
      <c r="D6031" t="s">
        <v>9926</v>
      </c>
      <c r="E6031" t="s">
        <v>10075</v>
      </c>
      <c r="F6031">
        <v>10458</v>
      </c>
      <c r="G6031" t="s">
        <v>10090</v>
      </c>
      <c r="H6031" t="s">
        <v>10135</v>
      </c>
      <c r="I6031" t="s">
        <v>10168</v>
      </c>
      <c r="J6031" t="s">
        <v>10210</v>
      </c>
      <c r="K6031" t="s">
        <v>10217</v>
      </c>
      <c r="M6031" t="s">
        <v>10346</v>
      </c>
      <c r="N6031" t="s">
        <v>10688</v>
      </c>
      <c r="P6031" t="s">
        <v>10751</v>
      </c>
      <c r="Q6031" t="s">
        <v>10761</v>
      </c>
      <c r="R6031" t="s">
        <v>10824</v>
      </c>
      <c r="T6031">
        <v>18180</v>
      </c>
      <c r="U6031">
        <v>1515</v>
      </c>
      <c r="V6031">
        <v>39</v>
      </c>
      <c r="W6031">
        <v>1</v>
      </c>
      <c r="X6031">
        <v>2</v>
      </c>
      <c r="Z6031">
        <v>85.23</v>
      </c>
      <c r="AA6031">
        <v>40.855418</v>
      </c>
      <c r="AB6031">
        <v>-73.888678</v>
      </c>
      <c r="AD6031" t="s">
        <v>10839</v>
      </c>
      <c r="AG6031" t="s">
        <v>10858</v>
      </c>
      <c r="AH6031" t="s">
        <v>10862</v>
      </c>
      <c r="AI6031">
        <v>230</v>
      </c>
      <c r="AJ6031" t="s">
        <v>10210</v>
      </c>
      <c r="AL6031">
        <v>0</v>
      </c>
      <c r="AR6031" t="s">
        <v>11273</v>
      </c>
      <c r="AS6031" t="s">
        <v>9926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</row>
    <row r="6032" spans="1:59">
      <c r="A6032" s="1">
        <f>HYPERLINK("https://lsnyc.legalserver.org/matter/dynamic-profile/view/1910338","19-1910338")</f>
        <v>0</v>
      </c>
      <c r="B6032" t="s">
        <v>2770</v>
      </c>
      <c r="C6032" t="s">
        <v>7554</v>
      </c>
      <c r="D6032" t="s">
        <v>9928</v>
      </c>
      <c r="E6032" t="s">
        <v>10075</v>
      </c>
      <c r="F6032">
        <v>11206</v>
      </c>
      <c r="G6032" t="s">
        <v>10093</v>
      </c>
      <c r="H6032" t="s">
        <v>10135</v>
      </c>
      <c r="I6032" t="s">
        <v>10169</v>
      </c>
      <c r="J6032" t="s">
        <v>10213</v>
      </c>
      <c r="K6032" t="s">
        <v>10217</v>
      </c>
      <c r="M6032" t="s">
        <v>10443</v>
      </c>
      <c r="N6032" t="s">
        <v>10644</v>
      </c>
      <c r="P6032" t="s">
        <v>10749</v>
      </c>
      <c r="Q6032" t="s">
        <v>10765</v>
      </c>
      <c r="R6032" t="s">
        <v>10823</v>
      </c>
      <c r="T6032">
        <v>23184</v>
      </c>
      <c r="U6032">
        <v>1932</v>
      </c>
      <c r="V6032">
        <v>66</v>
      </c>
      <c r="W6032">
        <v>1</v>
      </c>
      <c r="X6032">
        <v>0</v>
      </c>
      <c r="Z6032">
        <v>185.62</v>
      </c>
      <c r="AA6032">
        <v>40.69504</v>
      </c>
      <c r="AB6032">
        <v>-73.940033</v>
      </c>
      <c r="AD6032" t="s">
        <v>10839</v>
      </c>
      <c r="AG6032" t="s">
        <v>10858</v>
      </c>
      <c r="AH6032" t="s">
        <v>10869</v>
      </c>
      <c r="AI6032">
        <v>239</v>
      </c>
      <c r="AJ6032" t="s">
        <v>10213</v>
      </c>
      <c r="AL6032">
        <v>1</v>
      </c>
      <c r="AM6032" t="s">
        <v>10889</v>
      </c>
      <c r="AN6032" t="s">
        <v>10920</v>
      </c>
      <c r="AO6032" t="s">
        <v>11011</v>
      </c>
      <c r="AP6032" t="s">
        <v>11052</v>
      </c>
      <c r="AR6032" t="s">
        <v>11578</v>
      </c>
      <c r="AS6032" t="s">
        <v>11595</v>
      </c>
      <c r="AT6032" t="s">
        <v>11641</v>
      </c>
      <c r="AV6032" t="s">
        <v>11656</v>
      </c>
      <c r="AW6032" t="s">
        <v>11645</v>
      </c>
      <c r="AX6032" t="s">
        <v>10838</v>
      </c>
      <c r="BA6032" t="s">
        <v>11742</v>
      </c>
      <c r="BB6032">
        <v>0</v>
      </c>
      <c r="BC6032">
        <v>0</v>
      </c>
      <c r="BD6032">
        <v>0</v>
      </c>
      <c r="BE6032">
        <v>0</v>
      </c>
      <c r="BF6032">
        <v>7</v>
      </c>
      <c r="BG6032">
        <v>0</v>
      </c>
    </row>
    <row r="6033" spans="1:59">
      <c r="A6033" s="1">
        <f>HYPERLINK("https://lsnyc.legalserver.org/matter/dynamic-profile/view/1910339","19-1910339")</f>
        <v>0</v>
      </c>
      <c r="B6033" t="s">
        <v>4672</v>
      </c>
      <c r="C6033" t="s">
        <v>9553</v>
      </c>
      <c r="D6033" t="s">
        <v>9926</v>
      </c>
      <c r="E6033" t="s">
        <v>10075</v>
      </c>
      <c r="F6033">
        <v>10467</v>
      </c>
      <c r="G6033" t="s">
        <v>10090</v>
      </c>
      <c r="H6033" t="s">
        <v>10135</v>
      </c>
      <c r="I6033" t="s">
        <v>10168</v>
      </c>
      <c r="J6033" t="s">
        <v>10210</v>
      </c>
      <c r="K6033" t="s">
        <v>10217</v>
      </c>
      <c r="M6033" t="s">
        <v>10334</v>
      </c>
      <c r="N6033" t="s">
        <v>10688</v>
      </c>
      <c r="P6033" t="s">
        <v>10751</v>
      </c>
      <c r="Q6033" t="s">
        <v>10761</v>
      </c>
      <c r="R6033" t="s">
        <v>10820</v>
      </c>
      <c r="T6033">
        <v>0</v>
      </c>
      <c r="U6033">
        <v>0</v>
      </c>
      <c r="V6033">
        <v>34</v>
      </c>
      <c r="W6033">
        <v>1</v>
      </c>
      <c r="X6033">
        <v>0</v>
      </c>
      <c r="Z6033">
        <v>0</v>
      </c>
      <c r="AA6033">
        <v>40.876209</v>
      </c>
      <c r="AB6033">
        <v>-73.879936</v>
      </c>
      <c r="AD6033" t="s">
        <v>10840</v>
      </c>
      <c r="AG6033" t="s">
        <v>10858</v>
      </c>
      <c r="AH6033" t="s">
        <v>10862</v>
      </c>
      <c r="AI6033">
        <v>230</v>
      </c>
      <c r="AJ6033" t="s">
        <v>10210</v>
      </c>
      <c r="AL6033">
        <v>0.45</v>
      </c>
      <c r="AR6033" t="s">
        <v>11267</v>
      </c>
      <c r="AS6033" t="s">
        <v>9926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</row>
    <row r="6034" spans="1:59">
      <c r="A6034" s="1">
        <f>HYPERLINK("https://lsnyc.legalserver.org/matter/dynamic-profile/view/1910340","19-1910340")</f>
        <v>0</v>
      </c>
      <c r="B6034" t="s">
        <v>4680</v>
      </c>
      <c r="C6034" t="s">
        <v>7108</v>
      </c>
      <c r="D6034" t="s">
        <v>9928</v>
      </c>
      <c r="E6034" t="s">
        <v>10075</v>
      </c>
      <c r="F6034">
        <v>11226</v>
      </c>
      <c r="G6034" t="s">
        <v>10093</v>
      </c>
      <c r="H6034" t="s">
        <v>10135</v>
      </c>
      <c r="I6034" t="s">
        <v>10177</v>
      </c>
      <c r="J6034" t="s">
        <v>10213</v>
      </c>
      <c r="K6034" t="s">
        <v>10217</v>
      </c>
      <c r="M6034" t="s">
        <v>10359</v>
      </c>
      <c r="N6034" t="s">
        <v>10667</v>
      </c>
      <c r="P6034" t="s">
        <v>10749</v>
      </c>
      <c r="Q6034" t="s">
        <v>10765</v>
      </c>
      <c r="R6034" t="s">
        <v>10824</v>
      </c>
      <c r="T6034">
        <v>50000</v>
      </c>
      <c r="U6034">
        <v>4166.67</v>
      </c>
      <c r="V6034">
        <v>62</v>
      </c>
      <c r="W6034">
        <v>2</v>
      </c>
      <c r="X6034">
        <v>0</v>
      </c>
      <c r="Z6034">
        <v>295.68</v>
      </c>
      <c r="AA6034">
        <v>40.655065</v>
      </c>
      <c r="AB6034">
        <v>-73.951504</v>
      </c>
      <c r="AD6034" t="s">
        <v>10839</v>
      </c>
      <c r="AG6034" t="s">
        <v>10858</v>
      </c>
      <c r="AH6034" t="s">
        <v>10862</v>
      </c>
      <c r="AI6034">
        <v>239</v>
      </c>
      <c r="AJ6034" t="s">
        <v>10213</v>
      </c>
      <c r="AL6034">
        <v>0</v>
      </c>
      <c r="AM6034" t="s">
        <v>10888</v>
      </c>
      <c r="AN6034" t="s">
        <v>10912</v>
      </c>
      <c r="AO6034" t="s">
        <v>11005</v>
      </c>
      <c r="AP6034" t="s">
        <v>11050</v>
      </c>
      <c r="AR6034" t="s">
        <v>11257</v>
      </c>
      <c r="AS6034" t="s">
        <v>11595</v>
      </c>
      <c r="BA6034" t="s">
        <v>11741</v>
      </c>
      <c r="BB6034">
        <v>0</v>
      </c>
      <c r="BC6034">
        <v>0</v>
      </c>
      <c r="BD6034">
        <v>0</v>
      </c>
      <c r="BE6034">
        <v>0</v>
      </c>
      <c r="BF6034">
        <v>1</v>
      </c>
      <c r="BG6034">
        <v>0</v>
      </c>
    </row>
    <row r="6035" spans="1:59">
      <c r="A6035" s="1">
        <f>HYPERLINK("https://lsnyc.legalserver.org/matter/dynamic-profile/view/1910341","19-1910341")</f>
        <v>0</v>
      </c>
      <c r="B6035" t="s">
        <v>4681</v>
      </c>
      <c r="C6035" t="s">
        <v>9560</v>
      </c>
      <c r="D6035" t="s">
        <v>9928</v>
      </c>
      <c r="E6035" t="s">
        <v>10075</v>
      </c>
      <c r="F6035">
        <v>11205</v>
      </c>
      <c r="G6035" t="s">
        <v>10091</v>
      </c>
      <c r="H6035" t="s">
        <v>10135</v>
      </c>
      <c r="I6035" t="s">
        <v>10169</v>
      </c>
      <c r="J6035" t="s">
        <v>10214</v>
      </c>
      <c r="K6035" t="s">
        <v>10217</v>
      </c>
      <c r="M6035" t="s">
        <v>10537</v>
      </c>
      <c r="N6035" t="s">
        <v>10671</v>
      </c>
      <c r="P6035" t="s">
        <v>10753</v>
      </c>
      <c r="Q6035" t="s">
        <v>10763</v>
      </c>
      <c r="R6035" t="s">
        <v>10821</v>
      </c>
      <c r="T6035">
        <v>33280</v>
      </c>
      <c r="U6035">
        <v>2773.33</v>
      </c>
      <c r="V6035">
        <v>58</v>
      </c>
      <c r="W6035">
        <v>2</v>
      </c>
      <c r="X6035">
        <v>0</v>
      </c>
      <c r="Z6035">
        <v>196.81</v>
      </c>
      <c r="AA6035">
        <v>40.695383</v>
      </c>
      <c r="AB6035">
        <v>-73.973964</v>
      </c>
      <c r="AD6035" t="s">
        <v>10840</v>
      </c>
      <c r="AF6035" t="s">
        <v>10843</v>
      </c>
      <c r="AG6035" t="s">
        <v>10859</v>
      </c>
      <c r="AH6035" t="s">
        <v>10861</v>
      </c>
      <c r="AI6035">
        <v>234</v>
      </c>
      <c r="AJ6035" t="s">
        <v>10214</v>
      </c>
      <c r="AL6035">
        <v>0.5</v>
      </c>
      <c r="AM6035" t="s">
        <v>10889</v>
      </c>
      <c r="AN6035" t="s">
        <v>10923</v>
      </c>
      <c r="AO6035" t="s">
        <v>11007</v>
      </c>
      <c r="AP6035" t="s">
        <v>11061</v>
      </c>
      <c r="AR6035" t="s">
        <v>11262</v>
      </c>
      <c r="AS6035" t="s">
        <v>11595</v>
      </c>
      <c r="AT6035" t="s">
        <v>11642</v>
      </c>
      <c r="AX6035" t="s">
        <v>10838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</row>
    <row r="6036" spans="1:59">
      <c r="A6036" s="1">
        <f>HYPERLINK("https://lsnyc.legalserver.org/matter/dynamic-profile/view/1910342","19-1910342")</f>
        <v>0</v>
      </c>
      <c r="B6036" t="s">
        <v>4682</v>
      </c>
      <c r="C6036" t="s">
        <v>9561</v>
      </c>
      <c r="D6036" t="s">
        <v>9928</v>
      </c>
      <c r="E6036" t="s">
        <v>10075</v>
      </c>
      <c r="F6036">
        <v>11220</v>
      </c>
      <c r="G6036" t="s">
        <v>10091</v>
      </c>
      <c r="H6036" t="s">
        <v>10135</v>
      </c>
      <c r="I6036" t="s">
        <v>10169</v>
      </c>
      <c r="J6036" t="s">
        <v>10214</v>
      </c>
      <c r="K6036" t="s">
        <v>10217</v>
      </c>
      <c r="M6036" t="s">
        <v>10537</v>
      </c>
      <c r="N6036" t="s">
        <v>10671</v>
      </c>
      <c r="P6036" t="s">
        <v>10753</v>
      </c>
      <c r="Q6036" t="s">
        <v>10763</v>
      </c>
      <c r="R6036" t="s">
        <v>10821</v>
      </c>
      <c r="T6036">
        <v>15600</v>
      </c>
      <c r="U6036">
        <v>1300</v>
      </c>
      <c r="V6036">
        <v>41</v>
      </c>
      <c r="W6036">
        <v>1</v>
      </c>
      <c r="X6036">
        <v>0</v>
      </c>
      <c r="Z6036">
        <v>124.9</v>
      </c>
      <c r="AA6036">
        <v>40.643059</v>
      </c>
      <c r="AB6036">
        <v>-74.011037</v>
      </c>
      <c r="AD6036" t="s">
        <v>10840</v>
      </c>
      <c r="AF6036" t="s">
        <v>10842</v>
      </c>
      <c r="AG6036" t="s">
        <v>10859</v>
      </c>
      <c r="AH6036" t="s">
        <v>10861</v>
      </c>
      <c r="AI6036">
        <v>234</v>
      </c>
      <c r="AJ6036" t="s">
        <v>10214</v>
      </c>
      <c r="AL6036">
        <v>0.75</v>
      </c>
      <c r="AM6036" t="s">
        <v>10886</v>
      </c>
      <c r="AN6036" t="s">
        <v>10921</v>
      </c>
      <c r="AO6036" t="s">
        <v>11005</v>
      </c>
      <c r="AP6036" t="s">
        <v>11069</v>
      </c>
      <c r="AR6036" t="s">
        <v>11276</v>
      </c>
      <c r="AS6036" t="s">
        <v>11595</v>
      </c>
      <c r="AT6036" t="s">
        <v>11642</v>
      </c>
      <c r="AX6036" t="s">
        <v>10838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</row>
    <row r="6037" spans="1:59">
      <c r="A6037" s="1">
        <f>HYPERLINK("https://lsnyc.legalserver.org/matter/dynamic-profile/view/1910343","19-1910343")</f>
        <v>0</v>
      </c>
      <c r="B6037" t="s">
        <v>2959</v>
      </c>
      <c r="C6037" t="s">
        <v>9562</v>
      </c>
      <c r="D6037" t="s">
        <v>9925</v>
      </c>
      <c r="E6037" t="s">
        <v>10075</v>
      </c>
      <c r="F6037">
        <v>10039</v>
      </c>
      <c r="G6037" t="s">
        <v>10089</v>
      </c>
      <c r="H6037" t="s">
        <v>10135</v>
      </c>
      <c r="I6037" t="s">
        <v>10169</v>
      </c>
      <c r="J6037" t="s">
        <v>10209</v>
      </c>
      <c r="K6037" t="s">
        <v>10217</v>
      </c>
      <c r="M6037" t="s">
        <v>10537</v>
      </c>
      <c r="N6037" t="s">
        <v>10671</v>
      </c>
      <c r="P6037" t="s">
        <v>10753</v>
      </c>
      <c r="Q6037" t="s">
        <v>10763</v>
      </c>
      <c r="R6037" t="s">
        <v>10821</v>
      </c>
      <c r="T6037">
        <v>15600</v>
      </c>
      <c r="U6037">
        <v>1300</v>
      </c>
      <c r="V6037">
        <v>32</v>
      </c>
      <c r="W6037">
        <v>1</v>
      </c>
      <c r="X6037">
        <v>0</v>
      </c>
      <c r="Z6037">
        <v>124.9</v>
      </c>
      <c r="AA6037">
        <v>40.82465</v>
      </c>
      <c r="AB6037">
        <v>-73.938761</v>
      </c>
      <c r="AD6037" t="s">
        <v>10839</v>
      </c>
      <c r="AG6037" t="s">
        <v>10858</v>
      </c>
      <c r="AH6037" t="s">
        <v>10871</v>
      </c>
      <c r="AI6037">
        <v>234</v>
      </c>
      <c r="AJ6037" t="s">
        <v>10214</v>
      </c>
      <c r="AL6037">
        <v>1</v>
      </c>
      <c r="AM6037" t="s">
        <v>10887</v>
      </c>
      <c r="AN6037" t="s">
        <v>10943</v>
      </c>
      <c r="AO6037" t="s">
        <v>11016</v>
      </c>
      <c r="AP6037" t="s">
        <v>11076</v>
      </c>
      <c r="AR6037" t="s">
        <v>11257</v>
      </c>
      <c r="AS6037" t="s">
        <v>9925</v>
      </c>
      <c r="AT6037" t="s">
        <v>11641</v>
      </c>
      <c r="AX6037" t="s">
        <v>10838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</row>
    <row r="6038" spans="1:59">
      <c r="A6038" s="1">
        <f>HYPERLINK("https://lsnyc.legalserver.org/matter/dynamic-profile/view/1910344","19-1910344")</f>
        <v>0</v>
      </c>
      <c r="B6038" t="s">
        <v>4683</v>
      </c>
      <c r="C6038" t="s">
        <v>9563</v>
      </c>
      <c r="D6038" t="s">
        <v>9925</v>
      </c>
      <c r="E6038" t="s">
        <v>10075</v>
      </c>
      <c r="F6038">
        <v>10029</v>
      </c>
      <c r="G6038" t="s">
        <v>10089</v>
      </c>
      <c r="H6038" t="s">
        <v>10135</v>
      </c>
      <c r="I6038" t="s">
        <v>10168</v>
      </c>
      <c r="J6038" t="s">
        <v>10209</v>
      </c>
      <c r="K6038" t="s">
        <v>10217</v>
      </c>
      <c r="M6038" t="s">
        <v>10381</v>
      </c>
      <c r="N6038" t="s">
        <v>10671</v>
      </c>
      <c r="P6038" t="s">
        <v>10751</v>
      </c>
      <c r="Q6038" t="s">
        <v>10768</v>
      </c>
      <c r="R6038" t="s">
        <v>10824</v>
      </c>
      <c r="T6038">
        <v>2366</v>
      </c>
      <c r="U6038">
        <v>197.17</v>
      </c>
      <c r="V6038">
        <v>34</v>
      </c>
      <c r="W6038">
        <v>1</v>
      </c>
      <c r="X6038">
        <v>0</v>
      </c>
      <c r="Z6038">
        <v>18.94</v>
      </c>
      <c r="AA6038">
        <v>40.795239</v>
      </c>
      <c r="AB6038">
        <v>-73.947881</v>
      </c>
      <c r="AD6038" t="s">
        <v>10840</v>
      </c>
      <c r="AG6038" t="s">
        <v>10858</v>
      </c>
      <c r="AH6038" t="s">
        <v>10861</v>
      </c>
      <c r="AI6038">
        <v>234</v>
      </c>
      <c r="AJ6038" t="s">
        <v>10214</v>
      </c>
      <c r="AL6038">
        <v>0.5</v>
      </c>
      <c r="AM6038" t="s">
        <v>10887</v>
      </c>
      <c r="AN6038" t="s">
        <v>10926</v>
      </c>
      <c r="AO6038" t="s">
        <v>11016</v>
      </c>
      <c r="AP6038" t="s">
        <v>11066</v>
      </c>
      <c r="AR6038" t="s">
        <v>11255</v>
      </c>
      <c r="AS6038" t="s">
        <v>9925</v>
      </c>
      <c r="AT6038" t="s">
        <v>11642</v>
      </c>
      <c r="AX6038" t="s">
        <v>10837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</row>
    <row r="6039" spans="1:59">
      <c r="A6039" s="1">
        <f>HYPERLINK("https://lsnyc.legalserver.org/matter/dynamic-profile/view/1910345","19-1910345")</f>
        <v>0</v>
      </c>
      <c r="B6039" t="s">
        <v>4451</v>
      </c>
      <c r="C6039" t="s">
        <v>9564</v>
      </c>
      <c r="D6039" t="s">
        <v>9962</v>
      </c>
      <c r="E6039" t="s">
        <v>10075</v>
      </c>
      <c r="F6039">
        <v>11423</v>
      </c>
      <c r="G6039" t="s">
        <v>10092</v>
      </c>
      <c r="H6039" t="s">
        <v>10135</v>
      </c>
      <c r="I6039" t="s">
        <v>10168</v>
      </c>
      <c r="J6039" t="s">
        <v>10212</v>
      </c>
      <c r="K6039" t="s">
        <v>10217</v>
      </c>
      <c r="M6039" t="s">
        <v>10260</v>
      </c>
      <c r="N6039" t="s">
        <v>10671</v>
      </c>
      <c r="P6039" t="s">
        <v>10751</v>
      </c>
      <c r="Q6039" t="s">
        <v>10773</v>
      </c>
      <c r="R6039" t="s">
        <v>10827</v>
      </c>
      <c r="T6039">
        <v>0</v>
      </c>
      <c r="U6039">
        <v>0</v>
      </c>
      <c r="V6039">
        <v>35</v>
      </c>
      <c r="W6039">
        <v>1</v>
      </c>
      <c r="X6039">
        <v>0</v>
      </c>
      <c r="Z6039">
        <v>0</v>
      </c>
      <c r="AA6039">
        <v>40.711551</v>
      </c>
      <c r="AB6039">
        <v>-73.754644</v>
      </c>
      <c r="AD6039" t="s">
        <v>10840</v>
      </c>
      <c r="AG6039" t="s">
        <v>10858</v>
      </c>
      <c r="AH6039" t="s">
        <v>10871</v>
      </c>
      <c r="AI6039">
        <v>234</v>
      </c>
      <c r="AJ6039" t="s">
        <v>10214</v>
      </c>
      <c r="AL6039">
        <v>5.75</v>
      </c>
      <c r="AM6039" t="s">
        <v>10892</v>
      </c>
      <c r="AN6039" t="s">
        <v>10940</v>
      </c>
      <c r="AO6039" t="s">
        <v>11020</v>
      </c>
      <c r="AP6039" t="s">
        <v>11075</v>
      </c>
      <c r="AR6039" t="s">
        <v>11267</v>
      </c>
      <c r="AS6039" t="s">
        <v>11594</v>
      </c>
      <c r="AT6039" t="s">
        <v>11642</v>
      </c>
      <c r="AX6039" t="s">
        <v>10838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</row>
    <row r="6040" spans="1:59">
      <c r="A6040" s="1">
        <f>HYPERLINK("https://lsnyc.legalserver.org/matter/dynamic-profile/view/1910346","19-1910346")</f>
        <v>0</v>
      </c>
      <c r="B6040" t="s">
        <v>2053</v>
      </c>
      <c r="C6040" t="s">
        <v>9565</v>
      </c>
      <c r="D6040" t="s">
        <v>10068</v>
      </c>
      <c r="E6040" t="s">
        <v>10075</v>
      </c>
      <c r="F6040">
        <v>12304</v>
      </c>
      <c r="G6040" t="s">
        <v>10093</v>
      </c>
      <c r="H6040" t="s">
        <v>10135</v>
      </c>
      <c r="I6040" t="s">
        <v>10168</v>
      </c>
      <c r="J6040" t="s">
        <v>10213</v>
      </c>
      <c r="K6040" t="s">
        <v>10217</v>
      </c>
      <c r="M6040" t="s">
        <v>10462</v>
      </c>
      <c r="N6040" t="s">
        <v>10646</v>
      </c>
      <c r="O6040" t="s">
        <v>10646</v>
      </c>
      <c r="P6040" t="s">
        <v>10750</v>
      </c>
      <c r="Q6040" t="s">
        <v>10760</v>
      </c>
      <c r="R6040" t="s">
        <v>10820</v>
      </c>
      <c r="T6040">
        <v>70000</v>
      </c>
      <c r="U6040">
        <v>5833.33</v>
      </c>
      <c r="V6040">
        <v>63</v>
      </c>
      <c r="W6040">
        <v>1</v>
      </c>
      <c r="X6040">
        <v>0</v>
      </c>
      <c r="Z6040">
        <v>560.45</v>
      </c>
      <c r="AA6040">
        <v>42.789861</v>
      </c>
      <c r="AB6040">
        <v>-73.916819</v>
      </c>
      <c r="AD6040" t="s">
        <v>10839</v>
      </c>
      <c r="AG6040" t="s">
        <v>10858</v>
      </c>
      <c r="AH6040" t="s">
        <v>10878</v>
      </c>
      <c r="AI6040">
        <v>239</v>
      </c>
      <c r="AJ6040" t="s">
        <v>10213</v>
      </c>
      <c r="AL6040">
        <v>3.5</v>
      </c>
      <c r="AM6040" t="s">
        <v>10905</v>
      </c>
      <c r="AN6040" t="s">
        <v>10997</v>
      </c>
      <c r="AO6040" t="s">
        <v>11043</v>
      </c>
      <c r="AQ6040" t="s">
        <v>11141</v>
      </c>
      <c r="AR6040" t="s">
        <v>11257</v>
      </c>
      <c r="AS6040" t="s">
        <v>10068</v>
      </c>
      <c r="AT6040" t="s">
        <v>11641</v>
      </c>
      <c r="AX6040" t="s">
        <v>10838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</row>
    <row r="6041" spans="1:59">
      <c r="A6041" s="1">
        <f>HYPERLINK("https://lsnyc.legalserver.org/matter/dynamic-profile/view/1910347","19-1910347")</f>
        <v>0</v>
      </c>
      <c r="B6041" t="s">
        <v>4540</v>
      </c>
      <c r="C6041" t="s">
        <v>9410</v>
      </c>
      <c r="D6041" t="s">
        <v>9925</v>
      </c>
      <c r="E6041" t="s">
        <v>10075</v>
      </c>
      <c r="F6041">
        <v>10009</v>
      </c>
      <c r="G6041" t="s">
        <v>10089</v>
      </c>
      <c r="H6041" t="s">
        <v>10135</v>
      </c>
      <c r="I6041" t="s">
        <v>10169</v>
      </c>
      <c r="J6041" t="s">
        <v>10209</v>
      </c>
      <c r="K6041" t="s">
        <v>10217</v>
      </c>
      <c r="M6041" t="s">
        <v>10488</v>
      </c>
      <c r="N6041" t="s">
        <v>10649</v>
      </c>
      <c r="P6041" t="s">
        <v>10753</v>
      </c>
      <c r="Q6041" t="s">
        <v>10763</v>
      </c>
      <c r="R6041" t="s">
        <v>10821</v>
      </c>
      <c r="T6041">
        <v>9228</v>
      </c>
      <c r="U6041">
        <v>769</v>
      </c>
      <c r="V6041">
        <v>60</v>
      </c>
      <c r="W6041">
        <v>2</v>
      </c>
      <c r="X6041">
        <v>0</v>
      </c>
      <c r="Z6041">
        <v>54.57</v>
      </c>
      <c r="AA6041">
        <v>40.722024</v>
      </c>
      <c r="AB6041">
        <v>-73.97508999999999</v>
      </c>
      <c r="AD6041" t="s">
        <v>10839</v>
      </c>
      <c r="AF6041" t="s">
        <v>10843</v>
      </c>
      <c r="AG6041" t="s">
        <v>10859</v>
      </c>
      <c r="AH6041" t="s">
        <v>10864</v>
      </c>
      <c r="AI6041">
        <v>236</v>
      </c>
      <c r="AJ6041" t="s">
        <v>10209</v>
      </c>
      <c r="AL6041">
        <v>0.5</v>
      </c>
      <c r="AM6041" t="s">
        <v>10886</v>
      </c>
      <c r="AN6041" t="s">
        <v>10910</v>
      </c>
      <c r="AO6041" t="s">
        <v>11021</v>
      </c>
      <c r="AP6041" t="s">
        <v>11048</v>
      </c>
      <c r="AQ6041" t="s">
        <v>11104</v>
      </c>
      <c r="AR6041" t="s">
        <v>11263</v>
      </c>
      <c r="AS6041" t="s">
        <v>9925</v>
      </c>
      <c r="BA6041" t="s">
        <v>11739</v>
      </c>
      <c r="BB6041">
        <v>0</v>
      </c>
      <c r="BC6041">
        <v>0</v>
      </c>
      <c r="BD6041">
        <v>0</v>
      </c>
      <c r="BE6041">
        <v>0</v>
      </c>
      <c r="BF6041">
        <v>4</v>
      </c>
      <c r="BG6041">
        <v>0</v>
      </c>
    </row>
    <row r="6042" spans="1:59">
      <c r="A6042" s="1">
        <f>HYPERLINK("https://lsnyc.legalserver.org/matter/dynamic-profile/view/1910348","19-1910348")</f>
        <v>0</v>
      </c>
      <c r="B6042" t="s">
        <v>4684</v>
      </c>
      <c r="C6042" t="s">
        <v>9566</v>
      </c>
      <c r="D6042" t="s">
        <v>10069</v>
      </c>
      <c r="E6042" t="s">
        <v>10087</v>
      </c>
      <c r="F6042">
        <v>28216</v>
      </c>
      <c r="G6042" t="s">
        <v>10093</v>
      </c>
      <c r="H6042" t="s">
        <v>10135</v>
      </c>
      <c r="I6042" t="s">
        <v>10168</v>
      </c>
      <c r="J6042" t="s">
        <v>10213</v>
      </c>
      <c r="K6042" t="s">
        <v>10217</v>
      </c>
      <c r="M6042" t="s">
        <v>10436</v>
      </c>
      <c r="N6042" t="s">
        <v>10671</v>
      </c>
      <c r="P6042" t="s">
        <v>10750</v>
      </c>
      <c r="Q6042" t="s">
        <v>10760</v>
      </c>
      <c r="R6042" t="s">
        <v>10824</v>
      </c>
      <c r="T6042">
        <v>17532</v>
      </c>
      <c r="U6042">
        <v>1461</v>
      </c>
      <c r="V6042">
        <v>58</v>
      </c>
      <c r="W6042">
        <v>1</v>
      </c>
      <c r="X6042">
        <v>0</v>
      </c>
      <c r="Z6042">
        <v>140.37</v>
      </c>
      <c r="AA6042">
        <v>35.316426</v>
      </c>
      <c r="AB6042">
        <v>-80.874089</v>
      </c>
      <c r="AD6042" t="s">
        <v>10839</v>
      </c>
      <c r="AG6042" t="s">
        <v>10858</v>
      </c>
      <c r="AH6042" t="s">
        <v>10861</v>
      </c>
      <c r="AI6042">
        <v>234</v>
      </c>
      <c r="AJ6042" t="s">
        <v>10214</v>
      </c>
      <c r="AL6042">
        <v>1</v>
      </c>
      <c r="AR6042" t="s">
        <v>11296</v>
      </c>
      <c r="AS6042" t="s">
        <v>11638</v>
      </c>
      <c r="AT6042" t="s">
        <v>11641</v>
      </c>
      <c r="AX6042" t="s">
        <v>10838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</row>
    <row r="6043" spans="1:59">
      <c r="A6043" s="1">
        <f>HYPERLINK("https://lsnyc.legalserver.org/matter/dynamic-profile/view/1910349","19-1910349")</f>
        <v>0</v>
      </c>
      <c r="B6043" t="s">
        <v>4685</v>
      </c>
      <c r="C6043" t="s">
        <v>9567</v>
      </c>
      <c r="D6043" t="s">
        <v>9926</v>
      </c>
      <c r="E6043" t="s">
        <v>10075</v>
      </c>
      <c r="F6043">
        <v>10457</v>
      </c>
      <c r="G6043" t="s">
        <v>10090</v>
      </c>
      <c r="H6043" t="s">
        <v>10135</v>
      </c>
      <c r="I6043" t="s">
        <v>10168</v>
      </c>
      <c r="J6043" t="s">
        <v>10210</v>
      </c>
      <c r="K6043" t="s">
        <v>10217</v>
      </c>
      <c r="M6043" t="s">
        <v>10415</v>
      </c>
      <c r="N6043" t="s">
        <v>10651</v>
      </c>
      <c r="P6043" t="s">
        <v>10749</v>
      </c>
      <c r="Q6043" t="s">
        <v>10765</v>
      </c>
      <c r="R6043" t="s">
        <v>10824</v>
      </c>
      <c r="T6043">
        <v>0</v>
      </c>
      <c r="U6043">
        <v>0</v>
      </c>
      <c r="V6043">
        <v>54</v>
      </c>
      <c r="W6043">
        <v>1</v>
      </c>
      <c r="X6043">
        <v>0</v>
      </c>
      <c r="Z6043">
        <v>0</v>
      </c>
      <c r="AA6043">
        <v>40.844477</v>
      </c>
      <c r="AB6043">
        <v>-73.906092</v>
      </c>
      <c r="AD6043" t="s">
        <v>10839</v>
      </c>
      <c r="AG6043" t="s">
        <v>10858</v>
      </c>
      <c r="AH6043" t="s">
        <v>10862</v>
      </c>
      <c r="AI6043">
        <v>230</v>
      </c>
      <c r="AJ6043" t="s">
        <v>10210</v>
      </c>
      <c r="AL6043">
        <v>1.6</v>
      </c>
      <c r="AM6043" t="s">
        <v>10884</v>
      </c>
      <c r="AN6043" t="s">
        <v>10931</v>
      </c>
      <c r="AO6043" t="s">
        <v>11000</v>
      </c>
      <c r="AP6043" t="s">
        <v>11056</v>
      </c>
      <c r="AR6043" t="s">
        <v>11267</v>
      </c>
      <c r="AS6043" t="s">
        <v>9926</v>
      </c>
      <c r="AT6043" t="s">
        <v>11641</v>
      </c>
      <c r="AX6043" t="s">
        <v>10837</v>
      </c>
      <c r="BA6043" t="s">
        <v>11738</v>
      </c>
      <c r="BB6043">
        <v>0</v>
      </c>
      <c r="BC6043">
        <v>0</v>
      </c>
      <c r="BD6043">
        <v>0</v>
      </c>
      <c r="BE6043">
        <v>0</v>
      </c>
      <c r="BF6043">
        <v>5</v>
      </c>
      <c r="BG6043">
        <v>0</v>
      </c>
    </row>
    <row r="6044" spans="1:59">
      <c r="A6044" s="1">
        <f>HYPERLINK("https://lsnyc.legalserver.org/matter/dynamic-profile/view/1910350","19-1910350")</f>
        <v>0</v>
      </c>
      <c r="B6044" t="s">
        <v>4686</v>
      </c>
      <c r="C6044" t="s">
        <v>9568</v>
      </c>
      <c r="D6044" t="s">
        <v>9928</v>
      </c>
      <c r="E6044" t="s">
        <v>10075</v>
      </c>
      <c r="F6044">
        <v>11212</v>
      </c>
      <c r="G6044" t="s">
        <v>10093</v>
      </c>
      <c r="H6044" t="s">
        <v>10135</v>
      </c>
      <c r="I6044" t="s">
        <v>10168</v>
      </c>
      <c r="J6044" t="s">
        <v>10213</v>
      </c>
      <c r="K6044" t="s">
        <v>10217</v>
      </c>
      <c r="M6044" t="s">
        <v>10638</v>
      </c>
      <c r="N6044" t="s">
        <v>10650</v>
      </c>
      <c r="P6044" t="s">
        <v>10749</v>
      </c>
      <c r="Q6044" t="s">
        <v>10765</v>
      </c>
      <c r="R6044" t="s">
        <v>10824</v>
      </c>
      <c r="T6044">
        <v>22668</v>
      </c>
      <c r="U6044">
        <v>1889</v>
      </c>
      <c r="V6044">
        <v>58</v>
      </c>
      <c r="W6044">
        <v>1</v>
      </c>
      <c r="X6044">
        <v>0</v>
      </c>
      <c r="Z6044">
        <v>181.49</v>
      </c>
      <c r="AA6044">
        <v>40.658263</v>
      </c>
      <c r="AB6044">
        <v>-73.917457</v>
      </c>
      <c r="AD6044" t="s">
        <v>10839</v>
      </c>
      <c r="AG6044" t="s">
        <v>10858</v>
      </c>
      <c r="AH6044" t="s">
        <v>10862</v>
      </c>
      <c r="AI6044">
        <v>239</v>
      </c>
      <c r="AJ6044" t="s">
        <v>10213</v>
      </c>
      <c r="AL6044">
        <v>0</v>
      </c>
      <c r="AM6044" t="s">
        <v>10888</v>
      </c>
      <c r="AN6044" t="s">
        <v>10925</v>
      </c>
      <c r="AO6044" t="s">
        <v>11005</v>
      </c>
      <c r="AP6044" t="s">
        <v>11064</v>
      </c>
      <c r="AR6044" t="s">
        <v>11579</v>
      </c>
      <c r="AS6044" t="s">
        <v>11595</v>
      </c>
      <c r="AT6044" t="s">
        <v>11641</v>
      </c>
      <c r="BA6044" t="s">
        <v>11740</v>
      </c>
      <c r="BB6044">
        <v>0</v>
      </c>
      <c r="BC6044">
        <v>0</v>
      </c>
      <c r="BD6044">
        <v>0</v>
      </c>
      <c r="BE6044">
        <v>0</v>
      </c>
      <c r="BF6044">
        <v>2</v>
      </c>
      <c r="BG6044">
        <v>0</v>
      </c>
    </row>
    <row r="6045" spans="1:59">
      <c r="A6045" s="1">
        <f>HYPERLINK("https://lsnyc.legalserver.org/matter/dynamic-profile/view/1910351","19-1910351")</f>
        <v>0</v>
      </c>
      <c r="B6045" t="s">
        <v>4687</v>
      </c>
      <c r="C6045" t="s">
        <v>9568</v>
      </c>
      <c r="D6045" t="s">
        <v>9928</v>
      </c>
      <c r="E6045" t="s">
        <v>10075</v>
      </c>
      <c r="F6045">
        <v>11212</v>
      </c>
      <c r="G6045" t="s">
        <v>10093</v>
      </c>
      <c r="H6045" t="s">
        <v>10135</v>
      </c>
      <c r="I6045" t="s">
        <v>10168</v>
      </c>
      <c r="J6045" t="s">
        <v>10213</v>
      </c>
      <c r="K6045" t="s">
        <v>10217</v>
      </c>
      <c r="M6045" t="s">
        <v>10638</v>
      </c>
      <c r="N6045" t="s">
        <v>10650</v>
      </c>
      <c r="P6045" t="s">
        <v>10749</v>
      </c>
      <c r="Q6045" t="s">
        <v>10765</v>
      </c>
      <c r="R6045" t="s">
        <v>10824</v>
      </c>
      <c r="T6045">
        <v>21600</v>
      </c>
      <c r="U6045">
        <v>1800</v>
      </c>
      <c r="V6045">
        <v>77</v>
      </c>
      <c r="W6045">
        <v>2</v>
      </c>
      <c r="X6045">
        <v>0</v>
      </c>
      <c r="Z6045">
        <v>127.74</v>
      </c>
      <c r="AA6045">
        <v>40.658263</v>
      </c>
      <c r="AB6045">
        <v>-73.917457</v>
      </c>
      <c r="AD6045" t="s">
        <v>10839</v>
      </c>
      <c r="AG6045" t="s">
        <v>10858</v>
      </c>
      <c r="AH6045" t="s">
        <v>10862</v>
      </c>
      <c r="AI6045">
        <v>239</v>
      </c>
      <c r="AJ6045" t="s">
        <v>10213</v>
      </c>
      <c r="AL6045">
        <v>0</v>
      </c>
      <c r="AM6045" t="s">
        <v>10888</v>
      </c>
      <c r="AN6045" t="s">
        <v>10925</v>
      </c>
      <c r="AO6045" t="s">
        <v>11005</v>
      </c>
      <c r="AP6045" t="s">
        <v>11064</v>
      </c>
      <c r="AR6045" t="s">
        <v>11370</v>
      </c>
      <c r="AS6045" t="s">
        <v>11595</v>
      </c>
      <c r="AT6045" t="s">
        <v>11641</v>
      </c>
      <c r="AX6045" t="s">
        <v>10838</v>
      </c>
      <c r="BA6045" t="s">
        <v>11740</v>
      </c>
      <c r="BB6045">
        <v>0</v>
      </c>
      <c r="BC6045">
        <v>0</v>
      </c>
      <c r="BD6045">
        <v>0</v>
      </c>
      <c r="BE6045">
        <v>0</v>
      </c>
      <c r="BF6045">
        <v>2</v>
      </c>
      <c r="BG6045">
        <v>0</v>
      </c>
    </row>
    <row r="6046" spans="1:59">
      <c r="A6046" s="1">
        <f>HYPERLINK("https://lsnyc.legalserver.org/matter/dynamic-profile/view/1910352","19-1910352")</f>
        <v>0</v>
      </c>
      <c r="B6046" t="s">
        <v>4688</v>
      </c>
      <c r="C6046" t="s">
        <v>9569</v>
      </c>
      <c r="D6046" t="s">
        <v>9925</v>
      </c>
      <c r="E6046" t="s">
        <v>10075</v>
      </c>
      <c r="F6046">
        <v>10002</v>
      </c>
      <c r="G6046" t="s">
        <v>10089</v>
      </c>
      <c r="H6046" t="s">
        <v>10135</v>
      </c>
      <c r="I6046" t="s">
        <v>10169</v>
      </c>
      <c r="J6046" t="s">
        <v>10209</v>
      </c>
      <c r="K6046" t="s">
        <v>10217</v>
      </c>
      <c r="M6046" t="s">
        <v>10509</v>
      </c>
      <c r="N6046" t="s">
        <v>10691</v>
      </c>
      <c r="P6046" t="s">
        <v>10749</v>
      </c>
      <c r="Q6046" t="s">
        <v>10767</v>
      </c>
      <c r="R6046" t="s">
        <v>10821</v>
      </c>
      <c r="T6046">
        <v>19668</v>
      </c>
      <c r="U6046">
        <v>1639</v>
      </c>
      <c r="V6046">
        <v>74</v>
      </c>
      <c r="W6046">
        <v>2</v>
      </c>
      <c r="X6046">
        <v>0</v>
      </c>
      <c r="Z6046">
        <v>116.31</v>
      </c>
      <c r="AA6046">
        <v>40.71193</v>
      </c>
      <c r="AB6046">
        <v>-73.98639</v>
      </c>
      <c r="AD6046" t="s">
        <v>10840</v>
      </c>
      <c r="AG6046" t="s">
        <v>10858</v>
      </c>
      <c r="AH6046" t="s">
        <v>10862</v>
      </c>
      <c r="AI6046">
        <v>236</v>
      </c>
      <c r="AJ6046" t="s">
        <v>10209</v>
      </c>
      <c r="AL6046">
        <v>0</v>
      </c>
      <c r="AM6046" t="s">
        <v>10886</v>
      </c>
      <c r="AN6046" t="s">
        <v>10963</v>
      </c>
      <c r="AO6046" t="s">
        <v>11004</v>
      </c>
      <c r="AP6046" t="s">
        <v>11093</v>
      </c>
      <c r="AR6046" t="s">
        <v>11346</v>
      </c>
      <c r="AS6046" t="s">
        <v>9925</v>
      </c>
      <c r="BA6046" t="s">
        <v>11742</v>
      </c>
      <c r="BB6046">
        <v>0</v>
      </c>
      <c r="BC6046">
        <v>0</v>
      </c>
      <c r="BD6046">
        <v>0</v>
      </c>
      <c r="BE6046">
        <v>0</v>
      </c>
      <c r="BF6046">
        <v>7</v>
      </c>
      <c r="BG6046">
        <v>0</v>
      </c>
    </row>
    <row r="6047" spans="1:59">
      <c r="A6047" s="1">
        <f>HYPERLINK("https://lsnyc.legalserver.org/matter/dynamic-profile/view/1910353","19-1910353")</f>
        <v>0</v>
      </c>
      <c r="B6047" t="s">
        <v>4689</v>
      </c>
      <c r="C6047" t="s">
        <v>7685</v>
      </c>
      <c r="D6047" t="s">
        <v>9925</v>
      </c>
      <c r="E6047" t="s">
        <v>10075</v>
      </c>
      <c r="F6047">
        <v>10037</v>
      </c>
      <c r="G6047" t="s">
        <v>10089</v>
      </c>
      <c r="H6047" t="s">
        <v>10135</v>
      </c>
      <c r="I6047" t="s">
        <v>10168</v>
      </c>
      <c r="J6047" t="s">
        <v>10209</v>
      </c>
      <c r="K6047" t="s">
        <v>10217</v>
      </c>
      <c r="M6047" t="s">
        <v>10493</v>
      </c>
      <c r="N6047" t="s">
        <v>10707</v>
      </c>
      <c r="P6047" t="s">
        <v>10757</v>
      </c>
      <c r="Q6047" t="s">
        <v>10789</v>
      </c>
      <c r="R6047" t="s">
        <v>10820</v>
      </c>
      <c r="T6047">
        <v>19200</v>
      </c>
      <c r="U6047">
        <v>1600</v>
      </c>
      <c r="V6047">
        <v>65</v>
      </c>
      <c r="W6047">
        <v>1</v>
      </c>
      <c r="X6047">
        <v>0</v>
      </c>
      <c r="Z6047">
        <v>153.72</v>
      </c>
      <c r="AA6047">
        <v>40.816442</v>
      </c>
      <c r="AB6047">
        <v>-73.937153</v>
      </c>
      <c r="AD6047" t="s">
        <v>10840</v>
      </c>
      <c r="AG6047" t="s">
        <v>10858</v>
      </c>
      <c r="AH6047" t="s">
        <v>10868</v>
      </c>
      <c r="AI6047">
        <v>236</v>
      </c>
      <c r="AJ6047" t="s">
        <v>10209</v>
      </c>
      <c r="AL6047">
        <v>2.5</v>
      </c>
      <c r="AM6047" t="s">
        <v>10887</v>
      </c>
      <c r="AN6047" t="s">
        <v>10936</v>
      </c>
      <c r="AO6047" t="s">
        <v>11016</v>
      </c>
      <c r="AP6047" t="s">
        <v>11076</v>
      </c>
      <c r="AQ6047" t="s">
        <v>11197</v>
      </c>
      <c r="AR6047" t="s">
        <v>11257</v>
      </c>
      <c r="AS6047" t="s">
        <v>9925</v>
      </c>
      <c r="AT6047" t="s">
        <v>11642</v>
      </c>
      <c r="AX6047" t="s">
        <v>11678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</row>
    <row r="6048" spans="1:59">
      <c r="A6048" s="1">
        <f>HYPERLINK("https://lsnyc.legalserver.org/matter/dynamic-profile/view/1910354","19-1910354")</f>
        <v>0</v>
      </c>
      <c r="B6048" t="s">
        <v>4690</v>
      </c>
      <c r="C6048" t="s">
        <v>6706</v>
      </c>
      <c r="D6048" t="s">
        <v>9928</v>
      </c>
      <c r="E6048" t="s">
        <v>10075</v>
      </c>
      <c r="F6048">
        <v>11203</v>
      </c>
      <c r="G6048" t="s">
        <v>10093</v>
      </c>
      <c r="H6048" t="s">
        <v>10135</v>
      </c>
      <c r="I6048" t="s">
        <v>10168</v>
      </c>
      <c r="J6048" t="s">
        <v>10213</v>
      </c>
      <c r="K6048" t="s">
        <v>10217</v>
      </c>
      <c r="M6048" t="s">
        <v>10290</v>
      </c>
      <c r="N6048" t="s">
        <v>10665</v>
      </c>
      <c r="P6048" t="s">
        <v>10751</v>
      </c>
      <c r="Q6048" t="s">
        <v>10773</v>
      </c>
      <c r="R6048" t="s">
        <v>10824</v>
      </c>
      <c r="T6048">
        <v>0</v>
      </c>
      <c r="U6048">
        <v>0</v>
      </c>
      <c r="V6048">
        <v>58</v>
      </c>
      <c r="W6048">
        <v>1</v>
      </c>
      <c r="X6048">
        <v>0</v>
      </c>
      <c r="Z6048">
        <v>0</v>
      </c>
      <c r="AA6048">
        <v>40.648922</v>
      </c>
      <c r="AB6048">
        <v>-73.944081</v>
      </c>
      <c r="AC6048" t="s">
        <v>10837</v>
      </c>
      <c r="AD6048" t="s">
        <v>10840</v>
      </c>
      <c r="AG6048" t="s">
        <v>10858</v>
      </c>
      <c r="AH6048" t="s">
        <v>10861</v>
      </c>
      <c r="AI6048">
        <v>234</v>
      </c>
      <c r="AJ6048" t="s">
        <v>10214</v>
      </c>
      <c r="AL6048">
        <v>3.75</v>
      </c>
      <c r="AQ6048" t="s">
        <v>11115</v>
      </c>
      <c r="AR6048" t="s">
        <v>11267</v>
      </c>
      <c r="AS6048" t="s">
        <v>11595</v>
      </c>
      <c r="AT6048" t="s">
        <v>11642</v>
      </c>
      <c r="AX6048" t="s">
        <v>11678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</row>
    <row r="6049" spans="1:59">
      <c r="A6049" s="1">
        <f>HYPERLINK("https://lsnyc.legalserver.org/matter/dynamic-profile/view/1910355","19-1910355")</f>
        <v>0</v>
      </c>
      <c r="B6049" t="s">
        <v>4691</v>
      </c>
      <c r="C6049" t="s">
        <v>9570</v>
      </c>
      <c r="D6049" t="s">
        <v>9928</v>
      </c>
      <c r="E6049" t="s">
        <v>10075</v>
      </c>
      <c r="F6049">
        <v>11237</v>
      </c>
      <c r="G6049" t="s">
        <v>10093</v>
      </c>
      <c r="H6049" t="s">
        <v>10135</v>
      </c>
      <c r="I6049" t="s">
        <v>10169</v>
      </c>
      <c r="J6049" t="s">
        <v>10213</v>
      </c>
      <c r="K6049" t="s">
        <v>10217</v>
      </c>
      <c r="M6049" t="s">
        <v>10304</v>
      </c>
      <c r="N6049" t="s">
        <v>10671</v>
      </c>
      <c r="P6049" t="s">
        <v>10749</v>
      </c>
      <c r="Q6049" t="s">
        <v>10765</v>
      </c>
      <c r="R6049" t="s">
        <v>10821</v>
      </c>
      <c r="T6049">
        <v>36400</v>
      </c>
      <c r="U6049">
        <v>3033.33</v>
      </c>
      <c r="V6049">
        <v>29</v>
      </c>
      <c r="W6049">
        <v>2</v>
      </c>
      <c r="X6049">
        <v>3</v>
      </c>
      <c r="Z6049">
        <v>120.65</v>
      </c>
      <c r="AA6049">
        <v>40.700228</v>
      </c>
      <c r="AB6049">
        <v>-73.925259</v>
      </c>
      <c r="AD6049" t="s">
        <v>10839</v>
      </c>
      <c r="AF6049" t="s">
        <v>10842</v>
      </c>
      <c r="AG6049" t="s">
        <v>10859</v>
      </c>
      <c r="AH6049" t="s">
        <v>10861</v>
      </c>
      <c r="AI6049">
        <v>234</v>
      </c>
      <c r="AJ6049" t="s">
        <v>10214</v>
      </c>
      <c r="AL6049">
        <v>0.5</v>
      </c>
      <c r="AM6049" t="s">
        <v>10886</v>
      </c>
      <c r="AN6049" t="s">
        <v>10942</v>
      </c>
      <c r="AO6049" t="s">
        <v>11011</v>
      </c>
      <c r="AP6049" t="s">
        <v>11071</v>
      </c>
      <c r="AR6049" t="s">
        <v>11257</v>
      </c>
      <c r="AS6049" t="s">
        <v>11595</v>
      </c>
      <c r="AT6049" t="s">
        <v>11641</v>
      </c>
      <c r="AX6049" t="s">
        <v>10838</v>
      </c>
      <c r="BA6049" t="s">
        <v>11741</v>
      </c>
      <c r="BB6049">
        <v>0</v>
      </c>
      <c r="BC6049">
        <v>0</v>
      </c>
      <c r="BD6049">
        <v>0</v>
      </c>
      <c r="BE6049">
        <v>0</v>
      </c>
      <c r="BF6049">
        <v>1</v>
      </c>
      <c r="BG6049">
        <v>0</v>
      </c>
    </row>
    <row r="6050" spans="1:59">
      <c r="A6050" s="1">
        <f>HYPERLINK("https://lsnyc.legalserver.org/matter/dynamic-profile/view/1910356","19-1910356")</f>
        <v>0</v>
      </c>
      <c r="B6050" t="s">
        <v>4692</v>
      </c>
      <c r="C6050" t="s">
        <v>9571</v>
      </c>
      <c r="D6050" t="s">
        <v>10070</v>
      </c>
      <c r="E6050" t="s">
        <v>10075</v>
      </c>
      <c r="F6050">
        <v>12137</v>
      </c>
      <c r="G6050" t="s">
        <v>10093</v>
      </c>
      <c r="H6050" t="s">
        <v>10135</v>
      </c>
      <c r="I6050" t="s">
        <v>10168</v>
      </c>
      <c r="J6050" t="s">
        <v>10213</v>
      </c>
      <c r="K6050" t="s">
        <v>10217</v>
      </c>
      <c r="M6050" t="s">
        <v>10462</v>
      </c>
      <c r="N6050" t="s">
        <v>10646</v>
      </c>
      <c r="O6050" t="s">
        <v>10646</v>
      </c>
      <c r="P6050" t="s">
        <v>10750</v>
      </c>
      <c r="Q6050" t="s">
        <v>10760</v>
      </c>
      <c r="R6050" t="s">
        <v>10820</v>
      </c>
      <c r="T6050">
        <v>3500</v>
      </c>
      <c r="U6050">
        <v>291.67</v>
      </c>
      <c r="V6050">
        <v>62</v>
      </c>
      <c r="W6050">
        <v>2</v>
      </c>
      <c r="X6050">
        <v>0</v>
      </c>
      <c r="Z6050">
        <v>20.7</v>
      </c>
      <c r="AA6050">
        <v>42.854361</v>
      </c>
      <c r="AB6050">
        <v>-74.146445</v>
      </c>
      <c r="AD6050" t="s">
        <v>10839</v>
      </c>
      <c r="AG6050" t="s">
        <v>10858</v>
      </c>
      <c r="AH6050" t="s">
        <v>10878</v>
      </c>
      <c r="AI6050">
        <v>239</v>
      </c>
      <c r="AJ6050" t="s">
        <v>10213</v>
      </c>
      <c r="AL6050">
        <v>1.25</v>
      </c>
      <c r="AM6050" t="s">
        <v>10905</v>
      </c>
      <c r="AN6050" t="s">
        <v>10998</v>
      </c>
      <c r="AO6050" t="s">
        <v>11029</v>
      </c>
      <c r="AQ6050" t="s">
        <v>11141</v>
      </c>
      <c r="AR6050" t="s">
        <v>11257</v>
      </c>
      <c r="AS6050" t="s">
        <v>11633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</row>
    <row r="6051" spans="1:59">
      <c r="A6051" s="1">
        <f>HYPERLINK("https://lsnyc.legalserver.org/matter/dynamic-profile/view/1910357","19-1910357")</f>
        <v>0</v>
      </c>
      <c r="B6051" t="s">
        <v>4693</v>
      </c>
      <c r="C6051" t="s">
        <v>9572</v>
      </c>
      <c r="D6051" t="s">
        <v>9928</v>
      </c>
      <c r="E6051" t="s">
        <v>10075</v>
      </c>
      <c r="F6051">
        <v>11224</v>
      </c>
      <c r="G6051" t="s">
        <v>10093</v>
      </c>
      <c r="H6051" t="s">
        <v>10135</v>
      </c>
      <c r="I6051" t="s">
        <v>10169</v>
      </c>
      <c r="J6051" t="s">
        <v>10213</v>
      </c>
      <c r="K6051" t="s">
        <v>10217</v>
      </c>
      <c r="M6051" t="s">
        <v>10583</v>
      </c>
      <c r="N6051" t="s">
        <v>10671</v>
      </c>
      <c r="P6051" t="s">
        <v>10749</v>
      </c>
      <c r="Q6051" t="s">
        <v>10765</v>
      </c>
      <c r="R6051" t="s">
        <v>10821</v>
      </c>
      <c r="T6051">
        <v>9600</v>
      </c>
      <c r="U6051">
        <v>800</v>
      </c>
      <c r="V6051">
        <v>62</v>
      </c>
      <c r="W6051">
        <v>1</v>
      </c>
      <c r="X6051">
        <v>0</v>
      </c>
      <c r="Z6051">
        <v>76.86</v>
      </c>
      <c r="AA6051">
        <v>40.577485</v>
      </c>
      <c r="AB6051">
        <v>-74.000934</v>
      </c>
      <c r="AD6051" t="s">
        <v>10839</v>
      </c>
      <c r="AG6051" t="s">
        <v>10858</v>
      </c>
      <c r="AH6051" t="s">
        <v>10091</v>
      </c>
      <c r="AI6051">
        <v>234</v>
      </c>
      <c r="AJ6051" t="s">
        <v>10214</v>
      </c>
      <c r="AL6051">
        <v>0.5</v>
      </c>
      <c r="AM6051" t="s">
        <v>10889</v>
      </c>
      <c r="AN6051" t="s">
        <v>10960</v>
      </c>
      <c r="AO6051" t="s">
        <v>11006</v>
      </c>
      <c r="AP6051" t="s">
        <v>11087</v>
      </c>
      <c r="AR6051" t="s">
        <v>11298</v>
      </c>
      <c r="AS6051" t="s">
        <v>11595</v>
      </c>
      <c r="AT6051" t="s">
        <v>11641</v>
      </c>
      <c r="AX6051" t="s">
        <v>10838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</row>
    <row r="6052" spans="1:59">
      <c r="A6052" s="1">
        <f>HYPERLINK("https://lsnyc.legalserver.org/matter/dynamic-profile/view/1910358","19-1910358")</f>
        <v>0</v>
      </c>
      <c r="B6052" t="s">
        <v>4694</v>
      </c>
      <c r="C6052" t="s">
        <v>9573</v>
      </c>
      <c r="D6052" t="s">
        <v>9941</v>
      </c>
      <c r="E6052" t="s">
        <v>10075</v>
      </c>
      <c r="F6052">
        <v>11428</v>
      </c>
      <c r="G6052" t="s">
        <v>10092</v>
      </c>
      <c r="H6052" t="s">
        <v>10135</v>
      </c>
      <c r="I6052" t="s">
        <v>10168</v>
      </c>
      <c r="J6052" t="s">
        <v>10212</v>
      </c>
      <c r="K6052" t="s">
        <v>10217</v>
      </c>
      <c r="M6052" t="s">
        <v>10547</v>
      </c>
      <c r="N6052" t="s">
        <v>10671</v>
      </c>
      <c r="P6052" t="s">
        <v>10753</v>
      </c>
      <c r="Q6052" t="s">
        <v>10763</v>
      </c>
      <c r="R6052" t="s">
        <v>10824</v>
      </c>
      <c r="T6052">
        <v>0</v>
      </c>
      <c r="U6052">
        <v>0</v>
      </c>
      <c r="V6052">
        <v>78</v>
      </c>
      <c r="W6052">
        <v>1</v>
      </c>
      <c r="X6052">
        <v>0</v>
      </c>
      <c r="Z6052">
        <v>0</v>
      </c>
      <c r="AA6052">
        <v>40.721199</v>
      </c>
      <c r="AB6052">
        <v>-73.74443599999999</v>
      </c>
      <c r="AD6052" t="s">
        <v>10839</v>
      </c>
      <c r="AF6052" t="s">
        <v>10843</v>
      </c>
      <c r="AG6052" t="s">
        <v>10859</v>
      </c>
      <c r="AH6052" t="s">
        <v>10861</v>
      </c>
      <c r="AI6052">
        <v>234</v>
      </c>
      <c r="AJ6052" t="s">
        <v>10214</v>
      </c>
      <c r="AL6052">
        <v>1</v>
      </c>
      <c r="AM6052" t="s">
        <v>10892</v>
      </c>
      <c r="AN6052" t="s">
        <v>10940</v>
      </c>
      <c r="AO6052" t="s">
        <v>11020</v>
      </c>
      <c r="AP6052" t="s">
        <v>11078</v>
      </c>
      <c r="AQ6052" t="s">
        <v>11097</v>
      </c>
      <c r="AR6052" t="s">
        <v>11279</v>
      </c>
      <c r="AS6052" t="s">
        <v>11594</v>
      </c>
      <c r="AT6052" t="s">
        <v>11641</v>
      </c>
      <c r="AX6052" t="s">
        <v>10838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</row>
    <row r="6053" spans="1:59">
      <c r="A6053" s="1">
        <f>HYPERLINK("https://lsnyc.legalserver.org/matter/dynamic-profile/view/1910359","19-1910359")</f>
        <v>0</v>
      </c>
      <c r="B6053" t="s">
        <v>430</v>
      </c>
      <c r="C6053" t="s">
        <v>8387</v>
      </c>
      <c r="D6053" t="s">
        <v>9926</v>
      </c>
      <c r="E6053" t="s">
        <v>10075</v>
      </c>
      <c r="F6053">
        <v>10461</v>
      </c>
      <c r="G6053" t="s">
        <v>10090</v>
      </c>
      <c r="H6053" t="s">
        <v>10135</v>
      </c>
      <c r="I6053" t="s">
        <v>10169</v>
      </c>
      <c r="J6053" t="s">
        <v>10210</v>
      </c>
      <c r="K6053" t="s">
        <v>10217</v>
      </c>
      <c r="M6053" t="s">
        <v>10596</v>
      </c>
      <c r="N6053" t="s">
        <v>10688</v>
      </c>
      <c r="P6053" t="s">
        <v>10753</v>
      </c>
      <c r="Q6053" t="s">
        <v>10790</v>
      </c>
      <c r="R6053" t="s">
        <v>10821</v>
      </c>
      <c r="T6053">
        <v>0</v>
      </c>
      <c r="U6053">
        <v>0</v>
      </c>
      <c r="V6053">
        <v>42</v>
      </c>
      <c r="W6053">
        <v>1</v>
      </c>
      <c r="X6053">
        <v>2</v>
      </c>
      <c r="Z6053">
        <v>0</v>
      </c>
      <c r="AA6053">
        <v>40.847972</v>
      </c>
      <c r="AB6053">
        <v>-73.83486499999999</v>
      </c>
      <c r="AD6053" t="s">
        <v>10839</v>
      </c>
      <c r="AF6053" t="s">
        <v>10843</v>
      </c>
      <c r="AG6053" t="s">
        <v>10859</v>
      </c>
      <c r="AH6053" t="s">
        <v>10861</v>
      </c>
      <c r="AI6053">
        <v>234</v>
      </c>
      <c r="AJ6053" t="s">
        <v>10214</v>
      </c>
      <c r="AL6053">
        <v>0.75</v>
      </c>
      <c r="AR6053" t="s">
        <v>11267</v>
      </c>
      <c r="AS6053" t="s">
        <v>9926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</row>
    <row r="6054" spans="1:59">
      <c r="A6054" s="1">
        <f>HYPERLINK("https://lsnyc.legalserver.org/matter/dynamic-profile/view/1910360","19-1910360")</f>
        <v>0</v>
      </c>
      <c r="B6054" t="s">
        <v>4695</v>
      </c>
      <c r="C6054" t="s">
        <v>9574</v>
      </c>
      <c r="D6054" t="s">
        <v>10068</v>
      </c>
      <c r="E6054" t="s">
        <v>10075</v>
      </c>
      <c r="F6054">
        <v>12306</v>
      </c>
      <c r="G6054" t="s">
        <v>10093</v>
      </c>
      <c r="H6054" t="s">
        <v>10135</v>
      </c>
      <c r="I6054" t="s">
        <v>10168</v>
      </c>
      <c r="J6054" t="s">
        <v>10213</v>
      </c>
      <c r="K6054" t="s">
        <v>10217</v>
      </c>
      <c r="M6054" t="s">
        <v>10462</v>
      </c>
      <c r="N6054" t="s">
        <v>10646</v>
      </c>
      <c r="P6054" t="s">
        <v>10750</v>
      </c>
      <c r="Q6054" t="s">
        <v>10760</v>
      </c>
      <c r="R6054" t="s">
        <v>10820</v>
      </c>
      <c r="T6054">
        <v>28600</v>
      </c>
      <c r="U6054">
        <v>2383.33</v>
      </c>
      <c r="V6054">
        <v>62</v>
      </c>
      <c r="W6054">
        <v>1</v>
      </c>
      <c r="X6054">
        <v>0</v>
      </c>
      <c r="Z6054">
        <v>228.98</v>
      </c>
      <c r="AA6054">
        <v>42.801261</v>
      </c>
      <c r="AB6054">
        <v>-73.960337</v>
      </c>
      <c r="AD6054" t="s">
        <v>10840</v>
      </c>
      <c r="AG6054" t="s">
        <v>10858</v>
      </c>
      <c r="AH6054" t="s">
        <v>10878</v>
      </c>
      <c r="AI6054">
        <v>239</v>
      </c>
      <c r="AJ6054" t="s">
        <v>10213</v>
      </c>
      <c r="AL6054">
        <v>1.75</v>
      </c>
      <c r="AM6054" t="s">
        <v>10905</v>
      </c>
      <c r="AN6054" t="s">
        <v>10998</v>
      </c>
      <c r="AO6054" t="s">
        <v>11043</v>
      </c>
      <c r="AQ6054" t="s">
        <v>11141</v>
      </c>
      <c r="AR6054" t="s">
        <v>11257</v>
      </c>
      <c r="AS6054" t="s">
        <v>10068</v>
      </c>
      <c r="AT6054" t="s">
        <v>11642</v>
      </c>
      <c r="AX6054" t="s">
        <v>10837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</row>
    <row r="6055" spans="1:59">
      <c r="A6055" s="1">
        <f>HYPERLINK("https://lsnyc.legalserver.org/matter/dynamic-profile/view/1910361","19-1910361")</f>
        <v>0</v>
      </c>
      <c r="B6055" t="s">
        <v>4696</v>
      </c>
      <c r="C6055" t="s">
        <v>7600</v>
      </c>
      <c r="D6055" t="s">
        <v>10039</v>
      </c>
      <c r="E6055" t="s">
        <v>10075</v>
      </c>
      <c r="F6055">
        <v>10002</v>
      </c>
      <c r="G6055" t="s">
        <v>10089</v>
      </c>
      <c r="H6055" t="s">
        <v>10136</v>
      </c>
      <c r="I6055" t="s">
        <v>10168</v>
      </c>
      <c r="J6055" t="s">
        <v>10209</v>
      </c>
      <c r="K6055" t="s">
        <v>10217</v>
      </c>
      <c r="M6055" t="s">
        <v>10509</v>
      </c>
      <c r="N6055" t="s">
        <v>10650</v>
      </c>
      <c r="P6055" t="s">
        <v>10749</v>
      </c>
      <c r="Q6055" t="s">
        <v>10765</v>
      </c>
      <c r="R6055" t="s">
        <v>10824</v>
      </c>
      <c r="T6055">
        <v>9252</v>
      </c>
      <c r="U6055">
        <v>771</v>
      </c>
      <c r="V6055">
        <v>62</v>
      </c>
      <c r="W6055">
        <v>1</v>
      </c>
      <c r="X6055">
        <v>0</v>
      </c>
      <c r="Z6055">
        <v>74.08</v>
      </c>
      <c r="AA6055">
        <v>40.716087</v>
      </c>
      <c r="AB6055">
        <v>-73.984464</v>
      </c>
      <c r="AD6055" t="s">
        <v>10839</v>
      </c>
      <c r="AG6055" t="s">
        <v>10858</v>
      </c>
      <c r="AH6055" t="s">
        <v>10862</v>
      </c>
      <c r="AI6055">
        <v>236</v>
      </c>
      <c r="AJ6055" t="s">
        <v>10209</v>
      </c>
      <c r="AL6055">
        <v>0</v>
      </c>
      <c r="AM6055" t="s">
        <v>10891</v>
      </c>
      <c r="AN6055" t="s">
        <v>10963</v>
      </c>
      <c r="AO6055" t="s">
        <v>11004</v>
      </c>
      <c r="AP6055" t="s">
        <v>11093</v>
      </c>
      <c r="AR6055" t="s">
        <v>11263</v>
      </c>
      <c r="AS6055" t="s">
        <v>9925</v>
      </c>
      <c r="BA6055" t="s">
        <v>11742</v>
      </c>
      <c r="BB6055">
        <v>0</v>
      </c>
      <c r="BC6055">
        <v>0</v>
      </c>
      <c r="BD6055">
        <v>0</v>
      </c>
      <c r="BE6055">
        <v>0</v>
      </c>
      <c r="BF6055">
        <v>7</v>
      </c>
      <c r="BG6055">
        <v>0</v>
      </c>
    </row>
    <row r="6056" spans="1:59">
      <c r="A6056" s="1">
        <f>HYPERLINK("https://lsnyc.legalserver.org/matter/dynamic-profile/view/1910362","19-1910362")</f>
        <v>0</v>
      </c>
      <c r="B6056" t="s">
        <v>2809</v>
      </c>
      <c r="C6056" t="s">
        <v>9575</v>
      </c>
      <c r="D6056" t="s">
        <v>9926</v>
      </c>
      <c r="E6056" t="s">
        <v>10075</v>
      </c>
      <c r="F6056">
        <v>10453</v>
      </c>
      <c r="G6056" t="s">
        <v>10090</v>
      </c>
      <c r="H6056" t="s">
        <v>10135</v>
      </c>
      <c r="I6056" t="s">
        <v>10169</v>
      </c>
      <c r="J6056" t="s">
        <v>10210</v>
      </c>
      <c r="K6056" t="s">
        <v>10217</v>
      </c>
      <c r="M6056" t="s">
        <v>10419</v>
      </c>
      <c r="N6056" t="s">
        <v>10666</v>
      </c>
      <c r="P6056" t="s">
        <v>10749</v>
      </c>
      <c r="Q6056" t="s">
        <v>10765</v>
      </c>
      <c r="R6056" t="s">
        <v>10823</v>
      </c>
      <c r="T6056">
        <v>38137</v>
      </c>
      <c r="U6056">
        <v>3178.08</v>
      </c>
      <c r="V6056">
        <v>64</v>
      </c>
      <c r="W6056">
        <v>2</v>
      </c>
      <c r="X6056">
        <v>0</v>
      </c>
      <c r="Z6056">
        <v>225.53</v>
      </c>
      <c r="AA6056">
        <v>40.852272</v>
      </c>
      <c r="AB6056">
        <v>-73.910217</v>
      </c>
      <c r="AD6056" t="s">
        <v>10839</v>
      </c>
      <c r="AG6056" t="s">
        <v>10858</v>
      </c>
      <c r="AH6056" t="s">
        <v>10862</v>
      </c>
      <c r="AI6056">
        <v>230</v>
      </c>
      <c r="AJ6056" t="s">
        <v>10210</v>
      </c>
      <c r="AL6056">
        <v>1</v>
      </c>
      <c r="AM6056" t="s">
        <v>10884</v>
      </c>
      <c r="AN6056" t="s">
        <v>10931</v>
      </c>
      <c r="AO6056" t="s">
        <v>11013</v>
      </c>
      <c r="AP6056" t="s">
        <v>11045</v>
      </c>
      <c r="AR6056" t="s">
        <v>11295</v>
      </c>
      <c r="AS6056" t="s">
        <v>9926</v>
      </c>
      <c r="AT6056" t="s">
        <v>11641</v>
      </c>
      <c r="AV6056" t="s">
        <v>11656</v>
      </c>
      <c r="AW6056" t="s">
        <v>11645</v>
      </c>
      <c r="AX6056" t="s">
        <v>10838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</row>
    <row r="6057" spans="1:59">
      <c r="A6057" s="1">
        <f>HYPERLINK("https://lsnyc.legalserver.org/matter/dynamic-profile/view/1910363","19-1910363")</f>
        <v>0</v>
      </c>
      <c r="B6057" t="s">
        <v>4697</v>
      </c>
      <c r="C6057" t="s">
        <v>9568</v>
      </c>
      <c r="D6057" t="s">
        <v>9928</v>
      </c>
      <c r="E6057" t="s">
        <v>10075</v>
      </c>
      <c r="F6057">
        <v>11212</v>
      </c>
      <c r="G6057" t="s">
        <v>10093</v>
      </c>
      <c r="H6057" t="s">
        <v>10135</v>
      </c>
      <c r="I6057" t="s">
        <v>10168</v>
      </c>
      <c r="J6057" t="s">
        <v>10213</v>
      </c>
      <c r="K6057" t="s">
        <v>10217</v>
      </c>
      <c r="M6057" t="s">
        <v>10638</v>
      </c>
      <c r="N6057" t="s">
        <v>10650</v>
      </c>
      <c r="P6057" t="s">
        <v>10749</v>
      </c>
      <c r="Q6057" t="s">
        <v>10765</v>
      </c>
      <c r="R6057" t="s">
        <v>10824</v>
      </c>
      <c r="T6057">
        <v>8400</v>
      </c>
      <c r="U6057">
        <v>700</v>
      </c>
      <c r="V6057">
        <v>59</v>
      </c>
      <c r="W6057">
        <v>2</v>
      </c>
      <c r="X6057">
        <v>0</v>
      </c>
      <c r="Z6057">
        <v>49.67</v>
      </c>
      <c r="AA6057">
        <v>40.658263</v>
      </c>
      <c r="AB6057">
        <v>-73.917457</v>
      </c>
      <c r="AD6057" t="s">
        <v>10839</v>
      </c>
      <c r="AG6057" t="s">
        <v>10858</v>
      </c>
      <c r="AH6057" t="s">
        <v>10862</v>
      </c>
      <c r="AI6057">
        <v>239</v>
      </c>
      <c r="AJ6057" t="s">
        <v>10213</v>
      </c>
      <c r="AL6057">
        <v>0</v>
      </c>
      <c r="AM6057" t="s">
        <v>10888</v>
      </c>
      <c r="AN6057" t="s">
        <v>10925</v>
      </c>
      <c r="AO6057" t="s">
        <v>11005</v>
      </c>
      <c r="AP6057" t="s">
        <v>11064</v>
      </c>
      <c r="AR6057" t="s">
        <v>11268</v>
      </c>
      <c r="AS6057" t="s">
        <v>11595</v>
      </c>
      <c r="AT6057" t="s">
        <v>11641</v>
      </c>
      <c r="BA6057" t="s">
        <v>11740</v>
      </c>
      <c r="BB6057">
        <v>0</v>
      </c>
      <c r="BC6057">
        <v>0</v>
      </c>
      <c r="BD6057">
        <v>0</v>
      </c>
      <c r="BE6057">
        <v>0</v>
      </c>
      <c r="BF6057">
        <v>2</v>
      </c>
      <c r="BG6057">
        <v>0</v>
      </c>
    </row>
    <row r="6058" spans="1:59">
      <c r="A6058" s="1">
        <f>HYPERLINK("https://lsnyc.legalserver.org/matter/dynamic-profile/view/1910364","19-1910364")</f>
        <v>0</v>
      </c>
      <c r="B6058" t="s">
        <v>4698</v>
      </c>
      <c r="C6058" t="s">
        <v>9576</v>
      </c>
      <c r="D6058" t="s">
        <v>9926</v>
      </c>
      <c r="E6058" t="s">
        <v>10075</v>
      </c>
      <c r="F6058">
        <v>10453</v>
      </c>
      <c r="G6058" t="s">
        <v>10090</v>
      </c>
      <c r="H6058" t="s">
        <v>10135</v>
      </c>
      <c r="I6058" t="s">
        <v>10169</v>
      </c>
      <c r="J6058" t="s">
        <v>10210</v>
      </c>
      <c r="K6058" t="s">
        <v>10217</v>
      </c>
      <c r="M6058" t="s">
        <v>10401</v>
      </c>
      <c r="N6058" t="s">
        <v>10677</v>
      </c>
      <c r="P6058" t="s">
        <v>10757</v>
      </c>
      <c r="Q6058" t="s">
        <v>10815</v>
      </c>
      <c r="R6058" t="s">
        <v>10821</v>
      </c>
      <c r="T6058">
        <v>13488</v>
      </c>
      <c r="U6058">
        <v>1124</v>
      </c>
      <c r="V6058">
        <v>77</v>
      </c>
      <c r="W6058">
        <v>2</v>
      </c>
      <c r="X6058">
        <v>0</v>
      </c>
      <c r="Z6058">
        <v>79.76000000000001</v>
      </c>
      <c r="AA6058">
        <v>40.849334</v>
      </c>
      <c r="AB6058">
        <v>-73.91311</v>
      </c>
      <c r="AD6058" t="s">
        <v>10840</v>
      </c>
      <c r="AG6058" t="s">
        <v>10858</v>
      </c>
      <c r="AH6058" t="s">
        <v>10874</v>
      </c>
      <c r="AI6058">
        <v>230</v>
      </c>
      <c r="AJ6058" t="s">
        <v>10210</v>
      </c>
      <c r="AL6058">
        <v>1</v>
      </c>
      <c r="AM6058" t="s">
        <v>10884</v>
      </c>
      <c r="AN6058" t="s">
        <v>10929</v>
      </c>
      <c r="AO6058" t="s">
        <v>11013</v>
      </c>
      <c r="AP6058" t="s">
        <v>11045</v>
      </c>
      <c r="AR6058" t="s">
        <v>11296</v>
      </c>
      <c r="AS6058" t="s">
        <v>9926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</row>
    <row r="6059" spans="1:59">
      <c r="A6059" s="1">
        <f>HYPERLINK("https://lsnyc.legalserver.org/matter/dynamic-profile/view/1910365","19-1910365")</f>
        <v>0</v>
      </c>
      <c r="B6059" t="s">
        <v>4699</v>
      </c>
      <c r="C6059" t="s">
        <v>5825</v>
      </c>
      <c r="D6059" t="s">
        <v>9926</v>
      </c>
      <c r="E6059" t="s">
        <v>10075</v>
      </c>
      <c r="F6059">
        <v>10458</v>
      </c>
      <c r="G6059" t="s">
        <v>10091</v>
      </c>
      <c r="H6059" t="s">
        <v>10135</v>
      </c>
      <c r="I6059" t="s">
        <v>10169</v>
      </c>
      <c r="J6059" t="s">
        <v>10214</v>
      </c>
      <c r="K6059" t="s">
        <v>10217</v>
      </c>
      <c r="M6059" t="s">
        <v>10286</v>
      </c>
      <c r="N6059" t="s">
        <v>10671</v>
      </c>
      <c r="P6059" t="s">
        <v>10749</v>
      </c>
      <c r="Q6059" t="s">
        <v>10765</v>
      </c>
      <c r="R6059" t="s">
        <v>10821</v>
      </c>
      <c r="T6059">
        <v>15600</v>
      </c>
      <c r="U6059">
        <v>1300</v>
      </c>
      <c r="V6059">
        <v>46</v>
      </c>
      <c r="W6059">
        <v>1</v>
      </c>
      <c r="X6059">
        <v>0</v>
      </c>
      <c r="Z6059">
        <v>124.9</v>
      </c>
      <c r="AA6059">
        <v>40.864481</v>
      </c>
      <c r="AB6059">
        <v>-73.891437</v>
      </c>
      <c r="AD6059" t="s">
        <v>10839</v>
      </c>
      <c r="AG6059" t="s">
        <v>10858</v>
      </c>
      <c r="AH6059" t="s">
        <v>10871</v>
      </c>
      <c r="AI6059">
        <v>234</v>
      </c>
      <c r="AJ6059" t="s">
        <v>10214</v>
      </c>
      <c r="AL6059">
        <v>1</v>
      </c>
      <c r="AM6059" t="s">
        <v>10887</v>
      </c>
      <c r="AN6059" t="s">
        <v>10907</v>
      </c>
      <c r="AO6059" t="s">
        <v>11000</v>
      </c>
      <c r="AP6059" t="s">
        <v>11056</v>
      </c>
      <c r="AR6059" t="s">
        <v>11257</v>
      </c>
      <c r="AS6059" t="s">
        <v>9926</v>
      </c>
      <c r="AT6059" t="s">
        <v>11641</v>
      </c>
      <c r="AX6059" t="s">
        <v>10838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</row>
    <row r="6060" spans="1:59">
      <c r="A6060" s="1">
        <f>HYPERLINK("https://lsnyc.legalserver.org/matter/dynamic-profile/view/1910367","19-1910367")</f>
        <v>0</v>
      </c>
      <c r="B6060" t="s">
        <v>4700</v>
      </c>
      <c r="C6060" t="s">
        <v>9090</v>
      </c>
      <c r="D6060" t="s">
        <v>9926</v>
      </c>
      <c r="E6060" t="s">
        <v>10075</v>
      </c>
      <c r="F6060">
        <v>10456</v>
      </c>
      <c r="G6060" t="s">
        <v>10091</v>
      </c>
      <c r="H6060" t="s">
        <v>10135</v>
      </c>
      <c r="I6060" t="s">
        <v>10168</v>
      </c>
      <c r="J6060" t="s">
        <v>10214</v>
      </c>
      <c r="K6060" t="s">
        <v>10217</v>
      </c>
      <c r="M6060" t="s">
        <v>10286</v>
      </c>
      <c r="N6060" t="s">
        <v>10671</v>
      </c>
      <c r="P6060" t="s">
        <v>10749</v>
      </c>
      <c r="Q6060" t="s">
        <v>10765</v>
      </c>
      <c r="R6060" t="s">
        <v>10824</v>
      </c>
      <c r="T6060">
        <v>15600</v>
      </c>
      <c r="U6060">
        <v>1300</v>
      </c>
      <c r="V6060">
        <v>81</v>
      </c>
      <c r="W6060">
        <v>1</v>
      </c>
      <c r="X6060">
        <v>0</v>
      </c>
      <c r="Z6060">
        <v>124.9</v>
      </c>
      <c r="AA6060">
        <v>40.833037</v>
      </c>
      <c r="AB6060">
        <v>-73.917703</v>
      </c>
      <c r="AD6060" t="s">
        <v>10839</v>
      </c>
      <c r="AG6060" t="s">
        <v>10858</v>
      </c>
      <c r="AH6060" t="s">
        <v>10862</v>
      </c>
      <c r="AI6060">
        <v>234</v>
      </c>
      <c r="AJ6060" t="s">
        <v>10214</v>
      </c>
      <c r="AL6060">
        <v>0.5</v>
      </c>
      <c r="AM6060" t="s">
        <v>10884</v>
      </c>
      <c r="AN6060" t="s">
        <v>10929</v>
      </c>
      <c r="AO6060" t="s">
        <v>11013</v>
      </c>
      <c r="AP6060" t="s">
        <v>11055</v>
      </c>
      <c r="AR6060" t="s">
        <v>11316</v>
      </c>
      <c r="AS6060" t="s">
        <v>9926</v>
      </c>
      <c r="AT6060" t="s">
        <v>11641</v>
      </c>
      <c r="AX6060" t="s">
        <v>10838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</row>
    <row r="6061" spans="1:59">
      <c r="A6061" s="1">
        <f>HYPERLINK("https://lsnyc.legalserver.org/matter/dynamic-profile/view/1910369","19-1910369")</f>
        <v>0</v>
      </c>
      <c r="B6061" t="s">
        <v>2809</v>
      </c>
      <c r="C6061" t="s">
        <v>9575</v>
      </c>
      <c r="D6061" t="s">
        <v>9926</v>
      </c>
      <c r="E6061" t="s">
        <v>10075</v>
      </c>
      <c r="F6061">
        <v>10453</v>
      </c>
      <c r="G6061" t="s">
        <v>10090</v>
      </c>
      <c r="H6061" t="s">
        <v>10135</v>
      </c>
      <c r="I6061" t="s">
        <v>10169</v>
      </c>
      <c r="J6061" t="s">
        <v>10210</v>
      </c>
      <c r="K6061" t="s">
        <v>10217</v>
      </c>
      <c r="M6061" t="s">
        <v>10283</v>
      </c>
      <c r="N6061" t="s">
        <v>10646</v>
      </c>
      <c r="P6061" t="s">
        <v>10751</v>
      </c>
      <c r="Q6061" t="s">
        <v>10761</v>
      </c>
      <c r="R6061" t="s">
        <v>10823</v>
      </c>
      <c r="T6061">
        <v>38137</v>
      </c>
      <c r="U6061">
        <v>3178.08</v>
      </c>
      <c r="V6061">
        <v>64</v>
      </c>
      <c r="W6061">
        <v>2</v>
      </c>
      <c r="X6061">
        <v>0</v>
      </c>
      <c r="Z6061">
        <v>225.53</v>
      </c>
      <c r="AA6061">
        <v>40.852272</v>
      </c>
      <c r="AB6061">
        <v>-73.910217</v>
      </c>
      <c r="AD6061" t="s">
        <v>10839</v>
      </c>
      <c r="AG6061" t="s">
        <v>10858</v>
      </c>
      <c r="AH6061" t="s">
        <v>10862</v>
      </c>
      <c r="AI6061">
        <v>230</v>
      </c>
      <c r="AJ6061" t="s">
        <v>10210</v>
      </c>
      <c r="AL6061">
        <v>0</v>
      </c>
      <c r="AR6061" t="s">
        <v>11295</v>
      </c>
      <c r="AS6061" t="s">
        <v>9926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</row>
    <row r="6062" spans="1:59">
      <c r="A6062" s="1">
        <f>HYPERLINK("https://lsnyc.legalserver.org/matter/dynamic-profile/view/1910370","19-1910370")</f>
        <v>0</v>
      </c>
      <c r="B6062" t="s">
        <v>4701</v>
      </c>
      <c r="C6062" t="s">
        <v>9577</v>
      </c>
      <c r="D6062" t="s">
        <v>9928</v>
      </c>
      <c r="E6062" t="s">
        <v>10075</v>
      </c>
      <c r="F6062">
        <v>11230</v>
      </c>
      <c r="G6062" t="s">
        <v>10093</v>
      </c>
      <c r="H6062" t="s">
        <v>10135</v>
      </c>
      <c r="J6062" t="s">
        <v>10213</v>
      </c>
      <c r="K6062" t="s">
        <v>10217</v>
      </c>
      <c r="M6062" t="s">
        <v>10539</v>
      </c>
      <c r="N6062" t="s">
        <v>10664</v>
      </c>
      <c r="P6062" t="s">
        <v>10749</v>
      </c>
      <c r="Q6062" t="s">
        <v>10765</v>
      </c>
      <c r="R6062" t="s">
        <v>10820</v>
      </c>
      <c r="T6062">
        <v>17000</v>
      </c>
      <c r="U6062">
        <v>1416.67</v>
      </c>
      <c r="V6062">
        <v>49</v>
      </c>
      <c r="W6062">
        <v>1</v>
      </c>
      <c r="X6062">
        <v>0</v>
      </c>
      <c r="Z6062">
        <v>136.11</v>
      </c>
      <c r="AA6062">
        <v>40.616973</v>
      </c>
      <c r="AB6062">
        <v>-73.956647</v>
      </c>
      <c r="AD6062" t="s">
        <v>10840</v>
      </c>
      <c r="AG6062" t="s">
        <v>10858</v>
      </c>
      <c r="AH6062" t="s">
        <v>10861</v>
      </c>
      <c r="AI6062">
        <v>239</v>
      </c>
      <c r="AJ6062" t="s">
        <v>10213</v>
      </c>
      <c r="AL6062">
        <v>1</v>
      </c>
      <c r="AM6062" t="s">
        <v>10888</v>
      </c>
      <c r="AN6062" t="s">
        <v>10965</v>
      </c>
      <c r="AO6062" t="s">
        <v>11015</v>
      </c>
      <c r="AP6062" t="s">
        <v>11092</v>
      </c>
      <c r="AR6062" t="s">
        <v>11257</v>
      </c>
      <c r="AS6062" t="s">
        <v>11595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</row>
    <row r="6063" spans="1:59">
      <c r="A6063" s="1">
        <f>HYPERLINK("https://lsnyc.legalserver.org/matter/dynamic-profile/view/1910371","19-1910371")</f>
        <v>0</v>
      </c>
      <c r="B6063" t="s">
        <v>3627</v>
      </c>
      <c r="C6063" t="s">
        <v>5218</v>
      </c>
      <c r="D6063" t="s">
        <v>9926</v>
      </c>
      <c r="E6063" t="s">
        <v>10075</v>
      </c>
      <c r="F6063">
        <v>10457</v>
      </c>
      <c r="G6063" t="s">
        <v>10090</v>
      </c>
      <c r="H6063" t="s">
        <v>10135</v>
      </c>
      <c r="I6063" t="s">
        <v>10168</v>
      </c>
      <c r="J6063" t="s">
        <v>10210</v>
      </c>
      <c r="K6063" t="s">
        <v>10217</v>
      </c>
      <c r="M6063" t="s">
        <v>10469</v>
      </c>
      <c r="N6063" t="s">
        <v>10651</v>
      </c>
      <c r="P6063" t="s">
        <v>10749</v>
      </c>
      <c r="Q6063" t="s">
        <v>10765</v>
      </c>
      <c r="R6063" t="s">
        <v>10824</v>
      </c>
      <c r="T6063">
        <v>26000</v>
      </c>
      <c r="U6063">
        <v>2166.67</v>
      </c>
      <c r="V6063">
        <v>47</v>
      </c>
      <c r="W6063">
        <v>2</v>
      </c>
      <c r="X6063">
        <v>1</v>
      </c>
      <c r="Z6063">
        <v>121.89</v>
      </c>
      <c r="AA6063">
        <v>40.842251</v>
      </c>
      <c r="AB6063">
        <v>-73.897676</v>
      </c>
      <c r="AD6063" t="s">
        <v>10839</v>
      </c>
      <c r="AG6063" t="s">
        <v>10858</v>
      </c>
      <c r="AH6063" t="s">
        <v>10862</v>
      </c>
      <c r="AI6063">
        <v>230</v>
      </c>
      <c r="AJ6063" t="s">
        <v>10210</v>
      </c>
      <c r="AL6063">
        <v>2.3</v>
      </c>
      <c r="AM6063" t="s">
        <v>10884</v>
      </c>
      <c r="AN6063" t="s">
        <v>10918</v>
      </c>
      <c r="AO6063" t="s">
        <v>11000</v>
      </c>
      <c r="AP6063" t="s">
        <v>11056</v>
      </c>
      <c r="AR6063" t="s">
        <v>11257</v>
      </c>
      <c r="AS6063" t="s">
        <v>9926</v>
      </c>
      <c r="AT6063" t="s">
        <v>11641</v>
      </c>
      <c r="BA6063" t="s">
        <v>11738</v>
      </c>
      <c r="BB6063">
        <v>0</v>
      </c>
      <c r="BC6063">
        <v>0</v>
      </c>
      <c r="BD6063">
        <v>0</v>
      </c>
      <c r="BE6063">
        <v>0</v>
      </c>
      <c r="BF6063">
        <v>5</v>
      </c>
      <c r="BG6063">
        <v>0</v>
      </c>
    </row>
    <row r="6064" spans="1:59">
      <c r="A6064" s="1">
        <f>HYPERLINK("https://lsnyc.legalserver.org/matter/dynamic-profile/view/1910372","19-1910372")</f>
        <v>0</v>
      </c>
      <c r="B6064" t="s">
        <v>4702</v>
      </c>
      <c r="C6064" t="s">
        <v>9578</v>
      </c>
      <c r="D6064" t="s">
        <v>9928</v>
      </c>
      <c r="E6064" t="s">
        <v>10075</v>
      </c>
      <c r="F6064">
        <v>11219</v>
      </c>
      <c r="G6064" t="s">
        <v>10091</v>
      </c>
      <c r="H6064" t="s">
        <v>10135</v>
      </c>
      <c r="I6064" t="s">
        <v>10168</v>
      </c>
      <c r="J6064" t="s">
        <v>10214</v>
      </c>
      <c r="K6064" t="s">
        <v>10217</v>
      </c>
      <c r="M6064" t="s">
        <v>10286</v>
      </c>
      <c r="N6064" t="s">
        <v>10671</v>
      </c>
      <c r="P6064" t="s">
        <v>10754</v>
      </c>
      <c r="Q6064" t="s">
        <v>10770</v>
      </c>
      <c r="R6064" t="s">
        <v>10820</v>
      </c>
      <c r="T6064">
        <v>11220</v>
      </c>
      <c r="U6064">
        <v>935</v>
      </c>
      <c r="V6064">
        <v>45</v>
      </c>
      <c r="W6064">
        <v>1</v>
      </c>
      <c r="X6064">
        <v>0</v>
      </c>
      <c r="Z6064">
        <v>89.83</v>
      </c>
      <c r="AA6064">
        <v>40.62991</v>
      </c>
      <c r="AB6064">
        <v>-74.004214</v>
      </c>
      <c r="AC6064" t="s">
        <v>10837</v>
      </c>
      <c r="AD6064" t="s">
        <v>10840</v>
      </c>
      <c r="AG6064" t="s">
        <v>10858</v>
      </c>
      <c r="AH6064" t="s">
        <v>10861</v>
      </c>
      <c r="AI6064">
        <v>234</v>
      </c>
      <c r="AJ6064" t="s">
        <v>10214</v>
      </c>
      <c r="AL6064">
        <v>0.5</v>
      </c>
      <c r="AM6064" t="s">
        <v>10894</v>
      </c>
      <c r="AN6064" t="s">
        <v>10974</v>
      </c>
      <c r="AO6064" t="s">
        <v>11015</v>
      </c>
      <c r="AP6064" t="s">
        <v>11069</v>
      </c>
      <c r="AR6064" t="s">
        <v>11303</v>
      </c>
      <c r="AS6064" t="s">
        <v>11595</v>
      </c>
      <c r="AT6064" t="s">
        <v>11642</v>
      </c>
      <c r="AX6064" t="s">
        <v>10838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</row>
    <row r="6065" spans="1:59">
      <c r="A6065" s="1">
        <f>HYPERLINK("https://lsnyc.legalserver.org/matter/dynamic-profile/view/1910373","19-1910373")</f>
        <v>0</v>
      </c>
      <c r="B6065" t="s">
        <v>4703</v>
      </c>
      <c r="C6065" t="s">
        <v>9579</v>
      </c>
      <c r="D6065" t="s">
        <v>9950</v>
      </c>
      <c r="E6065" t="s">
        <v>10075</v>
      </c>
      <c r="F6065">
        <v>11418</v>
      </c>
      <c r="G6065" t="s">
        <v>10092</v>
      </c>
      <c r="H6065" t="s">
        <v>10135</v>
      </c>
      <c r="I6065" t="s">
        <v>10168</v>
      </c>
      <c r="J6065" t="s">
        <v>10212</v>
      </c>
      <c r="K6065" t="s">
        <v>10218</v>
      </c>
      <c r="L6065" t="s">
        <v>10135</v>
      </c>
      <c r="M6065" t="s">
        <v>10441</v>
      </c>
      <c r="N6065" t="s">
        <v>10694</v>
      </c>
      <c r="P6065" t="s">
        <v>10751</v>
      </c>
      <c r="Q6065" t="s">
        <v>10768</v>
      </c>
      <c r="R6065" t="s">
        <v>10827</v>
      </c>
      <c r="T6065">
        <v>0</v>
      </c>
      <c r="U6065">
        <v>0</v>
      </c>
      <c r="V6065">
        <v>59</v>
      </c>
      <c r="W6065">
        <v>1</v>
      </c>
      <c r="X6065">
        <v>0</v>
      </c>
      <c r="Y6065" t="s">
        <v>10830</v>
      </c>
      <c r="Z6065">
        <v>0</v>
      </c>
      <c r="AA6065">
        <v>40.704336</v>
      </c>
      <c r="AB6065">
        <v>-73.81986999999999</v>
      </c>
      <c r="AD6065" t="s">
        <v>10840</v>
      </c>
      <c r="AF6065" t="s">
        <v>10843</v>
      </c>
      <c r="AG6065" t="s">
        <v>10859</v>
      </c>
      <c r="AH6065" t="s">
        <v>10866</v>
      </c>
      <c r="AI6065">
        <v>237</v>
      </c>
      <c r="AJ6065" t="s">
        <v>10212</v>
      </c>
      <c r="AK6065" t="s">
        <v>10882</v>
      </c>
      <c r="AL6065">
        <v>3.5</v>
      </c>
      <c r="AM6065" t="s">
        <v>10890</v>
      </c>
      <c r="AN6065" t="s">
        <v>10962</v>
      </c>
      <c r="AO6065" t="s">
        <v>11020</v>
      </c>
      <c r="AP6065" t="s">
        <v>11083</v>
      </c>
      <c r="AR6065" t="s">
        <v>11267</v>
      </c>
      <c r="AS6065" t="s">
        <v>11594</v>
      </c>
      <c r="AT6065" t="s">
        <v>11642</v>
      </c>
      <c r="AV6065" t="s">
        <v>11655</v>
      </c>
      <c r="AW6065" t="s">
        <v>11666</v>
      </c>
      <c r="AX6065" t="s">
        <v>10838</v>
      </c>
      <c r="AY6065" t="s">
        <v>10830</v>
      </c>
      <c r="AZ6065" t="s">
        <v>11682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</row>
    <row r="6066" spans="1:59">
      <c r="A6066" s="1">
        <f>HYPERLINK("https://lsnyc.legalserver.org/matter/dynamic-profile/view/1910374","19-1910374")</f>
        <v>0</v>
      </c>
      <c r="B6066" t="s">
        <v>4704</v>
      </c>
      <c r="C6066" t="s">
        <v>9580</v>
      </c>
      <c r="D6066" t="s">
        <v>9945</v>
      </c>
      <c r="E6066" t="s">
        <v>10075</v>
      </c>
      <c r="F6066">
        <v>11422</v>
      </c>
      <c r="G6066" t="s">
        <v>10092</v>
      </c>
      <c r="H6066" t="s">
        <v>10156</v>
      </c>
      <c r="I6066" t="s">
        <v>10168</v>
      </c>
      <c r="J6066" t="s">
        <v>10212</v>
      </c>
      <c r="K6066" t="s">
        <v>10218</v>
      </c>
      <c r="L6066" t="s">
        <v>10135</v>
      </c>
      <c r="M6066" t="s">
        <v>10355</v>
      </c>
      <c r="N6066" t="s">
        <v>10648</v>
      </c>
      <c r="P6066" t="s">
        <v>10753</v>
      </c>
      <c r="Q6066" t="s">
        <v>10763</v>
      </c>
      <c r="R6066" t="s">
        <v>10824</v>
      </c>
      <c r="T6066">
        <v>5200</v>
      </c>
      <c r="U6066">
        <v>433.33</v>
      </c>
      <c r="V6066">
        <v>29</v>
      </c>
      <c r="W6066">
        <v>1</v>
      </c>
      <c r="X6066">
        <v>0</v>
      </c>
      <c r="Y6066" t="s">
        <v>10829</v>
      </c>
      <c r="Z6066">
        <v>41.63</v>
      </c>
      <c r="AA6066">
        <v>40.672873</v>
      </c>
      <c r="AB6066">
        <v>-73.737427</v>
      </c>
      <c r="AD6066" t="s">
        <v>10839</v>
      </c>
      <c r="AF6066" t="s">
        <v>10842</v>
      </c>
      <c r="AG6066" t="s">
        <v>10859</v>
      </c>
      <c r="AH6066" t="s">
        <v>10864</v>
      </c>
      <c r="AI6066">
        <v>237</v>
      </c>
      <c r="AJ6066" t="s">
        <v>10212</v>
      </c>
      <c r="AK6066" t="s">
        <v>10837</v>
      </c>
      <c r="AL6066">
        <v>1.5</v>
      </c>
      <c r="AM6066" t="s">
        <v>10892</v>
      </c>
      <c r="AN6066" t="s">
        <v>10955</v>
      </c>
      <c r="AO6066" t="s">
        <v>11020</v>
      </c>
      <c r="AP6066" t="s">
        <v>11082</v>
      </c>
      <c r="AQ6066" t="s">
        <v>11140</v>
      </c>
      <c r="AR6066" t="s">
        <v>11276</v>
      </c>
      <c r="AS6066" t="s">
        <v>11594</v>
      </c>
      <c r="AY6066" t="s">
        <v>10829</v>
      </c>
      <c r="AZ6066" t="s">
        <v>11709</v>
      </c>
      <c r="BA6066" t="s">
        <v>11741</v>
      </c>
      <c r="BB6066">
        <v>0</v>
      </c>
      <c r="BC6066">
        <v>0</v>
      </c>
      <c r="BD6066">
        <v>0</v>
      </c>
      <c r="BE6066">
        <v>0</v>
      </c>
      <c r="BF6066">
        <v>1</v>
      </c>
      <c r="BG6066">
        <v>0</v>
      </c>
    </row>
    <row r="6067" spans="1:59">
      <c r="A6067" s="1">
        <f>HYPERLINK("https://lsnyc.legalserver.org/matter/dynamic-profile/view/1910375","19-1910375")</f>
        <v>0</v>
      </c>
      <c r="B6067" t="s">
        <v>4551</v>
      </c>
      <c r="C6067" t="s">
        <v>9581</v>
      </c>
      <c r="D6067" t="s">
        <v>9925</v>
      </c>
      <c r="E6067" t="s">
        <v>10075</v>
      </c>
      <c r="F6067">
        <v>10065</v>
      </c>
      <c r="G6067" t="s">
        <v>10089</v>
      </c>
      <c r="H6067" t="s">
        <v>10135</v>
      </c>
      <c r="I6067" t="s">
        <v>10168</v>
      </c>
      <c r="J6067" t="s">
        <v>10209</v>
      </c>
      <c r="K6067" t="s">
        <v>10217</v>
      </c>
      <c r="M6067" t="s">
        <v>10509</v>
      </c>
      <c r="N6067" t="s">
        <v>10650</v>
      </c>
      <c r="P6067" t="s">
        <v>10749</v>
      </c>
      <c r="Q6067" t="s">
        <v>10765</v>
      </c>
      <c r="R6067" t="s">
        <v>10828</v>
      </c>
      <c r="T6067">
        <v>0</v>
      </c>
      <c r="U6067">
        <v>0</v>
      </c>
      <c r="V6067">
        <v>51</v>
      </c>
      <c r="W6067">
        <v>1</v>
      </c>
      <c r="X6067">
        <v>0</v>
      </c>
      <c r="Z6067">
        <v>0</v>
      </c>
      <c r="AA6067">
        <v>40.764955</v>
      </c>
      <c r="AB6067">
        <v>-73.96348399999999</v>
      </c>
      <c r="AD6067" t="s">
        <v>10839</v>
      </c>
      <c r="AG6067" t="s">
        <v>10858</v>
      </c>
      <c r="AH6067" t="s">
        <v>10862</v>
      </c>
      <c r="AI6067">
        <v>236</v>
      </c>
      <c r="AJ6067" t="s">
        <v>10209</v>
      </c>
      <c r="AL6067">
        <v>0</v>
      </c>
      <c r="AR6067" t="s">
        <v>11267</v>
      </c>
      <c r="AS6067" t="s">
        <v>9925</v>
      </c>
      <c r="BA6067" t="s">
        <v>11742</v>
      </c>
      <c r="BB6067">
        <v>0</v>
      </c>
      <c r="BC6067">
        <v>0</v>
      </c>
      <c r="BD6067">
        <v>0</v>
      </c>
      <c r="BE6067">
        <v>0</v>
      </c>
      <c r="BF6067">
        <v>7</v>
      </c>
      <c r="BG6067">
        <v>0</v>
      </c>
    </row>
    <row r="6068" spans="1:59">
      <c r="A6068" s="1">
        <f>HYPERLINK("https://lsnyc.legalserver.org/matter/dynamic-profile/view/1910376","19-1910376")</f>
        <v>0</v>
      </c>
      <c r="B6068" t="s">
        <v>3627</v>
      </c>
      <c r="C6068" t="s">
        <v>5218</v>
      </c>
      <c r="D6068" t="s">
        <v>9926</v>
      </c>
      <c r="E6068" t="s">
        <v>10075</v>
      </c>
      <c r="F6068">
        <v>10457</v>
      </c>
      <c r="G6068" t="s">
        <v>10090</v>
      </c>
      <c r="H6068" t="s">
        <v>10135</v>
      </c>
      <c r="I6068" t="s">
        <v>10168</v>
      </c>
      <c r="J6068" t="s">
        <v>10210</v>
      </c>
      <c r="K6068" t="s">
        <v>10217</v>
      </c>
      <c r="M6068" t="s">
        <v>10469</v>
      </c>
      <c r="N6068" t="s">
        <v>10688</v>
      </c>
      <c r="P6068" t="s">
        <v>10751</v>
      </c>
      <c r="Q6068" t="s">
        <v>10761</v>
      </c>
      <c r="R6068" t="s">
        <v>10824</v>
      </c>
      <c r="T6068">
        <v>26000</v>
      </c>
      <c r="U6068">
        <v>2166.67</v>
      </c>
      <c r="V6068">
        <v>47</v>
      </c>
      <c r="W6068">
        <v>2</v>
      </c>
      <c r="X6068">
        <v>1</v>
      </c>
      <c r="Z6068">
        <v>121.89</v>
      </c>
      <c r="AA6068">
        <v>40.842251</v>
      </c>
      <c r="AB6068">
        <v>-73.897676</v>
      </c>
      <c r="AD6068" t="s">
        <v>10839</v>
      </c>
      <c r="AG6068" t="s">
        <v>10858</v>
      </c>
      <c r="AH6068" t="s">
        <v>10862</v>
      </c>
      <c r="AI6068">
        <v>230</v>
      </c>
      <c r="AJ6068" t="s">
        <v>10210</v>
      </c>
      <c r="AL6068">
        <v>0</v>
      </c>
      <c r="AR6068" t="s">
        <v>11257</v>
      </c>
      <c r="AS6068" t="s">
        <v>9926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</row>
    <row r="6069" spans="1:59">
      <c r="A6069" s="1">
        <f>HYPERLINK("https://lsnyc.legalserver.org/matter/dynamic-profile/view/1910377","19-1910377")</f>
        <v>0</v>
      </c>
      <c r="B6069" t="s">
        <v>4705</v>
      </c>
      <c r="C6069" t="s">
        <v>9582</v>
      </c>
      <c r="D6069" t="s">
        <v>9926</v>
      </c>
      <c r="E6069" t="s">
        <v>10075</v>
      </c>
      <c r="F6069">
        <v>10472</v>
      </c>
      <c r="G6069" t="s">
        <v>10090</v>
      </c>
      <c r="H6069" t="s">
        <v>10135</v>
      </c>
      <c r="I6069" t="s">
        <v>10169</v>
      </c>
      <c r="J6069" t="s">
        <v>10210</v>
      </c>
      <c r="K6069" t="s">
        <v>10217</v>
      </c>
      <c r="M6069" t="s">
        <v>10516</v>
      </c>
      <c r="N6069" t="s">
        <v>10671</v>
      </c>
      <c r="P6069" t="s">
        <v>10751</v>
      </c>
      <c r="Q6069" t="s">
        <v>10768</v>
      </c>
      <c r="R6069" t="s">
        <v>10821</v>
      </c>
      <c r="T6069">
        <v>8400</v>
      </c>
      <c r="U6069">
        <v>700</v>
      </c>
      <c r="V6069">
        <v>59</v>
      </c>
      <c r="W6069">
        <v>3</v>
      </c>
      <c r="X6069">
        <v>0</v>
      </c>
      <c r="Z6069">
        <v>39.38</v>
      </c>
      <c r="AA6069">
        <v>40.829245</v>
      </c>
      <c r="AB6069">
        <v>-73.880912</v>
      </c>
      <c r="AD6069" t="s">
        <v>10839</v>
      </c>
      <c r="AG6069" t="s">
        <v>10858</v>
      </c>
      <c r="AH6069" t="s">
        <v>10871</v>
      </c>
      <c r="AI6069">
        <v>234</v>
      </c>
      <c r="AJ6069" t="s">
        <v>10214</v>
      </c>
      <c r="AL6069">
        <v>3</v>
      </c>
      <c r="AM6069" t="s">
        <v>10884</v>
      </c>
      <c r="AN6069" t="s">
        <v>10968</v>
      </c>
      <c r="AO6069" t="s">
        <v>11001</v>
      </c>
      <c r="AP6069" t="s">
        <v>11062</v>
      </c>
      <c r="AR6069" t="s">
        <v>11298</v>
      </c>
      <c r="AS6069" t="s">
        <v>9926</v>
      </c>
      <c r="AT6069" t="s">
        <v>11641</v>
      </c>
      <c r="AX6069" t="s">
        <v>10838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</row>
    <row r="6070" spans="1:59">
      <c r="A6070" s="1">
        <f>HYPERLINK("https://lsnyc.legalserver.org/matter/dynamic-profile/view/1910380","19-1910380")</f>
        <v>0</v>
      </c>
      <c r="B6070" t="s">
        <v>1626</v>
      </c>
      <c r="C6070" t="s">
        <v>9583</v>
      </c>
      <c r="D6070" t="s">
        <v>9926</v>
      </c>
      <c r="E6070" t="s">
        <v>10075</v>
      </c>
      <c r="F6070">
        <v>10454</v>
      </c>
      <c r="G6070" t="s">
        <v>10090</v>
      </c>
      <c r="H6070" t="s">
        <v>10135</v>
      </c>
      <c r="I6070" t="s">
        <v>10169</v>
      </c>
      <c r="J6070" t="s">
        <v>10210</v>
      </c>
      <c r="K6070" t="s">
        <v>10217</v>
      </c>
      <c r="M6070" t="s">
        <v>10549</v>
      </c>
      <c r="N6070" t="s">
        <v>10671</v>
      </c>
      <c r="P6070" t="s">
        <v>10751</v>
      </c>
      <c r="Q6070" t="s">
        <v>10786</v>
      </c>
      <c r="R6070" t="s">
        <v>10821</v>
      </c>
      <c r="T6070">
        <v>26000</v>
      </c>
      <c r="U6070">
        <v>2166.67</v>
      </c>
      <c r="V6070">
        <v>55</v>
      </c>
      <c r="W6070">
        <v>3</v>
      </c>
      <c r="X6070">
        <v>1</v>
      </c>
      <c r="Z6070">
        <v>100.97</v>
      </c>
      <c r="AA6070">
        <v>40.809852</v>
      </c>
      <c r="AB6070">
        <v>-73.92310000000001</v>
      </c>
      <c r="AD6070" t="s">
        <v>10840</v>
      </c>
      <c r="AF6070" t="s">
        <v>10843</v>
      </c>
      <c r="AG6070" t="s">
        <v>10859</v>
      </c>
      <c r="AH6070" t="s">
        <v>10861</v>
      </c>
      <c r="AI6070">
        <v>234</v>
      </c>
      <c r="AJ6070" t="s">
        <v>10214</v>
      </c>
      <c r="AL6070">
        <v>7.5</v>
      </c>
      <c r="AM6070" t="s">
        <v>10884</v>
      </c>
      <c r="AN6070" t="s">
        <v>10924</v>
      </c>
      <c r="AO6070" t="s">
        <v>11013</v>
      </c>
      <c r="AP6070" t="s">
        <v>11066</v>
      </c>
      <c r="AR6070" t="s">
        <v>11262</v>
      </c>
      <c r="AS6070" t="s">
        <v>9926</v>
      </c>
      <c r="AT6070" t="s">
        <v>11642</v>
      </c>
      <c r="AX6070" t="s">
        <v>10838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</row>
    <row r="6071" spans="1:59">
      <c r="A6071" s="1">
        <f>HYPERLINK("https://lsnyc.legalserver.org/matter/dynamic-profile/view/1910382","19-1910382")</f>
        <v>0</v>
      </c>
      <c r="B6071" t="s">
        <v>4465</v>
      </c>
      <c r="C6071" t="s">
        <v>9584</v>
      </c>
      <c r="D6071" t="s">
        <v>9926</v>
      </c>
      <c r="E6071" t="s">
        <v>10075</v>
      </c>
      <c r="F6071">
        <v>10467</v>
      </c>
      <c r="G6071" t="s">
        <v>10090</v>
      </c>
      <c r="H6071" t="s">
        <v>10137</v>
      </c>
      <c r="I6071" t="s">
        <v>10169</v>
      </c>
      <c r="J6071" t="s">
        <v>10210</v>
      </c>
      <c r="K6071" t="s">
        <v>10217</v>
      </c>
      <c r="M6071" t="s">
        <v>10434</v>
      </c>
      <c r="N6071" t="s">
        <v>10651</v>
      </c>
      <c r="P6071" t="s">
        <v>10749</v>
      </c>
      <c r="Q6071" t="s">
        <v>10765</v>
      </c>
      <c r="R6071" t="s">
        <v>10822</v>
      </c>
      <c r="T6071">
        <v>7944</v>
      </c>
      <c r="U6071">
        <v>662</v>
      </c>
      <c r="V6071">
        <v>28</v>
      </c>
      <c r="W6071">
        <v>1</v>
      </c>
      <c r="X6071">
        <v>1</v>
      </c>
      <c r="Z6071">
        <v>46.98</v>
      </c>
      <c r="AA6071">
        <v>40.882789</v>
      </c>
      <c r="AB6071">
        <v>-73.883392</v>
      </c>
      <c r="AD6071" t="s">
        <v>10839</v>
      </c>
      <c r="AG6071" t="s">
        <v>10858</v>
      </c>
      <c r="AH6071" t="s">
        <v>10862</v>
      </c>
      <c r="AI6071">
        <v>230</v>
      </c>
      <c r="AJ6071" t="s">
        <v>10210</v>
      </c>
      <c r="AL6071">
        <v>1</v>
      </c>
      <c r="AM6071" t="s">
        <v>10887</v>
      </c>
      <c r="AN6071" t="s">
        <v>10938</v>
      </c>
      <c r="AO6071" t="s">
        <v>11010</v>
      </c>
      <c r="AP6071" t="s">
        <v>11057</v>
      </c>
      <c r="AR6071" t="s">
        <v>11263</v>
      </c>
      <c r="AS6071" t="s">
        <v>9926</v>
      </c>
      <c r="AT6071" t="s">
        <v>11641</v>
      </c>
      <c r="AX6071" t="s">
        <v>10838</v>
      </c>
      <c r="BA6071" t="s">
        <v>11738</v>
      </c>
      <c r="BB6071">
        <v>0</v>
      </c>
      <c r="BC6071">
        <v>0</v>
      </c>
      <c r="BD6071">
        <v>0</v>
      </c>
      <c r="BE6071">
        <v>0</v>
      </c>
      <c r="BF6071">
        <v>5</v>
      </c>
      <c r="BG6071">
        <v>0</v>
      </c>
    </row>
    <row r="6072" spans="1:59">
      <c r="A6072" s="1">
        <f>HYPERLINK("https://lsnyc.legalserver.org/matter/dynamic-profile/view/1910383","19-1910383")</f>
        <v>0</v>
      </c>
      <c r="B6072" t="s">
        <v>4706</v>
      </c>
      <c r="C6072" t="s">
        <v>9585</v>
      </c>
      <c r="D6072" t="s">
        <v>9925</v>
      </c>
      <c r="E6072" t="s">
        <v>10075</v>
      </c>
      <c r="F6072">
        <v>10002</v>
      </c>
      <c r="G6072" t="s">
        <v>10089</v>
      </c>
      <c r="H6072" t="s">
        <v>10101</v>
      </c>
      <c r="I6072" t="s">
        <v>10168</v>
      </c>
      <c r="J6072" t="s">
        <v>10209</v>
      </c>
      <c r="K6072" t="s">
        <v>10217</v>
      </c>
      <c r="M6072" t="s">
        <v>10509</v>
      </c>
      <c r="N6072" t="s">
        <v>10703</v>
      </c>
      <c r="P6072" t="s">
        <v>10749</v>
      </c>
      <c r="Q6072" t="s">
        <v>10767</v>
      </c>
      <c r="R6072" t="s">
        <v>10821</v>
      </c>
      <c r="T6072">
        <v>0</v>
      </c>
      <c r="U6072">
        <v>0</v>
      </c>
      <c r="V6072">
        <v>57</v>
      </c>
      <c r="W6072">
        <v>3</v>
      </c>
      <c r="X6072">
        <v>0</v>
      </c>
      <c r="Z6072">
        <v>0</v>
      </c>
      <c r="AA6072">
        <v>40.716067</v>
      </c>
      <c r="AB6072">
        <v>-73.986215</v>
      </c>
      <c r="AD6072" t="s">
        <v>10822</v>
      </c>
      <c r="AG6072" t="s">
        <v>10858</v>
      </c>
      <c r="AH6072" t="s">
        <v>10862</v>
      </c>
      <c r="AI6072">
        <v>236</v>
      </c>
      <c r="AJ6072" t="s">
        <v>10209</v>
      </c>
      <c r="AL6072">
        <v>0</v>
      </c>
      <c r="AM6072" t="s">
        <v>10891</v>
      </c>
      <c r="AN6072" t="s">
        <v>10963</v>
      </c>
      <c r="AO6072" t="s">
        <v>11004</v>
      </c>
      <c r="AP6072" t="s">
        <v>11093</v>
      </c>
      <c r="AR6072" t="s">
        <v>11267</v>
      </c>
      <c r="AS6072" t="s">
        <v>9925</v>
      </c>
      <c r="BA6072" t="s">
        <v>11742</v>
      </c>
      <c r="BB6072">
        <v>0</v>
      </c>
      <c r="BC6072">
        <v>0</v>
      </c>
      <c r="BD6072">
        <v>0</v>
      </c>
      <c r="BE6072">
        <v>0</v>
      </c>
      <c r="BF6072">
        <v>7</v>
      </c>
      <c r="BG6072">
        <v>0</v>
      </c>
    </row>
    <row r="6073" spans="1:59">
      <c r="A6073" s="1">
        <f>HYPERLINK("https://lsnyc.legalserver.org/matter/dynamic-profile/view/1910385","19-1910385")</f>
        <v>0</v>
      </c>
      <c r="B6073" t="s">
        <v>4465</v>
      </c>
      <c r="C6073" t="s">
        <v>9584</v>
      </c>
      <c r="D6073" t="s">
        <v>9926</v>
      </c>
      <c r="E6073" t="s">
        <v>10075</v>
      </c>
      <c r="F6073">
        <v>10467</v>
      </c>
      <c r="G6073" t="s">
        <v>10090</v>
      </c>
      <c r="H6073" t="s">
        <v>10135</v>
      </c>
      <c r="I6073" t="s">
        <v>10169</v>
      </c>
      <c r="J6073" t="s">
        <v>10210</v>
      </c>
      <c r="K6073" t="s">
        <v>10217</v>
      </c>
      <c r="M6073" t="s">
        <v>10287</v>
      </c>
      <c r="N6073" t="s">
        <v>10671</v>
      </c>
      <c r="P6073" t="s">
        <v>10751</v>
      </c>
      <c r="Q6073" t="s">
        <v>10761</v>
      </c>
      <c r="R6073" t="s">
        <v>10822</v>
      </c>
      <c r="T6073">
        <v>7944</v>
      </c>
      <c r="U6073">
        <v>662</v>
      </c>
      <c r="V6073">
        <v>28</v>
      </c>
      <c r="W6073">
        <v>1</v>
      </c>
      <c r="X6073">
        <v>1</v>
      </c>
      <c r="Z6073">
        <v>46.98</v>
      </c>
      <c r="AA6073">
        <v>40.882789</v>
      </c>
      <c r="AB6073">
        <v>-73.883392</v>
      </c>
      <c r="AD6073" t="s">
        <v>10839</v>
      </c>
      <c r="AG6073" t="s">
        <v>10858</v>
      </c>
      <c r="AH6073" t="s">
        <v>10862</v>
      </c>
      <c r="AI6073">
        <v>230</v>
      </c>
      <c r="AJ6073" t="s">
        <v>10210</v>
      </c>
      <c r="AL6073">
        <v>0.75</v>
      </c>
      <c r="AM6073" t="s">
        <v>10887</v>
      </c>
      <c r="AN6073" t="s">
        <v>10938</v>
      </c>
      <c r="AO6073" t="s">
        <v>11010</v>
      </c>
      <c r="AP6073" t="s">
        <v>11057</v>
      </c>
      <c r="AR6073" t="s">
        <v>11263</v>
      </c>
      <c r="AS6073" t="s">
        <v>9926</v>
      </c>
      <c r="AT6073" t="s">
        <v>11641</v>
      </c>
      <c r="AX6073" t="s">
        <v>10838</v>
      </c>
      <c r="BA6073" t="s">
        <v>11742</v>
      </c>
      <c r="BB6073">
        <v>0</v>
      </c>
      <c r="BC6073">
        <v>0</v>
      </c>
      <c r="BD6073">
        <v>0</v>
      </c>
      <c r="BE6073">
        <v>0</v>
      </c>
      <c r="BF6073">
        <v>7</v>
      </c>
      <c r="BG6073">
        <v>0</v>
      </c>
    </row>
    <row r="6074" spans="1:59">
      <c r="A6074" s="1">
        <f>HYPERLINK("https://lsnyc.legalserver.org/matter/dynamic-profile/view/1910386","19-1910386")</f>
        <v>0</v>
      </c>
      <c r="B6074" t="s">
        <v>2908</v>
      </c>
      <c r="D6074" t="s">
        <v>10071</v>
      </c>
      <c r="E6074" t="s">
        <v>10076</v>
      </c>
      <c r="F6074">
        <v>7008</v>
      </c>
      <c r="G6074" t="s">
        <v>10093</v>
      </c>
      <c r="H6074" t="s">
        <v>10135</v>
      </c>
      <c r="I6074" t="s">
        <v>10168</v>
      </c>
      <c r="J6074" t="s">
        <v>10213</v>
      </c>
      <c r="K6074" t="s">
        <v>10217</v>
      </c>
      <c r="M6074" t="s">
        <v>10521</v>
      </c>
      <c r="N6074" t="s">
        <v>10646</v>
      </c>
      <c r="P6074" t="s">
        <v>10754</v>
      </c>
      <c r="Q6074" t="s">
        <v>10775</v>
      </c>
      <c r="R6074" t="s">
        <v>10824</v>
      </c>
      <c r="T6074">
        <v>34800</v>
      </c>
      <c r="U6074">
        <v>2900</v>
      </c>
      <c r="V6074">
        <v>53</v>
      </c>
      <c r="W6074">
        <v>2</v>
      </c>
      <c r="X6074">
        <v>0</v>
      </c>
      <c r="Z6074">
        <v>205.8</v>
      </c>
      <c r="AA6074">
        <v>0</v>
      </c>
      <c r="AB6074">
        <v>0</v>
      </c>
      <c r="AD6074" t="s">
        <v>10839</v>
      </c>
      <c r="AG6074" t="s">
        <v>10858</v>
      </c>
      <c r="AH6074" t="s">
        <v>10875</v>
      </c>
      <c r="AI6074">
        <v>239</v>
      </c>
      <c r="AJ6074" t="s">
        <v>10213</v>
      </c>
      <c r="AL6074">
        <v>0</v>
      </c>
      <c r="AQ6074" t="s">
        <v>11103</v>
      </c>
      <c r="AR6074" t="s">
        <v>11257</v>
      </c>
      <c r="AS6074" t="s">
        <v>11639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</row>
    <row r="6075" spans="1:59">
      <c r="A6075" s="1">
        <f>HYPERLINK("https://lsnyc.legalserver.org/matter/dynamic-profile/view/1910387","19-1910387")</f>
        <v>0</v>
      </c>
      <c r="B6075" t="s">
        <v>4205</v>
      </c>
      <c r="C6075" t="s">
        <v>9036</v>
      </c>
      <c r="D6075" t="s">
        <v>9926</v>
      </c>
      <c r="E6075" t="s">
        <v>10075</v>
      </c>
      <c r="F6075">
        <v>10457</v>
      </c>
      <c r="G6075" t="s">
        <v>10090</v>
      </c>
      <c r="H6075" t="s">
        <v>10135</v>
      </c>
      <c r="I6075" t="s">
        <v>10168</v>
      </c>
      <c r="J6075" t="s">
        <v>10210</v>
      </c>
      <c r="K6075" t="s">
        <v>10218</v>
      </c>
      <c r="L6075" t="s">
        <v>10158</v>
      </c>
      <c r="M6075" t="s">
        <v>10283</v>
      </c>
      <c r="N6075" t="s">
        <v>10676</v>
      </c>
      <c r="P6075" t="s">
        <v>10751</v>
      </c>
      <c r="Q6075" t="s">
        <v>10786</v>
      </c>
      <c r="R6075" t="s">
        <v>10822</v>
      </c>
      <c r="T6075">
        <v>11064</v>
      </c>
      <c r="U6075">
        <v>922</v>
      </c>
      <c r="V6075">
        <v>51</v>
      </c>
      <c r="W6075">
        <v>1</v>
      </c>
      <c r="X6075">
        <v>0</v>
      </c>
      <c r="Y6075" t="s">
        <v>10829</v>
      </c>
      <c r="Z6075">
        <v>88.58</v>
      </c>
      <c r="AA6075">
        <v>40.838787</v>
      </c>
      <c r="AB6075">
        <v>-73.901128</v>
      </c>
      <c r="AD6075" t="s">
        <v>10840</v>
      </c>
      <c r="AG6075" t="s">
        <v>10858</v>
      </c>
      <c r="AH6075" t="s">
        <v>10861</v>
      </c>
      <c r="AI6075">
        <v>234</v>
      </c>
      <c r="AJ6075" t="s">
        <v>10214</v>
      </c>
      <c r="AK6075" t="s">
        <v>10882</v>
      </c>
      <c r="AL6075">
        <v>2</v>
      </c>
      <c r="AR6075" t="s">
        <v>11298</v>
      </c>
      <c r="AS6075" t="s">
        <v>9926</v>
      </c>
      <c r="AY6075" t="s">
        <v>10829</v>
      </c>
      <c r="AZ6075" t="s">
        <v>11682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</row>
    <row r="6076" spans="1:59">
      <c r="A6076" s="1">
        <f>HYPERLINK("https://lsnyc.legalserver.org/matter/dynamic-profile/view/1910388","19-1910388")</f>
        <v>0</v>
      </c>
      <c r="B6076" t="s">
        <v>4205</v>
      </c>
      <c r="C6076" t="s">
        <v>9036</v>
      </c>
      <c r="D6076" t="s">
        <v>9926</v>
      </c>
      <c r="E6076" t="s">
        <v>10075</v>
      </c>
      <c r="F6076">
        <v>10457</v>
      </c>
      <c r="G6076" t="s">
        <v>10090</v>
      </c>
      <c r="H6076" t="s">
        <v>10135</v>
      </c>
      <c r="I6076" t="s">
        <v>10168</v>
      </c>
      <c r="J6076" t="s">
        <v>10210</v>
      </c>
      <c r="K6076" t="s">
        <v>10217</v>
      </c>
      <c r="M6076" t="s">
        <v>10283</v>
      </c>
      <c r="N6076" t="s">
        <v>10676</v>
      </c>
      <c r="P6076" t="s">
        <v>10757</v>
      </c>
      <c r="Q6076" t="s">
        <v>10789</v>
      </c>
      <c r="R6076" t="s">
        <v>10822</v>
      </c>
      <c r="T6076">
        <v>11064</v>
      </c>
      <c r="U6076">
        <v>922</v>
      </c>
      <c r="V6076">
        <v>51</v>
      </c>
      <c r="W6076">
        <v>1</v>
      </c>
      <c r="X6076">
        <v>0</v>
      </c>
      <c r="Z6076">
        <v>88.58</v>
      </c>
      <c r="AA6076">
        <v>40.838787</v>
      </c>
      <c r="AB6076">
        <v>-73.901128</v>
      </c>
      <c r="AD6076" t="s">
        <v>10840</v>
      </c>
      <c r="AG6076" t="s">
        <v>10858</v>
      </c>
      <c r="AH6076" t="s">
        <v>10861</v>
      </c>
      <c r="AI6076">
        <v>234</v>
      </c>
      <c r="AJ6076" t="s">
        <v>10214</v>
      </c>
      <c r="AL6076">
        <v>3</v>
      </c>
      <c r="AQ6076" t="s">
        <v>11121</v>
      </c>
      <c r="AR6076" t="s">
        <v>11298</v>
      </c>
      <c r="AS6076" t="s">
        <v>9926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</row>
    <row r="6077" spans="1:59">
      <c r="A6077" s="1">
        <f>HYPERLINK("https://lsnyc.legalserver.org/matter/dynamic-profile/view/1910389","19-1910389")</f>
        <v>0</v>
      </c>
      <c r="B6077" t="s">
        <v>2281</v>
      </c>
      <c r="C6077" t="s">
        <v>6248</v>
      </c>
      <c r="D6077" t="s">
        <v>9926</v>
      </c>
      <c r="E6077" t="s">
        <v>10075</v>
      </c>
      <c r="F6077">
        <v>10462</v>
      </c>
      <c r="G6077" t="s">
        <v>10090</v>
      </c>
      <c r="H6077" t="s">
        <v>10135</v>
      </c>
      <c r="I6077" t="s">
        <v>10168</v>
      </c>
      <c r="J6077" t="s">
        <v>10210</v>
      </c>
      <c r="K6077" t="s">
        <v>10217</v>
      </c>
      <c r="M6077" t="s">
        <v>10399</v>
      </c>
      <c r="N6077" t="s">
        <v>10651</v>
      </c>
      <c r="P6077" t="s">
        <v>10749</v>
      </c>
      <c r="Q6077" t="s">
        <v>10765</v>
      </c>
      <c r="R6077" t="s">
        <v>10825</v>
      </c>
      <c r="T6077">
        <v>11648</v>
      </c>
      <c r="U6077">
        <v>970.67</v>
      </c>
      <c r="V6077">
        <v>22</v>
      </c>
      <c r="W6077">
        <v>1</v>
      </c>
      <c r="X6077">
        <v>0</v>
      </c>
      <c r="Z6077">
        <v>93.26000000000001</v>
      </c>
      <c r="AA6077">
        <v>40.838965</v>
      </c>
      <c r="AB6077">
        <v>-73.861349</v>
      </c>
      <c r="AD6077" t="s">
        <v>10839</v>
      </c>
      <c r="AG6077" t="s">
        <v>10858</v>
      </c>
      <c r="AH6077" t="s">
        <v>10862</v>
      </c>
      <c r="AI6077">
        <v>230</v>
      </c>
      <c r="AJ6077" t="s">
        <v>10210</v>
      </c>
      <c r="AL6077">
        <v>14.2</v>
      </c>
      <c r="AM6077" t="s">
        <v>10885</v>
      </c>
      <c r="AN6077" t="s">
        <v>10908</v>
      </c>
      <c r="AO6077" t="s">
        <v>11001</v>
      </c>
      <c r="AP6077" t="s">
        <v>11046</v>
      </c>
      <c r="AR6077" t="s">
        <v>11293</v>
      </c>
      <c r="AS6077" t="s">
        <v>9926</v>
      </c>
      <c r="BA6077" t="s">
        <v>11738</v>
      </c>
      <c r="BB6077">
        <v>0</v>
      </c>
      <c r="BC6077">
        <v>0</v>
      </c>
      <c r="BD6077">
        <v>0</v>
      </c>
      <c r="BE6077">
        <v>0</v>
      </c>
      <c r="BF6077">
        <v>5</v>
      </c>
      <c r="BG6077">
        <v>0</v>
      </c>
    </row>
    <row r="6078" spans="1:59">
      <c r="A6078" s="1">
        <f>HYPERLINK("https://lsnyc.legalserver.org/matter/dynamic-profile/view/1910390","19-1910390")</f>
        <v>0</v>
      </c>
      <c r="B6078" t="s">
        <v>4707</v>
      </c>
      <c r="C6078" t="s">
        <v>9586</v>
      </c>
      <c r="D6078" t="s">
        <v>9926</v>
      </c>
      <c r="E6078" t="s">
        <v>10075</v>
      </c>
      <c r="F6078">
        <v>10452</v>
      </c>
      <c r="G6078" t="s">
        <v>10090</v>
      </c>
      <c r="H6078" t="s">
        <v>10135</v>
      </c>
      <c r="I6078" t="s">
        <v>10188</v>
      </c>
      <c r="J6078" t="s">
        <v>10210</v>
      </c>
      <c r="K6078" t="s">
        <v>10217</v>
      </c>
      <c r="M6078" t="s">
        <v>10540</v>
      </c>
      <c r="N6078" t="s">
        <v>10727</v>
      </c>
      <c r="P6078" t="s">
        <v>10753</v>
      </c>
      <c r="Q6078" t="s">
        <v>10809</v>
      </c>
      <c r="R6078" t="s">
        <v>10827</v>
      </c>
      <c r="T6078">
        <v>30000</v>
      </c>
      <c r="U6078">
        <v>2500</v>
      </c>
      <c r="V6078">
        <v>17</v>
      </c>
      <c r="W6078">
        <v>2</v>
      </c>
      <c r="X6078">
        <v>2</v>
      </c>
      <c r="Z6078">
        <v>116.5</v>
      </c>
      <c r="AA6078">
        <v>40.838379</v>
      </c>
      <c r="AB6078">
        <v>-73.917276</v>
      </c>
      <c r="AD6078" t="s">
        <v>10840</v>
      </c>
      <c r="AG6078" t="s">
        <v>10858</v>
      </c>
      <c r="AH6078" t="s">
        <v>10877</v>
      </c>
      <c r="AI6078">
        <v>230</v>
      </c>
      <c r="AJ6078" t="s">
        <v>10210</v>
      </c>
      <c r="AL6078">
        <v>1.6</v>
      </c>
      <c r="AM6078" t="s">
        <v>10884</v>
      </c>
      <c r="AN6078" t="s">
        <v>10924</v>
      </c>
      <c r="AO6078" t="s">
        <v>11013</v>
      </c>
      <c r="AP6078" t="s">
        <v>11055</v>
      </c>
      <c r="AQ6078" t="s">
        <v>11180</v>
      </c>
      <c r="AR6078" t="s">
        <v>11257</v>
      </c>
      <c r="AS6078" t="s">
        <v>9926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</row>
    <row r="6079" spans="1:59">
      <c r="A6079" s="1">
        <f>HYPERLINK("https://lsnyc.legalserver.org/matter/dynamic-profile/view/1910391","19-1910391")</f>
        <v>0</v>
      </c>
      <c r="B6079" t="s">
        <v>3946</v>
      </c>
      <c r="C6079" t="s">
        <v>9587</v>
      </c>
      <c r="D6079" t="s">
        <v>9926</v>
      </c>
      <c r="E6079" t="s">
        <v>10075</v>
      </c>
      <c r="F6079">
        <v>10472</v>
      </c>
      <c r="G6079" t="s">
        <v>10090</v>
      </c>
      <c r="H6079" t="s">
        <v>10135</v>
      </c>
      <c r="I6079" t="s">
        <v>10168</v>
      </c>
      <c r="J6079" t="s">
        <v>10210</v>
      </c>
      <c r="K6079" t="s">
        <v>10217</v>
      </c>
      <c r="M6079" t="s">
        <v>10281</v>
      </c>
      <c r="N6079" t="s">
        <v>10646</v>
      </c>
      <c r="P6079" t="s">
        <v>10753</v>
      </c>
      <c r="Q6079" t="s">
        <v>10790</v>
      </c>
      <c r="R6079" t="s">
        <v>10824</v>
      </c>
      <c r="T6079">
        <v>38500</v>
      </c>
      <c r="U6079">
        <v>3208.33</v>
      </c>
      <c r="V6079">
        <v>59</v>
      </c>
      <c r="W6079">
        <v>2</v>
      </c>
      <c r="X6079">
        <v>0</v>
      </c>
      <c r="Z6079">
        <v>227.68</v>
      </c>
      <c r="AA6079">
        <v>40.825654</v>
      </c>
      <c r="AB6079">
        <v>-73.87007</v>
      </c>
      <c r="AD6079" t="s">
        <v>10839</v>
      </c>
      <c r="AG6079" t="s">
        <v>10858</v>
      </c>
      <c r="AH6079" t="s">
        <v>10862</v>
      </c>
      <c r="AI6079">
        <v>230</v>
      </c>
      <c r="AJ6079" t="s">
        <v>10210</v>
      </c>
      <c r="AL6079">
        <v>1</v>
      </c>
      <c r="AM6079" t="s">
        <v>10884</v>
      </c>
      <c r="AN6079" t="s">
        <v>10968</v>
      </c>
      <c r="AO6079" t="s">
        <v>11001</v>
      </c>
      <c r="AP6079" t="s">
        <v>11046</v>
      </c>
      <c r="AR6079" t="s">
        <v>11257</v>
      </c>
      <c r="AS6079" t="s">
        <v>9926</v>
      </c>
      <c r="AT6079" t="s">
        <v>11641</v>
      </c>
      <c r="BA6079" t="s">
        <v>11744</v>
      </c>
      <c r="BB6079">
        <v>0</v>
      </c>
      <c r="BC6079">
        <v>0</v>
      </c>
      <c r="BD6079">
        <v>0</v>
      </c>
      <c r="BE6079">
        <v>0</v>
      </c>
      <c r="BF6079">
        <v>6</v>
      </c>
      <c r="BG6079">
        <v>0</v>
      </c>
    </row>
    <row r="6080" spans="1:59">
      <c r="A6080" s="1">
        <f>HYPERLINK("https://lsnyc.legalserver.org/matter/dynamic-profile/view/1910392","19-1910392")</f>
        <v>0</v>
      </c>
      <c r="B6080" t="s">
        <v>424</v>
      </c>
      <c r="C6080" t="s">
        <v>5345</v>
      </c>
      <c r="D6080" t="s">
        <v>9963</v>
      </c>
      <c r="E6080" t="s">
        <v>10075</v>
      </c>
      <c r="F6080">
        <v>11385</v>
      </c>
      <c r="G6080" t="s">
        <v>10092</v>
      </c>
      <c r="H6080" t="s">
        <v>10136</v>
      </c>
      <c r="I6080" t="s">
        <v>10168</v>
      </c>
      <c r="J6080" t="s">
        <v>10212</v>
      </c>
      <c r="K6080" t="s">
        <v>10217</v>
      </c>
      <c r="M6080" t="s">
        <v>10347</v>
      </c>
      <c r="N6080" t="s">
        <v>10650</v>
      </c>
      <c r="P6080" t="s">
        <v>10749</v>
      </c>
      <c r="Q6080" t="s">
        <v>10765</v>
      </c>
      <c r="R6080" t="s">
        <v>10825</v>
      </c>
      <c r="T6080">
        <v>19200</v>
      </c>
      <c r="U6080">
        <v>1600</v>
      </c>
      <c r="V6080">
        <v>31</v>
      </c>
      <c r="W6080">
        <v>2</v>
      </c>
      <c r="X6080">
        <v>2</v>
      </c>
      <c r="Z6080">
        <v>74.56</v>
      </c>
      <c r="AA6080">
        <v>40.701351</v>
      </c>
      <c r="AB6080">
        <v>-73.880621</v>
      </c>
      <c r="AD6080" t="s">
        <v>10840</v>
      </c>
      <c r="AG6080" t="s">
        <v>10858</v>
      </c>
      <c r="AH6080" t="s">
        <v>10862</v>
      </c>
      <c r="AI6080">
        <v>237</v>
      </c>
      <c r="AJ6080" t="s">
        <v>10212</v>
      </c>
      <c r="AL6080">
        <v>1.33</v>
      </c>
      <c r="AM6080" t="s">
        <v>10890</v>
      </c>
      <c r="AN6080" t="s">
        <v>10945</v>
      </c>
      <c r="AO6080" t="s">
        <v>11024</v>
      </c>
      <c r="AP6080" t="s">
        <v>11077</v>
      </c>
      <c r="AR6080" t="s">
        <v>11257</v>
      </c>
      <c r="AS6080" t="s">
        <v>11594</v>
      </c>
      <c r="AT6080" t="s">
        <v>11642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</row>
    <row r="6081" spans="1:59">
      <c r="A6081" s="1">
        <f>HYPERLINK("https://lsnyc.legalserver.org/matter/dynamic-profile/view/1910393","19-1910393")</f>
        <v>0</v>
      </c>
      <c r="B6081" t="s">
        <v>4708</v>
      </c>
      <c r="C6081" t="s">
        <v>9588</v>
      </c>
      <c r="D6081" t="s">
        <v>9956</v>
      </c>
      <c r="E6081" t="s">
        <v>10075</v>
      </c>
      <c r="F6081">
        <v>11365</v>
      </c>
      <c r="G6081" t="s">
        <v>10092</v>
      </c>
      <c r="H6081" t="s">
        <v>10136</v>
      </c>
      <c r="I6081" t="s">
        <v>10169</v>
      </c>
      <c r="J6081" t="s">
        <v>10212</v>
      </c>
      <c r="K6081" t="s">
        <v>10217</v>
      </c>
      <c r="M6081" t="s">
        <v>10320</v>
      </c>
      <c r="N6081" t="s">
        <v>10648</v>
      </c>
      <c r="P6081" t="s">
        <v>10753</v>
      </c>
      <c r="Q6081" t="s">
        <v>10763</v>
      </c>
      <c r="R6081" t="s">
        <v>10823</v>
      </c>
      <c r="T6081">
        <v>0</v>
      </c>
      <c r="U6081">
        <v>0</v>
      </c>
      <c r="V6081">
        <v>26</v>
      </c>
      <c r="W6081">
        <v>1</v>
      </c>
      <c r="X6081">
        <v>1</v>
      </c>
      <c r="Z6081">
        <v>0</v>
      </c>
      <c r="AA6081">
        <v>40.737795</v>
      </c>
      <c r="AB6081">
        <v>-73.80210099999999</v>
      </c>
      <c r="AD6081" t="s">
        <v>10839</v>
      </c>
      <c r="AF6081" t="s">
        <v>10842</v>
      </c>
      <c r="AG6081" t="s">
        <v>10859</v>
      </c>
      <c r="AH6081" t="s">
        <v>10864</v>
      </c>
      <c r="AI6081">
        <v>237</v>
      </c>
      <c r="AJ6081" t="s">
        <v>10212</v>
      </c>
      <c r="AK6081" t="s">
        <v>10837</v>
      </c>
      <c r="AL6081">
        <v>1.45</v>
      </c>
      <c r="AM6081" t="s">
        <v>10890</v>
      </c>
      <c r="AN6081" t="s">
        <v>10934</v>
      </c>
      <c r="AO6081" t="s">
        <v>11009</v>
      </c>
      <c r="AP6081" t="s">
        <v>11081</v>
      </c>
      <c r="AR6081" t="s">
        <v>11267</v>
      </c>
      <c r="AS6081" t="s">
        <v>11594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</row>
    <row r="6082" spans="1:59">
      <c r="A6082" s="1">
        <f>HYPERLINK("https://lsnyc.legalserver.org/matter/dynamic-profile/view/1910394","19-1910394")</f>
        <v>0</v>
      </c>
      <c r="B6082" t="s">
        <v>4709</v>
      </c>
      <c r="C6082" t="s">
        <v>9589</v>
      </c>
      <c r="D6082" t="s">
        <v>9929</v>
      </c>
      <c r="E6082" t="s">
        <v>10075</v>
      </c>
      <c r="F6082">
        <v>10310</v>
      </c>
      <c r="G6082" t="s">
        <v>10088</v>
      </c>
      <c r="H6082" t="s">
        <v>10136</v>
      </c>
      <c r="I6082" t="s">
        <v>10168</v>
      </c>
      <c r="J6082" t="s">
        <v>10208</v>
      </c>
      <c r="K6082" t="s">
        <v>10217</v>
      </c>
      <c r="M6082" t="s">
        <v>10237</v>
      </c>
      <c r="N6082" t="s">
        <v>10700</v>
      </c>
      <c r="P6082" t="s">
        <v>10754</v>
      </c>
      <c r="Q6082" t="s">
        <v>10766</v>
      </c>
      <c r="R6082" t="s">
        <v>10823</v>
      </c>
      <c r="T6082">
        <v>10512</v>
      </c>
      <c r="U6082">
        <v>876</v>
      </c>
      <c r="V6082">
        <v>33</v>
      </c>
      <c r="W6082">
        <v>1</v>
      </c>
      <c r="X6082">
        <v>2</v>
      </c>
      <c r="Z6082">
        <v>49.28</v>
      </c>
      <c r="AA6082">
        <v>40.636703</v>
      </c>
      <c r="AB6082">
        <v>-74.118421</v>
      </c>
      <c r="AD6082" t="s">
        <v>10839</v>
      </c>
      <c r="AG6082" t="s">
        <v>10858</v>
      </c>
      <c r="AH6082" t="s">
        <v>10865</v>
      </c>
      <c r="AI6082">
        <v>285</v>
      </c>
      <c r="AJ6082" t="s">
        <v>10208</v>
      </c>
      <c r="AL6082">
        <v>1.6</v>
      </c>
      <c r="AM6082" t="s">
        <v>10883</v>
      </c>
      <c r="AN6082" t="s">
        <v>10913</v>
      </c>
      <c r="AO6082" t="s">
        <v>11006</v>
      </c>
      <c r="AP6082" t="s">
        <v>11051</v>
      </c>
      <c r="AQ6082" t="s">
        <v>11112</v>
      </c>
      <c r="AR6082" t="s">
        <v>11367</v>
      </c>
      <c r="AS6082" t="s">
        <v>11593</v>
      </c>
      <c r="AT6082" t="s">
        <v>11641</v>
      </c>
      <c r="AX6082" t="s">
        <v>10838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</row>
    <row r="6083" spans="1:59">
      <c r="A6083" s="1">
        <f>HYPERLINK("https://lsnyc.legalserver.org/matter/dynamic-profile/view/1910395","19-1910395")</f>
        <v>0</v>
      </c>
      <c r="B6083" t="s">
        <v>4710</v>
      </c>
      <c r="C6083" t="s">
        <v>9590</v>
      </c>
      <c r="D6083" t="s">
        <v>9929</v>
      </c>
      <c r="E6083" t="s">
        <v>10075</v>
      </c>
      <c r="F6083">
        <v>10312</v>
      </c>
      <c r="G6083" t="s">
        <v>10093</v>
      </c>
      <c r="H6083" t="s">
        <v>10136</v>
      </c>
      <c r="I6083" t="s">
        <v>10168</v>
      </c>
      <c r="J6083" t="s">
        <v>10213</v>
      </c>
      <c r="K6083" t="s">
        <v>10217</v>
      </c>
      <c r="M6083" t="s">
        <v>10289</v>
      </c>
      <c r="N6083" t="s">
        <v>10671</v>
      </c>
      <c r="P6083" t="s">
        <v>10751</v>
      </c>
      <c r="Q6083" t="s">
        <v>10786</v>
      </c>
      <c r="R6083" t="s">
        <v>10820</v>
      </c>
      <c r="T6083">
        <v>9600</v>
      </c>
      <c r="U6083">
        <v>800</v>
      </c>
      <c r="V6083">
        <v>79</v>
      </c>
      <c r="W6083">
        <v>1</v>
      </c>
      <c r="X6083">
        <v>0</v>
      </c>
      <c r="Z6083">
        <v>76.86</v>
      </c>
      <c r="AA6083">
        <v>40.538885</v>
      </c>
      <c r="AB6083">
        <v>-74.18062</v>
      </c>
      <c r="AD6083" t="s">
        <v>10839</v>
      </c>
      <c r="AG6083" t="s">
        <v>10858</v>
      </c>
      <c r="AH6083" t="s">
        <v>10861</v>
      </c>
      <c r="AI6083">
        <v>234</v>
      </c>
      <c r="AJ6083" t="s">
        <v>10214</v>
      </c>
      <c r="AL6083">
        <v>2.15</v>
      </c>
      <c r="AR6083" t="s">
        <v>11316</v>
      </c>
      <c r="AS6083" t="s">
        <v>11593</v>
      </c>
      <c r="AT6083" t="s">
        <v>11641</v>
      </c>
      <c r="AX6083" t="s">
        <v>11678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</row>
    <row r="6084" spans="1:59">
      <c r="A6084" s="1">
        <f>HYPERLINK("https://lsnyc.legalserver.org/matter/dynamic-profile/view/1910396","19-1910396")</f>
        <v>0</v>
      </c>
      <c r="B6084" t="s">
        <v>4711</v>
      </c>
      <c r="C6084" t="s">
        <v>9591</v>
      </c>
      <c r="D6084" t="s">
        <v>9926</v>
      </c>
      <c r="E6084" t="s">
        <v>10075</v>
      </c>
      <c r="F6084">
        <v>10453</v>
      </c>
      <c r="G6084" t="s">
        <v>10093</v>
      </c>
      <c r="H6084" t="s">
        <v>10136</v>
      </c>
      <c r="I6084" t="s">
        <v>10168</v>
      </c>
      <c r="J6084" t="s">
        <v>10213</v>
      </c>
      <c r="K6084" t="s">
        <v>10217</v>
      </c>
      <c r="M6084" t="s">
        <v>10477</v>
      </c>
      <c r="N6084" t="s">
        <v>10671</v>
      </c>
      <c r="P6084" t="s">
        <v>10749</v>
      </c>
      <c r="Q6084" t="s">
        <v>10765</v>
      </c>
      <c r="R6084" t="s">
        <v>10822</v>
      </c>
      <c r="T6084">
        <v>31128</v>
      </c>
      <c r="U6084">
        <v>2594</v>
      </c>
      <c r="V6084">
        <v>28</v>
      </c>
      <c r="W6084">
        <v>2</v>
      </c>
      <c r="X6084">
        <v>4</v>
      </c>
      <c r="Z6084">
        <v>89.98999999999999</v>
      </c>
      <c r="AA6084">
        <v>40.857489</v>
      </c>
      <c r="AB6084">
        <v>-73.90363499999999</v>
      </c>
      <c r="AD6084" t="s">
        <v>10839</v>
      </c>
      <c r="AG6084" t="s">
        <v>10858</v>
      </c>
      <c r="AH6084" t="s">
        <v>10861</v>
      </c>
      <c r="AI6084">
        <v>234</v>
      </c>
      <c r="AJ6084" t="s">
        <v>10214</v>
      </c>
      <c r="AL6084">
        <v>0.5</v>
      </c>
      <c r="AR6084" t="s">
        <v>11281</v>
      </c>
      <c r="AS6084" t="s">
        <v>9926</v>
      </c>
      <c r="AT6084" t="s">
        <v>11641</v>
      </c>
      <c r="AX6084" t="s">
        <v>10838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</row>
    <row r="6085" spans="1:59">
      <c r="A6085" s="1">
        <f>HYPERLINK("https://lsnyc.legalserver.org/matter/dynamic-profile/view/1910398","19-1910398")</f>
        <v>0</v>
      </c>
      <c r="B6085" t="s">
        <v>3367</v>
      </c>
      <c r="C6085" t="s">
        <v>9592</v>
      </c>
      <c r="D6085" t="s">
        <v>9926</v>
      </c>
      <c r="E6085" t="s">
        <v>10075</v>
      </c>
      <c r="F6085">
        <v>10457</v>
      </c>
      <c r="G6085" t="s">
        <v>10090</v>
      </c>
      <c r="H6085" t="s">
        <v>10136</v>
      </c>
      <c r="I6085" t="s">
        <v>10168</v>
      </c>
      <c r="J6085" t="s">
        <v>10210</v>
      </c>
      <c r="K6085" t="s">
        <v>10217</v>
      </c>
      <c r="M6085" t="s">
        <v>10477</v>
      </c>
      <c r="N6085" t="s">
        <v>10671</v>
      </c>
      <c r="P6085" t="s">
        <v>10749</v>
      </c>
      <c r="Q6085" t="s">
        <v>10765</v>
      </c>
      <c r="R6085" t="s">
        <v>10824</v>
      </c>
      <c r="T6085">
        <v>22124</v>
      </c>
      <c r="U6085">
        <v>1843.67</v>
      </c>
      <c r="V6085">
        <v>30</v>
      </c>
      <c r="W6085">
        <v>1</v>
      </c>
      <c r="X6085">
        <v>2</v>
      </c>
      <c r="Z6085">
        <v>103.72</v>
      </c>
      <c r="AA6085">
        <v>40.851139</v>
      </c>
      <c r="AB6085">
        <v>-73.899907</v>
      </c>
      <c r="AD6085" t="s">
        <v>10839</v>
      </c>
      <c r="AG6085" t="s">
        <v>10858</v>
      </c>
      <c r="AH6085" t="s">
        <v>10861</v>
      </c>
      <c r="AI6085">
        <v>234</v>
      </c>
      <c r="AJ6085" t="s">
        <v>10214</v>
      </c>
      <c r="AL6085">
        <v>0.5</v>
      </c>
      <c r="AM6085" t="s">
        <v>10884</v>
      </c>
      <c r="AN6085" t="s">
        <v>10931</v>
      </c>
      <c r="AO6085" t="s">
        <v>11000</v>
      </c>
      <c r="AP6085" t="s">
        <v>11056</v>
      </c>
      <c r="AR6085" t="s">
        <v>11580</v>
      </c>
      <c r="AS6085" t="s">
        <v>9926</v>
      </c>
      <c r="AT6085" t="s">
        <v>11641</v>
      </c>
      <c r="AX6085" t="s">
        <v>10838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</row>
    <row r="6086" spans="1:59">
      <c r="A6086" s="1">
        <f>HYPERLINK("https://lsnyc.legalserver.org/matter/dynamic-profile/view/1910399","19-1910399")</f>
        <v>0</v>
      </c>
      <c r="B6086" t="s">
        <v>4712</v>
      </c>
      <c r="C6086" t="s">
        <v>9593</v>
      </c>
      <c r="D6086" t="s">
        <v>9926</v>
      </c>
      <c r="E6086" t="s">
        <v>10075</v>
      </c>
      <c r="F6086">
        <v>10462</v>
      </c>
      <c r="G6086" t="s">
        <v>10090</v>
      </c>
      <c r="H6086" t="s">
        <v>10136</v>
      </c>
      <c r="I6086" t="s">
        <v>10168</v>
      </c>
      <c r="J6086" t="s">
        <v>10210</v>
      </c>
      <c r="K6086" t="s">
        <v>10217</v>
      </c>
      <c r="M6086" t="s">
        <v>10415</v>
      </c>
      <c r="N6086" t="s">
        <v>10651</v>
      </c>
      <c r="P6086" t="s">
        <v>10749</v>
      </c>
      <c r="Q6086" t="s">
        <v>10765</v>
      </c>
      <c r="R6086" t="s">
        <v>10827</v>
      </c>
      <c r="T6086">
        <v>55600</v>
      </c>
      <c r="U6086">
        <v>4633.33</v>
      </c>
      <c r="V6086">
        <v>62</v>
      </c>
      <c r="W6086">
        <v>3</v>
      </c>
      <c r="X6086">
        <v>0</v>
      </c>
      <c r="Z6086">
        <v>260.67</v>
      </c>
      <c r="AA6086">
        <v>40.832736</v>
      </c>
      <c r="AB6086">
        <v>-73.856906</v>
      </c>
      <c r="AD6086" t="s">
        <v>10840</v>
      </c>
      <c r="AG6086" t="s">
        <v>10858</v>
      </c>
      <c r="AH6086" t="s">
        <v>10862</v>
      </c>
      <c r="AI6086">
        <v>230</v>
      </c>
      <c r="AJ6086" t="s">
        <v>10210</v>
      </c>
      <c r="AL6086">
        <v>2.3</v>
      </c>
      <c r="AM6086" t="s">
        <v>10885</v>
      </c>
      <c r="AN6086" t="s">
        <v>10908</v>
      </c>
      <c r="AO6086" t="s">
        <v>11002</v>
      </c>
      <c r="AP6086" t="s">
        <v>11046</v>
      </c>
      <c r="AR6086" t="s">
        <v>11257</v>
      </c>
      <c r="AS6086" t="s">
        <v>9926</v>
      </c>
      <c r="AT6086" t="s">
        <v>11642</v>
      </c>
      <c r="AX6086" t="s">
        <v>10838</v>
      </c>
      <c r="BA6086" t="s">
        <v>11738</v>
      </c>
      <c r="BB6086">
        <v>0</v>
      </c>
      <c r="BC6086">
        <v>0</v>
      </c>
      <c r="BD6086">
        <v>0</v>
      </c>
      <c r="BE6086">
        <v>0</v>
      </c>
      <c r="BF6086">
        <v>5</v>
      </c>
      <c r="BG6086">
        <v>0</v>
      </c>
    </row>
    <row r="6087" spans="1:59">
      <c r="A6087" s="1">
        <f>HYPERLINK("https://lsnyc.legalserver.org/matter/dynamic-profile/view/1910400","19-1910400")</f>
        <v>0</v>
      </c>
      <c r="B6087" t="s">
        <v>1000</v>
      </c>
      <c r="C6087" t="s">
        <v>9594</v>
      </c>
      <c r="D6087" t="s">
        <v>9938</v>
      </c>
      <c r="E6087" t="s">
        <v>10075</v>
      </c>
      <c r="F6087">
        <v>11435</v>
      </c>
      <c r="G6087" t="s">
        <v>10092</v>
      </c>
      <c r="H6087" t="s">
        <v>10136</v>
      </c>
      <c r="J6087" t="s">
        <v>10212</v>
      </c>
      <c r="K6087" t="s">
        <v>10217</v>
      </c>
      <c r="M6087" t="s">
        <v>10366</v>
      </c>
      <c r="N6087" t="s">
        <v>10678</v>
      </c>
      <c r="P6087" t="s">
        <v>10749</v>
      </c>
      <c r="Q6087" t="s">
        <v>10769</v>
      </c>
      <c r="R6087" t="s">
        <v>10828</v>
      </c>
      <c r="T6087">
        <v>5200</v>
      </c>
      <c r="U6087">
        <v>433.33</v>
      </c>
      <c r="V6087">
        <v>62</v>
      </c>
      <c r="W6087">
        <v>1</v>
      </c>
      <c r="X6087">
        <v>0</v>
      </c>
      <c r="Z6087">
        <v>41.63</v>
      </c>
      <c r="AA6087">
        <v>40.693252</v>
      </c>
      <c r="AB6087">
        <v>-73.801692</v>
      </c>
      <c r="AD6087" t="s">
        <v>10840</v>
      </c>
      <c r="AF6087" t="s">
        <v>10842</v>
      </c>
      <c r="AG6087" t="s">
        <v>10859</v>
      </c>
      <c r="AH6087" t="s">
        <v>10860</v>
      </c>
      <c r="AI6087">
        <v>237</v>
      </c>
      <c r="AJ6087" t="s">
        <v>10212</v>
      </c>
      <c r="AL6087">
        <v>1.5</v>
      </c>
      <c r="AM6087" t="s">
        <v>10892</v>
      </c>
      <c r="AN6087" t="s">
        <v>10951</v>
      </c>
      <c r="AO6087" t="s">
        <v>11020</v>
      </c>
      <c r="AP6087" t="s">
        <v>11070</v>
      </c>
      <c r="AR6087" t="s">
        <v>10180</v>
      </c>
      <c r="AS6087" t="s">
        <v>11594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</row>
    <row r="6088" spans="1:59">
      <c r="A6088" s="1">
        <f>HYPERLINK("https://lsnyc.legalserver.org/matter/dynamic-profile/view/1910401","19-1910401")</f>
        <v>0</v>
      </c>
      <c r="B6088" t="s">
        <v>4270</v>
      </c>
      <c r="C6088" t="s">
        <v>9595</v>
      </c>
      <c r="D6088" t="s">
        <v>9926</v>
      </c>
      <c r="E6088" t="s">
        <v>10075</v>
      </c>
      <c r="F6088">
        <v>10469</v>
      </c>
      <c r="G6088" t="s">
        <v>10090</v>
      </c>
      <c r="H6088" t="s">
        <v>10136</v>
      </c>
      <c r="I6088" t="s">
        <v>10168</v>
      </c>
      <c r="J6088" t="s">
        <v>10210</v>
      </c>
      <c r="K6088" t="s">
        <v>10217</v>
      </c>
      <c r="M6088" t="s">
        <v>10584</v>
      </c>
      <c r="N6088" t="s">
        <v>10666</v>
      </c>
      <c r="P6088" t="s">
        <v>10749</v>
      </c>
      <c r="Q6088" t="s">
        <v>10765</v>
      </c>
      <c r="R6088" t="s">
        <v>10824</v>
      </c>
      <c r="T6088">
        <v>6000</v>
      </c>
      <c r="U6088">
        <v>500</v>
      </c>
      <c r="V6088">
        <v>45</v>
      </c>
      <c r="W6088">
        <v>1</v>
      </c>
      <c r="X6088">
        <v>2</v>
      </c>
      <c r="Z6088">
        <v>28.13</v>
      </c>
      <c r="AA6088">
        <v>40.874357</v>
      </c>
      <c r="AB6088">
        <v>-73.848821</v>
      </c>
      <c r="AD6088" t="s">
        <v>10839</v>
      </c>
      <c r="AF6088" t="s">
        <v>10843</v>
      </c>
      <c r="AG6088" t="s">
        <v>10859</v>
      </c>
      <c r="AH6088" t="s">
        <v>10861</v>
      </c>
      <c r="AI6088">
        <v>230</v>
      </c>
      <c r="AJ6088" t="s">
        <v>10210</v>
      </c>
      <c r="AL6088">
        <v>2.5</v>
      </c>
      <c r="AM6088" t="s">
        <v>10893</v>
      </c>
      <c r="AN6088" t="s">
        <v>10956</v>
      </c>
      <c r="AO6088" t="s">
        <v>11010</v>
      </c>
      <c r="AP6088" t="s">
        <v>11085</v>
      </c>
      <c r="AR6088" t="s">
        <v>11263</v>
      </c>
      <c r="AS6088" t="s">
        <v>9926</v>
      </c>
      <c r="AX6088" t="s">
        <v>10838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</row>
    <row r="6089" spans="1:59">
      <c r="A6089" s="1">
        <f>HYPERLINK("https://lsnyc.legalserver.org/matter/dynamic-profile/view/1910402","19-1910402")</f>
        <v>0</v>
      </c>
      <c r="B6089" t="s">
        <v>4713</v>
      </c>
      <c r="C6089" t="s">
        <v>9596</v>
      </c>
      <c r="D6089" t="s">
        <v>9935</v>
      </c>
      <c r="E6089" t="s">
        <v>10075</v>
      </c>
      <c r="F6089">
        <v>11369</v>
      </c>
      <c r="G6089" t="s">
        <v>10092</v>
      </c>
      <c r="H6089" t="s">
        <v>10136</v>
      </c>
      <c r="I6089" t="s">
        <v>10169</v>
      </c>
      <c r="J6089" t="s">
        <v>10212</v>
      </c>
      <c r="K6089" t="s">
        <v>10217</v>
      </c>
      <c r="M6089" t="s">
        <v>10318</v>
      </c>
      <c r="N6089" t="s">
        <v>10684</v>
      </c>
      <c r="P6089" t="s">
        <v>10751</v>
      </c>
      <c r="Q6089" t="s">
        <v>10786</v>
      </c>
      <c r="R6089" t="s">
        <v>10821</v>
      </c>
      <c r="T6089">
        <v>54400</v>
      </c>
      <c r="U6089">
        <v>4533.33</v>
      </c>
      <c r="V6089">
        <v>35</v>
      </c>
      <c r="W6089">
        <v>1</v>
      </c>
      <c r="X6089">
        <v>2</v>
      </c>
      <c r="Z6089">
        <v>255.04</v>
      </c>
      <c r="AA6089">
        <v>40.765031</v>
      </c>
      <c r="AB6089">
        <v>-73.868331</v>
      </c>
      <c r="AD6089" t="s">
        <v>10839</v>
      </c>
      <c r="AG6089" t="s">
        <v>10858</v>
      </c>
      <c r="AH6089" t="s">
        <v>10871</v>
      </c>
      <c r="AI6089">
        <v>234</v>
      </c>
      <c r="AJ6089" t="s">
        <v>10214</v>
      </c>
      <c r="AL6089">
        <v>1</v>
      </c>
      <c r="AM6089" t="s">
        <v>10885</v>
      </c>
      <c r="AN6089" t="s">
        <v>10916</v>
      </c>
      <c r="AO6089" t="s">
        <v>11014</v>
      </c>
      <c r="AP6089" t="s">
        <v>11068</v>
      </c>
      <c r="AR6089" t="s">
        <v>11335</v>
      </c>
      <c r="AS6089" t="s">
        <v>11594</v>
      </c>
      <c r="AT6089" t="s">
        <v>11641</v>
      </c>
      <c r="AX6089" t="s">
        <v>10838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</row>
    <row r="6090" spans="1:59">
      <c r="A6090" s="1">
        <f>HYPERLINK("https://lsnyc.legalserver.org/matter/dynamic-profile/view/1910403","19-1910403")</f>
        <v>0</v>
      </c>
      <c r="B6090" t="s">
        <v>4714</v>
      </c>
      <c r="C6090" t="s">
        <v>9597</v>
      </c>
      <c r="D6090" t="s">
        <v>9928</v>
      </c>
      <c r="E6090" t="s">
        <v>10075</v>
      </c>
      <c r="F6090">
        <v>11221</v>
      </c>
      <c r="G6090" t="s">
        <v>10093</v>
      </c>
      <c r="H6090" t="s">
        <v>10136</v>
      </c>
      <c r="I6090" t="s">
        <v>10168</v>
      </c>
      <c r="J6090" t="s">
        <v>10213</v>
      </c>
      <c r="K6090" t="s">
        <v>10217</v>
      </c>
      <c r="M6090" t="s">
        <v>10378</v>
      </c>
      <c r="N6090" t="s">
        <v>10671</v>
      </c>
      <c r="P6090" t="s">
        <v>10751</v>
      </c>
      <c r="Q6090" t="s">
        <v>10780</v>
      </c>
      <c r="R6090" t="s">
        <v>10824</v>
      </c>
      <c r="T6090">
        <v>14952</v>
      </c>
      <c r="U6090">
        <v>1246</v>
      </c>
      <c r="V6090">
        <v>44</v>
      </c>
      <c r="W6090">
        <v>1</v>
      </c>
      <c r="X6090">
        <v>0</v>
      </c>
      <c r="Z6090">
        <v>119.71</v>
      </c>
      <c r="AA6090">
        <v>40.688349</v>
      </c>
      <c r="AB6090">
        <v>-73.942756</v>
      </c>
      <c r="AD6090" t="s">
        <v>10839</v>
      </c>
      <c r="AG6090" t="s">
        <v>10858</v>
      </c>
      <c r="AH6090" t="s">
        <v>10861</v>
      </c>
      <c r="AI6090">
        <v>234</v>
      </c>
      <c r="AJ6090" t="s">
        <v>10214</v>
      </c>
      <c r="AL6090">
        <v>1.5</v>
      </c>
      <c r="AM6090" t="s">
        <v>10889</v>
      </c>
      <c r="AN6090" t="s">
        <v>10914</v>
      </c>
      <c r="AO6090" t="s">
        <v>11007</v>
      </c>
      <c r="AP6090" t="s">
        <v>11052</v>
      </c>
      <c r="AR6090" t="s">
        <v>11490</v>
      </c>
      <c r="AS6090" t="s">
        <v>11595</v>
      </c>
      <c r="AT6090" t="s">
        <v>11641</v>
      </c>
      <c r="AX6090" t="s">
        <v>10838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</row>
    <row r="6091" spans="1:59">
      <c r="A6091" s="1">
        <f>HYPERLINK("https://lsnyc.legalserver.org/matter/dynamic-profile/view/1910404","19-1910404")</f>
        <v>0</v>
      </c>
      <c r="B6091" t="s">
        <v>4715</v>
      </c>
      <c r="C6091" t="s">
        <v>8816</v>
      </c>
      <c r="D6091" t="s">
        <v>9926</v>
      </c>
      <c r="E6091" t="s">
        <v>10075</v>
      </c>
      <c r="F6091">
        <v>10459</v>
      </c>
      <c r="G6091" t="s">
        <v>10090</v>
      </c>
      <c r="H6091" t="s">
        <v>10136</v>
      </c>
      <c r="I6091" t="s">
        <v>10169</v>
      </c>
      <c r="J6091" t="s">
        <v>10210</v>
      </c>
      <c r="K6091" t="s">
        <v>10217</v>
      </c>
      <c r="M6091" t="s">
        <v>10372</v>
      </c>
      <c r="N6091" t="s">
        <v>10671</v>
      </c>
      <c r="P6091" t="s">
        <v>10750</v>
      </c>
      <c r="Q6091" t="s">
        <v>10778</v>
      </c>
      <c r="R6091" t="s">
        <v>10823</v>
      </c>
      <c r="T6091">
        <v>31200</v>
      </c>
      <c r="U6091">
        <v>2600</v>
      </c>
      <c r="V6091">
        <v>46</v>
      </c>
      <c r="W6091">
        <v>1</v>
      </c>
      <c r="X6091">
        <v>1</v>
      </c>
      <c r="Z6091">
        <v>184.51</v>
      </c>
      <c r="AA6091">
        <v>40.818116</v>
      </c>
      <c r="AB6091">
        <v>-73.89646</v>
      </c>
      <c r="AD6091" t="s">
        <v>10839</v>
      </c>
      <c r="AF6091" t="s">
        <v>10843</v>
      </c>
      <c r="AG6091" t="s">
        <v>10859</v>
      </c>
      <c r="AH6091" t="s">
        <v>10861</v>
      </c>
      <c r="AI6091">
        <v>234</v>
      </c>
      <c r="AJ6091" t="s">
        <v>10214</v>
      </c>
      <c r="AL6091">
        <v>0.9</v>
      </c>
      <c r="AM6091" t="s">
        <v>10884</v>
      </c>
      <c r="AN6091" t="s">
        <v>10968</v>
      </c>
      <c r="AO6091" t="s">
        <v>11001</v>
      </c>
      <c r="AP6091" t="s">
        <v>11062</v>
      </c>
      <c r="AR6091" t="s">
        <v>11257</v>
      </c>
      <c r="AS6091" t="s">
        <v>9926</v>
      </c>
      <c r="AT6091" t="s">
        <v>11641</v>
      </c>
      <c r="AX6091" t="s">
        <v>10838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</row>
    <row r="6092" spans="1:59">
      <c r="A6092" s="1">
        <f>HYPERLINK("https://lsnyc.legalserver.org/matter/dynamic-profile/view/1910405","19-1910405")</f>
        <v>0</v>
      </c>
      <c r="B6092" t="s">
        <v>4716</v>
      </c>
      <c r="C6092" t="s">
        <v>9598</v>
      </c>
      <c r="D6092" t="s">
        <v>9935</v>
      </c>
      <c r="E6092" t="s">
        <v>10075</v>
      </c>
      <c r="F6092">
        <v>11370</v>
      </c>
      <c r="G6092" t="s">
        <v>10092</v>
      </c>
      <c r="H6092" t="s">
        <v>10136</v>
      </c>
      <c r="I6092" t="s">
        <v>10168</v>
      </c>
      <c r="J6092" t="s">
        <v>10212</v>
      </c>
      <c r="K6092" t="s">
        <v>10217</v>
      </c>
      <c r="M6092" t="s">
        <v>10410</v>
      </c>
      <c r="N6092" t="s">
        <v>10695</v>
      </c>
      <c r="P6092" t="s">
        <v>10749</v>
      </c>
      <c r="Q6092" t="s">
        <v>10765</v>
      </c>
      <c r="R6092" t="s">
        <v>10821</v>
      </c>
      <c r="T6092">
        <v>26000</v>
      </c>
      <c r="U6092">
        <v>2166.67</v>
      </c>
      <c r="V6092">
        <v>36</v>
      </c>
      <c r="W6092">
        <v>1</v>
      </c>
      <c r="X6092">
        <v>2</v>
      </c>
      <c r="Z6092">
        <v>121.89</v>
      </c>
      <c r="AA6092">
        <v>40.756952</v>
      </c>
      <c r="AB6092">
        <v>-73.88625999999999</v>
      </c>
      <c r="AD6092" t="s">
        <v>10840</v>
      </c>
      <c r="AF6092" t="s">
        <v>10843</v>
      </c>
      <c r="AG6092" t="s">
        <v>10859</v>
      </c>
      <c r="AH6092" t="s">
        <v>10862</v>
      </c>
      <c r="AI6092">
        <v>237</v>
      </c>
      <c r="AJ6092" t="s">
        <v>10212</v>
      </c>
      <c r="AL6092">
        <v>1</v>
      </c>
      <c r="AM6092" t="s">
        <v>10885</v>
      </c>
      <c r="AN6092" t="s">
        <v>10909</v>
      </c>
      <c r="AO6092" t="s">
        <v>11014</v>
      </c>
      <c r="AP6092" t="s">
        <v>11053</v>
      </c>
      <c r="AR6092" t="s">
        <v>11257</v>
      </c>
      <c r="AS6092" t="s">
        <v>11594</v>
      </c>
      <c r="BA6092" t="s">
        <v>11742</v>
      </c>
      <c r="BB6092">
        <v>0</v>
      </c>
      <c r="BC6092">
        <v>0</v>
      </c>
      <c r="BD6092">
        <v>0</v>
      </c>
      <c r="BE6092">
        <v>0</v>
      </c>
      <c r="BF6092">
        <v>7</v>
      </c>
      <c r="BG6092">
        <v>0</v>
      </c>
    </row>
    <row r="6093" spans="1:59">
      <c r="A6093" s="1">
        <f>HYPERLINK("https://lsnyc.legalserver.org/matter/dynamic-profile/view/1910406","19-1910406")</f>
        <v>0</v>
      </c>
      <c r="B6093" t="s">
        <v>4557</v>
      </c>
      <c r="C6093" t="s">
        <v>9424</v>
      </c>
      <c r="D6093" t="s">
        <v>9925</v>
      </c>
      <c r="E6093" t="s">
        <v>10075</v>
      </c>
      <c r="F6093">
        <v>10033</v>
      </c>
      <c r="G6093" t="s">
        <v>10089</v>
      </c>
      <c r="H6093" t="s">
        <v>10136</v>
      </c>
      <c r="I6093" t="s">
        <v>10169</v>
      </c>
      <c r="J6093" t="s">
        <v>10209</v>
      </c>
      <c r="K6093" t="s">
        <v>10217</v>
      </c>
      <c r="M6093" t="s">
        <v>10604</v>
      </c>
      <c r="N6093" t="s">
        <v>10650</v>
      </c>
      <c r="P6093" t="s">
        <v>10749</v>
      </c>
      <c r="Q6093" t="s">
        <v>10765</v>
      </c>
      <c r="R6093" t="s">
        <v>10821</v>
      </c>
      <c r="T6093">
        <v>30408</v>
      </c>
      <c r="U6093">
        <v>2534</v>
      </c>
      <c r="V6093">
        <v>66</v>
      </c>
      <c r="W6093">
        <v>2</v>
      </c>
      <c r="X6093">
        <v>0</v>
      </c>
      <c r="Z6093">
        <v>179.82</v>
      </c>
      <c r="AA6093">
        <v>40.848815</v>
      </c>
      <c r="AB6093">
        <v>-73.93311199999999</v>
      </c>
      <c r="AD6093" t="s">
        <v>10839</v>
      </c>
      <c r="AG6093" t="s">
        <v>10858</v>
      </c>
      <c r="AH6093" t="s">
        <v>10862</v>
      </c>
      <c r="AI6093">
        <v>236</v>
      </c>
      <c r="AJ6093" t="s">
        <v>10209</v>
      </c>
      <c r="AL6093">
        <v>0.8</v>
      </c>
      <c r="AQ6093" t="s">
        <v>11100</v>
      </c>
      <c r="AR6093" t="s">
        <v>11581</v>
      </c>
      <c r="AS6093" t="s">
        <v>9925</v>
      </c>
      <c r="AT6093" t="s">
        <v>11641</v>
      </c>
      <c r="AX6093" t="s">
        <v>10838</v>
      </c>
      <c r="BA6093" t="s">
        <v>11740</v>
      </c>
      <c r="BB6093">
        <v>0</v>
      </c>
      <c r="BC6093">
        <v>0</v>
      </c>
      <c r="BD6093">
        <v>0</v>
      </c>
      <c r="BE6093">
        <v>0</v>
      </c>
      <c r="BF6093">
        <v>2</v>
      </c>
      <c r="BG6093">
        <v>0</v>
      </c>
    </row>
    <row r="6094" spans="1:59">
      <c r="A6094" s="1">
        <f>HYPERLINK("https://lsnyc.legalserver.org/matter/dynamic-profile/view/1910407","19-1910407")</f>
        <v>0</v>
      </c>
      <c r="B6094" t="s">
        <v>4362</v>
      </c>
      <c r="C6094" t="s">
        <v>9599</v>
      </c>
      <c r="D6094" t="s">
        <v>9926</v>
      </c>
      <c r="E6094" t="s">
        <v>10075</v>
      </c>
      <c r="F6094">
        <v>10452</v>
      </c>
      <c r="G6094" t="s">
        <v>10090</v>
      </c>
      <c r="H6094" t="s">
        <v>10136</v>
      </c>
      <c r="I6094" t="s">
        <v>10169</v>
      </c>
      <c r="J6094" t="s">
        <v>10210</v>
      </c>
      <c r="K6094" t="s">
        <v>10217</v>
      </c>
      <c r="M6094" t="s">
        <v>10477</v>
      </c>
      <c r="N6094" t="s">
        <v>10671</v>
      </c>
      <c r="P6094" t="s">
        <v>10749</v>
      </c>
      <c r="Q6094" t="s">
        <v>10765</v>
      </c>
      <c r="R6094" t="s">
        <v>10821</v>
      </c>
      <c r="T6094">
        <v>10400</v>
      </c>
      <c r="U6094">
        <v>866.67</v>
      </c>
      <c r="V6094">
        <v>60</v>
      </c>
      <c r="W6094">
        <v>1</v>
      </c>
      <c r="X6094">
        <v>0</v>
      </c>
      <c r="Z6094">
        <v>83.27</v>
      </c>
      <c r="AA6094">
        <v>40.841615</v>
      </c>
      <c r="AB6094">
        <v>-73.914078</v>
      </c>
      <c r="AD6094" t="s">
        <v>10840</v>
      </c>
      <c r="AF6094" t="s">
        <v>10843</v>
      </c>
      <c r="AG6094" t="s">
        <v>10859</v>
      </c>
      <c r="AH6094" t="s">
        <v>10871</v>
      </c>
      <c r="AI6094">
        <v>234</v>
      </c>
      <c r="AJ6094" t="s">
        <v>10214</v>
      </c>
      <c r="AL6094">
        <v>1</v>
      </c>
      <c r="AM6094" t="s">
        <v>10884</v>
      </c>
      <c r="AN6094" t="s">
        <v>10929</v>
      </c>
      <c r="AO6094" t="s">
        <v>11013</v>
      </c>
      <c r="AP6094" t="s">
        <v>11045</v>
      </c>
      <c r="AR6094" t="s">
        <v>11257</v>
      </c>
      <c r="AS6094" t="s">
        <v>9926</v>
      </c>
      <c r="AT6094" t="s">
        <v>11642</v>
      </c>
      <c r="AX6094" t="s">
        <v>10838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</row>
    <row r="6095" spans="1:59">
      <c r="A6095" s="1">
        <f>HYPERLINK("https://lsnyc.legalserver.org/matter/dynamic-profile/view/1910408","19-1910408")</f>
        <v>0</v>
      </c>
      <c r="B6095" t="s">
        <v>4711</v>
      </c>
      <c r="C6095" t="s">
        <v>9591</v>
      </c>
      <c r="D6095" t="s">
        <v>9926</v>
      </c>
      <c r="E6095" t="s">
        <v>10075</v>
      </c>
      <c r="F6095">
        <v>10453</v>
      </c>
      <c r="G6095" t="s">
        <v>10090</v>
      </c>
      <c r="H6095" t="s">
        <v>10136</v>
      </c>
      <c r="I6095" t="s">
        <v>10168</v>
      </c>
      <c r="J6095" t="s">
        <v>10210</v>
      </c>
      <c r="K6095" t="s">
        <v>10217</v>
      </c>
      <c r="M6095" t="s">
        <v>10336</v>
      </c>
      <c r="N6095" t="s">
        <v>10671</v>
      </c>
      <c r="P6095" t="s">
        <v>10758</v>
      </c>
      <c r="Q6095" t="s">
        <v>10793</v>
      </c>
      <c r="R6095" t="s">
        <v>10822</v>
      </c>
      <c r="T6095">
        <v>31128</v>
      </c>
      <c r="U6095">
        <v>2594</v>
      </c>
      <c r="V6095">
        <v>28</v>
      </c>
      <c r="W6095">
        <v>2</v>
      </c>
      <c r="X6095">
        <v>4</v>
      </c>
      <c r="Z6095">
        <v>89.98999999999999</v>
      </c>
      <c r="AA6095">
        <v>40.857489</v>
      </c>
      <c r="AB6095">
        <v>-73.90363499999999</v>
      </c>
      <c r="AD6095" t="s">
        <v>10839</v>
      </c>
      <c r="AG6095" t="s">
        <v>10858</v>
      </c>
      <c r="AH6095" t="s">
        <v>10861</v>
      </c>
      <c r="AI6095">
        <v>234</v>
      </c>
      <c r="AJ6095" t="s">
        <v>10214</v>
      </c>
      <c r="AL6095">
        <v>0.8</v>
      </c>
      <c r="AR6095" t="s">
        <v>11281</v>
      </c>
      <c r="AS6095" t="s">
        <v>9926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</row>
    <row r="6096" spans="1:59">
      <c r="A6096" s="1">
        <f>HYPERLINK("https://lsnyc.legalserver.org/matter/dynamic-profile/view/1910409","19-1910409")</f>
        <v>0</v>
      </c>
      <c r="B6096" t="s">
        <v>4717</v>
      </c>
      <c r="C6096" t="s">
        <v>9600</v>
      </c>
      <c r="D6096" t="s">
        <v>9962</v>
      </c>
      <c r="E6096" t="s">
        <v>10075</v>
      </c>
      <c r="F6096">
        <v>11423</v>
      </c>
      <c r="G6096" t="s">
        <v>10092</v>
      </c>
      <c r="H6096" t="s">
        <v>10136</v>
      </c>
      <c r="I6096" t="s">
        <v>10168</v>
      </c>
      <c r="J6096" t="s">
        <v>10212</v>
      </c>
      <c r="K6096" t="s">
        <v>10217</v>
      </c>
      <c r="M6096" t="s">
        <v>10320</v>
      </c>
      <c r="N6096" t="s">
        <v>10648</v>
      </c>
      <c r="P6096" t="s">
        <v>10753</v>
      </c>
      <c r="Q6096" t="s">
        <v>10763</v>
      </c>
      <c r="R6096" t="s">
        <v>10824</v>
      </c>
      <c r="T6096">
        <v>0</v>
      </c>
      <c r="U6096">
        <v>0</v>
      </c>
      <c r="V6096">
        <v>31</v>
      </c>
      <c r="W6096">
        <v>1</v>
      </c>
      <c r="X6096">
        <v>2</v>
      </c>
      <c r="Z6096">
        <v>0</v>
      </c>
      <c r="AA6096">
        <v>40.714621</v>
      </c>
      <c r="AB6096">
        <v>-73.76164199999999</v>
      </c>
      <c r="AD6096" t="s">
        <v>10839</v>
      </c>
      <c r="AF6096" t="s">
        <v>10842</v>
      </c>
      <c r="AG6096" t="s">
        <v>10859</v>
      </c>
      <c r="AH6096" t="s">
        <v>10864</v>
      </c>
      <c r="AI6096">
        <v>237</v>
      </c>
      <c r="AJ6096" t="s">
        <v>10212</v>
      </c>
      <c r="AK6096" t="s">
        <v>10837</v>
      </c>
      <c r="AL6096">
        <v>1.4</v>
      </c>
      <c r="AM6096" t="s">
        <v>10892</v>
      </c>
      <c r="AN6096" t="s">
        <v>10955</v>
      </c>
      <c r="AO6096" t="s">
        <v>11020</v>
      </c>
      <c r="AP6096" t="s">
        <v>11078</v>
      </c>
      <c r="AR6096" t="s">
        <v>11267</v>
      </c>
      <c r="AS6096" t="s">
        <v>11594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</row>
    <row r="6097" spans="1:59">
      <c r="A6097" s="1">
        <f>HYPERLINK("https://lsnyc.legalserver.org/matter/dynamic-profile/view/1910410","19-1910410")</f>
        <v>0</v>
      </c>
      <c r="B6097" t="s">
        <v>4718</v>
      </c>
      <c r="C6097" t="s">
        <v>9601</v>
      </c>
      <c r="D6097" t="s">
        <v>9925</v>
      </c>
      <c r="E6097" t="s">
        <v>10075</v>
      </c>
      <c r="F6097">
        <v>10028</v>
      </c>
      <c r="G6097" t="s">
        <v>10089</v>
      </c>
      <c r="H6097" t="s">
        <v>10136</v>
      </c>
      <c r="I6097" t="s">
        <v>10168</v>
      </c>
      <c r="J6097" t="s">
        <v>10209</v>
      </c>
      <c r="K6097" t="s">
        <v>10217</v>
      </c>
      <c r="M6097" t="s">
        <v>10589</v>
      </c>
      <c r="N6097" t="s">
        <v>10650</v>
      </c>
      <c r="P6097" t="s">
        <v>10751</v>
      </c>
      <c r="Q6097" t="s">
        <v>10776</v>
      </c>
      <c r="R6097" t="s">
        <v>10820</v>
      </c>
      <c r="T6097">
        <v>18564</v>
      </c>
      <c r="U6097">
        <v>1547</v>
      </c>
      <c r="V6097">
        <v>76</v>
      </c>
      <c r="W6097">
        <v>2</v>
      </c>
      <c r="X6097">
        <v>0</v>
      </c>
      <c r="Z6097">
        <v>109.78</v>
      </c>
      <c r="AA6097">
        <v>40.777694</v>
      </c>
      <c r="AB6097">
        <v>-73.955889</v>
      </c>
      <c r="AD6097" t="s">
        <v>10839</v>
      </c>
      <c r="AG6097" t="s">
        <v>10858</v>
      </c>
      <c r="AH6097" t="s">
        <v>10874</v>
      </c>
      <c r="AI6097">
        <v>236</v>
      </c>
      <c r="AJ6097" t="s">
        <v>10209</v>
      </c>
      <c r="AL6097">
        <v>0</v>
      </c>
      <c r="AM6097" t="s">
        <v>10891</v>
      </c>
      <c r="AN6097" t="s">
        <v>10970</v>
      </c>
      <c r="AO6097" t="s">
        <v>11026</v>
      </c>
      <c r="AP6097" t="s">
        <v>11094</v>
      </c>
      <c r="AQ6097" t="s">
        <v>11105</v>
      </c>
      <c r="AR6097" t="s">
        <v>11268</v>
      </c>
      <c r="AS6097" t="s">
        <v>9925</v>
      </c>
      <c r="AT6097" t="s">
        <v>11641</v>
      </c>
      <c r="AX6097" t="s">
        <v>10838</v>
      </c>
      <c r="BA6097" t="s">
        <v>11737</v>
      </c>
      <c r="BB6097">
        <v>0</v>
      </c>
      <c r="BC6097">
        <v>0</v>
      </c>
      <c r="BD6097">
        <v>0</v>
      </c>
      <c r="BE6097">
        <v>0</v>
      </c>
      <c r="BF6097">
        <v>3</v>
      </c>
      <c r="BG6097">
        <v>0</v>
      </c>
    </row>
    <row r="6098" spans="1:59">
      <c r="A6098" s="1">
        <f>HYPERLINK("https://lsnyc.legalserver.org/matter/dynamic-profile/view/1910411","19-1910411")</f>
        <v>0</v>
      </c>
      <c r="B6098" t="s">
        <v>4719</v>
      </c>
      <c r="C6098" t="s">
        <v>5080</v>
      </c>
      <c r="D6098" t="s">
        <v>9926</v>
      </c>
      <c r="E6098" t="s">
        <v>10075</v>
      </c>
      <c r="F6098">
        <v>10453</v>
      </c>
      <c r="G6098" t="s">
        <v>10090</v>
      </c>
      <c r="H6098" t="s">
        <v>10136</v>
      </c>
      <c r="I6098" t="s">
        <v>10169</v>
      </c>
      <c r="J6098" t="s">
        <v>10210</v>
      </c>
      <c r="K6098" t="s">
        <v>10217</v>
      </c>
      <c r="M6098" t="s">
        <v>10380</v>
      </c>
      <c r="N6098" t="s">
        <v>10671</v>
      </c>
      <c r="P6098" t="s">
        <v>10753</v>
      </c>
      <c r="Q6098" t="s">
        <v>10763</v>
      </c>
      <c r="R6098" t="s">
        <v>10821</v>
      </c>
      <c r="T6098">
        <v>40248</v>
      </c>
      <c r="U6098">
        <v>3354</v>
      </c>
      <c r="V6098">
        <v>28</v>
      </c>
      <c r="W6098">
        <v>2</v>
      </c>
      <c r="X6098">
        <v>1</v>
      </c>
      <c r="Z6098">
        <v>188.69</v>
      </c>
      <c r="AA6098">
        <v>40.848105</v>
      </c>
      <c r="AB6098">
        <v>-73.92245699999999</v>
      </c>
      <c r="AD6098" t="s">
        <v>10839</v>
      </c>
      <c r="AF6098" t="s">
        <v>10843</v>
      </c>
      <c r="AG6098" t="s">
        <v>10859</v>
      </c>
      <c r="AH6098" t="s">
        <v>10861</v>
      </c>
      <c r="AI6098">
        <v>234</v>
      </c>
      <c r="AJ6098" t="s">
        <v>10214</v>
      </c>
      <c r="AL6098">
        <v>0.5</v>
      </c>
      <c r="AM6098" t="s">
        <v>10887</v>
      </c>
      <c r="AN6098" t="s">
        <v>10929</v>
      </c>
      <c r="AO6098" t="s">
        <v>11013</v>
      </c>
      <c r="AP6098" t="s">
        <v>11055</v>
      </c>
      <c r="AQ6098" t="s">
        <v>11097</v>
      </c>
      <c r="AR6098" t="s">
        <v>11257</v>
      </c>
      <c r="AS6098" t="s">
        <v>9926</v>
      </c>
      <c r="AT6098" t="s">
        <v>11641</v>
      </c>
      <c r="AX6098" t="s">
        <v>10838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</row>
    <row r="6099" spans="1:59">
      <c r="A6099" s="1">
        <f>HYPERLINK("https://lsnyc.legalserver.org/matter/dynamic-profile/view/1910412","19-1910412")</f>
        <v>0</v>
      </c>
      <c r="B6099" t="s">
        <v>4720</v>
      </c>
      <c r="C6099" t="s">
        <v>9602</v>
      </c>
      <c r="D6099" t="s">
        <v>9926</v>
      </c>
      <c r="E6099" t="s">
        <v>10075</v>
      </c>
      <c r="F6099">
        <v>10467</v>
      </c>
      <c r="G6099" t="s">
        <v>10090</v>
      </c>
      <c r="H6099" t="s">
        <v>10136</v>
      </c>
      <c r="I6099" t="s">
        <v>10171</v>
      </c>
      <c r="J6099" t="s">
        <v>10210</v>
      </c>
      <c r="K6099" t="s">
        <v>10217</v>
      </c>
      <c r="M6099" t="s">
        <v>10406</v>
      </c>
      <c r="N6099" t="s">
        <v>10671</v>
      </c>
      <c r="P6099" t="s">
        <v>10757</v>
      </c>
      <c r="Q6099" t="s">
        <v>10789</v>
      </c>
      <c r="R6099" t="s">
        <v>10820</v>
      </c>
      <c r="T6099">
        <v>10296</v>
      </c>
      <c r="U6099">
        <v>858</v>
      </c>
      <c r="V6099">
        <v>85</v>
      </c>
      <c r="W6099">
        <v>1</v>
      </c>
      <c r="X6099">
        <v>0</v>
      </c>
      <c r="Z6099">
        <v>82.43000000000001</v>
      </c>
      <c r="AA6099">
        <v>40.85982</v>
      </c>
      <c r="AB6099">
        <v>-73.869243</v>
      </c>
      <c r="AD6099" t="s">
        <v>10839</v>
      </c>
      <c r="AG6099" t="s">
        <v>10858</v>
      </c>
      <c r="AH6099" t="s">
        <v>10861</v>
      </c>
      <c r="AI6099">
        <v>234</v>
      </c>
      <c r="AJ6099" t="s">
        <v>10214</v>
      </c>
      <c r="AL6099">
        <v>1.4</v>
      </c>
      <c r="AM6099" t="s">
        <v>10885</v>
      </c>
      <c r="AN6099" t="s">
        <v>10907</v>
      </c>
      <c r="AO6099" t="s">
        <v>11002</v>
      </c>
      <c r="AP6099" t="s">
        <v>11056</v>
      </c>
      <c r="AR6099" t="s">
        <v>11253</v>
      </c>
      <c r="AS6099" t="s">
        <v>9926</v>
      </c>
      <c r="AT6099" t="s">
        <v>11641</v>
      </c>
      <c r="AX6099" t="s">
        <v>10838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</row>
    <row r="6100" spans="1:59">
      <c r="A6100" s="1">
        <f>HYPERLINK("https://lsnyc.legalserver.org/matter/dynamic-profile/view/1910413","19-1910413")</f>
        <v>0</v>
      </c>
      <c r="B6100" t="s">
        <v>4721</v>
      </c>
      <c r="C6100" t="s">
        <v>9603</v>
      </c>
      <c r="D6100" t="s">
        <v>9928</v>
      </c>
      <c r="E6100" t="s">
        <v>10075</v>
      </c>
      <c r="F6100">
        <v>11212</v>
      </c>
      <c r="G6100" t="s">
        <v>10093</v>
      </c>
      <c r="H6100" t="s">
        <v>10136</v>
      </c>
      <c r="I6100" t="s">
        <v>10168</v>
      </c>
      <c r="J6100" t="s">
        <v>10213</v>
      </c>
      <c r="K6100" t="s">
        <v>10217</v>
      </c>
      <c r="M6100" t="s">
        <v>10587</v>
      </c>
      <c r="N6100" t="s">
        <v>10671</v>
      </c>
      <c r="P6100" t="s">
        <v>10755</v>
      </c>
      <c r="Q6100" t="s">
        <v>10772</v>
      </c>
      <c r="R6100" t="s">
        <v>10821</v>
      </c>
      <c r="T6100">
        <v>9216</v>
      </c>
      <c r="U6100">
        <v>768</v>
      </c>
      <c r="V6100">
        <v>8</v>
      </c>
      <c r="W6100">
        <v>1</v>
      </c>
      <c r="X6100">
        <v>1</v>
      </c>
      <c r="Z6100">
        <v>54.5</v>
      </c>
      <c r="AA6100">
        <v>40.661549</v>
      </c>
      <c r="AB6100">
        <v>-73.90659599999999</v>
      </c>
      <c r="AD6100" t="s">
        <v>10840</v>
      </c>
      <c r="AG6100" t="s">
        <v>10858</v>
      </c>
      <c r="AH6100" t="s">
        <v>10861</v>
      </c>
      <c r="AI6100">
        <v>234</v>
      </c>
      <c r="AJ6100" t="s">
        <v>10214</v>
      </c>
      <c r="AL6100">
        <v>4.4</v>
      </c>
      <c r="AM6100" t="s">
        <v>10888</v>
      </c>
      <c r="AN6100" t="s">
        <v>10922</v>
      </c>
      <c r="AO6100" t="s">
        <v>11012</v>
      </c>
      <c r="AP6100" t="s">
        <v>11060</v>
      </c>
      <c r="AR6100" t="s">
        <v>11268</v>
      </c>
      <c r="AS6100" t="s">
        <v>11595</v>
      </c>
      <c r="AT6100" t="s">
        <v>11642</v>
      </c>
      <c r="AX6100" t="s">
        <v>10837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</row>
    <row r="6101" spans="1:59">
      <c r="A6101" s="1">
        <f>HYPERLINK("https://lsnyc.legalserver.org/matter/dynamic-profile/view/1910414","19-1910414")</f>
        <v>0</v>
      </c>
      <c r="B6101" t="s">
        <v>4722</v>
      </c>
      <c r="C6101" t="s">
        <v>9604</v>
      </c>
      <c r="D6101" t="s">
        <v>9962</v>
      </c>
      <c r="E6101" t="s">
        <v>10075</v>
      </c>
      <c r="F6101">
        <v>11423</v>
      </c>
      <c r="G6101" t="s">
        <v>10092</v>
      </c>
      <c r="H6101" t="s">
        <v>10136</v>
      </c>
      <c r="I6101" t="s">
        <v>10168</v>
      </c>
      <c r="J6101" t="s">
        <v>10212</v>
      </c>
      <c r="K6101" t="s">
        <v>10217</v>
      </c>
      <c r="M6101" t="s">
        <v>10491</v>
      </c>
      <c r="N6101" t="s">
        <v>10695</v>
      </c>
      <c r="P6101" t="s">
        <v>10749</v>
      </c>
      <c r="Q6101" t="s">
        <v>10765</v>
      </c>
      <c r="R6101" t="s">
        <v>10825</v>
      </c>
      <c r="T6101">
        <v>11448</v>
      </c>
      <c r="U6101">
        <v>954</v>
      </c>
      <c r="V6101">
        <v>51</v>
      </c>
      <c r="W6101">
        <v>2</v>
      </c>
      <c r="X6101">
        <v>0</v>
      </c>
      <c r="Z6101">
        <v>67.7</v>
      </c>
      <c r="AA6101">
        <v>40.711791</v>
      </c>
      <c r="AB6101">
        <v>-73.77363</v>
      </c>
      <c r="AD6101" t="s">
        <v>10839</v>
      </c>
      <c r="AG6101" t="s">
        <v>10858</v>
      </c>
      <c r="AH6101" t="s">
        <v>10862</v>
      </c>
      <c r="AI6101">
        <v>237</v>
      </c>
      <c r="AJ6101" t="s">
        <v>10212</v>
      </c>
      <c r="AL6101">
        <v>2.15</v>
      </c>
      <c r="AM6101" t="s">
        <v>10892</v>
      </c>
      <c r="AN6101" t="s">
        <v>10955</v>
      </c>
      <c r="AO6101" t="s">
        <v>11020</v>
      </c>
      <c r="AP6101" t="s">
        <v>11075</v>
      </c>
      <c r="AR6101" t="s">
        <v>11527</v>
      </c>
      <c r="AS6101" t="s">
        <v>11594</v>
      </c>
      <c r="BA6101" t="s">
        <v>11742</v>
      </c>
      <c r="BB6101">
        <v>0</v>
      </c>
      <c r="BC6101">
        <v>0</v>
      </c>
      <c r="BD6101">
        <v>0</v>
      </c>
      <c r="BE6101">
        <v>0</v>
      </c>
      <c r="BF6101">
        <v>7</v>
      </c>
      <c r="BG6101">
        <v>0</v>
      </c>
    </row>
    <row r="6102" spans="1:59">
      <c r="A6102" s="1">
        <f>HYPERLINK("https://lsnyc.legalserver.org/matter/dynamic-profile/view/1910415","19-1910415")</f>
        <v>0</v>
      </c>
      <c r="B6102" t="s">
        <v>4723</v>
      </c>
      <c r="C6102" t="s">
        <v>9339</v>
      </c>
      <c r="D6102" t="s">
        <v>9926</v>
      </c>
      <c r="E6102" t="s">
        <v>10075</v>
      </c>
      <c r="F6102">
        <v>10457</v>
      </c>
      <c r="G6102" t="s">
        <v>10090</v>
      </c>
      <c r="H6102" t="s">
        <v>10136</v>
      </c>
      <c r="I6102" t="s">
        <v>10168</v>
      </c>
      <c r="J6102" t="s">
        <v>10210</v>
      </c>
      <c r="K6102" t="s">
        <v>10217</v>
      </c>
      <c r="M6102" t="s">
        <v>10349</v>
      </c>
      <c r="N6102" t="s">
        <v>10651</v>
      </c>
      <c r="P6102" t="s">
        <v>10749</v>
      </c>
      <c r="Q6102" t="s">
        <v>10765</v>
      </c>
      <c r="R6102" t="s">
        <v>10824</v>
      </c>
      <c r="T6102">
        <v>10164</v>
      </c>
      <c r="U6102">
        <v>847</v>
      </c>
      <c r="V6102">
        <v>65</v>
      </c>
      <c r="W6102">
        <v>1</v>
      </c>
      <c r="X6102">
        <v>0</v>
      </c>
      <c r="Z6102">
        <v>81.38</v>
      </c>
      <c r="AA6102">
        <v>40.845219</v>
      </c>
      <c r="AB6102">
        <v>-73.904521</v>
      </c>
      <c r="AD6102" t="s">
        <v>10839</v>
      </c>
      <c r="AG6102" t="s">
        <v>10858</v>
      </c>
      <c r="AH6102" t="s">
        <v>10861</v>
      </c>
      <c r="AI6102">
        <v>230</v>
      </c>
      <c r="AJ6102" t="s">
        <v>10210</v>
      </c>
      <c r="AL6102">
        <v>1.5</v>
      </c>
      <c r="AM6102" t="s">
        <v>10884</v>
      </c>
      <c r="AN6102" t="s">
        <v>10931</v>
      </c>
      <c r="AO6102" t="s">
        <v>11000</v>
      </c>
      <c r="AP6102" t="s">
        <v>11056</v>
      </c>
      <c r="AR6102" t="s">
        <v>11274</v>
      </c>
      <c r="AS6102" t="s">
        <v>9926</v>
      </c>
      <c r="AT6102" t="s">
        <v>11641</v>
      </c>
      <c r="AX6102" t="s">
        <v>10838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</row>
    <row r="6103" spans="1:59">
      <c r="A6103" s="1">
        <f>HYPERLINK("https://lsnyc.legalserver.org/matter/dynamic-profile/view/1910416","19-1910416")</f>
        <v>0</v>
      </c>
      <c r="B6103" t="s">
        <v>4724</v>
      </c>
      <c r="C6103" t="s">
        <v>6557</v>
      </c>
      <c r="D6103" t="s">
        <v>9925</v>
      </c>
      <c r="E6103" t="s">
        <v>10075</v>
      </c>
      <c r="F6103">
        <v>10001</v>
      </c>
      <c r="G6103" t="s">
        <v>10089</v>
      </c>
      <c r="H6103" t="s">
        <v>10136</v>
      </c>
      <c r="I6103" t="s">
        <v>10168</v>
      </c>
      <c r="J6103" t="s">
        <v>10209</v>
      </c>
      <c r="K6103" t="s">
        <v>10218</v>
      </c>
      <c r="L6103" t="s">
        <v>10221</v>
      </c>
      <c r="M6103" t="s">
        <v>10301</v>
      </c>
      <c r="N6103" t="s">
        <v>10665</v>
      </c>
      <c r="P6103" t="s">
        <v>10751</v>
      </c>
      <c r="Q6103" t="s">
        <v>10773</v>
      </c>
      <c r="R6103" t="s">
        <v>10820</v>
      </c>
      <c r="T6103">
        <v>32000</v>
      </c>
      <c r="U6103">
        <v>2666.67</v>
      </c>
      <c r="V6103">
        <v>71</v>
      </c>
      <c r="W6103">
        <v>2</v>
      </c>
      <c r="X6103">
        <v>0</v>
      </c>
      <c r="Y6103" t="s">
        <v>10829</v>
      </c>
      <c r="Z6103">
        <v>189.24</v>
      </c>
      <c r="AA6103">
        <v>40.751589</v>
      </c>
      <c r="AB6103">
        <v>-74.00328500000001</v>
      </c>
      <c r="AC6103" t="s">
        <v>10837</v>
      </c>
      <c r="AD6103" t="s">
        <v>10840</v>
      </c>
      <c r="AG6103" t="s">
        <v>10858</v>
      </c>
      <c r="AH6103" t="s">
        <v>10861</v>
      </c>
      <c r="AI6103">
        <v>234</v>
      </c>
      <c r="AJ6103" t="s">
        <v>10214</v>
      </c>
      <c r="AK6103" t="s">
        <v>10838</v>
      </c>
      <c r="AL6103">
        <v>5</v>
      </c>
      <c r="AM6103" t="s">
        <v>10894</v>
      </c>
      <c r="AN6103" t="s">
        <v>10966</v>
      </c>
      <c r="AO6103" t="s">
        <v>11021</v>
      </c>
      <c r="AP6103" t="s">
        <v>11090</v>
      </c>
      <c r="AQ6103" t="s">
        <v>11115</v>
      </c>
      <c r="AR6103" t="s">
        <v>11300</v>
      </c>
      <c r="AS6103" t="s">
        <v>9925</v>
      </c>
      <c r="AT6103" t="s">
        <v>11642</v>
      </c>
      <c r="AX6103" t="s">
        <v>10838</v>
      </c>
      <c r="AY6103" t="s">
        <v>10829</v>
      </c>
      <c r="AZ6103" t="s">
        <v>11682</v>
      </c>
      <c r="BA6103" t="s">
        <v>11741</v>
      </c>
      <c r="BB6103">
        <v>0</v>
      </c>
      <c r="BC6103">
        <v>0</v>
      </c>
      <c r="BD6103">
        <v>0</v>
      </c>
      <c r="BE6103">
        <v>0</v>
      </c>
      <c r="BF6103">
        <v>1</v>
      </c>
      <c r="BG6103">
        <v>0</v>
      </c>
    </row>
    <row r="6104" spans="1:59">
      <c r="A6104" s="1">
        <f>HYPERLINK("https://lsnyc.legalserver.org/matter/dynamic-profile/view/1910417","19-1910417")</f>
        <v>0</v>
      </c>
      <c r="B6104" t="s">
        <v>319</v>
      </c>
      <c r="C6104" t="s">
        <v>9605</v>
      </c>
      <c r="D6104" t="s">
        <v>9935</v>
      </c>
      <c r="E6104" t="s">
        <v>10075</v>
      </c>
      <c r="F6104">
        <v>11369</v>
      </c>
      <c r="G6104" t="s">
        <v>10091</v>
      </c>
      <c r="H6104" t="s">
        <v>10136</v>
      </c>
      <c r="I6104" t="s">
        <v>10169</v>
      </c>
      <c r="J6104" t="s">
        <v>10211</v>
      </c>
      <c r="K6104" t="s">
        <v>10217</v>
      </c>
      <c r="M6104" t="s">
        <v>10307</v>
      </c>
      <c r="N6104" t="s">
        <v>10671</v>
      </c>
      <c r="P6104" t="s">
        <v>10752</v>
      </c>
      <c r="Q6104" t="s">
        <v>10762</v>
      </c>
      <c r="R6104" t="s">
        <v>10821</v>
      </c>
      <c r="T6104">
        <v>15600</v>
      </c>
      <c r="U6104">
        <v>1300</v>
      </c>
      <c r="V6104">
        <v>54</v>
      </c>
      <c r="W6104">
        <v>1</v>
      </c>
      <c r="X6104">
        <v>0</v>
      </c>
      <c r="Z6104">
        <v>124.9</v>
      </c>
      <c r="AA6104">
        <v>40.759128</v>
      </c>
      <c r="AB6104">
        <v>-73.86333</v>
      </c>
      <c r="AD6104" t="s">
        <v>10839</v>
      </c>
      <c r="AG6104" t="s">
        <v>10858</v>
      </c>
      <c r="AH6104" t="s">
        <v>10871</v>
      </c>
      <c r="AI6104">
        <v>234</v>
      </c>
      <c r="AJ6104" t="s">
        <v>10214</v>
      </c>
      <c r="AL6104">
        <v>1.35</v>
      </c>
      <c r="AM6104" t="s">
        <v>10885</v>
      </c>
      <c r="AN6104" t="s">
        <v>10916</v>
      </c>
      <c r="AO6104" t="s">
        <v>11014</v>
      </c>
      <c r="AP6104" t="s">
        <v>11068</v>
      </c>
      <c r="AR6104" t="s">
        <v>11257</v>
      </c>
      <c r="AS6104" t="s">
        <v>11594</v>
      </c>
      <c r="AT6104" t="s">
        <v>11641</v>
      </c>
      <c r="AX6104" t="s">
        <v>10838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</row>
    <row r="6105" spans="1:59">
      <c r="A6105" s="1">
        <f>HYPERLINK("https://lsnyc.legalserver.org/matter/dynamic-profile/view/1910418","19-1910418")</f>
        <v>0</v>
      </c>
      <c r="B6105" t="s">
        <v>4725</v>
      </c>
      <c r="C6105" t="s">
        <v>6143</v>
      </c>
      <c r="D6105" t="s">
        <v>9926</v>
      </c>
      <c r="E6105" t="s">
        <v>10075</v>
      </c>
      <c r="F6105">
        <v>10467</v>
      </c>
      <c r="G6105" t="s">
        <v>10090</v>
      </c>
      <c r="H6105" t="s">
        <v>10159</v>
      </c>
      <c r="I6105" t="s">
        <v>10169</v>
      </c>
      <c r="J6105" t="s">
        <v>10210</v>
      </c>
      <c r="K6105" t="s">
        <v>10217</v>
      </c>
      <c r="M6105" t="s">
        <v>10546</v>
      </c>
      <c r="N6105" t="s">
        <v>10651</v>
      </c>
      <c r="P6105" t="s">
        <v>10749</v>
      </c>
      <c r="Q6105" t="s">
        <v>10765</v>
      </c>
      <c r="R6105" t="s">
        <v>10821</v>
      </c>
      <c r="T6105">
        <v>21177</v>
      </c>
      <c r="U6105">
        <v>1764.75</v>
      </c>
      <c r="V6105">
        <v>46</v>
      </c>
      <c r="W6105">
        <v>2</v>
      </c>
      <c r="X6105">
        <v>1</v>
      </c>
      <c r="Z6105">
        <v>99.28</v>
      </c>
      <c r="AA6105">
        <v>40.870498</v>
      </c>
      <c r="AB6105">
        <v>-73.876593</v>
      </c>
      <c r="AD6105" t="s">
        <v>10839</v>
      </c>
      <c r="AF6105" t="s">
        <v>10843</v>
      </c>
      <c r="AG6105" t="s">
        <v>10859</v>
      </c>
      <c r="AH6105" t="s">
        <v>10862</v>
      </c>
      <c r="AI6105">
        <v>230</v>
      </c>
      <c r="AJ6105" t="s">
        <v>10210</v>
      </c>
      <c r="AL6105">
        <v>1.75</v>
      </c>
      <c r="AM6105" t="s">
        <v>10887</v>
      </c>
      <c r="AN6105" t="s">
        <v>10938</v>
      </c>
      <c r="AO6105" t="s">
        <v>11010</v>
      </c>
      <c r="AP6105" t="s">
        <v>11057</v>
      </c>
      <c r="AR6105" t="s">
        <v>11280</v>
      </c>
      <c r="AS6105" t="s">
        <v>9926</v>
      </c>
      <c r="AT6105" t="s">
        <v>11641</v>
      </c>
      <c r="AX6105" t="s">
        <v>10838</v>
      </c>
      <c r="BA6105" t="s">
        <v>11738</v>
      </c>
      <c r="BB6105">
        <v>0</v>
      </c>
      <c r="BC6105">
        <v>0</v>
      </c>
      <c r="BD6105">
        <v>0</v>
      </c>
      <c r="BE6105">
        <v>0</v>
      </c>
      <c r="BF6105">
        <v>5</v>
      </c>
      <c r="BG6105">
        <v>0</v>
      </c>
    </row>
    <row r="6106" spans="1:59">
      <c r="A6106" s="1">
        <f>HYPERLINK("https://lsnyc.legalserver.org/matter/dynamic-profile/view/1910419","19-1910419")</f>
        <v>0</v>
      </c>
      <c r="B6106" t="s">
        <v>4726</v>
      </c>
      <c r="C6106" t="s">
        <v>9606</v>
      </c>
      <c r="D6106" t="s">
        <v>9938</v>
      </c>
      <c r="E6106" t="s">
        <v>10075</v>
      </c>
      <c r="F6106">
        <v>11435</v>
      </c>
      <c r="G6106" t="s">
        <v>10092</v>
      </c>
      <c r="H6106" t="s">
        <v>10136</v>
      </c>
      <c r="I6106" t="s">
        <v>10168</v>
      </c>
      <c r="J6106" t="s">
        <v>10212</v>
      </c>
      <c r="K6106" t="s">
        <v>10217</v>
      </c>
      <c r="M6106" t="s">
        <v>10347</v>
      </c>
      <c r="N6106" t="s">
        <v>10695</v>
      </c>
      <c r="P6106" t="s">
        <v>10749</v>
      </c>
      <c r="Q6106" t="s">
        <v>10765</v>
      </c>
      <c r="R6106" t="s">
        <v>10820</v>
      </c>
      <c r="T6106">
        <v>0</v>
      </c>
      <c r="U6106">
        <v>0</v>
      </c>
      <c r="V6106">
        <v>45</v>
      </c>
      <c r="W6106">
        <v>1</v>
      </c>
      <c r="X6106">
        <v>0</v>
      </c>
      <c r="Z6106">
        <v>0</v>
      </c>
      <c r="AA6106">
        <v>40.693774</v>
      </c>
      <c r="AB6106">
        <v>-73.80210700000001</v>
      </c>
      <c r="AD6106" t="s">
        <v>10840</v>
      </c>
      <c r="AG6106" t="s">
        <v>10858</v>
      </c>
      <c r="AH6106" t="s">
        <v>10862</v>
      </c>
      <c r="AI6106">
        <v>237</v>
      </c>
      <c r="AJ6106" t="s">
        <v>10212</v>
      </c>
      <c r="AL6106">
        <v>1</v>
      </c>
      <c r="AM6106" t="s">
        <v>10892</v>
      </c>
      <c r="AN6106" t="s">
        <v>10951</v>
      </c>
      <c r="AO6106" t="s">
        <v>11020</v>
      </c>
      <c r="AP6106" t="s">
        <v>11070</v>
      </c>
      <c r="AR6106" t="s">
        <v>11267</v>
      </c>
      <c r="AS6106" t="s">
        <v>11594</v>
      </c>
      <c r="BA6106" t="s">
        <v>11742</v>
      </c>
      <c r="BB6106">
        <v>0</v>
      </c>
      <c r="BC6106">
        <v>0</v>
      </c>
      <c r="BD6106">
        <v>0</v>
      </c>
      <c r="BE6106">
        <v>0</v>
      </c>
      <c r="BF6106">
        <v>7</v>
      </c>
      <c r="BG6106">
        <v>0</v>
      </c>
    </row>
    <row r="6107" spans="1:59">
      <c r="A6107" s="1">
        <f>HYPERLINK("https://lsnyc.legalserver.org/matter/dynamic-profile/view/1910420","19-1910420")</f>
        <v>0</v>
      </c>
      <c r="B6107" t="s">
        <v>4727</v>
      </c>
      <c r="C6107" t="s">
        <v>9607</v>
      </c>
      <c r="D6107" t="s">
        <v>9928</v>
      </c>
      <c r="E6107" t="s">
        <v>10075</v>
      </c>
      <c r="F6107">
        <v>11233</v>
      </c>
      <c r="G6107" t="s">
        <v>10093</v>
      </c>
      <c r="H6107" t="s">
        <v>10136</v>
      </c>
      <c r="I6107" t="s">
        <v>10168</v>
      </c>
      <c r="J6107" t="s">
        <v>10213</v>
      </c>
      <c r="K6107" t="s">
        <v>10217</v>
      </c>
      <c r="M6107" t="s">
        <v>10435</v>
      </c>
      <c r="N6107" t="s">
        <v>10671</v>
      </c>
      <c r="P6107" t="s">
        <v>10750</v>
      </c>
      <c r="Q6107" t="s">
        <v>10799</v>
      </c>
      <c r="R6107" t="s">
        <v>10824</v>
      </c>
      <c r="T6107">
        <v>200</v>
      </c>
      <c r="U6107">
        <v>16.67</v>
      </c>
      <c r="V6107">
        <v>31</v>
      </c>
      <c r="W6107">
        <v>1</v>
      </c>
      <c r="X6107">
        <v>2</v>
      </c>
      <c r="Z6107">
        <v>0.9399999999999999</v>
      </c>
      <c r="AA6107">
        <v>40.679662</v>
      </c>
      <c r="AB6107">
        <v>-73.91412800000001</v>
      </c>
      <c r="AD6107" t="s">
        <v>10840</v>
      </c>
      <c r="AG6107" t="s">
        <v>10858</v>
      </c>
      <c r="AH6107" t="s">
        <v>10861</v>
      </c>
      <c r="AI6107">
        <v>234</v>
      </c>
      <c r="AJ6107" t="s">
        <v>10214</v>
      </c>
      <c r="AL6107">
        <v>1.5</v>
      </c>
      <c r="AM6107" t="s">
        <v>10889</v>
      </c>
      <c r="AN6107" t="s">
        <v>10922</v>
      </c>
      <c r="AO6107" t="s">
        <v>11007</v>
      </c>
      <c r="AP6107" t="s">
        <v>11064</v>
      </c>
      <c r="AR6107" t="s">
        <v>11257</v>
      </c>
      <c r="AS6107" t="s">
        <v>11595</v>
      </c>
      <c r="AT6107" t="s">
        <v>11642</v>
      </c>
      <c r="AX6107" t="s">
        <v>10838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</row>
    <row r="6108" spans="1:59">
      <c r="A6108" s="1">
        <f>HYPERLINK("https://lsnyc.legalserver.org/matter/dynamic-profile/view/1910421","19-1910421")</f>
        <v>0</v>
      </c>
      <c r="B6108" t="s">
        <v>226</v>
      </c>
      <c r="C6108" t="s">
        <v>9608</v>
      </c>
      <c r="D6108" t="s">
        <v>9928</v>
      </c>
      <c r="E6108" t="s">
        <v>10075</v>
      </c>
      <c r="F6108">
        <v>11225</v>
      </c>
      <c r="G6108" t="s">
        <v>10093</v>
      </c>
      <c r="H6108" t="s">
        <v>10136</v>
      </c>
      <c r="I6108" t="s">
        <v>10168</v>
      </c>
      <c r="J6108" t="s">
        <v>10213</v>
      </c>
      <c r="K6108" t="s">
        <v>10217</v>
      </c>
      <c r="M6108" t="s">
        <v>10236</v>
      </c>
      <c r="N6108" t="s">
        <v>10650</v>
      </c>
      <c r="P6108" t="s">
        <v>10749</v>
      </c>
      <c r="Q6108" t="s">
        <v>10765</v>
      </c>
      <c r="R6108" t="s">
        <v>10820</v>
      </c>
      <c r="T6108">
        <v>111000</v>
      </c>
      <c r="U6108">
        <v>9250</v>
      </c>
      <c r="V6108">
        <v>37</v>
      </c>
      <c r="W6108">
        <v>2</v>
      </c>
      <c r="X6108">
        <v>0</v>
      </c>
      <c r="Z6108">
        <v>656.42</v>
      </c>
      <c r="AA6108">
        <v>40.658486</v>
      </c>
      <c r="AB6108">
        <v>-73.960206</v>
      </c>
      <c r="AD6108" t="s">
        <v>10840</v>
      </c>
      <c r="AG6108" t="s">
        <v>10858</v>
      </c>
      <c r="AH6108" t="s">
        <v>10862</v>
      </c>
      <c r="AI6108">
        <v>239</v>
      </c>
      <c r="AJ6108" t="s">
        <v>10213</v>
      </c>
      <c r="AL6108">
        <v>0</v>
      </c>
      <c r="AM6108" t="s">
        <v>10888</v>
      </c>
      <c r="AN6108" t="s">
        <v>10912</v>
      </c>
      <c r="AO6108" t="s">
        <v>11005</v>
      </c>
      <c r="AP6108" t="s">
        <v>11050</v>
      </c>
      <c r="AR6108" t="s">
        <v>11257</v>
      </c>
      <c r="AS6108" t="s">
        <v>11595</v>
      </c>
      <c r="BA6108" t="s">
        <v>11739</v>
      </c>
      <c r="BB6108">
        <v>0</v>
      </c>
      <c r="BC6108">
        <v>0</v>
      </c>
      <c r="BD6108">
        <v>0</v>
      </c>
      <c r="BE6108">
        <v>0</v>
      </c>
      <c r="BF6108">
        <v>4</v>
      </c>
      <c r="BG6108">
        <v>0</v>
      </c>
    </row>
    <row r="6109" spans="1:59">
      <c r="A6109" s="1">
        <f>HYPERLINK("https://lsnyc.legalserver.org/matter/dynamic-profile/view/1910422","19-1910422")</f>
        <v>0</v>
      </c>
      <c r="B6109" t="s">
        <v>4725</v>
      </c>
      <c r="C6109" t="s">
        <v>6143</v>
      </c>
      <c r="D6109" t="s">
        <v>9926</v>
      </c>
      <c r="E6109" t="s">
        <v>10075</v>
      </c>
      <c r="F6109">
        <v>10467</v>
      </c>
      <c r="G6109" t="s">
        <v>10090</v>
      </c>
      <c r="H6109" t="s">
        <v>10159</v>
      </c>
      <c r="I6109" t="s">
        <v>10169</v>
      </c>
      <c r="J6109" t="s">
        <v>10210</v>
      </c>
      <c r="K6109" t="s">
        <v>10217</v>
      </c>
      <c r="M6109" t="s">
        <v>10546</v>
      </c>
      <c r="N6109" t="s">
        <v>10671</v>
      </c>
      <c r="P6109" t="s">
        <v>10751</v>
      </c>
      <c r="Q6109" t="s">
        <v>10761</v>
      </c>
      <c r="R6109" t="s">
        <v>10821</v>
      </c>
      <c r="T6109">
        <v>21177</v>
      </c>
      <c r="U6109">
        <v>1764.75</v>
      </c>
      <c r="V6109">
        <v>46</v>
      </c>
      <c r="W6109">
        <v>2</v>
      </c>
      <c r="X6109">
        <v>1</v>
      </c>
      <c r="Z6109">
        <v>99.28</v>
      </c>
      <c r="AA6109">
        <v>40.870498</v>
      </c>
      <c r="AB6109">
        <v>-73.876593</v>
      </c>
      <c r="AD6109" t="s">
        <v>10839</v>
      </c>
      <c r="AF6109" t="s">
        <v>10843</v>
      </c>
      <c r="AG6109" t="s">
        <v>10859</v>
      </c>
      <c r="AH6109" t="s">
        <v>10862</v>
      </c>
      <c r="AI6109">
        <v>230</v>
      </c>
      <c r="AJ6109" t="s">
        <v>10210</v>
      </c>
      <c r="AL6109">
        <v>0</v>
      </c>
      <c r="AM6109" t="s">
        <v>10887</v>
      </c>
      <c r="AN6109" t="s">
        <v>10938</v>
      </c>
      <c r="AO6109" t="s">
        <v>11010</v>
      </c>
      <c r="AP6109" t="s">
        <v>11057</v>
      </c>
      <c r="AR6109" t="s">
        <v>11280</v>
      </c>
      <c r="AS6109" t="s">
        <v>9926</v>
      </c>
      <c r="AT6109" t="s">
        <v>11641</v>
      </c>
      <c r="AX6109" t="s">
        <v>10838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</row>
    <row r="6110" spans="1:59">
      <c r="A6110" s="1">
        <f>HYPERLINK("https://lsnyc.legalserver.org/matter/dynamic-profile/view/1910423","19-1910423")</f>
        <v>0</v>
      </c>
      <c r="B6110" t="s">
        <v>4728</v>
      </c>
      <c r="C6110" t="s">
        <v>9609</v>
      </c>
      <c r="D6110" t="s">
        <v>9951</v>
      </c>
      <c r="E6110" t="s">
        <v>10075</v>
      </c>
      <c r="F6110">
        <v>11417</v>
      </c>
      <c r="G6110" t="s">
        <v>10092</v>
      </c>
      <c r="H6110" t="s">
        <v>10136</v>
      </c>
      <c r="I6110" t="s">
        <v>10168</v>
      </c>
      <c r="J6110" t="s">
        <v>10212</v>
      </c>
      <c r="K6110" t="s">
        <v>10217</v>
      </c>
      <c r="M6110" t="s">
        <v>10260</v>
      </c>
      <c r="N6110" t="s">
        <v>10665</v>
      </c>
      <c r="P6110" t="s">
        <v>10751</v>
      </c>
      <c r="Q6110" t="s">
        <v>10773</v>
      </c>
      <c r="R6110" t="s">
        <v>10824</v>
      </c>
      <c r="T6110">
        <v>0</v>
      </c>
      <c r="U6110">
        <v>0</v>
      </c>
      <c r="V6110">
        <v>54</v>
      </c>
      <c r="W6110">
        <v>1</v>
      </c>
      <c r="X6110">
        <v>0</v>
      </c>
      <c r="Z6110">
        <v>0</v>
      </c>
      <c r="AA6110">
        <v>40.668298</v>
      </c>
      <c r="AB6110">
        <v>-73.838384</v>
      </c>
      <c r="AD6110" t="s">
        <v>10839</v>
      </c>
      <c r="AG6110" t="s">
        <v>10858</v>
      </c>
      <c r="AH6110" t="s">
        <v>10861</v>
      </c>
      <c r="AI6110">
        <v>234</v>
      </c>
      <c r="AJ6110" t="s">
        <v>10214</v>
      </c>
      <c r="AL6110">
        <v>3.25</v>
      </c>
      <c r="AM6110" t="s">
        <v>10889</v>
      </c>
      <c r="AN6110" t="s">
        <v>10958</v>
      </c>
      <c r="AO6110" t="s">
        <v>11024</v>
      </c>
      <c r="AP6110" t="s">
        <v>11088</v>
      </c>
      <c r="AR6110" t="s">
        <v>11267</v>
      </c>
      <c r="AS6110" t="s">
        <v>11594</v>
      </c>
      <c r="AT6110" t="s">
        <v>11641</v>
      </c>
      <c r="AX6110" t="s">
        <v>10838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</row>
    <row r="6111" spans="1:59">
      <c r="A6111" s="1">
        <f>HYPERLINK("https://lsnyc.legalserver.org/matter/dynamic-profile/view/1910424","19-1910424")</f>
        <v>0</v>
      </c>
      <c r="B6111" t="s">
        <v>4128</v>
      </c>
      <c r="C6111" t="s">
        <v>9610</v>
      </c>
      <c r="D6111" t="s">
        <v>9981</v>
      </c>
      <c r="E6111" t="s">
        <v>10075</v>
      </c>
      <c r="F6111">
        <v>11378</v>
      </c>
      <c r="G6111" t="s">
        <v>10092</v>
      </c>
      <c r="H6111" t="s">
        <v>10156</v>
      </c>
      <c r="I6111" t="s">
        <v>10168</v>
      </c>
      <c r="J6111" t="s">
        <v>10212</v>
      </c>
      <c r="K6111" t="s">
        <v>10217</v>
      </c>
      <c r="M6111" t="s">
        <v>10355</v>
      </c>
      <c r="N6111" t="s">
        <v>10699</v>
      </c>
      <c r="P6111" t="s">
        <v>10754</v>
      </c>
      <c r="Q6111" t="s">
        <v>10775</v>
      </c>
      <c r="R6111" t="s">
        <v>10823</v>
      </c>
      <c r="T6111">
        <v>15600</v>
      </c>
      <c r="U6111">
        <v>1300</v>
      </c>
      <c r="V6111">
        <v>42</v>
      </c>
      <c r="W6111">
        <v>1</v>
      </c>
      <c r="X6111">
        <v>1</v>
      </c>
      <c r="Z6111">
        <v>92.25</v>
      </c>
      <c r="AA6111">
        <v>40.731619</v>
      </c>
      <c r="AB6111">
        <v>-73.89776999999999</v>
      </c>
      <c r="AD6111" t="s">
        <v>10839</v>
      </c>
      <c r="AG6111" t="s">
        <v>10858</v>
      </c>
      <c r="AH6111" t="s">
        <v>10865</v>
      </c>
      <c r="AI6111">
        <v>237</v>
      </c>
      <c r="AJ6111" t="s">
        <v>10212</v>
      </c>
      <c r="AL6111">
        <v>2</v>
      </c>
      <c r="AM6111" t="s">
        <v>10890</v>
      </c>
      <c r="AN6111" t="s">
        <v>10935</v>
      </c>
      <c r="AO6111" t="s">
        <v>11024</v>
      </c>
      <c r="AP6111" t="s">
        <v>11077</v>
      </c>
      <c r="AQ6111" t="s">
        <v>11138</v>
      </c>
      <c r="AR6111" t="s">
        <v>11276</v>
      </c>
      <c r="AS6111" t="s">
        <v>11594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</row>
    <row r="6112" spans="1:59">
      <c r="A6112" s="1">
        <f>HYPERLINK("https://lsnyc.legalserver.org/matter/dynamic-profile/view/1910426","19-1910426")</f>
        <v>0</v>
      </c>
      <c r="B6112" t="s">
        <v>4723</v>
      </c>
      <c r="C6112" t="s">
        <v>9339</v>
      </c>
      <c r="D6112" t="s">
        <v>9926</v>
      </c>
      <c r="E6112" t="s">
        <v>10075</v>
      </c>
      <c r="F6112">
        <v>10457</v>
      </c>
      <c r="G6112" t="s">
        <v>10090</v>
      </c>
      <c r="H6112" t="s">
        <v>10136</v>
      </c>
      <c r="I6112" t="s">
        <v>10168</v>
      </c>
      <c r="J6112" t="s">
        <v>10210</v>
      </c>
      <c r="K6112" t="s">
        <v>10217</v>
      </c>
      <c r="M6112" t="s">
        <v>10353</v>
      </c>
      <c r="N6112" t="s">
        <v>10671</v>
      </c>
      <c r="P6112" t="s">
        <v>10751</v>
      </c>
      <c r="Q6112" t="s">
        <v>10761</v>
      </c>
      <c r="R6112" t="s">
        <v>10824</v>
      </c>
      <c r="T6112">
        <v>10164</v>
      </c>
      <c r="U6112">
        <v>847</v>
      </c>
      <c r="V6112">
        <v>65</v>
      </c>
      <c r="W6112">
        <v>1</v>
      </c>
      <c r="X6112">
        <v>0</v>
      </c>
      <c r="Z6112">
        <v>81.38</v>
      </c>
      <c r="AA6112">
        <v>40.845219</v>
      </c>
      <c r="AB6112">
        <v>-73.904521</v>
      </c>
      <c r="AD6112" t="s">
        <v>10839</v>
      </c>
      <c r="AG6112" t="s">
        <v>10858</v>
      </c>
      <c r="AH6112" t="s">
        <v>10861</v>
      </c>
      <c r="AI6112">
        <v>230</v>
      </c>
      <c r="AJ6112" t="s">
        <v>10210</v>
      </c>
      <c r="AL6112">
        <v>0</v>
      </c>
      <c r="AM6112" t="s">
        <v>10884</v>
      </c>
      <c r="AN6112" t="s">
        <v>10931</v>
      </c>
      <c r="AO6112" t="s">
        <v>11000</v>
      </c>
      <c r="AP6112" t="s">
        <v>11056</v>
      </c>
      <c r="AR6112" t="s">
        <v>11274</v>
      </c>
      <c r="AS6112" t="s">
        <v>9926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</row>
    <row r="6113" spans="1:59">
      <c r="A6113" s="1">
        <f>HYPERLINK("https://lsnyc.legalserver.org/matter/dynamic-profile/view/1910427","19-1910427")</f>
        <v>0</v>
      </c>
      <c r="B6113" t="s">
        <v>4729</v>
      </c>
      <c r="C6113" t="s">
        <v>9611</v>
      </c>
      <c r="D6113" t="s">
        <v>9950</v>
      </c>
      <c r="E6113" t="s">
        <v>10075</v>
      </c>
      <c r="F6113">
        <v>11418</v>
      </c>
      <c r="G6113" t="s">
        <v>10092</v>
      </c>
      <c r="H6113" t="s">
        <v>10136</v>
      </c>
      <c r="I6113" t="s">
        <v>10168</v>
      </c>
      <c r="J6113" t="s">
        <v>10212</v>
      </c>
      <c r="K6113" t="s">
        <v>10217</v>
      </c>
      <c r="M6113" t="s">
        <v>10320</v>
      </c>
      <c r="N6113" t="s">
        <v>10648</v>
      </c>
      <c r="P6113" t="s">
        <v>10753</v>
      </c>
      <c r="Q6113" t="s">
        <v>10763</v>
      </c>
      <c r="R6113" t="s">
        <v>10828</v>
      </c>
      <c r="T6113">
        <v>0</v>
      </c>
      <c r="U6113">
        <v>0</v>
      </c>
      <c r="V6113">
        <v>56</v>
      </c>
      <c r="W6113">
        <v>1</v>
      </c>
      <c r="X6113">
        <v>0</v>
      </c>
      <c r="Z6113">
        <v>0</v>
      </c>
      <c r="AA6113">
        <v>40.694386</v>
      </c>
      <c r="AB6113">
        <v>-73.832621</v>
      </c>
      <c r="AD6113" t="s">
        <v>10839</v>
      </c>
      <c r="AF6113" t="s">
        <v>10842</v>
      </c>
      <c r="AG6113" t="s">
        <v>10859</v>
      </c>
      <c r="AH6113" t="s">
        <v>10864</v>
      </c>
      <c r="AI6113">
        <v>237</v>
      </c>
      <c r="AJ6113" t="s">
        <v>10212</v>
      </c>
      <c r="AK6113" t="s">
        <v>10837</v>
      </c>
      <c r="AL6113">
        <v>1.45</v>
      </c>
      <c r="AM6113" t="s">
        <v>10892</v>
      </c>
      <c r="AN6113" t="s">
        <v>10944</v>
      </c>
      <c r="AO6113" t="s">
        <v>11017</v>
      </c>
      <c r="AP6113" t="s">
        <v>11083</v>
      </c>
      <c r="AR6113" t="s">
        <v>11267</v>
      </c>
      <c r="AS6113" t="s">
        <v>11594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</row>
    <row r="6114" spans="1:59">
      <c r="A6114" s="1">
        <f>HYPERLINK("https://lsnyc.legalserver.org/matter/dynamic-profile/view/1910428","19-1910428")</f>
        <v>0</v>
      </c>
      <c r="B6114" t="s">
        <v>4730</v>
      </c>
      <c r="C6114" t="s">
        <v>9612</v>
      </c>
      <c r="D6114" t="s">
        <v>9926</v>
      </c>
      <c r="E6114" t="s">
        <v>10075</v>
      </c>
      <c r="F6114">
        <v>10468</v>
      </c>
      <c r="G6114" t="s">
        <v>10090</v>
      </c>
      <c r="H6114" t="s">
        <v>10136</v>
      </c>
      <c r="I6114" t="s">
        <v>10168</v>
      </c>
      <c r="J6114" t="s">
        <v>10210</v>
      </c>
      <c r="K6114" t="s">
        <v>10217</v>
      </c>
      <c r="M6114" t="s">
        <v>10349</v>
      </c>
      <c r="N6114" t="s">
        <v>10651</v>
      </c>
      <c r="P6114" t="s">
        <v>10749</v>
      </c>
      <c r="Q6114" t="s">
        <v>10765</v>
      </c>
      <c r="R6114" t="s">
        <v>10824</v>
      </c>
      <c r="T6114">
        <v>7800</v>
      </c>
      <c r="U6114">
        <v>650</v>
      </c>
      <c r="V6114">
        <v>48</v>
      </c>
      <c r="W6114">
        <v>1</v>
      </c>
      <c r="X6114">
        <v>1</v>
      </c>
      <c r="Z6114">
        <v>46.13</v>
      </c>
      <c r="AA6114">
        <v>40.868348</v>
      </c>
      <c r="AB6114">
        <v>-73.89572099999999</v>
      </c>
      <c r="AD6114" t="s">
        <v>10839</v>
      </c>
      <c r="AG6114" t="s">
        <v>10858</v>
      </c>
      <c r="AH6114" t="s">
        <v>10861</v>
      </c>
      <c r="AI6114">
        <v>230</v>
      </c>
      <c r="AJ6114" t="s">
        <v>10210</v>
      </c>
      <c r="AL6114">
        <v>0</v>
      </c>
      <c r="AM6114" t="s">
        <v>10887</v>
      </c>
      <c r="AN6114" t="s">
        <v>10907</v>
      </c>
      <c r="AO6114" t="s">
        <v>11000</v>
      </c>
      <c r="AP6114" t="s">
        <v>11045</v>
      </c>
      <c r="AR6114" t="s">
        <v>11254</v>
      </c>
      <c r="AS6114" t="s">
        <v>9926</v>
      </c>
      <c r="AT6114" t="s">
        <v>11641</v>
      </c>
      <c r="AX6114" t="s">
        <v>10838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</row>
    <row r="6115" spans="1:59">
      <c r="A6115" s="1">
        <f>HYPERLINK("https://lsnyc.legalserver.org/matter/dynamic-profile/view/1910429","19-1910429")</f>
        <v>0</v>
      </c>
      <c r="B6115" t="s">
        <v>4731</v>
      </c>
      <c r="C6115" t="s">
        <v>9613</v>
      </c>
      <c r="D6115" t="s">
        <v>9926</v>
      </c>
      <c r="E6115" t="s">
        <v>10075</v>
      </c>
      <c r="F6115">
        <v>10456</v>
      </c>
      <c r="G6115" t="s">
        <v>10091</v>
      </c>
      <c r="H6115" t="s">
        <v>10136</v>
      </c>
      <c r="I6115" t="s">
        <v>10168</v>
      </c>
      <c r="J6115" t="s">
        <v>10211</v>
      </c>
      <c r="K6115" t="s">
        <v>10217</v>
      </c>
      <c r="M6115" t="s">
        <v>10231</v>
      </c>
      <c r="N6115" t="s">
        <v>10647</v>
      </c>
      <c r="P6115" t="s">
        <v>10752</v>
      </c>
      <c r="Q6115" t="s">
        <v>10762</v>
      </c>
      <c r="R6115" t="s">
        <v>10821</v>
      </c>
      <c r="T6115">
        <v>23400</v>
      </c>
      <c r="U6115">
        <v>1950</v>
      </c>
      <c r="V6115">
        <v>34</v>
      </c>
      <c r="W6115">
        <v>1</v>
      </c>
      <c r="X6115">
        <v>0</v>
      </c>
      <c r="Z6115">
        <v>187.35</v>
      </c>
      <c r="AA6115">
        <v>40.829397</v>
      </c>
      <c r="AB6115">
        <v>-73.904889</v>
      </c>
      <c r="AD6115" t="s">
        <v>10839</v>
      </c>
      <c r="AG6115" t="s">
        <v>10858</v>
      </c>
      <c r="AH6115" t="s">
        <v>10871</v>
      </c>
      <c r="AI6115">
        <v>234</v>
      </c>
      <c r="AJ6115" t="s">
        <v>10214</v>
      </c>
      <c r="AL6115">
        <v>1.2</v>
      </c>
      <c r="AM6115" t="s">
        <v>10884</v>
      </c>
      <c r="AN6115" t="s">
        <v>10918</v>
      </c>
      <c r="AO6115" t="s">
        <v>11001</v>
      </c>
      <c r="AP6115" t="s">
        <v>11055</v>
      </c>
      <c r="AR6115" t="s">
        <v>11257</v>
      </c>
      <c r="AS6115" t="s">
        <v>9926</v>
      </c>
      <c r="AT6115" t="s">
        <v>11641</v>
      </c>
      <c r="AX6115" t="s">
        <v>10838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</row>
    <row r="6116" spans="1:59">
      <c r="A6116" s="1">
        <f>HYPERLINK("https://lsnyc.legalserver.org/matter/dynamic-profile/view/1910430","19-1910430")</f>
        <v>0</v>
      </c>
      <c r="B6116" t="s">
        <v>4732</v>
      </c>
      <c r="C6116" t="s">
        <v>5824</v>
      </c>
      <c r="D6116" t="s">
        <v>9926</v>
      </c>
      <c r="E6116" t="s">
        <v>10075</v>
      </c>
      <c r="F6116">
        <v>10457</v>
      </c>
      <c r="G6116" t="s">
        <v>10089</v>
      </c>
      <c r="H6116" t="s">
        <v>10136</v>
      </c>
      <c r="I6116" t="s">
        <v>10169</v>
      </c>
      <c r="J6116" t="s">
        <v>10209</v>
      </c>
      <c r="K6116" t="s">
        <v>10217</v>
      </c>
      <c r="M6116" t="s">
        <v>10266</v>
      </c>
      <c r="N6116" t="s">
        <v>10673</v>
      </c>
      <c r="P6116" t="s">
        <v>10753</v>
      </c>
      <c r="Q6116" t="s">
        <v>10763</v>
      </c>
      <c r="R6116" t="s">
        <v>10823</v>
      </c>
      <c r="T6116">
        <v>0</v>
      </c>
      <c r="U6116">
        <v>0</v>
      </c>
      <c r="V6116">
        <v>42</v>
      </c>
      <c r="W6116">
        <v>1</v>
      </c>
      <c r="X6116">
        <v>2</v>
      </c>
      <c r="Z6116">
        <v>0</v>
      </c>
      <c r="AA6116">
        <v>40.841297</v>
      </c>
      <c r="AB6116">
        <v>-73.91159500000001</v>
      </c>
      <c r="AD6116" t="s">
        <v>10840</v>
      </c>
      <c r="AF6116" t="s">
        <v>10846</v>
      </c>
      <c r="AG6116" t="s">
        <v>10859</v>
      </c>
      <c r="AH6116" t="s">
        <v>10864</v>
      </c>
      <c r="AI6116">
        <v>236</v>
      </c>
      <c r="AJ6116" t="s">
        <v>10209</v>
      </c>
      <c r="AL6116">
        <v>2.35</v>
      </c>
      <c r="AM6116" t="s">
        <v>10884</v>
      </c>
      <c r="AN6116" t="s">
        <v>10929</v>
      </c>
      <c r="AO6116" t="s">
        <v>11013</v>
      </c>
      <c r="AP6116" t="s">
        <v>11055</v>
      </c>
      <c r="AQ6116" t="s">
        <v>11109</v>
      </c>
      <c r="AR6116" t="s">
        <v>11267</v>
      </c>
      <c r="AS6116" t="s">
        <v>9926</v>
      </c>
      <c r="BA6116" t="s">
        <v>11739</v>
      </c>
      <c r="BB6116">
        <v>0</v>
      </c>
      <c r="BC6116">
        <v>0</v>
      </c>
      <c r="BD6116">
        <v>0</v>
      </c>
      <c r="BE6116">
        <v>0</v>
      </c>
      <c r="BF6116">
        <v>4</v>
      </c>
      <c r="BG6116">
        <v>0</v>
      </c>
    </row>
    <row r="6117" spans="1:59">
      <c r="A6117" s="1">
        <f>HYPERLINK("https://lsnyc.legalserver.org/matter/dynamic-profile/view/1910431","19-1910431")</f>
        <v>0</v>
      </c>
      <c r="B6117" t="s">
        <v>4733</v>
      </c>
      <c r="C6117" t="s">
        <v>6286</v>
      </c>
      <c r="D6117" t="s">
        <v>9926</v>
      </c>
      <c r="E6117" t="s">
        <v>10075</v>
      </c>
      <c r="F6117">
        <v>10467</v>
      </c>
      <c r="G6117" t="s">
        <v>10090</v>
      </c>
      <c r="H6117" t="s">
        <v>10137</v>
      </c>
      <c r="I6117" t="s">
        <v>10168</v>
      </c>
      <c r="J6117" t="s">
        <v>10210</v>
      </c>
      <c r="K6117" t="s">
        <v>10217</v>
      </c>
      <c r="M6117" t="s">
        <v>10404</v>
      </c>
      <c r="N6117" t="s">
        <v>10651</v>
      </c>
      <c r="P6117" t="s">
        <v>10749</v>
      </c>
      <c r="Q6117" t="s">
        <v>10765</v>
      </c>
      <c r="R6117" t="s">
        <v>10824</v>
      </c>
      <c r="T6117">
        <v>12396</v>
      </c>
      <c r="U6117">
        <v>1033</v>
      </c>
      <c r="V6117">
        <v>44</v>
      </c>
      <c r="W6117">
        <v>1</v>
      </c>
      <c r="X6117">
        <v>2</v>
      </c>
      <c r="Z6117">
        <v>58.12</v>
      </c>
      <c r="AA6117">
        <v>40.883987</v>
      </c>
      <c r="AB6117">
        <v>-73.86593499999999</v>
      </c>
      <c r="AD6117" t="s">
        <v>10839</v>
      </c>
      <c r="AG6117" t="s">
        <v>10858</v>
      </c>
      <c r="AH6117" t="s">
        <v>10862</v>
      </c>
      <c r="AI6117">
        <v>230</v>
      </c>
      <c r="AJ6117" t="s">
        <v>10210</v>
      </c>
      <c r="AL6117">
        <v>9.800000000000001</v>
      </c>
      <c r="AM6117" t="s">
        <v>10893</v>
      </c>
      <c r="AN6117" t="s">
        <v>10956</v>
      </c>
      <c r="AO6117" t="s">
        <v>11010</v>
      </c>
      <c r="AP6117" t="s">
        <v>11085</v>
      </c>
      <c r="AR6117" t="s">
        <v>11353</v>
      </c>
      <c r="AS6117" t="s">
        <v>9926</v>
      </c>
      <c r="AT6117" t="s">
        <v>11641</v>
      </c>
      <c r="BA6117" t="s">
        <v>11738</v>
      </c>
      <c r="BB6117">
        <v>0</v>
      </c>
      <c r="BC6117">
        <v>0</v>
      </c>
      <c r="BD6117">
        <v>0</v>
      </c>
      <c r="BE6117">
        <v>0</v>
      </c>
      <c r="BF6117">
        <v>5</v>
      </c>
      <c r="BG6117">
        <v>0</v>
      </c>
    </row>
    <row r="6118" spans="1:59">
      <c r="A6118" s="1">
        <f>HYPERLINK("https://lsnyc.legalserver.org/matter/dynamic-profile/view/1910433","19-1910433")</f>
        <v>0</v>
      </c>
      <c r="B6118" t="s">
        <v>173</v>
      </c>
      <c r="C6118" t="s">
        <v>9614</v>
      </c>
      <c r="D6118" t="s">
        <v>9953</v>
      </c>
      <c r="E6118" t="s">
        <v>10075</v>
      </c>
      <c r="F6118">
        <v>11104</v>
      </c>
      <c r="G6118" t="s">
        <v>10092</v>
      </c>
      <c r="H6118" t="s">
        <v>10136</v>
      </c>
      <c r="I6118" t="s">
        <v>10168</v>
      </c>
      <c r="J6118" t="s">
        <v>10212</v>
      </c>
      <c r="K6118" t="s">
        <v>10218</v>
      </c>
      <c r="L6118" t="s">
        <v>10101</v>
      </c>
      <c r="M6118" t="s">
        <v>10428</v>
      </c>
      <c r="N6118" t="s">
        <v>10695</v>
      </c>
      <c r="P6118" t="s">
        <v>10749</v>
      </c>
      <c r="Q6118" t="s">
        <v>10765</v>
      </c>
      <c r="R6118" t="s">
        <v>10828</v>
      </c>
      <c r="T6118">
        <v>33600</v>
      </c>
      <c r="U6118">
        <v>2800</v>
      </c>
      <c r="V6118">
        <v>49</v>
      </c>
      <c r="W6118">
        <v>3</v>
      </c>
      <c r="X6118">
        <v>2</v>
      </c>
      <c r="Y6118" t="s">
        <v>10829</v>
      </c>
      <c r="Z6118">
        <v>111.37</v>
      </c>
      <c r="AA6118">
        <v>40.743634</v>
      </c>
      <c r="AB6118">
        <v>-73.916415</v>
      </c>
      <c r="AD6118" t="s">
        <v>10840</v>
      </c>
      <c r="AF6118" t="s">
        <v>10847</v>
      </c>
      <c r="AG6118" t="s">
        <v>10859</v>
      </c>
      <c r="AH6118" t="s">
        <v>10862</v>
      </c>
      <c r="AI6118">
        <v>237</v>
      </c>
      <c r="AJ6118" t="s">
        <v>10212</v>
      </c>
      <c r="AK6118" t="s">
        <v>10882</v>
      </c>
      <c r="AL6118">
        <v>2</v>
      </c>
      <c r="AM6118" t="s">
        <v>10885</v>
      </c>
      <c r="AN6118" t="s">
        <v>10961</v>
      </c>
      <c r="AO6118" t="s">
        <v>11003</v>
      </c>
      <c r="AP6118" t="s">
        <v>11047</v>
      </c>
      <c r="AR6118" t="s">
        <v>11257</v>
      </c>
      <c r="AS6118" t="s">
        <v>11594</v>
      </c>
      <c r="AX6118" t="s">
        <v>10838</v>
      </c>
      <c r="AY6118" t="s">
        <v>10829</v>
      </c>
      <c r="AZ6118" t="s">
        <v>11681</v>
      </c>
      <c r="BA6118" t="s">
        <v>11741</v>
      </c>
      <c r="BB6118">
        <v>0</v>
      </c>
      <c r="BC6118">
        <v>0</v>
      </c>
      <c r="BD6118">
        <v>0</v>
      </c>
      <c r="BE6118">
        <v>0</v>
      </c>
      <c r="BF6118">
        <v>1</v>
      </c>
      <c r="BG6118">
        <v>0</v>
      </c>
    </row>
    <row r="6119" spans="1:59">
      <c r="A6119" s="1">
        <f>HYPERLINK("https://lsnyc.legalserver.org/matter/dynamic-profile/view/1910434","19-1910434")</f>
        <v>0</v>
      </c>
      <c r="B6119" t="s">
        <v>4734</v>
      </c>
      <c r="C6119" t="s">
        <v>9615</v>
      </c>
      <c r="D6119" t="s">
        <v>9926</v>
      </c>
      <c r="E6119" t="s">
        <v>10075</v>
      </c>
      <c r="F6119">
        <v>10468</v>
      </c>
      <c r="G6119" t="s">
        <v>10090</v>
      </c>
      <c r="H6119" t="s">
        <v>10137</v>
      </c>
      <c r="I6119" t="s">
        <v>10168</v>
      </c>
      <c r="J6119" t="s">
        <v>10210</v>
      </c>
      <c r="K6119" t="s">
        <v>10217</v>
      </c>
      <c r="M6119" t="s">
        <v>10434</v>
      </c>
      <c r="N6119" t="s">
        <v>10651</v>
      </c>
      <c r="P6119" t="s">
        <v>10749</v>
      </c>
      <c r="Q6119" t="s">
        <v>10765</v>
      </c>
      <c r="R6119" t="s">
        <v>10824</v>
      </c>
      <c r="T6119">
        <v>24400</v>
      </c>
      <c r="U6119">
        <v>2033.33</v>
      </c>
      <c r="V6119">
        <v>72</v>
      </c>
      <c r="W6119">
        <v>2</v>
      </c>
      <c r="X6119">
        <v>0</v>
      </c>
      <c r="Z6119">
        <v>144.29</v>
      </c>
      <c r="AA6119">
        <v>40.861467</v>
      </c>
      <c r="AB6119">
        <v>-73.904476</v>
      </c>
      <c r="AD6119" t="s">
        <v>10839</v>
      </c>
      <c r="AG6119" t="s">
        <v>10858</v>
      </c>
      <c r="AH6119" t="s">
        <v>10862</v>
      </c>
      <c r="AI6119">
        <v>230</v>
      </c>
      <c r="AJ6119" t="s">
        <v>10210</v>
      </c>
      <c r="AL6119">
        <v>2</v>
      </c>
      <c r="AM6119" t="s">
        <v>10884</v>
      </c>
      <c r="AN6119" t="s">
        <v>10931</v>
      </c>
      <c r="AO6119" t="s">
        <v>11000</v>
      </c>
      <c r="AP6119" t="s">
        <v>11045</v>
      </c>
      <c r="AR6119" t="s">
        <v>11282</v>
      </c>
      <c r="AS6119" t="s">
        <v>9926</v>
      </c>
      <c r="AT6119" t="s">
        <v>11641</v>
      </c>
      <c r="BA6119" t="s">
        <v>11738</v>
      </c>
      <c r="BB6119">
        <v>0</v>
      </c>
      <c r="BC6119">
        <v>0</v>
      </c>
      <c r="BD6119">
        <v>0</v>
      </c>
      <c r="BE6119">
        <v>0</v>
      </c>
      <c r="BF6119">
        <v>5</v>
      </c>
      <c r="BG6119">
        <v>0</v>
      </c>
    </row>
    <row r="6120" spans="1:59">
      <c r="A6120" s="1">
        <f>HYPERLINK("https://lsnyc.legalserver.org/matter/dynamic-profile/view/1910435","19-1910435")</f>
        <v>0</v>
      </c>
      <c r="B6120" t="s">
        <v>4735</v>
      </c>
      <c r="C6120" t="s">
        <v>5824</v>
      </c>
      <c r="D6120" t="s">
        <v>9926</v>
      </c>
      <c r="E6120" t="s">
        <v>10075</v>
      </c>
      <c r="F6120">
        <v>10457</v>
      </c>
      <c r="G6120" t="s">
        <v>10089</v>
      </c>
      <c r="H6120" t="s">
        <v>10136</v>
      </c>
      <c r="I6120" t="s">
        <v>10169</v>
      </c>
      <c r="J6120" t="s">
        <v>10209</v>
      </c>
      <c r="K6120" t="s">
        <v>10217</v>
      </c>
      <c r="M6120" t="s">
        <v>10266</v>
      </c>
      <c r="N6120" t="s">
        <v>10679</v>
      </c>
      <c r="P6120" t="s">
        <v>10753</v>
      </c>
      <c r="Q6120" t="s">
        <v>10763</v>
      </c>
      <c r="R6120" t="s">
        <v>10823</v>
      </c>
      <c r="T6120">
        <v>0</v>
      </c>
      <c r="U6120">
        <v>0</v>
      </c>
      <c r="V6120">
        <v>10</v>
      </c>
      <c r="W6120">
        <v>1</v>
      </c>
      <c r="X6120">
        <v>2</v>
      </c>
      <c r="Z6120">
        <v>0</v>
      </c>
      <c r="AA6120">
        <v>40.841297</v>
      </c>
      <c r="AB6120">
        <v>-73.91159500000001</v>
      </c>
      <c r="AD6120" t="s">
        <v>10840</v>
      </c>
      <c r="AF6120" t="s">
        <v>10846</v>
      </c>
      <c r="AG6120" t="s">
        <v>10859</v>
      </c>
      <c r="AH6120" t="s">
        <v>10864</v>
      </c>
      <c r="AI6120">
        <v>236</v>
      </c>
      <c r="AJ6120" t="s">
        <v>10209</v>
      </c>
      <c r="AL6120">
        <v>1.55</v>
      </c>
      <c r="AM6120" t="s">
        <v>10884</v>
      </c>
      <c r="AN6120" t="s">
        <v>10929</v>
      </c>
      <c r="AO6120" t="s">
        <v>11013</v>
      </c>
      <c r="AP6120" t="s">
        <v>11055</v>
      </c>
      <c r="AQ6120" t="s">
        <v>11109</v>
      </c>
      <c r="AR6120" t="s">
        <v>11267</v>
      </c>
      <c r="AS6120" t="s">
        <v>9926</v>
      </c>
      <c r="BA6120" t="s">
        <v>11739</v>
      </c>
      <c r="BB6120">
        <v>0</v>
      </c>
      <c r="BC6120">
        <v>0</v>
      </c>
      <c r="BD6120">
        <v>0</v>
      </c>
      <c r="BE6120">
        <v>0</v>
      </c>
      <c r="BF6120">
        <v>4</v>
      </c>
      <c r="BG6120">
        <v>0</v>
      </c>
    </row>
    <row r="6121" spans="1:59">
      <c r="A6121" s="1">
        <f>HYPERLINK("https://lsnyc.legalserver.org/matter/dynamic-profile/view/1910436","19-1910436")</f>
        <v>0</v>
      </c>
      <c r="B6121" t="s">
        <v>4733</v>
      </c>
      <c r="C6121" t="s">
        <v>6286</v>
      </c>
      <c r="D6121" t="s">
        <v>9926</v>
      </c>
      <c r="E6121" t="s">
        <v>10075</v>
      </c>
      <c r="F6121">
        <v>10467</v>
      </c>
      <c r="G6121" t="s">
        <v>10090</v>
      </c>
      <c r="H6121" t="s">
        <v>10137</v>
      </c>
      <c r="I6121" t="s">
        <v>10168</v>
      </c>
      <c r="J6121" t="s">
        <v>10210</v>
      </c>
      <c r="K6121" t="s">
        <v>10217</v>
      </c>
      <c r="M6121" t="s">
        <v>10404</v>
      </c>
      <c r="N6121" t="s">
        <v>10671</v>
      </c>
      <c r="P6121" t="s">
        <v>10751</v>
      </c>
      <c r="Q6121" t="s">
        <v>10761</v>
      </c>
      <c r="R6121" t="s">
        <v>10824</v>
      </c>
      <c r="T6121">
        <v>12396</v>
      </c>
      <c r="U6121">
        <v>1033</v>
      </c>
      <c r="V6121">
        <v>44</v>
      </c>
      <c r="W6121">
        <v>1</v>
      </c>
      <c r="X6121">
        <v>2</v>
      </c>
      <c r="Z6121">
        <v>58.12</v>
      </c>
      <c r="AA6121">
        <v>40.883987</v>
      </c>
      <c r="AB6121">
        <v>-73.86593499999999</v>
      </c>
      <c r="AD6121" t="s">
        <v>10839</v>
      </c>
      <c r="AG6121" t="s">
        <v>10858</v>
      </c>
      <c r="AH6121" t="s">
        <v>10862</v>
      </c>
      <c r="AI6121">
        <v>230</v>
      </c>
      <c r="AJ6121" t="s">
        <v>10210</v>
      </c>
      <c r="AL6121">
        <v>0</v>
      </c>
      <c r="AM6121" t="s">
        <v>10893</v>
      </c>
      <c r="AN6121" t="s">
        <v>10956</v>
      </c>
      <c r="AO6121" t="s">
        <v>11010</v>
      </c>
      <c r="AP6121" t="s">
        <v>11085</v>
      </c>
      <c r="AR6121" t="s">
        <v>11353</v>
      </c>
      <c r="AS6121" t="s">
        <v>9926</v>
      </c>
      <c r="AT6121" t="s">
        <v>11641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</row>
    <row r="6122" spans="1:59">
      <c r="A6122" s="1">
        <f>HYPERLINK("https://lsnyc.legalserver.org/matter/dynamic-profile/view/1910437","19-1910437")</f>
        <v>0</v>
      </c>
      <c r="B6122" t="s">
        <v>4736</v>
      </c>
      <c r="C6122" t="s">
        <v>9616</v>
      </c>
      <c r="D6122" t="s">
        <v>9937</v>
      </c>
      <c r="E6122" t="s">
        <v>10075</v>
      </c>
      <c r="F6122">
        <v>11412</v>
      </c>
      <c r="G6122" t="s">
        <v>10092</v>
      </c>
      <c r="H6122" t="s">
        <v>10136</v>
      </c>
      <c r="I6122" t="s">
        <v>10168</v>
      </c>
      <c r="J6122" t="s">
        <v>10212</v>
      </c>
      <c r="K6122" t="s">
        <v>10217</v>
      </c>
      <c r="M6122" t="s">
        <v>10311</v>
      </c>
      <c r="N6122" t="s">
        <v>10684</v>
      </c>
      <c r="P6122" t="s">
        <v>10751</v>
      </c>
      <c r="Q6122" t="s">
        <v>10786</v>
      </c>
      <c r="R6122" t="s">
        <v>10824</v>
      </c>
      <c r="T6122">
        <v>12276</v>
      </c>
      <c r="U6122">
        <v>1023</v>
      </c>
      <c r="V6122">
        <v>82</v>
      </c>
      <c r="W6122">
        <v>1</v>
      </c>
      <c r="X6122">
        <v>0</v>
      </c>
      <c r="Z6122">
        <v>98.29000000000001</v>
      </c>
      <c r="AA6122">
        <v>40.705484</v>
      </c>
      <c r="AB6122">
        <v>-73.75945</v>
      </c>
      <c r="AD6122" t="s">
        <v>10839</v>
      </c>
      <c r="AG6122" t="s">
        <v>10858</v>
      </c>
      <c r="AH6122" t="s">
        <v>10874</v>
      </c>
      <c r="AI6122">
        <v>237</v>
      </c>
      <c r="AJ6122" t="s">
        <v>10212</v>
      </c>
      <c r="AL6122">
        <v>2</v>
      </c>
      <c r="AM6122" t="s">
        <v>10892</v>
      </c>
      <c r="AN6122" t="s">
        <v>10940</v>
      </c>
      <c r="AO6122" t="s">
        <v>11020</v>
      </c>
      <c r="AP6122" t="s">
        <v>11075</v>
      </c>
      <c r="AR6122" t="s">
        <v>11268</v>
      </c>
      <c r="AS6122" t="s">
        <v>11594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</row>
    <row r="6123" spans="1:59">
      <c r="A6123" s="1">
        <f>HYPERLINK("https://lsnyc.legalserver.org/matter/dynamic-profile/view/1910438","19-1910438")</f>
        <v>0</v>
      </c>
      <c r="B6123" t="s">
        <v>4730</v>
      </c>
      <c r="C6123" t="s">
        <v>9612</v>
      </c>
      <c r="D6123" t="s">
        <v>9926</v>
      </c>
      <c r="E6123" t="s">
        <v>10075</v>
      </c>
      <c r="F6123">
        <v>10468</v>
      </c>
      <c r="G6123" t="s">
        <v>10090</v>
      </c>
      <c r="H6123" t="s">
        <v>10136</v>
      </c>
      <c r="I6123" t="s">
        <v>10168</v>
      </c>
      <c r="J6123" t="s">
        <v>10210</v>
      </c>
      <c r="K6123" t="s">
        <v>10217</v>
      </c>
      <c r="M6123" t="s">
        <v>10353</v>
      </c>
      <c r="N6123" t="s">
        <v>10671</v>
      </c>
      <c r="P6123" t="s">
        <v>10751</v>
      </c>
      <c r="Q6123" t="s">
        <v>10761</v>
      </c>
      <c r="R6123" t="s">
        <v>10824</v>
      </c>
      <c r="T6123">
        <v>7800</v>
      </c>
      <c r="U6123">
        <v>650</v>
      </c>
      <c r="V6123">
        <v>48</v>
      </c>
      <c r="W6123">
        <v>1</v>
      </c>
      <c r="X6123">
        <v>1</v>
      </c>
      <c r="Z6123">
        <v>46.13</v>
      </c>
      <c r="AA6123">
        <v>40.868348</v>
      </c>
      <c r="AB6123">
        <v>-73.89572099999999</v>
      </c>
      <c r="AD6123" t="s">
        <v>10839</v>
      </c>
      <c r="AG6123" t="s">
        <v>10858</v>
      </c>
      <c r="AH6123" t="s">
        <v>10861</v>
      </c>
      <c r="AI6123">
        <v>230</v>
      </c>
      <c r="AJ6123" t="s">
        <v>10210</v>
      </c>
      <c r="AL6123">
        <v>0</v>
      </c>
      <c r="AM6123" t="s">
        <v>10887</v>
      </c>
      <c r="AN6123" t="s">
        <v>10907</v>
      </c>
      <c r="AO6123" t="s">
        <v>11000</v>
      </c>
      <c r="AP6123" t="s">
        <v>11045</v>
      </c>
      <c r="AR6123" t="s">
        <v>11254</v>
      </c>
      <c r="AS6123" t="s">
        <v>9926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</row>
    <row r="6124" spans="1:59">
      <c r="A6124" s="1">
        <f>HYPERLINK("https://lsnyc.legalserver.org/matter/dynamic-profile/view/1910439","19-1910439")</f>
        <v>0</v>
      </c>
      <c r="B6124" t="s">
        <v>1582</v>
      </c>
      <c r="C6124" t="s">
        <v>9617</v>
      </c>
      <c r="D6124" t="s">
        <v>9926</v>
      </c>
      <c r="E6124" t="s">
        <v>10075</v>
      </c>
      <c r="F6124">
        <v>10451</v>
      </c>
      <c r="G6124" t="s">
        <v>10090</v>
      </c>
      <c r="H6124" t="s">
        <v>10136</v>
      </c>
      <c r="I6124" t="s">
        <v>10168</v>
      </c>
      <c r="J6124" t="s">
        <v>10210</v>
      </c>
      <c r="K6124" t="s">
        <v>10217</v>
      </c>
      <c r="M6124" t="s">
        <v>10586</v>
      </c>
      <c r="N6124" t="s">
        <v>10690</v>
      </c>
      <c r="P6124" t="s">
        <v>10751</v>
      </c>
      <c r="Q6124" t="s">
        <v>10780</v>
      </c>
      <c r="R6124" t="s">
        <v>10824</v>
      </c>
      <c r="T6124">
        <v>9552</v>
      </c>
      <c r="U6124">
        <v>796</v>
      </c>
      <c r="V6124">
        <v>66</v>
      </c>
      <c r="W6124">
        <v>1</v>
      </c>
      <c r="X6124">
        <v>0</v>
      </c>
      <c r="Z6124">
        <v>76.48</v>
      </c>
      <c r="AA6124">
        <v>40.818797</v>
      </c>
      <c r="AB6124">
        <v>-73.92750700000001</v>
      </c>
      <c r="AC6124" t="s">
        <v>10837</v>
      </c>
      <c r="AD6124" t="s">
        <v>10840</v>
      </c>
      <c r="AG6124" t="s">
        <v>10858</v>
      </c>
      <c r="AH6124" t="s">
        <v>10871</v>
      </c>
      <c r="AI6124">
        <v>234</v>
      </c>
      <c r="AJ6124" t="s">
        <v>10214</v>
      </c>
      <c r="AL6124">
        <v>2.54</v>
      </c>
      <c r="AM6124" t="s">
        <v>10884</v>
      </c>
      <c r="AN6124" t="s">
        <v>10924</v>
      </c>
      <c r="AO6124" t="s">
        <v>11013</v>
      </c>
      <c r="AP6124" t="s">
        <v>11066</v>
      </c>
      <c r="AR6124" t="s">
        <v>11367</v>
      </c>
      <c r="AS6124" t="s">
        <v>9926</v>
      </c>
      <c r="AT6124" t="s">
        <v>11642</v>
      </c>
      <c r="AX6124" t="s">
        <v>10838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</row>
    <row r="6125" spans="1:59">
      <c r="A6125" s="1">
        <f>HYPERLINK("https://lsnyc.legalserver.org/matter/dynamic-profile/view/1910440","19-1910440")</f>
        <v>0</v>
      </c>
      <c r="B6125" t="s">
        <v>3301</v>
      </c>
      <c r="C6125" t="s">
        <v>9618</v>
      </c>
      <c r="D6125" t="s">
        <v>9928</v>
      </c>
      <c r="E6125" t="s">
        <v>10075</v>
      </c>
      <c r="F6125">
        <v>11231</v>
      </c>
      <c r="G6125" t="s">
        <v>10093</v>
      </c>
      <c r="H6125" t="s">
        <v>10136</v>
      </c>
      <c r="I6125" t="s">
        <v>10168</v>
      </c>
      <c r="J6125" t="s">
        <v>10213</v>
      </c>
      <c r="K6125" t="s">
        <v>10217</v>
      </c>
      <c r="M6125" t="s">
        <v>10236</v>
      </c>
      <c r="N6125" t="s">
        <v>10650</v>
      </c>
      <c r="P6125" t="s">
        <v>10749</v>
      </c>
      <c r="Q6125" t="s">
        <v>10765</v>
      </c>
      <c r="R6125" t="s">
        <v>10824</v>
      </c>
      <c r="T6125">
        <v>0</v>
      </c>
      <c r="U6125">
        <v>0</v>
      </c>
      <c r="V6125">
        <v>47</v>
      </c>
      <c r="W6125">
        <v>4</v>
      </c>
      <c r="X6125">
        <v>1</v>
      </c>
      <c r="Z6125">
        <v>0</v>
      </c>
      <c r="AA6125">
        <v>40.678194</v>
      </c>
      <c r="AB6125">
        <v>-74.006286</v>
      </c>
      <c r="AD6125" t="s">
        <v>10839</v>
      </c>
      <c r="AG6125" t="s">
        <v>10858</v>
      </c>
      <c r="AH6125" t="s">
        <v>10862</v>
      </c>
      <c r="AI6125">
        <v>239</v>
      </c>
      <c r="AJ6125" t="s">
        <v>10213</v>
      </c>
      <c r="AL6125">
        <v>0.6</v>
      </c>
      <c r="AR6125" t="s">
        <v>11305</v>
      </c>
      <c r="AS6125" t="s">
        <v>11595</v>
      </c>
      <c r="BA6125" t="s">
        <v>11737</v>
      </c>
      <c r="BB6125">
        <v>0</v>
      </c>
      <c r="BC6125">
        <v>0</v>
      </c>
      <c r="BD6125">
        <v>0</v>
      </c>
      <c r="BE6125">
        <v>0</v>
      </c>
      <c r="BF6125">
        <v>3</v>
      </c>
      <c r="BG6125">
        <v>0</v>
      </c>
    </row>
    <row r="6126" spans="1:59">
      <c r="A6126" s="1">
        <f>HYPERLINK("https://lsnyc.legalserver.org/matter/dynamic-profile/view/1910441","19-1910441")</f>
        <v>0</v>
      </c>
      <c r="B6126" t="s">
        <v>1619</v>
      </c>
      <c r="C6126" t="s">
        <v>9619</v>
      </c>
      <c r="D6126" t="s">
        <v>9938</v>
      </c>
      <c r="E6126" t="s">
        <v>10075</v>
      </c>
      <c r="F6126">
        <v>11435</v>
      </c>
      <c r="G6126" t="s">
        <v>10092</v>
      </c>
      <c r="H6126" t="s">
        <v>10156</v>
      </c>
      <c r="J6126" t="s">
        <v>10212</v>
      </c>
      <c r="K6126" t="s">
        <v>10217</v>
      </c>
      <c r="M6126" t="s">
        <v>10355</v>
      </c>
      <c r="N6126" t="s">
        <v>10648</v>
      </c>
      <c r="P6126" t="s">
        <v>10753</v>
      </c>
      <c r="Q6126" t="s">
        <v>10763</v>
      </c>
      <c r="R6126" t="s">
        <v>10823</v>
      </c>
      <c r="T6126">
        <v>5200</v>
      </c>
      <c r="U6126">
        <v>433.33</v>
      </c>
      <c r="V6126">
        <v>27</v>
      </c>
      <c r="W6126">
        <v>1</v>
      </c>
      <c r="X6126">
        <v>1</v>
      </c>
      <c r="Z6126">
        <v>30.75</v>
      </c>
      <c r="AA6126">
        <v>40.683909</v>
      </c>
      <c r="AB6126">
        <v>-73.796803</v>
      </c>
      <c r="AD6126" t="s">
        <v>10839</v>
      </c>
      <c r="AF6126" t="s">
        <v>10842</v>
      </c>
      <c r="AG6126" t="s">
        <v>10859</v>
      </c>
      <c r="AH6126" t="s">
        <v>10864</v>
      </c>
      <c r="AI6126">
        <v>237</v>
      </c>
      <c r="AJ6126" t="s">
        <v>10212</v>
      </c>
      <c r="AL6126">
        <v>2</v>
      </c>
      <c r="AM6126" t="s">
        <v>10892</v>
      </c>
      <c r="AN6126" t="s">
        <v>10951</v>
      </c>
      <c r="AO6126" t="s">
        <v>11017</v>
      </c>
      <c r="AP6126" t="s">
        <v>11070</v>
      </c>
      <c r="AQ6126" t="s">
        <v>11096</v>
      </c>
      <c r="AR6126" t="s">
        <v>11276</v>
      </c>
      <c r="AS6126" t="s">
        <v>11594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</row>
    <row r="6127" spans="1:59">
      <c r="A6127" s="1">
        <f>HYPERLINK("https://lsnyc.legalserver.org/matter/dynamic-profile/view/1910442","19-1910442")</f>
        <v>0</v>
      </c>
      <c r="B6127" t="s">
        <v>4737</v>
      </c>
      <c r="C6127" t="s">
        <v>9620</v>
      </c>
      <c r="D6127" t="s">
        <v>9926</v>
      </c>
      <c r="E6127" t="s">
        <v>10075</v>
      </c>
      <c r="F6127">
        <v>10451</v>
      </c>
      <c r="G6127" t="s">
        <v>10091</v>
      </c>
      <c r="H6127" t="s">
        <v>10136</v>
      </c>
      <c r="I6127" t="s">
        <v>10168</v>
      </c>
      <c r="J6127" t="s">
        <v>10214</v>
      </c>
      <c r="K6127" t="s">
        <v>10217</v>
      </c>
      <c r="M6127" t="s">
        <v>10286</v>
      </c>
      <c r="N6127" t="s">
        <v>10671</v>
      </c>
      <c r="P6127" t="s">
        <v>10749</v>
      </c>
      <c r="Q6127" t="s">
        <v>10765</v>
      </c>
      <c r="R6127" t="s">
        <v>10821</v>
      </c>
      <c r="T6127">
        <v>7560</v>
      </c>
      <c r="U6127">
        <v>630</v>
      </c>
      <c r="V6127">
        <v>43</v>
      </c>
      <c r="W6127">
        <v>1</v>
      </c>
      <c r="X6127">
        <v>0</v>
      </c>
      <c r="Z6127">
        <v>60.53</v>
      </c>
      <c r="AA6127">
        <v>40.823952</v>
      </c>
      <c r="AB6127">
        <v>-73.914259</v>
      </c>
      <c r="AD6127" t="s">
        <v>10839</v>
      </c>
      <c r="AG6127" t="s">
        <v>10858</v>
      </c>
      <c r="AH6127" t="s">
        <v>10871</v>
      </c>
      <c r="AI6127">
        <v>234</v>
      </c>
      <c r="AJ6127" t="s">
        <v>10214</v>
      </c>
      <c r="AL6127">
        <v>1</v>
      </c>
      <c r="AM6127" t="s">
        <v>10884</v>
      </c>
      <c r="AN6127" t="s">
        <v>10918</v>
      </c>
      <c r="AO6127" t="s">
        <v>11001</v>
      </c>
      <c r="AP6127" t="s">
        <v>11062</v>
      </c>
      <c r="AR6127" t="s">
        <v>11263</v>
      </c>
      <c r="AS6127" t="s">
        <v>9926</v>
      </c>
      <c r="AT6127" t="s">
        <v>11641</v>
      </c>
      <c r="AX6127" t="s">
        <v>10838</v>
      </c>
      <c r="BA6127" t="s">
        <v>11741</v>
      </c>
      <c r="BB6127">
        <v>0</v>
      </c>
      <c r="BC6127">
        <v>0</v>
      </c>
      <c r="BD6127">
        <v>0</v>
      </c>
      <c r="BE6127">
        <v>0</v>
      </c>
      <c r="BF6127">
        <v>1</v>
      </c>
      <c r="BG6127">
        <v>0</v>
      </c>
    </row>
    <row r="6128" spans="1:59">
      <c r="A6128" s="1">
        <f>HYPERLINK("https://lsnyc.legalserver.org/matter/dynamic-profile/view/1910443","19-1910443")</f>
        <v>0</v>
      </c>
      <c r="B6128" t="s">
        <v>4738</v>
      </c>
      <c r="C6128" t="s">
        <v>9621</v>
      </c>
      <c r="D6128" t="s">
        <v>9926</v>
      </c>
      <c r="E6128" t="s">
        <v>10075</v>
      </c>
      <c r="F6128">
        <v>10457</v>
      </c>
      <c r="G6128" t="s">
        <v>10090</v>
      </c>
      <c r="H6128" t="s">
        <v>10159</v>
      </c>
      <c r="I6128" t="s">
        <v>10168</v>
      </c>
      <c r="J6128" t="s">
        <v>10210</v>
      </c>
      <c r="K6128" t="s">
        <v>10217</v>
      </c>
      <c r="M6128" t="s">
        <v>10404</v>
      </c>
      <c r="N6128" t="s">
        <v>10651</v>
      </c>
      <c r="P6128" t="s">
        <v>10749</v>
      </c>
      <c r="Q6128" t="s">
        <v>10765</v>
      </c>
      <c r="R6128" t="s">
        <v>10824</v>
      </c>
      <c r="T6128">
        <v>46240</v>
      </c>
      <c r="U6128">
        <v>3853.33</v>
      </c>
      <c r="V6128">
        <v>39</v>
      </c>
      <c r="W6128">
        <v>2</v>
      </c>
      <c r="X6128">
        <v>2</v>
      </c>
      <c r="Z6128">
        <v>179.57</v>
      </c>
      <c r="AA6128">
        <v>40.850406</v>
      </c>
      <c r="AB6128">
        <v>-73.88487600000001</v>
      </c>
      <c r="AD6128" t="s">
        <v>10839</v>
      </c>
      <c r="AG6128" t="s">
        <v>10858</v>
      </c>
      <c r="AH6128" t="s">
        <v>10862</v>
      </c>
      <c r="AI6128">
        <v>230</v>
      </c>
      <c r="AJ6128" t="s">
        <v>10210</v>
      </c>
      <c r="AL6128">
        <v>0.9</v>
      </c>
      <c r="AM6128" t="s">
        <v>10884</v>
      </c>
      <c r="AN6128" t="s">
        <v>10907</v>
      </c>
      <c r="AO6128" t="s">
        <v>11000</v>
      </c>
      <c r="AP6128" t="s">
        <v>11056</v>
      </c>
      <c r="AR6128" t="s">
        <v>11280</v>
      </c>
      <c r="AS6128" t="s">
        <v>9926</v>
      </c>
      <c r="AT6128" t="s">
        <v>11641</v>
      </c>
      <c r="AX6128" t="s">
        <v>10838</v>
      </c>
      <c r="BA6128" t="s">
        <v>11738</v>
      </c>
      <c r="BB6128">
        <v>0</v>
      </c>
      <c r="BC6128">
        <v>0</v>
      </c>
      <c r="BD6128">
        <v>0</v>
      </c>
      <c r="BE6128">
        <v>0</v>
      </c>
      <c r="BF6128">
        <v>5</v>
      </c>
      <c r="BG6128">
        <v>0</v>
      </c>
    </row>
    <row r="6129" spans="1:59">
      <c r="A6129" s="1">
        <f>HYPERLINK("https://lsnyc.legalserver.org/matter/dynamic-profile/view/1910444","19-1910444")</f>
        <v>0</v>
      </c>
      <c r="B6129" t="s">
        <v>4739</v>
      </c>
      <c r="C6129" t="s">
        <v>9622</v>
      </c>
      <c r="D6129" t="s">
        <v>9935</v>
      </c>
      <c r="E6129" t="s">
        <v>10075</v>
      </c>
      <c r="F6129">
        <v>11369</v>
      </c>
      <c r="G6129" t="s">
        <v>10092</v>
      </c>
      <c r="H6129" t="s">
        <v>10136</v>
      </c>
      <c r="I6129" t="s">
        <v>10168</v>
      </c>
      <c r="J6129" t="s">
        <v>10212</v>
      </c>
      <c r="K6129" t="s">
        <v>10217</v>
      </c>
      <c r="M6129" t="s">
        <v>10410</v>
      </c>
      <c r="N6129" t="s">
        <v>10695</v>
      </c>
      <c r="P6129" t="s">
        <v>10749</v>
      </c>
      <c r="Q6129" t="s">
        <v>10765</v>
      </c>
      <c r="R6129" t="s">
        <v>10828</v>
      </c>
      <c r="T6129">
        <v>15800</v>
      </c>
      <c r="U6129">
        <v>1316.67</v>
      </c>
      <c r="V6129">
        <v>61</v>
      </c>
      <c r="W6129">
        <v>2</v>
      </c>
      <c r="X6129">
        <v>4</v>
      </c>
      <c r="Z6129">
        <v>45.68</v>
      </c>
      <c r="AA6129">
        <v>40.763526</v>
      </c>
      <c r="AB6129">
        <v>-73.86281</v>
      </c>
      <c r="AD6129" t="s">
        <v>10840</v>
      </c>
      <c r="AG6129" t="s">
        <v>10858</v>
      </c>
      <c r="AH6129" t="s">
        <v>10862</v>
      </c>
      <c r="AI6129">
        <v>237</v>
      </c>
      <c r="AJ6129" t="s">
        <v>10212</v>
      </c>
      <c r="AL6129">
        <v>1.2</v>
      </c>
      <c r="AM6129" t="s">
        <v>10885</v>
      </c>
      <c r="AN6129" t="s">
        <v>10916</v>
      </c>
      <c r="AO6129" t="s">
        <v>11014</v>
      </c>
      <c r="AP6129" t="s">
        <v>11068</v>
      </c>
      <c r="AR6129" t="s">
        <v>11257</v>
      </c>
      <c r="AS6129" t="s">
        <v>11594</v>
      </c>
      <c r="BA6129" t="s">
        <v>11742</v>
      </c>
      <c r="BB6129">
        <v>0</v>
      </c>
      <c r="BC6129">
        <v>0</v>
      </c>
      <c r="BD6129">
        <v>0</v>
      </c>
      <c r="BE6129">
        <v>0</v>
      </c>
      <c r="BF6129">
        <v>7</v>
      </c>
      <c r="BG6129">
        <v>0</v>
      </c>
    </row>
    <row r="6130" spans="1:59">
      <c r="A6130" s="1">
        <f>HYPERLINK("https://lsnyc.legalserver.org/matter/dynamic-profile/view/1910445","19-1910445")</f>
        <v>0</v>
      </c>
      <c r="B6130" t="s">
        <v>4740</v>
      </c>
      <c r="C6130" t="s">
        <v>9623</v>
      </c>
      <c r="D6130" t="s">
        <v>9925</v>
      </c>
      <c r="E6130" t="s">
        <v>10075</v>
      </c>
      <c r="F6130">
        <v>10032</v>
      </c>
      <c r="G6130" t="s">
        <v>10089</v>
      </c>
      <c r="H6130" t="s">
        <v>10136</v>
      </c>
      <c r="I6130" t="s">
        <v>10168</v>
      </c>
      <c r="J6130" t="s">
        <v>10209</v>
      </c>
      <c r="K6130" t="s">
        <v>10217</v>
      </c>
      <c r="M6130" t="s">
        <v>10543</v>
      </c>
      <c r="N6130" t="s">
        <v>10650</v>
      </c>
      <c r="P6130" t="s">
        <v>10749</v>
      </c>
      <c r="Q6130" t="s">
        <v>10765</v>
      </c>
      <c r="R6130" t="s">
        <v>10821</v>
      </c>
      <c r="T6130">
        <v>4992</v>
      </c>
      <c r="U6130">
        <v>416</v>
      </c>
      <c r="V6130">
        <v>24</v>
      </c>
      <c r="W6130">
        <v>1</v>
      </c>
      <c r="X6130">
        <v>0</v>
      </c>
      <c r="Z6130">
        <v>39.97</v>
      </c>
      <c r="AA6130">
        <v>40.833512</v>
      </c>
      <c r="AB6130">
        <v>-73.940307</v>
      </c>
      <c r="AD6130" t="s">
        <v>10840</v>
      </c>
      <c r="AG6130" t="s">
        <v>10858</v>
      </c>
      <c r="AH6130" t="s">
        <v>10862</v>
      </c>
      <c r="AI6130">
        <v>236</v>
      </c>
      <c r="AJ6130" t="s">
        <v>10209</v>
      </c>
      <c r="AL6130">
        <v>0.5</v>
      </c>
      <c r="AM6130" t="s">
        <v>10887</v>
      </c>
      <c r="AN6130" t="s">
        <v>10943</v>
      </c>
      <c r="AO6130" t="s">
        <v>11016</v>
      </c>
      <c r="AP6130" t="s">
        <v>11073</v>
      </c>
      <c r="AR6130" t="s">
        <v>11260</v>
      </c>
      <c r="AS6130" t="s">
        <v>9925</v>
      </c>
      <c r="AT6130" t="s">
        <v>11642</v>
      </c>
      <c r="AX6130" t="s">
        <v>10838</v>
      </c>
      <c r="BA6130" t="s">
        <v>11742</v>
      </c>
      <c r="BB6130">
        <v>0</v>
      </c>
      <c r="BC6130">
        <v>0</v>
      </c>
      <c r="BD6130">
        <v>0</v>
      </c>
      <c r="BE6130">
        <v>0</v>
      </c>
      <c r="BF6130">
        <v>7</v>
      </c>
      <c r="BG6130">
        <v>0</v>
      </c>
    </row>
    <row r="6131" spans="1:59">
      <c r="A6131" s="1">
        <f>HYPERLINK("https://lsnyc.legalserver.org/matter/dynamic-profile/view/1910446","19-1910446")</f>
        <v>0</v>
      </c>
      <c r="B6131" t="s">
        <v>4738</v>
      </c>
      <c r="C6131" t="s">
        <v>9624</v>
      </c>
      <c r="D6131" t="s">
        <v>9926</v>
      </c>
      <c r="E6131" t="s">
        <v>10075</v>
      </c>
      <c r="F6131">
        <v>10457</v>
      </c>
      <c r="G6131" t="s">
        <v>10090</v>
      </c>
      <c r="H6131" t="s">
        <v>10159</v>
      </c>
      <c r="I6131" t="s">
        <v>10168</v>
      </c>
      <c r="J6131" t="s">
        <v>10210</v>
      </c>
      <c r="K6131" t="s">
        <v>10217</v>
      </c>
      <c r="M6131" t="s">
        <v>10404</v>
      </c>
      <c r="N6131" t="s">
        <v>10671</v>
      </c>
      <c r="P6131" t="s">
        <v>10751</v>
      </c>
      <c r="Q6131" t="s">
        <v>10761</v>
      </c>
      <c r="R6131" t="s">
        <v>10824</v>
      </c>
      <c r="T6131">
        <v>46240</v>
      </c>
      <c r="U6131">
        <v>3853.33</v>
      </c>
      <c r="V6131">
        <v>39</v>
      </c>
      <c r="W6131">
        <v>2</v>
      </c>
      <c r="X6131">
        <v>2</v>
      </c>
      <c r="Z6131">
        <v>179.57</v>
      </c>
      <c r="AA6131">
        <v>0</v>
      </c>
      <c r="AB6131">
        <v>0</v>
      </c>
      <c r="AD6131" t="s">
        <v>10839</v>
      </c>
      <c r="AG6131" t="s">
        <v>10858</v>
      </c>
      <c r="AH6131" t="s">
        <v>10862</v>
      </c>
      <c r="AI6131">
        <v>230</v>
      </c>
      <c r="AJ6131" t="s">
        <v>10210</v>
      </c>
      <c r="AL6131">
        <v>0</v>
      </c>
      <c r="AR6131" t="s">
        <v>11280</v>
      </c>
      <c r="AS6131" t="s">
        <v>9926</v>
      </c>
      <c r="AT6131" t="s">
        <v>11641</v>
      </c>
      <c r="AX6131" t="s">
        <v>10838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</row>
    <row r="6132" spans="1:59">
      <c r="A6132" s="1">
        <f>HYPERLINK("https://lsnyc.legalserver.org/matter/dynamic-profile/view/1910447","19-1910447")</f>
        <v>0</v>
      </c>
      <c r="B6132" t="s">
        <v>4741</v>
      </c>
      <c r="C6132" t="s">
        <v>9625</v>
      </c>
      <c r="D6132" t="s">
        <v>9928</v>
      </c>
      <c r="E6132" t="s">
        <v>10075</v>
      </c>
      <c r="F6132">
        <v>11230</v>
      </c>
      <c r="G6132" t="s">
        <v>10093</v>
      </c>
      <c r="H6132" t="s">
        <v>10136</v>
      </c>
      <c r="I6132" t="s">
        <v>10168</v>
      </c>
      <c r="J6132" t="s">
        <v>10213</v>
      </c>
      <c r="K6132" t="s">
        <v>10217</v>
      </c>
      <c r="M6132" t="s">
        <v>10528</v>
      </c>
      <c r="N6132" t="s">
        <v>10664</v>
      </c>
      <c r="P6132" t="s">
        <v>10749</v>
      </c>
      <c r="Q6132" t="s">
        <v>10765</v>
      </c>
      <c r="R6132" t="s">
        <v>10828</v>
      </c>
      <c r="T6132">
        <v>24500</v>
      </c>
      <c r="U6132">
        <v>2041.67</v>
      </c>
      <c r="V6132">
        <v>52</v>
      </c>
      <c r="W6132">
        <v>3</v>
      </c>
      <c r="X6132">
        <v>0</v>
      </c>
      <c r="Z6132">
        <v>114.86</v>
      </c>
      <c r="AA6132">
        <v>40.632193</v>
      </c>
      <c r="AB6132">
        <v>-73.97257999999999</v>
      </c>
      <c r="AD6132" t="s">
        <v>10840</v>
      </c>
      <c r="AG6132" t="s">
        <v>10858</v>
      </c>
      <c r="AH6132" t="s">
        <v>10862</v>
      </c>
      <c r="AI6132">
        <v>239</v>
      </c>
      <c r="AJ6132" t="s">
        <v>10213</v>
      </c>
      <c r="AL6132">
        <v>0</v>
      </c>
      <c r="AM6132" t="s">
        <v>10888</v>
      </c>
      <c r="AN6132" t="s">
        <v>10941</v>
      </c>
      <c r="AO6132" t="s">
        <v>11015</v>
      </c>
      <c r="AP6132" t="s">
        <v>11079</v>
      </c>
      <c r="AR6132" t="s">
        <v>11257</v>
      </c>
      <c r="AS6132" t="s">
        <v>11595</v>
      </c>
      <c r="BA6132" t="s">
        <v>11740</v>
      </c>
      <c r="BB6132">
        <v>0</v>
      </c>
      <c r="BC6132">
        <v>0</v>
      </c>
      <c r="BD6132">
        <v>0</v>
      </c>
      <c r="BE6132">
        <v>0</v>
      </c>
      <c r="BF6132">
        <v>2</v>
      </c>
      <c r="BG6132">
        <v>0</v>
      </c>
    </row>
    <row r="6133" spans="1:59">
      <c r="A6133" s="1">
        <f>HYPERLINK("https://lsnyc.legalserver.org/matter/dynamic-profile/view/1910448","19-1910448")</f>
        <v>0</v>
      </c>
      <c r="B6133" t="s">
        <v>4742</v>
      </c>
      <c r="C6133" t="s">
        <v>9626</v>
      </c>
      <c r="D6133" t="s">
        <v>9968</v>
      </c>
      <c r="E6133" t="s">
        <v>10075</v>
      </c>
      <c r="F6133">
        <v>11411</v>
      </c>
      <c r="G6133" t="s">
        <v>10092</v>
      </c>
      <c r="H6133" t="s">
        <v>10156</v>
      </c>
      <c r="I6133" t="s">
        <v>10168</v>
      </c>
      <c r="J6133" t="s">
        <v>10212</v>
      </c>
      <c r="K6133" t="s">
        <v>10217</v>
      </c>
      <c r="M6133" t="s">
        <v>10355</v>
      </c>
      <c r="N6133" t="s">
        <v>10699</v>
      </c>
      <c r="P6133" t="s">
        <v>10754</v>
      </c>
      <c r="Q6133" t="s">
        <v>10775</v>
      </c>
      <c r="R6133" t="s">
        <v>10824</v>
      </c>
      <c r="T6133">
        <v>15600</v>
      </c>
      <c r="U6133">
        <v>1300</v>
      </c>
      <c r="V6133">
        <v>43</v>
      </c>
      <c r="W6133">
        <v>2</v>
      </c>
      <c r="X6133">
        <v>3</v>
      </c>
      <c r="Z6133">
        <v>51.71</v>
      </c>
      <c r="AA6133">
        <v>40.700929</v>
      </c>
      <c r="AB6133">
        <v>-73.744018</v>
      </c>
      <c r="AD6133" t="s">
        <v>10839</v>
      </c>
      <c r="AF6133" t="s">
        <v>10842</v>
      </c>
      <c r="AG6133" t="s">
        <v>10859</v>
      </c>
      <c r="AH6133" t="s">
        <v>10865</v>
      </c>
      <c r="AI6133">
        <v>237</v>
      </c>
      <c r="AJ6133" t="s">
        <v>10212</v>
      </c>
      <c r="AL6133">
        <v>1.5</v>
      </c>
      <c r="AM6133" t="s">
        <v>10892</v>
      </c>
      <c r="AN6133" t="s">
        <v>10940</v>
      </c>
      <c r="AO6133" t="s">
        <v>11020</v>
      </c>
      <c r="AP6133" t="s">
        <v>11075</v>
      </c>
      <c r="AQ6133" t="s">
        <v>11106</v>
      </c>
      <c r="AR6133" t="s">
        <v>11257</v>
      </c>
      <c r="AS6133" t="s">
        <v>11594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</row>
    <row r="6134" spans="1:59">
      <c r="A6134" s="1">
        <f>HYPERLINK("https://lsnyc.legalserver.org/matter/dynamic-profile/view/1910449","19-1910449")</f>
        <v>0</v>
      </c>
      <c r="B6134" t="s">
        <v>4743</v>
      </c>
      <c r="C6134" t="s">
        <v>9627</v>
      </c>
      <c r="D6134" t="s">
        <v>9928</v>
      </c>
      <c r="E6134" t="s">
        <v>10075</v>
      </c>
      <c r="F6134">
        <v>11219</v>
      </c>
      <c r="G6134" t="s">
        <v>10093</v>
      </c>
      <c r="H6134" t="s">
        <v>10136</v>
      </c>
      <c r="I6134" t="s">
        <v>10191</v>
      </c>
      <c r="J6134" t="s">
        <v>10213</v>
      </c>
      <c r="K6134" t="s">
        <v>10217</v>
      </c>
      <c r="M6134" t="s">
        <v>10289</v>
      </c>
      <c r="N6134" t="s">
        <v>10671</v>
      </c>
      <c r="P6134" t="s">
        <v>10757</v>
      </c>
      <c r="Q6134" t="s">
        <v>10789</v>
      </c>
      <c r="R6134" t="s">
        <v>10820</v>
      </c>
      <c r="T6134">
        <v>14496</v>
      </c>
      <c r="U6134">
        <v>1208</v>
      </c>
      <c r="V6134">
        <v>73</v>
      </c>
      <c r="W6134">
        <v>1</v>
      </c>
      <c r="X6134">
        <v>0</v>
      </c>
      <c r="Z6134">
        <v>116.06</v>
      </c>
      <c r="AA6134">
        <v>40.632968</v>
      </c>
      <c r="AB6134">
        <v>-74.00427000000001</v>
      </c>
      <c r="AD6134" t="s">
        <v>10840</v>
      </c>
      <c r="AF6134" t="s">
        <v>10843</v>
      </c>
      <c r="AG6134" t="s">
        <v>10859</v>
      </c>
      <c r="AH6134" t="s">
        <v>10861</v>
      </c>
      <c r="AI6134">
        <v>234</v>
      </c>
      <c r="AJ6134" t="s">
        <v>10214</v>
      </c>
      <c r="AL6134">
        <v>1</v>
      </c>
      <c r="AM6134" t="s">
        <v>10886</v>
      </c>
      <c r="AN6134" t="s">
        <v>10947</v>
      </c>
      <c r="AO6134" t="s">
        <v>11015</v>
      </c>
      <c r="AP6134" t="s">
        <v>11069</v>
      </c>
      <c r="AR6134" t="s">
        <v>11364</v>
      </c>
      <c r="AS6134" t="s">
        <v>11595</v>
      </c>
      <c r="AT6134" t="s">
        <v>11641</v>
      </c>
      <c r="AX6134" t="s">
        <v>10838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</row>
    <row r="6135" spans="1:59">
      <c r="A6135" s="1">
        <f>HYPERLINK("https://lsnyc.legalserver.org/matter/dynamic-profile/view/1910450","19-1910450")</f>
        <v>0</v>
      </c>
      <c r="B6135" t="s">
        <v>4744</v>
      </c>
      <c r="C6135" t="s">
        <v>9628</v>
      </c>
      <c r="D6135" t="s">
        <v>9928</v>
      </c>
      <c r="E6135" t="s">
        <v>10075</v>
      </c>
      <c r="F6135">
        <v>11212</v>
      </c>
      <c r="G6135" t="s">
        <v>10093</v>
      </c>
      <c r="H6135" t="s">
        <v>10136</v>
      </c>
      <c r="I6135" t="s">
        <v>10168</v>
      </c>
      <c r="J6135" t="s">
        <v>10213</v>
      </c>
      <c r="K6135" t="s">
        <v>10217</v>
      </c>
      <c r="M6135" t="s">
        <v>10348</v>
      </c>
      <c r="N6135" t="s">
        <v>10650</v>
      </c>
      <c r="P6135" t="s">
        <v>10751</v>
      </c>
      <c r="Q6135" t="s">
        <v>10761</v>
      </c>
      <c r="R6135" t="s">
        <v>10824</v>
      </c>
      <c r="T6135">
        <v>58595</v>
      </c>
      <c r="U6135">
        <v>4882.92</v>
      </c>
      <c r="V6135">
        <v>25</v>
      </c>
      <c r="W6135">
        <v>3</v>
      </c>
      <c r="X6135">
        <v>1</v>
      </c>
      <c r="Z6135">
        <v>227.55</v>
      </c>
      <c r="AA6135">
        <v>40.66494</v>
      </c>
      <c r="AB6135">
        <v>-73.923869</v>
      </c>
      <c r="AD6135" t="s">
        <v>10839</v>
      </c>
      <c r="AG6135" t="s">
        <v>10858</v>
      </c>
      <c r="AH6135" t="s">
        <v>10861</v>
      </c>
      <c r="AI6135">
        <v>239</v>
      </c>
      <c r="AJ6135" t="s">
        <v>10213</v>
      </c>
      <c r="AL6135">
        <v>1</v>
      </c>
      <c r="AM6135" t="s">
        <v>10888</v>
      </c>
      <c r="AN6135" t="s">
        <v>10922</v>
      </c>
      <c r="AO6135" t="s">
        <v>11005</v>
      </c>
      <c r="AP6135" t="s">
        <v>11064</v>
      </c>
      <c r="AQ6135" t="s">
        <v>11135</v>
      </c>
      <c r="AR6135" t="s">
        <v>11278</v>
      </c>
      <c r="AS6135" t="s">
        <v>11595</v>
      </c>
      <c r="AT6135" t="s">
        <v>11641</v>
      </c>
      <c r="AX6135" t="s">
        <v>10838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</row>
    <row r="6136" spans="1:59">
      <c r="A6136" s="1">
        <f>HYPERLINK("https://lsnyc.legalserver.org/matter/dynamic-profile/view/1910451","19-1910451")</f>
        <v>0</v>
      </c>
      <c r="B6136" t="s">
        <v>3821</v>
      </c>
      <c r="C6136" t="s">
        <v>9629</v>
      </c>
      <c r="D6136" t="s">
        <v>9940</v>
      </c>
      <c r="E6136" t="s">
        <v>10075</v>
      </c>
      <c r="F6136">
        <v>11421</v>
      </c>
      <c r="G6136" t="s">
        <v>10092</v>
      </c>
      <c r="H6136" t="s">
        <v>10136</v>
      </c>
      <c r="I6136" t="s">
        <v>10169</v>
      </c>
      <c r="J6136" t="s">
        <v>10212</v>
      </c>
      <c r="K6136" t="s">
        <v>10217</v>
      </c>
      <c r="M6136" t="s">
        <v>10347</v>
      </c>
      <c r="N6136" t="s">
        <v>10695</v>
      </c>
      <c r="P6136" t="s">
        <v>10749</v>
      </c>
      <c r="Q6136" t="s">
        <v>10765</v>
      </c>
      <c r="R6136" t="s">
        <v>10821</v>
      </c>
      <c r="T6136">
        <v>14000</v>
      </c>
      <c r="U6136">
        <v>1166.67</v>
      </c>
      <c r="V6136">
        <v>33</v>
      </c>
      <c r="W6136">
        <v>1</v>
      </c>
      <c r="X6136">
        <v>2</v>
      </c>
      <c r="Z6136">
        <v>65.64</v>
      </c>
      <c r="AA6136">
        <v>40.687033</v>
      </c>
      <c r="AB6136">
        <v>-73.86211</v>
      </c>
      <c r="AD6136" t="s">
        <v>10839</v>
      </c>
      <c r="AF6136" t="s">
        <v>10842</v>
      </c>
      <c r="AG6136" t="s">
        <v>10859</v>
      </c>
      <c r="AH6136" t="s">
        <v>10862</v>
      </c>
      <c r="AI6136">
        <v>237</v>
      </c>
      <c r="AJ6136" t="s">
        <v>10212</v>
      </c>
      <c r="AL6136">
        <v>0.9</v>
      </c>
      <c r="AM6136" t="s">
        <v>10886</v>
      </c>
      <c r="AN6136" t="s">
        <v>10945</v>
      </c>
      <c r="AO6136" t="s">
        <v>11003</v>
      </c>
      <c r="AP6136" t="s">
        <v>11077</v>
      </c>
      <c r="AR6136" t="s">
        <v>11257</v>
      </c>
      <c r="AS6136" t="s">
        <v>11594</v>
      </c>
      <c r="BA6136" t="s">
        <v>11742</v>
      </c>
      <c r="BB6136">
        <v>0</v>
      </c>
      <c r="BC6136">
        <v>0</v>
      </c>
      <c r="BD6136">
        <v>0</v>
      </c>
      <c r="BE6136">
        <v>0</v>
      </c>
      <c r="BF6136">
        <v>7</v>
      </c>
      <c r="BG6136">
        <v>0</v>
      </c>
    </row>
    <row r="6137" spans="1:59">
      <c r="A6137" s="1">
        <f>HYPERLINK("https://lsnyc.legalserver.org/matter/dynamic-profile/view/1910452","19-1910452")</f>
        <v>0</v>
      </c>
      <c r="B6137" t="s">
        <v>4745</v>
      </c>
      <c r="C6137" t="s">
        <v>9630</v>
      </c>
      <c r="D6137" t="s">
        <v>9929</v>
      </c>
      <c r="E6137" t="s">
        <v>10075</v>
      </c>
      <c r="F6137">
        <v>10306</v>
      </c>
      <c r="G6137" t="s">
        <v>10088</v>
      </c>
      <c r="H6137" t="s">
        <v>10135</v>
      </c>
      <c r="I6137" t="s">
        <v>10168</v>
      </c>
      <c r="J6137" t="s">
        <v>10208</v>
      </c>
      <c r="K6137" t="s">
        <v>10217</v>
      </c>
      <c r="M6137" t="s">
        <v>10478</v>
      </c>
      <c r="N6137" t="s">
        <v>10740</v>
      </c>
      <c r="P6137" t="s">
        <v>10755</v>
      </c>
      <c r="Q6137" t="s">
        <v>10772</v>
      </c>
      <c r="R6137" t="s">
        <v>10820</v>
      </c>
      <c r="T6137">
        <v>49400</v>
      </c>
      <c r="U6137">
        <v>4116.67</v>
      </c>
      <c r="V6137">
        <v>11</v>
      </c>
      <c r="W6137">
        <v>1</v>
      </c>
      <c r="X6137">
        <v>2</v>
      </c>
      <c r="Z6137">
        <v>231.6</v>
      </c>
      <c r="AA6137">
        <v>40.566022</v>
      </c>
      <c r="AB6137">
        <v>-74.106146</v>
      </c>
      <c r="AD6137" t="s">
        <v>10840</v>
      </c>
      <c r="AG6137" t="s">
        <v>10858</v>
      </c>
      <c r="AH6137" t="s">
        <v>10861</v>
      </c>
      <c r="AI6137">
        <v>285</v>
      </c>
      <c r="AJ6137" t="s">
        <v>10208</v>
      </c>
      <c r="AL6137">
        <v>0.7</v>
      </c>
      <c r="AM6137" t="s">
        <v>10883</v>
      </c>
      <c r="AN6137" t="s">
        <v>10915</v>
      </c>
      <c r="AO6137" t="s">
        <v>10999</v>
      </c>
      <c r="AP6137" t="s">
        <v>11063</v>
      </c>
      <c r="AR6137" t="s">
        <v>11257</v>
      </c>
      <c r="AS6137" t="s">
        <v>11593</v>
      </c>
      <c r="AT6137" t="s">
        <v>11642</v>
      </c>
      <c r="AX6137" t="s">
        <v>10838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</row>
    <row r="6138" spans="1:59">
      <c r="A6138" s="1">
        <f>HYPERLINK("https://lsnyc.legalserver.org/matter/dynamic-profile/view/1910453","19-1910453")</f>
        <v>0</v>
      </c>
      <c r="B6138" t="s">
        <v>4746</v>
      </c>
      <c r="C6138" t="s">
        <v>9631</v>
      </c>
      <c r="D6138" t="s">
        <v>9928</v>
      </c>
      <c r="E6138" t="s">
        <v>10075</v>
      </c>
      <c r="F6138">
        <v>11211</v>
      </c>
      <c r="G6138" t="s">
        <v>10093</v>
      </c>
      <c r="H6138" t="s">
        <v>10136</v>
      </c>
      <c r="I6138" t="s">
        <v>10169</v>
      </c>
      <c r="J6138" t="s">
        <v>10213</v>
      </c>
      <c r="K6138" t="s">
        <v>10217</v>
      </c>
      <c r="M6138" t="s">
        <v>10583</v>
      </c>
      <c r="N6138" t="s">
        <v>10671</v>
      </c>
      <c r="P6138" t="s">
        <v>10749</v>
      </c>
      <c r="Q6138" t="s">
        <v>10765</v>
      </c>
      <c r="R6138" t="s">
        <v>10823</v>
      </c>
      <c r="T6138">
        <v>9600</v>
      </c>
      <c r="U6138">
        <v>800</v>
      </c>
      <c r="V6138">
        <v>99</v>
      </c>
      <c r="W6138">
        <v>1</v>
      </c>
      <c r="X6138">
        <v>0</v>
      </c>
      <c r="Z6138">
        <v>76.86</v>
      </c>
      <c r="AA6138">
        <v>40.70988</v>
      </c>
      <c r="AB6138">
        <v>-73.953456</v>
      </c>
      <c r="AD6138" t="s">
        <v>10839</v>
      </c>
      <c r="AG6138" t="s">
        <v>10858</v>
      </c>
      <c r="AH6138" t="s">
        <v>10861</v>
      </c>
      <c r="AI6138">
        <v>234</v>
      </c>
      <c r="AJ6138" t="s">
        <v>10214</v>
      </c>
      <c r="AL6138">
        <v>0.8</v>
      </c>
      <c r="AM6138" t="s">
        <v>10886</v>
      </c>
      <c r="AN6138" t="s">
        <v>10942</v>
      </c>
      <c r="AO6138" t="s">
        <v>11011</v>
      </c>
      <c r="AP6138" t="s">
        <v>11071</v>
      </c>
      <c r="AR6138" t="s">
        <v>11274</v>
      </c>
      <c r="AS6138" t="s">
        <v>11595</v>
      </c>
      <c r="AT6138" t="s">
        <v>11641</v>
      </c>
      <c r="AX6138" t="s">
        <v>10838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</row>
    <row r="6139" spans="1:59">
      <c r="A6139" s="1">
        <f>HYPERLINK("https://lsnyc.legalserver.org/matter/dynamic-profile/view/1910454","19-1910454")</f>
        <v>0</v>
      </c>
      <c r="B6139" t="s">
        <v>3736</v>
      </c>
      <c r="C6139" t="s">
        <v>8556</v>
      </c>
      <c r="D6139" t="s">
        <v>9928</v>
      </c>
      <c r="E6139" t="s">
        <v>10075</v>
      </c>
      <c r="F6139">
        <v>11208</v>
      </c>
      <c r="G6139" t="s">
        <v>10093</v>
      </c>
      <c r="H6139" t="s">
        <v>10136</v>
      </c>
      <c r="I6139" t="s">
        <v>10168</v>
      </c>
      <c r="J6139" t="s">
        <v>10213</v>
      </c>
      <c r="K6139" t="s">
        <v>10217</v>
      </c>
      <c r="M6139" t="s">
        <v>10426</v>
      </c>
      <c r="N6139" t="s">
        <v>10671</v>
      </c>
      <c r="P6139" t="s">
        <v>10751</v>
      </c>
      <c r="Q6139" t="s">
        <v>10761</v>
      </c>
      <c r="R6139" t="s">
        <v>10824</v>
      </c>
      <c r="T6139">
        <v>2580</v>
      </c>
      <c r="U6139">
        <v>215</v>
      </c>
      <c r="V6139">
        <v>32</v>
      </c>
      <c r="W6139">
        <v>1</v>
      </c>
      <c r="X6139">
        <v>0</v>
      </c>
      <c r="Z6139">
        <v>20.66</v>
      </c>
      <c r="AA6139">
        <v>40.678338</v>
      </c>
      <c r="AB6139">
        <v>-73.868967</v>
      </c>
      <c r="AD6139" t="s">
        <v>10840</v>
      </c>
      <c r="AG6139" t="s">
        <v>10858</v>
      </c>
      <c r="AH6139" t="s">
        <v>10874</v>
      </c>
      <c r="AI6139">
        <v>239</v>
      </c>
      <c r="AJ6139" t="s">
        <v>10213</v>
      </c>
      <c r="AL6139">
        <v>0.5</v>
      </c>
      <c r="AM6139" t="s">
        <v>10889</v>
      </c>
      <c r="AN6139" t="s">
        <v>10920</v>
      </c>
      <c r="AO6139" t="s">
        <v>11012</v>
      </c>
      <c r="AP6139" t="s">
        <v>11058</v>
      </c>
      <c r="AR6139" t="s">
        <v>11273</v>
      </c>
      <c r="AS6139" t="s">
        <v>11595</v>
      </c>
      <c r="BA6139" t="s">
        <v>11740</v>
      </c>
      <c r="BB6139">
        <v>0</v>
      </c>
      <c r="BC6139">
        <v>0</v>
      </c>
      <c r="BD6139">
        <v>0</v>
      </c>
      <c r="BE6139">
        <v>0</v>
      </c>
      <c r="BF6139">
        <v>2</v>
      </c>
      <c r="BG6139">
        <v>0</v>
      </c>
    </row>
    <row r="6140" spans="1:59">
      <c r="A6140" s="1">
        <f>HYPERLINK("https://lsnyc.legalserver.org/matter/dynamic-profile/view/1910455","19-1910455")</f>
        <v>0</v>
      </c>
      <c r="B6140" t="s">
        <v>4747</v>
      </c>
      <c r="C6140" t="s">
        <v>9632</v>
      </c>
      <c r="D6140" t="s">
        <v>9928</v>
      </c>
      <c r="E6140" t="s">
        <v>10075</v>
      </c>
      <c r="F6140">
        <v>11225</v>
      </c>
      <c r="G6140" t="s">
        <v>10093</v>
      </c>
      <c r="H6140" t="s">
        <v>10136</v>
      </c>
      <c r="I6140" t="s">
        <v>10168</v>
      </c>
      <c r="J6140" t="s">
        <v>10213</v>
      </c>
      <c r="K6140" t="s">
        <v>10217</v>
      </c>
      <c r="M6140" t="s">
        <v>10264</v>
      </c>
      <c r="N6140" t="s">
        <v>10667</v>
      </c>
      <c r="P6140" t="s">
        <v>10749</v>
      </c>
      <c r="Q6140" t="s">
        <v>10765</v>
      </c>
      <c r="R6140" t="s">
        <v>10824</v>
      </c>
      <c r="T6140">
        <v>0</v>
      </c>
      <c r="U6140">
        <v>0</v>
      </c>
      <c r="V6140">
        <v>46</v>
      </c>
      <c r="W6140">
        <v>2</v>
      </c>
      <c r="X6140">
        <v>1</v>
      </c>
      <c r="Z6140">
        <v>0</v>
      </c>
      <c r="AA6140">
        <v>40.665459</v>
      </c>
      <c r="AB6140">
        <v>-73.95728200000001</v>
      </c>
      <c r="AD6140" t="s">
        <v>10840</v>
      </c>
      <c r="AG6140" t="s">
        <v>10858</v>
      </c>
      <c r="AH6140" t="s">
        <v>10861</v>
      </c>
      <c r="AI6140">
        <v>239</v>
      </c>
      <c r="AJ6140" t="s">
        <v>10213</v>
      </c>
      <c r="AL6140">
        <v>3.2</v>
      </c>
      <c r="AM6140" t="s">
        <v>10888</v>
      </c>
      <c r="AN6140" t="s">
        <v>10923</v>
      </c>
      <c r="AO6140" t="s">
        <v>11005</v>
      </c>
      <c r="AP6140" t="s">
        <v>11061</v>
      </c>
      <c r="AR6140" t="s">
        <v>11279</v>
      </c>
      <c r="AS6140" t="s">
        <v>11595</v>
      </c>
      <c r="BA6140" t="s">
        <v>11741</v>
      </c>
      <c r="BB6140">
        <v>0</v>
      </c>
      <c r="BC6140">
        <v>0</v>
      </c>
      <c r="BD6140">
        <v>0</v>
      </c>
      <c r="BE6140">
        <v>0</v>
      </c>
      <c r="BF6140">
        <v>1</v>
      </c>
      <c r="BG6140">
        <v>0</v>
      </c>
    </row>
    <row r="6141" spans="1:59">
      <c r="A6141" s="1">
        <f>HYPERLINK("https://lsnyc.legalserver.org/matter/dynamic-profile/view/1910457","19-1910457")</f>
        <v>0</v>
      </c>
      <c r="B6141" t="s">
        <v>2294</v>
      </c>
      <c r="C6141" t="s">
        <v>9633</v>
      </c>
      <c r="D6141" t="s">
        <v>9930</v>
      </c>
      <c r="E6141" t="s">
        <v>10075</v>
      </c>
      <c r="F6141">
        <v>11373</v>
      </c>
      <c r="G6141" t="s">
        <v>10092</v>
      </c>
      <c r="H6141" t="s">
        <v>10136</v>
      </c>
      <c r="I6141" t="s">
        <v>10168</v>
      </c>
      <c r="J6141" t="s">
        <v>10212</v>
      </c>
      <c r="K6141" t="s">
        <v>10217</v>
      </c>
      <c r="M6141" t="s">
        <v>10491</v>
      </c>
      <c r="N6141" t="s">
        <v>10693</v>
      </c>
      <c r="P6141" t="s">
        <v>10749</v>
      </c>
      <c r="Q6141" t="s">
        <v>10765</v>
      </c>
      <c r="R6141" t="s">
        <v>10828</v>
      </c>
      <c r="T6141">
        <v>18000</v>
      </c>
      <c r="U6141">
        <v>1500</v>
      </c>
      <c r="V6141">
        <v>61</v>
      </c>
      <c r="W6141">
        <v>2</v>
      </c>
      <c r="X6141">
        <v>2</v>
      </c>
      <c r="Z6141">
        <v>69.90000000000001</v>
      </c>
      <c r="AA6141">
        <v>40.743437</v>
      </c>
      <c r="AB6141">
        <v>-73.879148</v>
      </c>
      <c r="AD6141" t="s">
        <v>10840</v>
      </c>
      <c r="AG6141" t="s">
        <v>10858</v>
      </c>
      <c r="AH6141" t="s">
        <v>10862</v>
      </c>
      <c r="AI6141">
        <v>237</v>
      </c>
      <c r="AJ6141" t="s">
        <v>10212</v>
      </c>
      <c r="AL6141">
        <v>1.3</v>
      </c>
      <c r="AM6141" t="s">
        <v>10890</v>
      </c>
      <c r="AN6141" t="s">
        <v>10949</v>
      </c>
      <c r="AO6141" t="s">
        <v>11009</v>
      </c>
      <c r="AP6141" t="s">
        <v>11053</v>
      </c>
      <c r="AR6141" t="s">
        <v>11257</v>
      </c>
      <c r="AS6141" t="s">
        <v>11594</v>
      </c>
      <c r="BA6141" t="s">
        <v>11742</v>
      </c>
      <c r="BB6141">
        <v>0</v>
      </c>
      <c r="BC6141">
        <v>0</v>
      </c>
      <c r="BD6141">
        <v>0</v>
      </c>
      <c r="BE6141">
        <v>0</v>
      </c>
      <c r="BF6141">
        <v>7</v>
      </c>
      <c r="BG6141">
        <v>0</v>
      </c>
    </row>
    <row r="6142" spans="1:59">
      <c r="A6142" s="1">
        <f>HYPERLINK("https://lsnyc.legalserver.org/matter/dynamic-profile/view/1910458","19-1910458")</f>
        <v>0</v>
      </c>
      <c r="B6142" t="s">
        <v>4748</v>
      </c>
      <c r="C6142" t="s">
        <v>9634</v>
      </c>
      <c r="D6142" t="s">
        <v>9925</v>
      </c>
      <c r="E6142" t="s">
        <v>10075</v>
      </c>
      <c r="F6142">
        <v>10032</v>
      </c>
      <c r="G6142" t="s">
        <v>10089</v>
      </c>
      <c r="H6142" t="s">
        <v>10136</v>
      </c>
      <c r="I6142" t="s">
        <v>10168</v>
      </c>
      <c r="J6142" t="s">
        <v>10209</v>
      </c>
      <c r="K6142" t="s">
        <v>10217</v>
      </c>
      <c r="M6142" t="s">
        <v>10604</v>
      </c>
      <c r="N6142" t="s">
        <v>10650</v>
      </c>
      <c r="P6142" t="s">
        <v>10749</v>
      </c>
      <c r="Q6142" t="s">
        <v>10765</v>
      </c>
      <c r="R6142" t="s">
        <v>10821</v>
      </c>
      <c r="T6142">
        <v>10644</v>
      </c>
      <c r="U6142">
        <v>887</v>
      </c>
      <c r="V6142">
        <v>57</v>
      </c>
      <c r="W6142">
        <v>2</v>
      </c>
      <c r="X6142">
        <v>0</v>
      </c>
      <c r="Z6142">
        <v>62.95</v>
      </c>
      <c r="AA6142">
        <v>40.844577</v>
      </c>
      <c r="AB6142">
        <v>-73.941631</v>
      </c>
      <c r="AD6142" t="s">
        <v>10839</v>
      </c>
      <c r="AG6142" t="s">
        <v>10858</v>
      </c>
      <c r="AH6142" t="s">
        <v>10862</v>
      </c>
      <c r="AI6142">
        <v>236</v>
      </c>
      <c r="AJ6142" t="s">
        <v>10209</v>
      </c>
      <c r="AL6142">
        <v>0.9</v>
      </c>
      <c r="AM6142" t="s">
        <v>10887</v>
      </c>
      <c r="AN6142" t="s">
        <v>10943</v>
      </c>
      <c r="AO6142" t="s">
        <v>11019</v>
      </c>
      <c r="AP6142" t="s">
        <v>11074</v>
      </c>
      <c r="AR6142" t="s">
        <v>11263</v>
      </c>
      <c r="AS6142" t="s">
        <v>9925</v>
      </c>
      <c r="AT6142" t="s">
        <v>11641</v>
      </c>
      <c r="AX6142" t="s">
        <v>10838</v>
      </c>
      <c r="BA6142" t="s">
        <v>11740</v>
      </c>
      <c r="BB6142">
        <v>0</v>
      </c>
      <c r="BC6142">
        <v>0</v>
      </c>
      <c r="BD6142">
        <v>0</v>
      </c>
      <c r="BE6142">
        <v>0</v>
      </c>
      <c r="BF6142">
        <v>2</v>
      </c>
      <c r="BG6142">
        <v>0</v>
      </c>
    </row>
    <row r="6143" spans="1:59">
      <c r="A6143" s="1">
        <f>HYPERLINK("https://lsnyc.legalserver.org/matter/dynamic-profile/view/1910459","19-1910459")</f>
        <v>0</v>
      </c>
      <c r="B6143" t="s">
        <v>4749</v>
      </c>
      <c r="C6143" t="s">
        <v>9635</v>
      </c>
      <c r="D6143" t="s">
        <v>9925</v>
      </c>
      <c r="E6143" t="s">
        <v>10075</v>
      </c>
      <c r="F6143">
        <v>10035</v>
      </c>
      <c r="G6143" t="s">
        <v>10089</v>
      </c>
      <c r="H6143" t="s">
        <v>10136</v>
      </c>
      <c r="I6143" t="s">
        <v>10168</v>
      </c>
      <c r="J6143" t="s">
        <v>10209</v>
      </c>
      <c r="K6143" t="s">
        <v>10217</v>
      </c>
      <c r="M6143" t="s">
        <v>10589</v>
      </c>
      <c r="N6143" t="s">
        <v>10650</v>
      </c>
      <c r="P6143" t="s">
        <v>10749</v>
      </c>
      <c r="Q6143" t="s">
        <v>10765</v>
      </c>
      <c r="R6143" t="s">
        <v>10821</v>
      </c>
      <c r="T6143">
        <v>25900</v>
      </c>
      <c r="U6143">
        <v>2158.33</v>
      </c>
      <c r="V6143">
        <v>31</v>
      </c>
      <c r="W6143">
        <v>3</v>
      </c>
      <c r="X6143">
        <v>1</v>
      </c>
      <c r="Z6143">
        <v>100.58</v>
      </c>
      <c r="AA6143">
        <v>40.808241</v>
      </c>
      <c r="AB6143">
        <v>-73.93799199999999</v>
      </c>
      <c r="AD6143" t="s">
        <v>10839</v>
      </c>
      <c r="AG6143" t="s">
        <v>10858</v>
      </c>
      <c r="AH6143" t="s">
        <v>10862</v>
      </c>
      <c r="AI6143">
        <v>236</v>
      </c>
      <c r="AJ6143" t="s">
        <v>10209</v>
      </c>
      <c r="AL6143">
        <v>0.75</v>
      </c>
      <c r="AM6143" t="s">
        <v>10887</v>
      </c>
      <c r="AN6143" t="s">
        <v>10926</v>
      </c>
      <c r="AO6143" t="s">
        <v>11016</v>
      </c>
      <c r="AP6143" t="s">
        <v>11076</v>
      </c>
      <c r="AR6143" t="s">
        <v>11282</v>
      </c>
      <c r="AS6143" t="s">
        <v>9925</v>
      </c>
      <c r="AT6143" t="s">
        <v>11641</v>
      </c>
      <c r="AX6143" t="s">
        <v>10838</v>
      </c>
      <c r="BA6143" t="s">
        <v>11738</v>
      </c>
      <c r="BB6143">
        <v>0</v>
      </c>
      <c r="BC6143">
        <v>0</v>
      </c>
      <c r="BD6143">
        <v>0</v>
      </c>
      <c r="BE6143">
        <v>0</v>
      </c>
      <c r="BF6143">
        <v>5</v>
      </c>
      <c r="BG6143">
        <v>0</v>
      </c>
    </row>
    <row r="6144" spans="1:59">
      <c r="A6144" s="1">
        <f>HYPERLINK("https://lsnyc.legalserver.org/matter/dynamic-profile/view/1910460","19-1910460")</f>
        <v>0</v>
      </c>
      <c r="B6144" t="s">
        <v>4750</v>
      </c>
      <c r="C6144" t="s">
        <v>8173</v>
      </c>
      <c r="D6144" t="s">
        <v>9926</v>
      </c>
      <c r="E6144" t="s">
        <v>10075</v>
      </c>
      <c r="F6144">
        <v>10457</v>
      </c>
      <c r="G6144" t="s">
        <v>10090</v>
      </c>
      <c r="H6144" t="s">
        <v>10137</v>
      </c>
      <c r="I6144" t="s">
        <v>10168</v>
      </c>
      <c r="J6144" t="s">
        <v>10210</v>
      </c>
      <c r="K6144" t="s">
        <v>10217</v>
      </c>
      <c r="M6144" t="s">
        <v>10404</v>
      </c>
      <c r="N6144" t="s">
        <v>10671</v>
      </c>
      <c r="P6144" t="s">
        <v>10751</v>
      </c>
      <c r="Q6144" t="s">
        <v>10761</v>
      </c>
      <c r="R6144" t="s">
        <v>10824</v>
      </c>
      <c r="T6144">
        <v>12252</v>
      </c>
      <c r="U6144">
        <v>1021</v>
      </c>
      <c r="V6144">
        <v>41</v>
      </c>
      <c r="W6144">
        <v>1</v>
      </c>
      <c r="X6144">
        <v>2</v>
      </c>
      <c r="Z6144">
        <v>57.44</v>
      </c>
      <c r="AA6144">
        <v>40.846594</v>
      </c>
      <c r="AB6144">
        <v>-73.892359</v>
      </c>
      <c r="AD6144" t="s">
        <v>10839</v>
      </c>
      <c r="AG6144" t="s">
        <v>10858</v>
      </c>
      <c r="AH6144" t="s">
        <v>10862</v>
      </c>
      <c r="AI6144">
        <v>230</v>
      </c>
      <c r="AJ6144" t="s">
        <v>10210</v>
      </c>
      <c r="AL6144">
        <v>0</v>
      </c>
      <c r="AM6144" t="s">
        <v>10884</v>
      </c>
      <c r="AN6144" t="s">
        <v>10918</v>
      </c>
      <c r="AO6144" t="s">
        <v>11000</v>
      </c>
      <c r="AP6144" t="s">
        <v>11062</v>
      </c>
      <c r="AR6144" t="s">
        <v>11353</v>
      </c>
      <c r="AS6144" t="s">
        <v>9926</v>
      </c>
      <c r="AT6144" t="s">
        <v>11641</v>
      </c>
      <c r="AX6144" t="s">
        <v>10838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</row>
    <row r="6145" spans="1:59">
      <c r="A6145" s="1">
        <f>HYPERLINK("https://lsnyc.legalserver.org/matter/dynamic-profile/view/1910461","19-1910461")</f>
        <v>0</v>
      </c>
      <c r="B6145" t="s">
        <v>3308</v>
      </c>
      <c r="C6145" t="s">
        <v>9636</v>
      </c>
      <c r="D6145" t="s">
        <v>9928</v>
      </c>
      <c r="E6145" t="s">
        <v>10075</v>
      </c>
      <c r="F6145">
        <v>11235</v>
      </c>
      <c r="G6145" t="s">
        <v>10093</v>
      </c>
      <c r="H6145" t="s">
        <v>10136</v>
      </c>
      <c r="J6145" t="s">
        <v>10213</v>
      </c>
      <c r="K6145" t="s">
        <v>10217</v>
      </c>
      <c r="M6145" t="s">
        <v>10572</v>
      </c>
      <c r="N6145" t="s">
        <v>10720</v>
      </c>
      <c r="P6145" t="s">
        <v>10749</v>
      </c>
      <c r="Q6145" t="s">
        <v>10759</v>
      </c>
      <c r="R6145" t="s">
        <v>10820</v>
      </c>
      <c r="T6145">
        <v>18200</v>
      </c>
      <c r="U6145">
        <v>1516.67</v>
      </c>
      <c r="V6145">
        <v>39</v>
      </c>
      <c r="W6145">
        <v>1</v>
      </c>
      <c r="X6145">
        <v>2</v>
      </c>
      <c r="Z6145">
        <v>85.33</v>
      </c>
      <c r="AA6145">
        <v>40.578209</v>
      </c>
      <c r="AB6145">
        <v>-73.94234400000001</v>
      </c>
      <c r="AD6145" t="s">
        <v>10839</v>
      </c>
      <c r="AF6145" t="s">
        <v>10843</v>
      </c>
      <c r="AG6145" t="s">
        <v>10859</v>
      </c>
      <c r="AH6145" t="s">
        <v>10860</v>
      </c>
      <c r="AI6145">
        <v>239</v>
      </c>
      <c r="AJ6145" t="s">
        <v>10213</v>
      </c>
      <c r="AL6145">
        <v>0.1</v>
      </c>
      <c r="AM6145" t="s">
        <v>10889</v>
      </c>
      <c r="AN6145" t="s">
        <v>10965</v>
      </c>
      <c r="AO6145" t="s">
        <v>11023</v>
      </c>
      <c r="AP6145" t="s">
        <v>11092</v>
      </c>
      <c r="AR6145" t="s">
        <v>11257</v>
      </c>
      <c r="AS6145" t="s">
        <v>11595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</row>
    <row r="6146" spans="1:59">
      <c r="A6146" s="1">
        <f>HYPERLINK("https://lsnyc.legalserver.org/matter/dynamic-profile/view/1910462","19-1910462")</f>
        <v>0</v>
      </c>
      <c r="B6146" t="s">
        <v>4751</v>
      </c>
      <c r="C6146" t="s">
        <v>9637</v>
      </c>
      <c r="D6146" t="s">
        <v>9955</v>
      </c>
      <c r="E6146" t="s">
        <v>10075</v>
      </c>
      <c r="F6146">
        <v>11692</v>
      </c>
      <c r="G6146" t="s">
        <v>10092</v>
      </c>
      <c r="H6146" t="s">
        <v>10136</v>
      </c>
      <c r="I6146" t="s">
        <v>10168</v>
      </c>
      <c r="J6146" t="s">
        <v>10212</v>
      </c>
      <c r="K6146" t="s">
        <v>10217</v>
      </c>
      <c r="M6146" t="s">
        <v>10502</v>
      </c>
      <c r="N6146" t="s">
        <v>10671</v>
      </c>
      <c r="P6146" t="s">
        <v>10755</v>
      </c>
      <c r="Q6146" t="s">
        <v>10772</v>
      </c>
      <c r="R6146" t="s">
        <v>10821</v>
      </c>
      <c r="T6146">
        <v>18168</v>
      </c>
      <c r="U6146">
        <v>1514</v>
      </c>
      <c r="V6146">
        <v>11</v>
      </c>
      <c r="W6146">
        <v>1</v>
      </c>
      <c r="X6146">
        <v>5</v>
      </c>
      <c r="Z6146">
        <v>52.52</v>
      </c>
      <c r="AA6146">
        <v>40.597227</v>
      </c>
      <c r="AB6146">
        <v>-73.78753500000001</v>
      </c>
      <c r="AD6146" t="s">
        <v>10839</v>
      </c>
      <c r="AG6146" t="s">
        <v>10858</v>
      </c>
      <c r="AH6146" t="s">
        <v>10861</v>
      </c>
      <c r="AI6146">
        <v>234</v>
      </c>
      <c r="AJ6146" t="s">
        <v>10214</v>
      </c>
      <c r="AL6146">
        <v>1.9</v>
      </c>
      <c r="AM6146" t="s">
        <v>10892</v>
      </c>
      <c r="AN6146" t="s">
        <v>10930</v>
      </c>
      <c r="AO6146" t="s">
        <v>11017</v>
      </c>
      <c r="AP6146" t="s">
        <v>11082</v>
      </c>
      <c r="AR6146" t="s">
        <v>11338</v>
      </c>
      <c r="AS6146" t="s">
        <v>11594</v>
      </c>
      <c r="AT6146" t="s">
        <v>11641</v>
      </c>
      <c r="AX6146" t="s">
        <v>10838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</row>
    <row r="6147" spans="1:59">
      <c r="A6147" s="1">
        <f>HYPERLINK("https://lsnyc.legalserver.org/matter/dynamic-profile/view/1910463","19-1910463")</f>
        <v>0</v>
      </c>
      <c r="B6147" t="s">
        <v>4752</v>
      </c>
      <c r="C6147" t="s">
        <v>9638</v>
      </c>
      <c r="D6147" t="s">
        <v>9931</v>
      </c>
      <c r="E6147" t="s">
        <v>10075</v>
      </c>
      <c r="F6147">
        <v>11367</v>
      </c>
      <c r="G6147" t="s">
        <v>10092</v>
      </c>
      <c r="H6147" t="s">
        <v>10136</v>
      </c>
      <c r="I6147" t="s">
        <v>10168</v>
      </c>
      <c r="J6147" t="s">
        <v>10212</v>
      </c>
      <c r="K6147" t="s">
        <v>10217</v>
      </c>
      <c r="M6147" t="s">
        <v>10342</v>
      </c>
      <c r="N6147" t="s">
        <v>10695</v>
      </c>
      <c r="P6147" t="s">
        <v>10749</v>
      </c>
      <c r="Q6147" t="s">
        <v>10765</v>
      </c>
      <c r="R6147" t="s">
        <v>10824</v>
      </c>
      <c r="T6147">
        <v>14560</v>
      </c>
      <c r="U6147">
        <v>1213.33</v>
      </c>
      <c r="V6147">
        <v>54</v>
      </c>
      <c r="W6147">
        <v>1</v>
      </c>
      <c r="X6147">
        <v>0</v>
      </c>
      <c r="Z6147">
        <v>116.57</v>
      </c>
      <c r="AA6147">
        <v>40.734315</v>
      </c>
      <c r="AB6147">
        <v>-73.812866</v>
      </c>
      <c r="AD6147" t="s">
        <v>10840</v>
      </c>
      <c r="AG6147" t="s">
        <v>10858</v>
      </c>
      <c r="AH6147" t="s">
        <v>10862</v>
      </c>
      <c r="AI6147">
        <v>237</v>
      </c>
      <c r="AJ6147" t="s">
        <v>10212</v>
      </c>
      <c r="AL6147">
        <v>2</v>
      </c>
      <c r="AM6147" t="s">
        <v>10890</v>
      </c>
      <c r="AN6147" t="s">
        <v>10962</v>
      </c>
      <c r="AO6147" t="s">
        <v>11009</v>
      </c>
      <c r="AP6147" t="s">
        <v>11081</v>
      </c>
      <c r="AR6147" t="s">
        <v>11257</v>
      </c>
      <c r="AS6147" t="s">
        <v>11594</v>
      </c>
      <c r="BA6147" t="s">
        <v>11741</v>
      </c>
      <c r="BB6147">
        <v>0</v>
      </c>
      <c r="BC6147">
        <v>0</v>
      </c>
      <c r="BD6147">
        <v>0</v>
      </c>
      <c r="BE6147">
        <v>0</v>
      </c>
      <c r="BF6147">
        <v>1</v>
      </c>
      <c r="BG6147">
        <v>0</v>
      </c>
    </row>
    <row r="6148" spans="1:59">
      <c r="A6148" s="1">
        <f>HYPERLINK("https://lsnyc.legalserver.org/matter/dynamic-profile/view/1910464","19-1910464")</f>
        <v>0</v>
      </c>
      <c r="B6148" t="s">
        <v>794</v>
      </c>
      <c r="C6148" t="s">
        <v>9639</v>
      </c>
      <c r="D6148" t="s">
        <v>9926</v>
      </c>
      <c r="E6148" t="s">
        <v>10075</v>
      </c>
      <c r="F6148">
        <v>10451</v>
      </c>
      <c r="G6148" t="s">
        <v>10090</v>
      </c>
      <c r="H6148" t="s">
        <v>10136</v>
      </c>
      <c r="I6148" t="s">
        <v>10169</v>
      </c>
      <c r="J6148" t="s">
        <v>10210</v>
      </c>
      <c r="K6148" t="s">
        <v>10217</v>
      </c>
      <c r="M6148" t="s">
        <v>10584</v>
      </c>
      <c r="N6148" t="s">
        <v>10666</v>
      </c>
      <c r="P6148" t="s">
        <v>10749</v>
      </c>
      <c r="Q6148" t="s">
        <v>10765</v>
      </c>
      <c r="R6148" t="s">
        <v>10821</v>
      </c>
      <c r="T6148">
        <v>15600</v>
      </c>
      <c r="U6148">
        <v>1300</v>
      </c>
      <c r="V6148">
        <v>64</v>
      </c>
      <c r="W6148">
        <v>2</v>
      </c>
      <c r="X6148">
        <v>0</v>
      </c>
      <c r="Z6148">
        <v>92.25</v>
      </c>
      <c r="AA6148">
        <v>40.824957</v>
      </c>
      <c r="AB6148">
        <v>-73.92595300000001</v>
      </c>
      <c r="AD6148" t="s">
        <v>10839</v>
      </c>
      <c r="AG6148" t="s">
        <v>10858</v>
      </c>
      <c r="AH6148" t="s">
        <v>10862</v>
      </c>
      <c r="AI6148">
        <v>230</v>
      </c>
      <c r="AJ6148" t="s">
        <v>10210</v>
      </c>
      <c r="AL6148">
        <v>1.5</v>
      </c>
      <c r="AM6148" t="s">
        <v>10884</v>
      </c>
      <c r="AN6148" t="s">
        <v>10924</v>
      </c>
      <c r="AO6148" t="s">
        <v>11013</v>
      </c>
      <c r="AP6148" t="s">
        <v>11066</v>
      </c>
      <c r="AR6148" t="s">
        <v>11257</v>
      </c>
      <c r="AS6148" t="s">
        <v>9926</v>
      </c>
      <c r="AT6148" t="s">
        <v>11641</v>
      </c>
      <c r="AX6148" t="s">
        <v>10838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</row>
    <row r="6149" spans="1:59">
      <c r="A6149" s="1">
        <f>HYPERLINK("https://lsnyc.legalserver.org/matter/dynamic-profile/view/1910465","19-1910465")</f>
        <v>0</v>
      </c>
      <c r="B6149" t="s">
        <v>4753</v>
      </c>
      <c r="C6149" t="s">
        <v>9640</v>
      </c>
      <c r="D6149" t="s">
        <v>9925</v>
      </c>
      <c r="E6149" t="s">
        <v>10075</v>
      </c>
      <c r="F6149">
        <v>10031</v>
      </c>
      <c r="G6149" t="s">
        <v>10091</v>
      </c>
      <c r="H6149" t="s">
        <v>10136</v>
      </c>
      <c r="I6149" t="s">
        <v>10168</v>
      </c>
      <c r="J6149" t="s">
        <v>10214</v>
      </c>
      <c r="K6149" t="s">
        <v>10217</v>
      </c>
      <c r="M6149" t="s">
        <v>10286</v>
      </c>
      <c r="N6149" t="s">
        <v>10671</v>
      </c>
      <c r="P6149" t="s">
        <v>10751</v>
      </c>
      <c r="Q6149" t="s">
        <v>10768</v>
      </c>
      <c r="R6149" t="s">
        <v>10821</v>
      </c>
      <c r="T6149">
        <v>2304</v>
      </c>
      <c r="U6149">
        <v>192</v>
      </c>
      <c r="V6149">
        <v>11</v>
      </c>
      <c r="W6149">
        <v>1</v>
      </c>
      <c r="X6149">
        <v>0</v>
      </c>
      <c r="Z6149">
        <v>18.45</v>
      </c>
      <c r="AA6149">
        <v>40.820054</v>
      </c>
      <c r="AB6149">
        <v>-73.95449000000001</v>
      </c>
      <c r="AD6149" t="s">
        <v>10840</v>
      </c>
      <c r="AG6149" t="s">
        <v>10858</v>
      </c>
      <c r="AH6149" t="s">
        <v>10861</v>
      </c>
      <c r="AI6149">
        <v>234</v>
      </c>
      <c r="AJ6149" t="s">
        <v>10214</v>
      </c>
      <c r="AL6149">
        <v>0.5</v>
      </c>
      <c r="AR6149" t="s">
        <v>11279</v>
      </c>
      <c r="AS6149" t="s">
        <v>9925</v>
      </c>
      <c r="AT6149" t="s">
        <v>11642</v>
      </c>
      <c r="AX6149" t="s">
        <v>10838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</row>
    <row r="6150" spans="1:59">
      <c r="A6150" s="1">
        <f>HYPERLINK("https://lsnyc.legalserver.org/matter/dynamic-profile/view/1910466","19-1910466")</f>
        <v>0</v>
      </c>
      <c r="B6150" t="s">
        <v>4754</v>
      </c>
      <c r="C6150" t="s">
        <v>9641</v>
      </c>
      <c r="D6150" t="s">
        <v>9928</v>
      </c>
      <c r="E6150" t="s">
        <v>10075</v>
      </c>
      <c r="F6150">
        <v>11207</v>
      </c>
      <c r="G6150" t="s">
        <v>10091</v>
      </c>
      <c r="H6150" t="s">
        <v>10136</v>
      </c>
      <c r="I6150" t="s">
        <v>10169</v>
      </c>
      <c r="J6150" t="s">
        <v>10214</v>
      </c>
      <c r="K6150" t="s">
        <v>10217</v>
      </c>
      <c r="M6150" t="s">
        <v>10537</v>
      </c>
      <c r="N6150" t="s">
        <v>10671</v>
      </c>
      <c r="P6150" t="s">
        <v>10753</v>
      </c>
      <c r="Q6150" t="s">
        <v>10763</v>
      </c>
      <c r="R6150" t="s">
        <v>10821</v>
      </c>
      <c r="T6150">
        <v>13440</v>
      </c>
      <c r="U6150">
        <v>1120</v>
      </c>
      <c r="V6150">
        <v>53</v>
      </c>
      <c r="W6150">
        <v>1</v>
      </c>
      <c r="X6150">
        <v>1</v>
      </c>
      <c r="Z6150">
        <v>79.48</v>
      </c>
      <c r="AA6150">
        <v>40.686539</v>
      </c>
      <c r="AB6150">
        <v>-73.91125700000001</v>
      </c>
      <c r="AD6150" t="s">
        <v>10839</v>
      </c>
      <c r="AF6150" t="s">
        <v>10843</v>
      </c>
      <c r="AG6150" t="s">
        <v>10859</v>
      </c>
      <c r="AH6150" t="s">
        <v>10861</v>
      </c>
      <c r="AI6150">
        <v>234</v>
      </c>
      <c r="AJ6150" t="s">
        <v>10214</v>
      </c>
      <c r="AL6150">
        <v>0.5</v>
      </c>
      <c r="AM6150" t="s">
        <v>10889</v>
      </c>
      <c r="AN6150" t="s">
        <v>10920</v>
      </c>
      <c r="AO6150" t="s">
        <v>11011</v>
      </c>
      <c r="AP6150" t="s">
        <v>11058</v>
      </c>
      <c r="AR6150" t="s">
        <v>11257</v>
      </c>
      <c r="AS6150" t="s">
        <v>11595</v>
      </c>
      <c r="AT6150" t="s">
        <v>11641</v>
      </c>
      <c r="AX6150" t="s">
        <v>10838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</row>
    <row r="6151" spans="1:59">
      <c r="A6151" s="1">
        <f>HYPERLINK("https://lsnyc.legalserver.org/matter/dynamic-profile/view/1910467","19-1910467")</f>
        <v>0</v>
      </c>
      <c r="B6151" t="s">
        <v>4734</v>
      </c>
      <c r="C6151" t="s">
        <v>9615</v>
      </c>
      <c r="D6151" t="s">
        <v>9926</v>
      </c>
      <c r="E6151" t="s">
        <v>10075</v>
      </c>
      <c r="F6151">
        <v>10468</v>
      </c>
      <c r="G6151" t="s">
        <v>10090</v>
      </c>
      <c r="H6151" t="s">
        <v>10136</v>
      </c>
      <c r="I6151" t="s">
        <v>10168</v>
      </c>
      <c r="J6151" t="s">
        <v>10210</v>
      </c>
      <c r="K6151" t="s">
        <v>10217</v>
      </c>
      <c r="M6151" t="s">
        <v>10287</v>
      </c>
      <c r="N6151" t="s">
        <v>10671</v>
      </c>
      <c r="O6151" t="s">
        <v>10677</v>
      </c>
      <c r="P6151" t="s">
        <v>10751</v>
      </c>
      <c r="Q6151" t="s">
        <v>10761</v>
      </c>
      <c r="R6151" t="s">
        <v>10824</v>
      </c>
      <c r="T6151">
        <v>24400</v>
      </c>
      <c r="U6151">
        <v>2033.33</v>
      </c>
      <c r="V6151">
        <v>72</v>
      </c>
      <c r="W6151">
        <v>2</v>
      </c>
      <c r="X6151">
        <v>0</v>
      </c>
      <c r="Z6151">
        <v>144.29</v>
      </c>
      <c r="AA6151">
        <v>40.861467</v>
      </c>
      <c r="AB6151">
        <v>-73.904476</v>
      </c>
      <c r="AD6151" t="s">
        <v>10839</v>
      </c>
      <c r="AG6151" t="s">
        <v>10858</v>
      </c>
      <c r="AH6151" t="s">
        <v>10862</v>
      </c>
      <c r="AI6151">
        <v>230</v>
      </c>
      <c r="AJ6151" t="s">
        <v>10210</v>
      </c>
      <c r="AL6151">
        <v>0.75</v>
      </c>
      <c r="AM6151" t="s">
        <v>10884</v>
      </c>
      <c r="AN6151" t="s">
        <v>10931</v>
      </c>
      <c r="AO6151" t="s">
        <v>11000</v>
      </c>
      <c r="AP6151" t="s">
        <v>11045</v>
      </c>
      <c r="AR6151" t="s">
        <v>11282</v>
      </c>
      <c r="AS6151" t="s">
        <v>9926</v>
      </c>
      <c r="AT6151" t="s">
        <v>11641</v>
      </c>
      <c r="BA6151" t="s">
        <v>11741</v>
      </c>
      <c r="BB6151">
        <v>0</v>
      </c>
      <c r="BC6151">
        <v>0</v>
      </c>
      <c r="BD6151">
        <v>0</v>
      </c>
      <c r="BE6151">
        <v>0</v>
      </c>
      <c r="BF6151">
        <v>1</v>
      </c>
      <c r="BG6151">
        <v>0</v>
      </c>
    </row>
    <row r="6152" spans="1:59">
      <c r="A6152" s="1">
        <f>HYPERLINK("https://lsnyc.legalserver.org/matter/dynamic-profile/view/1910468","19-1910468")</f>
        <v>0</v>
      </c>
      <c r="B6152" t="s">
        <v>4671</v>
      </c>
      <c r="C6152" t="s">
        <v>9551</v>
      </c>
      <c r="D6152" t="s">
        <v>9926</v>
      </c>
      <c r="E6152" t="s">
        <v>10075</v>
      </c>
      <c r="F6152">
        <v>10455</v>
      </c>
      <c r="G6152" t="s">
        <v>10090</v>
      </c>
      <c r="H6152" t="s">
        <v>10136</v>
      </c>
      <c r="I6152" t="s">
        <v>10169</v>
      </c>
      <c r="J6152" t="s">
        <v>10210</v>
      </c>
      <c r="K6152" t="s">
        <v>10217</v>
      </c>
      <c r="M6152" t="s">
        <v>10333</v>
      </c>
      <c r="N6152" t="s">
        <v>10671</v>
      </c>
      <c r="P6152" t="s">
        <v>10751</v>
      </c>
      <c r="Q6152" t="s">
        <v>10761</v>
      </c>
      <c r="R6152" t="s">
        <v>10821</v>
      </c>
      <c r="T6152">
        <v>0</v>
      </c>
      <c r="U6152">
        <v>0</v>
      </c>
      <c r="V6152">
        <v>34</v>
      </c>
      <c r="W6152">
        <v>2</v>
      </c>
      <c r="X6152">
        <v>1</v>
      </c>
      <c r="Z6152">
        <v>0</v>
      </c>
      <c r="AA6152">
        <v>40.816706</v>
      </c>
      <c r="AB6152">
        <v>-73.909941</v>
      </c>
      <c r="AD6152" t="s">
        <v>10839</v>
      </c>
      <c r="AG6152" t="s">
        <v>10858</v>
      </c>
      <c r="AH6152" t="s">
        <v>10862</v>
      </c>
      <c r="AI6152">
        <v>230</v>
      </c>
      <c r="AJ6152" t="s">
        <v>10210</v>
      </c>
      <c r="AL6152">
        <v>0</v>
      </c>
      <c r="AM6152" t="s">
        <v>10884</v>
      </c>
      <c r="AN6152" t="s">
        <v>10918</v>
      </c>
      <c r="AO6152" t="s">
        <v>11001</v>
      </c>
      <c r="AP6152" t="s">
        <v>11062</v>
      </c>
      <c r="AR6152" t="s">
        <v>11267</v>
      </c>
      <c r="AS6152" t="s">
        <v>9926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</row>
    <row r="6153" spans="1:59">
      <c r="A6153" s="1">
        <f>HYPERLINK("https://lsnyc.legalserver.org/matter/dynamic-profile/view/1910469","19-1910469")</f>
        <v>0</v>
      </c>
      <c r="B6153" t="s">
        <v>4755</v>
      </c>
      <c r="C6153" t="s">
        <v>9642</v>
      </c>
      <c r="D6153" t="s">
        <v>9929</v>
      </c>
      <c r="E6153" t="s">
        <v>10075</v>
      </c>
      <c r="F6153">
        <v>10305</v>
      </c>
      <c r="G6153" t="s">
        <v>10088</v>
      </c>
      <c r="H6153" t="s">
        <v>10136</v>
      </c>
      <c r="I6153" t="s">
        <v>10175</v>
      </c>
      <c r="J6153" t="s">
        <v>10208</v>
      </c>
      <c r="K6153" t="s">
        <v>10217</v>
      </c>
      <c r="M6153" t="s">
        <v>10537</v>
      </c>
      <c r="N6153" t="s">
        <v>10671</v>
      </c>
      <c r="P6153" t="s">
        <v>10753</v>
      </c>
      <c r="Q6153" t="s">
        <v>10763</v>
      </c>
      <c r="R6153" t="s">
        <v>10820</v>
      </c>
      <c r="T6153">
        <v>0</v>
      </c>
      <c r="U6153">
        <v>0</v>
      </c>
      <c r="V6153">
        <v>55</v>
      </c>
      <c r="W6153">
        <v>1</v>
      </c>
      <c r="X6153">
        <v>0</v>
      </c>
      <c r="Z6153">
        <v>0</v>
      </c>
      <c r="AA6153">
        <v>40.588196</v>
      </c>
      <c r="AB6153">
        <v>-74.092589</v>
      </c>
      <c r="AD6153" t="s">
        <v>10840</v>
      </c>
      <c r="AF6153" t="s">
        <v>10843</v>
      </c>
      <c r="AG6153" t="s">
        <v>10859</v>
      </c>
      <c r="AH6153" t="s">
        <v>10861</v>
      </c>
      <c r="AI6153">
        <v>234</v>
      </c>
      <c r="AJ6153" t="s">
        <v>10214</v>
      </c>
      <c r="AL6153">
        <v>1</v>
      </c>
      <c r="AM6153" t="s">
        <v>10883</v>
      </c>
      <c r="AN6153" t="s">
        <v>10915</v>
      </c>
      <c r="AO6153" t="s">
        <v>10999</v>
      </c>
      <c r="AP6153" t="s">
        <v>11063</v>
      </c>
      <c r="AR6153" t="s">
        <v>11267</v>
      </c>
      <c r="AS6153" t="s">
        <v>11593</v>
      </c>
      <c r="AT6153" t="s">
        <v>11642</v>
      </c>
      <c r="AX6153" t="s">
        <v>10838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</row>
    <row r="6154" spans="1:59">
      <c r="A6154" s="1">
        <f>HYPERLINK("https://lsnyc.legalserver.org/matter/dynamic-profile/view/1910470","19-1910470")</f>
        <v>0</v>
      </c>
      <c r="B6154" t="s">
        <v>794</v>
      </c>
      <c r="C6154" t="s">
        <v>9639</v>
      </c>
      <c r="D6154" t="s">
        <v>9926</v>
      </c>
      <c r="E6154" t="s">
        <v>10075</v>
      </c>
      <c r="F6154">
        <v>10451</v>
      </c>
      <c r="G6154" t="s">
        <v>10090</v>
      </c>
      <c r="H6154" t="s">
        <v>10136</v>
      </c>
      <c r="I6154" t="s">
        <v>10169</v>
      </c>
      <c r="J6154" t="s">
        <v>10210</v>
      </c>
      <c r="K6154" t="s">
        <v>10217</v>
      </c>
      <c r="M6154" t="s">
        <v>10584</v>
      </c>
      <c r="N6154" t="s">
        <v>10671</v>
      </c>
      <c r="P6154" t="s">
        <v>10751</v>
      </c>
      <c r="Q6154" t="s">
        <v>10761</v>
      </c>
      <c r="R6154" t="s">
        <v>10821</v>
      </c>
      <c r="T6154">
        <v>15600</v>
      </c>
      <c r="U6154">
        <v>1300</v>
      </c>
      <c r="V6154">
        <v>64</v>
      </c>
      <c r="W6154">
        <v>2</v>
      </c>
      <c r="X6154">
        <v>0</v>
      </c>
      <c r="Z6154">
        <v>92.25</v>
      </c>
      <c r="AA6154">
        <v>40.824957</v>
      </c>
      <c r="AB6154">
        <v>-73.92595300000001</v>
      </c>
      <c r="AD6154" t="s">
        <v>10839</v>
      </c>
      <c r="AG6154" t="s">
        <v>10858</v>
      </c>
      <c r="AH6154" t="s">
        <v>10862</v>
      </c>
      <c r="AI6154">
        <v>230</v>
      </c>
      <c r="AJ6154" t="s">
        <v>10210</v>
      </c>
      <c r="AL6154">
        <v>0</v>
      </c>
      <c r="AM6154" t="s">
        <v>10884</v>
      </c>
      <c r="AN6154" t="s">
        <v>10924</v>
      </c>
      <c r="AO6154" t="s">
        <v>11013</v>
      </c>
      <c r="AP6154" t="s">
        <v>11066</v>
      </c>
      <c r="AR6154" t="s">
        <v>11257</v>
      </c>
      <c r="AS6154" t="s">
        <v>9926</v>
      </c>
      <c r="AT6154" t="s">
        <v>11641</v>
      </c>
      <c r="AX6154" t="s">
        <v>10838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</row>
    <row r="6155" spans="1:59">
      <c r="A6155" s="1">
        <f>HYPERLINK("https://lsnyc.legalserver.org/matter/dynamic-profile/view/1910471","19-1910471")</f>
        <v>0</v>
      </c>
      <c r="B6155" t="s">
        <v>1654</v>
      </c>
      <c r="C6155" t="s">
        <v>9643</v>
      </c>
      <c r="D6155" t="s">
        <v>9925</v>
      </c>
      <c r="E6155" t="s">
        <v>10075</v>
      </c>
      <c r="F6155">
        <v>10027</v>
      </c>
      <c r="G6155" t="s">
        <v>10089</v>
      </c>
      <c r="H6155" t="s">
        <v>10136</v>
      </c>
      <c r="J6155" t="s">
        <v>10209</v>
      </c>
      <c r="K6155" t="s">
        <v>10217</v>
      </c>
      <c r="M6155" t="s">
        <v>10383</v>
      </c>
      <c r="N6155" t="s">
        <v>10656</v>
      </c>
      <c r="P6155" t="s">
        <v>10751</v>
      </c>
      <c r="Q6155" t="s">
        <v>10780</v>
      </c>
      <c r="R6155" t="s">
        <v>10824</v>
      </c>
      <c r="T6155">
        <v>9072</v>
      </c>
      <c r="U6155">
        <v>756</v>
      </c>
      <c r="V6155">
        <v>57</v>
      </c>
      <c r="W6155">
        <v>1</v>
      </c>
      <c r="X6155">
        <v>0</v>
      </c>
      <c r="Z6155">
        <v>72.63</v>
      </c>
      <c r="AA6155">
        <v>40.806899</v>
      </c>
      <c r="AB6155">
        <v>-73.95017799999999</v>
      </c>
      <c r="AD6155" t="s">
        <v>10839</v>
      </c>
      <c r="AG6155" t="s">
        <v>10858</v>
      </c>
      <c r="AH6155" t="s">
        <v>10866</v>
      </c>
      <c r="AI6155">
        <v>236</v>
      </c>
      <c r="AJ6155" t="s">
        <v>10209</v>
      </c>
      <c r="AL6155">
        <v>0</v>
      </c>
      <c r="AM6155" t="s">
        <v>10887</v>
      </c>
      <c r="AN6155" t="s">
        <v>10936</v>
      </c>
      <c r="AO6155" t="s">
        <v>11016</v>
      </c>
      <c r="AP6155" t="s">
        <v>11076</v>
      </c>
      <c r="AR6155" t="s">
        <v>11274</v>
      </c>
      <c r="AS6155" t="s">
        <v>9925</v>
      </c>
      <c r="AT6155" t="s">
        <v>11641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</row>
    <row r="6156" spans="1:59">
      <c r="A6156" s="1">
        <f>HYPERLINK("https://lsnyc.legalserver.org/matter/dynamic-profile/view/1910472","19-1910472")</f>
        <v>0</v>
      </c>
      <c r="B6156" t="s">
        <v>4756</v>
      </c>
      <c r="C6156" t="s">
        <v>9644</v>
      </c>
      <c r="D6156" t="s">
        <v>9928</v>
      </c>
      <c r="E6156" t="s">
        <v>10075</v>
      </c>
      <c r="F6156">
        <v>11233</v>
      </c>
      <c r="G6156" t="s">
        <v>10093</v>
      </c>
      <c r="H6156" t="s">
        <v>10136</v>
      </c>
      <c r="I6156" t="s">
        <v>10168</v>
      </c>
      <c r="J6156" t="s">
        <v>10213</v>
      </c>
      <c r="K6156" t="s">
        <v>10217</v>
      </c>
      <c r="M6156" t="s">
        <v>10564</v>
      </c>
      <c r="N6156" t="s">
        <v>10650</v>
      </c>
      <c r="P6156" t="s">
        <v>10749</v>
      </c>
      <c r="Q6156" t="s">
        <v>10765</v>
      </c>
      <c r="R6156" t="s">
        <v>10825</v>
      </c>
      <c r="T6156">
        <v>26664</v>
      </c>
      <c r="U6156">
        <v>2222</v>
      </c>
      <c r="V6156">
        <v>35</v>
      </c>
      <c r="W6156">
        <v>1</v>
      </c>
      <c r="X6156">
        <v>0</v>
      </c>
      <c r="Z6156">
        <v>213.48</v>
      </c>
      <c r="AA6156">
        <v>40.680817</v>
      </c>
      <c r="AB6156">
        <v>-73.92971199999999</v>
      </c>
      <c r="AD6156" t="s">
        <v>10839</v>
      </c>
      <c r="AG6156" t="s">
        <v>10858</v>
      </c>
      <c r="AH6156" t="s">
        <v>10861</v>
      </c>
      <c r="AI6156">
        <v>234</v>
      </c>
      <c r="AJ6156" t="s">
        <v>10214</v>
      </c>
      <c r="AL6156">
        <v>0.5</v>
      </c>
      <c r="AM6156" t="s">
        <v>10889</v>
      </c>
      <c r="AN6156" t="s">
        <v>10914</v>
      </c>
      <c r="AO6156" t="s">
        <v>11007</v>
      </c>
      <c r="AP6156" t="s">
        <v>11052</v>
      </c>
      <c r="AR6156" t="s">
        <v>11257</v>
      </c>
      <c r="AS6156" t="s">
        <v>11595</v>
      </c>
      <c r="AT6156" t="s">
        <v>11641</v>
      </c>
      <c r="AX6156" t="s">
        <v>10838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</row>
    <row r="6157" spans="1:59">
      <c r="A6157" s="1">
        <f>HYPERLINK("https://lsnyc.legalserver.org/matter/dynamic-profile/view/1910473","19-1910473")</f>
        <v>0</v>
      </c>
      <c r="B6157" t="s">
        <v>4757</v>
      </c>
      <c r="D6157" t="s">
        <v>9977</v>
      </c>
      <c r="E6157" t="s">
        <v>10075</v>
      </c>
      <c r="F6157">
        <v>11361</v>
      </c>
      <c r="G6157" t="s">
        <v>10092</v>
      </c>
      <c r="H6157" t="s">
        <v>10136</v>
      </c>
      <c r="I6157" t="s">
        <v>10207</v>
      </c>
      <c r="J6157" t="s">
        <v>10212</v>
      </c>
      <c r="K6157" t="s">
        <v>10217</v>
      </c>
      <c r="M6157" t="s">
        <v>10632</v>
      </c>
      <c r="N6157" t="s">
        <v>10699</v>
      </c>
      <c r="P6157" t="s">
        <v>10754</v>
      </c>
      <c r="Q6157" t="s">
        <v>10777</v>
      </c>
      <c r="R6157" t="s">
        <v>10827</v>
      </c>
      <c r="T6157">
        <v>0</v>
      </c>
      <c r="U6157">
        <v>0</v>
      </c>
      <c r="V6157">
        <v>29</v>
      </c>
      <c r="W6157">
        <v>1</v>
      </c>
      <c r="X6157">
        <v>1</v>
      </c>
      <c r="Z6157">
        <v>0</v>
      </c>
      <c r="AA6157">
        <v>0</v>
      </c>
      <c r="AB6157">
        <v>0</v>
      </c>
      <c r="AD6157" t="s">
        <v>10839</v>
      </c>
      <c r="AF6157" t="s">
        <v>10842</v>
      </c>
      <c r="AG6157" t="s">
        <v>10859</v>
      </c>
      <c r="AH6157" t="s">
        <v>10865</v>
      </c>
      <c r="AI6157">
        <v>237</v>
      </c>
      <c r="AJ6157" t="s">
        <v>10212</v>
      </c>
      <c r="AK6157" t="s">
        <v>10837</v>
      </c>
      <c r="AL6157">
        <v>5.8</v>
      </c>
      <c r="AQ6157" t="s">
        <v>11128</v>
      </c>
      <c r="AR6157" t="s">
        <v>11267</v>
      </c>
      <c r="AS6157" t="s">
        <v>11594</v>
      </c>
      <c r="BA6157" t="s">
        <v>11738</v>
      </c>
      <c r="BB6157">
        <v>0</v>
      </c>
      <c r="BC6157">
        <v>0</v>
      </c>
      <c r="BD6157">
        <v>0</v>
      </c>
      <c r="BE6157">
        <v>0</v>
      </c>
      <c r="BF6157">
        <v>5</v>
      </c>
      <c r="BG6157">
        <v>0</v>
      </c>
    </row>
    <row r="6158" spans="1:59">
      <c r="A6158" s="1">
        <f>HYPERLINK("https://lsnyc.legalserver.org/matter/dynamic-profile/view/1910474","19-1910474")</f>
        <v>0</v>
      </c>
      <c r="B6158" t="s">
        <v>4758</v>
      </c>
      <c r="C6158" t="s">
        <v>9645</v>
      </c>
      <c r="D6158" t="s">
        <v>9926</v>
      </c>
      <c r="E6158" t="s">
        <v>10075</v>
      </c>
      <c r="F6158">
        <v>10458</v>
      </c>
      <c r="G6158" t="s">
        <v>10090</v>
      </c>
      <c r="H6158" t="s">
        <v>10136</v>
      </c>
      <c r="I6158" t="s">
        <v>10169</v>
      </c>
      <c r="J6158" t="s">
        <v>10210</v>
      </c>
      <c r="K6158" t="s">
        <v>10217</v>
      </c>
      <c r="M6158" t="s">
        <v>10549</v>
      </c>
      <c r="N6158" t="s">
        <v>10671</v>
      </c>
      <c r="P6158" t="s">
        <v>10751</v>
      </c>
      <c r="Q6158" t="s">
        <v>10761</v>
      </c>
      <c r="R6158" t="s">
        <v>10821</v>
      </c>
      <c r="T6158">
        <v>10192</v>
      </c>
      <c r="U6158">
        <v>849.33</v>
      </c>
      <c r="V6158">
        <v>3</v>
      </c>
      <c r="W6158">
        <v>1</v>
      </c>
      <c r="X6158">
        <v>1</v>
      </c>
      <c r="Z6158">
        <v>60.27</v>
      </c>
      <c r="AA6158">
        <v>40.854931</v>
      </c>
      <c r="AB6158">
        <v>-73.883831</v>
      </c>
      <c r="AD6158" t="s">
        <v>10839</v>
      </c>
      <c r="AG6158" t="s">
        <v>10858</v>
      </c>
      <c r="AH6158" t="s">
        <v>10861</v>
      </c>
      <c r="AI6158">
        <v>234</v>
      </c>
      <c r="AJ6158" t="s">
        <v>10214</v>
      </c>
      <c r="AL6158">
        <v>3.85</v>
      </c>
      <c r="AM6158" t="s">
        <v>10884</v>
      </c>
      <c r="AN6158" t="s">
        <v>10907</v>
      </c>
      <c r="AO6158" t="s">
        <v>11000</v>
      </c>
      <c r="AP6158" t="s">
        <v>11056</v>
      </c>
      <c r="AR6158" t="s">
        <v>11262</v>
      </c>
      <c r="AS6158" t="s">
        <v>9926</v>
      </c>
      <c r="AT6158" t="s">
        <v>11641</v>
      </c>
      <c r="AX6158" t="s">
        <v>10838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</row>
    <row r="6159" spans="1:59">
      <c r="A6159" s="1">
        <f>HYPERLINK("https://lsnyc.legalserver.org/matter/dynamic-profile/view/1910475","19-1910475")</f>
        <v>0</v>
      </c>
      <c r="B6159" t="s">
        <v>4759</v>
      </c>
      <c r="C6159" t="s">
        <v>9642</v>
      </c>
      <c r="D6159" t="s">
        <v>9929</v>
      </c>
      <c r="E6159" t="s">
        <v>10075</v>
      </c>
      <c r="F6159">
        <v>10305</v>
      </c>
      <c r="G6159" t="s">
        <v>10093</v>
      </c>
      <c r="H6159" t="s">
        <v>10136</v>
      </c>
      <c r="I6159" t="s">
        <v>10168</v>
      </c>
      <c r="J6159" t="s">
        <v>10213</v>
      </c>
      <c r="K6159" t="s">
        <v>10217</v>
      </c>
      <c r="M6159" t="s">
        <v>10280</v>
      </c>
      <c r="N6159" t="s">
        <v>10671</v>
      </c>
      <c r="P6159" t="s">
        <v>10751</v>
      </c>
      <c r="Q6159" t="s">
        <v>10780</v>
      </c>
      <c r="R6159" t="s">
        <v>10820</v>
      </c>
      <c r="T6159">
        <v>0</v>
      </c>
      <c r="U6159">
        <v>0</v>
      </c>
      <c r="V6159">
        <v>0</v>
      </c>
      <c r="W6159">
        <v>1</v>
      </c>
      <c r="X6159">
        <v>0</v>
      </c>
      <c r="Z6159">
        <v>0</v>
      </c>
      <c r="AA6159">
        <v>40.668298</v>
      </c>
      <c r="AB6159">
        <v>-73.838384</v>
      </c>
      <c r="AC6159" t="s">
        <v>10838</v>
      </c>
      <c r="AD6159" t="s">
        <v>10840</v>
      </c>
      <c r="AF6159" t="s">
        <v>10843</v>
      </c>
      <c r="AG6159" t="s">
        <v>10859</v>
      </c>
      <c r="AH6159" t="s">
        <v>10861</v>
      </c>
      <c r="AI6159">
        <v>234</v>
      </c>
      <c r="AJ6159" t="s">
        <v>10214</v>
      </c>
      <c r="AL6159">
        <v>1</v>
      </c>
      <c r="AM6159" t="s">
        <v>10883</v>
      </c>
      <c r="AN6159" t="s">
        <v>10915</v>
      </c>
      <c r="AO6159" t="s">
        <v>10999</v>
      </c>
      <c r="AP6159" t="s">
        <v>11063</v>
      </c>
      <c r="AR6159" t="s">
        <v>11267</v>
      </c>
      <c r="AS6159" t="s">
        <v>11593</v>
      </c>
      <c r="AT6159" t="s">
        <v>11642</v>
      </c>
      <c r="AX6159" t="s">
        <v>10838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</row>
    <row r="6160" spans="1:59">
      <c r="A6160" s="1">
        <f>HYPERLINK("https://lsnyc.legalserver.org/matter/dynamic-profile/view/1910476","19-1910476")</f>
        <v>0</v>
      </c>
      <c r="B6160" t="s">
        <v>4760</v>
      </c>
      <c r="C6160" t="s">
        <v>9646</v>
      </c>
      <c r="D6160" t="s">
        <v>9963</v>
      </c>
      <c r="E6160" t="s">
        <v>10075</v>
      </c>
      <c r="F6160">
        <v>11385</v>
      </c>
      <c r="G6160" t="s">
        <v>10092</v>
      </c>
      <c r="H6160" t="s">
        <v>10136</v>
      </c>
      <c r="I6160" t="s">
        <v>10169</v>
      </c>
      <c r="J6160" t="s">
        <v>10212</v>
      </c>
      <c r="K6160" t="s">
        <v>10217</v>
      </c>
      <c r="M6160" t="s">
        <v>10285</v>
      </c>
      <c r="N6160" t="s">
        <v>10693</v>
      </c>
      <c r="P6160" t="s">
        <v>10749</v>
      </c>
      <c r="Q6160" t="s">
        <v>10765</v>
      </c>
      <c r="R6160" t="s">
        <v>10821</v>
      </c>
      <c r="T6160">
        <v>17000</v>
      </c>
      <c r="U6160">
        <v>1416.67</v>
      </c>
      <c r="V6160">
        <v>54</v>
      </c>
      <c r="W6160">
        <v>4</v>
      </c>
      <c r="X6160">
        <v>2</v>
      </c>
      <c r="Z6160">
        <v>49.15</v>
      </c>
      <c r="AA6160">
        <v>40.701939</v>
      </c>
      <c r="AB6160">
        <v>-73.88318200000001</v>
      </c>
      <c r="AD6160" t="s">
        <v>10840</v>
      </c>
      <c r="AF6160" t="s">
        <v>10843</v>
      </c>
      <c r="AG6160" t="s">
        <v>10859</v>
      </c>
      <c r="AH6160" t="s">
        <v>10862</v>
      </c>
      <c r="AI6160">
        <v>237</v>
      </c>
      <c r="AJ6160" t="s">
        <v>10212</v>
      </c>
      <c r="AL6160">
        <v>3</v>
      </c>
      <c r="AM6160" t="s">
        <v>10890</v>
      </c>
      <c r="AN6160" t="s">
        <v>10945</v>
      </c>
      <c r="AO6160" t="s">
        <v>11024</v>
      </c>
      <c r="AP6160" t="s">
        <v>11077</v>
      </c>
      <c r="AR6160" t="s">
        <v>11262</v>
      </c>
      <c r="AS6160" t="s">
        <v>11594</v>
      </c>
      <c r="BA6160" t="s">
        <v>11738</v>
      </c>
      <c r="BB6160">
        <v>0</v>
      </c>
      <c r="BC6160">
        <v>0</v>
      </c>
      <c r="BD6160">
        <v>0</v>
      </c>
      <c r="BE6160">
        <v>0</v>
      </c>
      <c r="BF6160">
        <v>5</v>
      </c>
      <c r="BG6160">
        <v>0</v>
      </c>
    </row>
    <row r="6161" spans="1:59">
      <c r="A6161" s="1">
        <f>HYPERLINK("https://lsnyc.legalserver.org/matter/dynamic-profile/view/1910478","19-1910478")</f>
        <v>0</v>
      </c>
      <c r="B6161" t="s">
        <v>4761</v>
      </c>
      <c r="C6161" t="s">
        <v>9647</v>
      </c>
      <c r="D6161" t="s">
        <v>9928</v>
      </c>
      <c r="E6161" t="s">
        <v>10075</v>
      </c>
      <c r="F6161">
        <v>11213</v>
      </c>
      <c r="G6161" t="s">
        <v>10093</v>
      </c>
      <c r="H6161" t="s">
        <v>10152</v>
      </c>
      <c r="J6161" t="s">
        <v>10213</v>
      </c>
      <c r="K6161" t="s">
        <v>10217</v>
      </c>
      <c r="M6161" t="s">
        <v>10238</v>
      </c>
      <c r="N6161" t="s">
        <v>10720</v>
      </c>
      <c r="P6161" t="s">
        <v>10749</v>
      </c>
      <c r="Q6161" t="s">
        <v>10759</v>
      </c>
      <c r="R6161" t="s">
        <v>10822</v>
      </c>
      <c r="T6161">
        <v>28800</v>
      </c>
      <c r="U6161">
        <v>2400</v>
      </c>
      <c r="V6161">
        <v>53</v>
      </c>
      <c r="W6161">
        <v>2</v>
      </c>
      <c r="X6161">
        <v>3</v>
      </c>
      <c r="Z6161">
        <v>95.45999999999999</v>
      </c>
      <c r="AA6161">
        <v>40.672336</v>
      </c>
      <c r="AB6161">
        <v>-73.944467</v>
      </c>
      <c r="AD6161" t="s">
        <v>10840</v>
      </c>
      <c r="AG6161" t="s">
        <v>10858</v>
      </c>
      <c r="AH6161" t="s">
        <v>10860</v>
      </c>
      <c r="AI6161">
        <v>239</v>
      </c>
      <c r="AJ6161" t="s">
        <v>10213</v>
      </c>
      <c r="AL6161">
        <v>0</v>
      </c>
      <c r="AM6161" t="s">
        <v>10888</v>
      </c>
      <c r="AN6161" t="s">
        <v>10912</v>
      </c>
      <c r="AO6161" t="s">
        <v>11007</v>
      </c>
      <c r="AP6161" t="s">
        <v>11052</v>
      </c>
      <c r="AR6161" t="s">
        <v>11356</v>
      </c>
      <c r="AS6161" t="s">
        <v>11595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</row>
    <row r="6162" spans="1:59">
      <c r="A6162" s="1">
        <f>HYPERLINK("https://lsnyc.legalserver.org/matter/dynamic-profile/view/1910479","19-1910479")</f>
        <v>0</v>
      </c>
      <c r="B6162" t="s">
        <v>1064</v>
      </c>
      <c r="C6162" t="s">
        <v>9648</v>
      </c>
      <c r="D6162" t="s">
        <v>9988</v>
      </c>
      <c r="E6162" t="s">
        <v>10075</v>
      </c>
      <c r="F6162">
        <v>11693</v>
      </c>
      <c r="G6162" t="s">
        <v>10092</v>
      </c>
      <c r="H6162" t="s">
        <v>10136</v>
      </c>
      <c r="I6162" t="s">
        <v>10168</v>
      </c>
      <c r="J6162" t="s">
        <v>10212</v>
      </c>
      <c r="K6162" t="s">
        <v>10217</v>
      </c>
      <c r="M6162" t="s">
        <v>10555</v>
      </c>
      <c r="N6162" t="s">
        <v>10695</v>
      </c>
      <c r="P6162" t="s">
        <v>10749</v>
      </c>
      <c r="Q6162" t="s">
        <v>10765</v>
      </c>
      <c r="R6162" t="s">
        <v>10824</v>
      </c>
      <c r="T6162">
        <v>0</v>
      </c>
      <c r="U6162">
        <v>0</v>
      </c>
      <c r="V6162">
        <v>29</v>
      </c>
      <c r="W6162">
        <v>1</v>
      </c>
      <c r="X6162">
        <v>0</v>
      </c>
      <c r="Z6162">
        <v>0</v>
      </c>
      <c r="AA6162">
        <v>40.587508</v>
      </c>
      <c r="AB6162">
        <v>-73.81325699999999</v>
      </c>
      <c r="AD6162" t="s">
        <v>10839</v>
      </c>
      <c r="AG6162" t="s">
        <v>10858</v>
      </c>
      <c r="AH6162" t="s">
        <v>10862</v>
      </c>
      <c r="AI6162">
        <v>237</v>
      </c>
      <c r="AJ6162" t="s">
        <v>10212</v>
      </c>
      <c r="AL6162">
        <v>1.4</v>
      </c>
      <c r="AM6162" t="s">
        <v>10892</v>
      </c>
      <c r="AN6162" t="s">
        <v>10930</v>
      </c>
      <c r="AO6162" t="s">
        <v>11017</v>
      </c>
      <c r="AP6162" t="s">
        <v>11088</v>
      </c>
      <c r="AR6162" t="s">
        <v>11279</v>
      </c>
      <c r="AS6162" t="s">
        <v>11594</v>
      </c>
      <c r="BA6162" t="s">
        <v>11741</v>
      </c>
      <c r="BB6162">
        <v>0</v>
      </c>
      <c r="BC6162">
        <v>0</v>
      </c>
      <c r="BD6162">
        <v>0</v>
      </c>
      <c r="BE6162">
        <v>0</v>
      </c>
      <c r="BF6162">
        <v>1</v>
      </c>
      <c r="BG6162">
        <v>0</v>
      </c>
    </row>
    <row r="6163" spans="1:59">
      <c r="A6163" s="1">
        <f>HYPERLINK("https://lsnyc.legalserver.org/matter/dynamic-profile/view/1910480","19-1910480")</f>
        <v>0</v>
      </c>
      <c r="B6163" t="s">
        <v>4756</v>
      </c>
      <c r="C6163" t="s">
        <v>9644</v>
      </c>
      <c r="D6163" t="s">
        <v>9928</v>
      </c>
      <c r="E6163" t="s">
        <v>10075</v>
      </c>
      <c r="F6163">
        <v>11233</v>
      </c>
      <c r="G6163" t="s">
        <v>10091</v>
      </c>
      <c r="H6163" t="s">
        <v>10136</v>
      </c>
      <c r="I6163" t="s">
        <v>10168</v>
      </c>
      <c r="J6163" t="s">
        <v>10211</v>
      </c>
      <c r="K6163" t="s">
        <v>10217</v>
      </c>
      <c r="M6163" t="s">
        <v>10307</v>
      </c>
      <c r="N6163" t="s">
        <v>10646</v>
      </c>
      <c r="P6163" t="s">
        <v>10752</v>
      </c>
      <c r="Q6163" t="s">
        <v>10762</v>
      </c>
      <c r="R6163" t="s">
        <v>10825</v>
      </c>
      <c r="T6163">
        <v>26664</v>
      </c>
      <c r="U6163">
        <v>2222</v>
      </c>
      <c r="V6163">
        <v>35</v>
      </c>
      <c r="W6163">
        <v>1</v>
      </c>
      <c r="X6163">
        <v>0</v>
      </c>
      <c r="Z6163">
        <v>213.48</v>
      </c>
      <c r="AA6163">
        <v>40.680817</v>
      </c>
      <c r="AB6163">
        <v>-73.92971199999999</v>
      </c>
      <c r="AD6163" t="s">
        <v>10839</v>
      </c>
      <c r="AG6163" t="s">
        <v>10858</v>
      </c>
      <c r="AH6163" t="s">
        <v>10861</v>
      </c>
      <c r="AI6163">
        <v>234</v>
      </c>
      <c r="AJ6163" t="s">
        <v>10214</v>
      </c>
      <c r="AL6163">
        <v>0.5</v>
      </c>
      <c r="AR6163" t="s">
        <v>11257</v>
      </c>
      <c r="AS6163" t="s">
        <v>11595</v>
      </c>
      <c r="AT6163" t="s">
        <v>11641</v>
      </c>
      <c r="AX6163" t="s">
        <v>10838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</row>
    <row r="6164" spans="1:59">
      <c r="A6164" s="1">
        <f>HYPERLINK("https://lsnyc.legalserver.org/matter/dynamic-profile/view/1910481","19-1910481")</f>
        <v>0</v>
      </c>
      <c r="B6164" t="s">
        <v>3050</v>
      </c>
      <c r="C6164" t="s">
        <v>9549</v>
      </c>
      <c r="D6164" t="s">
        <v>9928</v>
      </c>
      <c r="E6164" t="s">
        <v>10075</v>
      </c>
      <c r="F6164">
        <v>11216</v>
      </c>
      <c r="G6164" t="s">
        <v>10093</v>
      </c>
      <c r="H6164" t="s">
        <v>10136</v>
      </c>
      <c r="I6164" t="s">
        <v>10168</v>
      </c>
      <c r="J6164" t="s">
        <v>10213</v>
      </c>
      <c r="K6164" t="s">
        <v>10217</v>
      </c>
      <c r="M6164" t="s">
        <v>10265</v>
      </c>
      <c r="N6164" t="s">
        <v>10668</v>
      </c>
      <c r="P6164" t="s">
        <v>10751</v>
      </c>
      <c r="Q6164" t="s">
        <v>10761</v>
      </c>
      <c r="R6164" t="s">
        <v>10824</v>
      </c>
      <c r="T6164">
        <v>3600</v>
      </c>
      <c r="U6164">
        <v>300</v>
      </c>
      <c r="V6164">
        <v>28</v>
      </c>
      <c r="W6164">
        <v>1</v>
      </c>
      <c r="X6164">
        <v>2</v>
      </c>
      <c r="Z6164">
        <v>16.88</v>
      </c>
      <c r="AA6164">
        <v>40.690678</v>
      </c>
      <c r="AB6164">
        <v>-73.946223</v>
      </c>
      <c r="AD6164" t="s">
        <v>10839</v>
      </c>
      <c r="AG6164" t="s">
        <v>10858</v>
      </c>
      <c r="AH6164" t="s">
        <v>10862</v>
      </c>
      <c r="AI6164">
        <v>239</v>
      </c>
      <c r="AJ6164" t="s">
        <v>10213</v>
      </c>
      <c r="AL6164">
        <v>1.4</v>
      </c>
      <c r="AM6164" t="s">
        <v>10889</v>
      </c>
      <c r="AN6164" t="s">
        <v>10914</v>
      </c>
      <c r="AO6164" t="s">
        <v>11007</v>
      </c>
      <c r="AP6164" t="s">
        <v>11052</v>
      </c>
      <c r="AR6164" t="s">
        <v>11273</v>
      </c>
      <c r="AS6164" t="s">
        <v>11595</v>
      </c>
      <c r="BA6164" t="s">
        <v>11737</v>
      </c>
      <c r="BB6164">
        <v>0</v>
      </c>
      <c r="BC6164">
        <v>0</v>
      </c>
      <c r="BD6164">
        <v>0</v>
      </c>
      <c r="BE6164">
        <v>0</v>
      </c>
      <c r="BF6164">
        <v>3</v>
      </c>
      <c r="BG6164">
        <v>0</v>
      </c>
    </row>
    <row r="6165" spans="1:59">
      <c r="A6165" s="1">
        <f>HYPERLINK("https://lsnyc.legalserver.org/matter/dynamic-profile/view/1910482","19-1910482")</f>
        <v>0</v>
      </c>
      <c r="B6165" t="s">
        <v>4762</v>
      </c>
      <c r="C6165" t="s">
        <v>9649</v>
      </c>
      <c r="D6165" t="s">
        <v>9926</v>
      </c>
      <c r="E6165" t="s">
        <v>10075</v>
      </c>
      <c r="F6165">
        <v>10452</v>
      </c>
      <c r="G6165" t="s">
        <v>10093</v>
      </c>
      <c r="H6165" t="s">
        <v>10136</v>
      </c>
      <c r="I6165" t="s">
        <v>10168</v>
      </c>
      <c r="J6165" t="s">
        <v>10213</v>
      </c>
      <c r="K6165" t="s">
        <v>10217</v>
      </c>
      <c r="M6165" t="s">
        <v>10358</v>
      </c>
      <c r="N6165" t="s">
        <v>10671</v>
      </c>
      <c r="P6165" t="s">
        <v>10752</v>
      </c>
      <c r="Q6165" t="s">
        <v>10783</v>
      </c>
      <c r="R6165" t="s">
        <v>10824</v>
      </c>
      <c r="T6165">
        <v>43800</v>
      </c>
      <c r="U6165">
        <v>3650</v>
      </c>
      <c r="V6165">
        <v>57</v>
      </c>
      <c r="W6165">
        <v>3</v>
      </c>
      <c r="X6165">
        <v>1</v>
      </c>
      <c r="Z6165">
        <v>170.1</v>
      </c>
      <c r="AA6165">
        <v>40.836338</v>
      </c>
      <c r="AB6165">
        <v>-73.926642</v>
      </c>
      <c r="AD6165" t="s">
        <v>10839</v>
      </c>
      <c r="AG6165" t="s">
        <v>10858</v>
      </c>
      <c r="AH6165" t="s">
        <v>10861</v>
      </c>
      <c r="AI6165">
        <v>234</v>
      </c>
      <c r="AJ6165" t="s">
        <v>10214</v>
      </c>
      <c r="AL6165">
        <v>1.25</v>
      </c>
      <c r="AM6165" t="s">
        <v>10884</v>
      </c>
      <c r="AN6165" t="s">
        <v>10929</v>
      </c>
      <c r="AO6165" t="s">
        <v>11013</v>
      </c>
      <c r="AP6165" t="s">
        <v>11055</v>
      </c>
      <c r="AQ6165" t="s">
        <v>11184</v>
      </c>
      <c r="AR6165" t="s">
        <v>11300</v>
      </c>
      <c r="AS6165" t="s">
        <v>9926</v>
      </c>
      <c r="AT6165" t="s">
        <v>11641</v>
      </c>
      <c r="AX6165" t="s">
        <v>10838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</row>
    <row r="6166" spans="1:59">
      <c r="A6166" s="1">
        <f>HYPERLINK("https://lsnyc.legalserver.org/matter/dynamic-profile/view/1910483","19-1910483")</f>
        <v>0</v>
      </c>
      <c r="B6166" t="s">
        <v>4763</v>
      </c>
      <c r="C6166" t="s">
        <v>9650</v>
      </c>
      <c r="D6166" t="s">
        <v>9928</v>
      </c>
      <c r="E6166" t="s">
        <v>10075</v>
      </c>
      <c r="F6166">
        <v>11225</v>
      </c>
      <c r="G6166" t="s">
        <v>10093</v>
      </c>
      <c r="H6166" t="s">
        <v>10136</v>
      </c>
      <c r="I6166" t="s">
        <v>10168</v>
      </c>
      <c r="J6166" t="s">
        <v>10213</v>
      </c>
      <c r="K6166" t="s">
        <v>10217</v>
      </c>
      <c r="M6166" t="s">
        <v>10304</v>
      </c>
      <c r="N6166" t="s">
        <v>10671</v>
      </c>
      <c r="P6166" t="s">
        <v>10749</v>
      </c>
      <c r="Q6166" t="s">
        <v>10765</v>
      </c>
      <c r="R6166" t="s">
        <v>10824</v>
      </c>
      <c r="T6166">
        <v>2400</v>
      </c>
      <c r="U6166">
        <v>200</v>
      </c>
      <c r="V6166">
        <v>38</v>
      </c>
      <c r="W6166">
        <v>1</v>
      </c>
      <c r="X6166">
        <v>1</v>
      </c>
      <c r="Z6166">
        <v>14.19</v>
      </c>
      <c r="AA6166">
        <v>40.656682</v>
      </c>
      <c r="AB6166">
        <v>-73.95295</v>
      </c>
      <c r="AD6166" t="s">
        <v>10839</v>
      </c>
      <c r="AG6166" t="s">
        <v>10858</v>
      </c>
      <c r="AH6166" t="s">
        <v>10871</v>
      </c>
      <c r="AI6166">
        <v>234</v>
      </c>
      <c r="AJ6166" t="s">
        <v>10214</v>
      </c>
      <c r="AL6166">
        <v>0.5</v>
      </c>
      <c r="AM6166" t="s">
        <v>10888</v>
      </c>
      <c r="AN6166" t="s">
        <v>10912</v>
      </c>
      <c r="AO6166" t="s">
        <v>11005</v>
      </c>
      <c r="AP6166" t="s">
        <v>11050</v>
      </c>
      <c r="AR6166" t="s">
        <v>11320</v>
      </c>
      <c r="AS6166" t="s">
        <v>11595</v>
      </c>
      <c r="AT6166" t="s">
        <v>11641</v>
      </c>
      <c r="AX6166" t="s">
        <v>10838</v>
      </c>
      <c r="BA6166" t="s">
        <v>11741</v>
      </c>
      <c r="BB6166">
        <v>0</v>
      </c>
      <c r="BC6166">
        <v>0</v>
      </c>
      <c r="BD6166">
        <v>0</v>
      </c>
      <c r="BE6166">
        <v>0</v>
      </c>
      <c r="BF6166">
        <v>1</v>
      </c>
      <c r="BG6166">
        <v>0</v>
      </c>
    </row>
    <row r="6167" spans="1:59">
      <c r="A6167" s="1">
        <f>HYPERLINK("https://lsnyc.legalserver.org/matter/dynamic-profile/view/1910484","19-1910484")</f>
        <v>0</v>
      </c>
      <c r="B6167" t="s">
        <v>4764</v>
      </c>
      <c r="C6167" t="s">
        <v>9651</v>
      </c>
      <c r="D6167" t="s">
        <v>9926</v>
      </c>
      <c r="E6167" t="s">
        <v>10075</v>
      </c>
      <c r="F6167">
        <v>10472</v>
      </c>
      <c r="G6167" t="s">
        <v>10091</v>
      </c>
      <c r="H6167" t="s">
        <v>10136</v>
      </c>
      <c r="I6167" t="s">
        <v>10169</v>
      </c>
      <c r="J6167" t="s">
        <v>10214</v>
      </c>
      <c r="K6167" t="s">
        <v>10217</v>
      </c>
      <c r="M6167" t="s">
        <v>10537</v>
      </c>
      <c r="N6167" t="s">
        <v>10671</v>
      </c>
      <c r="P6167" t="s">
        <v>10753</v>
      </c>
      <c r="Q6167" t="s">
        <v>10763</v>
      </c>
      <c r="R6167" t="s">
        <v>10821</v>
      </c>
      <c r="T6167">
        <v>20800</v>
      </c>
      <c r="U6167">
        <v>1733.33</v>
      </c>
      <c r="V6167">
        <v>50</v>
      </c>
      <c r="W6167">
        <v>1</v>
      </c>
      <c r="X6167">
        <v>0</v>
      </c>
      <c r="Z6167">
        <v>166.53</v>
      </c>
      <c r="AA6167">
        <v>40.827454</v>
      </c>
      <c r="AB6167">
        <v>-73.852859</v>
      </c>
      <c r="AD6167" t="s">
        <v>10839</v>
      </c>
      <c r="AF6167" t="s">
        <v>10843</v>
      </c>
      <c r="AG6167" t="s">
        <v>10859</v>
      </c>
      <c r="AH6167" t="s">
        <v>10861</v>
      </c>
      <c r="AI6167">
        <v>234</v>
      </c>
      <c r="AJ6167" t="s">
        <v>10214</v>
      </c>
      <c r="AL6167">
        <v>0.75</v>
      </c>
      <c r="AM6167" t="s">
        <v>10884</v>
      </c>
      <c r="AN6167" t="s">
        <v>10908</v>
      </c>
      <c r="AO6167" t="s">
        <v>11001</v>
      </c>
      <c r="AP6167" t="s">
        <v>11046</v>
      </c>
      <c r="AR6167" t="s">
        <v>11257</v>
      </c>
      <c r="AS6167" t="s">
        <v>9926</v>
      </c>
      <c r="AT6167" t="s">
        <v>11641</v>
      </c>
      <c r="AX6167" t="s">
        <v>10838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</row>
    <row r="6168" spans="1:59">
      <c r="A6168" s="1">
        <f>HYPERLINK("https://lsnyc.legalserver.org/matter/dynamic-profile/view/1910485","19-1910485")</f>
        <v>0</v>
      </c>
      <c r="B6168" t="s">
        <v>4765</v>
      </c>
      <c r="C6168" t="s">
        <v>9652</v>
      </c>
      <c r="D6168" t="s">
        <v>9931</v>
      </c>
      <c r="E6168" t="s">
        <v>10075</v>
      </c>
      <c r="F6168">
        <v>11354</v>
      </c>
      <c r="G6168" t="s">
        <v>10092</v>
      </c>
      <c r="H6168" t="s">
        <v>10136</v>
      </c>
      <c r="I6168" t="s">
        <v>10168</v>
      </c>
      <c r="J6168" t="s">
        <v>10212</v>
      </c>
      <c r="K6168" t="s">
        <v>10217</v>
      </c>
      <c r="M6168" t="s">
        <v>10258</v>
      </c>
      <c r="N6168" t="s">
        <v>10671</v>
      </c>
      <c r="P6168" t="s">
        <v>10749</v>
      </c>
      <c r="Q6168" t="s">
        <v>10765</v>
      </c>
      <c r="R6168" t="s">
        <v>10821</v>
      </c>
      <c r="T6168">
        <v>6960</v>
      </c>
      <c r="U6168">
        <v>580</v>
      </c>
      <c r="V6168">
        <v>76</v>
      </c>
      <c r="W6168">
        <v>1</v>
      </c>
      <c r="X6168">
        <v>0</v>
      </c>
      <c r="Z6168">
        <v>55.72</v>
      </c>
      <c r="AA6168">
        <v>40.761812</v>
      </c>
      <c r="AB6168">
        <v>-73.824308</v>
      </c>
      <c r="AD6168" t="s">
        <v>10839</v>
      </c>
      <c r="AG6168" t="s">
        <v>10858</v>
      </c>
      <c r="AH6168" t="s">
        <v>10871</v>
      </c>
      <c r="AI6168">
        <v>234</v>
      </c>
      <c r="AJ6168" t="s">
        <v>10214</v>
      </c>
      <c r="AL6168">
        <v>1</v>
      </c>
      <c r="AM6168" t="s">
        <v>10890</v>
      </c>
      <c r="AN6168" t="s">
        <v>10927</v>
      </c>
      <c r="AO6168" t="s">
        <v>11009</v>
      </c>
      <c r="AP6168" t="s">
        <v>11067</v>
      </c>
      <c r="AR6168" t="s">
        <v>11316</v>
      </c>
      <c r="AS6168" t="s">
        <v>11594</v>
      </c>
      <c r="AT6168" t="s">
        <v>11641</v>
      </c>
      <c r="AX6168" t="s">
        <v>10838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</row>
    <row r="6169" spans="1:59">
      <c r="A6169" s="1">
        <f>HYPERLINK("https://lsnyc.legalserver.org/matter/dynamic-profile/view/1910486","19-1910486")</f>
        <v>0</v>
      </c>
      <c r="B6169" t="s">
        <v>3372</v>
      </c>
      <c r="C6169" t="s">
        <v>9653</v>
      </c>
      <c r="D6169" t="s">
        <v>9925</v>
      </c>
      <c r="E6169" t="s">
        <v>10075</v>
      </c>
      <c r="F6169">
        <v>10032</v>
      </c>
      <c r="G6169" t="s">
        <v>10089</v>
      </c>
      <c r="H6169" t="s">
        <v>10136</v>
      </c>
      <c r="I6169" t="s">
        <v>10168</v>
      </c>
      <c r="J6169" t="s">
        <v>10209</v>
      </c>
      <c r="K6169" t="s">
        <v>10218</v>
      </c>
      <c r="L6169" t="s">
        <v>10136</v>
      </c>
      <c r="M6169" t="s">
        <v>10543</v>
      </c>
      <c r="N6169" t="s">
        <v>10650</v>
      </c>
      <c r="P6169" t="s">
        <v>10749</v>
      </c>
      <c r="Q6169" t="s">
        <v>10765</v>
      </c>
      <c r="R6169" t="s">
        <v>10820</v>
      </c>
      <c r="T6169">
        <v>10296</v>
      </c>
      <c r="U6169">
        <v>858</v>
      </c>
      <c r="V6169">
        <v>56</v>
      </c>
      <c r="W6169">
        <v>1</v>
      </c>
      <c r="X6169">
        <v>0</v>
      </c>
      <c r="Y6169" t="s">
        <v>10830</v>
      </c>
      <c r="Z6169">
        <v>82.43000000000001</v>
      </c>
      <c r="AA6169">
        <v>40.837751</v>
      </c>
      <c r="AB6169">
        <v>-73.93884799999999</v>
      </c>
      <c r="AD6169" t="s">
        <v>10839</v>
      </c>
      <c r="AG6169" t="s">
        <v>10858</v>
      </c>
      <c r="AH6169" t="s">
        <v>10862</v>
      </c>
      <c r="AI6169">
        <v>236</v>
      </c>
      <c r="AJ6169" t="s">
        <v>10209</v>
      </c>
      <c r="AK6169" t="s">
        <v>10838</v>
      </c>
      <c r="AL6169">
        <v>0.1</v>
      </c>
      <c r="AM6169" t="s">
        <v>10887</v>
      </c>
      <c r="AN6169" t="s">
        <v>10943</v>
      </c>
      <c r="AO6169" t="s">
        <v>11019</v>
      </c>
      <c r="AP6169" t="s">
        <v>11073</v>
      </c>
      <c r="AR6169" t="s">
        <v>11263</v>
      </c>
      <c r="AS6169" t="s">
        <v>9925</v>
      </c>
      <c r="AT6169" t="s">
        <v>11641</v>
      </c>
      <c r="AX6169" t="s">
        <v>10838</v>
      </c>
      <c r="AY6169" t="s">
        <v>10830</v>
      </c>
      <c r="AZ6169" t="s">
        <v>11690</v>
      </c>
      <c r="BA6169" t="s">
        <v>11740</v>
      </c>
      <c r="BB6169">
        <v>0</v>
      </c>
      <c r="BC6169">
        <v>0</v>
      </c>
      <c r="BD6169">
        <v>0</v>
      </c>
      <c r="BE6169">
        <v>0</v>
      </c>
      <c r="BF6169">
        <v>2</v>
      </c>
      <c r="BG6169">
        <v>0</v>
      </c>
    </row>
    <row r="6170" spans="1:59">
      <c r="A6170" s="1">
        <f>HYPERLINK("https://lsnyc.legalserver.org/matter/dynamic-profile/view/1910487","19-1910487")</f>
        <v>0</v>
      </c>
      <c r="B6170" t="s">
        <v>4766</v>
      </c>
      <c r="C6170" t="s">
        <v>9654</v>
      </c>
      <c r="D6170" t="s">
        <v>9928</v>
      </c>
      <c r="E6170" t="s">
        <v>10075</v>
      </c>
      <c r="F6170">
        <v>11220</v>
      </c>
      <c r="G6170" t="s">
        <v>10092</v>
      </c>
      <c r="H6170" t="s">
        <v>10136</v>
      </c>
      <c r="I6170" t="s">
        <v>10188</v>
      </c>
      <c r="J6170" t="s">
        <v>10212</v>
      </c>
      <c r="K6170" t="s">
        <v>10217</v>
      </c>
      <c r="M6170" t="s">
        <v>10527</v>
      </c>
      <c r="N6170" t="s">
        <v>10671</v>
      </c>
      <c r="P6170" t="s">
        <v>10755</v>
      </c>
      <c r="Q6170" t="s">
        <v>10772</v>
      </c>
      <c r="R6170" t="s">
        <v>10827</v>
      </c>
      <c r="T6170">
        <v>28800</v>
      </c>
      <c r="U6170">
        <v>2400</v>
      </c>
      <c r="V6170">
        <v>7</v>
      </c>
      <c r="W6170">
        <v>2</v>
      </c>
      <c r="X6170">
        <v>2</v>
      </c>
      <c r="Z6170">
        <v>111.84</v>
      </c>
      <c r="AA6170">
        <v>40.641221</v>
      </c>
      <c r="AB6170">
        <v>-74.000486</v>
      </c>
      <c r="AD6170" t="s">
        <v>10840</v>
      </c>
      <c r="AG6170" t="s">
        <v>10858</v>
      </c>
      <c r="AH6170" t="s">
        <v>10877</v>
      </c>
      <c r="AI6170">
        <v>237</v>
      </c>
      <c r="AJ6170" t="s">
        <v>10212</v>
      </c>
      <c r="AL6170">
        <v>0.6</v>
      </c>
      <c r="AM6170" t="s">
        <v>10886</v>
      </c>
      <c r="AN6170" t="s">
        <v>10974</v>
      </c>
      <c r="AO6170" t="s">
        <v>11015</v>
      </c>
      <c r="AP6170" t="s">
        <v>11069</v>
      </c>
      <c r="AR6170" t="s">
        <v>11582</v>
      </c>
      <c r="AS6170" t="s">
        <v>11595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</row>
    <row r="6171" spans="1:59">
      <c r="A6171" s="1">
        <f>HYPERLINK("https://lsnyc.legalserver.org/matter/dynamic-profile/view/1910488","19-1910488")</f>
        <v>0</v>
      </c>
      <c r="B6171" t="s">
        <v>3067</v>
      </c>
      <c r="C6171" t="s">
        <v>9655</v>
      </c>
      <c r="D6171" t="s">
        <v>9929</v>
      </c>
      <c r="E6171" t="s">
        <v>10075</v>
      </c>
      <c r="F6171">
        <v>10304</v>
      </c>
      <c r="G6171" t="s">
        <v>10088</v>
      </c>
      <c r="H6171" t="s">
        <v>10136</v>
      </c>
      <c r="I6171" t="s">
        <v>10168</v>
      </c>
      <c r="J6171" t="s">
        <v>10208</v>
      </c>
      <c r="K6171" t="s">
        <v>10217</v>
      </c>
      <c r="M6171" t="s">
        <v>10542</v>
      </c>
      <c r="N6171" t="s">
        <v>10729</v>
      </c>
      <c r="P6171" t="s">
        <v>10754</v>
      </c>
      <c r="Q6171" t="s">
        <v>10766</v>
      </c>
      <c r="R6171" t="s">
        <v>10824</v>
      </c>
      <c r="T6171">
        <v>0</v>
      </c>
      <c r="U6171">
        <v>0</v>
      </c>
      <c r="V6171">
        <v>26</v>
      </c>
      <c r="W6171">
        <v>1</v>
      </c>
      <c r="X6171">
        <v>0</v>
      </c>
      <c r="Z6171">
        <v>0</v>
      </c>
      <c r="AA6171">
        <v>40.628633</v>
      </c>
      <c r="AB6171">
        <v>-74.07555600000001</v>
      </c>
      <c r="AD6171" t="s">
        <v>10839</v>
      </c>
      <c r="AG6171" t="s">
        <v>10858</v>
      </c>
      <c r="AH6171" t="s">
        <v>10865</v>
      </c>
      <c r="AI6171">
        <v>285</v>
      </c>
      <c r="AJ6171" t="s">
        <v>10208</v>
      </c>
      <c r="AL6171">
        <v>1.2</v>
      </c>
      <c r="AM6171" t="s">
        <v>10883</v>
      </c>
      <c r="AN6171" t="s">
        <v>10913</v>
      </c>
      <c r="AO6171" t="s">
        <v>11006</v>
      </c>
      <c r="AP6171" t="s">
        <v>11051</v>
      </c>
      <c r="AQ6171" t="s">
        <v>11112</v>
      </c>
      <c r="AR6171" t="s">
        <v>11267</v>
      </c>
      <c r="AS6171" t="s">
        <v>11593</v>
      </c>
      <c r="AT6171" t="s">
        <v>11641</v>
      </c>
      <c r="AX6171" t="s">
        <v>10838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</row>
    <row r="6172" spans="1:59">
      <c r="A6172" s="1">
        <f>HYPERLINK("https://lsnyc.legalserver.org/matter/dynamic-profile/view/1910489","19-1910489")</f>
        <v>0</v>
      </c>
      <c r="B6172" t="s">
        <v>1083</v>
      </c>
      <c r="C6172" t="s">
        <v>9656</v>
      </c>
      <c r="D6172" t="s">
        <v>9928</v>
      </c>
      <c r="E6172" t="s">
        <v>10075</v>
      </c>
      <c r="F6172">
        <v>11223</v>
      </c>
      <c r="G6172" t="s">
        <v>10091</v>
      </c>
      <c r="H6172" t="s">
        <v>10136</v>
      </c>
      <c r="I6172" t="s">
        <v>10169</v>
      </c>
      <c r="J6172" t="s">
        <v>10211</v>
      </c>
      <c r="K6172" t="s">
        <v>10217</v>
      </c>
      <c r="M6172" t="s">
        <v>10307</v>
      </c>
      <c r="N6172" t="s">
        <v>10671</v>
      </c>
      <c r="P6172" t="s">
        <v>10752</v>
      </c>
      <c r="Q6172" t="s">
        <v>10762</v>
      </c>
      <c r="R6172" t="s">
        <v>10821</v>
      </c>
      <c r="T6172">
        <v>0</v>
      </c>
      <c r="U6172">
        <v>0</v>
      </c>
      <c r="V6172">
        <v>54</v>
      </c>
      <c r="W6172">
        <v>1</v>
      </c>
      <c r="X6172">
        <v>0</v>
      </c>
      <c r="Z6172">
        <v>0</v>
      </c>
      <c r="AA6172">
        <v>40.602069</v>
      </c>
      <c r="AB6172">
        <v>-73.973614</v>
      </c>
      <c r="AD6172" t="s">
        <v>10839</v>
      </c>
      <c r="AG6172" t="s">
        <v>10858</v>
      </c>
      <c r="AH6172" t="s">
        <v>10871</v>
      </c>
      <c r="AI6172">
        <v>234</v>
      </c>
      <c r="AJ6172" t="s">
        <v>10214</v>
      </c>
      <c r="AL6172">
        <v>1</v>
      </c>
      <c r="AM6172" t="s">
        <v>10883</v>
      </c>
      <c r="AN6172" t="s">
        <v>10969</v>
      </c>
      <c r="AO6172" t="s">
        <v>11023</v>
      </c>
      <c r="AP6172" t="s">
        <v>11079</v>
      </c>
      <c r="AR6172" t="s">
        <v>11279</v>
      </c>
      <c r="AS6172" t="s">
        <v>11595</v>
      </c>
      <c r="AT6172" t="s">
        <v>11641</v>
      </c>
      <c r="AX6172" t="s">
        <v>10838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</row>
    <row r="6173" spans="1:59">
      <c r="A6173" s="1">
        <f>HYPERLINK("https://lsnyc.legalserver.org/matter/dynamic-profile/view/1910490","19-1910490")</f>
        <v>0</v>
      </c>
      <c r="B6173" t="s">
        <v>4767</v>
      </c>
      <c r="C6173" t="s">
        <v>9657</v>
      </c>
      <c r="D6173" t="s">
        <v>9928</v>
      </c>
      <c r="E6173" t="s">
        <v>10075</v>
      </c>
      <c r="F6173">
        <v>11233</v>
      </c>
      <c r="G6173" t="s">
        <v>10093</v>
      </c>
      <c r="H6173" t="s">
        <v>10136</v>
      </c>
      <c r="I6173" t="s">
        <v>10168</v>
      </c>
      <c r="J6173" t="s">
        <v>10213</v>
      </c>
      <c r="K6173" t="s">
        <v>10218</v>
      </c>
      <c r="L6173" t="s">
        <v>10136</v>
      </c>
      <c r="M6173" t="s">
        <v>10470</v>
      </c>
      <c r="N6173" t="s">
        <v>10686</v>
      </c>
      <c r="P6173" t="s">
        <v>10750</v>
      </c>
      <c r="Q6173" t="s">
        <v>10778</v>
      </c>
      <c r="R6173" t="s">
        <v>10824</v>
      </c>
      <c r="T6173">
        <v>52680</v>
      </c>
      <c r="U6173">
        <v>4390</v>
      </c>
      <c r="V6173">
        <v>44</v>
      </c>
      <c r="W6173">
        <v>1</v>
      </c>
      <c r="X6173">
        <v>1</v>
      </c>
      <c r="Y6173" t="s">
        <v>10829</v>
      </c>
      <c r="Z6173">
        <v>311.53</v>
      </c>
      <c r="AA6173">
        <v>40.676526</v>
      </c>
      <c r="AB6173">
        <v>-73.924294</v>
      </c>
      <c r="AD6173" t="s">
        <v>10839</v>
      </c>
      <c r="AG6173" t="s">
        <v>10858</v>
      </c>
      <c r="AH6173" t="s">
        <v>10870</v>
      </c>
      <c r="AI6173">
        <v>239</v>
      </c>
      <c r="AJ6173" t="s">
        <v>10213</v>
      </c>
      <c r="AK6173" t="s">
        <v>10838</v>
      </c>
      <c r="AL6173">
        <v>0.8</v>
      </c>
      <c r="AM6173" t="s">
        <v>10889</v>
      </c>
      <c r="AN6173" t="s">
        <v>10914</v>
      </c>
      <c r="AO6173" t="s">
        <v>11007</v>
      </c>
      <c r="AP6173" t="s">
        <v>11064</v>
      </c>
      <c r="AR6173" t="s">
        <v>11583</v>
      </c>
      <c r="AS6173" t="s">
        <v>11595</v>
      </c>
      <c r="AY6173" t="s">
        <v>10829</v>
      </c>
      <c r="AZ6173" t="s">
        <v>11679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</row>
    <row r="6174" spans="1:59">
      <c r="A6174" s="1">
        <f>HYPERLINK("https://lsnyc.legalserver.org/matter/dynamic-profile/view/1910491","19-1910491")</f>
        <v>0</v>
      </c>
      <c r="B6174" t="s">
        <v>4768</v>
      </c>
      <c r="C6174" t="s">
        <v>9658</v>
      </c>
      <c r="D6174" t="s">
        <v>9948</v>
      </c>
      <c r="E6174" t="s">
        <v>10075</v>
      </c>
      <c r="F6174">
        <v>11691</v>
      </c>
      <c r="G6174" t="s">
        <v>10092</v>
      </c>
      <c r="H6174" t="s">
        <v>10136</v>
      </c>
      <c r="I6174" t="s">
        <v>10168</v>
      </c>
      <c r="J6174" t="s">
        <v>10212</v>
      </c>
      <c r="K6174" t="s">
        <v>10218</v>
      </c>
      <c r="L6174" t="s">
        <v>10223</v>
      </c>
      <c r="M6174" t="s">
        <v>10340</v>
      </c>
      <c r="N6174" t="s">
        <v>10714</v>
      </c>
      <c r="P6174" t="s">
        <v>10751</v>
      </c>
      <c r="Q6174" t="s">
        <v>10800</v>
      </c>
      <c r="R6174" t="s">
        <v>10824</v>
      </c>
      <c r="T6174">
        <v>14052</v>
      </c>
      <c r="U6174">
        <v>1171</v>
      </c>
      <c r="V6174">
        <v>66</v>
      </c>
      <c r="W6174">
        <v>1</v>
      </c>
      <c r="X6174">
        <v>0</v>
      </c>
      <c r="Y6174" t="s">
        <v>10829</v>
      </c>
      <c r="Z6174">
        <v>112.51</v>
      </c>
      <c r="AA6174">
        <v>40.600252</v>
      </c>
      <c r="AB6174">
        <v>-73.756198</v>
      </c>
      <c r="AD6174" t="s">
        <v>10839</v>
      </c>
      <c r="AG6174" t="s">
        <v>10858</v>
      </c>
      <c r="AH6174" t="s">
        <v>10861</v>
      </c>
      <c r="AI6174">
        <v>234</v>
      </c>
      <c r="AJ6174" t="s">
        <v>10214</v>
      </c>
      <c r="AK6174" t="s">
        <v>10838</v>
      </c>
      <c r="AL6174">
        <v>1.95</v>
      </c>
      <c r="AM6174" t="s">
        <v>10892</v>
      </c>
      <c r="AN6174" t="s">
        <v>10930</v>
      </c>
      <c r="AO6174" t="s">
        <v>11017</v>
      </c>
      <c r="AP6174" t="s">
        <v>11082</v>
      </c>
      <c r="AR6174" t="s">
        <v>11265</v>
      </c>
      <c r="AS6174" t="s">
        <v>11594</v>
      </c>
      <c r="AT6174" t="s">
        <v>11641</v>
      </c>
      <c r="AX6174" t="s">
        <v>10838</v>
      </c>
      <c r="AY6174" t="s">
        <v>10829</v>
      </c>
      <c r="AZ6174" t="s">
        <v>11682</v>
      </c>
      <c r="BA6174" t="s">
        <v>11741</v>
      </c>
      <c r="BB6174">
        <v>0</v>
      </c>
      <c r="BC6174">
        <v>0</v>
      </c>
      <c r="BD6174">
        <v>0</v>
      </c>
      <c r="BE6174">
        <v>0</v>
      </c>
      <c r="BF6174">
        <v>1</v>
      </c>
      <c r="BG6174">
        <v>0</v>
      </c>
    </row>
    <row r="6175" spans="1:59">
      <c r="A6175" s="1">
        <f>HYPERLINK("https://lsnyc.legalserver.org/matter/dynamic-profile/view/1910492","19-1910492")</f>
        <v>0</v>
      </c>
      <c r="B6175" t="s">
        <v>4769</v>
      </c>
      <c r="C6175" t="s">
        <v>9659</v>
      </c>
      <c r="D6175" t="s">
        <v>9928</v>
      </c>
      <c r="E6175" t="s">
        <v>10075</v>
      </c>
      <c r="F6175">
        <v>11211</v>
      </c>
      <c r="G6175" t="s">
        <v>10093</v>
      </c>
      <c r="H6175" t="s">
        <v>10136</v>
      </c>
      <c r="I6175" t="s">
        <v>10168</v>
      </c>
      <c r="J6175" t="s">
        <v>10213</v>
      </c>
      <c r="K6175" t="s">
        <v>10218</v>
      </c>
      <c r="L6175" t="s">
        <v>10221</v>
      </c>
      <c r="M6175" t="s">
        <v>10317</v>
      </c>
      <c r="N6175" t="s">
        <v>10671</v>
      </c>
      <c r="P6175" t="s">
        <v>10751</v>
      </c>
      <c r="Q6175" t="s">
        <v>10776</v>
      </c>
      <c r="R6175" t="s">
        <v>10822</v>
      </c>
      <c r="T6175">
        <v>7800</v>
      </c>
      <c r="U6175">
        <v>650</v>
      </c>
      <c r="V6175">
        <v>30</v>
      </c>
      <c r="W6175">
        <v>2</v>
      </c>
      <c r="X6175">
        <v>6</v>
      </c>
      <c r="Y6175" t="s">
        <v>10829</v>
      </c>
      <c r="Z6175">
        <v>17.96</v>
      </c>
      <c r="AA6175">
        <v>40.706155</v>
      </c>
      <c r="AB6175">
        <v>-73.95944799999999</v>
      </c>
      <c r="AD6175" t="s">
        <v>10840</v>
      </c>
      <c r="AG6175" t="s">
        <v>10858</v>
      </c>
      <c r="AH6175" t="s">
        <v>10861</v>
      </c>
      <c r="AI6175">
        <v>234</v>
      </c>
      <c r="AJ6175" t="s">
        <v>10214</v>
      </c>
      <c r="AK6175" t="s">
        <v>10838</v>
      </c>
      <c r="AL6175">
        <v>1.4</v>
      </c>
      <c r="AM6175" t="s">
        <v>10886</v>
      </c>
      <c r="AN6175" t="s">
        <v>10939</v>
      </c>
      <c r="AO6175" t="s">
        <v>11004</v>
      </c>
      <c r="AP6175" t="s">
        <v>11054</v>
      </c>
      <c r="AR6175" t="s">
        <v>11255</v>
      </c>
      <c r="AS6175" t="s">
        <v>11595</v>
      </c>
      <c r="AT6175" t="s">
        <v>11642</v>
      </c>
      <c r="AX6175" t="s">
        <v>11678</v>
      </c>
      <c r="AY6175" t="s">
        <v>10829</v>
      </c>
      <c r="AZ6175" t="s">
        <v>11682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</row>
    <row r="6176" spans="1:59">
      <c r="A6176" s="1">
        <f>HYPERLINK("https://lsnyc.legalserver.org/matter/dynamic-profile/view/1910493","19-1910493")</f>
        <v>0</v>
      </c>
      <c r="B6176" t="s">
        <v>4770</v>
      </c>
      <c r="C6176" t="s">
        <v>9660</v>
      </c>
      <c r="D6176" t="s">
        <v>9928</v>
      </c>
      <c r="E6176" t="s">
        <v>10075</v>
      </c>
      <c r="F6176">
        <v>11230</v>
      </c>
      <c r="G6176" t="s">
        <v>10093</v>
      </c>
      <c r="H6176" t="s">
        <v>10136</v>
      </c>
      <c r="I6176" t="s">
        <v>10168</v>
      </c>
      <c r="J6176" t="s">
        <v>10213</v>
      </c>
      <c r="K6176" t="s">
        <v>10217</v>
      </c>
      <c r="M6176" t="s">
        <v>10315</v>
      </c>
      <c r="N6176" t="s">
        <v>10686</v>
      </c>
      <c r="P6176" t="s">
        <v>10750</v>
      </c>
      <c r="Q6176" t="s">
        <v>10778</v>
      </c>
      <c r="R6176" t="s">
        <v>10822</v>
      </c>
      <c r="T6176">
        <v>19200</v>
      </c>
      <c r="U6176">
        <v>1600</v>
      </c>
      <c r="V6176">
        <v>62</v>
      </c>
      <c r="W6176">
        <v>1</v>
      </c>
      <c r="X6176">
        <v>0</v>
      </c>
      <c r="Z6176">
        <v>153.72</v>
      </c>
      <c r="AA6176">
        <v>40.63388</v>
      </c>
      <c r="AB6176">
        <v>-73.965532</v>
      </c>
      <c r="AD6176" t="s">
        <v>10840</v>
      </c>
      <c r="AG6176" t="s">
        <v>10858</v>
      </c>
      <c r="AH6176" t="s">
        <v>10871</v>
      </c>
      <c r="AI6176">
        <v>234</v>
      </c>
      <c r="AJ6176" t="s">
        <v>10214</v>
      </c>
      <c r="AL6176">
        <v>2.4</v>
      </c>
      <c r="AM6176" t="s">
        <v>10888</v>
      </c>
      <c r="AN6176" t="s">
        <v>10941</v>
      </c>
      <c r="AO6176" t="s">
        <v>11015</v>
      </c>
      <c r="AP6176" t="s">
        <v>11050</v>
      </c>
      <c r="AR6176" t="s">
        <v>11276</v>
      </c>
      <c r="AS6176" t="s">
        <v>11595</v>
      </c>
      <c r="AT6176" t="s">
        <v>11642</v>
      </c>
      <c r="AX6176" t="s">
        <v>10838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</row>
    <row r="6177" spans="1:59">
      <c r="A6177" s="1">
        <f>HYPERLINK("https://lsnyc.legalserver.org/matter/dynamic-profile/view/1910494","19-1910494")</f>
        <v>0</v>
      </c>
      <c r="B6177" t="s">
        <v>200</v>
      </c>
      <c r="C6177" t="s">
        <v>9661</v>
      </c>
      <c r="D6177" t="s">
        <v>9951</v>
      </c>
      <c r="E6177" t="s">
        <v>10075</v>
      </c>
      <c r="F6177">
        <v>11417</v>
      </c>
      <c r="G6177" t="s">
        <v>10092</v>
      </c>
      <c r="H6177" t="s">
        <v>10136</v>
      </c>
      <c r="I6177" t="s">
        <v>10168</v>
      </c>
      <c r="J6177" t="s">
        <v>10212</v>
      </c>
      <c r="K6177" t="s">
        <v>10217</v>
      </c>
      <c r="M6177" t="s">
        <v>10312</v>
      </c>
      <c r="N6177" t="s">
        <v>10695</v>
      </c>
      <c r="P6177" t="s">
        <v>10749</v>
      </c>
      <c r="Q6177" t="s">
        <v>10765</v>
      </c>
      <c r="R6177" t="s">
        <v>10828</v>
      </c>
      <c r="T6177">
        <v>9252</v>
      </c>
      <c r="U6177">
        <v>771</v>
      </c>
      <c r="V6177">
        <v>59</v>
      </c>
      <c r="W6177">
        <v>2</v>
      </c>
      <c r="X6177">
        <v>1</v>
      </c>
      <c r="Z6177">
        <v>43.38</v>
      </c>
      <c r="AA6177">
        <v>40.678909</v>
      </c>
      <c r="AB6177">
        <v>-73.85828100000001</v>
      </c>
      <c r="AD6177" t="s">
        <v>10839</v>
      </c>
      <c r="AG6177" t="s">
        <v>10858</v>
      </c>
      <c r="AH6177" t="s">
        <v>10862</v>
      </c>
      <c r="AI6177">
        <v>237</v>
      </c>
      <c r="AJ6177" t="s">
        <v>10212</v>
      </c>
      <c r="AL6177">
        <v>0</v>
      </c>
      <c r="AM6177" t="s">
        <v>10889</v>
      </c>
      <c r="AN6177" t="s">
        <v>10958</v>
      </c>
      <c r="AO6177" t="s">
        <v>11003</v>
      </c>
      <c r="AP6177" t="s">
        <v>11088</v>
      </c>
      <c r="AR6177" t="s">
        <v>11274</v>
      </c>
      <c r="AS6177" t="s">
        <v>11594</v>
      </c>
      <c r="BA6177" t="s">
        <v>11742</v>
      </c>
      <c r="BB6177">
        <v>0</v>
      </c>
      <c r="BC6177">
        <v>0</v>
      </c>
      <c r="BD6177">
        <v>0</v>
      </c>
      <c r="BE6177">
        <v>0</v>
      </c>
      <c r="BF6177">
        <v>7</v>
      </c>
      <c r="BG6177">
        <v>0</v>
      </c>
    </row>
    <row r="6178" spans="1:59">
      <c r="A6178" s="1">
        <f>HYPERLINK("https://lsnyc.legalserver.org/matter/dynamic-profile/view/1910495","19-1910495")</f>
        <v>0</v>
      </c>
      <c r="B6178" t="s">
        <v>4300</v>
      </c>
      <c r="C6178" t="s">
        <v>9144</v>
      </c>
      <c r="D6178" t="s">
        <v>9929</v>
      </c>
      <c r="E6178" t="s">
        <v>10075</v>
      </c>
      <c r="F6178">
        <v>10314</v>
      </c>
      <c r="G6178" t="s">
        <v>10088</v>
      </c>
      <c r="H6178" t="s">
        <v>10137</v>
      </c>
      <c r="I6178" t="s">
        <v>10168</v>
      </c>
      <c r="J6178" t="s">
        <v>10208</v>
      </c>
      <c r="K6178" t="s">
        <v>10217</v>
      </c>
      <c r="M6178" t="s">
        <v>10542</v>
      </c>
      <c r="N6178" t="s">
        <v>10729</v>
      </c>
      <c r="P6178" t="s">
        <v>10754</v>
      </c>
      <c r="Q6178" t="s">
        <v>10777</v>
      </c>
      <c r="R6178" t="s">
        <v>10821</v>
      </c>
      <c r="T6178">
        <v>8436</v>
      </c>
      <c r="U6178">
        <v>703</v>
      </c>
      <c r="V6178">
        <v>29</v>
      </c>
      <c r="W6178">
        <v>1</v>
      </c>
      <c r="X6178">
        <v>4</v>
      </c>
      <c r="Z6178">
        <v>27.96</v>
      </c>
      <c r="AA6178">
        <v>40.58661</v>
      </c>
      <c r="AB6178">
        <v>-74.165237</v>
      </c>
      <c r="AD6178" t="s">
        <v>10839</v>
      </c>
      <c r="AG6178" t="s">
        <v>10858</v>
      </c>
      <c r="AH6178" t="s">
        <v>10867</v>
      </c>
      <c r="AI6178">
        <v>285</v>
      </c>
      <c r="AJ6178" t="s">
        <v>10208</v>
      </c>
      <c r="AL6178">
        <v>0.5</v>
      </c>
      <c r="AQ6178" t="s">
        <v>11128</v>
      </c>
      <c r="AR6178" t="s">
        <v>11383</v>
      </c>
      <c r="AS6178" t="s">
        <v>11593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</row>
    <row r="6179" spans="1:59">
      <c r="A6179" s="1">
        <f>HYPERLINK("https://lsnyc.legalserver.org/matter/dynamic-profile/view/1910496","19-1910496")</f>
        <v>0</v>
      </c>
      <c r="B6179" t="s">
        <v>4160</v>
      </c>
      <c r="C6179" t="s">
        <v>8990</v>
      </c>
      <c r="D6179" t="s">
        <v>9929</v>
      </c>
      <c r="E6179" t="s">
        <v>10075</v>
      </c>
      <c r="F6179">
        <v>10305</v>
      </c>
      <c r="G6179" t="s">
        <v>10088</v>
      </c>
      <c r="H6179" t="s">
        <v>10137</v>
      </c>
      <c r="I6179" t="s">
        <v>10168</v>
      </c>
      <c r="J6179" t="s">
        <v>10208</v>
      </c>
      <c r="K6179" t="s">
        <v>10217</v>
      </c>
      <c r="M6179" t="s">
        <v>10542</v>
      </c>
      <c r="N6179" t="s">
        <v>10729</v>
      </c>
      <c r="P6179" t="s">
        <v>10754</v>
      </c>
      <c r="Q6179" t="s">
        <v>10770</v>
      </c>
      <c r="R6179" t="s">
        <v>10821</v>
      </c>
      <c r="T6179">
        <v>31529.16</v>
      </c>
      <c r="U6179">
        <v>2627.43</v>
      </c>
      <c r="V6179">
        <v>34</v>
      </c>
      <c r="W6179">
        <v>1</v>
      </c>
      <c r="X6179">
        <v>2</v>
      </c>
      <c r="Z6179">
        <v>147.82</v>
      </c>
      <c r="AA6179">
        <v>40.60729</v>
      </c>
      <c r="AB6179">
        <v>-74.06864400000001</v>
      </c>
      <c r="AD6179" t="s">
        <v>10839</v>
      </c>
      <c r="AF6179" t="s">
        <v>10843</v>
      </c>
      <c r="AG6179" t="s">
        <v>10859</v>
      </c>
      <c r="AH6179" t="s">
        <v>10861</v>
      </c>
      <c r="AI6179">
        <v>234</v>
      </c>
      <c r="AJ6179" t="s">
        <v>10214</v>
      </c>
      <c r="AL6179">
        <v>0.8</v>
      </c>
      <c r="AR6179" t="s">
        <v>11257</v>
      </c>
      <c r="AS6179" t="s">
        <v>11593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</row>
    <row r="6180" spans="1:59">
      <c r="A6180" s="1">
        <f>HYPERLINK("https://lsnyc.legalserver.org/matter/dynamic-profile/view/1910497","19-1910497")</f>
        <v>0</v>
      </c>
      <c r="B6180" t="s">
        <v>1445</v>
      </c>
      <c r="C6180" t="s">
        <v>9662</v>
      </c>
      <c r="D6180" t="s">
        <v>9928</v>
      </c>
      <c r="E6180" t="s">
        <v>10075</v>
      </c>
      <c r="F6180">
        <v>11208</v>
      </c>
      <c r="G6180" t="s">
        <v>10093</v>
      </c>
      <c r="H6180" t="s">
        <v>10136</v>
      </c>
      <c r="I6180" t="s">
        <v>10168</v>
      </c>
      <c r="J6180" t="s">
        <v>10213</v>
      </c>
      <c r="K6180" t="s">
        <v>10217</v>
      </c>
      <c r="M6180" t="s">
        <v>10348</v>
      </c>
      <c r="N6180" t="s">
        <v>10650</v>
      </c>
      <c r="P6180" t="s">
        <v>10751</v>
      </c>
      <c r="Q6180" t="s">
        <v>10761</v>
      </c>
      <c r="R6180" t="s">
        <v>10824</v>
      </c>
      <c r="T6180">
        <v>2856</v>
      </c>
      <c r="U6180">
        <v>238</v>
      </c>
      <c r="V6180">
        <v>56</v>
      </c>
      <c r="W6180">
        <v>1</v>
      </c>
      <c r="X6180">
        <v>2</v>
      </c>
      <c r="Z6180">
        <v>13.39</v>
      </c>
      <c r="AA6180">
        <v>40.678806</v>
      </c>
      <c r="AB6180">
        <v>-73.872373</v>
      </c>
      <c r="AD6180" t="s">
        <v>10840</v>
      </c>
      <c r="AG6180" t="s">
        <v>10858</v>
      </c>
      <c r="AH6180" t="s">
        <v>10862</v>
      </c>
      <c r="AI6180">
        <v>239</v>
      </c>
      <c r="AJ6180" t="s">
        <v>10213</v>
      </c>
      <c r="AL6180">
        <v>1.75</v>
      </c>
      <c r="AM6180" t="s">
        <v>10889</v>
      </c>
      <c r="AN6180" t="s">
        <v>10920</v>
      </c>
      <c r="AO6180" t="s">
        <v>11011</v>
      </c>
      <c r="AP6180" t="s">
        <v>11058</v>
      </c>
      <c r="AR6180" t="s">
        <v>11382</v>
      </c>
      <c r="AS6180" t="s">
        <v>11595</v>
      </c>
      <c r="AT6180" t="s">
        <v>11642</v>
      </c>
      <c r="AX6180" t="s">
        <v>11678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</row>
    <row r="6181" spans="1:59">
      <c r="A6181" s="1">
        <f>HYPERLINK("https://lsnyc.legalserver.org/matter/dynamic-profile/view/1910499","19-1910499")</f>
        <v>0</v>
      </c>
      <c r="B6181" t="s">
        <v>4771</v>
      </c>
      <c r="C6181" t="s">
        <v>9663</v>
      </c>
      <c r="D6181" t="s">
        <v>9928</v>
      </c>
      <c r="E6181" t="s">
        <v>10075</v>
      </c>
      <c r="F6181">
        <v>11235</v>
      </c>
      <c r="G6181" t="s">
        <v>10093</v>
      </c>
      <c r="H6181" t="s">
        <v>10100</v>
      </c>
      <c r="I6181" t="s">
        <v>10168</v>
      </c>
      <c r="J6181" t="s">
        <v>10213</v>
      </c>
      <c r="K6181" t="s">
        <v>10217</v>
      </c>
      <c r="M6181" t="s">
        <v>10390</v>
      </c>
      <c r="N6181" t="s">
        <v>10644</v>
      </c>
      <c r="P6181" t="s">
        <v>10749</v>
      </c>
      <c r="Q6181" t="s">
        <v>10791</v>
      </c>
      <c r="R6181" t="s">
        <v>10820</v>
      </c>
      <c r="T6181">
        <v>8040</v>
      </c>
      <c r="U6181">
        <v>670</v>
      </c>
      <c r="V6181">
        <v>68</v>
      </c>
      <c r="W6181">
        <v>1</v>
      </c>
      <c r="X6181">
        <v>0</v>
      </c>
      <c r="Z6181">
        <v>64.37</v>
      </c>
      <c r="AA6181">
        <v>40.5853</v>
      </c>
      <c r="AB6181">
        <v>-73.93393399999999</v>
      </c>
      <c r="AD6181" t="s">
        <v>10839</v>
      </c>
      <c r="AG6181" t="s">
        <v>10858</v>
      </c>
      <c r="AH6181" t="s">
        <v>10869</v>
      </c>
      <c r="AI6181">
        <v>239</v>
      </c>
      <c r="AJ6181" t="s">
        <v>10213</v>
      </c>
      <c r="AL6181">
        <v>1</v>
      </c>
      <c r="AM6181" t="s">
        <v>10889</v>
      </c>
      <c r="AN6181" t="s">
        <v>10957</v>
      </c>
      <c r="AO6181" t="s">
        <v>11006</v>
      </c>
      <c r="AP6181" t="s">
        <v>11092</v>
      </c>
      <c r="AQ6181" t="s">
        <v>11100</v>
      </c>
      <c r="AR6181" t="s">
        <v>11268</v>
      </c>
      <c r="AS6181" t="s">
        <v>11595</v>
      </c>
      <c r="BA6181" t="s">
        <v>11740</v>
      </c>
      <c r="BB6181">
        <v>0</v>
      </c>
      <c r="BC6181">
        <v>0</v>
      </c>
      <c r="BD6181">
        <v>0</v>
      </c>
      <c r="BE6181">
        <v>0</v>
      </c>
      <c r="BF6181">
        <v>2</v>
      </c>
      <c r="BG6181">
        <v>0</v>
      </c>
    </row>
    <row r="6182" spans="1:59">
      <c r="A6182" s="1">
        <f>HYPERLINK("https://lsnyc.legalserver.org/matter/dynamic-profile/view/1910500","19-1910500")</f>
        <v>0</v>
      </c>
      <c r="B6182" t="s">
        <v>4772</v>
      </c>
      <c r="C6182" t="s">
        <v>6943</v>
      </c>
      <c r="D6182" t="s">
        <v>9965</v>
      </c>
      <c r="E6182" t="s">
        <v>10075</v>
      </c>
      <c r="F6182">
        <v>11101</v>
      </c>
      <c r="G6182" t="s">
        <v>10092</v>
      </c>
      <c r="H6182" t="s">
        <v>10136</v>
      </c>
      <c r="I6182" t="s">
        <v>10168</v>
      </c>
      <c r="J6182" t="s">
        <v>10212</v>
      </c>
      <c r="K6182" t="s">
        <v>10217</v>
      </c>
      <c r="M6182" t="s">
        <v>10594</v>
      </c>
      <c r="N6182" t="s">
        <v>10650</v>
      </c>
      <c r="P6182" t="s">
        <v>10749</v>
      </c>
      <c r="Q6182" t="s">
        <v>10765</v>
      </c>
      <c r="R6182" t="s">
        <v>10827</v>
      </c>
      <c r="T6182">
        <v>4160</v>
      </c>
      <c r="U6182">
        <v>346.67</v>
      </c>
      <c r="V6182">
        <v>46</v>
      </c>
      <c r="W6182">
        <v>1</v>
      </c>
      <c r="X6182">
        <v>0</v>
      </c>
      <c r="Z6182">
        <v>33.31</v>
      </c>
      <c r="AA6182">
        <v>40.747738</v>
      </c>
      <c r="AB6182">
        <v>-73.942677</v>
      </c>
      <c r="AD6182" t="s">
        <v>10840</v>
      </c>
      <c r="AF6182" t="s">
        <v>10842</v>
      </c>
      <c r="AG6182" t="s">
        <v>10859</v>
      </c>
      <c r="AH6182" t="s">
        <v>10862</v>
      </c>
      <c r="AI6182">
        <v>237</v>
      </c>
      <c r="AJ6182" t="s">
        <v>10212</v>
      </c>
      <c r="AL6182">
        <v>1.7</v>
      </c>
      <c r="AM6182" t="s">
        <v>10891</v>
      </c>
      <c r="AN6182" t="s">
        <v>10961</v>
      </c>
      <c r="AO6182" t="s">
        <v>11003</v>
      </c>
      <c r="AP6182" t="s">
        <v>11047</v>
      </c>
      <c r="AR6182" t="s">
        <v>11257</v>
      </c>
      <c r="AS6182" t="s">
        <v>11594</v>
      </c>
      <c r="AX6182" t="s">
        <v>10838</v>
      </c>
      <c r="BA6182" t="s">
        <v>11741</v>
      </c>
      <c r="BB6182">
        <v>0</v>
      </c>
      <c r="BC6182">
        <v>0</v>
      </c>
      <c r="BD6182">
        <v>0</v>
      </c>
      <c r="BE6182">
        <v>0</v>
      </c>
      <c r="BF6182">
        <v>1</v>
      </c>
      <c r="BG6182">
        <v>0</v>
      </c>
    </row>
    <row r="6183" spans="1:59">
      <c r="A6183" s="1">
        <f>HYPERLINK("https://lsnyc.legalserver.org/matter/dynamic-profile/view/1910501","19-1910501")</f>
        <v>0</v>
      </c>
      <c r="B6183" t="s">
        <v>596</v>
      </c>
      <c r="C6183" t="s">
        <v>9039</v>
      </c>
      <c r="D6183" t="s">
        <v>9932</v>
      </c>
      <c r="E6183" t="s">
        <v>10075</v>
      </c>
      <c r="F6183">
        <v>11368</v>
      </c>
      <c r="G6183" t="s">
        <v>10092</v>
      </c>
      <c r="H6183" t="s">
        <v>10136</v>
      </c>
      <c r="I6183" t="s">
        <v>10168</v>
      </c>
      <c r="J6183" t="s">
        <v>10212</v>
      </c>
      <c r="K6183" t="s">
        <v>10217</v>
      </c>
      <c r="M6183" t="s">
        <v>10340</v>
      </c>
      <c r="N6183" t="s">
        <v>10671</v>
      </c>
      <c r="P6183" t="s">
        <v>10751</v>
      </c>
      <c r="Q6183" t="s">
        <v>10768</v>
      </c>
      <c r="R6183" t="s">
        <v>10820</v>
      </c>
      <c r="T6183">
        <v>10400</v>
      </c>
      <c r="U6183">
        <v>866.67</v>
      </c>
      <c r="V6183">
        <v>36</v>
      </c>
      <c r="W6183">
        <v>1</v>
      </c>
      <c r="X6183">
        <v>0</v>
      </c>
      <c r="Z6183">
        <v>83.27</v>
      </c>
      <c r="AA6183">
        <v>40.735882</v>
      </c>
      <c r="AB6183">
        <v>-73.86198400000001</v>
      </c>
      <c r="AD6183" t="s">
        <v>10839</v>
      </c>
      <c r="AG6183" t="s">
        <v>10858</v>
      </c>
      <c r="AH6183" t="s">
        <v>10871</v>
      </c>
      <c r="AI6183">
        <v>234</v>
      </c>
      <c r="AJ6183" t="s">
        <v>10214</v>
      </c>
      <c r="AL6183">
        <v>1</v>
      </c>
      <c r="AM6183" t="s">
        <v>10885</v>
      </c>
      <c r="AN6183" t="s">
        <v>10916</v>
      </c>
      <c r="AO6183" t="s">
        <v>11014</v>
      </c>
      <c r="AP6183" t="s">
        <v>11068</v>
      </c>
      <c r="AR6183" t="s">
        <v>11257</v>
      </c>
      <c r="AS6183" t="s">
        <v>11594</v>
      </c>
      <c r="AT6183" t="s">
        <v>11641</v>
      </c>
      <c r="AX6183" t="s">
        <v>10838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</row>
    <row r="6184" spans="1:59">
      <c r="A6184" s="1">
        <f>HYPERLINK("https://lsnyc.legalserver.org/matter/dynamic-profile/view/1910502","19-1910502")</f>
        <v>0</v>
      </c>
      <c r="B6184" t="s">
        <v>4773</v>
      </c>
      <c r="C6184" t="s">
        <v>9664</v>
      </c>
      <c r="D6184" t="s">
        <v>9928</v>
      </c>
      <c r="E6184" t="s">
        <v>10075</v>
      </c>
      <c r="F6184">
        <v>11216</v>
      </c>
      <c r="G6184" t="s">
        <v>10093</v>
      </c>
      <c r="H6184" t="s">
        <v>10136</v>
      </c>
      <c r="I6184" t="s">
        <v>10168</v>
      </c>
      <c r="J6184" t="s">
        <v>10213</v>
      </c>
      <c r="K6184" t="s">
        <v>10217</v>
      </c>
      <c r="M6184" t="s">
        <v>10639</v>
      </c>
      <c r="N6184" t="s">
        <v>10657</v>
      </c>
      <c r="P6184" t="s">
        <v>10749</v>
      </c>
      <c r="Q6184" t="s">
        <v>10765</v>
      </c>
      <c r="R6184" t="s">
        <v>10824</v>
      </c>
      <c r="T6184">
        <v>31920</v>
      </c>
      <c r="U6184">
        <v>2660</v>
      </c>
      <c r="V6184">
        <v>88</v>
      </c>
      <c r="W6184">
        <v>1</v>
      </c>
      <c r="X6184">
        <v>0</v>
      </c>
      <c r="Z6184">
        <v>255.56</v>
      </c>
      <c r="AA6184">
        <v>40.675358</v>
      </c>
      <c r="AB6184">
        <v>-73.947872</v>
      </c>
      <c r="AC6184" t="s">
        <v>10837</v>
      </c>
      <c r="AD6184" t="s">
        <v>10840</v>
      </c>
      <c r="AG6184" t="s">
        <v>10858</v>
      </c>
      <c r="AH6184" t="s">
        <v>10861</v>
      </c>
      <c r="AI6184">
        <v>239</v>
      </c>
      <c r="AJ6184" t="s">
        <v>10213</v>
      </c>
      <c r="AL6184">
        <v>0</v>
      </c>
      <c r="AM6184" t="s">
        <v>10888</v>
      </c>
      <c r="AN6184" t="s">
        <v>10912</v>
      </c>
      <c r="AO6184" t="s">
        <v>11007</v>
      </c>
      <c r="AP6184" t="s">
        <v>11052</v>
      </c>
      <c r="AR6184" t="s">
        <v>11345</v>
      </c>
      <c r="AS6184" t="s">
        <v>11595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</row>
    <row r="6185" spans="1:59">
      <c r="A6185" s="1">
        <f>HYPERLINK("https://lsnyc.legalserver.org/matter/dynamic-profile/view/1910503","19-1910503")</f>
        <v>0</v>
      </c>
      <c r="B6185" t="s">
        <v>2183</v>
      </c>
      <c r="C6185" t="s">
        <v>9665</v>
      </c>
      <c r="D6185" t="s">
        <v>9925</v>
      </c>
      <c r="E6185" t="s">
        <v>10075</v>
      </c>
      <c r="F6185">
        <v>10038</v>
      </c>
      <c r="G6185" t="s">
        <v>10089</v>
      </c>
      <c r="H6185" t="s">
        <v>10136</v>
      </c>
      <c r="I6185" t="s">
        <v>10168</v>
      </c>
      <c r="J6185" t="s">
        <v>10209</v>
      </c>
      <c r="K6185" t="s">
        <v>10217</v>
      </c>
      <c r="M6185" t="s">
        <v>10509</v>
      </c>
      <c r="N6185" t="s">
        <v>10703</v>
      </c>
      <c r="P6185" t="s">
        <v>10749</v>
      </c>
      <c r="Q6185" t="s">
        <v>10767</v>
      </c>
      <c r="R6185" t="s">
        <v>10821</v>
      </c>
      <c r="T6185">
        <v>26884</v>
      </c>
      <c r="U6185">
        <v>2240.33</v>
      </c>
      <c r="V6185">
        <v>47</v>
      </c>
      <c r="W6185">
        <v>1</v>
      </c>
      <c r="X6185">
        <v>0</v>
      </c>
      <c r="Z6185">
        <v>215.24</v>
      </c>
      <c r="AA6185">
        <v>40.71134</v>
      </c>
      <c r="AB6185">
        <v>-73.999546</v>
      </c>
      <c r="AD6185" t="s">
        <v>10839</v>
      </c>
      <c r="AG6185" t="s">
        <v>10858</v>
      </c>
      <c r="AH6185" t="s">
        <v>10862</v>
      </c>
      <c r="AI6185">
        <v>236</v>
      </c>
      <c r="AJ6185" t="s">
        <v>10209</v>
      </c>
      <c r="AL6185">
        <v>0</v>
      </c>
      <c r="AQ6185" t="s">
        <v>11144</v>
      </c>
      <c r="AR6185" t="s">
        <v>11327</v>
      </c>
      <c r="AS6185" t="s">
        <v>9925</v>
      </c>
      <c r="BA6185" t="s">
        <v>11742</v>
      </c>
      <c r="BB6185">
        <v>0</v>
      </c>
      <c r="BC6185">
        <v>0</v>
      </c>
      <c r="BD6185">
        <v>0</v>
      </c>
      <c r="BE6185">
        <v>0</v>
      </c>
      <c r="BF6185">
        <v>7</v>
      </c>
      <c r="BG6185">
        <v>0</v>
      </c>
    </row>
    <row r="6186" spans="1:59">
      <c r="A6186" s="1">
        <f>HYPERLINK("https://lsnyc.legalserver.org/matter/dynamic-profile/view/1910504","19-1910504")</f>
        <v>0</v>
      </c>
      <c r="B6186" t="s">
        <v>4774</v>
      </c>
      <c r="C6186" t="s">
        <v>9666</v>
      </c>
      <c r="D6186" t="s">
        <v>9928</v>
      </c>
      <c r="E6186" t="s">
        <v>10075</v>
      </c>
      <c r="F6186">
        <v>11210</v>
      </c>
      <c r="G6186" t="s">
        <v>10093</v>
      </c>
      <c r="H6186" t="s">
        <v>10136</v>
      </c>
      <c r="I6186" t="s">
        <v>10168</v>
      </c>
      <c r="J6186" t="s">
        <v>10213</v>
      </c>
      <c r="K6186" t="s">
        <v>10217</v>
      </c>
      <c r="M6186" t="s">
        <v>10583</v>
      </c>
      <c r="N6186" t="s">
        <v>10644</v>
      </c>
      <c r="P6186" t="s">
        <v>10756</v>
      </c>
      <c r="Q6186" t="s">
        <v>10787</v>
      </c>
      <c r="R6186" t="s">
        <v>10824</v>
      </c>
      <c r="T6186">
        <v>0</v>
      </c>
      <c r="U6186">
        <v>0</v>
      </c>
      <c r="V6186">
        <v>94</v>
      </c>
      <c r="W6186">
        <v>1</v>
      </c>
      <c r="X6186">
        <v>0</v>
      </c>
      <c r="Z6186">
        <v>0</v>
      </c>
      <c r="AA6186">
        <v>40.631576</v>
      </c>
      <c r="AB6186">
        <v>-73.944294</v>
      </c>
      <c r="AC6186" t="s">
        <v>10837</v>
      </c>
      <c r="AD6186" t="s">
        <v>10840</v>
      </c>
      <c r="AG6186" t="s">
        <v>10858</v>
      </c>
      <c r="AH6186" t="s">
        <v>10869</v>
      </c>
      <c r="AI6186">
        <v>239</v>
      </c>
      <c r="AJ6186" t="s">
        <v>10213</v>
      </c>
      <c r="AL6186">
        <v>0.25</v>
      </c>
      <c r="AM6186" t="s">
        <v>10888</v>
      </c>
      <c r="AN6186" t="s">
        <v>10957</v>
      </c>
      <c r="AO6186" t="s">
        <v>11008</v>
      </c>
      <c r="AP6186" t="s">
        <v>11065</v>
      </c>
      <c r="AR6186" t="s">
        <v>11267</v>
      </c>
      <c r="AS6186" t="s">
        <v>11595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</row>
    <row r="6187" spans="1:59">
      <c r="A6187" s="1">
        <f>HYPERLINK("https://lsnyc.legalserver.org/matter/dynamic-profile/view/1910506","19-1910506")</f>
        <v>0</v>
      </c>
      <c r="B6187" t="s">
        <v>4070</v>
      </c>
      <c r="C6187" t="s">
        <v>9667</v>
      </c>
      <c r="D6187" t="s">
        <v>9956</v>
      </c>
      <c r="E6187" t="s">
        <v>10075</v>
      </c>
      <c r="F6187">
        <v>11365</v>
      </c>
      <c r="G6187" t="s">
        <v>10092</v>
      </c>
      <c r="H6187" t="s">
        <v>10136</v>
      </c>
      <c r="I6187" t="s">
        <v>10168</v>
      </c>
      <c r="J6187" t="s">
        <v>10212</v>
      </c>
      <c r="K6187" t="s">
        <v>10217</v>
      </c>
      <c r="M6187" t="s">
        <v>10285</v>
      </c>
      <c r="N6187" t="s">
        <v>10695</v>
      </c>
      <c r="P6187" t="s">
        <v>10749</v>
      </c>
      <c r="Q6187" t="s">
        <v>10767</v>
      </c>
      <c r="R6187" t="s">
        <v>10821</v>
      </c>
      <c r="T6187">
        <v>2042.4</v>
      </c>
      <c r="U6187">
        <v>170.2</v>
      </c>
      <c r="V6187">
        <v>27</v>
      </c>
      <c r="W6187">
        <v>1</v>
      </c>
      <c r="X6187">
        <v>0</v>
      </c>
      <c r="Z6187">
        <v>16.35</v>
      </c>
      <c r="AA6187">
        <v>40.732577</v>
      </c>
      <c r="AB6187">
        <v>-73.811367</v>
      </c>
      <c r="AD6187" t="s">
        <v>10839</v>
      </c>
      <c r="AG6187" t="s">
        <v>10858</v>
      </c>
      <c r="AH6187" t="s">
        <v>10862</v>
      </c>
      <c r="AI6187">
        <v>237</v>
      </c>
      <c r="AJ6187" t="s">
        <v>10212</v>
      </c>
      <c r="AL6187">
        <v>1.5</v>
      </c>
      <c r="AM6187" t="s">
        <v>10890</v>
      </c>
      <c r="AN6187" t="s">
        <v>10962</v>
      </c>
      <c r="AO6187" t="s">
        <v>11009</v>
      </c>
      <c r="AP6187" t="s">
        <v>11081</v>
      </c>
      <c r="AR6187" t="s">
        <v>11311</v>
      </c>
      <c r="AS6187" t="s">
        <v>11594</v>
      </c>
      <c r="BA6187" t="s">
        <v>11740</v>
      </c>
      <c r="BB6187">
        <v>0</v>
      </c>
      <c r="BC6187">
        <v>0</v>
      </c>
      <c r="BD6187">
        <v>0</v>
      </c>
      <c r="BE6187">
        <v>0</v>
      </c>
      <c r="BF6187">
        <v>2</v>
      </c>
      <c r="BG6187">
        <v>0</v>
      </c>
    </row>
    <row r="6188" spans="1:59">
      <c r="A6188" s="1">
        <f>HYPERLINK("https://lsnyc.legalserver.org/matter/dynamic-profile/view/1910507","19-1910507")</f>
        <v>0</v>
      </c>
      <c r="B6188" t="s">
        <v>4775</v>
      </c>
      <c r="C6188" t="s">
        <v>9668</v>
      </c>
      <c r="D6188" t="s">
        <v>9928</v>
      </c>
      <c r="E6188" t="s">
        <v>10075</v>
      </c>
      <c r="F6188">
        <v>11224</v>
      </c>
      <c r="G6188" t="s">
        <v>10093</v>
      </c>
      <c r="H6188" t="s">
        <v>10136</v>
      </c>
      <c r="I6188" t="s">
        <v>10168</v>
      </c>
      <c r="J6188" t="s">
        <v>10213</v>
      </c>
      <c r="K6188" t="s">
        <v>10217</v>
      </c>
      <c r="M6188" t="s">
        <v>10359</v>
      </c>
      <c r="N6188" t="s">
        <v>10664</v>
      </c>
      <c r="P6188" t="s">
        <v>10749</v>
      </c>
      <c r="Q6188" t="s">
        <v>10765</v>
      </c>
      <c r="R6188" t="s">
        <v>10824</v>
      </c>
      <c r="T6188">
        <v>23136</v>
      </c>
      <c r="U6188">
        <v>1928</v>
      </c>
      <c r="V6188">
        <v>47</v>
      </c>
      <c r="W6188">
        <v>1</v>
      </c>
      <c r="X6188">
        <v>2</v>
      </c>
      <c r="Z6188">
        <v>108.47</v>
      </c>
      <c r="AA6188">
        <v>40.576794</v>
      </c>
      <c r="AB6188">
        <v>-73.991679</v>
      </c>
      <c r="AD6188" t="s">
        <v>10839</v>
      </c>
      <c r="AG6188" t="s">
        <v>10858</v>
      </c>
      <c r="AH6188" t="s">
        <v>10861</v>
      </c>
      <c r="AI6188">
        <v>239</v>
      </c>
      <c r="AJ6188" t="s">
        <v>10213</v>
      </c>
      <c r="AL6188">
        <v>0</v>
      </c>
      <c r="AM6188" t="s">
        <v>10889</v>
      </c>
      <c r="AN6188" t="s">
        <v>10960</v>
      </c>
      <c r="AO6188" t="s">
        <v>11006</v>
      </c>
      <c r="AP6188" t="s">
        <v>11087</v>
      </c>
      <c r="AR6188" t="s">
        <v>11421</v>
      </c>
      <c r="AS6188" t="s">
        <v>11595</v>
      </c>
      <c r="BA6188" t="s">
        <v>11741</v>
      </c>
      <c r="BB6188">
        <v>0</v>
      </c>
      <c r="BC6188">
        <v>0</v>
      </c>
      <c r="BD6188">
        <v>0</v>
      </c>
      <c r="BE6188">
        <v>0</v>
      </c>
      <c r="BF6188">
        <v>1</v>
      </c>
      <c r="BG6188">
        <v>0</v>
      </c>
    </row>
    <row r="6189" spans="1:59">
      <c r="A6189" s="1">
        <f>HYPERLINK("https://lsnyc.legalserver.org/matter/dynamic-profile/view/1910508","19-1910508")</f>
        <v>0</v>
      </c>
      <c r="B6189" t="s">
        <v>1618</v>
      </c>
      <c r="C6189" t="s">
        <v>9669</v>
      </c>
      <c r="D6189" t="s">
        <v>9959</v>
      </c>
      <c r="E6189" t="s">
        <v>10075</v>
      </c>
      <c r="F6189">
        <v>11356</v>
      </c>
      <c r="G6189" t="s">
        <v>10091</v>
      </c>
      <c r="H6189" t="s">
        <v>10136</v>
      </c>
      <c r="I6189" t="s">
        <v>10169</v>
      </c>
      <c r="J6189" t="s">
        <v>10214</v>
      </c>
      <c r="K6189" t="s">
        <v>10217</v>
      </c>
      <c r="M6189" t="s">
        <v>10307</v>
      </c>
      <c r="N6189" t="s">
        <v>10671</v>
      </c>
      <c r="P6189" t="s">
        <v>10753</v>
      </c>
      <c r="Q6189" t="s">
        <v>10763</v>
      </c>
      <c r="R6189" t="s">
        <v>10823</v>
      </c>
      <c r="T6189">
        <v>26000</v>
      </c>
      <c r="U6189">
        <v>2166.67</v>
      </c>
      <c r="V6189">
        <v>63</v>
      </c>
      <c r="W6189">
        <v>2</v>
      </c>
      <c r="X6189">
        <v>1</v>
      </c>
      <c r="Z6189">
        <v>121.89</v>
      </c>
      <c r="AA6189">
        <v>40.779582</v>
      </c>
      <c r="AB6189">
        <v>-73.84086499999999</v>
      </c>
      <c r="AD6189" t="s">
        <v>10840</v>
      </c>
      <c r="AG6189" t="s">
        <v>10858</v>
      </c>
      <c r="AH6189" t="s">
        <v>10861</v>
      </c>
      <c r="AI6189">
        <v>234</v>
      </c>
      <c r="AJ6189" t="s">
        <v>10214</v>
      </c>
      <c r="AL6189">
        <v>0.75</v>
      </c>
      <c r="AM6189" t="s">
        <v>10885</v>
      </c>
      <c r="AN6189" t="s">
        <v>10962</v>
      </c>
      <c r="AO6189" t="s">
        <v>11022</v>
      </c>
      <c r="AP6189" t="s">
        <v>11080</v>
      </c>
      <c r="AR6189" t="s">
        <v>11257</v>
      </c>
      <c r="AS6189" t="s">
        <v>11594</v>
      </c>
      <c r="AT6189" t="s">
        <v>11642</v>
      </c>
      <c r="AX6189" t="s">
        <v>10838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</row>
    <row r="6190" spans="1:59">
      <c r="A6190" s="1">
        <f>HYPERLINK("https://lsnyc.legalserver.org/matter/dynamic-profile/view/1910509","19-1910509")</f>
        <v>0</v>
      </c>
      <c r="B6190" t="s">
        <v>4776</v>
      </c>
      <c r="C6190" t="s">
        <v>9670</v>
      </c>
      <c r="D6190" t="s">
        <v>9928</v>
      </c>
      <c r="E6190" t="s">
        <v>10075</v>
      </c>
      <c r="F6190">
        <v>11215</v>
      </c>
      <c r="G6190" t="s">
        <v>10093</v>
      </c>
      <c r="H6190" t="s">
        <v>10136</v>
      </c>
      <c r="I6190" t="s">
        <v>10168</v>
      </c>
      <c r="J6190" t="s">
        <v>10213</v>
      </c>
      <c r="K6190" t="s">
        <v>10217</v>
      </c>
      <c r="M6190" t="s">
        <v>10384</v>
      </c>
      <c r="N6190" t="s">
        <v>10650</v>
      </c>
      <c r="P6190" t="s">
        <v>10749</v>
      </c>
      <c r="Q6190" t="s">
        <v>10765</v>
      </c>
      <c r="R6190" t="s">
        <v>10824</v>
      </c>
      <c r="T6190">
        <v>39000</v>
      </c>
      <c r="U6190">
        <v>3250</v>
      </c>
      <c r="V6190">
        <v>44</v>
      </c>
      <c r="W6190">
        <v>1</v>
      </c>
      <c r="X6190">
        <v>2</v>
      </c>
      <c r="Z6190">
        <v>182.84</v>
      </c>
      <c r="AA6190">
        <v>40.669435</v>
      </c>
      <c r="AB6190">
        <v>-73.98907699999999</v>
      </c>
      <c r="AD6190" t="s">
        <v>10839</v>
      </c>
      <c r="AG6190" t="s">
        <v>10858</v>
      </c>
      <c r="AH6190" t="s">
        <v>10862</v>
      </c>
      <c r="AI6190">
        <v>239</v>
      </c>
      <c r="AJ6190" t="s">
        <v>10213</v>
      </c>
      <c r="AL6190">
        <v>1</v>
      </c>
      <c r="AM6190" t="s">
        <v>10886</v>
      </c>
      <c r="AN6190" t="s">
        <v>10917</v>
      </c>
      <c r="AO6190" t="s">
        <v>11008</v>
      </c>
      <c r="AP6190" t="s">
        <v>11059</v>
      </c>
      <c r="AQ6190" t="s">
        <v>11101</v>
      </c>
      <c r="AR6190" t="s">
        <v>11257</v>
      </c>
      <c r="AS6190" t="s">
        <v>11595</v>
      </c>
      <c r="AT6190" t="s">
        <v>11641</v>
      </c>
      <c r="BA6190" t="s">
        <v>11740</v>
      </c>
      <c r="BB6190">
        <v>0</v>
      </c>
      <c r="BC6190">
        <v>0</v>
      </c>
      <c r="BD6190">
        <v>0</v>
      </c>
      <c r="BE6190">
        <v>0</v>
      </c>
      <c r="BF6190">
        <v>2</v>
      </c>
      <c r="BG6190">
        <v>0</v>
      </c>
    </row>
    <row r="6191" spans="1:59">
      <c r="A6191" s="1">
        <f>HYPERLINK("https://lsnyc.legalserver.org/matter/dynamic-profile/view/1910511","19-1910511")</f>
        <v>0</v>
      </c>
      <c r="B6191" t="s">
        <v>4777</v>
      </c>
      <c r="C6191" t="s">
        <v>9671</v>
      </c>
      <c r="D6191" t="s">
        <v>9936</v>
      </c>
      <c r="E6191" t="s">
        <v>10075</v>
      </c>
      <c r="F6191">
        <v>11102</v>
      </c>
      <c r="G6191" t="s">
        <v>10092</v>
      </c>
      <c r="H6191" t="s">
        <v>10136</v>
      </c>
      <c r="I6191" t="s">
        <v>10169</v>
      </c>
      <c r="J6191" t="s">
        <v>10212</v>
      </c>
      <c r="K6191" t="s">
        <v>10217</v>
      </c>
      <c r="M6191" t="s">
        <v>10342</v>
      </c>
      <c r="N6191" t="s">
        <v>10650</v>
      </c>
      <c r="P6191" t="s">
        <v>10749</v>
      </c>
      <c r="Q6191" t="s">
        <v>10765</v>
      </c>
      <c r="R6191" t="s">
        <v>10821</v>
      </c>
      <c r="T6191">
        <v>10400</v>
      </c>
      <c r="U6191">
        <v>866.67</v>
      </c>
      <c r="V6191">
        <v>33</v>
      </c>
      <c r="W6191">
        <v>2</v>
      </c>
      <c r="X6191">
        <v>2</v>
      </c>
      <c r="Z6191">
        <v>40.39</v>
      </c>
      <c r="AA6191">
        <v>40.769873</v>
      </c>
      <c r="AB6191">
        <v>-73.92467499999999</v>
      </c>
      <c r="AD6191" t="s">
        <v>10839</v>
      </c>
      <c r="AF6191" t="s">
        <v>10842</v>
      </c>
      <c r="AG6191" t="s">
        <v>10859</v>
      </c>
      <c r="AH6191" t="s">
        <v>10862</v>
      </c>
      <c r="AI6191">
        <v>237</v>
      </c>
      <c r="AJ6191" t="s">
        <v>10212</v>
      </c>
      <c r="AL6191">
        <v>3.5</v>
      </c>
      <c r="AM6191" t="s">
        <v>10891</v>
      </c>
      <c r="AN6191" t="s">
        <v>10954</v>
      </c>
      <c r="AO6191" t="s">
        <v>11003</v>
      </c>
      <c r="AP6191" t="s">
        <v>11084</v>
      </c>
      <c r="AR6191" t="s">
        <v>11262</v>
      </c>
      <c r="AS6191" t="s">
        <v>11594</v>
      </c>
      <c r="BA6191" t="s">
        <v>11740</v>
      </c>
      <c r="BB6191">
        <v>0</v>
      </c>
      <c r="BC6191">
        <v>0</v>
      </c>
      <c r="BD6191">
        <v>0</v>
      </c>
      <c r="BE6191">
        <v>0</v>
      </c>
      <c r="BF6191">
        <v>2</v>
      </c>
      <c r="BG6191">
        <v>0</v>
      </c>
    </row>
    <row r="6192" spans="1:59">
      <c r="A6192" s="1">
        <f>HYPERLINK("https://lsnyc.legalserver.org/matter/dynamic-profile/view/1910512","19-1910512")</f>
        <v>0</v>
      </c>
      <c r="B6192" t="s">
        <v>4709</v>
      </c>
      <c r="C6192" t="s">
        <v>9589</v>
      </c>
      <c r="D6192" t="s">
        <v>9929</v>
      </c>
      <c r="E6192" t="s">
        <v>10075</v>
      </c>
      <c r="F6192">
        <v>10310</v>
      </c>
      <c r="G6192" t="s">
        <v>10088</v>
      </c>
      <c r="H6192" t="s">
        <v>10136</v>
      </c>
      <c r="I6192" t="s">
        <v>10168</v>
      </c>
      <c r="J6192" t="s">
        <v>10208</v>
      </c>
      <c r="K6192" t="s">
        <v>10217</v>
      </c>
      <c r="M6192" t="s">
        <v>10237</v>
      </c>
      <c r="N6192" t="s">
        <v>10701</v>
      </c>
      <c r="P6192" t="s">
        <v>10754</v>
      </c>
      <c r="Q6192" t="s">
        <v>10777</v>
      </c>
      <c r="R6192" t="s">
        <v>10823</v>
      </c>
      <c r="T6192">
        <v>10512</v>
      </c>
      <c r="U6192">
        <v>876</v>
      </c>
      <c r="V6192">
        <v>33</v>
      </c>
      <c r="W6192">
        <v>1</v>
      </c>
      <c r="X6192">
        <v>2</v>
      </c>
      <c r="Z6192">
        <v>49.28</v>
      </c>
      <c r="AA6192">
        <v>40.636703</v>
      </c>
      <c r="AB6192">
        <v>-74.118421</v>
      </c>
      <c r="AD6192" t="s">
        <v>10839</v>
      </c>
      <c r="AG6192" t="s">
        <v>10858</v>
      </c>
      <c r="AH6192" t="s">
        <v>10865</v>
      </c>
      <c r="AI6192">
        <v>285</v>
      </c>
      <c r="AJ6192" t="s">
        <v>10208</v>
      </c>
      <c r="AL6192">
        <v>0</v>
      </c>
      <c r="AM6192" t="s">
        <v>10883</v>
      </c>
      <c r="AN6192" t="s">
        <v>10913</v>
      </c>
      <c r="AO6192" t="s">
        <v>11006</v>
      </c>
      <c r="AP6192" t="s">
        <v>11051</v>
      </c>
      <c r="AR6192" t="s">
        <v>11367</v>
      </c>
      <c r="AS6192" t="s">
        <v>11593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</row>
    <row r="6193" spans="1:59">
      <c r="A6193" s="1">
        <f>HYPERLINK("https://lsnyc.legalserver.org/matter/dynamic-profile/view/1910513","19-1910513")</f>
        <v>0</v>
      </c>
      <c r="B6193" t="s">
        <v>4488</v>
      </c>
      <c r="C6193" t="s">
        <v>9352</v>
      </c>
      <c r="D6193" t="s">
        <v>9929</v>
      </c>
      <c r="E6193" t="s">
        <v>10075</v>
      </c>
      <c r="F6193">
        <v>10306</v>
      </c>
      <c r="G6193" t="s">
        <v>10088</v>
      </c>
      <c r="H6193" t="s">
        <v>10136</v>
      </c>
      <c r="I6193" t="s">
        <v>10169</v>
      </c>
      <c r="J6193" t="s">
        <v>10208</v>
      </c>
      <c r="K6193" t="s">
        <v>10217</v>
      </c>
      <c r="M6193" t="s">
        <v>10237</v>
      </c>
      <c r="N6193" t="s">
        <v>10701</v>
      </c>
      <c r="P6193" t="s">
        <v>10754</v>
      </c>
      <c r="Q6193" t="s">
        <v>10775</v>
      </c>
      <c r="R6193" t="s">
        <v>10821</v>
      </c>
      <c r="T6193">
        <v>0</v>
      </c>
      <c r="U6193">
        <v>0</v>
      </c>
      <c r="V6193">
        <v>30</v>
      </c>
      <c r="W6193">
        <v>1</v>
      </c>
      <c r="X6193">
        <v>2</v>
      </c>
      <c r="Z6193">
        <v>0</v>
      </c>
      <c r="AA6193">
        <v>40.56234</v>
      </c>
      <c r="AB6193">
        <v>-74.10383</v>
      </c>
      <c r="AD6193" t="s">
        <v>10839</v>
      </c>
      <c r="AF6193" t="s">
        <v>10842</v>
      </c>
      <c r="AG6193" t="s">
        <v>10859</v>
      </c>
      <c r="AH6193" t="s">
        <v>10861</v>
      </c>
      <c r="AI6193">
        <v>285</v>
      </c>
      <c r="AJ6193" t="s">
        <v>10208</v>
      </c>
      <c r="AL6193">
        <v>0.3</v>
      </c>
      <c r="AQ6193" t="s">
        <v>11114</v>
      </c>
      <c r="AR6193" t="s">
        <v>11266</v>
      </c>
      <c r="AS6193" t="s">
        <v>11593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</row>
    <row r="6194" spans="1:59">
      <c r="A6194" s="1">
        <f>HYPERLINK("https://lsnyc.legalserver.org/matter/dynamic-profile/view/1910514","19-1910514")</f>
        <v>0</v>
      </c>
      <c r="B6194" t="s">
        <v>4778</v>
      </c>
      <c r="C6194" t="s">
        <v>9672</v>
      </c>
      <c r="D6194" t="s">
        <v>9928</v>
      </c>
      <c r="E6194" t="s">
        <v>10075</v>
      </c>
      <c r="F6194">
        <v>11216</v>
      </c>
      <c r="G6194" t="s">
        <v>10093</v>
      </c>
      <c r="H6194" t="s">
        <v>10136</v>
      </c>
      <c r="I6194" t="s">
        <v>10168</v>
      </c>
      <c r="J6194" t="s">
        <v>10213</v>
      </c>
      <c r="K6194" t="s">
        <v>10217</v>
      </c>
      <c r="M6194" t="s">
        <v>10373</v>
      </c>
      <c r="N6194" t="s">
        <v>10657</v>
      </c>
      <c r="P6194" t="s">
        <v>10750</v>
      </c>
      <c r="Q6194" t="s">
        <v>10760</v>
      </c>
      <c r="R6194" t="s">
        <v>10824</v>
      </c>
      <c r="T6194">
        <v>15600</v>
      </c>
      <c r="U6194">
        <v>1300</v>
      </c>
      <c r="V6194">
        <v>55</v>
      </c>
      <c r="W6194">
        <v>1</v>
      </c>
      <c r="X6194">
        <v>0</v>
      </c>
      <c r="Z6194">
        <v>124.9</v>
      </c>
      <c r="AA6194">
        <v>40.67574</v>
      </c>
      <c r="AB6194">
        <v>-73.95296500000001</v>
      </c>
      <c r="AD6194" t="s">
        <v>10840</v>
      </c>
      <c r="AG6194" t="s">
        <v>10858</v>
      </c>
      <c r="AH6194" t="s">
        <v>10861</v>
      </c>
      <c r="AI6194">
        <v>239</v>
      </c>
      <c r="AJ6194" t="s">
        <v>10213</v>
      </c>
      <c r="AL6194">
        <v>1.4</v>
      </c>
      <c r="AM6194" t="s">
        <v>10888</v>
      </c>
      <c r="AN6194" t="s">
        <v>10923</v>
      </c>
      <c r="AO6194" t="s">
        <v>11007</v>
      </c>
      <c r="AP6194" t="s">
        <v>11052</v>
      </c>
      <c r="AR6194" t="s">
        <v>11257</v>
      </c>
      <c r="AS6194" t="s">
        <v>11595</v>
      </c>
      <c r="AW6194" t="s">
        <v>11674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</row>
    <row r="6195" spans="1:59">
      <c r="A6195" s="1">
        <f>HYPERLINK("https://lsnyc.legalserver.org/matter/dynamic-profile/view/1910515","19-1910515")</f>
        <v>0</v>
      </c>
      <c r="B6195" t="s">
        <v>4779</v>
      </c>
      <c r="C6195" t="s">
        <v>7223</v>
      </c>
      <c r="D6195" t="s">
        <v>9926</v>
      </c>
      <c r="E6195" t="s">
        <v>10075</v>
      </c>
      <c r="F6195">
        <v>10457</v>
      </c>
      <c r="G6195" t="s">
        <v>10090</v>
      </c>
      <c r="H6195" t="s">
        <v>10136</v>
      </c>
      <c r="I6195" t="s">
        <v>10169</v>
      </c>
      <c r="J6195" t="s">
        <v>10210</v>
      </c>
      <c r="K6195" t="s">
        <v>10217</v>
      </c>
      <c r="M6195" t="s">
        <v>10511</v>
      </c>
      <c r="N6195" t="s">
        <v>10651</v>
      </c>
      <c r="P6195" t="s">
        <v>10749</v>
      </c>
      <c r="Q6195" t="s">
        <v>10765</v>
      </c>
      <c r="R6195" t="s">
        <v>10821</v>
      </c>
      <c r="T6195">
        <v>19709.52</v>
      </c>
      <c r="U6195">
        <v>1642.46</v>
      </c>
      <c r="V6195">
        <v>49</v>
      </c>
      <c r="W6195">
        <v>1</v>
      </c>
      <c r="X6195">
        <v>0</v>
      </c>
      <c r="Z6195">
        <v>157.8</v>
      </c>
      <c r="AA6195">
        <v>40.844471</v>
      </c>
      <c r="AB6195">
        <v>-73.90973700000001</v>
      </c>
      <c r="AD6195" t="s">
        <v>10839</v>
      </c>
      <c r="AF6195" t="s">
        <v>10843</v>
      </c>
      <c r="AG6195" t="s">
        <v>10859</v>
      </c>
      <c r="AH6195" t="s">
        <v>10862</v>
      </c>
      <c r="AI6195">
        <v>230</v>
      </c>
      <c r="AJ6195" t="s">
        <v>10210</v>
      </c>
      <c r="AL6195">
        <v>4</v>
      </c>
      <c r="AM6195" t="s">
        <v>10884</v>
      </c>
      <c r="AN6195" t="s">
        <v>10931</v>
      </c>
      <c r="AO6195" t="s">
        <v>11000</v>
      </c>
      <c r="AP6195" t="s">
        <v>11056</v>
      </c>
      <c r="AR6195" t="s">
        <v>11257</v>
      </c>
      <c r="AS6195" t="s">
        <v>9926</v>
      </c>
      <c r="BA6195" t="s">
        <v>11738</v>
      </c>
      <c r="BB6195">
        <v>0</v>
      </c>
      <c r="BC6195">
        <v>0</v>
      </c>
      <c r="BD6195">
        <v>0</v>
      </c>
      <c r="BE6195">
        <v>0</v>
      </c>
      <c r="BF6195">
        <v>5</v>
      </c>
      <c r="BG6195">
        <v>0</v>
      </c>
    </row>
    <row r="6196" spans="1:59">
      <c r="A6196" s="1">
        <f>HYPERLINK("https://lsnyc.legalserver.org/matter/dynamic-profile/view/1910516","19-1910516")</f>
        <v>0</v>
      </c>
      <c r="B6196" t="s">
        <v>4780</v>
      </c>
      <c r="C6196" t="s">
        <v>9673</v>
      </c>
      <c r="D6196" t="s">
        <v>9928</v>
      </c>
      <c r="E6196" t="s">
        <v>10075</v>
      </c>
      <c r="F6196">
        <v>11209</v>
      </c>
      <c r="G6196" t="s">
        <v>10093</v>
      </c>
      <c r="H6196" t="s">
        <v>10136</v>
      </c>
      <c r="I6196" t="s">
        <v>10168</v>
      </c>
      <c r="J6196" t="s">
        <v>10213</v>
      </c>
      <c r="K6196" t="s">
        <v>10218</v>
      </c>
      <c r="L6196" t="s">
        <v>10136</v>
      </c>
      <c r="M6196" t="s">
        <v>10462</v>
      </c>
      <c r="N6196" t="s">
        <v>10710</v>
      </c>
      <c r="P6196" t="s">
        <v>10750</v>
      </c>
      <c r="Q6196" t="s">
        <v>10760</v>
      </c>
      <c r="R6196" t="s">
        <v>10820</v>
      </c>
      <c r="T6196">
        <v>0</v>
      </c>
      <c r="U6196">
        <v>0</v>
      </c>
      <c r="V6196">
        <v>43</v>
      </c>
      <c r="W6196">
        <v>1</v>
      </c>
      <c r="X6196">
        <v>0</v>
      </c>
      <c r="Y6196" t="s">
        <v>10829</v>
      </c>
      <c r="Z6196">
        <v>0</v>
      </c>
      <c r="AA6196">
        <v>40.621155</v>
      </c>
      <c r="AB6196">
        <v>-74.038225</v>
      </c>
      <c r="AD6196" t="s">
        <v>10839</v>
      </c>
      <c r="AG6196" t="s">
        <v>10858</v>
      </c>
      <c r="AH6196" t="s">
        <v>10878</v>
      </c>
      <c r="AI6196">
        <v>239</v>
      </c>
      <c r="AJ6196" t="s">
        <v>10213</v>
      </c>
      <c r="AK6196" t="s">
        <v>10838</v>
      </c>
      <c r="AL6196">
        <v>1.25</v>
      </c>
      <c r="AM6196" t="s">
        <v>10883</v>
      </c>
      <c r="AN6196" t="s">
        <v>10960</v>
      </c>
      <c r="AO6196" t="s">
        <v>11023</v>
      </c>
      <c r="AP6196" t="s">
        <v>11086</v>
      </c>
      <c r="AQ6196" t="s">
        <v>11141</v>
      </c>
      <c r="AR6196" t="s">
        <v>11267</v>
      </c>
      <c r="AS6196" t="s">
        <v>11595</v>
      </c>
      <c r="AT6196" t="s">
        <v>11641</v>
      </c>
      <c r="AX6196" t="s">
        <v>10837</v>
      </c>
      <c r="AY6196" t="s">
        <v>10829</v>
      </c>
      <c r="AZ6196" t="s">
        <v>11679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</row>
    <row r="6197" spans="1:59">
      <c r="A6197" s="1">
        <f>HYPERLINK("https://lsnyc.legalserver.org/matter/dynamic-profile/view/1910517","19-1910517")</f>
        <v>0</v>
      </c>
      <c r="B6197" t="s">
        <v>4781</v>
      </c>
      <c r="C6197" t="s">
        <v>9674</v>
      </c>
      <c r="D6197" t="s">
        <v>10072</v>
      </c>
      <c r="E6197" t="s">
        <v>10075</v>
      </c>
      <c r="F6197">
        <v>11516</v>
      </c>
      <c r="G6197" t="s">
        <v>10092</v>
      </c>
      <c r="H6197" t="s">
        <v>10136</v>
      </c>
      <c r="I6197" t="s">
        <v>10168</v>
      </c>
      <c r="J6197" t="s">
        <v>10212</v>
      </c>
      <c r="K6197" t="s">
        <v>10217</v>
      </c>
      <c r="M6197" t="s">
        <v>10422</v>
      </c>
      <c r="N6197" t="s">
        <v>10648</v>
      </c>
      <c r="P6197" t="s">
        <v>10753</v>
      </c>
      <c r="Q6197" t="s">
        <v>10763</v>
      </c>
      <c r="R6197" t="s">
        <v>10824</v>
      </c>
      <c r="T6197">
        <v>15600</v>
      </c>
      <c r="U6197">
        <v>1300</v>
      </c>
      <c r="V6197">
        <v>45</v>
      </c>
      <c r="W6197">
        <v>2</v>
      </c>
      <c r="X6197">
        <v>0</v>
      </c>
      <c r="Z6197">
        <v>92.25</v>
      </c>
      <c r="AA6197">
        <v>40.625077</v>
      </c>
      <c r="AB6197">
        <v>-73.729283</v>
      </c>
      <c r="AD6197" t="s">
        <v>10839</v>
      </c>
      <c r="AF6197" t="s">
        <v>10842</v>
      </c>
      <c r="AG6197" t="s">
        <v>10859</v>
      </c>
      <c r="AH6197" t="s">
        <v>10864</v>
      </c>
      <c r="AI6197">
        <v>237</v>
      </c>
      <c r="AJ6197" t="s">
        <v>10212</v>
      </c>
      <c r="AL6197">
        <v>0.5</v>
      </c>
      <c r="AM6197" t="s">
        <v>10900</v>
      </c>
      <c r="AN6197" t="s">
        <v>10996</v>
      </c>
      <c r="AO6197" t="s">
        <v>11025</v>
      </c>
      <c r="AQ6197" t="s">
        <v>11161</v>
      </c>
      <c r="AR6197" t="s">
        <v>11257</v>
      </c>
      <c r="AS6197" t="s">
        <v>11594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</row>
    <row r="6198" spans="1:59">
      <c r="A6198" s="1">
        <f>HYPERLINK("https://lsnyc.legalserver.org/matter/dynamic-profile/view/1910518","19-1910518")</f>
        <v>0</v>
      </c>
      <c r="B6198" t="s">
        <v>4782</v>
      </c>
      <c r="C6198" t="s">
        <v>5680</v>
      </c>
      <c r="D6198" t="s">
        <v>9926</v>
      </c>
      <c r="E6198" t="s">
        <v>10075</v>
      </c>
      <c r="F6198">
        <v>10467</v>
      </c>
      <c r="G6198" t="s">
        <v>10090</v>
      </c>
      <c r="H6198" t="s">
        <v>10157</v>
      </c>
      <c r="I6198" t="s">
        <v>10168</v>
      </c>
      <c r="J6198" t="s">
        <v>10210</v>
      </c>
      <c r="K6198" t="s">
        <v>10217</v>
      </c>
      <c r="M6198" t="s">
        <v>10477</v>
      </c>
      <c r="N6198" t="s">
        <v>10651</v>
      </c>
      <c r="P6198" t="s">
        <v>10749</v>
      </c>
      <c r="Q6198" t="s">
        <v>10765</v>
      </c>
      <c r="R6198" t="s">
        <v>10821</v>
      </c>
      <c r="T6198">
        <v>42500</v>
      </c>
      <c r="U6198">
        <v>3541.67</v>
      </c>
      <c r="V6198">
        <v>43</v>
      </c>
      <c r="W6198">
        <v>1</v>
      </c>
      <c r="X6198">
        <v>0</v>
      </c>
      <c r="Z6198">
        <v>340.27</v>
      </c>
      <c r="AA6198">
        <v>40.877987</v>
      </c>
      <c r="AB6198">
        <v>-73.87251999999999</v>
      </c>
      <c r="AD6198" t="s">
        <v>10839</v>
      </c>
      <c r="AG6198" t="s">
        <v>10858</v>
      </c>
      <c r="AH6198" t="s">
        <v>10862</v>
      </c>
      <c r="AI6198">
        <v>230</v>
      </c>
      <c r="AJ6198" t="s">
        <v>10210</v>
      </c>
      <c r="AL6198">
        <v>0</v>
      </c>
      <c r="AM6198" t="s">
        <v>10887</v>
      </c>
      <c r="AN6198" t="s">
        <v>10938</v>
      </c>
      <c r="AO6198" t="s">
        <v>11010</v>
      </c>
      <c r="AP6198" t="s">
        <v>11057</v>
      </c>
      <c r="AR6198" t="s">
        <v>11257</v>
      </c>
      <c r="AS6198" t="s">
        <v>9926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</row>
    <row r="6199" spans="1:59">
      <c r="A6199" s="1">
        <f>HYPERLINK("https://lsnyc.legalserver.org/matter/dynamic-profile/view/1910520","19-1910520")</f>
        <v>0</v>
      </c>
      <c r="B6199" t="s">
        <v>4783</v>
      </c>
      <c r="C6199" t="s">
        <v>9675</v>
      </c>
      <c r="D6199" t="s">
        <v>9926</v>
      </c>
      <c r="E6199" t="s">
        <v>10075</v>
      </c>
      <c r="F6199">
        <v>10457</v>
      </c>
      <c r="G6199" t="s">
        <v>10090</v>
      </c>
      <c r="H6199" t="s">
        <v>10157</v>
      </c>
      <c r="I6199" t="s">
        <v>10169</v>
      </c>
      <c r="J6199" t="s">
        <v>10210</v>
      </c>
      <c r="K6199" t="s">
        <v>10217</v>
      </c>
      <c r="M6199" t="s">
        <v>10525</v>
      </c>
      <c r="N6199" t="s">
        <v>10651</v>
      </c>
      <c r="P6199" t="s">
        <v>10749</v>
      </c>
      <c r="Q6199" t="s">
        <v>10765</v>
      </c>
      <c r="R6199" t="s">
        <v>10823</v>
      </c>
      <c r="T6199">
        <v>16800</v>
      </c>
      <c r="U6199">
        <v>1400</v>
      </c>
      <c r="V6199">
        <v>55</v>
      </c>
      <c r="W6199">
        <v>2</v>
      </c>
      <c r="X6199">
        <v>0</v>
      </c>
      <c r="Z6199">
        <v>99.34999999999999</v>
      </c>
      <c r="AA6199">
        <v>40.851744</v>
      </c>
      <c r="AB6199">
        <v>-73.895551</v>
      </c>
      <c r="AD6199" t="s">
        <v>10839</v>
      </c>
      <c r="AF6199" t="s">
        <v>10843</v>
      </c>
      <c r="AG6199" t="s">
        <v>10859</v>
      </c>
      <c r="AH6199" t="s">
        <v>10861</v>
      </c>
      <c r="AI6199">
        <v>230</v>
      </c>
      <c r="AJ6199" t="s">
        <v>10210</v>
      </c>
      <c r="AL6199">
        <v>0</v>
      </c>
      <c r="AM6199" t="s">
        <v>10884</v>
      </c>
      <c r="AN6199" t="s">
        <v>10931</v>
      </c>
      <c r="AO6199" t="s">
        <v>11000</v>
      </c>
      <c r="AP6199" t="s">
        <v>11056</v>
      </c>
      <c r="AR6199" t="s">
        <v>11257</v>
      </c>
      <c r="AS6199" t="s">
        <v>9926</v>
      </c>
      <c r="AT6199" t="s">
        <v>11641</v>
      </c>
      <c r="AX6199" t="s">
        <v>10838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</row>
    <row r="6200" spans="1:59">
      <c r="A6200" s="1">
        <f>HYPERLINK("https://lsnyc.legalserver.org/matter/dynamic-profile/view/1910521","19-1910521")</f>
        <v>0</v>
      </c>
      <c r="B6200" t="s">
        <v>4784</v>
      </c>
      <c r="C6200" t="s">
        <v>9676</v>
      </c>
      <c r="D6200" t="s">
        <v>9925</v>
      </c>
      <c r="E6200" t="s">
        <v>10075</v>
      </c>
      <c r="F6200">
        <v>10028</v>
      </c>
      <c r="G6200" t="s">
        <v>10089</v>
      </c>
      <c r="H6200" t="s">
        <v>10157</v>
      </c>
      <c r="I6200" t="s">
        <v>10168</v>
      </c>
      <c r="J6200" t="s">
        <v>10209</v>
      </c>
      <c r="K6200" t="s">
        <v>10217</v>
      </c>
      <c r="M6200" t="s">
        <v>10640</v>
      </c>
      <c r="N6200" t="s">
        <v>10711</v>
      </c>
      <c r="P6200" t="s">
        <v>10749</v>
      </c>
      <c r="Q6200" t="s">
        <v>10765</v>
      </c>
      <c r="R6200" t="s">
        <v>10822</v>
      </c>
      <c r="T6200">
        <v>0</v>
      </c>
      <c r="U6200">
        <v>0</v>
      </c>
      <c r="V6200">
        <v>44</v>
      </c>
      <c r="W6200">
        <v>1</v>
      </c>
      <c r="X6200">
        <v>1</v>
      </c>
      <c r="Z6200">
        <v>0</v>
      </c>
      <c r="AA6200">
        <v>40.775331</v>
      </c>
      <c r="AB6200">
        <v>-73.951205</v>
      </c>
      <c r="AD6200" t="s">
        <v>10839</v>
      </c>
      <c r="AF6200" t="s">
        <v>10843</v>
      </c>
      <c r="AG6200" t="s">
        <v>10859</v>
      </c>
      <c r="AH6200" t="s">
        <v>10862</v>
      </c>
      <c r="AI6200">
        <v>236</v>
      </c>
      <c r="AJ6200" t="s">
        <v>10209</v>
      </c>
      <c r="AL6200">
        <v>0</v>
      </c>
      <c r="AM6200" t="s">
        <v>10891</v>
      </c>
      <c r="AN6200" t="s">
        <v>10971</v>
      </c>
      <c r="AO6200" t="s">
        <v>11026</v>
      </c>
      <c r="AP6200" t="s">
        <v>11094</v>
      </c>
      <c r="AR6200" t="s">
        <v>11267</v>
      </c>
      <c r="AS6200" t="s">
        <v>9925</v>
      </c>
      <c r="AT6200" t="s">
        <v>11641</v>
      </c>
      <c r="AX6200" t="s">
        <v>10838</v>
      </c>
      <c r="BA6200" t="s">
        <v>11742</v>
      </c>
      <c r="BB6200">
        <v>0</v>
      </c>
      <c r="BC6200">
        <v>0</v>
      </c>
      <c r="BD6200">
        <v>0</v>
      </c>
      <c r="BE6200">
        <v>0</v>
      </c>
      <c r="BF6200">
        <v>7</v>
      </c>
      <c r="BG6200">
        <v>0</v>
      </c>
    </row>
    <row r="6201" spans="1:59">
      <c r="A6201" s="1">
        <f>HYPERLINK("https://lsnyc.legalserver.org/matter/dynamic-profile/view/1910522","19-1910522")</f>
        <v>0</v>
      </c>
      <c r="B6201" t="s">
        <v>4783</v>
      </c>
      <c r="C6201" t="s">
        <v>9675</v>
      </c>
      <c r="D6201" t="s">
        <v>9926</v>
      </c>
      <c r="E6201" t="s">
        <v>10075</v>
      </c>
      <c r="F6201">
        <v>10457</v>
      </c>
      <c r="G6201" t="s">
        <v>10090</v>
      </c>
      <c r="H6201" t="s">
        <v>10157</v>
      </c>
      <c r="I6201" t="s">
        <v>10169</v>
      </c>
      <c r="J6201" t="s">
        <v>10210</v>
      </c>
      <c r="K6201" t="s">
        <v>10217</v>
      </c>
      <c r="M6201" t="s">
        <v>10525</v>
      </c>
      <c r="N6201" t="s">
        <v>10688</v>
      </c>
      <c r="P6201" t="s">
        <v>10751</v>
      </c>
      <c r="Q6201" t="s">
        <v>10761</v>
      </c>
      <c r="R6201" t="s">
        <v>10823</v>
      </c>
      <c r="T6201">
        <v>17280</v>
      </c>
      <c r="U6201">
        <v>1440</v>
      </c>
      <c r="V6201">
        <v>55</v>
      </c>
      <c r="W6201">
        <v>2</v>
      </c>
      <c r="X6201">
        <v>0</v>
      </c>
      <c r="Z6201">
        <v>102.19</v>
      </c>
      <c r="AA6201">
        <v>40.851744</v>
      </c>
      <c r="AB6201">
        <v>-73.895551</v>
      </c>
      <c r="AD6201" t="s">
        <v>10839</v>
      </c>
      <c r="AF6201" t="s">
        <v>10843</v>
      </c>
      <c r="AG6201" t="s">
        <v>10859</v>
      </c>
      <c r="AH6201" t="s">
        <v>10861</v>
      </c>
      <c r="AI6201">
        <v>230</v>
      </c>
      <c r="AJ6201" t="s">
        <v>10210</v>
      </c>
      <c r="AL6201">
        <v>0</v>
      </c>
      <c r="AR6201" t="s">
        <v>11257</v>
      </c>
      <c r="AS6201" t="s">
        <v>9926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</row>
    <row r="6202" spans="1:59">
      <c r="A6202" s="1">
        <f>HYPERLINK("https://lsnyc.legalserver.org/matter/dynamic-profile/view/1910523","19-1910523")</f>
        <v>0</v>
      </c>
      <c r="B6202" t="s">
        <v>4480</v>
      </c>
      <c r="C6202" t="s">
        <v>8746</v>
      </c>
      <c r="D6202" t="s">
        <v>9926</v>
      </c>
      <c r="E6202" t="s">
        <v>10075</v>
      </c>
      <c r="F6202">
        <v>10453</v>
      </c>
      <c r="G6202" t="s">
        <v>10090</v>
      </c>
      <c r="H6202" t="s">
        <v>10157</v>
      </c>
      <c r="I6202" t="s">
        <v>10168</v>
      </c>
      <c r="J6202" t="s">
        <v>10210</v>
      </c>
      <c r="K6202" t="s">
        <v>10217</v>
      </c>
      <c r="M6202" t="s">
        <v>10261</v>
      </c>
      <c r="N6202" t="s">
        <v>10650</v>
      </c>
      <c r="P6202" t="s">
        <v>10749</v>
      </c>
      <c r="Q6202" t="s">
        <v>10765</v>
      </c>
      <c r="R6202" t="s">
        <v>10824</v>
      </c>
      <c r="T6202">
        <v>31200</v>
      </c>
      <c r="U6202">
        <v>2600</v>
      </c>
      <c r="V6202">
        <v>61</v>
      </c>
      <c r="W6202">
        <v>2</v>
      </c>
      <c r="X6202">
        <v>0</v>
      </c>
      <c r="Z6202">
        <v>184.51</v>
      </c>
      <c r="AA6202">
        <v>40.852324</v>
      </c>
      <c r="AB6202">
        <v>-73.922595</v>
      </c>
      <c r="AD6202" t="s">
        <v>10840</v>
      </c>
      <c r="AG6202" t="s">
        <v>10858</v>
      </c>
      <c r="AH6202" t="s">
        <v>10862</v>
      </c>
      <c r="AI6202">
        <v>230</v>
      </c>
      <c r="AJ6202" t="s">
        <v>10210</v>
      </c>
      <c r="AL6202">
        <v>8.5</v>
      </c>
      <c r="AM6202" t="s">
        <v>10887</v>
      </c>
      <c r="AN6202" t="s">
        <v>10929</v>
      </c>
      <c r="AO6202" t="s">
        <v>11013</v>
      </c>
      <c r="AP6202" t="s">
        <v>11055</v>
      </c>
      <c r="AR6202" t="s">
        <v>11257</v>
      </c>
      <c r="AS6202" t="s">
        <v>9926</v>
      </c>
      <c r="AT6202" t="s">
        <v>11642</v>
      </c>
      <c r="AX6202" t="s">
        <v>10838</v>
      </c>
      <c r="BA6202" t="s">
        <v>11738</v>
      </c>
      <c r="BB6202">
        <v>0</v>
      </c>
      <c r="BC6202">
        <v>0</v>
      </c>
      <c r="BD6202">
        <v>0</v>
      </c>
      <c r="BE6202">
        <v>0</v>
      </c>
      <c r="BF6202">
        <v>5</v>
      </c>
      <c r="BG6202">
        <v>0</v>
      </c>
    </row>
    <row r="6203" spans="1:59">
      <c r="A6203" s="1">
        <f>HYPERLINK("https://lsnyc.legalserver.org/matter/dynamic-profile/view/1910524","19-1910524")</f>
        <v>0</v>
      </c>
      <c r="B6203" t="s">
        <v>4785</v>
      </c>
      <c r="C6203" t="s">
        <v>9677</v>
      </c>
      <c r="D6203" t="s">
        <v>9938</v>
      </c>
      <c r="E6203" t="s">
        <v>10075</v>
      </c>
      <c r="F6203">
        <v>11433</v>
      </c>
      <c r="G6203" t="s">
        <v>10092</v>
      </c>
      <c r="H6203" t="s">
        <v>10157</v>
      </c>
      <c r="I6203" t="s">
        <v>10168</v>
      </c>
      <c r="J6203" t="s">
        <v>10212</v>
      </c>
      <c r="K6203" t="s">
        <v>10217</v>
      </c>
      <c r="M6203" t="s">
        <v>10555</v>
      </c>
      <c r="N6203" t="s">
        <v>10693</v>
      </c>
      <c r="P6203" t="s">
        <v>10749</v>
      </c>
      <c r="Q6203" t="s">
        <v>10765</v>
      </c>
      <c r="R6203" t="s">
        <v>10825</v>
      </c>
      <c r="T6203">
        <v>15000</v>
      </c>
      <c r="U6203">
        <v>1250</v>
      </c>
      <c r="V6203">
        <v>30</v>
      </c>
      <c r="W6203">
        <v>1</v>
      </c>
      <c r="X6203">
        <v>1</v>
      </c>
      <c r="Z6203">
        <v>88.7</v>
      </c>
      <c r="AA6203">
        <v>40.701192</v>
      </c>
      <c r="AB6203">
        <v>-73.789232</v>
      </c>
      <c r="AD6203" t="s">
        <v>10839</v>
      </c>
      <c r="AG6203" t="s">
        <v>10858</v>
      </c>
      <c r="AH6203" t="s">
        <v>10862</v>
      </c>
      <c r="AI6203">
        <v>237</v>
      </c>
      <c r="AJ6203" t="s">
        <v>10212</v>
      </c>
      <c r="AL6203">
        <v>0.5</v>
      </c>
      <c r="AM6203" t="s">
        <v>10892</v>
      </c>
      <c r="AN6203" t="s">
        <v>10951</v>
      </c>
      <c r="AO6203" t="s">
        <v>11020</v>
      </c>
      <c r="AP6203" t="s">
        <v>11075</v>
      </c>
      <c r="AR6203" t="s">
        <v>10180</v>
      </c>
      <c r="AS6203" t="s">
        <v>11594</v>
      </c>
      <c r="BA6203" t="s">
        <v>11738</v>
      </c>
      <c r="BB6203">
        <v>0</v>
      </c>
      <c r="BC6203">
        <v>0</v>
      </c>
      <c r="BD6203">
        <v>0</v>
      </c>
      <c r="BE6203">
        <v>0</v>
      </c>
      <c r="BF6203">
        <v>5</v>
      </c>
      <c r="BG6203">
        <v>0</v>
      </c>
    </row>
    <row r="6204" spans="1:59">
      <c r="A6204" s="1">
        <f>HYPERLINK("https://lsnyc.legalserver.org/matter/dynamic-profile/view/1910525","19-1910525")</f>
        <v>0</v>
      </c>
      <c r="B6204" t="s">
        <v>4786</v>
      </c>
      <c r="C6204" t="s">
        <v>9678</v>
      </c>
      <c r="D6204" t="s">
        <v>9926</v>
      </c>
      <c r="E6204" t="s">
        <v>10075</v>
      </c>
      <c r="F6204">
        <v>10456</v>
      </c>
      <c r="G6204" t="s">
        <v>10091</v>
      </c>
      <c r="H6204" t="s">
        <v>10157</v>
      </c>
      <c r="I6204" t="s">
        <v>10169</v>
      </c>
      <c r="J6204" t="s">
        <v>10211</v>
      </c>
      <c r="K6204" t="s">
        <v>10217</v>
      </c>
      <c r="M6204" t="s">
        <v>10231</v>
      </c>
      <c r="N6204" t="s">
        <v>10647</v>
      </c>
      <c r="P6204" t="s">
        <v>10752</v>
      </c>
      <c r="Q6204" t="s">
        <v>10762</v>
      </c>
      <c r="R6204" t="s">
        <v>10823</v>
      </c>
      <c r="T6204">
        <v>5400</v>
      </c>
      <c r="U6204">
        <v>450</v>
      </c>
      <c r="V6204">
        <v>39</v>
      </c>
      <c r="W6204">
        <v>2</v>
      </c>
      <c r="X6204">
        <v>1</v>
      </c>
      <c r="Z6204">
        <v>25.32</v>
      </c>
      <c r="AA6204">
        <v>40.834353</v>
      </c>
      <c r="AB6204">
        <v>-73.90480599999999</v>
      </c>
      <c r="AD6204" t="s">
        <v>10839</v>
      </c>
      <c r="AG6204" t="s">
        <v>10858</v>
      </c>
      <c r="AH6204" t="s">
        <v>10861</v>
      </c>
      <c r="AI6204">
        <v>234</v>
      </c>
      <c r="AJ6204" t="s">
        <v>10214</v>
      </c>
      <c r="AL6204">
        <v>0.7</v>
      </c>
      <c r="AM6204" t="s">
        <v>10884</v>
      </c>
      <c r="AN6204" t="s">
        <v>10918</v>
      </c>
      <c r="AO6204" t="s">
        <v>11000</v>
      </c>
      <c r="AP6204" t="s">
        <v>11055</v>
      </c>
      <c r="AR6204" t="s">
        <v>11401</v>
      </c>
      <c r="AS6204" t="s">
        <v>9926</v>
      </c>
      <c r="AT6204" t="s">
        <v>11641</v>
      </c>
      <c r="AX6204" t="s">
        <v>10838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</row>
    <row r="6205" spans="1:59">
      <c r="A6205" s="1">
        <f>HYPERLINK("https://lsnyc.legalserver.org/matter/dynamic-profile/view/1910526","19-1910526")</f>
        <v>0</v>
      </c>
      <c r="B6205" t="s">
        <v>3788</v>
      </c>
      <c r="C6205" t="s">
        <v>8607</v>
      </c>
      <c r="D6205" t="s">
        <v>9926</v>
      </c>
      <c r="E6205" t="s">
        <v>10075</v>
      </c>
      <c r="F6205">
        <v>10458</v>
      </c>
      <c r="G6205" t="s">
        <v>10090</v>
      </c>
      <c r="H6205" t="s">
        <v>10157</v>
      </c>
      <c r="I6205" t="s">
        <v>10169</v>
      </c>
      <c r="J6205" t="s">
        <v>10210</v>
      </c>
      <c r="K6205" t="s">
        <v>10217</v>
      </c>
      <c r="M6205" t="s">
        <v>10477</v>
      </c>
      <c r="N6205" t="s">
        <v>10650</v>
      </c>
      <c r="P6205" t="s">
        <v>10749</v>
      </c>
      <c r="Q6205" t="s">
        <v>10765</v>
      </c>
      <c r="R6205" t="s">
        <v>10823</v>
      </c>
      <c r="T6205">
        <v>12480</v>
      </c>
      <c r="U6205">
        <v>1040</v>
      </c>
      <c r="V6205">
        <v>30</v>
      </c>
      <c r="W6205">
        <v>1</v>
      </c>
      <c r="X6205">
        <v>0</v>
      </c>
      <c r="Z6205">
        <v>99.92</v>
      </c>
      <c r="AA6205">
        <v>40.858919</v>
      </c>
      <c r="AB6205">
        <v>-73.889465</v>
      </c>
      <c r="AD6205" t="s">
        <v>10839</v>
      </c>
      <c r="AG6205" t="s">
        <v>10858</v>
      </c>
      <c r="AH6205" t="s">
        <v>10862</v>
      </c>
      <c r="AI6205">
        <v>230</v>
      </c>
      <c r="AJ6205" t="s">
        <v>10210</v>
      </c>
      <c r="AL6205">
        <v>2.5</v>
      </c>
      <c r="AM6205" t="s">
        <v>10884</v>
      </c>
      <c r="AN6205" t="s">
        <v>10907</v>
      </c>
      <c r="AO6205" t="s">
        <v>11000</v>
      </c>
      <c r="AP6205" t="s">
        <v>11056</v>
      </c>
      <c r="AR6205" t="s">
        <v>11257</v>
      </c>
      <c r="AS6205" t="s">
        <v>9926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</row>
    <row r="6206" spans="1:59">
      <c r="A6206" s="1">
        <f>HYPERLINK("https://lsnyc.legalserver.org/matter/dynamic-profile/view/1910527","19-1910527")</f>
        <v>0</v>
      </c>
      <c r="B6206" t="s">
        <v>4030</v>
      </c>
      <c r="C6206" t="s">
        <v>6443</v>
      </c>
      <c r="D6206" t="s">
        <v>9925</v>
      </c>
      <c r="E6206" t="s">
        <v>10075</v>
      </c>
      <c r="F6206">
        <v>10027</v>
      </c>
      <c r="G6206" t="s">
        <v>10089</v>
      </c>
      <c r="H6206" t="s">
        <v>10157</v>
      </c>
      <c r="I6206" t="s">
        <v>10168</v>
      </c>
      <c r="J6206" t="s">
        <v>10209</v>
      </c>
      <c r="K6206" t="s">
        <v>10217</v>
      </c>
      <c r="M6206" t="s">
        <v>10379</v>
      </c>
      <c r="N6206" t="s">
        <v>10702</v>
      </c>
      <c r="P6206" t="s">
        <v>10749</v>
      </c>
      <c r="Q6206" t="s">
        <v>10767</v>
      </c>
      <c r="R6206" t="s">
        <v>10824</v>
      </c>
      <c r="T6206">
        <v>10236</v>
      </c>
      <c r="U6206">
        <v>853</v>
      </c>
      <c r="V6206">
        <v>60</v>
      </c>
      <c r="W6206">
        <v>1</v>
      </c>
      <c r="X6206">
        <v>0</v>
      </c>
      <c r="Z6206">
        <v>81.95</v>
      </c>
      <c r="AA6206">
        <v>40.812443</v>
      </c>
      <c r="AB6206">
        <v>-73.956271</v>
      </c>
      <c r="AD6206" t="s">
        <v>10839</v>
      </c>
      <c r="AG6206" t="s">
        <v>10858</v>
      </c>
      <c r="AH6206" t="s">
        <v>10862</v>
      </c>
      <c r="AI6206">
        <v>236</v>
      </c>
      <c r="AJ6206" t="s">
        <v>10209</v>
      </c>
      <c r="AL6206">
        <v>0</v>
      </c>
      <c r="AR6206" t="s">
        <v>11274</v>
      </c>
      <c r="AS6206" t="s">
        <v>9925</v>
      </c>
      <c r="BA6206" t="s">
        <v>11738</v>
      </c>
      <c r="BB6206">
        <v>0</v>
      </c>
      <c r="BC6206">
        <v>0</v>
      </c>
      <c r="BD6206">
        <v>0</v>
      </c>
      <c r="BE6206">
        <v>0</v>
      </c>
      <c r="BF6206">
        <v>5</v>
      </c>
      <c r="BG6206">
        <v>0</v>
      </c>
    </row>
    <row r="6207" spans="1:59">
      <c r="A6207" s="1">
        <f>HYPERLINK("https://lsnyc.legalserver.org/matter/dynamic-profile/view/1910528","19-1910528")</f>
        <v>0</v>
      </c>
      <c r="B6207" t="s">
        <v>4787</v>
      </c>
      <c r="C6207" t="s">
        <v>9679</v>
      </c>
      <c r="D6207" t="s">
        <v>9925</v>
      </c>
      <c r="E6207" t="s">
        <v>10075</v>
      </c>
      <c r="F6207">
        <v>10026</v>
      </c>
      <c r="G6207" t="s">
        <v>10089</v>
      </c>
      <c r="H6207" t="s">
        <v>10157</v>
      </c>
      <c r="I6207" t="s">
        <v>10168</v>
      </c>
      <c r="J6207" t="s">
        <v>10209</v>
      </c>
      <c r="K6207" t="s">
        <v>10217</v>
      </c>
      <c r="M6207" t="s">
        <v>10379</v>
      </c>
      <c r="N6207" t="s">
        <v>10703</v>
      </c>
      <c r="P6207" t="s">
        <v>10749</v>
      </c>
      <c r="Q6207" t="s">
        <v>10765</v>
      </c>
      <c r="R6207" t="s">
        <v>10824</v>
      </c>
      <c r="T6207">
        <v>74640</v>
      </c>
      <c r="U6207">
        <v>6220</v>
      </c>
      <c r="V6207">
        <v>50</v>
      </c>
      <c r="W6207">
        <v>1</v>
      </c>
      <c r="X6207">
        <v>0</v>
      </c>
      <c r="Z6207">
        <v>597.6</v>
      </c>
      <c r="AA6207">
        <v>40.802268</v>
      </c>
      <c r="AB6207">
        <v>-73.953728</v>
      </c>
      <c r="AD6207" t="s">
        <v>10840</v>
      </c>
      <c r="AG6207" t="s">
        <v>10858</v>
      </c>
      <c r="AH6207" t="s">
        <v>10862</v>
      </c>
      <c r="AI6207">
        <v>236</v>
      </c>
      <c r="AJ6207" t="s">
        <v>10209</v>
      </c>
      <c r="AL6207">
        <v>1.8</v>
      </c>
      <c r="AR6207" t="s">
        <v>11280</v>
      </c>
      <c r="AS6207" t="s">
        <v>9925</v>
      </c>
      <c r="BA6207" t="s">
        <v>11741</v>
      </c>
      <c r="BB6207">
        <v>0</v>
      </c>
      <c r="BC6207">
        <v>0</v>
      </c>
      <c r="BD6207">
        <v>0</v>
      </c>
      <c r="BE6207">
        <v>0</v>
      </c>
      <c r="BF6207">
        <v>1</v>
      </c>
      <c r="BG6207">
        <v>0</v>
      </c>
    </row>
    <row r="6208" spans="1:59">
      <c r="A6208" s="1">
        <f>HYPERLINK("https://lsnyc.legalserver.org/matter/dynamic-profile/view/1910529","19-1910529")</f>
        <v>0</v>
      </c>
      <c r="B6208" t="s">
        <v>4480</v>
      </c>
      <c r="C6208" t="s">
        <v>9680</v>
      </c>
      <c r="D6208" t="s">
        <v>9926</v>
      </c>
      <c r="E6208" t="s">
        <v>10075</v>
      </c>
      <c r="F6208">
        <v>10453</v>
      </c>
      <c r="G6208" t="s">
        <v>10090</v>
      </c>
      <c r="H6208" t="s">
        <v>10157</v>
      </c>
      <c r="I6208" t="s">
        <v>10168</v>
      </c>
      <c r="J6208" t="s">
        <v>10210</v>
      </c>
      <c r="K6208" t="s">
        <v>10217</v>
      </c>
      <c r="M6208" t="s">
        <v>10261</v>
      </c>
      <c r="N6208" t="s">
        <v>10671</v>
      </c>
      <c r="P6208" t="s">
        <v>10751</v>
      </c>
      <c r="Q6208" t="s">
        <v>10761</v>
      </c>
      <c r="R6208" t="s">
        <v>10824</v>
      </c>
      <c r="T6208">
        <v>31200</v>
      </c>
      <c r="U6208">
        <v>2600</v>
      </c>
      <c r="V6208">
        <v>61</v>
      </c>
      <c r="W6208">
        <v>2</v>
      </c>
      <c r="X6208">
        <v>0</v>
      </c>
      <c r="Z6208">
        <v>184.51</v>
      </c>
      <c r="AA6208">
        <v>40.852324</v>
      </c>
      <c r="AB6208">
        <v>-73.922595</v>
      </c>
      <c r="AD6208" t="s">
        <v>10840</v>
      </c>
      <c r="AG6208" t="s">
        <v>10858</v>
      </c>
      <c r="AH6208" t="s">
        <v>10862</v>
      </c>
      <c r="AI6208">
        <v>230</v>
      </c>
      <c r="AJ6208" t="s">
        <v>10210</v>
      </c>
      <c r="AL6208">
        <v>0</v>
      </c>
      <c r="AR6208" t="s">
        <v>11257</v>
      </c>
      <c r="AS6208" t="s">
        <v>9926</v>
      </c>
      <c r="AT6208" t="s">
        <v>11642</v>
      </c>
      <c r="AX6208" t="s">
        <v>10838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</row>
    <row r="6209" spans="1:59">
      <c r="A6209" s="1">
        <f>HYPERLINK("https://lsnyc.legalserver.org/matter/dynamic-profile/view/1910530","19-1910530")</f>
        <v>0</v>
      </c>
      <c r="B6209" t="s">
        <v>4788</v>
      </c>
      <c r="C6209" t="s">
        <v>9681</v>
      </c>
      <c r="D6209" t="s">
        <v>9926</v>
      </c>
      <c r="E6209" t="s">
        <v>10075</v>
      </c>
      <c r="F6209">
        <v>10473</v>
      </c>
      <c r="G6209" t="s">
        <v>10090</v>
      </c>
      <c r="H6209" t="s">
        <v>10157</v>
      </c>
      <c r="I6209" t="s">
        <v>10169</v>
      </c>
      <c r="J6209" t="s">
        <v>10210</v>
      </c>
      <c r="K6209" t="s">
        <v>10217</v>
      </c>
      <c r="M6209" t="s">
        <v>10510</v>
      </c>
      <c r="N6209" t="s">
        <v>10677</v>
      </c>
      <c r="P6209" t="s">
        <v>10751</v>
      </c>
      <c r="Q6209" t="s">
        <v>10786</v>
      </c>
      <c r="R6209" t="s">
        <v>10823</v>
      </c>
      <c r="T6209">
        <v>54600</v>
      </c>
      <c r="U6209">
        <v>4550</v>
      </c>
      <c r="V6209">
        <v>61</v>
      </c>
      <c r="W6209">
        <v>2</v>
      </c>
      <c r="X6209">
        <v>0</v>
      </c>
      <c r="Z6209">
        <v>322.89</v>
      </c>
      <c r="AA6209">
        <v>40.824298</v>
      </c>
      <c r="AB6209">
        <v>-73.845904</v>
      </c>
      <c r="AD6209" t="s">
        <v>10839</v>
      </c>
      <c r="AG6209" t="s">
        <v>10858</v>
      </c>
      <c r="AH6209" t="s">
        <v>10874</v>
      </c>
      <c r="AI6209">
        <v>230</v>
      </c>
      <c r="AJ6209" t="s">
        <v>10210</v>
      </c>
      <c r="AL6209">
        <v>2.75</v>
      </c>
      <c r="AM6209" t="s">
        <v>10884</v>
      </c>
      <c r="AN6209" t="s">
        <v>10908</v>
      </c>
      <c r="AO6209" t="s">
        <v>11002</v>
      </c>
      <c r="AP6209" t="s">
        <v>11046</v>
      </c>
      <c r="AR6209" t="s">
        <v>11257</v>
      </c>
      <c r="AS6209" t="s">
        <v>9926</v>
      </c>
      <c r="AT6209" t="s">
        <v>11641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</row>
    <row r="6210" spans="1:59">
      <c r="A6210" s="1">
        <f>HYPERLINK("https://lsnyc.legalserver.org/matter/dynamic-profile/view/1910531","19-1910531")</f>
        <v>0</v>
      </c>
      <c r="B6210" t="s">
        <v>4789</v>
      </c>
      <c r="C6210" t="s">
        <v>9682</v>
      </c>
      <c r="D6210" t="s">
        <v>9928</v>
      </c>
      <c r="E6210" t="s">
        <v>10075</v>
      </c>
      <c r="F6210">
        <v>11206</v>
      </c>
      <c r="G6210" t="s">
        <v>10093</v>
      </c>
      <c r="H6210" t="s">
        <v>10157</v>
      </c>
      <c r="I6210" t="s">
        <v>10168</v>
      </c>
      <c r="J6210" t="s">
        <v>10213</v>
      </c>
      <c r="K6210" t="s">
        <v>10217</v>
      </c>
      <c r="M6210" t="s">
        <v>10289</v>
      </c>
      <c r="N6210" t="s">
        <v>10671</v>
      </c>
      <c r="P6210" t="s">
        <v>10751</v>
      </c>
      <c r="Q6210" t="s">
        <v>10786</v>
      </c>
      <c r="R6210" t="s">
        <v>10821</v>
      </c>
      <c r="T6210">
        <v>6696</v>
      </c>
      <c r="U6210">
        <v>558</v>
      </c>
      <c r="V6210">
        <v>57</v>
      </c>
      <c r="W6210">
        <v>1</v>
      </c>
      <c r="X6210">
        <v>0</v>
      </c>
      <c r="Z6210">
        <v>53.61</v>
      </c>
      <c r="AA6210">
        <v>40.710707</v>
      </c>
      <c r="AB6210">
        <v>-73.947281</v>
      </c>
      <c r="AD6210" t="s">
        <v>10839</v>
      </c>
      <c r="AG6210" t="s">
        <v>10858</v>
      </c>
      <c r="AH6210" t="s">
        <v>10861</v>
      </c>
      <c r="AI6210">
        <v>234</v>
      </c>
      <c r="AJ6210" t="s">
        <v>10214</v>
      </c>
      <c r="AL6210">
        <v>2.25</v>
      </c>
      <c r="AR6210" t="s">
        <v>11263</v>
      </c>
      <c r="AS6210" t="s">
        <v>11595</v>
      </c>
      <c r="AT6210" t="s">
        <v>11641</v>
      </c>
      <c r="AX6210" t="s">
        <v>10838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</row>
    <row r="6211" spans="1:59">
      <c r="A6211" s="1">
        <f>HYPERLINK("https://lsnyc.legalserver.org/matter/dynamic-profile/view/1910532","19-1910532")</f>
        <v>0</v>
      </c>
      <c r="B6211" t="s">
        <v>4790</v>
      </c>
      <c r="C6211" t="s">
        <v>9683</v>
      </c>
      <c r="D6211" t="s">
        <v>9925</v>
      </c>
      <c r="E6211" t="s">
        <v>10075</v>
      </c>
      <c r="F6211">
        <v>10026</v>
      </c>
      <c r="G6211" t="s">
        <v>10089</v>
      </c>
      <c r="H6211" t="s">
        <v>10157</v>
      </c>
      <c r="I6211" t="s">
        <v>10168</v>
      </c>
      <c r="J6211" t="s">
        <v>10209</v>
      </c>
      <c r="K6211" t="s">
        <v>10217</v>
      </c>
      <c r="M6211" t="s">
        <v>10453</v>
      </c>
      <c r="N6211" t="s">
        <v>10702</v>
      </c>
      <c r="P6211" t="s">
        <v>10749</v>
      </c>
      <c r="Q6211" t="s">
        <v>10765</v>
      </c>
      <c r="R6211" t="s">
        <v>10824</v>
      </c>
      <c r="T6211">
        <v>37340</v>
      </c>
      <c r="U6211">
        <v>3111.67</v>
      </c>
      <c r="V6211">
        <v>67</v>
      </c>
      <c r="W6211">
        <v>2</v>
      </c>
      <c r="X6211">
        <v>1</v>
      </c>
      <c r="Z6211">
        <v>175.06</v>
      </c>
      <c r="AA6211">
        <v>40.802415</v>
      </c>
      <c r="AB6211">
        <v>-73.952282</v>
      </c>
      <c r="AD6211" t="s">
        <v>10840</v>
      </c>
      <c r="AG6211" t="s">
        <v>10858</v>
      </c>
      <c r="AH6211" t="s">
        <v>10862</v>
      </c>
      <c r="AI6211">
        <v>236</v>
      </c>
      <c r="AJ6211" t="s">
        <v>10209</v>
      </c>
      <c r="AL6211">
        <v>1.5</v>
      </c>
      <c r="AM6211" t="s">
        <v>10887</v>
      </c>
      <c r="AN6211" t="s">
        <v>10936</v>
      </c>
      <c r="AO6211" t="s">
        <v>11016</v>
      </c>
      <c r="AP6211" t="s">
        <v>11076</v>
      </c>
      <c r="AR6211" t="s">
        <v>11360</v>
      </c>
      <c r="AS6211" t="s">
        <v>9925</v>
      </c>
      <c r="BA6211" t="s">
        <v>11738</v>
      </c>
      <c r="BB6211">
        <v>0</v>
      </c>
      <c r="BC6211">
        <v>0</v>
      </c>
      <c r="BD6211">
        <v>0</v>
      </c>
      <c r="BE6211">
        <v>0</v>
      </c>
      <c r="BF6211">
        <v>5</v>
      </c>
      <c r="BG6211">
        <v>0</v>
      </c>
    </row>
    <row r="6212" spans="1:59">
      <c r="A6212" s="1">
        <f>HYPERLINK("https://lsnyc.legalserver.org/matter/dynamic-profile/view/1910533","19-1910533")</f>
        <v>0</v>
      </c>
      <c r="B6212" t="s">
        <v>4791</v>
      </c>
      <c r="C6212" t="s">
        <v>9684</v>
      </c>
      <c r="D6212" t="s">
        <v>9928</v>
      </c>
      <c r="E6212" t="s">
        <v>10075</v>
      </c>
      <c r="F6212">
        <v>11226</v>
      </c>
      <c r="G6212" t="s">
        <v>10093</v>
      </c>
      <c r="H6212" t="s">
        <v>10157</v>
      </c>
      <c r="J6212" t="s">
        <v>10213</v>
      </c>
      <c r="K6212" t="s">
        <v>10217</v>
      </c>
      <c r="M6212" t="s">
        <v>10425</v>
      </c>
      <c r="N6212" t="s">
        <v>10667</v>
      </c>
      <c r="P6212" t="s">
        <v>10749</v>
      </c>
      <c r="Q6212" t="s">
        <v>10765</v>
      </c>
      <c r="R6212" t="s">
        <v>10824</v>
      </c>
      <c r="T6212">
        <v>5712</v>
      </c>
      <c r="U6212">
        <v>476</v>
      </c>
      <c r="V6212">
        <v>29</v>
      </c>
      <c r="W6212">
        <v>1</v>
      </c>
      <c r="X6212">
        <v>1</v>
      </c>
      <c r="Z6212">
        <v>33.78</v>
      </c>
      <c r="AA6212">
        <v>40.640672</v>
      </c>
      <c r="AB6212">
        <v>-73.963122</v>
      </c>
      <c r="AD6212" t="s">
        <v>10839</v>
      </c>
      <c r="AG6212" t="s">
        <v>10858</v>
      </c>
      <c r="AH6212" t="s">
        <v>10862</v>
      </c>
      <c r="AI6212">
        <v>239</v>
      </c>
      <c r="AJ6212" t="s">
        <v>10213</v>
      </c>
      <c r="AL6212">
        <v>7.1</v>
      </c>
      <c r="AM6212" t="s">
        <v>10888</v>
      </c>
      <c r="AN6212" t="s">
        <v>10932</v>
      </c>
      <c r="AO6212" t="s">
        <v>11008</v>
      </c>
      <c r="AP6212" t="s">
        <v>11050</v>
      </c>
      <c r="AR6212" t="s">
        <v>11257</v>
      </c>
      <c r="AS6212" t="s">
        <v>11595</v>
      </c>
      <c r="BA6212" t="s">
        <v>11738</v>
      </c>
      <c r="BB6212">
        <v>0</v>
      </c>
      <c r="BC6212">
        <v>0</v>
      </c>
      <c r="BD6212">
        <v>0</v>
      </c>
      <c r="BE6212">
        <v>0</v>
      </c>
      <c r="BF6212">
        <v>5</v>
      </c>
      <c r="BG6212">
        <v>0</v>
      </c>
    </row>
    <row r="6213" spans="1:59">
      <c r="A6213" s="1">
        <f>HYPERLINK("https://lsnyc.legalserver.org/matter/dynamic-profile/view/1910534","19-1910534")</f>
        <v>0</v>
      </c>
      <c r="B6213" t="s">
        <v>658</v>
      </c>
      <c r="C6213" t="s">
        <v>9685</v>
      </c>
      <c r="D6213" t="s">
        <v>9965</v>
      </c>
      <c r="E6213" t="s">
        <v>10075</v>
      </c>
      <c r="F6213">
        <v>11101</v>
      </c>
      <c r="G6213" t="s">
        <v>10093</v>
      </c>
      <c r="H6213" t="s">
        <v>10157</v>
      </c>
      <c r="J6213" t="s">
        <v>10213</v>
      </c>
      <c r="K6213" t="s">
        <v>10217</v>
      </c>
      <c r="M6213" t="s">
        <v>10378</v>
      </c>
      <c r="N6213" t="s">
        <v>10662</v>
      </c>
      <c r="P6213" t="s">
        <v>10754</v>
      </c>
      <c r="Q6213" t="s">
        <v>10784</v>
      </c>
      <c r="R6213" t="s">
        <v>10820</v>
      </c>
      <c r="T6213">
        <v>11064</v>
      </c>
      <c r="U6213">
        <v>922</v>
      </c>
      <c r="V6213">
        <v>63</v>
      </c>
      <c r="W6213">
        <v>3</v>
      </c>
      <c r="X6213">
        <v>0</v>
      </c>
      <c r="Z6213">
        <v>51.87</v>
      </c>
      <c r="AA6213">
        <v>40.736218</v>
      </c>
      <c r="AB6213">
        <v>-73.936764</v>
      </c>
      <c r="AD6213" t="s">
        <v>10839</v>
      </c>
      <c r="AG6213" t="s">
        <v>10858</v>
      </c>
      <c r="AH6213" t="s">
        <v>10868</v>
      </c>
      <c r="AI6213">
        <v>239</v>
      </c>
      <c r="AJ6213" t="s">
        <v>10213</v>
      </c>
      <c r="AL6213">
        <v>0.15</v>
      </c>
      <c r="AM6213" t="s">
        <v>10891</v>
      </c>
      <c r="AN6213" t="s">
        <v>10961</v>
      </c>
      <c r="AO6213" t="s">
        <v>11003</v>
      </c>
      <c r="AP6213" t="s">
        <v>11047</v>
      </c>
      <c r="AR6213" t="s">
        <v>11254</v>
      </c>
      <c r="AS6213" t="s">
        <v>11594</v>
      </c>
      <c r="AT6213" t="s">
        <v>11641</v>
      </c>
      <c r="AX6213" t="s">
        <v>10837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</row>
    <row r="6214" spans="1:59">
      <c r="A6214" s="1">
        <f>HYPERLINK("https://lsnyc.legalserver.org/matter/dynamic-profile/view/1910536","19-1910536")</f>
        <v>0</v>
      </c>
      <c r="B6214" t="s">
        <v>4792</v>
      </c>
      <c r="C6214" t="s">
        <v>5499</v>
      </c>
      <c r="D6214" t="s">
        <v>9928</v>
      </c>
      <c r="E6214" t="s">
        <v>10075</v>
      </c>
      <c r="F6214">
        <v>11233</v>
      </c>
      <c r="G6214" t="s">
        <v>10093</v>
      </c>
      <c r="H6214" t="s">
        <v>10157</v>
      </c>
      <c r="I6214" t="s">
        <v>10168</v>
      </c>
      <c r="J6214" t="s">
        <v>10213</v>
      </c>
      <c r="K6214" t="s">
        <v>10217</v>
      </c>
      <c r="M6214" t="s">
        <v>10456</v>
      </c>
      <c r="N6214" t="s">
        <v>10650</v>
      </c>
      <c r="P6214" t="s">
        <v>10749</v>
      </c>
      <c r="Q6214" t="s">
        <v>10765</v>
      </c>
      <c r="R6214" t="s">
        <v>10822</v>
      </c>
      <c r="T6214">
        <v>0</v>
      </c>
      <c r="U6214">
        <v>0</v>
      </c>
      <c r="V6214">
        <v>57</v>
      </c>
      <c r="W6214">
        <v>4</v>
      </c>
      <c r="X6214">
        <v>0</v>
      </c>
      <c r="Z6214">
        <v>0</v>
      </c>
      <c r="AA6214">
        <v>40.675538</v>
      </c>
      <c r="AB6214">
        <v>-73.913156</v>
      </c>
      <c r="AD6214" t="s">
        <v>10822</v>
      </c>
      <c r="AG6214" t="s">
        <v>10858</v>
      </c>
      <c r="AH6214" t="s">
        <v>10862</v>
      </c>
      <c r="AI6214">
        <v>239</v>
      </c>
      <c r="AJ6214" t="s">
        <v>10213</v>
      </c>
      <c r="AL6214">
        <v>0</v>
      </c>
      <c r="AM6214" t="s">
        <v>10889</v>
      </c>
      <c r="AN6214" t="s">
        <v>10922</v>
      </c>
      <c r="AO6214" t="s">
        <v>11007</v>
      </c>
      <c r="AP6214" t="s">
        <v>11064</v>
      </c>
      <c r="AR6214" t="s">
        <v>11266</v>
      </c>
      <c r="AS6214" t="s">
        <v>11595</v>
      </c>
      <c r="AT6214" t="s">
        <v>10822</v>
      </c>
      <c r="AX6214" t="s">
        <v>11678</v>
      </c>
      <c r="BA6214" t="s">
        <v>11739</v>
      </c>
      <c r="BB6214">
        <v>0</v>
      </c>
      <c r="BC6214">
        <v>0</v>
      </c>
      <c r="BD6214">
        <v>0</v>
      </c>
      <c r="BE6214">
        <v>0</v>
      </c>
      <c r="BF6214">
        <v>4</v>
      </c>
      <c r="BG6214">
        <v>0</v>
      </c>
    </row>
    <row r="6215" spans="1:59">
      <c r="A6215" s="1">
        <f>HYPERLINK("https://lsnyc.legalserver.org/matter/dynamic-profile/view/1910537","19-1910537")</f>
        <v>0</v>
      </c>
      <c r="B6215" t="s">
        <v>4793</v>
      </c>
      <c r="C6215" t="s">
        <v>8441</v>
      </c>
      <c r="D6215" t="s">
        <v>9928</v>
      </c>
      <c r="E6215" t="s">
        <v>10075</v>
      </c>
      <c r="F6215">
        <v>11223</v>
      </c>
      <c r="G6215" t="s">
        <v>10093</v>
      </c>
      <c r="H6215" t="s">
        <v>10157</v>
      </c>
      <c r="I6215" t="s">
        <v>10171</v>
      </c>
      <c r="J6215" t="s">
        <v>10213</v>
      </c>
      <c r="K6215" t="s">
        <v>10217</v>
      </c>
      <c r="M6215" t="s">
        <v>10539</v>
      </c>
      <c r="N6215" t="s">
        <v>10664</v>
      </c>
      <c r="P6215" t="s">
        <v>10749</v>
      </c>
      <c r="Q6215" t="s">
        <v>10765</v>
      </c>
      <c r="R6215" t="s">
        <v>10820</v>
      </c>
      <c r="T6215">
        <v>22800</v>
      </c>
      <c r="U6215">
        <v>1900</v>
      </c>
      <c r="V6215">
        <v>55</v>
      </c>
      <c r="W6215">
        <v>3</v>
      </c>
      <c r="X6215">
        <v>0</v>
      </c>
      <c r="Z6215">
        <v>106.89</v>
      </c>
      <c r="AA6215">
        <v>40.604475</v>
      </c>
      <c r="AB6215">
        <v>-73.96753</v>
      </c>
      <c r="AD6215" t="s">
        <v>10839</v>
      </c>
      <c r="AG6215" t="s">
        <v>10858</v>
      </c>
      <c r="AH6215" t="s">
        <v>10861</v>
      </c>
      <c r="AI6215">
        <v>239</v>
      </c>
      <c r="AJ6215" t="s">
        <v>10213</v>
      </c>
      <c r="AL6215">
        <v>0</v>
      </c>
      <c r="AM6215" t="s">
        <v>10883</v>
      </c>
      <c r="AN6215" t="s">
        <v>10965</v>
      </c>
      <c r="AO6215" t="s">
        <v>11023</v>
      </c>
      <c r="AP6215" t="s">
        <v>11087</v>
      </c>
      <c r="AR6215" t="s">
        <v>11257</v>
      </c>
      <c r="AS6215" t="s">
        <v>11595</v>
      </c>
      <c r="BA6215" t="s">
        <v>11741</v>
      </c>
      <c r="BB6215">
        <v>0</v>
      </c>
      <c r="BC6215">
        <v>0</v>
      </c>
      <c r="BD6215">
        <v>0</v>
      </c>
      <c r="BE6215">
        <v>0</v>
      </c>
      <c r="BF6215">
        <v>1</v>
      </c>
      <c r="BG6215">
        <v>0</v>
      </c>
    </row>
    <row r="6216" spans="1:59">
      <c r="A6216" s="1">
        <f>HYPERLINK("https://lsnyc.legalserver.org/matter/dynamic-profile/view/1910538","19-1910538")</f>
        <v>0</v>
      </c>
      <c r="B6216" t="s">
        <v>4794</v>
      </c>
      <c r="C6216" t="s">
        <v>9686</v>
      </c>
      <c r="D6216" t="s">
        <v>10073</v>
      </c>
      <c r="E6216" t="s">
        <v>10078</v>
      </c>
      <c r="F6216">
        <v>33908</v>
      </c>
      <c r="G6216" t="s">
        <v>10093</v>
      </c>
      <c r="H6216" t="s">
        <v>10157</v>
      </c>
      <c r="I6216" t="s">
        <v>10168</v>
      </c>
      <c r="J6216" t="s">
        <v>10213</v>
      </c>
      <c r="K6216" t="s">
        <v>10217</v>
      </c>
      <c r="M6216" t="s">
        <v>10436</v>
      </c>
      <c r="N6216" t="s">
        <v>10710</v>
      </c>
      <c r="P6216" t="s">
        <v>10750</v>
      </c>
      <c r="Q6216" t="s">
        <v>10760</v>
      </c>
      <c r="R6216" t="s">
        <v>10820</v>
      </c>
      <c r="T6216">
        <v>0</v>
      </c>
      <c r="U6216">
        <v>0</v>
      </c>
      <c r="V6216">
        <v>59</v>
      </c>
      <c r="W6216">
        <v>1</v>
      </c>
      <c r="X6216">
        <v>0</v>
      </c>
      <c r="Z6216">
        <v>0</v>
      </c>
      <c r="AA6216">
        <v>0</v>
      </c>
      <c r="AB6216">
        <v>0</v>
      </c>
      <c r="AD6216" t="s">
        <v>10839</v>
      </c>
      <c r="AG6216" t="s">
        <v>10858</v>
      </c>
      <c r="AH6216" t="s">
        <v>10861</v>
      </c>
      <c r="AI6216">
        <v>234</v>
      </c>
      <c r="AJ6216" t="s">
        <v>10214</v>
      </c>
      <c r="AL6216">
        <v>0.5</v>
      </c>
      <c r="AQ6216" t="s">
        <v>11141</v>
      </c>
      <c r="AR6216" t="s">
        <v>11267</v>
      </c>
      <c r="AS6216" t="s">
        <v>11628</v>
      </c>
      <c r="AT6216" t="s">
        <v>11641</v>
      </c>
      <c r="AX6216" t="s">
        <v>10838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</row>
    <row r="6217" spans="1:59">
      <c r="A6217" s="1">
        <f>HYPERLINK("https://lsnyc.legalserver.org/matter/dynamic-profile/view/1910539","19-1910539")</f>
        <v>0</v>
      </c>
      <c r="B6217" t="s">
        <v>416</v>
      </c>
      <c r="C6217" t="s">
        <v>9687</v>
      </c>
      <c r="D6217" t="s">
        <v>9928</v>
      </c>
      <c r="E6217" t="s">
        <v>10075</v>
      </c>
      <c r="F6217">
        <v>11203</v>
      </c>
      <c r="G6217" t="s">
        <v>10093</v>
      </c>
      <c r="H6217" t="s">
        <v>10157</v>
      </c>
      <c r="I6217" t="s">
        <v>10168</v>
      </c>
      <c r="J6217" t="s">
        <v>10213</v>
      </c>
      <c r="K6217" t="s">
        <v>10217</v>
      </c>
      <c r="M6217" t="s">
        <v>10304</v>
      </c>
      <c r="N6217" t="s">
        <v>10650</v>
      </c>
      <c r="P6217" t="s">
        <v>10749</v>
      </c>
      <c r="Q6217" t="s">
        <v>10765</v>
      </c>
      <c r="R6217" t="s">
        <v>10824</v>
      </c>
      <c r="T6217">
        <v>47268</v>
      </c>
      <c r="U6217">
        <v>3939</v>
      </c>
      <c r="V6217">
        <v>45</v>
      </c>
      <c r="W6217">
        <v>2</v>
      </c>
      <c r="X6217">
        <v>0</v>
      </c>
      <c r="Z6217">
        <v>279.53</v>
      </c>
      <c r="AA6217">
        <v>40.653203</v>
      </c>
      <c r="AB6217">
        <v>-73.929851</v>
      </c>
      <c r="AD6217" t="s">
        <v>10839</v>
      </c>
      <c r="AG6217" t="s">
        <v>10858</v>
      </c>
      <c r="AH6217" t="s">
        <v>10871</v>
      </c>
      <c r="AI6217">
        <v>234</v>
      </c>
      <c r="AJ6217" t="s">
        <v>10214</v>
      </c>
      <c r="AL6217">
        <v>1</v>
      </c>
      <c r="AM6217" t="s">
        <v>10888</v>
      </c>
      <c r="AN6217" t="s">
        <v>10925</v>
      </c>
      <c r="AO6217" t="s">
        <v>11005</v>
      </c>
      <c r="AP6217" t="s">
        <v>11064</v>
      </c>
      <c r="AR6217" t="s">
        <v>11257</v>
      </c>
      <c r="AS6217" t="s">
        <v>11595</v>
      </c>
      <c r="AT6217" t="s">
        <v>11641</v>
      </c>
      <c r="AX6217" t="s">
        <v>10838</v>
      </c>
      <c r="BA6217" t="s">
        <v>11742</v>
      </c>
      <c r="BB6217">
        <v>0</v>
      </c>
      <c r="BC6217">
        <v>0</v>
      </c>
      <c r="BD6217">
        <v>0</v>
      </c>
      <c r="BE6217">
        <v>0</v>
      </c>
      <c r="BF6217">
        <v>7</v>
      </c>
      <c r="BG6217">
        <v>0</v>
      </c>
    </row>
    <row r="6218" spans="1:59">
      <c r="A6218" s="1">
        <f>HYPERLINK("https://lsnyc.legalserver.org/matter/dynamic-profile/view/1910540","19-1910540")</f>
        <v>0</v>
      </c>
      <c r="B6218" t="s">
        <v>4795</v>
      </c>
      <c r="C6218" t="s">
        <v>9688</v>
      </c>
      <c r="D6218" t="s">
        <v>9926</v>
      </c>
      <c r="E6218" t="s">
        <v>10075</v>
      </c>
      <c r="F6218">
        <v>10467</v>
      </c>
      <c r="G6218" t="s">
        <v>10090</v>
      </c>
      <c r="H6218" t="s">
        <v>10137</v>
      </c>
      <c r="I6218" t="s">
        <v>10168</v>
      </c>
      <c r="J6218" t="s">
        <v>10210</v>
      </c>
      <c r="K6218" t="s">
        <v>10217</v>
      </c>
      <c r="M6218" t="s">
        <v>10385</v>
      </c>
      <c r="N6218" t="s">
        <v>10651</v>
      </c>
      <c r="P6218" t="s">
        <v>10749</v>
      </c>
      <c r="Q6218" t="s">
        <v>10765</v>
      </c>
      <c r="R6218" t="s">
        <v>10824</v>
      </c>
      <c r="T6218">
        <v>32000</v>
      </c>
      <c r="U6218">
        <v>2666.67</v>
      </c>
      <c r="V6218">
        <v>46</v>
      </c>
      <c r="W6218">
        <v>2</v>
      </c>
      <c r="X6218">
        <v>3</v>
      </c>
      <c r="Z6218">
        <v>106.07</v>
      </c>
      <c r="AA6218">
        <v>40.879302</v>
      </c>
      <c r="AB6218">
        <v>-73.87417499999999</v>
      </c>
      <c r="AD6218" t="s">
        <v>10840</v>
      </c>
      <c r="AG6218" t="s">
        <v>10858</v>
      </c>
      <c r="AH6218" t="s">
        <v>10862</v>
      </c>
      <c r="AI6218">
        <v>230</v>
      </c>
      <c r="AJ6218" t="s">
        <v>10210</v>
      </c>
      <c r="AL6218">
        <v>0</v>
      </c>
      <c r="AM6218" t="s">
        <v>10887</v>
      </c>
      <c r="AN6218" t="s">
        <v>10919</v>
      </c>
      <c r="AO6218" t="s">
        <v>11010</v>
      </c>
      <c r="AP6218" t="s">
        <v>11057</v>
      </c>
      <c r="AR6218" t="s">
        <v>11257</v>
      </c>
      <c r="AS6218" t="s">
        <v>9926</v>
      </c>
      <c r="AT6218" t="s">
        <v>11642</v>
      </c>
      <c r="AX6218" t="s">
        <v>11678</v>
      </c>
      <c r="BA6218" t="s">
        <v>11738</v>
      </c>
      <c r="BB6218">
        <v>0</v>
      </c>
      <c r="BC6218">
        <v>0</v>
      </c>
      <c r="BD6218">
        <v>0</v>
      </c>
      <c r="BE6218">
        <v>0</v>
      </c>
      <c r="BF6218">
        <v>5</v>
      </c>
      <c r="BG6218">
        <v>0</v>
      </c>
    </row>
    <row r="6219" spans="1:59">
      <c r="A6219" s="1">
        <f>HYPERLINK("https://lsnyc.legalserver.org/matter/dynamic-profile/view/1910541","19-1910541")</f>
        <v>0</v>
      </c>
      <c r="B6219" t="s">
        <v>4796</v>
      </c>
      <c r="C6219" t="s">
        <v>9689</v>
      </c>
      <c r="D6219" t="s">
        <v>9925</v>
      </c>
      <c r="E6219" t="s">
        <v>10075</v>
      </c>
      <c r="F6219">
        <v>10025</v>
      </c>
      <c r="G6219" t="s">
        <v>10093</v>
      </c>
      <c r="H6219" t="s">
        <v>10157</v>
      </c>
      <c r="I6219" t="s">
        <v>10169</v>
      </c>
      <c r="J6219" t="s">
        <v>10213</v>
      </c>
      <c r="K6219" t="s">
        <v>10217</v>
      </c>
      <c r="M6219" t="s">
        <v>10436</v>
      </c>
      <c r="N6219" t="s">
        <v>10710</v>
      </c>
      <c r="P6219" t="s">
        <v>10750</v>
      </c>
      <c r="Q6219" t="s">
        <v>10760</v>
      </c>
      <c r="R6219" t="s">
        <v>10821</v>
      </c>
      <c r="T6219">
        <v>24492</v>
      </c>
      <c r="U6219">
        <v>2041</v>
      </c>
      <c r="V6219">
        <v>84</v>
      </c>
      <c r="W6219">
        <v>1</v>
      </c>
      <c r="X6219">
        <v>0</v>
      </c>
      <c r="Z6219">
        <v>196.09</v>
      </c>
      <c r="AA6219">
        <v>40.802907</v>
      </c>
      <c r="AB6219">
        <v>-73.96516699999999</v>
      </c>
      <c r="AD6219" t="s">
        <v>10839</v>
      </c>
      <c r="AG6219" t="s">
        <v>10858</v>
      </c>
      <c r="AH6219" t="s">
        <v>10861</v>
      </c>
      <c r="AI6219">
        <v>234</v>
      </c>
      <c r="AJ6219" t="s">
        <v>10214</v>
      </c>
      <c r="AL6219">
        <v>0.5</v>
      </c>
      <c r="AM6219" t="s">
        <v>10894</v>
      </c>
      <c r="AN6219" t="s">
        <v>10953</v>
      </c>
      <c r="AO6219" t="s">
        <v>11019</v>
      </c>
      <c r="AP6219" t="s">
        <v>11073</v>
      </c>
      <c r="AR6219" t="s">
        <v>11345</v>
      </c>
      <c r="AS6219" t="s">
        <v>9925</v>
      </c>
      <c r="AT6219" t="s">
        <v>11641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</row>
    <row r="6220" spans="1:59">
      <c r="A6220" s="1">
        <f>HYPERLINK("https://lsnyc.legalserver.org/matter/dynamic-profile/view/1910542","19-1910542")</f>
        <v>0</v>
      </c>
      <c r="B6220" t="s">
        <v>4795</v>
      </c>
      <c r="D6220" t="s">
        <v>9926</v>
      </c>
      <c r="E6220" t="s">
        <v>10075</v>
      </c>
      <c r="F6220">
        <v>10467</v>
      </c>
      <c r="G6220" t="s">
        <v>10090</v>
      </c>
      <c r="H6220" t="s">
        <v>10137</v>
      </c>
      <c r="I6220" t="s">
        <v>10168</v>
      </c>
      <c r="J6220" t="s">
        <v>10210</v>
      </c>
      <c r="K6220" t="s">
        <v>10217</v>
      </c>
      <c r="M6220" t="s">
        <v>10385</v>
      </c>
      <c r="N6220" t="s">
        <v>10671</v>
      </c>
      <c r="P6220" t="s">
        <v>10751</v>
      </c>
      <c r="Q6220" t="s">
        <v>10761</v>
      </c>
      <c r="R6220" t="s">
        <v>10824</v>
      </c>
      <c r="T6220">
        <v>32000</v>
      </c>
      <c r="U6220">
        <v>2666.67</v>
      </c>
      <c r="V6220">
        <v>46</v>
      </c>
      <c r="W6220">
        <v>2</v>
      </c>
      <c r="X6220">
        <v>3</v>
      </c>
      <c r="Z6220">
        <v>106.07</v>
      </c>
      <c r="AA6220">
        <v>0</v>
      </c>
      <c r="AB6220">
        <v>0</v>
      </c>
      <c r="AD6220" t="s">
        <v>10840</v>
      </c>
      <c r="AG6220" t="s">
        <v>10858</v>
      </c>
      <c r="AH6220" t="s">
        <v>10862</v>
      </c>
      <c r="AI6220">
        <v>230</v>
      </c>
      <c r="AJ6220" t="s">
        <v>10210</v>
      </c>
      <c r="AL6220">
        <v>0</v>
      </c>
      <c r="AR6220" t="s">
        <v>11257</v>
      </c>
      <c r="AS6220" t="s">
        <v>9926</v>
      </c>
      <c r="AT6220" t="s">
        <v>11642</v>
      </c>
      <c r="AX6220" t="s">
        <v>11678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</row>
    <row r="6221" spans="1:59">
      <c r="A6221" s="1">
        <f>HYPERLINK("https://lsnyc.legalserver.org/matter/dynamic-profile/view/1910543","19-1910543")</f>
        <v>0</v>
      </c>
      <c r="B6221" t="s">
        <v>4797</v>
      </c>
      <c r="C6221" t="s">
        <v>9228</v>
      </c>
      <c r="D6221" t="s">
        <v>9925</v>
      </c>
      <c r="E6221" t="s">
        <v>10075</v>
      </c>
      <c r="F6221">
        <v>10002</v>
      </c>
      <c r="G6221" t="s">
        <v>10089</v>
      </c>
      <c r="H6221" t="s">
        <v>10137</v>
      </c>
      <c r="I6221" t="s">
        <v>10168</v>
      </c>
      <c r="J6221" t="s">
        <v>10209</v>
      </c>
      <c r="K6221" t="s">
        <v>10217</v>
      </c>
      <c r="M6221" t="s">
        <v>10393</v>
      </c>
      <c r="N6221" t="s">
        <v>10702</v>
      </c>
      <c r="O6221" t="s">
        <v>10743</v>
      </c>
      <c r="P6221" t="s">
        <v>10749</v>
      </c>
      <c r="Q6221" t="s">
        <v>10767</v>
      </c>
      <c r="R6221" t="s">
        <v>10821</v>
      </c>
      <c r="T6221">
        <v>24684</v>
      </c>
      <c r="U6221">
        <v>2057</v>
      </c>
      <c r="V6221">
        <v>48</v>
      </c>
      <c r="W6221">
        <v>2</v>
      </c>
      <c r="X6221">
        <v>1</v>
      </c>
      <c r="Z6221">
        <v>115.72</v>
      </c>
      <c r="AA6221">
        <v>40.716087</v>
      </c>
      <c r="AB6221">
        <v>-73.984464</v>
      </c>
      <c r="AD6221" t="s">
        <v>10839</v>
      </c>
      <c r="AG6221" t="s">
        <v>10858</v>
      </c>
      <c r="AH6221" t="s">
        <v>10862</v>
      </c>
      <c r="AI6221">
        <v>236</v>
      </c>
      <c r="AJ6221" t="s">
        <v>10209</v>
      </c>
      <c r="AL6221">
        <v>0</v>
      </c>
      <c r="AM6221" t="s">
        <v>10891</v>
      </c>
      <c r="AN6221" t="s">
        <v>10963</v>
      </c>
      <c r="AO6221" t="s">
        <v>11004</v>
      </c>
      <c r="AP6221" t="s">
        <v>11093</v>
      </c>
      <c r="AQ6221" t="s">
        <v>11144</v>
      </c>
      <c r="AR6221" t="s">
        <v>11257</v>
      </c>
      <c r="AS6221" t="s">
        <v>9925</v>
      </c>
      <c r="AT6221" t="s">
        <v>11641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</row>
    <row r="6222" spans="1:59">
      <c r="A6222" s="1">
        <f>HYPERLINK("https://lsnyc.legalserver.org/matter/dynamic-profile/view/1910544","19-1910544")</f>
        <v>0</v>
      </c>
      <c r="B6222" t="s">
        <v>4798</v>
      </c>
      <c r="C6222" t="s">
        <v>9690</v>
      </c>
      <c r="D6222" t="s">
        <v>9929</v>
      </c>
      <c r="E6222" t="s">
        <v>10075</v>
      </c>
      <c r="F6222">
        <v>10302</v>
      </c>
      <c r="G6222" t="s">
        <v>10091</v>
      </c>
      <c r="H6222" t="s">
        <v>10157</v>
      </c>
      <c r="I6222" t="s">
        <v>10168</v>
      </c>
      <c r="J6222" t="s">
        <v>10214</v>
      </c>
      <c r="K6222" t="s">
        <v>10217</v>
      </c>
      <c r="M6222" t="s">
        <v>10286</v>
      </c>
      <c r="N6222" t="s">
        <v>10671</v>
      </c>
      <c r="P6222" t="s">
        <v>10751</v>
      </c>
      <c r="Q6222" t="s">
        <v>10780</v>
      </c>
      <c r="R6222" t="s">
        <v>10824</v>
      </c>
      <c r="T6222">
        <v>36680</v>
      </c>
      <c r="U6222">
        <v>3056.67</v>
      </c>
      <c r="V6222">
        <v>53</v>
      </c>
      <c r="W6222">
        <v>2</v>
      </c>
      <c r="X6222">
        <v>2</v>
      </c>
      <c r="Z6222">
        <v>142.45</v>
      </c>
      <c r="AA6222">
        <v>40.637967</v>
      </c>
      <c r="AB6222">
        <v>-74.138223</v>
      </c>
      <c r="AD6222" t="s">
        <v>10840</v>
      </c>
      <c r="AG6222" t="s">
        <v>10858</v>
      </c>
      <c r="AH6222" t="s">
        <v>10861</v>
      </c>
      <c r="AI6222">
        <v>234</v>
      </c>
      <c r="AJ6222" t="s">
        <v>10214</v>
      </c>
      <c r="AL6222">
        <v>1</v>
      </c>
      <c r="AM6222" t="s">
        <v>10883</v>
      </c>
      <c r="AN6222" t="s">
        <v>10913</v>
      </c>
      <c r="AO6222" t="s">
        <v>11006</v>
      </c>
      <c r="AP6222" t="s">
        <v>11051</v>
      </c>
      <c r="AR6222" t="s">
        <v>11262</v>
      </c>
      <c r="AS6222" t="s">
        <v>11593</v>
      </c>
      <c r="AT6222" t="s">
        <v>11642</v>
      </c>
      <c r="AX6222" t="s">
        <v>10838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</row>
    <row r="6223" spans="1:59">
      <c r="A6223" s="1">
        <f>HYPERLINK("https://lsnyc.legalserver.org/matter/dynamic-profile/view/1910545","19-1910545")</f>
        <v>0</v>
      </c>
      <c r="B6223" t="s">
        <v>4799</v>
      </c>
      <c r="C6223" t="s">
        <v>9691</v>
      </c>
      <c r="D6223" t="s">
        <v>9938</v>
      </c>
      <c r="E6223" t="s">
        <v>10075</v>
      </c>
      <c r="F6223">
        <v>11435</v>
      </c>
      <c r="G6223" t="s">
        <v>10092</v>
      </c>
      <c r="H6223" t="s">
        <v>10157</v>
      </c>
      <c r="I6223" t="s">
        <v>10169</v>
      </c>
      <c r="J6223" t="s">
        <v>10212</v>
      </c>
      <c r="K6223" t="s">
        <v>10217</v>
      </c>
      <c r="M6223" t="s">
        <v>10523</v>
      </c>
      <c r="N6223" t="s">
        <v>10648</v>
      </c>
      <c r="P6223" t="s">
        <v>10753</v>
      </c>
      <c r="Q6223" t="s">
        <v>10763</v>
      </c>
      <c r="R6223" t="s">
        <v>10823</v>
      </c>
      <c r="T6223">
        <v>17160</v>
      </c>
      <c r="U6223">
        <v>1430</v>
      </c>
      <c r="V6223">
        <v>48</v>
      </c>
      <c r="W6223">
        <v>1</v>
      </c>
      <c r="X6223">
        <v>0</v>
      </c>
      <c r="Z6223">
        <v>137.39</v>
      </c>
      <c r="AA6223">
        <v>40.702951</v>
      </c>
      <c r="AB6223">
        <v>-73.80757199999999</v>
      </c>
      <c r="AD6223" t="s">
        <v>10840</v>
      </c>
      <c r="AF6223" t="s">
        <v>10842</v>
      </c>
      <c r="AG6223" t="s">
        <v>10859</v>
      </c>
      <c r="AH6223" t="s">
        <v>10864</v>
      </c>
      <c r="AI6223">
        <v>237</v>
      </c>
      <c r="AJ6223" t="s">
        <v>10212</v>
      </c>
      <c r="AK6223" t="s">
        <v>10837</v>
      </c>
      <c r="AL6223">
        <v>1</v>
      </c>
      <c r="AM6223" t="s">
        <v>10892</v>
      </c>
      <c r="AN6223" t="s">
        <v>10951</v>
      </c>
      <c r="AO6223" t="s">
        <v>11020</v>
      </c>
      <c r="AP6223" t="s">
        <v>11081</v>
      </c>
      <c r="AQ6223" t="s">
        <v>11096</v>
      </c>
      <c r="AR6223" t="s">
        <v>11257</v>
      </c>
      <c r="AS6223" t="s">
        <v>11594</v>
      </c>
      <c r="AT6223" t="s">
        <v>11642</v>
      </c>
      <c r="AX6223" t="s">
        <v>10838</v>
      </c>
      <c r="BA6223" t="s">
        <v>11741</v>
      </c>
      <c r="BB6223">
        <v>0</v>
      </c>
      <c r="BC6223">
        <v>0</v>
      </c>
      <c r="BD6223">
        <v>0</v>
      </c>
      <c r="BE6223">
        <v>0</v>
      </c>
      <c r="BF6223">
        <v>1</v>
      </c>
      <c r="BG6223">
        <v>0</v>
      </c>
    </row>
    <row r="6224" spans="1:59">
      <c r="A6224" s="1">
        <f>HYPERLINK("https://lsnyc.legalserver.org/matter/dynamic-profile/view/1910547","19-1910547")</f>
        <v>0</v>
      </c>
      <c r="B6224" t="s">
        <v>4800</v>
      </c>
      <c r="C6224" t="s">
        <v>9692</v>
      </c>
      <c r="D6224" t="s">
        <v>9928</v>
      </c>
      <c r="E6224" t="s">
        <v>10075</v>
      </c>
      <c r="F6224">
        <v>11231</v>
      </c>
      <c r="G6224" t="s">
        <v>10093</v>
      </c>
      <c r="H6224" t="s">
        <v>10157</v>
      </c>
      <c r="I6224" t="s">
        <v>10168</v>
      </c>
      <c r="J6224" t="s">
        <v>10213</v>
      </c>
      <c r="K6224" t="s">
        <v>10217</v>
      </c>
      <c r="M6224" t="s">
        <v>10384</v>
      </c>
      <c r="N6224" t="s">
        <v>10650</v>
      </c>
      <c r="P6224" t="s">
        <v>10749</v>
      </c>
      <c r="Q6224" t="s">
        <v>10765</v>
      </c>
      <c r="R6224" t="s">
        <v>10821</v>
      </c>
      <c r="T6224">
        <v>16532</v>
      </c>
      <c r="U6224">
        <v>1377.67</v>
      </c>
      <c r="V6224">
        <v>49</v>
      </c>
      <c r="W6224">
        <v>2</v>
      </c>
      <c r="X6224">
        <v>0</v>
      </c>
      <c r="Z6224">
        <v>97.76000000000001</v>
      </c>
      <c r="AA6224">
        <v>40.681038</v>
      </c>
      <c r="AB6224">
        <v>-74.008297</v>
      </c>
      <c r="AD6224" t="s">
        <v>10840</v>
      </c>
      <c r="AG6224" t="s">
        <v>10858</v>
      </c>
      <c r="AH6224" t="s">
        <v>10862</v>
      </c>
      <c r="AI6224">
        <v>239</v>
      </c>
      <c r="AJ6224" t="s">
        <v>10213</v>
      </c>
      <c r="AL6224">
        <v>0.8</v>
      </c>
      <c r="AM6224" t="s">
        <v>10886</v>
      </c>
      <c r="AN6224" t="s">
        <v>10921</v>
      </c>
      <c r="AO6224" t="s">
        <v>11007</v>
      </c>
      <c r="AP6224" t="s">
        <v>11069</v>
      </c>
      <c r="AQ6224" t="s">
        <v>11101</v>
      </c>
      <c r="AR6224" t="s">
        <v>11328</v>
      </c>
      <c r="AS6224" t="s">
        <v>11595</v>
      </c>
      <c r="BA6224" t="s">
        <v>11737</v>
      </c>
      <c r="BB6224">
        <v>0</v>
      </c>
      <c r="BC6224">
        <v>0</v>
      </c>
      <c r="BD6224">
        <v>0</v>
      </c>
      <c r="BE6224">
        <v>0</v>
      </c>
      <c r="BF6224">
        <v>3</v>
      </c>
      <c r="BG6224">
        <v>0</v>
      </c>
    </row>
    <row r="6225" spans="1:59">
      <c r="A6225" s="1">
        <f>HYPERLINK("https://lsnyc.legalserver.org/matter/dynamic-profile/view/1910548","19-1910548")</f>
        <v>0</v>
      </c>
      <c r="B6225" t="s">
        <v>4801</v>
      </c>
      <c r="C6225" t="s">
        <v>9693</v>
      </c>
      <c r="D6225" t="s">
        <v>9938</v>
      </c>
      <c r="E6225" t="s">
        <v>10075</v>
      </c>
      <c r="F6225">
        <v>11435</v>
      </c>
      <c r="G6225" t="s">
        <v>10092</v>
      </c>
      <c r="H6225" t="s">
        <v>10157</v>
      </c>
      <c r="I6225" t="s">
        <v>10169</v>
      </c>
      <c r="J6225" t="s">
        <v>10212</v>
      </c>
      <c r="K6225" t="s">
        <v>10217</v>
      </c>
      <c r="M6225" t="s">
        <v>10547</v>
      </c>
      <c r="N6225" t="s">
        <v>10671</v>
      </c>
      <c r="P6225" t="s">
        <v>10753</v>
      </c>
      <c r="Q6225" t="s">
        <v>10763</v>
      </c>
      <c r="R6225" t="s">
        <v>10821</v>
      </c>
      <c r="T6225">
        <v>28600</v>
      </c>
      <c r="U6225">
        <v>2383.33</v>
      </c>
      <c r="V6225">
        <v>38</v>
      </c>
      <c r="W6225">
        <v>1</v>
      </c>
      <c r="X6225">
        <v>2</v>
      </c>
      <c r="Z6225">
        <v>134.08</v>
      </c>
      <c r="AA6225">
        <v>40.704572</v>
      </c>
      <c r="AB6225">
        <v>-73.807382</v>
      </c>
      <c r="AD6225" t="s">
        <v>10839</v>
      </c>
      <c r="AF6225" t="s">
        <v>10843</v>
      </c>
      <c r="AG6225" t="s">
        <v>10859</v>
      </c>
      <c r="AH6225" t="s">
        <v>10871</v>
      </c>
      <c r="AI6225">
        <v>234</v>
      </c>
      <c r="AJ6225" t="s">
        <v>10214</v>
      </c>
      <c r="AL6225">
        <v>0.74</v>
      </c>
      <c r="AM6225" t="s">
        <v>10892</v>
      </c>
      <c r="AN6225" t="s">
        <v>10951</v>
      </c>
      <c r="AO6225" t="s">
        <v>11020</v>
      </c>
      <c r="AP6225" t="s">
        <v>11081</v>
      </c>
      <c r="AR6225" t="s">
        <v>11359</v>
      </c>
      <c r="AS6225" t="s">
        <v>11594</v>
      </c>
      <c r="AT6225" t="s">
        <v>11641</v>
      </c>
      <c r="AX6225" t="s">
        <v>10838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</row>
    <row r="6226" spans="1:59">
      <c r="A6226" s="1">
        <f>HYPERLINK("https://lsnyc.legalserver.org/matter/dynamic-profile/view/1910549","19-1910549")</f>
        <v>0</v>
      </c>
      <c r="B6226" t="s">
        <v>4802</v>
      </c>
      <c r="C6226" t="s">
        <v>9694</v>
      </c>
      <c r="D6226" t="s">
        <v>9925</v>
      </c>
      <c r="E6226" t="s">
        <v>10075</v>
      </c>
      <c r="F6226">
        <v>10116</v>
      </c>
      <c r="G6226" t="s">
        <v>10091</v>
      </c>
      <c r="H6226" t="s">
        <v>10157</v>
      </c>
      <c r="I6226" t="s">
        <v>10169</v>
      </c>
      <c r="J6226" t="s">
        <v>10214</v>
      </c>
      <c r="K6226" t="s">
        <v>10217</v>
      </c>
      <c r="M6226" t="s">
        <v>10286</v>
      </c>
      <c r="N6226" t="s">
        <v>10671</v>
      </c>
      <c r="P6226" t="s">
        <v>10751</v>
      </c>
      <c r="Q6226" t="s">
        <v>10768</v>
      </c>
      <c r="R6226" t="s">
        <v>10823</v>
      </c>
      <c r="T6226">
        <v>2220</v>
      </c>
      <c r="U6226">
        <v>185</v>
      </c>
      <c r="V6226">
        <v>51</v>
      </c>
      <c r="W6226">
        <v>1</v>
      </c>
      <c r="X6226">
        <v>0</v>
      </c>
      <c r="Z6226">
        <v>17.77</v>
      </c>
      <c r="AA6226">
        <v>40.750341</v>
      </c>
      <c r="AB6226">
        <v>-73.99489199999999</v>
      </c>
      <c r="AD6226" t="s">
        <v>10839</v>
      </c>
      <c r="AF6226" t="s">
        <v>10843</v>
      </c>
      <c r="AG6226" t="s">
        <v>10859</v>
      </c>
      <c r="AH6226" t="s">
        <v>10861</v>
      </c>
      <c r="AI6226">
        <v>234</v>
      </c>
      <c r="AJ6226" t="s">
        <v>10214</v>
      </c>
      <c r="AL6226">
        <v>0.5</v>
      </c>
      <c r="AR6226" t="s">
        <v>11344</v>
      </c>
      <c r="AS6226" t="s">
        <v>9925</v>
      </c>
      <c r="AT6226" t="s">
        <v>11641</v>
      </c>
      <c r="AX6226" t="s">
        <v>10838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</row>
    <row r="6227" spans="1:59">
      <c r="A6227" s="1">
        <f>HYPERLINK("https://lsnyc.legalserver.org/matter/dynamic-profile/view/1910550","19-1910550")</f>
        <v>0</v>
      </c>
      <c r="B6227" t="s">
        <v>4803</v>
      </c>
      <c r="C6227" t="s">
        <v>8964</v>
      </c>
      <c r="D6227" t="s">
        <v>9930</v>
      </c>
      <c r="E6227" t="s">
        <v>10075</v>
      </c>
      <c r="F6227">
        <v>11373</v>
      </c>
      <c r="G6227" t="s">
        <v>10092</v>
      </c>
      <c r="H6227" t="s">
        <v>10157</v>
      </c>
      <c r="I6227" t="s">
        <v>10179</v>
      </c>
      <c r="J6227" t="s">
        <v>10212</v>
      </c>
      <c r="K6227" t="s">
        <v>10217</v>
      </c>
      <c r="M6227" t="s">
        <v>10518</v>
      </c>
      <c r="N6227" t="s">
        <v>10709</v>
      </c>
      <c r="P6227" t="s">
        <v>10754</v>
      </c>
      <c r="Q6227" t="s">
        <v>10766</v>
      </c>
      <c r="R6227" t="s">
        <v>10828</v>
      </c>
      <c r="T6227">
        <v>2064</v>
      </c>
      <c r="U6227">
        <v>172</v>
      </c>
      <c r="V6227">
        <v>37</v>
      </c>
      <c r="W6227">
        <v>1</v>
      </c>
      <c r="X6227">
        <v>2</v>
      </c>
      <c r="Z6227">
        <v>9.68</v>
      </c>
      <c r="AA6227">
        <v>40.746268</v>
      </c>
      <c r="AB6227">
        <v>-73.885109</v>
      </c>
      <c r="AD6227" t="s">
        <v>10839</v>
      </c>
      <c r="AF6227" t="s">
        <v>10843</v>
      </c>
      <c r="AG6227" t="s">
        <v>10859</v>
      </c>
      <c r="AH6227" t="s">
        <v>10865</v>
      </c>
      <c r="AI6227">
        <v>237</v>
      </c>
      <c r="AJ6227" t="s">
        <v>10212</v>
      </c>
      <c r="AL6227">
        <v>4</v>
      </c>
      <c r="AM6227" t="s">
        <v>10885</v>
      </c>
      <c r="AN6227" t="s">
        <v>10949</v>
      </c>
      <c r="AO6227" t="s">
        <v>11014</v>
      </c>
      <c r="AP6227" t="s">
        <v>11053</v>
      </c>
      <c r="AR6227" t="s">
        <v>11268</v>
      </c>
      <c r="AS6227" t="s">
        <v>11594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</row>
    <row r="6228" spans="1:59">
      <c r="A6228" s="1">
        <f>HYPERLINK("https://lsnyc.legalserver.org/matter/dynamic-profile/view/1910551","19-1910551")</f>
        <v>0</v>
      </c>
      <c r="B6228" t="s">
        <v>374</v>
      </c>
      <c r="C6228" t="s">
        <v>9695</v>
      </c>
      <c r="D6228" t="s">
        <v>9926</v>
      </c>
      <c r="E6228" t="s">
        <v>10075</v>
      </c>
      <c r="F6228">
        <v>10457</v>
      </c>
      <c r="G6228" t="s">
        <v>10090</v>
      </c>
      <c r="H6228" t="s">
        <v>10157</v>
      </c>
      <c r="I6228" t="s">
        <v>10169</v>
      </c>
      <c r="J6228" t="s">
        <v>10210</v>
      </c>
      <c r="K6228" t="s">
        <v>10217</v>
      </c>
      <c r="M6228" t="s">
        <v>10438</v>
      </c>
      <c r="N6228" t="s">
        <v>10694</v>
      </c>
      <c r="P6228" t="s">
        <v>10751</v>
      </c>
      <c r="Q6228" t="s">
        <v>10773</v>
      </c>
      <c r="R6228" t="s">
        <v>10823</v>
      </c>
      <c r="T6228">
        <v>0</v>
      </c>
      <c r="U6228">
        <v>0</v>
      </c>
      <c r="V6228">
        <v>33</v>
      </c>
      <c r="W6228">
        <v>1</v>
      </c>
      <c r="X6228">
        <v>0</v>
      </c>
      <c r="Z6228">
        <v>0</v>
      </c>
      <c r="AA6228">
        <v>40.85404</v>
      </c>
      <c r="AB6228">
        <v>-73.90064700000001</v>
      </c>
      <c r="AD6228" t="s">
        <v>10840</v>
      </c>
      <c r="AF6228" t="s">
        <v>10843</v>
      </c>
      <c r="AG6228" t="s">
        <v>10859</v>
      </c>
      <c r="AH6228" t="s">
        <v>10861</v>
      </c>
      <c r="AI6228">
        <v>234</v>
      </c>
      <c r="AJ6228" t="s">
        <v>10214</v>
      </c>
      <c r="AL6228">
        <v>3.5</v>
      </c>
      <c r="AM6228" t="s">
        <v>10884</v>
      </c>
      <c r="AN6228" t="s">
        <v>10931</v>
      </c>
      <c r="AO6228" t="s">
        <v>11000</v>
      </c>
      <c r="AP6228" t="s">
        <v>11056</v>
      </c>
      <c r="AR6228" t="s">
        <v>11267</v>
      </c>
      <c r="AS6228" t="s">
        <v>9926</v>
      </c>
      <c r="AT6228" t="s">
        <v>11642</v>
      </c>
      <c r="AX6228" t="s">
        <v>10838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</row>
    <row r="6229" spans="1:59">
      <c r="A6229" s="1">
        <f>HYPERLINK("https://lsnyc.legalserver.org/matter/dynamic-profile/view/1910552","19-1910552")</f>
        <v>0</v>
      </c>
      <c r="B6229" t="s">
        <v>4804</v>
      </c>
      <c r="C6229" t="s">
        <v>9696</v>
      </c>
      <c r="D6229" t="s">
        <v>9931</v>
      </c>
      <c r="E6229" t="s">
        <v>10075</v>
      </c>
      <c r="F6229">
        <v>11355</v>
      </c>
      <c r="G6229" t="s">
        <v>10092</v>
      </c>
      <c r="H6229" t="s">
        <v>10157</v>
      </c>
      <c r="I6229" t="s">
        <v>10168</v>
      </c>
      <c r="J6229" t="s">
        <v>10212</v>
      </c>
      <c r="K6229" t="s">
        <v>10217</v>
      </c>
      <c r="M6229" t="s">
        <v>10295</v>
      </c>
      <c r="N6229" t="s">
        <v>10674</v>
      </c>
      <c r="P6229" t="s">
        <v>10754</v>
      </c>
      <c r="Q6229" t="s">
        <v>10777</v>
      </c>
      <c r="R6229" t="s">
        <v>10827</v>
      </c>
      <c r="T6229">
        <v>0</v>
      </c>
      <c r="U6229">
        <v>0</v>
      </c>
      <c r="V6229">
        <v>39</v>
      </c>
      <c r="W6229">
        <v>1</v>
      </c>
      <c r="X6229">
        <v>1</v>
      </c>
      <c r="Z6229">
        <v>0</v>
      </c>
      <c r="AA6229">
        <v>40.756724</v>
      </c>
      <c r="AB6229">
        <v>-73.82729500000001</v>
      </c>
      <c r="AD6229" t="s">
        <v>10839</v>
      </c>
      <c r="AG6229" t="s">
        <v>10858</v>
      </c>
      <c r="AH6229" t="s">
        <v>10865</v>
      </c>
      <c r="AI6229">
        <v>237</v>
      </c>
      <c r="AJ6229" t="s">
        <v>10212</v>
      </c>
      <c r="AL6229">
        <v>1.25</v>
      </c>
      <c r="AM6229" t="s">
        <v>10890</v>
      </c>
      <c r="AN6229" t="s">
        <v>10927</v>
      </c>
      <c r="AO6229" t="s">
        <v>11009</v>
      </c>
      <c r="AP6229" t="s">
        <v>11067</v>
      </c>
      <c r="AR6229" t="s">
        <v>11267</v>
      </c>
      <c r="AS6229" t="s">
        <v>11594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</row>
    <row r="6230" spans="1:59">
      <c r="A6230" s="1">
        <f>HYPERLINK("https://lsnyc.legalserver.org/matter/dynamic-profile/view/1910553","19-1910553")</f>
        <v>0</v>
      </c>
      <c r="B6230" t="s">
        <v>4805</v>
      </c>
      <c r="C6230" t="s">
        <v>9697</v>
      </c>
      <c r="D6230" t="s">
        <v>9926</v>
      </c>
      <c r="E6230" t="s">
        <v>10075</v>
      </c>
      <c r="F6230">
        <v>10456</v>
      </c>
      <c r="G6230" t="s">
        <v>10091</v>
      </c>
      <c r="H6230" t="s">
        <v>10157</v>
      </c>
      <c r="I6230" t="s">
        <v>10168</v>
      </c>
      <c r="J6230" t="s">
        <v>10214</v>
      </c>
      <c r="K6230" t="s">
        <v>10217</v>
      </c>
      <c r="M6230" t="s">
        <v>10323</v>
      </c>
      <c r="N6230" t="s">
        <v>10736</v>
      </c>
      <c r="P6230" t="s">
        <v>10754</v>
      </c>
      <c r="Q6230" t="s">
        <v>10770</v>
      </c>
      <c r="R6230" t="s">
        <v>10824</v>
      </c>
      <c r="T6230">
        <v>1560</v>
      </c>
      <c r="U6230">
        <v>130</v>
      </c>
      <c r="V6230">
        <v>58</v>
      </c>
      <c r="W6230">
        <v>1</v>
      </c>
      <c r="X6230">
        <v>0</v>
      </c>
      <c r="Z6230">
        <v>12.49</v>
      </c>
      <c r="AA6230">
        <v>40.830331</v>
      </c>
      <c r="AB6230">
        <v>-73.918318</v>
      </c>
      <c r="AC6230" t="s">
        <v>10837</v>
      </c>
      <c r="AD6230" t="s">
        <v>10840</v>
      </c>
      <c r="AG6230" t="s">
        <v>10858</v>
      </c>
      <c r="AH6230" t="s">
        <v>10875</v>
      </c>
      <c r="AI6230">
        <v>234</v>
      </c>
      <c r="AJ6230" t="s">
        <v>10214</v>
      </c>
      <c r="AL6230">
        <v>0.5</v>
      </c>
      <c r="AM6230" t="s">
        <v>10884</v>
      </c>
      <c r="AN6230" t="s">
        <v>10929</v>
      </c>
      <c r="AO6230" t="s">
        <v>11001</v>
      </c>
      <c r="AP6230" t="s">
        <v>11055</v>
      </c>
      <c r="AQ6230" t="s">
        <v>11111</v>
      </c>
      <c r="AR6230" t="s">
        <v>11255</v>
      </c>
      <c r="AS6230" t="s">
        <v>9926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</row>
    <row r="6231" spans="1:59">
      <c r="A6231" s="1">
        <f>HYPERLINK("https://lsnyc.legalserver.org/matter/dynamic-profile/view/1910555","19-1910555")</f>
        <v>0</v>
      </c>
      <c r="B6231" t="s">
        <v>4806</v>
      </c>
      <c r="C6231" t="s">
        <v>9698</v>
      </c>
      <c r="D6231" t="s">
        <v>9932</v>
      </c>
      <c r="E6231" t="s">
        <v>10075</v>
      </c>
      <c r="F6231">
        <v>11368</v>
      </c>
      <c r="G6231" t="s">
        <v>10092</v>
      </c>
      <c r="H6231" t="s">
        <v>10157</v>
      </c>
      <c r="I6231" t="s">
        <v>10169</v>
      </c>
      <c r="J6231" t="s">
        <v>10212</v>
      </c>
      <c r="K6231" t="s">
        <v>10217</v>
      </c>
      <c r="M6231" t="s">
        <v>10295</v>
      </c>
      <c r="N6231" t="s">
        <v>10730</v>
      </c>
      <c r="P6231" t="s">
        <v>10754</v>
      </c>
      <c r="Q6231" t="s">
        <v>10777</v>
      </c>
      <c r="R6231" t="s">
        <v>10821</v>
      </c>
      <c r="T6231">
        <v>31200</v>
      </c>
      <c r="U6231">
        <v>2600</v>
      </c>
      <c r="V6231">
        <v>25</v>
      </c>
      <c r="W6231">
        <v>1</v>
      </c>
      <c r="X6231">
        <v>1</v>
      </c>
      <c r="Z6231">
        <v>184.51</v>
      </c>
      <c r="AA6231">
        <v>40.749287</v>
      </c>
      <c r="AB6231">
        <v>-73.856483</v>
      </c>
      <c r="AD6231" t="s">
        <v>10839</v>
      </c>
      <c r="AF6231" t="s">
        <v>10842</v>
      </c>
      <c r="AG6231" t="s">
        <v>10859</v>
      </c>
      <c r="AH6231" t="s">
        <v>10865</v>
      </c>
      <c r="AI6231">
        <v>237</v>
      </c>
      <c r="AJ6231" t="s">
        <v>10212</v>
      </c>
      <c r="AL6231">
        <v>1.25</v>
      </c>
      <c r="AM6231" t="s">
        <v>10885</v>
      </c>
      <c r="AN6231" t="s">
        <v>10949</v>
      </c>
      <c r="AO6231" t="s">
        <v>11014</v>
      </c>
      <c r="AP6231" t="s">
        <v>11068</v>
      </c>
      <c r="AR6231" t="s">
        <v>11257</v>
      </c>
      <c r="AS6231" t="s">
        <v>11594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</row>
    <row r="6232" spans="1:59">
      <c r="A6232" s="1">
        <f>HYPERLINK("https://lsnyc.legalserver.org/matter/dynamic-profile/view/1910556","19-1910556")</f>
        <v>0</v>
      </c>
      <c r="B6232" t="s">
        <v>4807</v>
      </c>
      <c r="C6232" t="s">
        <v>8224</v>
      </c>
      <c r="D6232" t="s">
        <v>9925</v>
      </c>
      <c r="E6232" t="s">
        <v>10075</v>
      </c>
      <c r="F6232">
        <v>10029</v>
      </c>
      <c r="G6232" t="s">
        <v>10089</v>
      </c>
      <c r="H6232" t="s">
        <v>10157</v>
      </c>
      <c r="I6232" t="s">
        <v>10168</v>
      </c>
      <c r="J6232" t="s">
        <v>10209</v>
      </c>
      <c r="K6232" t="s">
        <v>10217</v>
      </c>
      <c r="M6232" t="s">
        <v>10383</v>
      </c>
      <c r="N6232" t="s">
        <v>10671</v>
      </c>
      <c r="P6232" t="s">
        <v>10751</v>
      </c>
      <c r="Q6232" t="s">
        <v>10780</v>
      </c>
      <c r="R6232" t="s">
        <v>10821</v>
      </c>
      <c r="T6232">
        <v>11136</v>
      </c>
      <c r="U6232">
        <v>928</v>
      </c>
      <c r="V6232">
        <v>7</v>
      </c>
      <c r="W6232">
        <v>1</v>
      </c>
      <c r="X6232">
        <v>0</v>
      </c>
      <c r="Z6232">
        <v>89.16</v>
      </c>
      <c r="AA6232">
        <v>40.786515</v>
      </c>
      <c r="AB6232">
        <v>-73.941968</v>
      </c>
      <c r="AD6232" t="s">
        <v>10839</v>
      </c>
      <c r="AG6232" t="s">
        <v>10858</v>
      </c>
      <c r="AH6232" t="s">
        <v>10861</v>
      </c>
      <c r="AI6232">
        <v>234</v>
      </c>
      <c r="AJ6232" t="s">
        <v>10214</v>
      </c>
      <c r="AL6232">
        <v>0</v>
      </c>
      <c r="AR6232" t="s">
        <v>11388</v>
      </c>
      <c r="AS6232" t="s">
        <v>9925</v>
      </c>
      <c r="AT6232" t="s">
        <v>11641</v>
      </c>
      <c r="AX6232" t="s">
        <v>10838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</row>
    <row r="6233" spans="1:59">
      <c r="A6233" s="1">
        <f>HYPERLINK("https://lsnyc.legalserver.org/matter/dynamic-profile/view/1910557","19-1910557")</f>
        <v>0</v>
      </c>
      <c r="B6233" t="s">
        <v>4808</v>
      </c>
      <c r="C6233" t="s">
        <v>9699</v>
      </c>
      <c r="D6233" t="s">
        <v>9926</v>
      </c>
      <c r="E6233" t="s">
        <v>10075</v>
      </c>
      <c r="F6233">
        <v>10453</v>
      </c>
      <c r="G6233" t="s">
        <v>10091</v>
      </c>
      <c r="H6233" t="s">
        <v>10157</v>
      </c>
      <c r="I6233" t="s">
        <v>10169</v>
      </c>
      <c r="J6233" t="s">
        <v>10214</v>
      </c>
      <c r="K6233" t="s">
        <v>10217</v>
      </c>
      <c r="M6233" t="s">
        <v>10537</v>
      </c>
      <c r="N6233" t="s">
        <v>10671</v>
      </c>
      <c r="P6233" t="s">
        <v>10753</v>
      </c>
      <c r="Q6233" t="s">
        <v>10763</v>
      </c>
      <c r="R6233" t="s">
        <v>10821</v>
      </c>
      <c r="T6233">
        <v>0</v>
      </c>
      <c r="U6233">
        <v>0</v>
      </c>
      <c r="V6233">
        <v>34</v>
      </c>
      <c r="W6233">
        <v>1</v>
      </c>
      <c r="X6233">
        <v>1</v>
      </c>
      <c r="Z6233">
        <v>0</v>
      </c>
      <c r="AA6233">
        <v>40.851638</v>
      </c>
      <c r="AB6233">
        <v>-73.918482</v>
      </c>
      <c r="AD6233" t="s">
        <v>10839</v>
      </c>
      <c r="AF6233" t="s">
        <v>10842</v>
      </c>
      <c r="AG6233" t="s">
        <v>10859</v>
      </c>
      <c r="AH6233" t="s">
        <v>10861</v>
      </c>
      <c r="AI6233">
        <v>234</v>
      </c>
      <c r="AJ6233" t="s">
        <v>10214</v>
      </c>
      <c r="AL6233">
        <v>1</v>
      </c>
      <c r="AR6233" t="s">
        <v>11267</v>
      </c>
      <c r="AS6233" t="s">
        <v>9926</v>
      </c>
      <c r="AT6233" t="s">
        <v>11641</v>
      </c>
      <c r="AX6233" t="s">
        <v>10838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</row>
    <row r="6234" spans="1:59">
      <c r="A6234" s="1">
        <f>HYPERLINK("https://lsnyc.legalserver.org/matter/dynamic-profile/view/1910558","19-1910558")</f>
        <v>0</v>
      </c>
      <c r="B6234" t="s">
        <v>4809</v>
      </c>
      <c r="C6234" t="s">
        <v>9700</v>
      </c>
      <c r="D6234" t="s">
        <v>9926</v>
      </c>
      <c r="E6234" t="s">
        <v>10075</v>
      </c>
      <c r="F6234">
        <v>10457</v>
      </c>
      <c r="G6234" t="s">
        <v>10091</v>
      </c>
      <c r="H6234" t="s">
        <v>10157</v>
      </c>
      <c r="I6234" t="s">
        <v>10169</v>
      </c>
      <c r="J6234" t="s">
        <v>10214</v>
      </c>
      <c r="K6234" t="s">
        <v>10217</v>
      </c>
      <c r="M6234" t="s">
        <v>10537</v>
      </c>
      <c r="N6234" t="s">
        <v>10671</v>
      </c>
      <c r="P6234" t="s">
        <v>10753</v>
      </c>
      <c r="Q6234" t="s">
        <v>10763</v>
      </c>
      <c r="R6234" t="s">
        <v>10823</v>
      </c>
      <c r="T6234">
        <v>0</v>
      </c>
      <c r="U6234">
        <v>0</v>
      </c>
      <c r="V6234">
        <v>38</v>
      </c>
      <c r="W6234">
        <v>1</v>
      </c>
      <c r="X6234">
        <v>2</v>
      </c>
      <c r="Z6234">
        <v>0</v>
      </c>
      <c r="AA6234">
        <v>40.842914</v>
      </c>
      <c r="AB6234">
        <v>-73.893107</v>
      </c>
      <c r="AD6234" t="s">
        <v>10839</v>
      </c>
      <c r="AF6234" t="s">
        <v>10842</v>
      </c>
      <c r="AG6234" t="s">
        <v>10859</v>
      </c>
      <c r="AH6234" t="s">
        <v>10861</v>
      </c>
      <c r="AI6234">
        <v>234</v>
      </c>
      <c r="AJ6234" t="s">
        <v>10214</v>
      </c>
      <c r="AL6234">
        <v>0.7</v>
      </c>
      <c r="AM6234" t="s">
        <v>10884</v>
      </c>
      <c r="AN6234" t="s">
        <v>10918</v>
      </c>
      <c r="AO6234" t="s">
        <v>11000</v>
      </c>
      <c r="AP6234" t="s">
        <v>11062</v>
      </c>
      <c r="AR6234" t="s">
        <v>11267</v>
      </c>
      <c r="AS6234" t="s">
        <v>9926</v>
      </c>
      <c r="AT6234" t="s">
        <v>11641</v>
      </c>
      <c r="AX6234" t="s">
        <v>10838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</row>
    <row r="6235" spans="1:59">
      <c r="A6235" s="1">
        <f>HYPERLINK("https://lsnyc.legalserver.org/matter/dynamic-profile/view/1910559","19-1910559")</f>
        <v>0</v>
      </c>
      <c r="B6235" t="s">
        <v>4810</v>
      </c>
      <c r="C6235" t="s">
        <v>9701</v>
      </c>
      <c r="D6235" t="s">
        <v>9973</v>
      </c>
      <c r="E6235" t="s">
        <v>10075</v>
      </c>
      <c r="F6235">
        <v>10701</v>
      </c>
      <c r="G6235" t="s">
        <v>10091</v>
      </c>
      <c r="H6235" t="s">
        <v>10157</v>
      </c>
      <c r="I6235" t="s">
        <v>10168</v>
      </c>
      <c r="J6235" t="s">
        <v>10214</v>
      </c>
      <c r="K6235" t="s">
        <v>10217</v>
      </c>
      <c r="M6235" t="s">
        <v>10537</v>
      </c>
      <c r="N6235" t="s">
        <v>10671</v>
      </c>
      <c r="P6235" t="s">
        <v>10753</v>
      </c>
      <c r="Q6235" t="s">
        <v>10763</v>
      </c>
      <c r="R6235" t="s">
        <v>10822</v>
      </c>
      <c r="T6235">
        <v>29120</v>
      </c>
      <c r="U6235">
        <v>2426.67</v>
      </c>
      <c r="V6235">
        <v>32</v>
      </c>
      <c r="W6235">
        <v>1</v>
      </c>
      <c r="X6235">
        <v>3</v>
      </c>
      <c r="Z6235">
        <v>113.09</v>
      </c>
      <c r="AA6235">
        <v>40.946052</v>
      </c>
      <c r="AB6235">
        <v>-73.897115</v>
      </c>
      <c r="AD6235" t="s">
        <v>10839</v>
      </c>
      <c r="AF6235" t="s">
        <v>10843</v>
      </c>
      <c r="AG6235" t="s">
        <v>10859</v>
      </c>
      <c r="AH6235" t="s">
        <v>10864</v>
      </c>
      <c r="AI6235">
        <v>234</v>
      </c>
      <c r="AJ6235" t="s">
        <v>10214</v>
      </c>
      <c r="AL6235">
        <v>0.5</v>
      </c>
      <c r="AM6235" t="s">
        <v>10893</v>
      </c>
      <c r="AN6235" t="s">
        <v>10988</v>
      </c>
      <c r="AO6235" t="s">
        <v>11036</v>
      </c>
      <c r="AQ6235" t="s">
        <v>11097</v>
      </c>
      <c r="AR6235" t="s">
        <v>11257</v>
      </c>
      <c r="AS6235" t="s">
        <v>11604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</row>
    <row r="6236" spans="1:59">
      <c r="A6236" s="1">
        <f>HYPERLINK("https://lsnyc.legalserver.org/matter/dynamic-profile/view/1910560","19-1910560")</f>
        <v>0</v>
      </c>
      <c r="B6236" t="s">
        <v>4811</v>
      </c>
      <c r="C6236" t="s">
        <v>9702</v>
      </c>
      <c r="D6236" t="s">
        <v>9937</v>
      </c>
      <c r="E6236" t="s">
        <v>10075</v>
      </c>
      <c r="F6236">
        <v>11412</v>
      </c>
      <c r="G6236" t="s">
        <v>10092</v>
      </c>
      <c r="H6236" t="s">
        <v>10157</v>
      </c>
      <c r="I6236" t="s">
        <v>10168</v>
      </c>
      <c r="J6236" t="s">
        <v>10212</v>
      </c>
      <c r="K6236" t="s">
        <v>10217</v>
      </c>
      <c r="M6236" t="s">
        <v>10547</v>
      </c>
      <c r="N6236" t="s">
        <v>10671</v>
      </c>
      <c r="P6236" t="s">
        <v>10753</v>
      </c>
      <c r="Q6236" t="s">
        <v>10763</v>
      </c>
      <c r="R6236" t="s">
        <v>10824</v>
      </c>
      <c r="T6236">
        <v>2196</v>
      </c>
      <c r="U6236">
        <v>183</v>
      </c>
      <c r="V6236">
        <v>48</v>
      </c>
      <c r="W6236">
        <v>1</v>
      </c>
      <c r="X6236">
        <v>0</v>
      </c>
      <c r="Z6236">
        <v>17.58</v>
      </c>
      <c r="AA6236">
        <v>40.694756</v>
      </c>
      <c r="AB6236">
        <v>-73.76689</v>
      </c>
      <c r="AD6236" t="s">
        <v>10839</v>
      </c>
      <c r="AF6236" t="s">
        <v>10843</v>
      </c>
      <c r="AG6236" t="s">
        <v>10859</v>
      </c>
      <c r="AH6236" t="s">
        <v>10861</v>
      </c>
      <c r="AI6236">
        <v>234</v>
      </c>
      <c r="AJ6236" t="s">
        <v>10214</v>
      </c>
      <c r="AL6236">
        <v>1</v>
      </c>
      <c r="AM6236" t="s">
        <v>10892</v>
      </c>
      <c r="AN6236" t="s">
        <v>10940</v>
      </c>
      <c r="AO6236" t="s">
        <v>11020</v>
      </c>
      <c r="AP6236" t="s">
        <v>11075</v>
      </c>
      <c r="AR6236" t="s">
        <v>11255</v>
      </c>
      <c r="AS6236" t="s">
        <v>11594</v>
      </c>
      <c r="AT6236" t="s">
        <v>11641</v>
      </c>
      <c r="AX6236" t="s">
        <v>10838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</row>
    <row r="6237" spans="1:59">
      <c r="A6237" s="1">
        <f>HYPERLINK("https://lsnyc.legalserver.org/matter/dynamic-profile/view/1910561","19-1910561")</f>
        <v>0</v>
      </c>
      <c r="B6237" t="s">
        <v>4055</v>
      </c>
      <c r="C6237" t="s">
        <v>8879</v>
      </c>
      <c r="D6237" t="s">
        <v>9926</v>
      </c>
      <c r="E6237" t="s">
        <v>10075</v>
      </c>
      <c r="F6237">
        <v>10451</v>
      </c>
      <c r="G6237" t="s">
        <v>10090</v>
      </c>
      <c r="H6237" t="s">
        <v>10157</v>
      </c>
      <c r="I6237" t="s">
        <v>10168</v>
      </c>
      <c r="J6237" t="s">
        <v>10210</v>
      </c>
      <c r="K6237" t="s">
        <v>10217</v>
      </c>
      <c r="M6237" t="s">
        <v>10596</v>
      </c>
      <c r="N6237" t="s">
        <v>10682</v>
      </c>
      <c r="P6237" t="s">
        <v>10753</v>
      </c>
      <c r="Q6237" t="s">
        <v>10790</v>
      </c>
      <c r="R6237" t="s">
        <v>10825</v>
      </c>
      <c r="T6237">
        <v>20540</v>
      </c>
      <c r="U6237">
        <v>1711.67</v>
      </c>
      <c r="V6237">
        <v>48</v>
      </c>
      <c r="W6237">
        <v>3</v>
      </c>
      <c r="X6237">
        <v>1</v>
      </c>
      <c r="Z6237">
        <v>79.77</v>
      </c>
      <c r="AA6237">
        <v>40.812323</v>
      </c>
      <c r="AB6237">
        <v>-73.925218</v>
      </c>
      <c r="AD6237" t="s">
        <v>10839</v>
      </c>
      <c r="AG6237" t="s">
        <v>10858</v>
      </c>
      <c r="AH6237" t="s">
        <v>10874</v>
      </c>
      <c r="AI6237">
        <v>230</v>
      </c>
      <c r="AJ6237" t="s">
        <v>10210</v>
      </c>
      <c r="AL6237">
        <v>0</v>
      </c>
      <c r="AR6237" t="s">
        <v>11317</v>
      </c>
      <c r="AS6237" t="s">
        <v>9926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</row>
    <row r="6238" spans="1:59">
      <c r="A6238" s="1">
        <f>HYPERLINK("https://lsnyc.legalserver.org/matter/dynamic-profile/view/1910562","19-1910562")</f>
        <v>0</v>
      </c>
      <c r="B6238" t="s">
        <v>4055</v>
      </c>
      <c r="C6238" t="s">
        <v>8879</v>
      </c>
      <c r="D6238" t="s">
        <v>9926</v>
      </c>
      <c r="E6238" t="s">
        <v>10075</v>
      </c>
      <c r="F6238">
        <v>10451</v>
      </c>
      <c r="G6238" t="s">
        <v>10090</v>
      </c>
      <c r="H6238" t="s">
        <v>10157</v>
      </c>
      <c r="I6238" t="s">
        <v>10168</v>
      </c>
      <c r="J6238" t="s">
        <v>10210</v>
      </c>
      <c r="K6238" t="s">
        <v>10217</v>
      </c>
      <c r="M6238" t="s">
        <v>10596</v>
      </c>
      <c r="N6238" t="s">
        <v>10682</v>
      </c>
      <c r="P6238" t="s">
        <v>10751</v>
      </c>
      <c r="Q6238" t="s">
        <v>10761</v>
      </c>
      <c r="R6238" t="s">
        <v>10825</v>
      </c>
      <c r="T6238">
        <v>20540</v>
      </c>
      <c r="U6238">
        <v>1711.67</v>
      </c>
      <c r="V6238">
        <v>48</v>
      </c>
      <c r="W6238">
        <v>3</v>
      </c>
      <c r="X6238">
        <v>1</v>
      </c>
      <c r="Z6238">
        <v>79.77</v>
      </c>
      <c r="AA6238">
        <v>40.812323</v>
      </c>
      <c r="AB6238">
        <v>-73.925218</v>
      </c>
      <c r="AD6238" t="s">
        <v>10839</v>
      </c>
      <c r="AG6238" t="s">
        <v>10858</v>
      </c>
      <c r="AH6238" t="s">
        <v>10874</v>
      </c>
      <c r="AI6238">
        <v>230</v>
      </c>
      <c r="AJ6238" t="s">
        <v>10210</v>
      </c>
      <c r="AL6238">
        <v>0.25</v>
      </c>
      <c r="AQ6238" t="s">
        <v>11135</v>
      </c>
      <c r="AR6238" t="s">
        <v>11317</v>
      </c>
      <c r="AS6238" t="s">
        <v>9926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</row>
    <row r="6239" spans="1:59">
      <c r="A6239" s="1">
        <f>HYPERLINK("https://lsnyc.legalserver.org/matter/dynamic-profile/view/1910563","19-1910563")</f>
        <v>0</v>
      </c>
      <c r="B6239" t="s">
        <v>4812</v>
      </c>
      <c r="C6239" t="s">
        <v>9703</v>
      </c>
      <c r="D6239" t="s">
        <v>9929</v>
      </c>
      <c r="E6239" t="s">
        <v>10075</v>
      </c>
      <c r="F6239">
        <v>10314</v>
      </c>
      <c r="G6239" t="s">
        <v>10088</v>
      </c>
      <c r="H6239" t="s">
        <v>10157</v>
      </c>
      <c r="I6239" t="s">
        <v>10168</v>
      </c>
      <c r="J6239" t="s">
        <v>10208</v>
      </c>
      <c r="K6239" t="s">
        <v>10217</v>
      </c>
      <c r="M6239" t="s">
        <v>10228</v>
      </c>
      <c r="N6239" t="s">
        <v>10661</v>
      </c>
      <c r="P6239" t="s">
        <v>10749</v>
      </c>
      <c r="Q6239" t="s">
        <v>10759</v>
      </c>
      <c r="R6239" t="s">
        <v>10820</v>
      </c>
      <c r="T6239">
        <v>37444</v>
      </c>
      <c r="U6239">
        <v>3120.33</v>
      </c>
      <c r="V6239">
        <v>50</v>
      </c>
      <c r="W6239">
        <v>3</v>
      </c>
      <c r="X6239">
        <v>1</v>
      </c>
      <c r="Z6239">
        <v>145.41</v>
      </c>
      <c r="AA6239">
        <v>40.620887</v>
      </c>
      <c r="AB6239">
        <v>-74.164151</v>
      </c>
      <c r="AD6239" t="s">
        <v>10839</v>
      </c>
      <c r="AG6239" t="s">
        <v>10858</v>
      </c>
      <c r="AH6239" t="s">
        <v>10860</v>
      </c>
      <c r="AI6239">
        <v>285</v>
      </c>
      <c r="AJ6239" t="s">
        <v>10208</v>
      </c>
      <c r="AL6239">
        <v>0.8</v>
      </c>
      <c r="AM6239" t="s">
        <v>10883</v>
      </c>
      <c r="AN6239" t="s">
        <v>10928</v>
      </c>
      <c r="AO6239" t="s">
        <v>11006</v>
      </c>
      <c r="AP6239" t="s">
        <v>11051</v>
      </c>
      <c r="AR6239" t="s">
        <v>11295</v>
      </c>
      <c r="AS6239" t="s">
        <v>11593</v>
      </c>
      <c r="AT6239" t="s">
        <v>11641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</row>
    <row r="6240" spans="1:59">
      <c r="A6240" s="1">
        <f>HYPERLINK("https://lsnyc.legalserver.org/matter/dynamic-profile/view/1910564","19-1910564")</f>
        <v>0</v>
      </c>
      <c r="B6240" t="s">
        <v>4060</v>
      </c>
      <c r="C6240" t="s">
        <v>9704</v>
      </c>
      <c r="D6240" t="s">
        <v>9929</v>
      </c>
      <c r="E6240" t="s">
        <v>10075</v>
      </c>
      <c r="F6240">
        <v>10305</v>
      </c>
      <c r="G6240" t="s">
        <v>10091</v>
      </c>
      <c r="H6240" t="s">
        <v>10157</v>
      </c>
      <c r="I6240" t="s">
        <v>10190</v>
      </c>
      <c r="J6240" t="s">
        <v>10214</v>
      </c>
      <c r="K6240" t="s">
        <v>10217</v>
      </c>
      <c r="M6240" t="s">
        <v>10286</v>
      </c>
      <c r="N6240" t="s">
        <v>10671</v>
      </c>
      <c r="P6240" t="s">
        <v>10752</v>
      </c>
      <c r="Q6240" t="s">
        <v>10762</v>
      </c>
      <c r="R6240" t="s">
        <v>10820</v>
      </c>
      <c r="T6240">
        <v>16080</v>
      </c>
      <c r="U6240">
        <v>1340</v>
      </c>
      <c r="V6240">
        <v>55</v>
      </c>
      <c r="W6240">
        <v>1</v>
      </c>
      <c r="X6240">
        <v>0</v>
      </c>
      <c r="Z6240">
        <v>128.74</v>
      </c>
      <c r="AA6240">
        <v>40.594431</v>
      </c>
      <c r="AB6240">
        <v>-74.076863</v>
      </c>
      <c r="AD6240" t="s">
        <v>10840</v>
      </c>
      <c r="AG6240" t="s">
        <v>10858</v>
      </c>
      <c r="AH6240" t="s">
        <v>10861</v>
      </c>
      <c r="AI6240">
        <v>234</v>
      </c>
      <c r="AJ6240" t="s">
        <v>10214</v>
      </c>
      <c r="AL6240">
        <v>1</v>
      </c>
      <c r="AM6240" t="s">
        <v>10883</v>
      </c>
      <c r="AN6240" t="s">
        <v>10915</v>
      </c>
      <c r="AO6240" t="s">
        <v>11006</v>
      </c>
      <c r="AP6240" t="s">
        <v>11063</v>
      </c>
      <c r="AR6240" t="s">
        <v>11584</v>
      </c>
      <c r="AS6240" t="s">
        <v>11593</v>
      </c>
      <c r="AT6240" t="s">
        <v>11642</v>
      </c>
      <c r="AX6240" t="s">
        <v>10838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</row>
    <row r="6241" spans="1:59">
      <c r="A6241" s="1">
        <f>HYPERLINK("https://lsnyc.legalserver.org/matter/dynamic-profile/view/1910565","19-1910565")</f>
        <v>0</v>
      </c>
      <c r="B6241" t="s">
        <v>4813</v>
      </c>
      <c r="C6241" t="s">
        <v>9705</v>
      </c>
      <c r="D6241" t="s">
        <v>9928</v>
      </c>
      <c r="E6241" t="s">
        <v>10075</v>
      </c>
      <c r="F6241">
        <v>11225</v>
      </c>
      <c r="G6241" t="s">
        <v>10093</v>
      </c>
      <c r="H6241" t="s">
        <v>10157</v>
      </c>
      <c r="I6241" t="s">
        <v>10168</v>
      </c>
      <c r="J6241" t="s">
        <v>10213</v>
      </c>
      <c r="K6241" t="s">
        <v>10217</v>
      </c>
      <c r="M6241" t="s">
        <v>10358</v>
      </c>
      <c r="N6241" t="s">
        <v>10671</v>
      </c>
      <c r="P6241" t="s">
        <v>10752</v>
      </c>
      <c r="Q6241" t="s">
        <v>10783</v>
      </c>
      <c r="R6241" t="s">
        <v>10824</v>
      </c>
      <c r="T6241">
        <v>7236</v>
      </c>
      <c r="U6241">
        <v>603</v>
      </c>
      <c r="V6241">
        <v>74</v>
      </c>
      <c r="W6241">
        <v>1</v>
      </c>
      <c r="X6241">
        <v>0</v>
      </c>
      <c r="Z6241">
        <v>57.93</v>
      </c>
      <c r="AA6241">
        <v>40.662682</v>
      </c>
      <c r="AB6241">
        <v>-73.94934600000001</v>
      </c>
      <c r="AD6241" t="s">
        <v>10839</v>
      </c>
      <c r="AG6241" t="s">
        <v>10858</v>
      </c>
      <c r="AH6241" t="s">
        <v>10861</v>
      </c>
      <c r="AI6241">
        <v>234</v>
      </c>
      <c r="AJ6241" t="s">
        <v>10214</v>
      </c>
      <c r="AL6241">
        <v>2.5</v>
      </c>
      <c r="AM6241" t="s">
        <v>10888</v>
      </c>
      <c r="AN6241" t="s">
        <v>10912</v>
      </c>
      <c r="AO6241" t="s">
        <v>11005</v>
      </c>
      <c r="AP6241" t="s">
        <v>11050</v>
      </c>
      <c r="AQ6241" t="s">
        <v>11184</v>
      </c>
      <c r="AR6241" t="s">
        <v>11316</v>
      </c>
      <c r="AS6241" t="s">
        <v>11595</v>
      </c>
      <c r="AT6241" t="s">
        <v>11641</v>
      </c>
      <c r="AX6241" t="s">
        <v>10838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</row>
    <row r="6242" spans="1:59">
      <c r="A6242" s="1">
        <f>HYPERLINK("https://lsnyc.legalserver.org/matter/dynamic-profile/view/1910566","19-1910566")</f>
        <v>0</v>
      </c>
      <c r="B6242" t="s">
        <v>4814</v>
      </c>
      <c r="C6242" t="s">
        <v>9706</v>
      </c>
      <c r="D6242" t="s">
        <v>9940</v>
      </c>
      <c r="E6242" t="s">
        <v>10075</v>
      </c>
      <c r="F6242">
        <v>11421</v>
      </c>
      <c r="G6242" t="s">
        <v>10091</v>
      </c>
      <c r="H6242" t="s">
        <v>10157</v>
      </c>
      <c r="I6242" t="s">
        <v>10168</v>
      </c>
      <c r="J6242" t="s">
        <v>10214</v>
      </c>
      <c r="K6242" t="s">
        <v>10217</v>
      </c>
      <c r="M6242" t="s">
        <v>10537</v>
      </c>
      <c r="N6242" t="s">
        <v>10671</v>
      </c>
      <c r="P6242" t="s">
        <v>10753</v>
      </c>
      <c r="Q6242" t="s">
        <v>10763</v>
      </c>
      <c r="R6242" t="s">
        <v>10824</v>
      </c>
      <c r="T6242">
        <v>0</v>
      </c>
      <c r="U6242">
        <v>0</v>
      </c>
      <c r="V6242">
        <v>29</v>
      </c>
      <c r="W6242">
        <v>1</v>
      </c>
      <c r="X6242">
        <v>0</v>
      </c>
      <c r="Z6242">
        <v>0</v>
      </c>
      <c r="AA6242">
        <v>40.692793</v>
      </c>
      <c r="AB6242">
        <v>-73.857316</v>
      </c>
      <c r="AD6242" t="s">
        <v>10840</v>
      </c>
      <c r="AF6242" t="s">
        <v>10842</v>
      </c>
      <c r="AG6242" t="s">
        <v>10859</v>
      </c>
      <c r="AH6242" t="s">
        <v>10861</v>
      </c>
      <c r="AI6242">
        <v>234</v>
      </c>
      <c r="AJ6242" t="s">
        <v>10214</v>
      </c>
      <c r="AL6242">
        <v>0.5</v>
      </c>
      <c r="AM6242" t="s">
        <v>10886</v>
      </c>
      <c r="AN6242" t="s">
        <v>10945</v>
      </c>
      <c r="AO6242" t="s">
        <v>11024</v>
      </c>
      <c r="AP6242" t="s">
        <v>11088</v>
      </c>
      <c r="AR6242" t="s">
        <v>11267</v>
      </c>
      <c r="AS6242" t="s">
        <v>11594</v>
      </c>
      <c r="AT6242" t="s">
        <v>11642</v>
      </c>
      <c r="AX6242" t="s">
        <v>10837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</row>
    <row r="6243" spans="1:59">
      <c r="A6243" s="1">
        <f>HYPERLINK("https://lsnyc.legalserver.org/matter/dynamic-profile/view/1910567","19-1910567")</f>
        <v>0</v>
      </c>
      <c r="B6243" t="s">
        <v>4815</v>
      </c>
      <c r="C6243" t="s">
        <v>9707</v>
      </c>
      <c r="D6243" t="s">
        <v>9928</v>
      </c>
      <c r="E6243" t="s">
        <v>10075</v>
      </c>
      <c r="F6243">
        <v>11226</v>
      </c>
      <c r="G6243" t="s">
        <v>10093</v>
      </c>
      <c r="H6243" t="s">
        <v>10157</v>
      </c>
      <c r="I6243" t="s">
        <v>10168</v>
      </c>
      <c r="J6243" t="s">
        <v>10213</v>
      </c>
      <c r="K6243" t="s">
        <v>10217</v>
      </c>
      <c r="M6243" t="s">
        <v>10268</v>
      </c>
      <c r="N6243" t="s">
        <v>10671</v>
      </c>
      <c r="P6243" t="s">
        <v>10751</v>
      </c>
      <c r="Q6243" t="s">
        <v>10761</v>
      </c>
      <c r="R6243" t="s">
        <v>10824</v>
      </c>
      <c r="T6243">
        <v>16770</v>
      </c>
      <c r="U6243">
        <v>1397.5</v>
      </c>
      <c r="V6243">
        <v>64</v>
      </c>
      <c r="W6243">
        <v>2</v>
      </c>
      <c r="X6243">
        <v>0</v>
      </c>
      <c r="Z6243">
        <v>99.17</v>
      </c>
      <c r="AA6243">
        <v>40.651908</v>
      </c>
      <c r="AB6243">
        <v>-73.949843</v>
      </c>
      <c r="AD6243" t="s">
        <v>10839</v>
      </c>
      <c r="AG6243" t="s">
        <v>10858</v>
      </c>
      <c r="AH6243" t="s">
        <v>10862</v>
      </c>
      <c r="AI6243">
        <v>239</v>
      </c>
      <c r="AJ6243" t="s">
        <v>10213</v>
      </c>
      <c r="AL6243">
        <v>0</v>
      </c>
      <c r="AM6243" t="s">
        <v>10888</v>
      </c>
      <c r="AN6243" t="s">
        <v>10912</v>
      </c>
      <c r="AO6243" t="s">
        <v>11005</v>
      </c>
      <c r="AP6243" t="s">
        <v>11050</v>
      </c>
      <c r="AR6243" t="s">
        <v>11257</v>
      </c>
      <c r="AS6243" t="s">
        <v>11595</v>
      </c>
      <c r="BA6243" t="s">
        <v>11737</v>
      </c>
      <c r="BB6243">
        <v>0</v>
      </c>
      <c r="BC6243">
        <v>0</v>
      </c>
      <c r="BD6243">
        <v>0</v>
      </c>
      <c r="BE6243">
        <v>0</v>
      </c>
      <c r="BF6243">
        <v>3</v>
      </c>
      <c r="BG6243">
        <v>0</v>
      </c>
    </row>
    <row r="6244" spans="1:59">
      <c r="A6244" s="1">
        <f>HYPERLINK("https://lsnyc.legalserver.org/matter/dynamic-profile/view/1910568","19-1910568")</f>
        <v>0</v>
      </c>
      <c r="B6244" t="s">
        <v>4816</v>
      </c>
      <c r="C6244" t="s">
        <v>9708</v>
      </c>
      <c r="D6244" t="s">
        <v>9926</v>
      </c>
      <c r="E6244" t="s">
        <v>10075</v>
      </c>
      <c r="F6244">
        <v>10455</v>
      </c>
      <c r="G6244" t="s">
        <v>10091</v>
      </c>
      <c r="H6244" t="s">
        <v>10157</v>
      </c>
      <c r="I6244" t="s">
        <v>10169</v>
      </c>
      <c r="J6244" t="s">
        <v>10214</v>
      </c>
      <c r="K6244" t="s">
        <v>10217</v>
      </c>
      <c r="M6244" t="s">
        <v>10537</v>
      </c>
      <c r="N6244" t="s">
        <v>10671</v>
      </c>
      <c r="P6244" t="s">
        <v>10753</v>
      </c>
      <c r="Q6244" t="s">
        <v>10763</v>
      </c>
      <c r="R6244" t="s">
        <v>10821</v>
      </c>
      <c r="T6244">
        <v>20800</v>
      </c>
      <c r="U6244">
        <v>1733.33</v>
      </c>
      <c r="V6244">
        <v>51</v>
      </c>
      <c r="W6244">
        <v>1</v>
      </c>
      <c r="X6244">
        <v>0</v>
      </c>
      <c r="Z6244">
        <v>166.53</v>
      </c>
      <c r="AA6244">
        <v>40.815018</v>
      </c>
      <c r="AB6244">
        <v>-73.915775</v>
      </c>
      <c r="AD6244" t="s">
        <v>10839</v>
      </c>
      <c r="AF6244" t="s">
        <v>10844</v>
      </c>
      <c r="AG6244" t="s">
        <v>10859</v>
      </c>
      <c r="AH6244" t="s">
        <v>10861</v>
      </c>
      <c r="AI6244">
        <v>234</v>
      </c>
      <c r="AJ6244" t="s">
        <v>10214</v>
      </c>
      <c r="AL6244">
        <v>1</v>
      </c>
      <c r="AR6244" t="s">
        <v>11257</v>
      </c>
      <c r="AS6244" t="s">
        <v>9926</v>
      </c>
      <c r="AT6244" t="s">
        <v>11641</v>
      </c>
      <c r="AX6244" t="s">
        <v>10838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</row>
    <row r="6245" spans="1:59">
      <c r="A6245" s="1">
        <f>HYPERLINK("https://lsnyc.legalserver.org/matter/dynamic-profile/view/1910569","19-1910569")</f>
        <v>0</v>
      </c>
      <c r="B6245" t="s">
        <v>4817</v>
      </c>
      <c r="C6245" t="s">
        <v>9709</v>
      </c>
      <c r="D6245" t="s">
        <v>9928</v>
      </c>
      <c r="E6245" t="s">
        <v>10075</v>
      </c>
      <c r="F6245">
        <v>11232</v>
      </c>
      <c r="G6245" t="s">
        <v>10093</v>
      </c>
      <c r="H6245" t="s">
        <v>10157</v>
      </c>
      <c r="I6245" t="s">
        <v>10169</v>
      </c>
      <c r="J6245" t="s">
        <v>10213</v>
      </c>
      <c r="K6245" t="s">
        <v>10218</v>
      </c>
      <c r="L6245" t="s">
        <v>4843</v>
      </c>
      <c r="M6245" t="s">
        <v>10443</v>
      </c>
      <c r="N6245" t="s">
        <v>10657</v>
      </c>
      <c r="P6245" t="s">
        <v>10749</v>
      </c>
      <c r="Q6245" t="s">
        <v>10765</v>
      </c>
      <c r="R6245" t="s">
        <v>10821</v>
      </c>
      <c r="T6245">
        <v>24960</v>
      </c>
      <c r="U6245">
        <v>2080</v>
      </c>
      <c r="V6245">
        <v>60</v>
      </c>
      <c r="W6245">
        <v>3</v>
      </c>
      <c r="X6245">
        <v>0</v>
      </c>
      <c r="Y6245" t="s">
        <v>10829</v>
      </c>
      <c r="Z6245">
        <v>117.02</v>
      </c>
      <c r="AA6245">
        <v>40.660618</v>
      </c>
      <c r="AB6245">
        <v>-73.995007</v>
      </c>
      <c r="AD6245" t="s">
        <v>10840</v>
      </c>
      <c r="AF6245" t="s">
        <v>10847</v>
      </c>
      <c r="AG6245" t="s">
        <v>10859</v>
      </c>
      <c r="AH6245" t="s">
        <v>10862</v>
      </c>
      <c r="AI6245">
        <v>239</v>
      </c>
      <c r="AJ6245" t="s">
        <v>10213</v>
      </c>
      <c r="AK6245" t="s">
        <v>10838</v>
      </c>
      <c r="AL6245">
        <v>1.5</v>
      </c>
      <c r="AM6245" t="s">
        <v>10886</v>
      </c>
      <c r="AN6245" t="s">
        <v>10921</v>
      </c>
      <c r="AO6245" t="s">
        <v>11005</v>
      </c>
      <c r="AP6245" t="s">
        <v>11069</v>
      </c>
      <c r="AR6245" t="s">
        <v>11351</v>
      </c>
      <c r="AS6245" t="s">
        <v>11595</v>
      </c>
      <c r="AY6245" t="s">
        <v>10829</v>
      </c>
      <c r="AZ6245" t="s">
        <v>11681</v>
      </c>
      <c r="BA6245" t="s">
        <v>11741</v>
      </c>
      <c r="BB6245">
        <v>0</v>
      </c>
      <c r="BC6245">
        <v>0</v>
      </c>
      <c r="BD6245">
        <v>0</v>
      </c>
      <c r="BE6245">
        <v>0</v>
      </c>
      <c r="BF6245">
        <v>1</v>
      </c>
      <c r="BG6245">
        <v>0</v>
      </c>
    </row>
    <row r="6246" spans="1:59">
      <c r="A6246" s="1">
        <f>HYPERLINK("https://lsnyc.legalserver.org/matter/dynamic-profile/view/1910570","19-1910570")</f>
        <v>0</v>
      </c>
      <c r="B6246" t="s">
        <v>4818</v>
      </c>
      <c r="C6246" t="s">
        <v>9710</v>
      </c>
      <c r="D6246" t="s">
        <v>9925</v>
      </c>
      <c r="E6246" t="s">
        <v>10075</v>
      </c>
      <c r="F6246">
        <v>10025</v>
      </c>
      <c r="G6246" t="s">
        <v>10089</v>
      </c>
      <c r="H6246" t="s">
        <v>10157</v>
      </c>
      <c r="I6246" t="s">
        <v>10168</v>
      </c>
      <c r="J6246" t="s">
        <v>10209</v>
      </c>
      <c r="K6246" t="s">
        <v>10217</v>
      </c>
      <c r="M6246" t="s">
        <v>10388</v>
      </c>
      <c r="N6246" t="s">
        <v>10702</v>
      </c>
      <c r="P6246" t="s">
        <v>10749</v>
      </c>
      <c r="Q6246" t="s">
        <v>10765</v>
      </c>
      <c r="R6246" t="s">
        <v>10824</v>
      </c>
      <c r="T6246">
        <v>1861.6</v>
      </c>
      <c r="U6246">
        <v>155.13</v>
      </c>
      <c r="V6246">
        <v>56</v>
      </c>
      <c r="W6246">
        <v>1</v>
      </c>
      <c r="X6246">
        <v>0</v>
      </c>
      <c r="Z6246">
        <v>14.9</v>
      </c>
      <c r="AA6246">
        <v>40.800943</v>
      </c>
      <c r="AB6246">
        <v>-73.96187</v>
      </c>
      <c r="AD6246" t="s">
        <v>10839</v>
      </c>
      <c r="AG6246" t="s">
        <v>10858</v>
      </c>
      <c r="AH6246" t="s">
        <v>10862</v>
      </c>
      <c r="AI6246">
        <v>236</v>
      </c>
      <c r="AJ6246" t="s">
        <v>10209</v>
      </c>
      <c r="AL6246">
        <v>3</v>
      </c>
      <c r="AM6246" t="s">
        <v>10887</v>
      </c>
      <c r="AN6246" t="s">
        <v>10953</v>
      </c>
      <c r="AO6246" t="s">
        <v>11016</v>
      </c>
      <c r="AP6246" t="s">
        <v>11073</v>
      </c>
      <c r="AR6246" t="s">
        <v>11255</v>
      </c>
      <c r="AS6246" t="s">
        <v>9925</v>
      </c>
      <c r="BA6246" t="s">
        <v>11738</v>
      </c>
      <c r="BB6246">
        <v>0</v>
      </c>
      <c r="BC6246">
        <v>0</v>
      </c>
      <c r="BD6246">
        <v>0</v>
      </c>
      <c r="BE6246">
        <v>0</v>
      </c>
      <c r="BF6246">
        <v>5</v>
      </c>
      <c r="BG6246">
        <v>0</v>
      </c>
    </row>
    <row r="6247" spans="1:59">
      <c r="A6247" s="1">
        <f>HYPERLINK("https://lsnyc.legalserver.org/matter/dynamic-profile/view/1910572","19-1910572")</f>
        <v>0</v>
      </c>
      <c r="B6247" t="s">
        <v>4819</v>
      </c>
      <c r="C6247" t="s">
        <v>9339</v>
      </c>
      <c r="D6247" t="s">
        <v>9926</v>
      </c>
      <c r="E6247" t="s">
        <v>10075</v>
      </c>
      <c r="F6247">
        <v>10457</v>
      </c>
      <c r="G6247" t="s">
        <v>10090</v>
      </c>
      <c r="H6247" t="s">
        <v>10157</v>
      </c>
      <c r="I6247" t="s">
        <v>10169</v>
      </c>
      <c r="J6247" t="s">
        <v>10210</v>
      </c>
      <c r="K6247" t="s">
        <v>10217</v>
      </c>
      <c r="M6247" t="s">
        <v>10380</v>
      </c>
      <c r="N6247" t="s">
        <v>10671</v>
      </c>
      <c r="P6247" t="s">
        <v>10753</v>
      </c>
      <c r="Q6247" t="s">
        <v>10763</v>
      </c>
      <c r="R6247" t="s">
        <v>10821</v>
      </c>
      <c r="T6247">
        <v>0</v>
      </c>
      <c r="U6247">
        <v>0</v>
      </c>
      <c r="V6247">
        <v>59</v>
      </c>
      <c r="W6247">
        <v>1</v>
      </c>
      <c r="X6247">
        <v>0</v>
      </c>
      <c r="Z6247">
        <v>0</v>
      </c>
      <c r="AA6247">
        <v>40.845219</v>
      </c>
      <c r="AB6247">
        <v>-73.904521</v>
      </c>
      <c r="AD6247" t="s">
        <v>10839</v>
      </c>
      <c r="AF6247" t="s">
        <v>10844</v>
      </c>
      <c r="AG6247" t="s">
        <v>10859</v>
      </c>
      <c r="AH6247" t="s">
        <v>10861</v>
      </c>
      <c r="AI6247">
        <v>234</v>
      </c>
      <c r="AJ6247" t="s">
        <v>10214</v>
      </c>
      <c r="AL6247">
        <v>0.7</v>
      </c>
      <c r="AQ6247" t="s">
        <v>11142</v>
      </c>
      <c r="AR6247" t="s">
        <v>11267</v>
      </c>
      <c r="AS6247" t="s">
        <v>9926</v>
      </c>
      <c r="AT6247" t="s">
        <v>11641</v>
      </c>
      <c r="AX6247" t="s">
        <v>10838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</row>
    <row r="6248" spans="1:59">
      <c r="A6248" s="1">
        <f>HYPERLINK("https://lsnyc.legalserver.org/matter/dynamic-profile/view/1910573","19-1910573")</f>
        <v>0</v>
      </c>
      <c r="B6248" t="s">
        <v>4820</v>
      </c>
      <c r="C6248" t="s">
        <v>9711</v>
      </c>
      <c r="D6248" t="s">
        <v>9928</v>
      </c>
      <c r="E6248" t="s">
        <v>10075</v>
      </c>
      <c r="F6248">
        <v>11212</v>
      </c>
      <c r="G6248" t="s">
        <v>10093</v>
      </c>
      <c r="H6248" t="s">
        <v>10157</v>
      </c>
      <c r="I6248" t="s">
        <v>10168</v>
      </c>
      <c r="J6248" t="s">
        <v>10213</v>
      </c>
      <c r="K6248" t="s">
        <v>10217</v>
      </c>
      <c r="M6248" t="s">
        <v>10245</v>
      </c>
      <c r="N6248" t="s">
        <v>10657</v>
      </c>
      <c r="P6248" t="s">
        <v>10749</v>
      </c>
      <c r="Q6248" t="s">
        <v>10791</v>
      </c>
      <c r="R6248" t="s">
        <v>10824</v>
      </c>
      <c r="T6248">
        <v>0</v>
      </c>
      <c r="U6248">
        <v>0</v>
      </c>
      <c r="V6248">
        <v>41</v>
      </c>
      <c r="W6248">
        <v>2</v>
      </c>
      <c r="X6248">
        <v>1</v>
      </c>
      <c r="Z6248">
        <v>0</v>
      </c>
      <c r="AA6248">
        <v>40.66469</v>
      </c>
      <c r="AB6248">
        <v>-73.92790599999999</v>
      </c>
      <c r="AD6248" t="s">
        <v>10839</v>
      </c>
      <c r="AG6248" t="s">
        <v>10858</v>
      </c>
      <c r="AH6248" t="s">
        <v>10862</v>
      </c>
      <c r="AI6248">
        <v>239</v>
      </c>
      <c r="AJ6248" t="s">
        <v>10213</v>
      </c>
      <c r="AL6248">
        <v>1.1</v>
      </c>
      <c r="AM6248" t="s">
        <v>10888</v>
      </c>
      <c r="AN6248" t="s">
        <v>10922</v>
      </c>
      <c r="AO6248" t="s">
        <v>11005</v>
      </c>
      <c r="AP6248" t="s">
        <v>11064</v>
      </c>
      <c r="AR6248" t="s">
        <v>11267</v>
      </c>
      <c r="AS6248" t="s">
        <v>11595</v>
      </c>
      <c r="BA6248" t="s">
        <v>11742</v>
      </c>
      <c r="BB6248">
        <v>0</v>
      </c>
      <c r="BC6248">
        <v>0</v>
      </c>
      <c r="BD6248">
        <v>0</v>
      </c>
      <c r="BE6248">
        <v>0</v>
      </c>
      <c r="BF6248">
        <v>7</v>
      </c>
      <c r="BG6248">
        <v>0</v>
      </c>
    </row>
    <row r="6249" spans="1:59">
      <c r="A6249" s="1">
        <f>HYPERLINK("https://lsnyc.legalserver.org/matter/dynamic-profile/view/1910574","19-1910574")</f>
        <v>0</v>
      </c>
      <c r="B6249" t="s">
        <v>4439</v>
      </c>
      <c r="C6249" t="s">
        <v>9302</v>
      </c>
      <c r="D6249" t="s">
        <v>9925</v>
      </c>
      <c r="E6249" t="s">
        <v>10075</v>
      </c>
      <c r="F6249">
        <v>10031</v>
      </c>
      <c r="G6249" t="s">
        <v>10089</v>
      </c>
      <c r="H6249" t="s">
        <v>10157</v>
      </c>
      <c r="I6249" t="s">
        <v>10168</v>
      </c>
      <c r="J6249" t="s">
        <v>10209</v>
      </c>
      <c r="K6249" t="s">
        <v>10217</v>
      </c>
      <c r="M6249" t="s">
        <v>10267</v>
      </c>
      <c r="N6249" t="s">
        <v>10688</v>
      </c>
      <c r="P6249" t="s">
        <v>10751</v>
      </c>
      <c r="Q6249" t="s">
        <v>10776</v>
      </c>
      <c r="R6249" t="s">
        <v>10825</v>
      </c>
      <c r="T6249">
        <v>18200</v>
      </c>
      <c r="U6249">
        <v>1516.67</v>
      </c>
      <c r="V6249">
        <v>35</v>
      </c>
      <c r="W6249">
        <v>1</v>
      </c>
      <c r="X6249">
        <v>2</v>
      </c>
      <c r="Z6249">
        <v>85.33</v>
      </c>
      <c r="AA6249">
        <v>40.828292</v>
      </c>
      <c r="AB6249">
        <v>-73.941243</v>
      </c>
      <c r="AD6249" t="s">
        <v>10840</v>
      </c>
      <c r="AG6249" t="s">
        <v>10858</v>
      </c>
      <c r="AH6249" t="s">
        <v>10862</v>
      </c>
      <c r="AI6249">
        <v>236</v>
      </c>
      <c r="AJ6249" t="s">
        <v>10209</v>
      </c>
      <c r="AL6249">
        <v>3</v>
      </c>
      <c r="AR6249" t="s">
        <v>11257</v>
      </c>
      <c r="AS6249" t="s">
        <v>9925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</row>
    <row r="6250" spans="1:59">
      <c r="A6250" s="1">
        <f>HYPERLINK("https://lsnyc.legalserver.org/matter/dynamic-profile/view/1910575","19-1910575")</f>
        <v>0</v>
      </c>
      <c r="B6250" t="s">
        <v>1588</v>
      </c>
      <c r="C6250" t="s">
        <v>8516</v>
      </c>
      <c r="D6250" t="s">
        <v>9925</v>
      </c>
      <c r="E6250" t="s">
        <v>10075</v>
      </c>
      <c r="F6250">
        <v>10031</v>
      </c>
      <c r="G6250" t="s">
        <v>10089</v>
      </c>
      <c r="H6250" t="s">
        <v>10157</v>
      </c>
      <c r="I6250" t="s">
        <v>10168</v>
      </c>
      <c r="J6250" t="s">
        <v>10209</v>
      </c>
      <c r="K6250" t="s">
        <v>10217</v>
      </c>
      <c r="M6250" t="s">
        <v>10267</v>
      </c>
      <c r="N6250" t="s">
        <v>10688</v>
      </c>
      <c r="P6250" t="s">
        <v>10751</v>
      </c>
      <c r="Q6250" t="s">
        <v>10776</v>
      </c>
      <c r="R6250" t="s">
        <v>10821</v>
      </c>
      <c r="T6250">
        <v>12770</v>
      </c>
      <c r="U6250">
        <v>1064.17</v>
      </c>
      <c r="V6250">
        <v>48</v>
      </c>
      <c r="W6250">
        <v>1</v>
      </c>
      <c r="X6250">
        <v>2</v>
      </c>
      <c r="Z6250">
        <v>59.87</v>
      </c>
      <c r="AA6250">
        <v>40.819371</v>
      </c>
      <c r="AB6250">
        <v>-73.952583</v>
      </c>
      <c r="AD6250" t="s">
        <v>10839</v>
      </c>
      <c r="AG6250" t="s">
        <v>10858</v>
      </c>
      <c r="AH6250" t="s">
        <v>10862</v>
      </c>
      <c r="AI6250">
        <v>236</v>
      </c>
      <c r="AJ6250" t="s">
        <v>10209</v>
      </c>
      <c r="AL6250">
        <v>5.45</v>
      </c>
      <c r="AR6250" t="s">
        <v>11571</v>
      </c>
      <c r="AS6250" t="s">
        <v>9925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</row>
    <row r="6251" spans="1:59">
      <c r="A6251" s="1">
        <f>HYPERLINK("https://lsnyc.legalserver.org/matter/dynamic-profile/view/1910576","19-1910576")</f>
        <v>0</v>
      </c>
      <c r="B6251" t="s">
        <v>845</v>
      </c>
      <c r="C6251" t="s">
        <v>9283</v>
      </c>
      <c r="D6251" t="s">
        <v>9925</v>
      </c>
      <c r="E6251" t="s">
        <v>10075</v>
      </c>
      <c r="F6251">
        <v>10027</v>
      </c>
      <c r="G6251" t="s">
        <v>10089</v>
      </c>
      <c r="H6251" t="s">
        <v>10157</v>
      </c>
      <c r="I6251" t="s">
        <v>10168</v>
      </c>
      <c r="J6251" t="s">
        <v>10209</v>
      </c>
      <c r="K6251" t="s">
        <v>10217</v>
      </c>
      <c r="M6251" t="s">
        <v>10267</v>
      </c>
      <c r="N6251" t="s">
        <v>10688</v>
      </c>
      <c r="P6251" t="s">
        <v>10751</v>
      </c>
      <c r="Q6251" t="s">
        <v>10776</v>
      </c>
      <c r="R6251" t="s">
        <v>10824</v>
      </c>
      <c r="T6251">
        <v>0</v>
      </c>
      <c r="U6251">
        <v>0</v>
      </c>
      <c r="V6251">
        <v>54</v>
      </c>
      <c r="W6251">
        <v>1</v>
      </c>
      <c r="X6251">
        <v>0</v>
      </c>
      <c r="Z6251">
        <v>0</v>
      </c>
      <c r="AA6251">
        <v>40.806707</v>
      </c>
      <c r="AB6251">
        <v>-73.950472</v>
      </c>
      <c r="AD6251" t="s">
        <v>10839</v>
      </c>
      <c r="AG6251" t="s">
        <v>10858</v>
      </c>
      <c r="AH6251" t="s">
        <v>10862</v>
      </c>
      <c r="AI6251">
        <v>236</v>
      </c>
      <c r="AJ6251" t="s">
        <v>10209</v>
      </c>
      <c r="AL6251">
        <v>2.7</v>
      </c>
      <c r="AR6251" t="s">
        <v>11267</v>
      </c>
      <c r="AS6251" t="s">
        <v>9925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</row>
    <row r="6252" spans="1:59">
      <c r="A6252" s="1">
        <f>HYPERLINK("https://lsnyc.legalserver.org/matter/dynamic-profile/view/1910577","19-1910577")</f>
        <v>0</v>
      </c>
      <c r="B6252" t="s">
        <v>4821</v>
      </c>
      <c r="C6252" t="s">
        <v>9712</v>
      </c>
      <c r="D6252" t="s">
        <v>9926</v>
      </c>
      <c r="E6252" t="s">
        <v>10075</v>
      </c>
      <c r="F6252">
        <v>10461</v>
      </c>
      <c r="G6252" t="s">
        <v>10090</v>
      </c>
      <c r="H6252" t="s">
        <v>10157</v>
      </c>
      <c r="I6252" t="s">
        <v>10169</v>
      </c>
      <c r="J6252" t="s">
        <v>10210</v>
      </c>
      <c r="K6252" t="s">
        <v>10217</v>
      </c>
      <c r="M6252" t="s">
        <v>10303</v>
      </c>
      <c r="N6252" t="s">
        <v>10682</v>
      </c>
      <c r="P6252" t="s">
        <v>10757</v>
      </c>
      <c r="Q6252" t="s">
        <v>10789</v>
      </c>
      <c r="R6252" t="s">
        <v>10823</v>
      </c>
      <c r="T6252">
        <v>790</v>
      </c>
      <c r="U6252">
        <v>65.83</v>
      </c>
      <c r="V6252">
        <v>49</v>
      </c>
      <c r="W6252">
        <v>1</v>
      </c>
      <c r="X6252">
        <v>0</v>
      </c>
      <c r="Z6252">
        <v>6.33</v>
      </c>
      <c r="AA6252">
        <v>40.842006</v>
      </c>
      <c r="AB6252">
        <v>-73.849131</v>
      </c>
      <c r="AD6252" t="s">
        <v>10839</v>
      </c>
      <c r="AG6252" t="s">
        <v>10858</v>
      </c>
      <c r="AH6252" t="s">
        <v>10881</v>
      </c>
      <c r="AI6252">
        <v>230</v>
      </c>
      <c r="AJ6252" t="s">
        <v>10210</v>
      </c>
      <c r="AL6252">
        <v>3</v>
      </c>
      <c r="AM6252" t="s">
        <v>10885</v>
      </c>
      <c r="AN6252" t="s">
        <v>10908</v>
      </c>
      <c r="AO6252" t="s">
        <v>11001</v>
      </c>
      <c r="AP6252" t="s">
        <v>11049</v>
      </c>
      <c r="AQ6252" t="s">
        <v>11121</v>
      </c>
      <c r="AR6252" t="s">
        <v>11274</v>
      </c>
      <c r="AS6252" t="s">
        <v>9926</v>
      </c>
      <c r="AT6252" t="s">
        <v>11641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</row>
    <row r="6253" spans="1:59">
      <c r="A6253" s="1">
        <f>HYPERLINK("https://lsnyc.legalserver.org/matter/dynamic-profile/view/1910578","19-1910578")</f>
        <v>0</v>
      </c>
      <c r="B6253" t="s">
        <v>4822</v>
      </c>
      <c r="C6253" t="s">
        <v>9713</v>
      </c>
      <c r="D6253" t="s">
        <v>9939</v>
      </c>
      <c r="E6253" t="s">
        <v>10075</v>
      </c>
      <c r="F6253">
        <v>11419</v>
      </c>
      <c r="G6253" t="s">
        <v>10092</v>
      </c>
      <c r="H6253" t="s">
        <v>10157</v>
      </c>
      <c r="J6253" t="s">
        <v>10212</v>
      </c>
      <c r="K6253" t="s">
        <v>10217</v>
      </c>
      <c r="M6253" t="s">
        <v>10374</v>
      </c>
      <c r="N6253" t="s">
        <v>10745</v>
      </c>
      <c r="P6253" t="s">
        <v>10754</v>
      </c>
      <c r="Q6253" t="s">
        <v>10775</v>
      </c>
      <c r="R6253" t="s">
        <v>10824</v>
      </c>
      <c r="T6253">
        <v>15600</v>
      </c>
      <c r="U6253">
        <v>1300</v>
      </c>
      <c r="V6253">
        <v>49</v>
      </c>
      <c r="W6253">
        <v>1</v>
      </c>
      <c r="X6253">
        <v>1</v>
      </c>
      <c r="Z6253">
        <v>92.25</v>
      </c>
      <c r="AA6253">
        <v>40.684587</v>
      </c>
      <c r="AB6253">
        <v>-73.81641999999999</v>
      </c>
      <c r="AD6253" t="s">
        <v>10839</v>
      </c>
      <c r="AG6253" t="s">
        <v>10858</v>
      </c>
      <c r="AH6253" t="s">
        <v>10865</v>
      </c>
      <c r="AI6253">
        <v>237</v>
      </c>
      <c r="AJ6253" t="s">
        <v>10212</v>
      </c>
      <c r="AL6253">
        <v>1.5</v>
      </c>
      <c r="AM6253" t="s">
        <v>10892</v>
      </c>
      <c r="AN6253" t="s">
        <v>10944</v>
      </c>
      <c r="AO6253" t="s">
        <v>11017</v>
      </c>
      <c r="AP6253" t="s">
        <v>11070</v>
      </c>
      <c r="AR6253" t="s">
        <v>11257</v>
      </c>
      <c r="AS6253" t="s">
        <v>11594</v>
      </c>
      <c r="AT6253" t="s">
        <v>11641</v>
      </c>
      <c r="AX6253" t="s">
        <v>10838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</row>
    <row r="6254" spans="1:59">
      <c r="A6254" s="1">
        <f>HYPERLINK("https://lsnyc.legalserver.org/matter/dynamic-profile/view/1910579","19-1910579")</f>
        <v>0</v>
      </c>
      <c r="B6254" t="s">
        <v>4372</v>
      </c>
      <c r="C6254" t="s">
        <v>9224</v>
      </c>
      <c r="D6254" t="s">
        <v>9926</v>
      </c>
      <c r="E6254" t="s">
        <v>10075</v>
      </c>
      <c r="F6254">
        <v>10468</v>
      </c>
      <c r="G6254" t="s">
        <v>10090</v>
      </c>
      <c r="H6254" t="s">
        <v>10157</v>
      </c>
      <c r="I6254" t="s">
        <v>10169</v>
      </c>
      <c r="J6254" t="s">
        <v>10210</v>
      </c>
      <c r="K6254" t="s">
        <v>10217</v>
      </c>
      <c r="M6254" t="s">
        <v>10596</v>
      </c>
      <c r="N6254" t="s">
        <v>10705</v>
      </c>
      <c r="P6254" t="s">
        <v>10753</v>
      </c>
      <c r="Q6254" t="s">
        <v>10790</v>
      </c>
      <c r="R6254" t="s">
        <v>10823</v>
      </c>
      <c r="T6254">
        <v>8320</v>
      </c>
      <c r="U6254">
        <v>693.33</v>
      </c>
      <c r="V6254">
        <v>49</v>
      </c>
      <c r="W6254">
        <v>3</v>
      </c>
      <c r="X6254">
        <v>0</v>
      </c>
      <c r="Z6254">
        <v>39.01</v>
      </c>
      <c r="AA6254">
        <v>40.863843</v>
      </c>
      <c r="AB6254">
        <v>-73.902776</v>
      </c>
      <c r="AD6254" t="s">
        <v>10839</v>
      </c>
      <c r="AG6254" t="s">
        <v>10858</v>
      </c>
      <c r="AH6254" t="s">
        <v>10861</v>
      </c>
      <c r="AI6254">
        <v>234</v>
      </c>
      <c r="AJ6254" t="s">
        <v>10214</v>
      </c>
      <c r="AL6254">
        <v>0.25</v>
      </c>
      <c r="AR6254" t="s">
        <v>11276</v>
      </c>
      <c r="AS6254" t="s">
        <v>9926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</row>
    <row r="6255" spans="1:59">
      <c r="A6255" s="1">
        <f>HYPERLINK("https://lsnyc.legalserver.org/matter/dynamic-profile/view/1910580","19-1910580")</f>
        <v>0</v>
      </c>
      <c r="B6255" t="s">
        <v>4823</v>
      </c>
      <c r="C6255" t="s">
        <v>9714</v>
      </c>
      <c r="D6255" t="s">
        <v>9928</v>
      </c>
      <c r="E6255" t="s">
        <v>10075</v>
      </c>
      <c r="F6255">
        <v>11213</v>
      </c>
      <c r="G6255" t="s">
        <v>10093</v>
      </c>
      <c r="H6255" t="s">
        <v>10157</v>
      </c>
      <c r="I6255" t="s">
        <v>10168</v>
      </c>
      <c r="J6255" t="s">
        <v>10213</v>
      </c>
      <c r="K6255" t="s">
        <v>10217</v>
      </c>
      <c r="M6255" t="s">
        <v>10245</v>
      </c>
      <c r="N6255" t="s">
        <v>10657</v>
      </c>
      <c r="P6255" t="s">
        <v>10749</v>
      </c>
      <c r="Q6255" t="s">
        <v>10765</v>
      </c>
      <c r="R6255" t="s">
        <v>10824</v>
      </c>
      <c r="T6255">
        <v>14400</v>
      </c>
      <c r="U6255">
        <v>1200</v>
      </c>
      <c r="V6255">
        <v>36</v>
      </c>
      <c r="W6255">
        <v>2</v>
      </c>
      <c r="X6255">
        <v>0</v>
      </c>
      <c r="Z6255">
        <v>85.16</v>
      </c>
      <c r="AA6255">
        <v>40.672589</v>
      </c>
      <c r="AB6255">
        <v>-73.931585</v>
      </c>
      <c r="AD6255" t="s">
        <v>10839</v>
      </c>
      <c r="AF6255" t="s">
        <v>10842</v>
      </c>
      <c r="AG6255" t="s">
        <v>10859</v>
      </c>
      <c r="AH6255" t="s">
        <v>10862</v>
      </c>
      <c r="AI6255">
        <v>239</v>
      </c>
      <c r="AJ6255" t="s">
        <v>10213</v>
      </c>
      <c r="AL6255">
        <v>2.15</v>
      </c>
      <c r="AM6255" t="s">
        <v>10888</v>
      </c>
      <c r="AN6255" t="s">
        <v>10914</v>
      </c>
      <c r="AO6255" t="s">
        <v>11007</v>
      </c>
      <c r="AP6255" t="s">
        <v>11052</v>
      </c>
      <c r="AR6255" t="s">
        <v>11257</v>
      </c>
      <c r="AS6255" t="s">
        <v>11595</v>
      </c>
      <c r="BA6255" t="s">
        <v>11742</v>
      </c>
      <c r="BB6255">
        <v>0</v>
      </c>
      <c r="BC6255">
        <v>0</v>
      </c>
      <c r="BD6255">
        <v>0</v>
      </c>
      <c r="BE6255">
        <v>0</v>
      </c>
      <c r="BF6255">
        <v>7</v>
      </c>
      <c r="BG6255">
        <v>0</v>
      </c>
    </row>
    <row r="6256" spans="1:59">
      <c r="A6256" s="1">
        <f>HYPERLINK("https://lsnyc.legalserver.org/matter/dynamic-profile/view/1910581","19-1910581")</f>
        <v>0</v>
      </c>
      <c r="B6256" t="s">
        <v>4824</v>
      </c>
      <c r="C6256" t="s">
        <v>8262</v>
      </c>
      <c r="D6256" t="s">
        <v>9928</v>
      </c>
      <c r="E6256" t="s">
        <v>10075</v>
      </c>
      <c r="F6256">
        <v>11213</v>
      </c>
      <c r="G6256" t="s">
        <v>10093</v>
      </c>
      <c r="H6256" t="s">
        <v>4843</v>
      </c>
      <c r="I6256" t="s">
        <v>10168</v>
      </c>
      <c r="J6256" t="s">
        <v>10213</v>
      </c>
      <c r="K6256" t="s">
        <v>10217</v>
      </c>
      <c r="M6256" t="s">
        <v>10621</v>
      </c>
      <c r="N6256" t="s">
        <v>10664</v>
      </c>
      <c r="P6256" t="s">
        <v>10749</v>
      </c>
      <c r="Q6256" t="s">
        <v>10765</v>
      </c>
      <c r="R6256" t="s">
        <v>10824</v>
      </c>
      <c r="T6256">
        <v>9696</v>
      </c>
      <c r="U6256">
        <v>808</v>
      </c>
      <c r="V6256">
        <v>64</v>
      </c>
      <c r="W6256">
        <v>2</v>
      </c>
      <c r="X6256">
        <v>1</v>
      </c>
      <c r="Z6256">
        <v>45.46</v>
      </c>
      <c r="AA6256">
        <v>40.676494</v>
      </c>
      <c r="AB6256">
        <v>-73.938519</v>
      </c>
      <c r="AD6256" t="s">
        <v>10839</v>
      </c>
      <c r="AG6256" t="s">
        <v>10858</v>
      </c>
      <c r="AH6256" t="s">
        <v>10862</v>
      </c>
      <c r="AI6256">
        <v>239</v>
      </c>
      <c r="AJ6256" t="s">
        <v>10213</v>
      </c>
      <c r="AL6256">
        <v>0</v>
      </c>
      <c r="AM6256" t="s">
        <v>10889</v>
      </c>
      <c r="AN6256" t="s">
        <v>10914</v>
      </c>
      <c r="AO6256" t="s">
        <v>11007</v>
      </c>
      <c r="AP6256" t="s">
        <v>11052</v>
      </c>
      <c r="AR6256" t="s">
        <v>11348</v>
      </c>
      <c r="AS6256" t="s">
        <v>11595</v>
      </c>
      <c r="AT6256" t="s">
        <v>11641</v>
      </c>
      <c r="AV6256" t="s">
        <v>11656</v>
      </c>
      <c r="AW6256" t="s">
        <v>11645</v>
      </c>
      <c r="AX6256" t="s">
        <v>10838</v>
      </c>
      <c r="BA6256" t="s">
        <v>11740</v>
      </c>
      <c r="BB6256">
        <v>0</v>
      </c>
      <c r="BC6256">
        <v>0</v>
      </c>
      <c r="BD6256">
        <v>0</v>
      </c>
      <c r="BE6256">
        <v>0</v>
      </c>
      <c r="BF6256">
        <v>2</v>
      </c>
      <c r="BG6256">
        <v>0</v>
      </c>
    </row>
    <row r="6257" spans="1:59">
      <c r="A6257" s="1">
        <f>HYPERLINK("https://lsnyc.legalserver.org/matter/dynamic-profile/view/1910582","19-1910582")</f>
        <v>0</v>
      </c>
      <c r="C6257" t="s">
        <v>9715</v>
      </c>
      <c r="D6257" t="s">
        <v>9926</v>
      </c>
      <c r="E6257" t="s">
        <v>10075</v>
      </c>
      <c r="F6257">
        <v>10454</v>
      </c>
      <c r="G6257" t="s">
        <v>10090</v>
      </c>
      <c r="H6257" t="s">
        <v>4843</v>
      </c>
      <c r="I6257" t="s">
        <v>10168</v>
      </c>
      <c r="J6257" t="s">
        <v>10210</v>
      </c>
      <c r="K6257" t="s">
        <v>10217</v>
      </c>
      <c r="M6257" t="s">
        <v>10279</v>
      </c>
      <c r="N6257" t="s">
        <v>10666</v>
      </c>
      <c r="P6257" t="s">
        <v>10749</v>
      </c>
      <c r="Q6257" t="s">
        <v>10765</v>
      </c>
      <c r="R6257" t="s">
        <v>10823</v>
      </c>
      <c r="T6257">
        <v>0</v>
      </c>
      <c r="U6257">
        <v>0</v>
      </c>
      <c r="V6257">
        <v>0</v>
      </c>
      <c r="W6257">
        <v>1</v>
      </c>
      <c r="X6257">
        <v>2</v>
      </c>
      <c r="Z6257">
        <v>0</v>
      </c>
      <c r="AA6257">
        <v>40.805994</v>
      </c>
      <c r="AB6257">
        <v>-73.913174</v>
      </c>
      <c r="AD6257" t="s">
        <v>10839</v>
      </c>
      <c r="AG6257" t="s">
        <v>10858</v>
      </c>
      <c r="AH6257" t="s">
        <v>10861</v>
      </c>
      <c r="AI6257">
        <v>230</v>
      </c>
      <c r="AJ6257" t="s">
        <v>10210</v>
      </c>
      <c r="AL6257">
        <v>0.5</v>
      </c>
      <c r="AM6257" t="s">
        <v>10884</v>
      </c>
      <c r="AN6257" t="s">
        <v>10924</v>
      </c>
      <c r="AO6257" t="s">
        <v>11013</v>
      </c>
      <c r="AP6257" t="s">
        <v>11066</v>
      </c>
      <c r="AR6257" t="s">
        <v>11266</v>
      </c>
      <c r="AS6257" t="s">
        <v>9926</v>
      </c>
      <c r="AT6257" t="s">
        <v>11641</v>
      </c>
      <c r="AX6257" t="s">
        <v>10838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</row>
    <row r="6258" spans="1:59">
      <c r="A6258" s="1">
        <f>HYPERLINK("https://lsnyc.legalserver.org/matter/dynamic-profile/view/1910583","19-1910583")</f>
        <v>0</v>
      </c>
      <c r="B6258" t="s">
        <v>4825</v>
      </c>
      <c r="C6258" t="s">
        <v>9716</v>
      </c>
      <c r="D6258" t="s">
        <v>9925</v>
      </c>
      <c r="E6258" t="s">
        <v>10075</v>
      </c>
      <c r="F6258">
        <v>10029</v>
      </c>
      <c r="G6258" t="s">
        <v>10089</v>
      </c>
      <c r="H6258" t="s">
        <v>4843</v>
      </c>
      <c r="I6258" t="s">
        <v>10168</v>
      </c>
      <c r="J6258" t="s">
        <v>10209</v>
      </c>
      <c r="K6258" t="s">
        <v>10217</v>
      </c>
      <c r="M6258" t="s">
        <v>10440</v>
      </c>
      <c r="N6258" t="s">
        <v>10650</v>
      </c>
      <c r="P6258" t="s">
        <v>10749</v>
      </c>
      <c r="Q6258" t="s">
        <v>10765</v>
      </c>
      <c r="R6258" t="s">
        <v>10821</v>
      </c>
      <c r="T6258">
        <v>10284</v>
      </c>
      <c r="U6258">
        <v>857</v>
      </c>
      <c r="V6258">
        <v>41</v>
      </c>
      <c r="W6258">
        <v>1</v>
      </c>
      <c r="X6258">
        <v>0</v>
      </c>
      <c r="Z6258">
        <v>82.34</v>
      </c>
      <c r="AA6258">
        <v>40.799791</v>
      </c>
      <c r="AB6258">
        <v>-73.943647</v>
      </c>
      <c r="AD6258" t="s">
        <v>10840</v>
      </c>
      <c r="AG6258" t="s">
        <v>10858</v>
      </c>
      <c r="AH6258" t="s">
        <v>10862</v>
      </c>
      <c r="AI6258">
        <v>236</v>
      </c>
      <c r="AJ6258" t="s">
        <v>10209</v>
      </c>
      <c r="AL6258">
        <v>0</v>
      </c>
      <c r="AM6258" t="s">
        <v>10887</v>
      </c>
      <c r="AN6258" t="s">
        <v>10926</v>
      </c>
      <c r="AO6258" t="s">
        <v>11016</v>
      </c>
      <c r="AP6258" t="s">
        <v>11066</v>
      </c>
      <c r="AR6258" t="s">
        <v>11274</v>
      </c>
      <c r="AS6258" t="s">
        <v>9925</v>
      </c>
      <c r="AT6258" t="s">
        <v>11642</v>
      </c>
      <c r="AX6258" t="s">
        <v>10838</v>
      </c>
      <c r="BA6258" t="s">
        <v>11742</v>
      </c>
      <c r="BB6258">
        <v>0</v>
      </c>
      <c r="BC6258">
        <v>0</v>
      </c>
      <c r="BD6258">
        <v>0</v>
      </c>
      <c r="BE6258">
        <v>0</v>
      </c>
      <c r="BF6258">
        <v>7</v>
      </c>
      <c r="BG6258">
        <v>0</v>
      </c>
    </row>
    <row r="6259" spans="1:59">
      <c r="A6259" s="1">
        <f>HYPERLINK("https://lsnyc.legalserver.org/matter/dynamic-profile/view/1910584","19-1910584")</f>
        <v>0</v>
      </c>
      <c r="B6259" t="s">
        <v>4826</v>
      </c>
      <c r="C6259" t="s">
        <v>9717</v>
      </c>
      <c r="D6259" t="s">
        <v>9929</v>
      </c>
      <c r="E6259" t="s">
        <v>10075</v>
      </c>
      <c r="F6259">
        <v>10314</v>
      </c>
      <c r="G6259" t="s">
        <v>10088</v>
      </c>
      <c r="H6259" t="s">
        <v>4843</v>
      </c>
      <c r="I6259" t="s">
        <v>10168</v>
      </c>
      <c r="J6259" t="s">
        <v>10208</v>
      </c>
      <c r="K6259" t="s">
        <v>10217</v>
      </c>
      <c r="M6259" t="s">
        <v>10254</v>
      </c>
      <c r="N6259" t="s">
        <v>10655</v>
      </c>
      <c r="P6259" t="s">
        <v>10749</v>
      </c>
      <c r="Q6259" t="s">
        <v>10765</v>
      </c>
      <c r="R6259" t="s">
        <v>10824</v>
      </c>
      <c r="T6259">
        <v>6500</v>
      </c>
      <c r="U6259">
        <v>541.67</v>
      </c>
      <c r="V6259">
        <v>27</v>
      </c>
      <c r="W6259">
        <v>1</v>
      </c>
      <c r="X6259">
        <v>3</v>
      </c>
      <c r="Z6259">
        <v>25.24</v>
      </c>
      <c r="AA6259">
        <v>40.608138</v>
      </c>
      <c r="AB6259">
        <v>-74.15847100000001</v>
      </c>
      <c r="AD6259" t="s">
        <v>10839</v>
      </c>
      <c r="AG6259" t="s">
        <v>10858</v>
      </c>
      <c r="AH6259" t="s">
        <v>10862</v>
      </c>
      <c r="AI6259">
        <v>285</v>
      </c>
      <c r="AJ6259" t="s">
        <v>10208</v>
      </c>
      <c r="AL6259">
        <v>0.15</v>
      </c>
      <c r="AM6259" t="s">
        <v>10883</v>
      </c>
      <c r="AN6259" t="s">
        <v>10928</v>
      </c>
      <c r="AO6259" t="s">
        <v>10999</v>
      </c>
      <c r="AP6259" t="s">
        <v>11063</v>
      </c>
      <c r="AR6259" t="s">
        <v>11255</v>
      </c>
      <c r="AS6259" t="s">
        <v>11593</v>
      </c>
      <c r="BA6259" t="s">
        <v>11738</v>
      </c>
      <c r="BB6259">
        <v>0</v>
      </c>
      <c r="BC6259">
        <v>0</v>
      </c>
      <c r="BD6259">
        <v>0</v>
      </c>
      <c r="BE6259">
        <v>0</v>
      </c>
      <c r="BF6259">
        <v>5</v>
      </c>
      <c r="BG6259">
        <v>0</v>
      </c>
    </row>
    <row r="6260" spans="1:59">
      <c r="A6260" s="1">
        <f>HYPERLINK("https://lsnyc.legalserver.org/matter/dynamic-profile/view/1910585","19-1910585")</f>
        <v>0</v>
      </c>
      <c r="B6260" t="s">
        <v>4827</v>
      </c>
      <c r="C6260" t="s">
        <v>9668</v>
      </c>
      <c r="D6260" t="s">
        <v>9928</v>
      </c>
      <c r="E6260" t="s">
        <v>10075</v>
      </c>
      <c r="F6260">
        <v>11224</v>
      </c>
      <c r="G6260" t="s">
        <v>10093</v>
      </c>
      <c r="H6260" t="s">
        <v>4843</v>
      </c>
      <c r="I6260" t="s">
        <v>10168</v>
      </c>
      <c r="J6260" t="s">
        <v>10213</v>
      </c>
      <c r="K6260" t="s">
        <v>10217</v>
      </c>
      <c r="M6260" t="s">
        <v>10528</v>
      </c>
      <c r="N6260" t="s">
        <v>10664</v>
      </c>
      <c r="P6260" t="s">
        <v>10749</v>
      </c>
      <c r="Q6260" t="s">
        <v>10765</v>
      </c>
      <c r="R6260" t="s">
        <v>10824</v>
      </c>
      <c r="T6260">
        <v>40408.8</v>
      </c>
      <c r="U6260">
        <v>3367.4</v>
      </c>
      <c r="V6260">
        <v>71</v>
      </c>
      <c r="W6260">
        <v>2</v>
      </c>
      <c r="X6260">
        <v>0</v>
      </c>
      <c r="Z6260">
        <v>238.96</v>
      </c>
      <c r="AA6260">
        <v>40.576794</v>
      </c>
      <c r="AB6260">
        <v>-73.991679</v>
      </c>
      <c r="AD6260" t="s">
        <v>10840</v>
      </c>
      <c r="AG6260" t="s">
        <v>10858</v>
      </c>
      <c r="AH6260" t="s">
        <v>10862</v>
      </c>
      <c r="AI6260">
        <v>239</v>
      </c>
      <c r="AJ6260" t="s">
        <v>10213</v>
      </c>
      <c r="AL6260">
        <v>4.65</v>
      </c>
      <c r="AM6260" t="s">
        <v>10889</v>
      </c>
      <c r="AN6260" t="s">
        <v>10960</v>
      </c>
      <c r="AO6260" t="s">
        <v>11006</v>
      </c>
      <c r="AP6260" t="s">
        <v>11087</v>
      </c>
      <c r="AR6260" t="s">
        <v>11263</v>
      </c>
      <c r="AS6260" t="s">
        <v>11595</v>
      </c>
      <c r="AT6260" t="s">
        <v>11642</v>
      </c>
      <c r="AV6260" t="s">
        <v>11655</v>
      </c>
      <c r="AW6260" t="s">
        <v>11666</v>
      </c>
      <c r="AX6260" t="s">
        <v>10838</v>
      </c>
      <c r="BA6260" t="s">
        <v>11737</v>
      </c>
      <c r="BB6260">
        <v>0</v>
      </c>
      <c r="BC6260">
        <v>0</v>
      </c>
      <c r="BD6260">
        <v>0</v>
      </c>
      <c r="BE6260">
        <v>0</v>
      </c>
      <c r="BF6260">
        <v>3</v>
      </c>
      <c r="BG6260">
        <v>0</v>
      </c>
    </row>
    <row r="6261" spans="1:59">
      <c r="A6261" s="1">
        <f>HYPERLINK("https://lsnyc.legalserver.org/matter/dynamic-profile/view/1910586","19-1910586")</f>
        <v>0</v>
      </c>
      <c r="B6261" t="s">
        <v>4828</v>
      </c>
      <c r="C6261" t="s">
        <v>9718</v>
      </c>
      <c r="D6261" t="s">
        <v>9928</v>
      </c>
      <c r="E6261" t="s">
        <v>10075</v>
      </c>
      <c r="F6261">
        <v>11223</v>
      </c>
      <c r="G6261" t="s">
        <v>10093</v>
      </c>
      <c r="H6261" t="s">
        <v>4843</v>
      </c>
      <c r="I6261" t="s">
        <v>10168</v>
      </c>
      <c r="J6261" t="s">
        <v>10213</v>
      </c>
      <c r="K6261" t="s">
        <v>10217</v>
      </c>
      <c r="M6261" t="s">
        <v>10405</v>
      </c>
      <c r="N6261" t="s">
        <v>10671</v>
      </c>
      <c r="P6261" t="s">
        <v>10749</v>
      </c>
      <c r="Q6261" t="s">
        <v>10765</v>
      </c>
      <c r="R6261" t="s">
        <v>10821</v>
      </c>
      <c r="T6261">
        <v>0</v>
      </c>
      <c r="U6261">
        <v>0</v>
      </c>
      <c r="V6261">
        <v>27</v>
      </c>
      <c r="W6261">
        <v>1</v>
      </c>
      <c r="X6261">
        <v>2</v>
      </c>
      <c r="Z6261">
        <v>0</v>
      </c>
      <c r="AA6261">
        <v>40.591282</v>
      </c>
      <c r="AB6261">
        <v>-73.98227799999999</v>
      </c>
      <c r="AD6261" t="s">
        <v>10839</v>
      </c>
      <c r="AG6261" t="s">
        <v>10858</v>
      </c>
      <c r="AH6261" t="s">
        <v>10861</v>
      </c>
      <c r="AI6261">
        <v>234</v>
      </c>
      <c r="AJ6261" t="s">
        <v>10214</v>
      </c>
      <c r="AL6261">
        <v>0.7</v>
      </c>
      <c r="AM6261" t="s">
        <v>10883</v>
      </c>
      <c r="AN6261" t="s">
        <v>10965</v>
      </c>
      <c r="AO6261" t="s">
        <v>11006</v>
      </c>
      <c r="AP6261" t="s">
        <v>11087</v>
      </c>
      <c r="AR6261" t="s">
        <v>11279</v>
      </c>
      <c r="AS6261" t="s">
        <v>11595</v>
      </c>
      <c r="AT6261" t="s">
        <v>11641</v>
      </c>
      <c r="AX6261" t="s">
        <v>10838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</row>
    <row r="6262" spans="1:59">
      <c r="A6262" s="1">
        <f>HYPERLINK("https://lsnyc.legalserver.org/matter/dynamic-profile/view/1910587","19-1910587")</f>
        <v>0</v>
      </c>
      <c r="B6262" t="s">
        <v>4829</v>
      </c>
      <c r="C6262" t="s">
        <v>9719</v>
      </c>
      <c r="D6262" t="s">
        <v>9948</v>
      </c>
      <c r="E6262" t="s">
        <v>10075</v>
      </c>
      <c r="F6262">
        <v>11691</v>
      </c>
      <c r="G6262" t="s">
        <v>10092</v>
      </c>
      <c r="H6262" t="s">
        <v>4843</v>
      </c>
      <c r="I6262" t="s">
        <v>10168</v>
      </c>
      <c r="J6262" t="s">
        <v>10212</v>
      </c>
      <c r="K6262" t="s">
        <v>10218</v>
      </c>
      <c r="L6262" t="s">
        <v>10221</v>
      </c>
      <c r="M6262" t="s">
        <v>10610</v>
      </c>
      <c r="N6262" t="s">
        <v>10695</v>
      </c>
      <c r="P6262" t="s">
        <v>10749</v>
      </c>
      <c r="Q6262" t="s">
        <v>10767</v>
      </c>
      <c r="R6262" t="s">
        <v>10824</v>
      </c>
      <c r="T6262">
        <v>16869</v>
      </c>
      <c r="U6262">
        <v>1405.75</v>
      </c>
      <c r="V6262">
        <v>41</v>
      </c>
      <c r="W6262">
        <v>1</v>
      </c>
      <c r="X6262">
        <v>0</v>
      </c>
      <c r="Y6262" t="s">
        <v>10829</v>
      </c>
      <c r="Z6262">
        <v>135.06</v>
      </c>
      <c r="AA6262">
        <v>40.610319</v>
      </c>
      <c r="AB6262">
        <v>-73.753072</v>
      </c>
      <c r="AD6262" t="s">
        <v>10839</v>
      </c>
      <c r="AG6262" t="s">
        <v>10858</v>
      </c>
      <c r="AH6262" t="s">
        <v>10862</v>
      </c>
      <c r="AI6262">
        <v>237</v>
      </c>
      <c r="AJ6262" t="s">
        <v>10212</v>
      </c>
      <c r="AK6262" t="s">
        <v>10882</v>
      </c>
      <c r="AL6262">
        <v>1.7</v>
      </c>
      <c r="AM6262" t="s">
        <v>10892</v>
      </c>
      <c r="AN6262" t="s">
        <v>10930</v>
      </c>
      <c r="AO6262" t="s">
        <v>11017</v>
      </c>
      <c r="AP6262" t="s">
        <v>11082</v>
      </c>
      <c r="AR6262" t="s">
        <v>11257</v>
      </c>
      <c r="AS6262" t="s">
        <v>11594</v>
      </c>
      <c r="AX6262" t="s">
        <v>10838</v>
      </c>
      <c r="AY6262" t="s">
        <v>10829</v>
      </c>
      <c r="AZ6262" t="s">
        <v>11681</v>
      </c>
      <c r="BA6262" t="s">
        <v>11741</v>
      </c>
      <c r="BB6262">
        <v>0</v>
      </c>
      <c r="BC6262">
        <v>0</v>
      </c>
      <c r="BD6262">
        <v>0</v>
      </c>
      <c r="BE6262">
        <v>0</v>
      </c>
      <c r="BF6262">
        <v>1</v>
      </c>
      <c r="BG6262">
        <v>0</v>
      </c>
    </row>
    <row r="6263" spans="1:59">
      <c r="A6263" s="1">
        <f>HYPERLINK("https://lsnyc.legalserver.org/matter/dynamic-profile/view/1910588","19-1910588")</f>
        <v>0</v>
      </c>
      <c r="B6263" t="s">
        <v>2835</v>
      </c>
      <c r="C6263" t="s">
        <v>9720</v>
      </c>
      <c r="D6263" t="s">
        <v>9936</v>
      </c>
      <c r="E6263" t="s">
        <v>10075</v>
      </c>
      <c r="F6263">
        <v>11102</v>
      </c>
      <c r="G6263" t="s">
        <v>10092</v>
      </c>
      <c r="H6263" t="s">
        <v>4843</v>
      </c>
      <c r="I6263" t="s">
        <v>10168</v>
      </c>
      <c r="J6263" t="s">
        <v>10212</v>
      </c>
      <c r="K6263" t="s">
        <v>10217</v>
      </c>
      <c r="M6263" t="s">
        <v>10374</v>
      </c>
      <c r="N6263" t="s">
        <v>10730</v>
      </c>
      <c r="P6263" t="s">
        <v>10754</v>
      </c>
      <c r="Q6263" t="s">
        <v>10777</v>
      </c>
      <c r="R6263" t="s">
        <v>10823</v>
      </c>
      <c r="T6263">
        <v>0</v>
      </c>
      <c r="U6263">
        <v>0</v>
      </c>
      <c r="V6263">
        <v>29</v>
      </c>
      <c r="W6263">
        <v>1</v>
      </c>
      <c r="X6263">
        <v>1</v>
      </c>
      <c r="Z6263">
        <v>0</v>
      </c>
      <c r="AA6263">
        <v>40.774313</v>
      </c>
      <c r="AB6263">
        <v>-73.930454</v>
      </c>
      <c r="AD6263" t="s">
        <v>10839</v>
      </c>
      <c r="AG6263" t="s">
        <v>10858</v>
      </c>
      <c r="AH6263" t="s">
        <v>10865</v>
      </c>
      <c r="AI6263">
        <v>237</v>
      </c>
      <c r="AJ6263" t="s">
        <v>10212</v>
      </c>
      <c r="AL6263">
        <v>0.5</v>
      </c>
      <c r="AM6263" t="s">
        <v>10891</v>
      </c>
      <c r="AN6263" t="s">
        <v>10961</v>
      </c>
      <c r="AO6263" t="s">
        <v>11003</v>
      </c>
      <c r="AP6263" t="s">
        <v>11084</v>
      </c>
      <c r="AR6263" t="s">
        <v>11267</v>
      </c>
      <c r="AS6263" t="s">
        <v>11594</v>
      </c>
      <c r="AT6263" t="s">
        <v>11641</v>
      </c>
      <c r="AX6263" t="s">
        <v>10838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</row>
    <row r="6264" spans="1:59">
      <c r="A6264" s="1">
        <f>HYPERLINK("https://lsnyc.legalserver.org/matter/dynamic-profile/view/1910589","19-1910589")</f>
        <v>0</v>
      </c>
      <c r="B6264" t="s">
        <v>4830</v>
      </c>
      <c r="C6264" t="s">
        <v>9721</v>
      </c>
      <c r="D6264" t="s">
        <v>9930</v>
      </c>
      <c r="E6264" t="s">
        <v>10075</v>
      </c>
      <c r="F6264">
        <v>11373</v>
      </c>
      <c r="G6264" t="s">
        <v>10092</v>
      </c>
      <c r="H6264" t="s">
        <v>4843</v>
      </c>
      <c r="I6264" t="s">
        <v>10169</v>
      </c>
      <c r="J6264" t="s">
        <v>10212</v>
      </c>
      <c r="K6264" t="s">
        <v>10217</v>
      </c>
      <c r="M6264" t="s">
        <v>10260</v>
      </c>
      <c r="N6264" t="s">
        <v>10665</v>
      </c>
      <c r="P6264" t="s">
        <v>10751</v>
      </c>
      <c r="Q6264" t="s">
        <v>10773</v>
      </c>
      <c r="R6264" t="s">
        <v>10821</v>
      </c>
      <c r="T6264">
        <v>0</v>
      </c>
      <c r="U6264">
        <v>0</v>
      </c>
      <c r="V6264">
        <v>59</v>
      </c>
      <c r="W6264">
        <v>1</v>
      </c>
      <c r="X6264">
        <v>0</v>
      </c>
      <c r="Z6264">
        <v>0</v>
      </c>
      <c r="AA6264">
        <v>40.74602</v>
      </c>
      <c r="AB6264">
        <v>-73.87795300000001</v>
      </c>
      <c r="AD6264" t="s">
        <v>10839</v>
      </c>
      <c r="AG6264" t="s">
        <v>10858</v>
      </c>
      <c r="AH6264" t="s">
        <v>10871</v>
      </c>
      <c r="AI6264">
        <v>234</v>
      </c>
      <c r="AJ6264" t="s">
        <v>10214</v>
      </c>
      <c r="AL6264">
        <v>4.25</v>
      </c>
      <c r="AM6264" t="s">
        <v>10885</v>
      </c>
      <c r="AN6264" t="s">
        <v>10949</v>
      </c>
      <c r="AO6264" t="s">
        <v>11014</v>
      </c>
      <c r="AP6264" t="s">
        <v>11053</v>
      </c>
      <c r="AR6264" t="s">
        <v>11267</v>
      </c>
      <c r="AS6264" t="s">
        <v>11594</v>
      </c>
      <c r="AT6264" t="s">
        <v>11641</v>
      </c>
      <c r="AX6264" t="s">
        <v>10838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</row>
    <row r="6265" spans="1:59">
      <c r="A6265" s="1">
        <f>HYPERLINK("https://lsnyc.legalserver.org/matter/dynamic-profile/view/1910590","19-1910590")</f>
        <v>0</v>
      </c>
      <c r="B6265" t="s">
        <v>4831</v>
      </c>
      <c r="C6265" t="s">
        <v>9722</v>
      </c>
      <c r="D6265" t="s">
        <v>9925</v>
      </c>
      <c r="E6265" t="s">
        <v>10075</v>
      </c>
      <c r="F6265">
        <v>10040</v>
      </c>
      <c r="G6265" t="s">
        <v>10089</v>
      </c>
      <c r="H6265" t="s">
        <v>4843</v>
      </c>
      <c r="I6265" t="s">
        <v>10168</v>
      </c>
      <c r="J6265" t="s">
        <v>10209</v>
      </c>
      <c r="K6265" t="s">
        <v>10218</v>
      </c>
      <c r="L6265" t="s">
        <v>10225</v>
      </c>
      <c r="M6265" t="s">
        <v>10270</v>
      </c>
      <c r="N6265" t="s">
        <v>10716</v>
      </c>
      <c r="P6265" t="s">
        <v>10754</v>
      </c>
      <c r="Q6265" t="s">
        <v>10766</v>
      </c>
      <c r="R6265" t="s">
        <v>10821</v>
      </c>
      <c r="T6265">
        <v>20800</v>
      </c>
      <c r="U6265">
        <v>1733.33</v>
      </c>
      <c r="V6265">
        <v>29</v>
      </c>
      <c r="W6265">
        <v>1</v>
      </c>
      <c r="X6265">
        <v>0</v>
      </c>
      <c r="Y6265" t="s">
        <v>10829</v>
      </c>
      <c r="Z6265">
        <v>166.53</v>
      </c>
      <c r="AA6265">
        <v>40.852172</v>
      </c>
      <c r="AB6265">
        <v>-73.92734</v>
      </c>
      <c r="AD6265" t="s">
        <v>10840</v>
      </c>
      <c r="AF6265" t="s">
        <v>10842</v>
      </c>
      <c r="AG6265" t="s">
        <v>10859</v>
      </c>
      <c r="AH6265" t="s">
        <v>10865</v>
      </c>
      <c r="AI6265">
        <v>236</v>
      </c>
      <c r="AJ6265" t="s">
        <v>10209</v>
      </c>
      <c r="AK6265" t="s">
        <v>10837</v>
      </c>
      <c r="AL6265">
        <v>0.5</v>
      </c>
      <c r="AM6265" t="s">
        <v>10887</v>
      </c>
      <c r="AN6265" t="s">
        <v>10937</v>
      </c>
      <c r="AO6265" t="s">
        <v>11019</v>
      </c>
      <c r="AP6265" t="s">
        <v>11074</v>
      </c>
      <c r="AQ6265" t="s">
        <v>11175</v>
      </c>
      <c r="AR6265" t="s">
        <v>11257</v>
      </c>
      <c r="AS6265" t="s">
        <v>9925</v>
      </c>
      <c r="AT6265" t="s">
        <v>11642</v>
      </c>
      <c r="AY6265" t="s">
        <v>10829</v>
      </c>
      <c r="AZ6265" t="s">
        <v>11683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</row>
    <row r="6266" spans="1:59">
      <c r="A6266" s="1">
        <f>HYPERLINK("https://lsnyc.legalserver.org/matter/dynamic-profile/view/1910591","19-1910591")</f>
        <v>0</v>
      </c>
      <c r="B6266" t="s">
        <v>4832</v>
      </c>
      <c r="C6266" t="s">
        <v>9723</v>
      </c>
      <c r="D6266" t="s">
        <v>9929</v>
      </c>
      <c r="E6266" t="s">
        <v>10075</v>
      </c>
      <c r="F6266">
        <v>10305</v>
      </c>
      <c r="G6266" t="s">
        <v>10088</v>
      </c>
      <c r="H6266" t="s">
        <v>10101</v>
      </c>
      <c r="I6266" t="s">
        <v>10168</v>
      </c>
      <c r="J6266" t="s">
        <v>10208</v>
      </c>
      <c r="K6266" t="s">
        <v>10217</v>
      </c>
      <c r="M6266" t="s">
        <v>10228</v>
      </c>
      <c r="N6266" t="s">
        <v>10661</v>
      </c>
      <c r="P6266" t="s">
        <v>10749</v>
      </c>
      <c r="Q6266" t="s">
        <v>10759</v>
      </c>
      <c r="R6266" t="s">
        <v>10820</v>
      </c>
      <c r="T6266">
        <v>38000</v>
      </c>
      <c r="U6266">
        <v>3166.67</v>
      </c>
      <c r="V6266">
        <v>83</v>
      </c>
      <c r="W6266">
        <v>5</v>
      </c>
      <c r="X6266">
        <v>0</v>
      </c>
      <c r="Z6266">
        <v>125.95</v>
      </c>
      <c r="AA6266">
        <v>40.58771</v>
      </c>
      <c r="AB6266">
        <v>-74.08686299999999</v>
      </c>
      <c r="AD6266" t="s">
        <v>10840</v>
      </c>
      <c r="AG6266" t="s">
        <v>10858</v>
      </c>
      <c r="AH6266" t="s">
        <v>10860</v>
      </c>
      <c r="AI6266">
        <v>285</v>
      </c>
      <c r="AJ6266" t="s">
        <v>10208</v>
      </c>
      <c r="AL6266">
        <v>0.8</v>
      </c>
      <c r="AM6266" t="s">
        <v>10883</v>
      </c>
      <c r="AN6266" t="s">
        <v>10915</v>
      </c>
      <c r="AO6266" t="s">
        <v>10999</v>
      </c>
      <c r="AP6266" t="s">
        <v>11063</v>
      </c>
      <c r="AR6266" t="s">
        <v>11257</v>
      </c>
      <c r="AS6266" t="s">
        <v>11593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</row>
    <row r="6267" spans="1:59">
      <c r="A6267" s="1">
        <f>HYPERLINK("https://lsnyc.legalserver.org/matter/dynamic-profile/view/1910592","19-1910592")</f>
        <v>0</v>
      </c>
      <c r="B6267" t="s">
        <v>4833</v>
      </c>
      <c r="C6267" t="s">
        <v>9724</v>
      </c>
      <c r="D6267" t="s">
        <v>9925</v>
      </c>
      <c r="E6267" t="s">
        <v>10075</v>
      </c>
      <c r="F6267">
        <v>10009</v>
      </c>
      <c r="G6267" t="s">
        <v>10089</v>
      </c>
      <c r="H6267" t="s">
        <v>4843</v>
      </c>
      <c r="I6267" t="s">
        <v>10168</v>
      </c>
      <c r="J6267" t="s">
        <v>10209</v>
      </c>
      <c r="K6267" t="s">
        <v>10217</v>
      </c>
      <c r="M6267" t="s">
        <v>10459</v>
      </c>
      <c r="N6267" t="s">
        <v>10671</v>
      </c>
      <c r="P6267" t="s">
        <v>10751</v>
      </c>
      <c r="Q6267" t="s">
        <v>10768</v>
      </c>
      <c r="R6267" t="s">
        <v>10823</v>
      </c>
      <c r="T6267">
        <v>2382</v>
      </c>
      <c r="U6267">
        <v>198.5</v>
      </c>
      <c r="V6267">
        <v>44</v>
      </c>
      <c r="W6267">
        <v>1</v>
      </c>
      <c r="X6267">
        <v>0</v>
      </c>
      <c r="Z6267">
        <v>19.07</v>
      </c>
      <c r="AA6267">
        <v>40.722473</v>
      </c>
      <c r="AB6267">
        <v>-73.98100599999999</v>
      </c>
      <c r="AD6267" t="s">
        <v>10840</v>
      </c>
      <c r="AG6267" t="s">
        <v>10858</v>
      </c>
      <c r="AH6267" t="s">
        <v>10861</v>
      </c>
      <c r="AI6267">
        <v>234</v>
      </c>
      <c r="AJ6267" t="s">
        <v>10214</v>
      </c>
      <c r="AL6267">
        <v>0.5</v>
      </c>
      <c r="AM6267" t="s">
        <v>10891</v>
      </c>
      <c r="AN6267" t="s">
        <v>10910</v>
      </c>
      <c r="AO6267" t="s">
        <v>11004</v>
      </c>
      <c r="AP6267" t="s">
        <v>11048</v>
      </c>
      <c r="AR6267" t="s">
        <v>11315</v>
      </c>
      <c r="AS6267" t="s">
        <v>9925</v>
      </c>
      <c r="AT6267" t="s">
        <v>11642</v>
      </c>
      <c r="AX6267" t="s">
        <v>10838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</row>
    <row r="6268" spans="1:59">
      <c r="A6268" s="1">
        <f>HYPERLINK("https://lsnyc.legalserver.org/matter/dynamic-profile/view/1910593","19-1910593")</f>
        <v>0</v>
      </c>
      <c r="B6268" t="s">
        <v>4831</v>
      </c>
      <c r="C6268" t="s">
        <v>9722</v>
      </c>
      <c r="D6268" t="s">
        <v>9925</v>
      </c>
      <c r="E6268" t="s">
        <v>10075</v>
      </c>
      <c r="F6268">
        <v>10040</v>
      </c>
      <c r="G6268" t="s">
        <v>10089</v>
      </c>
      <c r="H6268" t="s">
        <v>4843</v>
      </c>
      <c r="I6268" t="s">
        <v>10168</v>
      </c>
      <c r="J6268" t="s">
        <v>10209</v>
      </c>
      <c r="K6268" t="s">
        <v>10218</v>
      </c>
      <c r="L6268" t="s">
        <v>10225</v>
      </c>
      <c r="M6268" t="s">
        <v>10270</v>
      </c>
      <c r="N6268" t="s">
        <v>10716</v>
      </c>
      <c r="P6268" t="s">
        <v>10754</v>
      </c>
      <c r="Q6268" t="s">
        <v>10775</v>
      </c>
      <c r="R6268" t="s">
        <v>10821</v>
      </c>
      <c r="T6268">
        <v>20800</v>
      </c>
      <c r="U6268">
        <v>1733.33</v>
      </c>
      <c r="V6268">
        <v>29</v>
      </c>
      <c r="W6268">
        <v>1</v>
      </c>
      <c r="X6268">
        <v>0</v>
      </c>
      <c r="Y6268" t="s">
        <v>10829</v>
      </c>
      <c r="Z6268">
        <v>166.53</v>
      </c>
      <c r="AA6268">
        <v>40.852172</v>
      </c>
      <c r="AB6268">
        <v>-73.92734</v>
      </c>
      <c r="AD6268" t="s">
        <v>10840</v>
      </c>
      <c r="AF6268" t="s">
        <v>10842</v>
      </c>
      <c r="AG6268" t="s">
        <v>10859</v>
      </c>
      <c r="AH6268" t="s">
        <v>10865</v>
      </c>
      <c r="AI6268">
        <v>236</v>
      </c>
      <c r="AJ6268" t="s">
        <v>10209</v>
      </c>
      <c r="AK6268" t="s">
        <v>10837</v>
      </c>
      <c r="AL6268">
        <v>0.5</v>
      </c>
      <c r="AM6268" t="s">
        <v>10887</v>
      </c>
      <c r="AN6268" t="s">
        <v>10937</v>
      </c>
      <c r="AO6268" t="s">
        <v>11019</v>
      </c>
      <c r="AP6268" t="s">
        <v>11074</v>
      </c>
      <c r="AQ6268" t="s">
        <v>11114</v>
      </c>
      <c r="AR6268" t="s">
        <v>11257</v>
      </c>
      <c r="AS6268" t="s">
        <v>9925</v>
      </c>
      <c r="AT6268" t="s">
        <v>11641</v>
      </c>
      <c r="AY6268" t="s">
        <v>10829</v>
      </c>
      <c r="AZ6268" t="s">
        <v>11683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</row>
    <row r="6269" spans="1:59">
      <c r="A6269" s="1">
        <f>HYPERLINK("https://lsnyc.legalserver.org/matter/dynamic-profile/view/1910594","19-1910594")</f>
        <v>0</v>
      </c>
      <c r="B6269" t="s">
        <v>4834</v>
      </c>
      <c r="C6269" t="s">
        <v>9725</v>
      </c>
      <c r="D6269" t="s">
        <v>9926</v>
      </c>
      <c r="E6269" t="s">
        <v>10075</v>
      </c>
      <c r="F6269">
        <v>10467</v>
      </c>
      <c r="G6269" t="s">
        <v>10089</v>
      </c>
      <c r="H6269" t="s">
        <v>4843</v>
      </c>
      <c r="I6269" t="s">
        <v>10168</v>
      </c>
      <c r="J6269" t="s">
        <v>10209</v>
      </c>
      <c r="K6269" t="s">
        <v>10217</v>
      </c>
      <c r="M6269" t="s">
        <v>10442</v>
      </c>
      <c r="N6269" t="s">
        <v>10646</v>
      </c>
      <c r="P6269" t="s">
        <v>10749</v>
      </c>
      <c r="Q6269" t="s">
        <v>10765</v>
      </c>
      <c r="R6269" t="s">
        <v>10824</v>
      </c>
      <c r="T6269">
        <v>36101.28</v>
      </c>
      <c r="U6269">
        <v>3008.44</v>
      </c>
      <c r="V6269">
        <v>56</v>
      </c>
      <c r="W6269">
        <v>1</v>
      </c>
      <c r="X6269">
        <v>0</v>
      </c>
      <c r="Z6269">
        <v>289.04</v>
      </c>
      <c r="AA6269">
        <v>40.866851</v>
      </c>
      <c r="AB6269">
        <v>-73.870008</v>
      </c>
      <c r="AD6269" t="s">
        <v>10839</v>
      </c>
      <c r="AG6269" t="s">
        <v>10858</v>
      </c>
      <c r="AH6269" t="s">
        <v>10861</v>
      </c>
      <c r="AI6269">
        <v>234</v>
      </c>
      <c r="AJ6269" t="s">
        <v>10214</v>
      </c>
      <c r="AL6269">
        <v>0.5</v>
      </c>
      <c r="AM6269" t="s">
        <v>10885</v>
      </c>
      <c r="AN6269" t="s">
        <v>10938</v>
      </c>
      <c r="AO6269" t="s">
        <v>11010</v>
      </c>
      <c r="AP6269" t="s">
        <v>11056</v>
      </c>
      <c r="AR6269" t="s">
        <v>11339</v>
      </c>
      <c r="AS6269" t="s">
        <v>9926</v>
      </c>
      <c r="AT6269" t="s">
        <v>11641</v>
      </c>
      <c r="AX6269" t="s">
        <v>10838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</row>
    <row r="6270" spans="1:59">
      <c r="A6270" s="1">
        <f>HYPERLINK("https://lsnyc.legalserver.org/matter/dynamic-profile/view/1910595","19-1910595")</f>
        <v>0</v>
      </c>
      <c r="B6270" t="s">
        <v>4835</v>
      </c>
      <c r="C6270" t="s">
        <v>9726</v>
      </c>
      <c r="D6270" t="s">
        <v>9929</v>
      </c>
      <c r="E6270" t="s">
        <v>10075</v>
      </c>
      <c r="F6270">
        <v>10303</v>
      </c>
      <c r="G6270" t="s">
        <v>10088</v>
      </c>
      <c r="H6270" t="s">
        <v>4843</v>
      </c>
      <c r="I6270" t="s">
        <v>10168</v>
      </c>
      <c r="J6270" t="s">
        <v>10208</v>
      </c>
      <c r="K6270" t="s">
        <v>10217</v>
      </c>
      <c r="M6270" t="s">
        <v>10257</v>
      </c>
      <c r="N6270" t="s">
        <v>10655</v>
      </c>
      <c r="P6270" t="s">
        <v>10749</v>
      </c>
      <c r="Q6270" t="s">
        <v>10765</v>
      </c>
      <c r="R6270" t="s">
        <v>10824</v>
      </c>
      <c r="T6270">
        <v>24180</v>
      </c>
      <c r="U6270">
        <v>2015</v>
      </c>
      <c r="V6270">
        <v>32</v>
      </c>
      <c r="W6270">
        <v>2</v>
      </c>
      <c r="X6270">
        <v>4</v>
      </c>
      <c r="Z6270">
        <v>69.90000000000001</v>
      </c>
      <c r="AA6270">
        <v>40.632116</v>
      </c>
      <c r="AB6270">
        <v>-74.161304</v>
      </c>
      <c r="AD6270" t="s">
        <v>10839</v>
      </c>
      <c r="AG6270" t="s">
        <v>10858</v>
      </c>
      <c r="AH6270" t="s">
        <v>10862</v>
      </c>
      <c r="AI6270">
        <v>285</v>
      </c>
      <c r="AJ6270" t="s">
        <v>10208</v>
      </c>
      <c r="AL6270">
        <v>0.3</v>
      </c>
      <c r="AM6270" t="s">
        <v>10883</v>
      </c>
      <c r="AN6270" t="s">
        <v>10928</v>
      </c>
      <c r="AO6270" t="s">
        <v>11006</v>
      </c>
      <c r="AP6270" t="s">
        <v>11051</v>
      </c>
      <c r="AR6270" t="s">
        <v>11257</v>
      </c>
      <c r="AS6270" t="s">
        <v>11593</v>
      </c>
      <c r="BA6270" t="s">
        <v>11738</v>
      </c>
      <c r="BB6270">
        <v>0</v>
      </c>
      <c r="BC6270">
        <v>0</v>
      </c>
      <c r="BD6270">
        <v>0</v>
      </c>
      <c r="BE6270">
        <v>0</v>
      </c>
      <c r="BF6270">
        <v>5</v>
      </c>
      <c r="BG6270">
        <v>0</v>
      </c>
    </row>
    <row r="6271" spans="1:59">
      <c r="A6271" s="1">
        <f>HYPERLINK("https://lsnyc.legalserver.org/matter/dynamic-profile/view/1910596","19-1910596")</f>
        <v>0</v>
      </c>
      <c r="B6271" t="s">
        <v>3269</v>
      </c>
      <c r="C6271" t="s">
        <v>9727</v>
      </c>
      <c r="D6271" t="s">
        <v>9925</v>
      </c>
      <c r="E6271" t="s">
        <v>10075</v>
      </c>
      <c r="F6271">
        <v>10002</v>
      </c>
      <c r="G6271" t="s">
        <v>10089</v>
      </c>
      <c r="H6271" t="s">
        <v>4843</v>
      </c>
      <c r="I6271" t="s">
        <v>10179</v>
      </c>
      <c r="J6271" t="s">
        <v>10209</v>
      </c>
      <c r="K6271" t="s">
        <v>10218</v>
      </c>
      <c r="L6271" t="s">
        <v>10158</v>
      </c>
      <c r="M6271" t="s">
        <v>10266</v>
      </c>
      <c r="N6271" t="s">
        <v>10649</v>
      </c>
      <c r="P6271" t="s">
        <v>10753</v>
      </c>
      <c r="Q6271" t="s">
        <v>10763</v>
      </c>
      <c r="R6271" t="s">
        <v>10828</v>
      </c>
      <c r="T6271">
        <v>14400</v>
      </c>
      <c r="U6271">
        <v>1200</v>
      </c>
      <c r="V6271">
        <v>40</v>
      </c>
      <c r="W6271">
        <v>2</v>
      </c>
      <c r="X6271">
        <v>2</v>
      </c>
      <c r="Y6271" t="s">
        <v>10829</v>
      </c>
      <c r="Z6271">
        <v>55.92</v>
      </c>
      <c r="AA6271">
        <v>40.715665</v>
      </c>
      <c r="AB6271">
        <v>-73.977948</v>
      </c>
      <c r="AD6271" t="s">
        <v>10839</v>
      </c>
      <c r="AG6271" t="s">
        <v>10858</v>
      </c>
      <c r="AH6271" t="s">
        <v>10864</v>
      </c>
      <c r="AI6271">
        <v>236</v>
      </c>
      <c r="AJ6271" t="s">
        <v>10209</v>
      </c>
      <c r="AK6271" t="s">
        <v>10882</v>
      </c>
      <c r="AL6271">
        <v>1.4</v>
      </c>
      <c r="AM6271" t="s">
        <v>10886</v>
      </c>
      <c r="AN6271" t="s">
        <v>10910</v>
      </c>
      <c r="AO6271" t="s">
        <v>11004</v>
      </c>
      <c r="AP6271" t="s">
        <v>11048</v>
      </c>
      <c r="AQ6271" t="s">
        <v>11161</v>
      </c>
      <c r="AR6271" t="s">
        <v>11276</v>
      </c>
      <c r="AS6271" t="s">
        <v>9925</v>
      </c>
      <c r="AY6271" t="s">
        <v>10829</v>
      </c>
      <c r="AZ6271" t="s">
        <v>11709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</row>
    <row r="6272" spans="1:59">
      <c r="A6272" s="1">
        <f>HYPERLINK("https://lsnyc.legalserver.org/matter/dynamic-profile/view/1910597","19-1910597")</f>
        <v>0</v>
      </c>
      <c r="B6272" t="s">
        <v>4836</v>
      </c>
      <c r="C6272" t="s">
        <v>8483</v>
      </c>
      <c r="D6272" t="s">
        <v>9927</v>
      </c>
      <c r="E6272" t="s">
        <v>10075</v>
      </c>
      <c r="F6272">
        <v>11377</v>
      </c>
      <c r="G6272" t="s">
        <v>10092</v>
      </c>
      <c r="H6272" t="s">
        <v>4843</v>
      </c>
      <c r="I6272" t="s">
        <v>10169</v>
      </c>
      <c r="J6272" t="s">
        <v>10212</v>
      </c>
      <c r="K6272" t="s">
        <v>10217</v>
      </c>
      <c r="M6272" t="s">
        <v>10555</v>
      </c>
      <c r="N6272" t="s">
        <v>10695</v>
      </c>
      <c r="P6272" t="s">
        <v>10749</v>
      </c>
      <c r="Q6272" t="s">
        <v>10765</v>
      </c>
      <c r="R6272" t="s">
        <v>10823</v>
      </c>
      <c r="T6272">
        <v>3276</v>
      </c>
      <c r="U6272">
        <v>273</v>
      </c>
      <c r="V6272">
        <v>33</v>
      </c>
      <c r="W6272">
        <v>1</v>
      </c>
      <c r="X6272">
        <v>3</v>
      </c>
      <c r="Z6272">
        <v>12.72</v>
      </c>
      <c r="AA6272">
        <v>40.744725</v>
      </c>
      <c r="AB6272">
        <v>-73.911377</v>
      </c>
      <c r="AD6272" t="s">
        <v>10839</v>
      </c>
      <c r="AF6272" t="s">
        <v>10842</v>
      </c>
      <c r="AG6272" t="s">
        <v>10859</v>
      </c>
      <c r="AH6272" t="s">
        <v>10862</v>
      </c>
      <c r="AI6272">
        <v>237</v>
      </c>
      <c r="AJ6272" t="s">
        <v>10212</v>
      </c>
      <c r="AL6272">
        <v>0.3</v>
      </c>
      <c r="AM6272" t="s">
        <v>10885</v>
      </c>
      <c r="AN6272" t="s">
        <v>10935</v>
      </c>
      <c r="AO6272" t="s">
        <v>11003</v>
      </c>
      <c r="AP6272" t="s">
        <v>11047</v>
      </c>
      <c r="AR6272" t="s">
        <v>11292</v>
      </c>
      <c r="AS6272" t="s">
        <v>11594</v>
      </c>
      <c r="BA6272" t="s">
        <v>11741</v>
      </c>
      <c r="BB6272">
        <v>0</v>
      </c>
      <c r="BC6272">
        <v>0</v>
      </c>
      <c r="BD6272">
        <v>0</v>
      </c>
      <c r="BE6272">
        <v>0</v>
      </c>
      <c r="BF6272">
        <v>1</v>
      </c>
      <c r="BG6272">
        <v>0</v>
      </c>
    </row>
    <row r="6273" spans="1:59">
      <c r="A6273" s="1">
        <f>HYPERLINK("https://lsnyc.legalserver.org/matter/dynamic-profile/view/1910598","19-1910598")</f>
        <v>0</v>
      </c>
      <c r="B6273" t="s">
        <v>4837</v>
      </c>
      <c r="C6273" t="s">
        <v>8636</v>
      </c>
      <c r="D6273" t="s">
        <v>9925</v>
      </c>
      <c r="E6273" t="s">
        <v>10075</v>
      </c>
      <c r="F6273">
        <v>10040</v>
      </c>
      <c r="G6273" t="s">
        <v>10089</v>
      </c>
      <c r="H6273" t="s">
        <v>4843</v>
      </c>
      <c r="I6273" t="s">
        <v>10168</v>
      </c>
      <c r="J6273" t="s">
        <v>10209</v>
      </c>
      <c r="K6273" t="s">
        <v>10217</v>
      </c>
      <c r="M6273" t="s">
        <v>10573</v>
      </c>
      <c r="N6273" t="s">
        <v>10650</v>
      </c>
      <c r="P6273" t="s">
        <v>10749</v>
      </c>
      <c r="Q6273" t="s">
        <v>10765</v>
      </c>
      <c r="R6273" t="s">
        <v>10820</v>
      </c>
      <c r="T6273">
        <v>19499.52</v>
      </c>
      <c r="U6273">
        <v>1624.96</v>
      </c>
      <c r="V6273">
        <v>72</v>
      </c>
      <c r="W6273">
        <v>1</v>
      </c>
      <c r="X6273">
        <v>0</v>
      </c>
      <c r="Z6273">
        <v>156.12</v>
      </c>
      <c r="AA6273">
        <v>40.857158</v>
      </c>
      <c r="AB6273">
        <v>-73.932643</v>
      </c>
      <c r="AD6273" t="s">
        <v>10839</v>
      </c>
      <c r="AG6273" t="s">
        <v>10858</v>
      </c>
      <c r="AH6273" t="s">
        <v>10862</v>
      </c>
      <c r="AI6273">
        <v>236</v>
      </c>
      <c r="AJ6273" t="s">
        <v>10209</v>
      </c>
      <c r="AL6273">
        <v>0.6</v>
      </c>
      <c r="AM6273" t="s">
        <v>10887</v>
      </c>
      <c r="AN6273" t="s">
        <v>10937</v>
      </c>
      <c r="AO6273" t="s">
        <v>11019</v>
      </c>
      <c r="AP6273" t="s">
        <v>11074</v>
      </c>
      <c r="AR6273" t="s">
        <v>11379</v>
      </c>
      <c r="AS6273" t="s">
        <v>9925</v>
      </c>
      <c r="AT6273" t="s">
        <v>11641</v>
      </c>
      <c r="AX6273" t="s">
        <v>10838</v>
      </c>
      <c r="BA6273" t="s">
        <v>11742</v>
      </c>
      <c r="BB6273">
        <v>0</v>
      </c>
      <c r="BC6273">
        <v>0</v>
      </c>
      <c r="BD6273">
        <v>0</v>
      </c>
      <c r="BE6273">
        <v>0</v>
      </c>
      <c r="BF6273">
        <v>7</v>
      </c>
      <c r="BG6273">
        <v>0</v>
      </c>
    </row>
    <row r="6274" spans="1:59">
      <c r="A6274" s="1">
        <f>HYPERLINK("https://lsnyc.legalserver.org/matter/dynamic-profile/view/1910599","19-1910599")</f>
        <v>0</v>
      </c>
      <c r="B6274" t="s">
        <v>4408</v>
      </c>
      <c r="C6274" t="s">
        <v>9728</v>
      </c>
      <c r="D6274" t="s">
        <v>9926</v>
      </c>
      <c r="E6274" t="s">
        <v>10075</v>
      </c>
      <c r="F6274">
        <v>10467</v>
      </c>
      <c r="G6274" t="s">
        <v>10091</v>
      </c>
      <c r="H6274" t="s">
        <v>4843</v>
      </c>
      <c r="I6274" t="s">
        <v>10169</v>
      </c>
      <c r="J6274" t="s">
        <v>10211</v>
      </c>
      <c r="K6274" t="s">
        <v>10217</v>
      </c>
      <c r="M6274" t="s">
        <v>10231</v>
      </c>
      <c r="N6274" t="s">
        <v>10647</v>
      </c>
      <c r="P6274" t="s">
        <v>10752</v>
      </c>
      <c r="Q6274" t="s">
        <v>10762</v>
      </c>
      <c r="R6274" t="s">
        <v>10821</v>
      </c>
      <c r="T6274">
        <v>27300</v>
      </c>
      <c r="U6274">
        <v>2275</v>
      </c>
      <c r="V6274">
        <v>40</v>
      </c>
      <c r="W6274">
        <v>2</v>
      </c>
      <c r="X6274">
        <v>0</v>
      </c>
      <c r="Z6274">
        <v>161.44</v>
      </c>
      <c r="AA6274">
        <v>40.868083</v>
      </c>
      <c r="AB6274">
        <v>-73.86466299999999</v>
      </c>
      <c r="AD6274" t="s">
        <v>10840</v>
      </c>
      <c r="AG6274" t="s">
        <v>10858</v>
      </c>
      <c r="AH6274" t="s">
        <v>10871</v>
      </c>
      <c r="AI6274">
        <v>234</v>
      </c>
      <c r="AJ6274" t="s">
        <v>10214</v>
      </c>
      <c r="AL6274">
        <v>1.04</v>
      </c>
      <c r="AM6274" t="s">
        <v>10885</v>
      </c>
      <c r="AN6274" t="s">
        <v>10938</v>
      </c>
      <c r="AO6274" t="s">
        <v>11010</v>
      </c>
      <c r="AP6274" t="s">
        <v>11056</v>
      </c>
      <c r="AR6274" t="s">
        <v>11257</v>
      </c>
      <c r="AS6274" t="s">
        <v>9926</v>
      </c>
      <c r="AT6274" t="s">
        <v>11642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</row>
    <row r="6275" spans="1:59">
      <c r="A6275" s="1">
        <f>HYPERLINK("https://lsnyc.legalserver.org/matter/dynamic-profile/view/1910600","19-1910600")</f>
        <v>0</v>
      </c>
      <c r="B6275" t="s">
        <v>1505</v>
      </c>
      <c r="C6275" t="s">
        <v>9729</v>
      </c>
      <c r="D6275" t="s">
        <v>9925</v>
      </c>
      <c r="E6275" t="s">
        <v>10075</v>
      </c>
      <c r="F6275">
        <v>10009</v>
      </c>
      <c r="G6275" t="s">
        <v>10089</v>
      </c>
      <c r="H6275" t="s">
        <v>10137</v>
      </c>
      <c r="I6275" t="s">
        <v>10168</v>
      </c>
      <c r="J6275" t="s">
        <v>10209</v>
      </c>
      <c r="K6275" t="s">
        <v>10217</v>
      </c>
      <c r="M6275" t="s">
        <v>10393</v>
      </c>
      <c r="N6275" t="s">
        <v>10743</v>
      </c>
      <c r="P6275" t="s">
        <v>10749</v>
      </c>
      <c r="Q6275" t="s">
        <v>10767</v>
      </c>
      <c r="R6275" t="s">
        <v>10821</v>
      </c>
      <c r="T6275">
        <v>13376</v>
      </c>
      <c r="U6275">
        <v>1114.67</v>
      </c>
      <c r="V6275">
        <v>53</v>
      </c>
      <c r="W6275">
        <v>2</v>
      </c>
      <c r="X6275">
        <v>0</v>
      </c>
      <c r="Z6275">
        <v>79.09999999999999</v>
      </c>
      <c r="AA6275">
        <v>40.724609</v>
      </c>
      <c r="AB6275">
        <v>-73.974659</v>
      </c>
      <c r="AD6275" t="s">
        <v>10839</v>
      </c>
      <c r="AG6275" t="s">
        <v>10858</v>
      </c>
      <c r="AH6275" t="s">
        <v>10862</v>
      </c>
      <c r="AI6275">
        <v>236</v>
      </c>
      <c r="AJ6275" t="s">
        <v>10209</v>
      </c>
      <c r="AL6275">
        <v>0</v>
      </c>
      <c r="AM6275" t="s">
        <v>10886</v>
      </c>
      <c r="AN6275" t="s">
        <v>10910</v>
      </c>
      <c r="AO6275" t="s">
        <v>11021</v>
      </c>
      <c r="AP6275" t="s">
        <v>11048</v>
      </c>
      <c r="AQ6275" t="s">
        <v>11120</v>
      </c>
      <c r="AR6275" t="s">
        <v>11287</v>
      </c>
      <c r="AS6275" t="s">
        <v>9925</v>
      </c>
      <c r="AT6275" t="s">
        <v>11641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</row>
    <row r="6276" spans="1:59">
      <c r="A6276" s="1">
        <f>HYPERLINK("https://lsnyc.legalserver.org/matter/dynamic-profile/view/1910601","19-1910601")</f>
        <v>0</v>
      </c>
      <c r="B6276" t="s">
        <v>4838</v>
      </c>
      <c r="C6276" t="s">
        <v>9730</v>
      </c>
      <c r="D6276" t="s">
        <v>9965</v>
      </c>
      <c r="E6276" t="s">
        <v>10075</v>
      </c>
      <c r="F6276">
        <v>11101</v>
      </c>
      <c r="G6276" t="s">
        <v>10092</v>
      </c>
      <c r="H6276" t="s">
        <v>4843</v>
      </c>
      <c r="I6276" t="s">
        <v>10168</v>
      </c>
      <c r="J6276" t="s">
        <v>10212</v>
      </c>
      <c r="K6276" t="s">
        <v>10218</v>
      </c>
      <c r="L6276" t="s">
        <v>10221</v>
      </c>
      <c r="M6276" t="s">
        <v>10610</v>
      </c>
      <c r="N6276" t="s">
        <v>10695</v>
      </c>
      <c r="P6276" t="s">
        <v>10749</v>
      </c>
      <c r="Q6276" t="s">
        <v>10767</v>
      </c>
      <c r="R6276" t="s">
        <v>10824</v>
      </c>
      <c r="T6276">
        <v>18000</v>
      </c>
      <c r="U6276">
        <v>1500</v>
      </c>
      <c r="V6276">
        <v>23</v>
      </c>
      <c r="W6276">
        <v>1</v>
      </c>
      <c r="X6276">
        <v>1</v>
      </c>
      <c r="Y6276" t="s">
        <v>10829</v>
      </c>
      <c r="Z6276">
        <v>106.45</v>
      </c>
      <c r="AA6276">
        <v>40.755629</v>
      </c>
      <c r="AB6276">
        <v>-73.94536600000001</v>
      </c>
      <c r="AD6276" t="s">
        <v>10839</v>
      </c>
      <c r="AG6276" t="s">
        <v>10858</v>
      </c>
      <c r="AH6276" t="s">
        <v>10862</v>
      </c>
      <c r="AI6276">
        <v>237</v>
      </c>
      <c r="AJ6276" t="s">
        <v>10212</v>
      </c>
      <c r="AK6276" t="s">
        <v>10882</v>
      </c>
      <c r="AL6276">
        <v>1.5</v>
      </c>
      <c r="AM6276" t="s">
        <v>10891</v>
      </c>
      <c r="AN6276" t="s">
        <v>10961</v>
      </c>
      <c r="AO6276" t="s">
        <v>11003</v>
      </c>
      <c r="AP6276" t="s">
        <v>11047</v>
      </c>
      <c r="AR6276" t="s">
        <v>11257</v>
      </c>
      <c r="AS6276" t="s">
        <v>11594</v>
      </c>
      <c r="AX6276" t="s">
        <v>10838</v>
      </c>
      <c r="AY6276" t="s">
        <v>10829</v>
      </c>
      <c r="AZ6276" t="s">
        <v>11681</v>
      </c>
      <c r="BA6276" t="s">
        <v>11741</v>
      </c>
      <c r="BB6276">
        <v>0</v>
      </c>
      <c r="BC6276">
        <v>0</v>
      </c>
      <c r="BD6276">
        <v>0</v>
      </c>
      <c r="BE6276">
        <v>0</v>
      </c>
      <c r="BF6276">
        <v>1</v>
      </c>
      <c r="BG6276">
        <v>0</v>
      </c>
    </row>
    <row r="6277" spans="1:59">
      <c r="A6277" s="1">
        <f>HYPERLINK("https://lsnyc.legalserver.org/matter/dynamic-profile/view/1910602","19-1910602")</f>
        <v>0</v>
      </c>
      <c r="B6277" t="s">
        <v>2185</v>
      </c>
      <c r="C6277" t="s">
        <v>6974</v>
      </c>
      <c r="D6277" t="s">
        <v>9926</v>
      </c>
      <c r="E6277" t="s">
        <v>10075</v>
      </c>
      <c r="F6277">
        <v>10466</v>
      </c>
      <c r="G6277" t="s">
        <v>10090</v>
      </c>
      <c r="H6277" t="s">
        <v>4843</v>
      </c>
      <c r="I6277" t="s">
        <v>10168</v>
      </c>
      <c r="J6277" t="s">
        <v>10210</v>
      </c>
      <c r="K6277" t="s">
        <v>10217</v>
      </c>
      <c r="M6277" t="s">
        <v>10577</v>
      </c>
      <c r="N6277" t="s">
        <v>10688</v>
      </c>
      <c r="P6277" t="s">
        <v>10749</v>
      </c>
      <c r="Q6277" t="s">
        <v>10791</v>
      </c>
      <c r="R6277" t="s">
        <v>10820</v>
      </c>
      <c r="T6277">
        <v>15840</v>
      </c>
      <c r="U6277">
        <v>1320</v>
      </c>
      <c r="V6277">
        <v>72</v>
      </c>
      <c r="W6277">
        <v>1</v>
      </c>
      <c r="X6277">
        <v>0</v>
      </c>
      <c r="Z6277">
        <v>126.82</v>
      </c>
      <c r="AA6277">
        <v>40.892743</v>
      </c>
      <c r="AB6277">
        <v>-73.860989</v>
      </c>
      <c r="AD6277" t="s">
        <v>10839</v>
      </c>
      <c r="AG6277" t="s">
        <v>10858</v>
      </c>
      <c r="AH6277" t="s">
        <v>10862</v>
      </c>
      <c r="AI6277">
        <v>230</v>
      </c>
      <c r="AJ6277" t="s">
        <v>10210</v>
      </c>
      <c r="AL6277">
        <v>6</v>
      </c>
      <c r="AM6277" t="s">
        <v>10893</v>
      </c>
      <c r="AN6277" t="s">
        <v>10919</v>
      </c>
      <c r="AO6277" t="s">
        <v>11010</v>
      </c>
      <c r="AP6277" t="s">
        <v>11085</v>
      </c>
      <c r="AR6277" t="s">
        <v>11287</v>
      </c>
      <c r="AS6277" t="s">
        <v>9926</v>
      </c>
      <c r="BA6277" t="s">
        <v>11737</v>
      </c>
      <c r="BB6277">
        <v>0</v>
      </c>
      <c r="BC6277">
        <v>0</v>
      </c>
      <c r="BD6277">
        <v>0</v>
      </c>
      <c r="BE6277">
        <v>0</v>
      </c>
      <c r="BF6277">
        <v>3</v>
      </c>
      <c r="BG6277">
        <v>0</v>
      </c>
    </row>
    <row r="6278" spans="1:59">
      <c r="A6278" s="1">
        <f>HYPERLINK("https://lsnyc.legalserver.org/matter/dynamic-profile/view/1910603","19-1910603")</f>
        <v>0</v>
      </c>
      <c r="B6278" t="s">
        <v>3581</v>
      </c>
      <c r="C6278" t="s">
        <v>9731</v>
      </c>
      <c r="D6278" t="s">
        <v>9926</v>
      </c>
      <c r="E6278" t="s">
        <v>10075</v>
      </c>
      <c r="F6278">
        <v>10459</v>
      </c>
      <c r="G6278" t="s">
        <v>10090</v>
      </c>
      <c r="H6278" t="s">
        <v>4843</v>
      </c>
      <c r="I6278" t="s">
        <v>10169</v>
      </c>
      <c r="J6278" t="s">
        <v>10210</v>
      </c>
      <c r="K6278" t="s">
        <v>10217</v>
      </c>
      <c r="M6278" t="s">
        <v>10517</v>
      </c>
      <c r="N6278" t="s">
        <v>10650</v>
      </c>
      <c r="P6278" t="s">
        <v>10749</v>
      </c>
      <c r="Q6278" t="s">
        <v>10765</v>
      </c>
      <c r="R6278" t="s">
        <v>10821</v>
      </c>
      <c r="T6278">
        <v>7800</v>
      </c>
      <c r="U6278">
        <v>650</v>
      </c>
      <c r="V6278">
        <v>81</v>
      </c>
      <c r="W6278">
        <v>1</v>
      </c>
      <c r="X6278">
        <v>0</v>
      </c>
      <c r="Z6278">
        <v>62.45</v>
      </c>
      <c r="AA6278">
        <v>40.831694</v>
      </c>
      <c r="AB6278">
        <v>-73.89498</v>
      </c>
      <c r="AD6278" t="s">
        <v>10839</v>
      </c>
      <c r="AG6278" t="s">
        <v>10858</v>
      </c>
      <c r="AH6278" t="s">
        <v>10862</v>
      </c>
      <c r="AI6278">
        <v>230</v>
      </c>
      <c r="AJ6278" t="s">
        <v>10210</v>
      </c>
      <c r="AL6278">
        <v>1</v>
      </c>
      <c r="AM6278" t="s">
        <v>10884</v>
      </c>
      <c r="AN6278" t="s">
        <v>10918</v>
      </c>
      <c r="AO6278" t="s">
        <v>11001</v>
      </c>
      <c r="AP6278" t="s">
        <v>11055</v>
      </c>
      <c r="AR6278" t="s">
        <v>11268</v>
      </c>
      <c r="AS6278" t="s">
        <v>9926</v>
      </c>
      <c r="BA6278" t="s">
        <v>11741</v>
      </c>
      <c r="BB6278">
        <v>0</v>
      </c>
      <c r="BC6278">
        <v>0</v>
      </c>
      <c r="BD6278">
        <v>0</v>
      </c>
      <c r="BE6278">
        <v>0</v>
      </c>
      <c r="BF6278">
        <v>1</v>
      </c>
      <c r="BG6278">
        <v>0</v>
      </c>
    </row>
    <row r="6279" spans="1:59">
      <c r="A6279" s="1">
        <f>HYPERLINK("https://lsnyc.legalserver.org/matter/dynamic-profile/view/1910604","19-1910604")</f>
        <v>0</v>
      </c>
      <c r="B6279" t="s">
        <v>2947</v>
      </c>
      <c r="C6279" t="s">
        <v>7709</v>
      </c>
      <c r="D6279" t="s">
        <v>9928</v>
      </c>
      <c r="E6279" t="s">
        <v>10075</v>
      </c>
      <c r="F6279">
        <v>11226</v>
      </c>
      <c r="G6279" t="s">
        <v>10093</v>
      </c>
      <c r="H6279" t="s">
        <v>4843</v>
      </c>
      <c r="I6279" t="s">
        <v>10168</v>
      </c>
      <c r="J6279" t="s">
        <v>10213</v>
      </c>
      <c r="K6279" t="s">
        <v>10217</v>
      </c>
      <c r="M6279" t="s">
        <v>10384</v>
      </c>
      <c r="N6279" t="s">
        <v>10650</v>
      </c>
      <c r="P6279" t="s">
        <v>10749</v>
      </c>
      <c r="Q6279" t="s">
        <v>10765</v>
      </c>
      <c r="R6279" t="s">
        <v>10821</v>
      </c>
      <c r="T6279">
        <v>34028</v>
      </c>
      <c r="U6279">
        <v>2835.67</v>
      </c>
      <c r="V6279">
        <v>43</v>
      </c>
      <c r="W6279">
        <v>3</v>
      </c>
      <c r="X6279">
        <v>3</v>
      </c>
      <c r="Z6279">
        <v>98.38</v>
      </c>
      <c r="AA6279">
        <v>40.642682</v>
      </c>
      <c r="AB6279">
        <v>-73.953731</v>
      </c>
      <c r="AD6279" t="s">
        <v>10839</v>
      </c>
      <c r="AG6279" t="s">
        <v>10858</v>
      </c>
      <c r="AH6279" t="s">
        <v>10862</v>
      </c>
      <c r="AI6279">
        <v>239</v>
      </c>
      <c r="AJ6279" t="s">
        <v>10213</v>
      </c>
      <c r="AL6279">
        <v>0</v>
      </c>
      <c r="AM6279" t="s">
        <v>10888</v>
      </c>
      <c r="AN6279" t="s">
        <v>10932</v>
      </c>
      <c r="AO6279" t="s">
        <v>11008</v>
      </c>
      <c r="AP6279" t="s">
        <v>11065</v>
      </c>
      <c r="AQ6279" t="s">
        <v>11120</v>
      </c>
      <c r="AR6279" t="s">
        <v>11382</v>
      </c>
      <c r="AS6279" t="s">
        <v>11595</v>
      </c>
      <c r="BA6279" t="s">
        <v>11738</v>
      </c>
      <c r="BB6279">
        <v>0</v>
      </c>
      <c r="BC6279">
        <v>0</v>
      </c>
      <c r="BD6279">
        <v>0</v>
      </c>
      <c r="BE6279">
        <v>0</v>
      </c>
      <c r="BF6279">
        <v>5</v>
      </c>
      <c r="BG6279">
        <v>0</v>
      </c>
    </row>
    <row r="6280" spans="1:59">
      <c r="A6280" s="1">
        <f>HYPERLINK("https://lsnyc.legalserver.org/matter/dynamic-profile/view/1910605","19-1910605")</f>
        <v>0</v>
      </c>
      <c r="B6280" t="s">
        <v>914</v>
      </c>
      <c r="C6280" t="s">
        <v>9732</v>
      </c>
      <c r="D6280" t="s">
        <v>9926</v>
      </c>
      <c r="E6280" t="s">
        <v>10075</v>
      </c>
      <c r="F6280">
        <v>10468</v>
      </c>
      <c r="G6280" t="s">
        <v>10090</v>
      </c>
      <c r="H6280" t="s">
        <v>4843</v>
      </c>
      <c r="I6280" t="s">
        <v>10168</v>
      </c>
      <c r="J6280" t="s">
        <v>10210</v>
      </c>
      <c r="K6280" t="s">
        <v>10217</v>
      </c>
      <c r="M6280" t="s">
        <v>10495</v>
      </c>
      <c r="N6280" t="s">
        <v>10658</v>
      </c>
      <c r="P6280" t="s">
        <v>10749</v>
      </c>
      <c r="Q6280" t="s">
        <v>10769</v>
      </c>
      <c r="R6280" t="s">
        <v>10825</v>
      </c>
      <c r="T6280">
        <v>56200</v>
      </c>
      <c r="U6280">
        <v>4683.33</v>
      </c>
      <c r="V6280">
        <v>50</v>
      </c>
      <c r="W6280">
        <v>5</v>
      </c>
      <c r="X6280">
        <v>3</v>
      </c>
      <c r="Z6280">
        <v>129.4</v>
      </c>
      <c r="AA6280">
        <v>40.871475</v>
      </c>
      <c r="AB6280">
        <v>-73.899976</v>
      </c>
      <c r="AD6280" t="s">
        <v>10839</v>
      </c>
      <c r="AG6280" t="s">
        <v>10858</v>
      </c>
      <c r="AH6280" t="s">
        <v>10860</v>
      </c>
      <c r="AI6280">
        <v>230</v>
      </c>
      <c r="AJ6280" t="s">
        <v>10210</v>
      </c>
      <c r="AL6280">
        <v>4</v>
      </c>
      <c r="AM6280" t="s">
        <v>10887</v>
      </c>
      <c r="AN6280" t="s">
        <v>10919</v>
      </c>
      <c r="AO6280" t="s">
        <v>11000</v>
      </c>
      <c r="AP6280" t="s">
        <v>11045</v>
      </c>
      <c r="AQ6280" t="s">
        <v>11242</v>
      </c>
      <c r="AR6280" t="s">
        <v>11356</v>
      </c>
      <c r="AS6280" t="s">
        <v>9926</v>
      </c>
      <c r="AT6280" t="s">
        <v>11641</v>
      </c>
      <c r="AX6280" t="s">
        <v>10838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</row>
    <row r="6281" spans="1:59">
      <c r="A6281" s="1">
        <f>HYPERLINK("https://lsnyc.legalserver.org/matter/dynamic-profile/view/1910606","19-1910606")</f>
        <v>0</v>
      </c>
      <c r="B6281" t="s">
        <v>4839</v>
      </c>
      <c r="C6281" t="s">
        <v>9733</v>
      </c>
      <c r="D6281" t="s">
        <v>9925</v>
      </c>
      <c r="E6281" t="s">
        <v>10075</v>
      </c>
      <c r="F6281">
        <v>10009</v>
      </c>
      <c r="G6281" t="s">
        <v>10089</v>
      </c>
      <c r="H6281" t="s">
        <v>4843</v>
      </c>
      <c r="I6281" t="s">
        <v>10169</v>
      </c>
      <c r="J6281" t="s">
        <v>10209</v>
      </c>
      <c r="K6281" t="s">
        <v>10218</v>
      </c>
      <c r="L6281" t="s">
        <v>10158</v>
      </c>
      <c r="M6281" t="s">
        <v>10266</v>
      </c>
      <c r="N6281" t="s">
        <v>10649</v>
      </c>
      <c r="P6281" t="s">
        <v>10753</v>
      </c>
      <c r="Q6281" t="s">
        <v>10763</v>
      </c>
      <c r="R6281" t="s">
        <v>10823</v>
      </c>
      <c r="T6281">
        <v>14808</v>
      </c>
      <c r="U6281">
        <v>1234</v>
      </c>
      <c r="V6281">
        <v>60</v>
      </c>
      <c r="W6281">
        <v>2</v>
      </c>
      <c r="X6281">
        <v>0</v>
      </c>
      <c r="Y6281" t="s">
        <v>10829</v>
      </c>
      <c r="Z6281">
        <v>87.56999999999999</v>
      </c>
      <c r="AA6281">
        <v>40.729006</v>
      </c>
      <c r="AB6281">
        <v>-73.977465</v>
      </c>
      <c r="AD6281" t="s">
        <v>10839</v>
      </c>
      <c r="AF6281" t="s">
        <v>10843</v>
      </c>
      <c r="AG6281" t="s">
        <v>10859</v>
      </c>
      <c r="AH6281" t="s">
        <v>10864</v>
      </c>
      <c r="AI6281">
        <v>236</v>
      </c>
      <c r="AJ6281" t="s">
        <v>10209</v>
      </c>
      <c r="AK6281" t="s">
        <v>10882</v>
      </c>
      <c r="AL6281">
        <v>1.15</v>
      </c>
      <c r="AM6281" t="s">
        <v>10891</v>
      </c>
      <c r="AN6281" t="s">
        <v>10910</v>
      </c>
      <c r="AO6281" t="s">
        <v>11021</v>
      </c>
      <c r="AP6281" t="s">
        <v>11048</v>
      </c>
      <c r="AQ6281" t="s">
        <v>11097</v>
      </c>
      <c r="AR6281" t="s">
        <v>11300</v>
      </c>
      <c r="AS6281" t="s">
        <v>9925</v>
      </c>
      <c r="AY6281" t="s">
        <v>10829</v>
      </c>
      <c r="AZ6281" t="s">
        <v>11709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</row>
    <row r="6282" spans="1:59">
      <c r="A6282" s="1">
        <f>HYPERLINK("https://lsnyc.legalserver.org/matter/dynamic-profile/view/1910607","19-1910607")</f>
        <v>0</v>
      </c>
      <c r="B6282" t="s">
        <v>4359</v>
      </c>
      <c r="C6282" t="s">
        <v>9734</v>
      </c>
      <c r="D6282" t="s">
        <v>9946</v>
      </c>
      <c r="E6282" t="s">
        <v>10075</v>
      </c>
      <c r="F6282">
        <v>11385</v>
      </c>
      <c r="G6282" t="s">
        <v>10092</v>
      </c>
      <c r="H6282" t="s">
        <v>4843</v>
      </c>
      <c r="I6282" t="s">
        <v>10168</v>
      </c>
      <c r="J6282" t="s">
        <v>10212</v>
      </c>
      <c r="K6282" t="s">
        <v>10217</v>
      </c>
      <c r="M6282" t="s">
        <v>10260</v>
      </c>
      <c r="N6282" t="s">
        <v>10665</v>
      </c>
      <c r="P6282" t="s">
        <v>10751</v>
      </c>
      <c r="Q6282" t="s">
        <v>10773</v>
      </c>
      <c r="R6282" t="s">
        <v>10821</v>
      </c>
      <c r="T6282">
        <v>14389.7</v>
      </c>
      <c r="U6282">
        <v>1199.14</v>
      </c>
      <c r="V6282">
        <v>57</v>
      </c>
      <c r="W6282">
        <v>1</v>
      </c>
      <c r="X6282">
        <v>0</v>
      </c>
      <c r="Z6282">
        <v>115.21</v>
      </c>
      <c r="AA6282">
        <v>40.703881</v>
      </c>
      <c r="AB6282">
        <v>-73.89457299999999</v>
      </c>
      <c r="AD6282" t="s">
        <v>10839</v>
      </c>
      <c r="AG6282" t="s">
        <v>10858</v>
      </c>
      <c r="AH6282" t="s">
        <v>10861</v>
      </c>
      <c r="AI6282">
        <v>234</v>
      </c>
      <c r="AJ6282" t="s">
        <v>10214</v>
      </c>
      <c r="AL6282">
        <v>5.5</v>
      </c>
      <c r="AR6282" t="s">
        <v>11257</v>
      </c>
      <c r="AS6282" t="s">
        <v>11594</v>
      </c>
      <c r="AT6282" t="s">
        <v>11641</v>
      </c>
      <c r="AX6282" t="s">
        <v>10838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</row>
    <row r="6283" spans="1:59">
      <c r="A6283" s="1">
        <f>HYPERLINK("https://lsnyc.legalserver.org/matter/dynamic-profile/view/1910608","19-1910608")</f>
        <v>0</v>
      </c>
      <c r="B6283" t="s">
        <v>2765</v>
      </c>
      <c r="C6283" t="s">
        <v>5308</v>
      </c>
      <c r="D6283" t="s">
        <v>9928</v>
      </c>
      <c r="E6283" t="s">
        <v>10075</v>
      </c>
      <c r="F6283">
        <v>11226</v>
      </c>
      <c r="G6283" t="s">
        <v>10093</v>
      </c>
      <c r="H6283" t="s">
        <v>4843</v>
      </c>
      <c r="I6283" t="s">
        <v>10168</v>
      </c>
      <c r="J6283" t="s">
        <v>10213</v>
      </c>
      <c r="K6283" t="s">
        <v>10217</v>
      </c>
      <c r="M6283" t="s">
        <v>10304</v>
      </c>
      <c r="N6283" t="s">
        <v>10646</v>
      </c>
      <c r="P6283" t="s">
        <v>10749</v>
      </c>
      <c r="Q6283" t="s">
        <v>10765</v>
      </c>
      <c r="R6283" t="s">
        <v>10824</v>
      </c>
      <c r="T6283">
        <v>37000</v>
      </c>
      <c r="U6283">
        <v>3083.33</v>
      </c>
      <c r="V6283">
        <v>49</v>
      </c>
      <c r="W6283">
        <v>1</v>
      </c>
      <c r="X6283">
        <v>0</v>
      </c>
      <c r="Z6283">
        <v>296.24</v>
      </c>
      <c r="AA6283">
        <v>40.65103</v>
      </c>
      <c r="AB6283">
        <v>-73.962502</v>
      </c>
      <c r="AD6283" t="s">
        <v>10839</v>
      </c>
      <c r="AG6283" t="s">
        <v>10858</v>
      </c>
      <c r="AH6283" t="s">
        <v>10861</v>
      </c>
      <c r="AI6283">
        <v>234</v>
      </c>
      <c r="AJ6283" t="s">
        <v>10214</v>
      </c>
      <c r="AL6283">
        <v>0.3</v>
      </c>
      <c r="AM6283" t="s">
        <v>10888</v>
      </c>
      <c r="AN6283" t="s">
        <v>10932</v>
      </c>
      <c r="AO6283" t="s">
        <v>11008</v>
      </c>
      <c r="AP6283" t="s">
        <v>11050</v>
      </c>
      <c r="AR6283" t="s">
        <v>11257</v>
      </c>
      <c r="AS6283" t="s">
        <v>11595</v>
      </c>
      <c r="AT6283" t="s">
        <v>11641</v>
      </c>
      <c r="AX6283" t="s">
        <v>10838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</row>
    <row r="6284" spans="1:59">
      <c r="A6284" s="1">
        <f>HYPERLINK("https://lsnyc.legalserver.org/matter/dynamic-profile/view/1910609","19-1910609")</f>
        <v>0</v>
      </c>
      <c r="B6284" t="s">
        <v>4840</v>
      </c>
      <c r="C6284" t="s">
        <v>9735</v>
      </c>
      <c r="D6284" t="s">
        <v>9956</v>
      </c>
      <c r="E6284" t="s">
        <v>10075</v>
      </c>
      <c r="F6284">
        <v>11365</v>
      </c>
      <c r="G6284" t="s">
        <v>10092</v>
      </c>
      <c r="H6284" t="s">
        <v>4843</v>
      </c>
      <c r="I6284" t="s">
        <v>10168</v>
      </c>
      <c r="J6284" t="s">
        <v>10212</v>
      </c>
      <c r="K6284" t="s">
        <v>10217</v>
      </c>
      <c r="M6284" t="s">
        <v>10555</v>
      </c>
      <c r="N6284" t="s">
        <v>10695</v>
      </c>
      <c r="P6284" t="s">
        <v>10749</v>
      </c>
      <c r="Q6284" t="s">
        <v>10765</v>
      </c>
      <c r="R6284" t="s">
        <v>10827</v>
      </c>
      <c r="T6284">
        <v>10000</v>
      </c>
      <c r="U6284">
        <v>833.33</v>
      </c>
      <c r="V6284">
        <v>33</v>
      </c>
      <c r="W6284">
        <v>1</v>
      </c>
      <c r="X6284">
        <v>0</v>
      </c>
      <c r="Z6284">
        <v>80.06</v>
      </c>
      <c r="AA6284">
        <v>40.735596</v>
      </c>
      <c r="AB6284">
        <v>-73.80905199999999</v>
      </c>
      <c r="AC6284" t="s">
        <v>10837</v>
      </c>
      <c r="AD6284" t="s">
        <v>10840</v>
      </c>
      <c r="AG6284" t="s">
        <v>10858</v>
      </c>
      <c r="AH6284" t="s">
        <v>10862</v>
      </c>
      <c r="AI6284">
        <v>237</v>
      </c>
      <c r="AJ6284" t="s">
        <v>10212</v>
      </c>
      <c r="AL6284">
        <v>1.5</v>
      </c>
      <c r="AM6284" t="s">
        <v>10890</v>
      </c>
      <c r="AN6284" t="s">
        <v>10962</v>
      </c>
      <c r="AO6284" t="s">
        <v>11009</v>
      </c>
      <c r="AP6284" t="s">
        <v>11081</v>
      </c>
      <c r="AR6284" t="s">
        <v>11257</v>
      </c>
      <c r="AS6284" t="s">
        <v>11594</v>
      </c>
      <c r="AX6284" t="s">
        <v>10838</v>
      </c>
      <c r="BA6284" t="s">
        <v>11742</v>
      </c>
      <c r="BB6284">
        <v>0</v>
      </c>
      <c r="BC6284">
        <v>0</v>
      </c>
      <c r="BD6284">
        <v>0</v>
      </c>
      <c r="BE6284">
        <v>0</v>
      </c>
      <c r="BF6284">
        <v>7</v>
      </c>
      <c r="BG6284">
        <v>0</v>
      </c>
    </row>
    <row r="6285" spans="1:59">
      <c r="A6285" s="1">
        <f>HYPERLINK("https://lsnyc.legalserver.org/matter/dynamic-profile/view/1910611","19-1910611")</f>
        <v>0</v>
      </c>
      <c r="B6285" t="s">
        <v>2850</v>
      </c>
      <c r="C6285" t="s">
        <v>9736</v>
      </c>
      <c r="D6285" t="s">
        <v>9925</v>
      </c>
      <c r="E6285" t="s">
        <v>10075</v>
      </c>
      <c r="F6285">
        <v>10011</v>
      </c>
      <c r="G6285" t="s">
        <v>10089</v>
      </c>
      <c r="H6285" t="s">
        <v>4843</v>
      </c>
      <c r="I6285" t="s">
        <v>10168</v>
      </c>
      <c r="J6285" t="s">
        <v>10209</v>
      </c>
      <c r="K6285" t="s">
        <v>10217</v>
      </c>
      <c r="M6285" t="s">
        <v>10302</v>
      </c>
      <c r="N6285" t="s">
        <v>10681</v>
      </c>
      <c r="P6285" t="s">
        <v>10754</v>
      </c>
      <c r="Q6285" t="s">
        <v>10766</v>
      </c>
      <c r="R6285" t="s">
        <v>10821</v>
      </c>
      <c r="T6285">
        <v>0</v>
      </c>
      <c r="U6285">
        <v>0</v>
      </c>
      <c r="V6285">
        <v>30</v>
      </c>
      <c r="W6285">
        <v>1</v>
      </c>
      <c r="X6285">
        <v>1</v>
      </c>
      <c r="Z6285">
        <v>0</v>
      </c>
      <c r="AA6285">
        <v>40.746714</v>
      </c>
      <c r="AB6285">
        <v>-73.99966000000001</v>
      </c>
      <c r="AD6285" t="s">
        <v>10839</v>
      </c>
      <c r="AG6285" t="s">
        <v>10858</v>
      </c>
      <c r="AH6285" t="s">
        <v>10865</v>
      </c>
      <c r="AI6285">
        <v>236</v>
      </c>
      <c r="AJ6285" t="s">
        <v>10209</v>
      </c>
      <c r="AK6285" t="s">
        <v>10837</v>
      </c>
      <c r="AL6285">
        <v>0</v>
      </c>
      <c r="AM6285" t="s">
        <v>10894</v>
      </c>
      <c r="AN6285" t="s">
        <v>10966</v>
      </c>
      <c r="AO6285" t="s">
        <v>11021</v>
      </c>
      <c r="AP6285" t="s">
        <v>11090</v>
      </c>
      <c r="AQ6285" t="s">
        <v>11175</v>
      </c>
      <c r="AR6285" t="s">
        <v>11267</v>
      </c>
      <c r="AS6285" t="s">
        <v>9925</v>
      </c>
      <c r="AT6285" t="s">
        <v>11641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</row>
    <row r="6286" spans="1:59">
      <c r="A6286" s="1">
        <f>HYPERLINK("https://lsnyc.legalserver.org/matter/dynamic-profile/view/1910612","19-1910612")</f>
        <v>0</v>
      </c>
      <c r="C6286" t="s">
        <v>7709</v>
      </c>
      <c r="D6286" t="s">
        <v>9928</v>
      </c>
      <c r="E6286" t="s">
        <v>10075</v>
      </c>
      <c r="F6286">
        <v>11226</v>
      </c>
      <c r="G6286" t="s">
        <v>10093</v>
      </c>
      <c r="H6286" t="s">
        <v>4843</v>
      </c>
      <c r="I6286" t="s">
        <v>10168</v>
      </c>
      <c r="J6286" t="s">
        <v>10213</v>
      </c>
      <c r="K6286" t="s">
        <v>10217</v>
      </c>
      <c r="M6286" t="s">
        <v>10384</v>
      </c>
      <c r="N6286" t="s">
        <v>10650</v>
      </c>
      <c r="P6286" t="s">
        <v>10749</v>
      </c>
      <c r="Q6286" t="s">
        <v>10765</v>
      </c>
      <c r="R6286" t="s">
        <v>10825</v>
      </c>
      <c r="T6286">
        <v>0</v>
      </c>
      <c r="U6286">
        <v>0</v>
      </c>
      <c r="V6286">
        <v>0</v>
      </c>
      <c r="W6286">
        <v>1</v>
      </c>
      <c r="X6286">
        <v>0</v>
      </c>
      <c r="Z6286">
        <v>0</v>
      </c>
      <c r="AA6286">
        <v>40.642682</v>
      </c>
      <c r="AB6286">
        <v>-73.953731</v>
      </c>
      <c r="AD6286" t="s">
        <v>10840</v>
      </c>
      <c r="AG6286" t="s">
        <v>10858</v>
      </c>
      <c r="AH6286" t="s">
        <v>10862</v>
      </c>
      <c r="AI6286">
        <v>239</v>
      </c>
      <c r="AJ6286" t="s">
        <v>10213</v>
      </c>
      <c r="AL6286">
        <v>0.2</v>
      </c>
      <c r="AM6286" t="s">
        <v>10888</v>
      </c>
      <c r="AN6286" t="s">
        <v>10932</v>
      </c>
      <c r="AO6286" t="s">
        <v>11008</v>
      </c>
      <c r="AP6286" t="s">
        <v>11065</v>
      </c>
      <c r="AR6286" t="s">
        <v>11266</v>
      </c>
      <c r="AS6286" t="s">
        <v>11595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</row>
    <row r="6287" spans="1:59">
      <c r="A6287" s="1">
        <f>HYPERLINK("https://lsnyc.legalserver.org/matter/dynamic-profile/view/1910613","19-1910613")</f>
        <v>0</v>
      </c>
      <c r="B6287" t="s">
        <v>4841</v>
      </c>
      <c r="C6287" t="s">
        <v>9737</v>
      </c>
      <c r="D6287" t="s">
        <v>9931</v>
      </c>
      <c r="E6287" t="s">
        <v>10075</v>
      </c>
      <c r="F6287">
        <v>11354</v>
      </c>
      <c r="G6287" t="s">
        <v>10093</v>
      </c>
      <c r="H6287" t="s">
        <v>4843</v>
      </c>
      <c r="I6287" t="s">
        <v>10168</v>
      </c>
      <c r="J6287" t="s">
        <v>10213</v>
      </c>
      <c r="K6287" t="s">
        <v>10217</v>
      </c>
      <c r="M6287" t="s">
        <v>10358</v>
      </c>
      <c r="N6287" t="s">
        <v>10671</v>
      </c>
      <c r="P6287" t="s">
        <v>10752</v>
      </c>
      <c r="Q6287" t="s">
        <v>10783</v>
      </c>
      <c r="R6287" t="s">
        <v>10824</v>
      </c>
      <c r="T6287">
        <v>26496</v>
      </c>
      <c r="U6287">
        <v>2208</v>
      </c>
      <c r="V6287">
        <v>20</v>
      </c>
      <c r="W6287">
        <v>2</v>
      </c>
      <c r="X6287">
        <v>0</v>
      </c>
      <c r="Z6287">
        <v>156.69</v>
      </c>
      <c r="AA6287">
        <v>40.766602</v>
      </c>
      <c r="AB6287">
        <v>-73.824777</v>
      </c>
      <c r="AD6287" t="s">
        <v>10840</v>
      </c>
      <c r="AG6287" t="s">
        <v>10858</v>
      </c>
      <c r="AH6287" t="s">
        <v>10861</v>
      </c>
      <c r="AI6287">
        <v>234</v>
      </c>
      <c r="AJ6287" t="s">
        <v>10214</v>
      </c>
      <c r="AL6287">
        <v>2.5</v>
      </c>
      <c r="AR6287" t="s">
        <v>11364</v>
      </c>
      <c r="AS6287" t="s">
        <v>11594</v>
      </c>
      <c r="AT6287" t="s">
        <v>11642</v>
      </c>
      <c r="AX6287" t="s">
        <v>10838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</row>
    <row r="6288" spans="1:59">
      <c r="A6288" s="1">
        <f>HYPERLINK("https://lsnyc.legalserver.org/matter/dynamic-profile/view/1910614","19-1910614")</f>
        <v>0</v>
      </c>
      <c r="B6288" t="s">
        <v>4725</v>
      </c>
      <c r="C6288" t="s">
        <v>9738</v>
      </c>
      <c r="D6288" t="s">
        <v>9938</v>
      </c>
      <c r="E6288" t="s">
        <v>10075</v>
      </c>
      <c r="F6288">
        <v>11434</v>
      </c>
      <c r="G6288" t="s">
        <v>10089</v>
      </c>
      <c r="H6288" t="s">
        <v>4843</v>
      </c>
      <c r="I6288" t="s">
        <v>10169</v>
      </c>
      <c r="J6288" t="s">
        <v>10209</v>
      </c>
      <c r="K6288" t="s">
        <v>10217</v>
      </c>
      <c r="M6288" t="s">
        <v>10229</v>
      </c>
      <c r="N6288" t="s">
        <v>10646</v>
      </c>
      <c r="P6288" t="s">
        <v>10750</v>
      </c>
      <c r="Q6288" t="s">
        <v>10779</v>
      </c>
      <c r="R6288" t="s">
        <v>10820</v>
      </c>
      <c r="T6288">
        <v>38480</v>
      </c>
      <c r="U6288">
        <v>3206.67</v>
      </c>
      <c r="V6288">
        <v>46</v>
      </c>
      <c r="W6288">
        <v>1</v>
      </c>
      <c r="X6288">
        <v>0</v>
      </c>
      <c r="Z6288">
        <v>308.09</v>
      </c>
      <c r="AA6288">
        <v>40.675522</v>
      </c>
      <c r="AB6288">
        <v>-73.768968</v>
      </c>
      <c r="AD6288" t="s">
        <v>10840</v>
      </c>
      <c r="AG6288" t="s">
        <v>10858</v>
      </c>
      <c r="AH6288" t="s">
        <v>10861</v>
      </c>
      <c r="AI6288">
        <v>234</v>
      </c>
      <c r="AJ6288" t="s">
        <v>10214</v>
      </c>
      <c r="AL6288">
        <v>0.65</v>
      </c>
      <c r="AM6288" t="s">
        <v>10892</v>
      </c>
      <c r="AN6288" t="s">
        <v>10951</v>
      </c>
      <c r="AO6288" t="s">
        <v>11017</v>
      </c>
      <c r="AP6288" t="s">
        <v>11070</v>
      </c>
      <c r="AR6288" t="s">
        <v>11257</v>
      </c>
      <c r="AS6288" t="s">
        <v>11594</v>
      </c>
      <c r="AT6288" t="s">
        <v>11642</v>
      </c>
      <c r="AX6288" t="s">
        <v>10838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</row>
    <row r="6289" spans="1:59">
      <c r="A6289" s="1">
        <f>HYPERLINK("https://lsnyc.legalserver.org/matter/dynamic-profile/view/1910615","19-1910615")</f>
        <v>0</v>
      </c>
      <c r="B6289" t="s">
        <v>4842</v>
      </c>
      <c r="C6289" t="s">
        <v>9739</v>
      </c>
      <c r="D6289" t="s">
        <v>9925</v>
      </c>
      <c r="E6289" t="s">
        <v>10075</v>
      </c>
      <c r="F6289">
        <v>10034</v>
      </c>
      <c r="G6289" t="s">
        <v>10089</v>
      </c>
      <c r="H6289" t="s">
        <v>4843</v>
      </c>
      <c r="I6289" t="s">
        <v>10168</v>
      </c>
      <c r="J6289" t="s">
        <v>10209</v>
      </c>
      <c r="K6289" t="s">
        <v>10217</v>
      </c>
      <c r="M6289" t="s">
        <v>10480</v>
      </c>
      <c r="N6289" t="s">
        <v>10671</v>
      </c>
      <c r="P6289" t="s">
        <v>10749</v>
      </c>
      <c r="Q6289" t="s">
        <v>10765</v>
      </c>
      <c r="R6289" t="s">
        <v>10820</v>
      </c>
      <c r="T6289">
        <v>4680</v>
      </c>
      <c r="U6289">
        <v>390</v>
      </c>
      <c r="V6289">
        <v>44</v>
      </c>
      <c r="W6289">
        <v>1</v>
      </c>
      <c r="X6289">
        <v>0</v>
      </c>
      <c r="Z6289">
        <v>37.47</v>
      </c>
      <c r="AA6289">
        <v>40.868909</v>
      </c>
      <c r="AB6289">
        <v>-73.921284</v>
      </c>
      <c r="AD6289" t="s">
        <v>10840</v>
      </c>
      <c r="AG6289" t="s">
        <v>10858</v>
      </c>
      <c r="AH6289" t="s">
        <v>10871</v>
      </c>
      <c r="AI6289">
        <v>234</v>
      </c>
      <c r="AJ6289" t="s">
        <v>10214</v>
      </c>
      <c r="AL6289">
        <v>1</v>
      </c>
      <c r="AM6289" t="s">
        <v>10887</v>
      </c>
      <c r="AN6289" t="s">
        <v>10937</v>
      </c>
      <c r="AO6289" t="s">
        <v>11019</v>
      </c>
      <c r="AP6289" t="s">
        <v>11074</v>
      </c>
      <c r="AR6289" t="s">
        <v>11311</v>
      </c>
      <c r="AS6289" t="s">
        <v>9925</v>
      </c>
      <c r="AT6289" t="s">
        <v>11642</v>
      </c>
      <c r="AX6289" t="s">
        <v>10837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</row>
    <row r="6290" spans="1:59">
      <c r="A6290" s="1">
        <f>HYPERLINK("https://lsnyc.legalserver.org/matter/dynamic-profile/view/1910616","19-1910616")</f>
        <v>0</v>
      </c>
      <c r="B6290" t="s">
        <v>4843</v>
      </c>
      <c r="C6290" t="s">
        <v>9740</v>
      </c>
      <c r="D6290" t="s">
        <v>9981</v>
      </c>
      <c r="E6290" t="s">
        <v>10075</v>
      </c>
      <c r="F6290">
        <v>11378</v>
      </c>
      <c r="G6290" t="s">
        <v>10092</v>
      </c>
      <c r="H6290" t="s">
        <v>4843</v>
      </c>
      <c r="I6290" t="s">
        <v>10169</v>
      </c>
      <c r="J6290" t="s">
        <v>10212</v>
      </c>
      <c r="K6290" t="s">
        <v>10217</v>
      </c>
      <c r="M6290" t="s">
        <v>10555</v>
      </c>
      <c r="N6290" t="s">
        <v>10695</v>
      </c>
      <c r="P6290" t="s">
        <v>10749</v>
      </c>
      <c r="Q6290" t="s">
        <v>10765</v>
      </c>
      <c r="R6290" t="s">
        <v>10821</v>
      </c>
      <c r="T6290">
        <v>12000</v>
      </c>
      <c r="U6290">
        <v>1000</v>
      </c>
      <c r="V6290">
        <v>0</v>
      </c>
      <c r="W6290">
        <v>1</v>
      </c>
      <c r="X6290">
        <v>1</v>
      </c>
      <c r="Z6290">
        <v>70.95999999999999</v>
      </c>
      <c r="AA6290">
        <v>40.732003</v>
      </c>
      <c r="AB6290">
        <v>-73.92253599999999</v>
      </c>
      <c r="AD6290" t="s">
        <v>10839</v>
      </c>
      <c r="AG6290" t="s">
        <v>10858</v>
      </c>
      <c r="AH6290" t="s">
        <v>10862</v>
      </c>
      <c r="AI6290">
        <v>237</v>
      </c>
      <c r="AJ6290" t="s">
        <v>10212</v>
      </c>
      <c r="AL6290">
        <v>0.4</v>
      </c>
      <c r="AM6290" t="s">
        <v>10891</v>
      </c>
      <c r="AN6290" t="s">
        <v>10961</v>
      </c>
      <c r="AO6290" t="s">
        <v>11003</v>
      </c>
      <c r="AP6290" t="s">
        <v>11077</v>
      </c>
      <c r="AR6290" t="s">
        <v>11257</v>
      </c>
      <c r="AS6290" t="s">
        <v>11594</v>
      </c>
      <c r="BA6290" t="s">
        <v>11742</v>
      </c>
      <c r="BB6290">
        <v>0</v>
      </c>
      <c r="BC6290">
        <v>0</v>
      </c>
      <c r="BD6290">
        <v>0</v>
      </c>
      <c r="BE6290">
        <v>0</v>
      </c>
      <c r="BF6290">
        <v>7</v>
      </c>
      <c r="BG6290">
        <v>0</v>
      </c>
    </row>
    <row r="6291" spans="1:59">
      <c r="A6291" s="1">
        <f>HYPERLINK("https://lsnyc.legalserver.org/matter/dynamic-profile/view/1910617","19-1910617")</f>
        <v>0</v>
      </c>
      <c r="B6291" t="s">
        <v>2947</v>
      </c>
      <c r="C6291" t="s">
        <v>7709</v>
      </c>
      <c r="D6291" t="s">
        <v>9928</v>
      </c>
      <c r="E6291" t="s">
        <v>10075</v>
      </c>
      <c r="F6291">
        <v>11226</v>
      </c>
      <c r="G6291" t="s">
        <v>10093</v>
      </c>
      <c r="H6291" t="s">
        <v>4843</v>
      </c>
      <c r="I6291" t="s">
        <v>10168</v>
      </c>
      <c r="J6291" t="s">
        <v>10213</v>
      </c>
      <c r="K6291" t="s">
        <v>10217</v>
      </c>
      <c r="M6291" t="s">
        <v>10384</v>
      </c>
      <c r="N6291" t="s">
        <v>10650</v>
      </c>
      <c r="P6291" t="s">
        <v>10749</v>
      </c>
      <c r="Q6291" t="s">
        <v>10765</v>
      </c>
      <c r="R6291" t="s">
        <v>10821</v>
      </c>
      <c r="T6291">
        <v>34028</v>
      </c>
      <c r="U6291">
        <v>2835.67</v>
      </c>
      <c r="V6291">
        <v>43</v>
      </c>
      <c r="W6291">
        <v>3</v>
      </c>
      <c r="X6291">
        <v>3</v>
      </c>
      <c r="Z6291">
        <v>98.38</v>
      </c>
      <c r="AA6291">
        <v>40.642682</v>
      </c>
      <c r="AB6291">
        <v>-73.953731</v>
      </c>
      <c r="AD6291" t="s">
        <v>10839</v>
      </c>
      <c r="AG6291" t="s">
        <v>10858</v>
      </c>
      <c r="AH6291" t="s">
        <v>10862</v>
      </c>
      <c r="AI6291">
        <v>239</v>
      </c>
      <c r="AJ6291" t="s">
        <v>10213</v>
      </c>
      <c r="AL6291">
        <v>0</v>
      </c>
      <c r="AM6291" t="s">
        <v>10888</v>
      </c>
      <c r="AN6291" t="s">
        <v>10932</v>
      </c>
      <c r="AO6291" t="s">
        <v>11008</v>
      </c>
      <c r="AP6291" t="s">
        <v>11065</v>
      </c>
      <c r="AQ6291" t="s">
        <v>11120</v>
      </c>
      <c r="AR6291" t="s">
        <v>10180</v>
      </c>
      <c r="AS6291" t="s">
        <v>11595</v>
      </c>
      <c r="BA6291" t="s">
        <v>11738</v>
      </c>
      <c r="BB6291">
        <v>0</v>
      </c>
      <c r="BC6291">
        <v>0</v>
      </c>
      <c r="BD6291">
        <v>0</v>
      </c>
      <c r="BE6291">
        <v>0</v>
      </c>
      <c r="BF6291">
        <v>5</v>
      </c>
      <c r="BG6291">
        <v>0</v>
      </c>
    </row>
    <row r="6292" spans="1:59">
      <c r="A6292" s="1">
        <f>HYPERLINK("https://lsnyc.legalserver.org/matter/dynamic-profile/view/1910618","19-1910618")</f>
        <v>0</v>
      </c>
      <c r="B6292" t="s">
        <v>4844</v>
      </c>
      <c r="C6292" t="s">
        <v>9741</v>
      </c>
      <c r="D6292" t="s">
        <v>9929</v>
      </c>
      <c r="E6292" t="s">
        <v>10075</v>
      </c>
      <c r="F6292">
        <v>10305</v>
      </c>
      <c r="G6292" t="s">
        <v>10090</v>
      </c>
      <c r="H6292" t="s">
        <v>4843</v>
      </c>
      <c r="I6292" t="s">
        <v>10168</v>
      </c>
      <c r="J6292" t="s">
        <v>10210</v>
      </c>
      <c r="K6292" t="s">
        <v>10217</v>
      </c>
      <c r="M6292" t="s">
        <v>10336</v>
      </c>
      <c r="N6292" t="s">
        <v>10671</v>
      </c>
      <c r="P6292" t="s">
        <v>10754</v>
      </c>
      <c r="Q6292" t="s">
        <v>10771</v>
      </c>
      <c r="R6292" t="s">
        <v>10823</v>
      </c>
      <c r="T6292">
        <v>18000</v>
      </c>
      <c r="U6292">
        <v>1500</v>
      </c>
      <c r="V6292">
        <v>24</v>
      </c>
      <c r="W6292">
        <v>1</v>
      </c>
      <c r="X6292">
        <v>1</v>
      </c>
      <c r="Z6292">
        <v>106.45</v>
      </c>
      <c r="AA6292">
        <v>40.613157</v>
      </c>
      <c r="AB6292">
        <v>-74.074761</v>
      </c>
      <c r="AD6292" t="s">
        <v>10839</v>
      </c>
      <c r="AG6292" t="s">
        <v>10858</v>
      </c>
      <c r="AH6292" t="s">
        <v>10871</v>
      </c>
      <c r="AI6292">
        <v>234</v>
      </c>
      <c r="AJ6292" t="s">
        <v>10214</v>
      </c>
      <c r="AL6292">
        <v>0.95</v>
      </c>
      <c r="AM6292" t="s">
        <v>10883</v>
      </c>
      <c r="AN6292" t="s">
        <v>10915</v>
      </c>
      <c r="AO6292" t="s">
        <v>11006</v>
      </c>
      <c r="AP6292" t="s">
        <v>11051</v>
      </c>
      <c r="AR6292" t="s">
        <v>11257</v>
      </c>
      <c r="AS6292" t="s">
        <v>11593</v>
      </c>
      <c r="AT6292" t="s">
        <v>11641</v>
      </c>
      <c r="AX6292" t="s">
        <v>10838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</row>
    <row r="6293" spans="1:59">
      <c r="A6293" s="1">
        <f>HYPERLINK("https://lsnyc.legalserver.org/matter/dynamic-profile/view/1910619","19-1910619")</f>
        <v>0</v>
      </c>
      <c r="C6293" t="s">
        <v>7709</v>
      </c>
      <c r="D6293" t="s">
        <v>9928</v>
      </c>
      <c r="E6293" t="s">
        <v>10075</v>
      </c>
      <c r="F6293">
        <v>11226</v>
      </c>
      <c r="G6293" t="s">
        <v>10093</v>
      </c>
      <c r="H6293" t="s">
        <v>4843</v>
      </c>
      <c r="I6293" t="s">
        <v>10168</v>
      </c>
      <c r="J6293" t="s">
        <v>10213</v>
      </c>
      <c r="K6293" t="s">
        <v>10217</v>
      </c>
      <c r="M6293" t="s">
        <v>10384</v>
      </c>
      <c r="N6293" t="s">
        <v>10650</v>
      </c>
      <c r="P6293" t="s">
        <v>10749</v>
      </c>
      <c r="Q6293" t="s">
        <v>10765</v>
      </c>
      <c r="R6293" t="s">
        <v>10824</v>
      </c>
      <c r="T6293">
        <v>0</v>
      </c>
      <c r="U6293">
        <v>0</v>
      </c>
      <c r="V6293">
        <v>0</v>
      </c>
      <c r="W6293">
        <v>1</v>
      </c>
      <c r="X6293">
        <v>0</v>
      </c>
      <c r="Z6293">
        <v>0</v>
      </c>
      <c r="AA6293">
        <v>40.642682</v>
      </c>
      <c r="AB6293">
        <v>-73.953731</v>
      </c>
      <c r="AD6293" t="s">
        <v>10840</v>
      </c>
      <c r="AF6293" t="s">
        <v>10854</v>
      </c>
      <c r="AG6293" t="s">
        <v>10859</v>
      </c>
      <c r="AH6293" t="s">
        <v>10862</v>
      </c>
      <c r="AI6293">
        <v>239</v>
      </c>
      <c r="AJ6293" t="s">
        <v>10213</v>
      </c>
      <c r="AL6293">
        <v>0.2</v>
      </c>
      <c r="AM6293" t="s">
        <v>10888</v>
      </c>
      <c r="AN6293" t="s">
        <v>10932</v>
      </c>
      <c r="AO6293" t="s">
        <v>11008</v>
      </c>
      <c r="AP6293" t="s">
        <v>11065</v>
      </c>
      <c r="AR6293" t="s">
        <v>11266</v>
      </c>
      <c r="AS6293" t="s">
        <v>11595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</row>
    <row r="6294" spans="1:59">
      <c r="A6294" s="1">
        <f>HYPERLINK("https://lsnyc.legalserver.org/matter/dynamic-profile/view/1910620","19-1910620")</f>
        <v>0</v>
      </c>
      <c r="B6294" t="s">
        <v>1003</v>
      </c>
      <c r="C6294" t="s">
        <v>9742</v>
      </c>
      <c r="D6294" t="s">
        <v>9953</v>
      </c>
      <c r="E6294" t="s">
        <v>10075</v>
      </c>
      <c r="F6294">
        <v>11104</v>
      </c>
      <c r="G6294" t="s">
        <v>10092</v>
      </c>
      <c r="H6294" t="s">
        <v>4843</v>
      </c>
      <c r="I6294" t="s">
        <v>10168</v>
      </c>
      <c r="J6294" t="s">
        <v>10212</v>
      </c>
      <c r="K6294" t="s">
        <v>10217</v>
      </c>
      <c r="M6294" t="s">
        <v>10475</v>
      </c>
      <c r="N6294" t="s">
        <v>10695</v>
      </c>
      <c r="P6294" t="s">
        <v>10749</v>
      </c>
      <c r="Q6294" t="s">
        <v>10765</v>
      </c>
      <c r="R6294" t="s">
        <v>10824</v>
      </c>
      <c r="T6294">
        <v>0</v>
      </c>
      <c r="U6294">
        <v>0</v>
      </c>
      <c r="V6294">
        <v>50</v>
      </c>
      <c r="W6294">
        <v>2</v>
      </c>
      <c r="X6294">
        <v>1</v>
      </c>
      <c r="Z6294">
        <v>0</v>
      </c>
      <c r="AA6294">
        <v>40.744803</v>
      </c>
      <c r="AB6294">
        <v>-73.922434</v>
      </c>
      <c r="AD6294" t="s">
        <v>10840</v>
      </c>
      <c r="AG6294" t="s">
        <v>10858</v>
      </c>
      <c r="AH6294" t="s">
        <v>10862</v>
      </c>
      <c r="AI6294">
        <v>237</v>
      </c>
      <c r="AJ6294" t="s">
        <v>10212</v>
      </c>
      <c r="AL6294">
        <v>1.3</v>
      </c>
      <c r="AM6294" t="s">
        <v>10885</v>
      </c>
      <c r="AN6294" t="s">
        <v>10961</v>
      </c>
      <c r="AO6294" t="s">
        <v>11003</v>
      </c>
      <c r="AP6294" t="s">
        <v>11047</v>
      </c>
      <c r="AR6294" t="s">
        <v>11267</v>
      </c>
      <c r="AS6294" t="s">
        <v>11594</v>
      </c>
      <c r="BA6294" t="s">
        <v>11742</v>
      </c>
      <c r="BB6294">
        <v>0</v>
      </c>
      <c r="BC6294">
        <v>0</v>
      </c>
      <c r="BD6294">
        <v>0</v>
      </c>
      <c r="BE6294">
        <v>0</v>
      </c>
      <c r="BF6294">
        <v>7</v>
      </c>
      <c r="BG6294">
        <v>0</v>
      </c>
    </row>
    <row r="6295" spans="1:59">
      <c r="A6295" s="1">
        <f>HYPERLINK("https://lsnyc.legalserver.org/matter/dynamic-profile/view/1910621","19-1910621")</f>
        <v>0</v>
      </c>
      <c r="B6295" t="s">
        <v>4845</v>
      </c>
      <c r="C6295" t="s">
        <v>9743</v>
      </c>
      <c r="D6295" t="s">
        <v>9926</v>
      </c>
      <c r="E6295" t="s">
        <v>10075</v>
      </c>
      <c r="F6295">
        <v>10467</v>
      </c>
      <c r="G6295" t="s">
        <v>10090</v>
      </c>
      <c r="H6295" t="s">
        <v>4843</v>
      </c>
      <c r="I6295" t="s">
        <v>10168</v>
      </c>
      <c r="J6295" t="s">
        <v>10210</v>
      </c>
      <c r="K6295" t="s">
        <v>10217</v>
      </c>
      <c r="M6295" t="s">
        <v>10336</v>
      </c>
      <c r="N6295" t="s">
        <v>10671</v>
      </c>
      <c r="P6295" t="s">
        <v>10754</v>
      </c>
      <c r="Q6295" t="s">
        <v>10777</v>
      </c>
      <c r="R6295" t="s">
        <v>10825</v>
      </c>
      <c r="T6295">
        <v>9276</v>
      </c>
      <c r="U6295">
        <v>773</v>
      </c>
      <c r="V6295">
        <v>50</v>
      </c>
      <c r="W6295">
        <v>1</v>
      </c>
      <c r="X6295">
        <v>0</v>
      </c>
      <c r="Z6295">
        <v>74.27</v>
      </c>
      <c r="AA6295">
        <v>0</v>
      </c>
      <c r="AB6295">
        <v>0</v>
      </c>
      <c r="AD6295" t="s">
        <v>10840</v>
      </c>
      <c r="AG6295" t="s">
        <v>10858</v>
      </c>
      <c r="AH6295" t="s">
        <v>10861</v>
      </c>
      <c r="AI6295">
        <v>234</v>
      </c>
      <c r="AJ6295" t="s">
        <v>10214</v>
      </c>
      <c r="AL6295">
        <v>0.9</v>
      </c>
      <c r="AQ6295" t="s">
        <v>11128</v>
      </c>
      <c r="AR6295" t="s">
        <v>11263</v>
      </c>
      <c r="AS6295" t="s">
        <v>9926</v>
      </c>
      <c r="AT6295" t="s">
        <v>11642</v>
      </c>
      <c r="AX6295" t="s">
        <v>10838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</row>
    <row r="6296" spans="1:59">
      <c r="A6296" s="1">
        <f>HYPERLINK("https://lsnyc.legalserver.org/matter/dynamic-profile/view/1910622","19-1910622")</f>
        <v>0</v>
      </c>
      <c r="B6296" t="s">
        <v>4846</v>
      </c>
      <c r="C6296" t="s">
        <v>9744</v>
      </c>
      <c r="D6296" t="s">
        <v>9929</v>
      </c>
      <c r="E6296" t="s">
        <v>10075</v>
      </c>
      <c r="F6296">
        <v>10303</v>
      </c>
      <c r="G6296" t="s">
        <v>10088</v>
      </c>
      <c r="H6296" t="s">
        <v>4843</v>
      </c>
      <c r="I6296" t="s">
        <v>10169</v>
      </c>
      <c r="J6296" t="s">
        <v>10208</v>
      </c>
      <c r="K6296" t="s">
        <v>10217</v>
      </c>
      <c r="M6296" t="s">
        <v>10537</v>
      </c>
      <c r="N6296" t="s">
        <v>10671</v>
      </c>
      <c r="P6296" t="s">
        <v>10753</v>
      </c>
      <c r="Q6296" t="s">
        <v>10763</v>
      </c>
      <c r="R6296" t="s">
        <v>10821</v>
      </c>
      <c r="T6296">
        <v>0</v>
      </c>
      <c r="U6296">
        <v>0</v>
      </c>
      <c r="V6296">
        <v>29</v>
      </c>
      <c r="W6296">
        <v>1</v>
      </c>
      <c r="X6296">
        <v>0</v>
      </c>
      <c r="Z6296">
        <v>0</v>
      </c>
      <c r="AA6296">
        <v>40.632596</v>
      </c>
      <c r="AB6296">
        <v>-74.148792</v>
      </c>
      <c r="AD6296" t="s">
        <v>10839</v>
      </c>
      <c r="AF6296" t="s">
        <v>10843</v>
      </c>
      <c r="AG6296" t="s">
        <v>10859</v>
      </c>
      <c r="AH6296" t="s">
        <v>10871</v>
      </c>
      <c r="AI6296">
        <v>234</v>
      </c>
      <c r="AJ6296" t="s">
        <v>10214</v>
      </c>
      <c r="AL6296">
        <v>1</v>
      </c>
      <c r="AM6296" t="s">
        <v>10883</v>
      </c>
      <c r="AN6296" t="s">
        <v>10913</v>
      </c>
      <c r="AO6296" t="s">
        <v>11006</v>
      </c>
      <c r="AP6296" t="s">
        <v>11051</v>
      </c>
      <c r="AR6296" t="s">
        <v>11267</v>
      </c>
      <c r="AS6296" t="s">
        <v>11593</v>
      </c>
      <c r="AT6296" t="s">
        <v>11641</v>
      </c>
      <c r="AX6296" t="s">
        <v>10838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</row>
    <row r="6297" spans="1:59">
      <c r="A6297" s="1">
        <f>HYPERLINK("https://lsnyc.legalserver.org/matter/dynamic-profile/view/1910623","19-1910623")</f>
        <v>0</v>
      </c>
      <c r="B6297" t="s">
        <v>4847</v>
      </c>
      <c r="C6297" t="s">
        <v>9745</v>
      </c>
      <c r="D6297" t="s">
        <v>9928</v>
      </c>
      <c r="E6297" t="s">
        <v>10075</v>
      </c>
      <c r="F6297">
        <v>11239</v>
      </c>
      <c r="G6297" t="s">
        <v>10089</v>
      </c>
      <c r="H6297" t="s">
        <v>4843</v>
      </c>
      <c r="I6297" t="s">
        <v>10169</v>
      </c>
      <c r="J6297" t="s">
        <v>10209</v>
      </c>
      <c r="K6297" t="s">
        <v>10218</v>
      </c>
      <c r="L6297" t="s">
        <v>10158</v>
      </c>
      <c r="M6297" t="s">
        <v>10266</v>
      </c>
      <c r="N6297" t="s">
        <v>10649</v>
      </c>
      <c r="P6297" t="s">
        <v>10753</v>
      </c>
      <c r="Q6297" t="s">
        <v>10763</v>
      </c>
      <c r="R6297" t="s">
        <v>10823</v>
      </c>
      <c r="T6297">
        <v>10452</v>
      </c>
      <c r="U6297">
        <v>871</v>
      </c>
      <c r="V6297">
        <v>62</v>
      </c>
      <c r="W6297">
        <v>1</v>
      </c>
      <c r="X6297">
        <v>0</v>
      </c>
      <c r="Y6297" t="s">
        <v>10829</v>
      </c>
      <c r="Z6297">
        <v>83.68000000000001</v>
      </c>
      <c r="AA6297">
        <v>40.650067</v>
      </c>
      <c r="AB6297">
        <v>-73.881862</v>
      </c>
      <c r="AD6297" t="s">
        <v>10839</v>
      </c>
      <c r="AF6297" t="s">
        <v>10843</v>
      </c>
      <c r="AG6297" t="s">
        <v>10859</v>
      </c>
      <c r="AH6297" t="s">
        <v>10864</v>
      </c>
      <c r="AI6297">
        <v>236</v>
      </c>
      <c r="AJ6297" t="s">
        <v>10209</v>
      </c>
      <c r="AK6297" t="s">
        <v>10882</v>
      </c>
      <c r="AL6297">
        <v>1.15</v>
      </c>
      <c r="AM6297" t="s">
        <v>10889</v>
      </c>
      <c r="AN6297" t="s">
        <v>10946</v>
      </c>
      <c r="AO6297" t="s">
        <v>11012</v>
      </c>
      <c r="AP6297" t="s">
        <v>11060</v>
      </c>
      <c r="AQ6297" t="s">
        <v>11097</v>
      </c>
      <c r="AR6297" t="s">
        <v>11300</v>
      </c>
      <c r="AS6297" t="s">
        <v>9926</v>
      </c>
      <c r="AY6297" t="s">
        <v>10829</v>
      </c>
      <c r="AZ6297" t="s">
        <v>11709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</row>
    <row r="6298" spans="1:59">
      <c r="A6298" s="1">
        <f>HYPERLINK("https://lsnyc.legalserver.org/matter/dynamic-profile/view/1910624","19-1910624")</f>
        <v>0</v>
      </c>
      <c r="B6298" t="s">
        <v>4848</v>
      </c>
      <c r="C6298" t="s">
        <v>7709</v>
      </c>
      <c r="D6298" t="s">
        <v>9928</v>
      </c>
      <c r="E6298" t="s">
        <v>10075</v>
      </c>
      <c r="F6298">
        <v>11226</v>
      </c>
      <c r="G6298" t="s">
        <v>10093</v>
      </c>
      <c r="H6298" t="s">
        <v>4843</v>
      </c>
      <c r="I6298" t="s">
        <v>10168</v>
      </c>
      <c r="J6298" t="s">
        <v>10213</v>
      </c>
      <c r="K6298" t="s">
        <v>10217</v>
      </c>
      <c r="M6298" t="s">
        <v>10384</v>
      </c>
      <c r="N6298" t="s">
        <v>10650</v>
      </c>
      <c r="P6298" t="s">
        <v>10749</v>
      </c>
      <c r="Q6298" t="s">
        <v>10765</v>
      </c>
      <c r="R6298" t="s">
        <v>10824</v>
      </c>
      <c r="T6298">
        <v>12600</v>
      </c>
      <c r="U6298">
        <v>1050</v>
      </c>
      <c r="V6298">
        <v>29</v>
      </c>
      <c r="W6298">
        <v>2</v>
      </c>
      <c r="X6298">
        <v>0</v>
      </c>
      <c r="Z6298">
        <v>74.51000000000001</v>
      </c>
      <c r="AA6298">
        <v>40.642682</v>
      </c>
      <c r="AB6298">
        <v>-73.953731</v>
      </c>
      <c r="AD6298" t="s">
        <v>10839</v>
      </c>
      <c r="AF6298" t="s">
        <v>10854</v>
      </c>
      <c r="AG6298" t="s">
        <v>10859</v>
      </c>
      <c r="AH6298" t="s">
        <v>10862</v>
      </c>
      <c r="AI6298">
        <v>239</v>
      </c>
      <c r="AJ6298" t="s">
        <v>10213</v>
      </c>
      <c r="AL6298">
        <v>0.2</v>
      </c>
      <c r="AM6298" t="s">
        <v>10888</v>
      </c>
      <c r="AN6298" t="s">
        <v>10932</v>
      </c>
      <c r="AO6298" t="s">
        <v>11008</v>
      </c>
      <c r="AP6298" t="s">
        <v>11065</v>
      </c>
      <c r="AR6298" t="s">
        <v>11257</v>
      </c>
      <c r="AS6298" t="s">
        <v>11595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</row>
    <row r="6299" spans="1:59">
      <c r="A6299" s="1">
        <f>HYPERLINK("https://lsnyc.legalserver.org/matter/dynamic-profile/view/1910625","19-1910625")</f>
        <v>0</v>
      </c>
      <c r="B6299" t="s">
        <v>753</v>
      </c>
      <c r="C6299" t="s">
        <v>9746</v>
      </c>
      <c r="D6299" t="s">
        <v>9925</v>
      </c>
      <c r="E6299" t="s">
        <v>10075</v>
      </c>
      <c r="F6299">
        <v>10040</v>
      </c>
      <c r="G6299" t="s">
        <v>10089</v>
      </c>
      <c r="H6299" t="s">
        <v>4843</v>
      </c>
      <c r="I6299" t="s">
        <v>10168</v>
      </c>
      <c r="J6299" t="s">
        <v>10209</v>
      </c>
      <c r="K6299" t="s">
        <v>10217</v>
      </c>
      <c r="M6299" t="s">
        <v>10472</v>
      </c>
      <c r="N6299" t="s">
        <v>10671</v>
      </c>
      <c r="P6299" t="s">
        <v>10751</v>
      </c>
      <c r="Q6299" t="s">
        <v>10776</v>
      </c>
      <c r="R6299" t="s">
        <v>10821</v>
      </c>
      <c r="T6299">
        <v>31200</v>
      </c>
      <c r="U6299">
        <v>2600</v>
      </c>
      <c r="V6299">
        <v>48</v>
      </c>
      <c r="W6299">
        <v>2</v>
      </c>
      <c r="X6299">
        <v>0</v>
      </c>
      <c r="Z6299">
        <v>184.51</v>
      </c>
      <c r="AA6299">
        <v>40.854365</v>
      </c>
      <c r="AB6299">
        <v>-73.92895799999999</v>
      </c>
      <c r="AD6299" t="s">
        <v>10839</v>
      </c>
      <c r="AG6299" t="s">
        <v>10858</v>
      </c>
      <c r="AH6299" t="s">
        <v>10861</v>
      </c>
      <c r="AI6299">
        <v>234</v>
      </c>
      <c r="AJ6299" t="s">
        <v>10214</v>
      </c>
      <c r="AL6299">
        <v>1</v>
      </c>
      <c r="AM6299" t="s">
        <v>10887</v>
      </c>
      <c r="AN6299" t="s">
        <v>10937</v>
      </c>
      <c r="AO6299" t="s">
        <v>11019</v>
      </c>
      <c r="AP6299" t="s">
        <v>11074</v>
      </c>
      <c r="AR6299" t="s">
        <v>11257</v>
      </c>
      <c r="AS6299" t="s">
        <v>9925</v>
      </c>
      <c r="AT6299" t="s">
        <v>11641</v>
      </c>
      <c r="AX6299" t="s">
        <v>10838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</row>
    <row r="6300" spans="1:59">
      <c r="A6300" s="1">
        <f>HYPERLINK("https://lsnyc.legalserver.org/matter/dynamic-profile/view/1910626","19-1910626")</f>
        <v>0</v>
      </c>
      <c r="B6300" t="s">
        <v>4849</v>
      </c>
      <c r="C6300" t="s">
        <v>9747</v>
      </c>
      <c r="D6300" t="s">
        <v>9926</v>
      </c>
      <c r="E6300" t="s">
        <v>10075</v>
      </c>
      <c r="F6300">
        <v>10455</v>
      </c>
      <c r="G6300" t="s">
        <v>10090</v>
      </c>
      <c r="H6300" t="s">
        <v>4843</v>
      </c>
      <c r="I6300" t="s">
        <v>10168</v>
      </c>
      <c r="J6300" t="s">
        <v>10210</v>
      </c>
      <c r="K6300" t="s">
        <v>10217</v>
      </c>
      <c r="M6300" t="s">
        <v>10262</v>
      </c>
      <c r="N6300" t="s">
        <v>10671</v>
      </c>
      <c r="P6300" t="s">
        <v>10749</v>
      </c>
      <c r="Q6300" t="s">
        <v>10791</v>
      </c>
      <c r="R6300" t="s">
        <v>10821</v>
      </c>
      <c r="T6300">
        <v>2366</v>
      </c>
      <c r="U6300">
        <v>197.17</v>
      </c>
      <c r="V6300">
        <v>25</v>
      </c>
      <c r="W6300">
        <v>1</v>
      </c>
      <c r="X6300">
        <v>0</v>
      </c>
      <c r="Z6300">
        <v>18.94</v>
      </c>
      <c r="AA6300">
        <v>40.815432</v>
      </c>
      <c r="AB6300">
        <v>-73.89898700000001</v>
      </c>
      <c r="AD6300" t="s">
        <v>10840</v>
      </c>
      <c r="AG6300" t="s">
        <v>10858</v>
      </c>
      <c r="AH6300" t="s">
        <v>10861</v>
      </c>
      <c r="AI6300">
        <v>230</v>
      </c>
      <c r="AJ6300" t="s">
        <v>10210</v>
      </c>
      <c r="AL6300">
        <v>0.7</v>
      </c>
      <c r="AM6300" t="s">
        <v>10884</v>
      </c>
      <c r="AN6300" t="s">
        <v>10968</v>
      </c>
      <c r="AO6300" t="s">
        <v>11001</v>
      </c>
      <c r="AP6300" t="s">
        <v>11066</v>
      </c>
      <c r="AR6300" t="s">
        <v>11273</v>
      </c>
      <c r="AS6300" t="s">
        <v>9926</v>
      </c>
      <c r="AT6300" t="s">
        <v>11642</v>
      </c>
      <c r="AX6300" t="s">
        <v>10838</v>
      </c>
      <c r="BA6300" t="s">
        <v>11741</v>
      </c>
      <c r="BB6300">
        <v>0</v>
      </c>
      <c r="BC6300">
        <v>0</v>
      </c>
      <c r="BD6300">
        <v>0</v>
      </c>
      <c r="BE6300">
        <v>0</v>
      </c>
      <c r="BF6300">
        <v>1</v>
      </c>
      <c r="BG6300">
        <v>0</v>
      </c>
    </row>
    <row r="6301" spans="1:59">
      <c r="A6301" s="1">
        <f>HYPERLINK("https://lsnyc.legalserver.org/matter/dynamic-profile/view/1910627","19-1910627")</f>
        <v>0</v>
      </c>
      <c r="B6301" t="s">
        <v>1410</v>
      </c>
      <c r="C6301" t="s">
        <v>9748</v>
      </c>
      <c r="D6301" t="s">
        <v>9926</v>
      </c>
      <c r="E6301" t="s">
        <v>10075</v>
      </c>
      <c r="F6301">
        <v>10457</v>
      </c>
      <c r="G6301" t="s">
        <v>10090</v>
      </c>
      <c r="H6301" t="s">
        <v>4843</v>
      </c>
      <c r="I6301" t="s">
        <v>10168</v>
      </c>
      <c r="J6301" t="s">
        <v>10210</v>
      </c>
      <c r="K6301" t="s">
        <v>10217</v>
      </c>
      <c r="M6301" t="s">
        <v>10339</v>
      </c>
      <c r="N6301" t="s">
        <v>10651</v>
      </c>
      <c r="P6301" t="s">
        <v>10749</v>
      </c>
      <c r="Q6301" t="s">
        <v>10765</v>
      </c>
      <c r="R6301" t="s">
        <v>10821</v>
      </c>
      <c r="T6301">
        <v>16000</v>
      </c>
      <c r="U6301">
        <v>1333.33</v>
      </c>
      <c r="V6301">
        <v>30</v>
      </c>
      <c r="W6301">
        <v>2</v>
      </c>
      <c r="X6301">
        <v>0</v>
      </c>
      <c r="Z6301">
        <v>94.62</v>
      </c>
      <c r="AA6301">
        <v>40.841479</v>
      </c>
      <c r="AB6301">
        <v>-73.89198500000001</v>
      </c>
      <c r="AD6301" t="s">
        <v>10840</v>
      </c>
      <c r="AG6301" t="s">
        <v>10858</v>
      </c>
      <c r="AH6301" t="s">
        <v>10862</v>
      </c>
      <c r="AI6301">
        <v>230</v>
      </c>
      <c r="AJ6301" t="s">
        <v>10210</v>
      </c>
      <c r="AL6301">
        <v>0</v>
      </c>
      <c r="AM6301" t="s">
        <v>10884</v>
      </c>
      <c r="AN6301" t="s">
        <v>10918</v>
      </c>
      <c r="AO6301" t="s">
        <v>11000</v>
      </c>
      <c r="AP6301" t="s">
        <v>11062</v>
      </c>
      <c r="AR6301" t="s">
        <v>10180</v>
      </c>
      <c r="AS6301" t="s">
        <v>9926</v>
      </c>
      <c r="AT6301" t="s">
        <v>11642</v>
      </c>
      <c r="AV6301" t="s">
        <v>11655</v>
      </c>
      <c r="AW6301" t="s">
        <v>11666</v>
      </c>
      <c r="AX6301" t="s">
        <v>10838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</row>
    <row r="6302" spans="1:59">
      <c r="A6302" s="1">
        <f>HYPERLINK("https://lsnyc.legalserver.org/matter/dynamic-profile/view/1910628","19-1910628")</f>
        <v>0</v>
      </c>
      <c r="B6302" t="s">
        <v>4850</v>
      </c>
      <c r="C6302" t="s">
        <v>9749</v>
      </c>
      <c r="D6302" t="s">
        <v>9955</v>
      </c>
      <c r="E6302" t="s">
        <v>10075</v>
      </c>
      <c r="F6302">
        <v>11692</v>
      </c>
      <c r="G6302" t="s">
        <v>10091</v>
      </c>
      <c r="H6302" t="s">
        <v>4843</v>
      </c>
      <c r="I6302" t="s">
        <v>10168</v>
      </c>
      <c r="J6302" t="s">
        <v>10211</v>
      </c>
      <c r="K6302" t="s">
        <v>10217</v>
      </c>
      <c r="M6302" t="s">
        <v>10307</v>
      </c>
      <c r="N6302" t="s">
        <v>10671</v>
      </c>
      <c r="P6302" t="s">
        <v>10752</v>
      </c>
      <c r="Q6302" t="s">
        <v>10762</v>
      </c>
      <c r="R6302" t="s">
        <v>10822</v>
      </c>
      <c r="T6302">
        <v>21680</v>
      </c>
      <c r="U6302">
        <v>1806.67</v>
      </c>
      <c r="V6302">
        <v>32</v>
      </c>
      <c r="W6302">
        <v>1</v>
      </c>
      <c r="X6302">
        <v>1</v>
      </c>
      <c r="Z6302">
        <v>128.21</v>
      </c>
      <c r="AA6302">
        <v>40.591982</v>
      </c>
      <c r="AB6302">
        <v>-73.786231</v>
      </c>
      <c r="AD6302" t="s">
        <v>10839</v>
      </c>
      <c r="AG6302" t="s">
        <v>10858</v>
      </c>
      <c r="AH6302" t="s">
        <v>10861</v>
      </c>
      <c r="AI6302">
        <v>234</v>
      </c>
      <c r="AJ6302" t="s">
        <v>10214</v>
      </c>
      <c r="AL6302">
        <v>0.5</v>
      </c>
      <c r="AM6302" t="s">
        <v>10892</v>
      </c>
      <c r="AN6302" t="s">
        <v>10958</v>
      </c>
      <c r="AO6302" t="s">
        <v>11017</v>
      </c>
      <c r="AP6302" t="s">
        <v>11082</v>
      </c>
      <c r="AQ6302" t="s">
        <v>11110</v>
      </c>
      <c r="AR6302" t="s">
        <v>11282</v>
      </c>
      <c r="AS6302" t="s">
        <v>11594</v>
      </c>
      <c r="AT6302" t="s">
        <v>11641</v>
      </c>
      <c r="AX6302" t="s">
        <v>10838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</row>
    <row r="6303" spans="1:59">
      <c r="A6303" s="1">
        <f>HYPERLINK("https://lsnyc.legalserver.org/matter/dynamic-profile/view/1910629","19-1910629")</f>
        <v>0</v>
      </c>
      <c r="B6303" t="s">
        <v>4851</v>
      </c>
      <c r="C6303" t="s">
        <v>9750</v>
      </c>
      <c r="D6303" t="s">
        <v>9926</v>
      </c>
      <c r="E6303" t="s">
        <v>10075</v>
      </c>
      <c r="F6303">
        <v>10451</v>
      </c>
      <c r="G6303" t="s">
        <v>10090</v>
      </c>
      <c r="H6303" t="s">
        <v>4843</v>
      </c>
      <c r="I6303" t="s">
        <v>10168</v>
      </c>
      <c r="J6303" t="s">
        <v>10210</v>
      </c>
      <c r="K6303" t="s">
        <v>10217</v>
      </c>
      <c r="M6303" t="s">
        <v>10629</v>
      </c>
      <c r="N6303" t="s">
        <v>10650</v>
      </c>
      <c r="P6303" t="s">
        <v>10749</v>
      </c>
      <c r="Q6303" t="s">
        <v>10765</v>
      </c>
      <c r="R6303" t="s">
        <v>10824</v>
      </c>
      <c r="T6303">
        <v>25560</v>
      </c>
      <c r="U6303">
        <v>2130</v>
      </c>
      <c r="V6303">
        <v>49</v>
      </c>
      <c r="W6303">
        <v>2</v>
      </c>
      <c r="X6303">
        <v>0</v>
      </c>
      <c r="Z6303">
        <v>151.15</v>
      </c>
      <c r="AA6303">
        <v>40.824733</v>
      </c>
      <c r="AB6303">
        <v>-73.92188</v>
      </c>
      <c r="AD6303" t="s">
        <v>10839</v>
      </c>
      <c r="AG6303" t="s">
        <v>10858</v>
      </c>
      <c r="AH6303" t="s">
        <v>10862</v>
      </c>
      <c r="AI6303">
        <v>230</v>
      </c>
      <c r="AJ6303" t="s">
        <v>10210</v>
      </c>
      <c r="AL6303">
        <v>1</v>
      </c>
      <c r="AM6303" t="s">
        <v>10884</v>
      </c>
      <c r="AN6303" t="s">
        <v>10918</v>
      </c>
      <c r="AO6303" t="s">
        <v>11001</v>
      </c>
      <c r="AP6303" t="s">
        <v>11055</v>
      </c>
      <c r="AR6303" t="s">
        <v>11254</v>
      </c>
      <c r="AS6303" t="s">
        <v>9926</v>
      </c>
      <c r="BA6303" t="s">
        <v>11737</v>
      </c>
      <c r="BB6303">
        <v>0</v>
      </c>
      <c r="BC6303">
        <v>0</v>
      </c>
      <c r="BD6303">
        <v>0</v>
      </c>
      <c r="BE6303">
        <v>0</v>
      </c>
      <c r="BF6303">
        <v>3</v>
      </c>
      <c r="BG6303">
        <v>0</v>
      </c>
    </row>
    <row r="6304" spans="1:59">
      <c r="A6304" s="1">
        <f>HYPERLINK("https://lsnyc.legalserver.org/matter/dynamic-profile/view/1910630","19-1910630")</f>
        <v>0</v>
      </c>
      <c r="B6304" t="s">
        <v>4852</v>
      </c>
      <c r="C6304" t="s">
        <v>9751</v>
      </c>
      <c r="D6304" t="s">
        <v>9931</v>
      </c>
      <c r="E6304" t="s">
        <v>10075</v>
      </c>
      <c r="F6304">
        <v>11358</v>
      </c>
      <c r="G6304" t="s">
        <v>10092</v>
      </c>
      <c r="H6304" t="s">
        <v>4843</v>
      </c>
      <c r="I6304" t="s">
        <v>10168</v>
      </c>
      <c r="J6304" t="s">
        <v>10212</v>
      </c>
      <c r="K6304" t="s">
        <v>10217</v>
      </c>
      <c r="M6304" t="s">
        <v>10340</v>
      </c>
      <c r="N6304" t="s">
        <v>10671</v>
      </c>
      <c r="P6304" t="s">
        <v>10751</v>
      </c>
      <c r="Q6304" t="s">
        <v>10768</v>
      </c>
      <c r="R6304" t="s">
        <v>10824</v>
      </c>
      <c r="T6304">
        <v>0</v>
      </c>
      <c r="U6304">
        <v>0</v>
      </c>
      <c r="V6304">
        <v>39</v>
      </c>
      <c r="W6304">
        <v>1</v>
      </c>
      <c r="X6304">
        <v>0</v>
      </c>
      <c r="Z6304">
        <v>0</v>
      </c>
      <c r="AA6304">
        <v>40.761515</v>
      </c>
      <c r="AB6304">
        <v>-73.798045</v>
      </c>
      <c r="AD6304" t="s">
        <v>10839</v>
      </c>
      <c r="AG6304" t="s">
        <v>10858</v>
      </c>
      <c r="AH6304" t="s">
        <v>10861</v>
      </c>
      <c r="AI6304">
        <v>234</v>
      </c>
      <c r="AJ6304" t="s">
        <v>10214</v>
      </c>
      <c r="AL6304">
        <v>0.5</v>
      </c>
      <c r="AR6304" t="s">
        <v>11267</v>
      </c>
      <c r="AS6304" t="s">
        <v>11594</v>
      </c>
      <c r="AT6304" t="s">
        <v>11641</v>
      </c>
      <c r="AX6304" t="s">
        <v>10838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</row>
    <row r="6305" spans="1:59">
      <c r="A6305" s="1">
        <f>HYPERLINK("https://lsnyc.legalserver.org/matter/dynamic-profile/view/1910632","19-1910632")</f>
        <v>0</v>
      </c>
      <c r="B6305" t="s">
        <v>419</v>
      </c>
      <c r="C6305" t="s">
        <v>9752</v>
      </c>
      <c r="D6305" t="s">
        <v>9932</v>
      </c>
      <c r="E6305" t="s">
        <v>10075</v>
      </c>
      <c r="F6305">
        <v>11368</v>
      </c>
      <c r="G6305" t="s">
        <v>10092</v>
      </c>
      <c r="H6305" t="s">
        <v>4843</v>
      </c>
      <c r="I6305" t="s">
        <v>10169</v>
      </c>
      <c r="J6305" t="s">
        <v>10212</v>
      </c>
      <c r="K6305" t="s">
        <v>10218</v>
      </c>
      <c r="L6305" t="s">
        <v>10221</v>
      </c>
      <c r="M6305" t="s">
        <v>10610</v>
      </c>
      <c r="N6305" t="s">
        <v>10695</v>
      </c>
      <c r="P6305" t="s">
        <v>10749</v>
      </c>
      <c r="Q6305" t="s">
        <v>10765</v>
      </c>
      <c r="R6305" t="s">
        <v>10821</v>
      </c>
      <c r="T6305">
        <v>25000</v>
      </c>
      <c r="U6305">
        <v>2083.33</v>
      </c>
      <c r="V6305">
        <v>56</v>
      </c>
      <c r="W6305">
        <v>1</v>
      </c>
      <c r="X6305">
        <v>1</v>
      </c>
      <c r="Y6305" t="s">
        <v>10829</v>
      </c>
      <c r="Z6305">
        <v>147.84</v>
      </c>
      <c r="AA6305">
        <v>40.747827</v>
      </c>
      <c r="AB6305">
        <v>-73.861197</v>
      </c>
      <c r="AD6305" t="s">
        <v>10839</v>
      </c>
      <c r="AF6305" t="s">
        <v>10843</v>
      </c>
      <c r="AG6305" t="s">
        <v>10859</v>
      </c>
      <c r="AH6305" t="s">
        <v>10862</v>
      </c>
      <c r="AI6305">
        <v>237</v>
      </c>
      <c r="AJ6305" t="s">
        <v>10212</v>
      </c>
      <c r="AK6305" t="s">
        <v>10882</v>
      </c>
      <c r="AL6305">
        <v>1.9</v>
      </c>
      <c r="AM6305" t="s">
        <v>10885</v>
      </c>
      <c r="AN6305" t="s">
        <v>10949</v>
      </c>
      <c r="AO6305" t="s">
        <v>11014</v>
      </c>
      <c r="AP6305" t="s">
        <v>11068</v>
      </c>
      <c r="AR6305" t="s">
        <v>11257</v>
      </c>
      <c r="AS6305" t="s">
        <v>11594</v>
      </c>
      <c r="AY6305" t="s">
        <v>10829</v>
      </c>
      <c r="AZ6305" t="s">
        <v>11681</v>
      </c>
      <c r="BA6305" t="s">
        <v>11742</v>
      </c>
      <c r="BB6305">
        <v>0</v>
      </c>
      <c r="BC6305">
        <v>0</v>
      </c>
      <c r="BD6305">
        <v>0</v>
      </c>
      <c r="BE6305">
        <v>0</v>
      </c>
      <c r="BF6305">
        <v>7</v>
      </c>
      <c r="BG6305">
        <v>0</v>
      </c>
    </row>
    <row r="6306" spans="1:59">
      <c r="A6306" s="1">
        <f>HYPERLINK("https://lsnyc.legalserver.org/matter/dynamic-profile/view/1910633","19-1910633")</f>
        <v>0</v>
      </c>
      <c r="B6306" t="s">
        <v>4853</v>
      </c>
      <c r="C6306" t="s">
        <v>9753</v>
      </c>
      <c r="D6306" t="s">
        <v>9938</v>
      </c>
      <c r="E6306" t="s">
        <v>10075</v>
      </c>
      <c r="F6306">
        <v>11435</v>
      </c>
      <c r="G6306" t="s">
        <v>10092</v>
      </c>
      <c r="H6306" t="s">
        <v>4843</v>
      </c>
      <c r="I6306" t="s">
        <v>10168</v>
      </c>
      <c r="J6306" t="s">
        <v>10212</v>
      </c>
      <c r="K6306" t="s">
        <v>10217</v>
      </c>
      <c r="M6306" t="s">
        <v>10620</v>
      </c>
      <c r="N6306" t="s">
        <v>10695</v>
      </c>
      <c r="P6306" t="s">
        <v>10749</v>
      </c>
      <c r="Q6306" t="s">
        <v>10765</v>
      </c>
      <c r="R6306" t="s">
        <v>10825</v>
      </c>
      <c r="T6306">
        <v>0</v>
      </c>
      <c r="U6306">
        <v>0</v>
      </c>
      <c r="V6306">
        <v>49</v>
      </c>
      <c r="W6306">
        <v>1</v>
      </c>
      <c r="X6306">
        <v>0</v>
      </c>
      <c r="Z6306">
        <v>0</v>
      </c>
      <c r="AA6306">
        <v>40.688173</v>
      </c>
      <c r="AB6306">
        <v>-73.802286</v>
      </c>
      <c r="AD6306" t="s">
        <v>10839</v>
      </c>
      <c r="AF6306" t="s">
        <v>10843</v>
      </c>
      <c r="AG6306" t="s">
        <v>10859</v>
      </c>
      <c r="AH6306" t="s">
        <v>10862</v>
      </c>
      <c r="AI6306">
        <v>237</v>
      </c>
      <c r="AJ6306" t="s">
        <v>10212</v>
      </c>
      <c r="AL6306">
        <v>2.3</v>
      </c>
      <c r="AM6306" t="s">
        <v>10892</v>
      </c>
      <c r="AN6306" t="s">
        <v>10951</v>
      </c>
      <c r="AO6306" t="s">
        <v>11017</v>
      </c>
      <c r="AP6306" t="s">
        <v>11070</v>
      </c>
      <c r="AR6306" t="s">
        <v>11267</v>
      </c>
      <c r="AS6306" t="s">
        <v>11594</v>
      </c>
      <c r="BA6306" t="s">
        <v>11742</v>
      </c>
      <c r="BB6306">
        <v>0</v>
      </c>
      <c r="BC6306">
        <v>0</v>
      </c>
      <c r="BD6306">
        <v>0</v>
      </c>
      <c r="BE6306">
        <v>0</v>
      </c>
      <c r="BF6306">
        <v>7</v>
      </c>
      <c r="BG6306">
        <v>0</v>
      </c>
    </row>
    <row r="6307" spans="1:59">
      <c r="A6307" s="1">
        <f>HYPERLINK("https://lsnyc.legalserver.org/matter/dynamic-profile/view/1910634","19-1910634")</f>
        <v>0</v>
      </c>
      <c r="B6307" t="s">
        <v>1705</v>
      </c>
      <c r="C6307" t="s">
        <v>9754</v>
      </c>
      <c r="D6307" t="s">
        <v>9926</v>
      </c>
      <c r="E6307" t="s">
        <v>10075</v>
      </c>
      <c r="F6307">
        <v>10455</v>
      </c>
      <c r="G6307" t="s">
        <v>10090</v>
      </c>
      <c r="H6307" t="s">
        <v>4843</v>
      </c>
      <c r="I6307" t="s">
        <v>10168</v>
      </c>
      <c r="J6307" t="s">
        <v>10210</v>
      </c>
      <c r="K6307" t="s">
        <v>10217</v>
      </c>
      <c r="M6307" t="s">
        <v>10629</v>
      </c>
      <c r="N6307" t="s">
        <v>10666</v>
      </c>
      <c r="P6307" t="s">
        <v>10749</v>
      </c>
      <c r="Q6307" t="s">
        <v>10765</v>
      </c>
      <c r="R6307" t="s">
        <v>10824</v>
      </c>
      <c r="T6307">
        <v>24752</v>
      </c>
      <c r="U6307">
        <v>2062.67</v>
      </c>
      <c r="V6307">
        <v>52</v>
      </c>
      <c r="W6307">
        <v>2</v>
      </c>
      <c r="X6307">
        <v>0</v>
      </c>
      <c r="Z6307">
        <v>146.37</v>
      </c>
      <c r="AA6307">
        <v>40.81862</v>
      </c>
      <c r="AB6307">
        <v>-73.91754299999999</v>
      </c>
      <c r="AD6307" t="s">
        <v>10840</v>
      </c>
      <c r="AF6307" t="s">
        <v>10843</v>
      </c>
      <c r="AG6307" t="s">
        <v>10859</v>
      </c>
      <c r="AH6307" t="s">
        <v>10861</v>
      </c>
      <c r="AI6307">
        <v>230</v>
      </c>
      <c r="AJ6307" t="s">
        <v>10210</v>
      </c>
      <c r="AL6307">
        <v>0.5</v>
      </c>
      <c r="AM6307" t="s">
        <v>10884</v>
      </c>
      <c r="AN6307" t="s">
        <v>10924</v>
      </c>
      <c r="AO6307" t="s">
        <v>11001</v>
      </c>
      <c r="AP6307" t="s">
        <v>11062</v>
      </c>
      <c r="AR6307" t="s">
        <v>11257</v>
      </c>
      <c r="AS6307" t="s">
        <v>9926</v>
      </c>
      <c r="AT6307" t="s">
        <v>11642</v>
      </c>
      <c r="AX6307" t="s">
        <v>10838</v>
      </c>
      <c r="BA6307" t="s">
        <v>11741</v>
      </c>
      <c r="BB6307">
        <v>0</v>
      </c>
      <c r="BC6307">
        <v>0</v>
      </c>
      <c r="BD6307">
        <v>0</v>
      </c>
      <c r="BE6307">
        <v>0</v>
      </c>
      <c r="BF6307">
        <v>1</v>
      </c>
      <c r="BG6307">
        <v>0</v>
      </c>
    </row>
    <row r="6308" spans="1:59">
      <c r="A6308" s="1">
        <f>HYPERLINK("https://lsnyc.legalserver.org/matter/dynamic-profile/view/1910635","19-1910635")</f>
        <v>0</v>
      </c>
      <c r="B6308" t="s">
        <v>849</v>
      </c>
      <c r="C6308" t="s">
        <v>9755</v>
      </c>
      <c r="D6308" t="s">
        <v>9926</v>
      </c>
      <c r="E6308" t="s">
        <v>10075</v>
      </c>
      <c r="F6308">
        <v>10475</v>
      </c>
      <c r="G6308" t="s">
        <v>10090</v>
      </c>
      <c r="H6308" t="s">
        <v>4843</v>
      </c>
      <c r="I6308" t="s">
        <v>10168</v>
      </c>
      <c r="J6308" t="s">
        <v>10210</v>
      </c>
      <c r="K6308" t="s">
        <v>10217</v>
      </c>
      <c r="M6308" t="s">
        <v>10310</v>
      </c>
      <c r="N6308" t="s">
        <v>10683</v>
      </c>
      <c r="P6308" t="s">
        <v>10754</v>
      </c>
      <c r="Q6308" t="s">
        <v>10775</v>
      </c>
      <c r="R6308" t="s">
        <v>10824</v>
      </c>
      <c r="T6308">
        <v>42000</v>
      </c>
      <c r="U6308">
        <v>3500</v>
      </c>
      <c r="V6308">
        <v>57</v>
      </c>
      <c r="W6308">
        <v>1</v>
      </c>
      <c r="X6308">
        <v>0</v>
      </c>
      <c r="Z6308">
        <v>336.27</v>
      </c>
      <c r="AA6308">
        <v>40.874769</v>
      </c>
      <c r="AB6308">
        <v>-73.82571</v>
      </c>
      <c r="AD6308" t="s">
        <v>10839</v>
      </c>
      <c r="AG6308" t="s">
        <v>10858</v>
      </c>
      <c r="AH6308" t="s">
        <v>10865</v>
      </c>
      <c r="AI6308">
        <v>230</v>
      </c>
      <c r="AJ6308" t="s">
        <v>10210</v>
      </c>
      <c r="AL6308">
        <v>7.5</v>
      </c>
      <c r="AM6308" t="s">
        <v>10893</v>
      </c>
      <c r="AN6308" t="s">
        <v>10911</v>
      </c>
      <c r="AO6308" t="s">
        <v>11010</v>
      </c>
      <c r="AP6308" t="s">
        <v>11085</v>
      </c>
      <c r="AR6308" t="s">
        <v>11257</v>
      </c>
      <c r="AS6308" t="s">
        <v>9926</v>
      </c>
      <c r="AT6308" t="s">
        <v>11641</v>
      </c>
      <c r="AV6308" t="s">
        <v>11656</v>
      </c>
      <c r="AW6308" t="s">
        <v>11645</v>
      </c>
      <c r="AX6308" t="s">
        <v>10838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</row>
    <row r="6309" spans="1:59">
      <c r="A6309" s="1">
        <f>HYPERLINK("https://lsnyc.legalserver.org/matter/dynamic-profile/view/1910636","19-1910636")</f>
        <v>0</v>
      </c>
      <c r="B6309" t="s">
        <v>4854</v>
      </c>
      <c r="C6309" t="s">
        <v>9756</v>
      </c>
      <c r="D6309" t="s">
        <v>9925</v>
      </c>
      <c r="E6309" t="s">
        <v>10075</v>
      </c>
      <c r="F6309">
        <v>10009</v>
      </c>
      <c r="G6309" t="s">
        <v>10089</v>
      </c>
      <c r="H6309" t="s">
        <v>4843</v>
      </c>
      <c r="I6309" t="s">
        <v>10169</v>
      </c>
      <c r="J6309" t="s">
        <v>10209</v>
      </c>
      <c r="K6309" t="s">
        <v>10218</v>
      </c>
      <c r="L6309" t="s">
        <v>10158</v>
      </c>
      <c r="M6309" t="s">
        <v>10266</v>
      </c>
      <c r="N6309" t="s">
        <v>10649</v>
      </c>
      <c r="P6309" t="s">
        <v>10753</v>
      </c>
      <c r="Q6309" t="s">
        <v>10763</v>
      </c>
      <c r="R6309" t="s">
        <v>10821</v>
      </c>
      <c r="T6309">
        <v>8580</v>
      </c>
      <c r="U6309">
        <v>715</v>
      </c>
      <c r="V6309">
        <v>79</v>
      </c>
      <c r="W6309">
        <v>1</v>
      </c>
      <c r="X6309">
        <v>0</v>
      </c>
      <c r="Y6309" t="s">
        <v>10829</v>
      </c>
      <c r="Z6309">
        <v>68.69</v>
      </c>
      <c r="AA6309">
        <v>40.727728</v>
      </c>
      <c r="AB6309">
        <v>-73.980512</v>
      </c>
      <c r="AD6309" t="s">
        <v>10839</v>
      </c>
      <c r="AF6309" t="s">
        <v>10843</v>
      </c>
      <c r="AG6309" t="s">
        <v>10859</v>
      </c>
      <c r="AH6309" t="s">
        <v>10864</v>
      </c>
      <c r="AI6309">
        <v>236</v>
      </c>
      <c r="AJ6309" t="s">
        <v>10209</v>
      </c>
      <c r="AK6309" t="s">
        <v>10882</v>
      </c>
      <c r="AL6309">
        <v>1.15</v>
      </c>
      <c r="AM6309" t="s">
        <v>10891</v>
      </c>
      <c r="AN6309" t="s">
        <v>10910</v>
      </c>
      <c r="AO6309" t="s">
        <v>11021</v>
      </c>
      <c r="AP6309" t="s">
        <v>11048</v>
      </c>
      <c r="AQ6309" t="s">
        <v>11097</v>
      </c>
      <c r="AR6309" t="s">
        <v>11268</v>
      </c>
      <c r="AS6309" t="s">
        <v>9925</v>
      </c>
      <c r="AY6309" t="s">
        <v>10829</v>
      </c>
      <c r="AZ6309" t="s">
        <v>11709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</row>
    <row r="6310" spans="1:59">
      <c r="A6310" s="1">
        <f>HYPERLINK("https://lsnyc.legalserver.org/matter/dynamic-profile/view/1910637","19-1910637")</f>
        <v>0</v>
      </c>
      <c r="B6310" t="s">
        <v>4855</v>
      </c>
      <c r="C6310" t="s">
        <v>9757</v>
      </c>
      <c r="D6310" t="s">
        <v>9929</v>
      </c>
      <c r="E6310" t="s">
        <v>10075</v>
      </c>
      <c r="F6310">
        <v>10305</v>
      </c>
      <c r="G6310" t="s">
        <v>10091</v>
      </c>
      <c r="H6310" t="s">
        <v>4843</v>
      </c>
      <c r="I6310" t="s">
        <v>10168</v>
      </c>
      <c r="J6310" t="s">
        <v>10214</v>
      </c>
      <c r="K6310" t="s">
        <v>10217</v>
      </c>
      <c r="M6310" t="s">
        <v>10286</v>
      </c>
      <c r="N6310" t="s">
        <v>10646</v>
      </c>
      <c r="P6310" t="s">
        <v>10749</v>
      </c>
      <c r="Q6310" t="s">
        <v>10765</v>
      </c>
      <c r="R6310" t="s">
        <v>10820</v>
      </c>
      <c r="T6310">
        <v>66196</v>
      </c>
      <c r="U6310">
        <v>5516.33</v>
      </c>
      <c r="V6310">
        <v>30</v>
      </c>
      <c r="W6310">
        <v>2</v>
      </c>
      <c r="X6310">
        <v>1</v>
      </c>
      <c r="Z6310">
        <v>310.34</v>
      </c>
      <c r="AA6310">
        <v>40.578947</v>
      </c>
      <c r="AB6310">
        <v>-74.086853</v>
      </c>
      <c r="AD6310" t="s">
        <v>10839</v>
      </c>
      <c r="AG6310" t="s">
        <v>10858</v>
      </c>
      <c r="AH6310" t="s">
        <v>10861</v>
      </c>
      <c r="AI6310">
        <v>234</v>
      </c>
      <c r="AJ6310" t="s">
        <v>10214</v>
      </c>
      <c r="AL6310">
        <v>1</v>
      </c>
      <c r="AM6310" t="s">
        <v>10883</v>
      </c>
      <c r="AN6310" t="s">
        <v>10915</v>
      </c>
      <c r="AO6310" t="s">
        <v>10999</v>
      </c>
      <c r="AP6310" t="s">
        <v>11063</v>
      </c>
      <c r="AR6310" t="s">
        <v>11257</v>
      </c>
      <c r="AS6310" t="s">
        <v>11593</v>
      </c>
      <c r="AT6310" t="s">
        <v>11641</v>
      </c>
      <c r="AX6310" t="s">
        <v>10837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</row>
    <row r="6311" spans="1:59">
      <c r="A6311" s="1">
        <f>HYPERLINK("https://lsnyc.legalserver.org/matter/dynamic-profile/view/1910639","19-1910639")</f>
        <v>0</v>
      </c>
      <c r="B6311" t="s">
        <v>2034</v>
      </c>
      <c r="C6311" t="s">
        <v>9758</v>
      </c>
      <c r="D6311" t="s">
        <v>9925</v>
      </c>
      <c r="E6311" t="s">
        <v>10075</v>
      </c>
      <c r="F6311">
        <v>10036</v>
      </c>
      <c r="G6311" t="s">
        <v>10091</v>
      </c>
      <c r="H6311" t="s">
        <v>4843</v>
      </c>
      <c r="I6311" t="s">
        <v>10168</v>
      </c>
      <c r="J6311" t="s">
        <v>10214</v>
      </c>
      <c r="K6311" t="s">
        <v>10217</v>
      </c>
      <c r="M6311" t="s">
        <v>10286</v>
      </c>
      <c r="N6311" t="s">
        <v>10671</v>
      </c>
      <c r="P6311" t="s">
        <v>10749</v>
      </c>
      <c r="Q6311" t="s">
        <v>10765</v>
      </c>
      <c r="R6311" t="s">
        <v>10820</v>
      </c>
      <c r="T6311">
        <v>12000</v>
      </c>
      <c r="U6311">
        <v>1000</v>
      </c>
      <c r="V6311">
        <v>56</v>
      </c>
      <c r="W6311">
        <v>1</v>
      </c>
      <c r="X6311">
        <v>0</v>
      </c>
      <c r="Z6311">
        <v>96.08</v>
      </c>
      <c r="AA6311">
        <v>40.76354</v>
      </c>
      <c r="AB6311">
        <v>-73.99331100000001</v>
      </c>
      <c r="AD6311" t="s">
        <v>10839</v>
      </c>
      <c r="AG6311" t="s">
        <v>10858</v>
      </c>
      <c r="AH6311" t="s">
        <v>10871</v>
      </c>
      <c r="AI6311">
        <v>234</v>
      </c>
      <c r="AJ6311" t="s">
        <v>10214</v>
      </c>
      <c r="AL6311">
        <v>1</v>
      </c>
      <c r="AM6311" t="s">
        <v>10894</v>
      </c>
      <c r="AN6311" t="s">
        <v>10964</v>
      </c>
      <c r="AO6311" t="s">
        <v>11021</v>
      </c>
      <c r="AP6311" t="s">
        <v>11090</v>
      </c>
      <c r="AR6311" t="s">
        <v>11263</v>
      </c>
      <c r="AS6311" t="s">
        <v>9925</v>
      </c>
      <c r="AT6311" t="s">
        <v>11641</v>
      </c>
      <c r="AX6311" t="s">
        <v>10838</v>
      </c>
      <c r="BA6311" t="s">
        <v>11741</v>
      </c>
      <c r="BB6311">
        <v>0</v>
      </c>
      <c r="BC6311">
        <v>0</v>
      </c>
      <c r="BD6311">
        <v>0</v>
      </c>
      <c r="BE6311">
        <v>0</v>
      </c>
      <c r="BF6311">
        <v>1</v>
      </c>
      <c r="BG6311">
        <v>0</v>
      </c>
    </row>
    <row r="6312" spans="1:59">
      <c r="A6312" s="1">
        <f>HYPERLINK("https://lsnyc.legalserver.org/matter/dynamic-profile/view/1910640","19-1910640")</f>
        <v>0</v>
      </c>
      <c r="B6312" t="s">
        <v>4856</v>
      </c>
      <c r="C6312" t="s">
        <v>8603</v>
      </c>
      <c r="D6312" t="s">
        <v>9925</v>
      </c>
      <c r="E6312" t="s">
        <v>10075</v>
      </c>
      <c r="F6312">
        <v>10035</v>
      </c>
      <c r="G6312" t="s">
        <v>10089</v>
      </c>
      <c r="H6312" t="s">
        <v>4843</v>
      </c>
      <c r="I6312" t="s">
        <v>10168</v>
      </c>
      <c r="J6312" t="s">
        <v>10209</v>
      </c>
      <c r="K6312" t="s">
        <v>10217</v>
      </c>
      <c r="M6312" t="s">
        <v>10440</v>
      </c>
      <c r="N6312" t="s">
        <v>10650</v>
      </c>
      <c r="P6312" t="s">
        <v>10749</v>
      </c>
      <c r="Q6312" t="s">
        <v>10765</v>
      </c>
      <c r="R6312" t="s">
        <v>10821</v>
      </c>
      <c r="T6312">
        <v>40000</v>
      </c>
      <c r="U6312">
        <v>3333.33</v>
      </c>
      <c r="V6312">
        <v>38</v>
      </c>
      <c r="W6312">
        <v>1</v>
      </c>
      <c r="X6312">
        <v>2</v>
      </c>
      <c r="Z6312">
        <v>187.53</v>
      </c>
      <c r="AA6312">
        <v>40.800002</v>
      </c>
      <c r="AB6312">
        <v>-73.943319</v>
      </c>
      <c r="AD6312" t="s">
        <v>10839</v>
      </c>
      <c r="AG6312" t="s">
        <v>10858</v>
      </c>
      <c r="AH6312" t="s">
        <v>10862</v>
      </c>
      <c r="AI6312">
        <v>236</v>
      </c>
      <c r="AJ6312" t="s">
        <v>10209</v>
      </c>
      <c r="AL6312">
        <v>2.25</v>
      </c>
      <c r="AM6312" t="s">
        <v>10887</v>
      </c>
      <c r="AN6312" t="s">
        <v>10926</v>
      </c>
      <c r="AO6312" t="s">
        <v>11016</v>
      </c>
      <c r="AP6312" t="s">
        <v>11066</v>
      </c>
      <c r="AR6312" t="s">
        <v>11257</v>
      </c>
      <c r="AS6312" t="s">
        <v>9925</v>
      </c>
      <c r="AT6312" t="s">
        <v>11641</v>
      </c>
      <c r="AX6312" t="s">
        <v>10838</v>
      </c>
      <c r="BA6312" t="s">
        <v>11738</v>
      </c>
      <c r="BB6312">
        <v>0</v>
      </c>
      <c r="BC6312">
        <v>0</v>
      </c>
      <c r="BD6312">
        <v>0</v>
      </c>
      <c r="BE6312">
        <v>0</v>
      </c>
      <c r="BF6312">
        <v>5</v>
      </c>
      <c r="BG6312">
        <v>0</v>
      </c>
    </row>
    <row r="6313" spans="1:59">
      <c r="A6313" s="1">
        <f>HYPERLINK("https://lsnyc.legalserver.org/matter/dynamic-profile/view/1910641","19-1910641")</f>
        <v>0</v>
      </c>
      <c r="B6313" t="s">
        <v>4857</v>
      </c>
      <c r="C6313" t="s">
        <v>9759</v>
      </c>
      <c r="D6313" t="s">
        <v>9925</v>
      </c>
      <c r="E6313" t="s">
        <v>10075</v>
      </c>
      <c r="F6313">
        <v>10002</v>
      </c>
      <c r="G6313" t="s">
        <v>10089</v>
      </c>
      <c r="H6313" t="s">
        <v>4843</v>
      </c>
      <c r="I6313" t="s">
        <v>10169</v>
      </c>
      <c r="J6313" t="s">
        <v>10209</v>
      </c>
      <c r="K6313" t="s">
        <v>10218</v>
      </c>
      <c r="L6313" t="s">
        <v>10158</v>
      </c>
      <c r="M6313" t="s">
        <v>10266</v>
      </c>
      <c r="N6313" t="s">
        <v>10649</v>
      </c>
      <c r="P6313" t="s">
        <v>10753</v>
      </c>
      <c r="Q6313" t="s">
        <v>10763</v>
      </c>
      <c r="R6313" t="s">
        <v>10823</v>
      </c>
      <c r="T6313">
        <v>0</v>
      </c>
      <c r="U6313">
        <v>0</v>
      </c>
      <c r="V6313">
        <v>38</v>
      </c>
      <c r="W6313">
        <v>1</v>
      </c>
      <c r="X6313">
        <v>0</v>
      </c>
      <c r="Y6313" t="s">
        <v>10829</v>
      </c>
      <c r="Z6313">
        <v>0</v>
      </c>
      <c r="AA6313">
        <v>40.712659</v>
      </c>
      <c r="AB6313">
        <v>-73.99002299999999</v>
      </c>
      <c r="AD6313" t="s">
        <v>10840</v>
      </c>
      <c r="AF6313" t="s">
        <v>10843</v>
      </c>
      <c r="AG6313" t="s">
        <v>10859</v>
      </c>
      <c r="AH6313" t="s">
        <v>10864</v>
      </c>
      <c r="AI6313">
        <v>236</v>
      </c>
      <c r="AJ6313" t="s">
        <v>10209</v>
      </c>
      <c r="AK6313" t="s">
        <v>10882</v>
      </c>
      <c r="AL6313">
        <v>1.15</v>
      </c>
      <c r="AM6313" t="s">
        <v>10886</v>
      </c>
      <c r="AN6313" t="s">
        <v>10963</v>
      </c>
      <c r="AO6313" t="s">
        <v>11004</v>
      </c>
      <c r="AP6313" t="s">
        <v>11093</v>
      </c>
      <c r="AQ6313" t="s">
        <v>11161</v>
      </c>
      <c r="AR6313" t="s">
        <v>11267</v>
      </c>
      <c r="AS6313" t="s">
        <v>9925</v>
      </c>
      <c r="AY6313" t="s">
        <v>10829</v>
      </c>
      <c r="AZ6313" t="s">
        <v>11709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</row>
    <row r="6314" spans="1:59">
      <c r="A6314" s="1">
        <f>HYPERLINK("https://lsnyc.legalserver.org/matter/dynamic-profile/view/1910642","19-1910642")</f>
        <v>0</v>
      </c>
      <c r="B6314" t="s">
        <v>4856</v>
      </c>
      <c r="C6314" t="s">
        <v>8603</v>
      </c>
      <c r="D6314" t="s">
        <v>9925</v>
      </c>
      <c r="E6314" t="s">
        <v>10075</v>
      </c>
      <c r="F6314">
        <v>10035</v>
      </c>
      <c r="G6314" t="s">
        <v>10089</v>
      </c>
      <c r="H6314" t="s">
        <v>4843</v>
      </c>
      <c r="I6314" t="s">
        <v>10168</v>
      </c>
      <c r="J6314" t="s">
        <v>10209</v>
      </c>
      <c r="K6314" t="s">
        <v>10217</v>
      </c>
      <c r="M6314" t="s">
        <v>10440</v>
      </c>
      <c r="N6314" t="s">
        <v>10650</v>
      </c>
      <c r="P6314" t="s">
        <v>10749</v>
      </c>
      <c r="Q6314" t="s">
        <v>10765</v>
      </c>
      <c r="R6314" t="s">
        <v>10821</v>
      </c>
      <c r="T6314">
        <v>40000</v>
      </c>
      <c r="U6314">
        <v>3333.33</v>
      </c>
      <c r="V6314">
        <v>38</v>
      </c>
      <c r="W6314">
        <v>1</v>
      </c>
      <c r="X6314">
        <v>2</v>
      </c>
      <c r="Z6314">
        <v>187.53</v>
      </c>
      <c r="AA6314">
        <v>40.800002</v>
      </c>
      <c r="AB6314">
        <v>-73.943319</v>
      </c>
      <c r="AD6314" t="s">
        <v>10839</v>
      </c>
      <c r="AG6314" t="s">
        <v>10858</v>
      </c>
      <c r="AH6314" t="s">
        <v>10862</v>
      </c>
      <c r="AI6314">
        <v>236</v>
      </c>
      <c r="AJ6314" t="s">
        <v>10209</v>
      </c>
      <c r="AL6314">
        <v>0.2</v>
      </c>
      <c r="AM6314" t="s">
        <v>10887</v>
      </c>
      <c r="AN6314" t="s">
        <v>10926</v>
      </c>
      <c r="AO6314" t="s">
        <v>11016</v>
      </c>
      <c r="AP6314" t="s">
        <v>11066</v>
      </c>
      <c r="AR6314" t="s">
        <v>11257</v>
      </c>
      <c r="AS6314" t="s">
        <v>9925</v>
      </c>
      <c r="AT6314" t="s">
        <v>11641</v>
      </c>
      <c r="AX6314" t="s">
        <v>10838</v>
      </c>
      <c r="BA6314" t="s">
        <v>11737</v>
      </c>
      <c r="BB6314">
        <v>0</v>
      </c>
      <c r="BC6314">
        <v>0</v>
      </c>
      <c r="BD6314">
        <v>0</v>
      </c>
      <c r="BE6314">
        <v>0</v>
      </c>
      <c r="BF6314">
        <v>3</v>
      </c>
      <c r="BG6314">
        <v>0</v>
      </c>
    </row>
    <row r="6315" spans="1:59">
      <c r="A6315" s="1">
        <f>HYPERLINK("https://lsnyc.legalserver.org/matter/dynamic-profile/view/1910644","19-1910644")</f>
        <v>0</v>
      </c>
      <c r="B6315" t="s">
        <v>4858</v>
      </c>
      <c r="C6315" t="s">
        <v>9760</v>
      </c>
      <c r="D6315" t="s">
        <v>9928</v>
      </c>
      <c r="E6315" t="s">
        <v>10075</v>
      </c>
      <c r="F6315">
        <v>11207</v>
      </c>
      <c r="G6315" t="s">
        <v>10093</v>
      </c>
      <c r="H6315" t="s">
        <v>4843</v>
      </c>
      <c r="I6315" t="s">
        <v>10168</v>
      </c>
      <c r="J6315" t="s">
        <v>10213</v>
      </c>
      <c r="K6315" t="s">
        <v>10217</v>
      </c>
      <c r="M6315" t="s">
        <v>10564</v>
      </c>
      <c r="N6315" t="s">
        <v>10650</v>
      </c>
      <c r="P6315" t="s">
        <v>10749</v>
      </c>
      <c r="Q6315" t="s">
        <v>10765</v>
      </c>
      <c r="R6315" t="s">
        <v>10824</v>
      </c>
      <c r="T6315">
        <v>36000</v>
      </c>
      <c r="U6315">
        <v>3000</v>
      </c>
      <c r="V6315">
        <v>26</v>
      </c>
      <c r="W6315">
        <v>1</v>
      </c>
      <c r="X6315">
        <v>0</v>
      </c>
      <c r="Z6315">
        <v>288.23</v>
      </c>
      <c r="AA6315">
        <v>40.666547</v>
      </c>
      <c r="AB6315">
        <v>-73.90055700000001</v>
      </c>
      <c r="AC6315" t="s">
        <v>10837</v>
      </c>
      <c r="AD6315" t="s">
        <v>10840</v>
      </c>
      <c r="AG6315" t="s">
        <v>10858</v>
      </c>
      <c r="AH6315" t="s">
        <v>10861</v>
      </c>
      <c r="AI6315">
        <v>234</v>
      </c>
      <c r="AJ6315" t="s">
        <v>10214</v>
      </c>
      <c r="AL6315">
        <v>0.5</v>
      </c>
      <c r="AM6315" t="s">
        <v>10889</v>
      </c>
      <c r="AN6315" t="s">
        <v>10946</v>
      </c>
      <c r="AO6315" t="s">
        <v>11012</v>
      </c>
      <c r="AP6315" t="s">
        <v>11060</v>
      </c>
      <c r="AR6315" t="s">
        <v>11303</v>
      </c>
      <c r="AS6315" t="s">
        <v>11595</v>
      </c>
      <c r="AT6315" t="s">
        <v>11642</v>
      </c>
      <c r="AX6315" t="s">
        <v>10838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</row>
    <row r="6316" spans="1:59">
      <c r="A6316" s="1">
        <f>HYPERLINK("https://lsnyc.legalserver.org/matter/dynamic-profile/view/1910645","19-1910645")</f>
        <v>0</v>
      </c>
      <c r="B6316" t="s">
        <v>4856</v>
      </c>
      <c r="C6316" t="s">
        <v>8603</v>
      </c>
      <c r="D6316" t="s">
        <v>9925</v>
      </c>
      <c r="E6316" t="s">
        <v>10075</v>
      </c>
      <c r="F6316">
        <v>10035</v>
      </c>
      <c r="G6316" t="s">
        <v>10089</v>
      </c>
      <c r="H6316" t="s">
        <v>4843</v>
      </c>
      <c r="I6316" t="s">
        <v>10168</v>
      </c>
      <c r="J6316" t="s">
        <v>10209</v>
      </c>
      <c r="K6316" t="s">
        <v>10217</v>
      </c>
      <c r="M6316" t="s">
        <v>10440</v>
      </c>
      <c r="N6316" t="s">
        <v>10650</v>
      </c>
      <c r="P6316" t="s">
        <v>10749</v>
      </c>
      <c r="Q6316" t="s">
        <v>10765</v>
      </c>
      <c r="R6316" t="s">
        <v>10821</v>
      </c>
      <c r="T6316">
        <v>40000</v>
      </c>
      <c r="U6316">
        <v>3333.33</v>
      </c>
      <c r="V6316">
        <v>38</v>
      </c>
      <c r="W6316">
        <v>1</v>
      </c>
      <c r="X6316">
        <v>2</v>
      </c>
      <c r="Z6316">
        <v>187.53</v>
      </c>
      <c r="AA6316">
        <v>40.800002</v>
      </c>
      <c r="AB6316">
        <v>-73.943319</v>
      </c>
      <c r="AD6316" t="s">
        <v>10839</v>
      </c>
      <c r="AG6316" t="s">
        <v>10858</v>
      </c>
      <c r="AH6316" t="s">
        <v>10862</v>
      </c>
      <c r="AI6316">
        <v>236</v>
      </c>
      <c r="AJ6316" t="s">
        <v>10209</v>
      </c>
      <c r="AL6316">
        <v>0.2</v>
      </c>
      <c r="AM6316" t="s">
        <v>10887</v>
      </c>
      <c r="AN6316" t="s">
        <v>10926</v>
      </c>
      <c r="AO6316" t="s">
        <v>11016</v>
      </c>
      <c r="AP6316" t="s">
        <v>11066</v>
      </c>
      <c r="AR6316" t="s">
        <v>11257</v>
      </c>
      <c r="AS6316" t="s">
        <v>9925</v>
      </c>
      <c r="AT6316" t="s">
        <v>11641</v>
      </c>
      <c r="AX6316" t="s">
        <v>10838</v>
      </c>
      <c r="BA6316" t="s">
        <v>11737</v>
      </c>
      <c r="BB6316">
        <v>0</v>
      </c>
      <c r="BC6316">
        <v>0</v>
      </c>
      <c r="BD6316">
        <v>0</v>
      </c>
      <c r="BE6316">
        <v>0</v>
      </c>
      <c r="BF6316">
        <v>3</v>
      </c>
      <c r="BG6316">
        <v>0</v>
      </c>
    </row>
    <row r="6317" spans="1:59">
      <c r="A6317" s="1">
        <f>HYPERLINK("https://lsnyc.legalserver.org/matter/dynamic-profile/view/1910647","19-1910647")</f>
        <v>0</v>
      </c>
      <c r="B6317" t="s">
        <v>3486</v>
      </c>
      <c r="C6317" t="s">
        <v>9761</v>
      </c>
      <c r="D6317" t="s">
        <v>9928</v>
      </c>
      <c r="E6317" t="s">
        <v>10075</v>
      </c>
      <c r="F6317">
        <v>11233</v>
      </c>
      <c r="G6317" t="s">
        <v>10089</v>
      </c>
      <c r="H6317" t="s">
        <v>4843</v>
      </c>
      <c r="J6317" t="s">
        <v>10209</v>
      </c>
      <c r="K6317" t="s">
        <v>10217</v>
      </c>
      <c r="M6317" t="s">
        <v>10402</v>
      </c>
      <c r="N6317" t="s">
        <v>10707</v>
      </c>
      <c r="P6317" t="s">
        <v>10749</v>
      </c>
      <c r="Q6317" t="s">
        <v>10765</v>
      </c>
      <c r="R6317" t="s">
        <v>10824</v>
      </c>
      <c r="T6317">
        <v>22020</v>
      </c>
      <c r="U6317">
        <v>1835</v>
      </c>
      <c r="V6317">
        <v>59</v>
      </c>
      <c r="W6317">
        <v>2</v>
      </c>
      <c r="X6317">
        <v>0</v>
      </c>
      <c r="Z6317">
        <v>130.22</v>
      </c>
      <c r="AA6317">
        <v>40.682159</v>
      </c>
      <c r="AB6317">
        <v>-73.935045</v>
      </c>
      <c r="AD6317" t="s">
        <v>10840</v>
      </c>
      <c r="AG6317" t="s">
        <v>10858</v>
      </c>
      <c r="AH6317" t="s">
        <v>10868</v>
      </c>
      <c r="AI6317">
        <v>236</v>
      </c>
      <c r="AJ6317" t="s">
        <v>10209</v>
      </c>
      <c r="AL6317">
        <v>3</v>
      </c>
      <c r="AM6317" t="s">
        <v>10889</v>
      </c>
      <c r="AN6317" t="s">
        <v>10914</v>
      </c>
      <c r="AO6317" t="s">
        <v>11007</v>
      </c>
      <c r="AP6317" t="s">
        <v>11052</v>
      </c>
      <c r="AR6317" t="s">
        <v>11328</v>
      </c>
      <c r="AS6317" t="s">
        <v>11595</v>
      </c>
      <c r="AT6317" t="s">
        <v>11642</v>
      </c>
      <c r="AX6317" t="s">
        <v>10837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</row>
    <row r="6318" spans="1:59">
      <c r="A6318" s="1">
        <f>HYPERLINK("https://lsnyc.legalserver.org/matter/dynamic-profile/view/1910648","19-1910648")</f>
        <v>0</v>
      </c>
      <c r="B6318" t="s">
        <v>4859</v>
      </c>
      <c r="C6318" t="s">
        <v>9762</v>
      </c>
      <c r="D6318" t="s">
        <v>9926</v>
      </c>
      <c r="E6318" t="s">
        <v>10075</v>
      </c>
      <c r="F6318">
        <v>10465</v>
      </c>
      <c r="G6318" t="s">
        <v>10090</v>
      </c>
      <c r="H6318" t="s">
        <v>4843</v>
      </c>
      <c r="I6318" t="s">
        <v>10168</v>
      </c>
      <c r="J6318" t="s">
        <v>10210</v>
      </c>
      <c r="K6318" t="s">
        <v>10217</v>
      </c>
      <c r="M6318" t="s">
        <v>10336</v>
      </c>
      <c r="N6318" t="s">
        <v>10671</v>
      </c>
      <c r="P6318" t="s">
        <v>10754</v>
      </c>
      <c r="Q6318" t="s">
        <v>10770</v>
      </c>
      <c r="R6318" t="s">
        <v>10821</v>
      </c>
      <c r="T6318">
        <v>9384</v>
      </c>
      <c r="U6318">
        <v>782</v>
      </c>
      <c r="V6318">
        <v>36</v>
      </c>
      <c r="W6318">
        <v>1</v>
      </c>
      <c r="X6318">
        <v>0</v>
      </c>
      <c r="Z6318">
        <v>75.13</v>
      </c>
      <c r="AA6318">
        <v>40.81669</v>
      </c>
      <c r="AB6318">
        <v>-73.81357800000001</v>
      </c>
      <c r="AD6318" t="s">
        <v>10839</v>
      </c>
      <c r="AG6318" t="s">
        <v>10858</v>
      </c>
      <c r="AH6318" t="s">
        <v>10861</v>
      </c>
      <c r="AI6318">
        <v>234</v>
      </c>
      <c r="AJ6318" t="s">
        <v>10214</v>
      </c>
      <c r="AL6318">
        <v>0.7</v>
      </c>
      <c r="AM6318" t="s">
        <v>10885</v>
      </c>
      <c r="AN6318" t="s">
        <v>10911</v>
      </c>
      <c r="AO6318" t="s">
        <v>11002</v>
      </c>
      <c r="AP6318" t="s">
        <v>11049</v>
      </c>
      <c r="AQ6318" t="s">
        <v>11206</v>
      </c>
      <c r="AR6318" t="s">
        <v>11255</v>
      </c>
      <c r="AS6318" t="s">
        <v>9926</v>
      </c>
      <c r="AT6318" t="s">
        <v>11641</v>
      </c>
      <c r="AX6318" t="s">
        <v>10838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</row>
    <row r="6319" spans="1:59">
      <c r="A6319" s="1">
        <f>HYPERLINK("https://lsnyc.legalserver.org/matter/dynamic-profile/view/1910649","19-1910649")</f>
        <v>0</v>
      </c>
      <c r="B6319" t="s">
        <v>4860</v>
      </c>
      <c r="C6319" t="s">
        <v>9763</v>
      </c>
      <c r="D6319" t="s">
        <v>9928</v>
      </c>
      <c r="E6319" t="s">
        <v>10075</v>
      </c>
      <c r="F6319">
        <v>11208</v>
      </c>
      <c r="G6319" t="s">
        <v>10089</v>
      </c>
      <c r="H6319" t="s">
        <v>10156</v>
      </c>
      <c r="I6319" t="s">
        <v>10168</v>
      </c>
      <c r="J6319" t="s">
        <v>10209</v>
      </c>
      <c r="K6319" t="s">
        <v>10217</v>
      </c>
      <c r="M6319" t="s">
        <v>10302</v>
      </c>
      <c r="N6319" t="s">
        <v>10681</v>
      </c>
      <c r="P6319" t="s">
        <v>10754</v>
      </c>
      <c r="Q6319" t="s">
        <v>10777</v>
      </c>
      <c r="R6319" t="s">
        <v>10821</v>
      </c>
      <c r="T6319">
        <v>0</v>
      </c>
      <c r="U6319">
        <v>0</v>
      </c>
      <c r="V6319">
        <v>47</v>
      </c>
      <c r="W6319">
        <v>1</v>
      </c>
      <c r="X6319">
        <v>0</v>
      </c>
      <c r="Z6319">
        <v>0</v>
      </c>
      <c r="AA6319">
        <v>40.718831</v>
      </c>
      <c r="AB6319">
        <v>-73.947097</v>
      </c>
      <c r="AD6319" t="s">
        <v>10839</v>
      </c>
      <c r="AG6319" t="s">
        <v>10858</v>
      </c>
      <c r="AH6319" t="s">
        <v>10875</v>
      </c>
      <c r="AI6319">
        <v>236</v>
      </c>
      <c r="AJ6319" t="s">
        <v>10209</v>
      </c>
      <c r="AL6319">
        <v>0</v>
      </c>
      <c r="AQ6319" t="s">
        <v>11128</v>
      </c>
      <c r="AR6319" t="s">
        <v>11267</v>
      </c>
      <c r="AS6319" t="s">
        <v>11595</v>
      </c>
      <c r="AT6319" t="s">
        <v>11641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</row>
    <row r="6320" spans="1:59">
      <c r="A6320" s="1">
        <f>HYPERLINK("https://lsnyc.legalserver.org/matter/dynamic-profile/view/1910650","19-1910650")</f>
        <v>0</v>
      </c>
      <c r="B6320" t="s">
        <v>2209</v>
      </c>
      <c r="C6320" t="s">
        <v>9764</v>
      </c>
      <c r="D6320" t="s">
        <v>9928</v>
      </c>
      <c r="E6320" t="s">
        <v>10075</v>
      </c>
      <c r="F6320">
        <v>11221</v>
      </c>
      <c r="G6320" t="s">
        <v>10093</v>
      </c>
      <c r="H6320" t="s">
        <v>4843</v>
      </c>
      <c r="I6320" t="s">
        <v>10168</v>
      </c>
      <c r="J6320" t="s">
        <v>10213</v>
      </c>
      <c r="K6320" t="s">
        <v>10217</v>
      </c>
      <c r="M6320" t="s">
        <v>10317</v>
      </c>
      <c r="N6320" t="s">
        <v>10671</v>
      </c>
      <c r="P6320" t="s">
        <v>10751</v>
      </c>
      <c r="Q6320" t="s">
        <v>10776</v>
      </c>
      <c r="R6320" t="s">
        <v>10824</v>
      </c>
      <c r="T6320">
        <v>2400</v>
      </c>
      <c r="U6320">
        <v>200</v>
      </c>
      <c r="V6320">
        <v>37</v>
      </c>
      <c r="W6320">
        <v>1</v>
      </c>
      <c r="X6320">
        <v>0</v>
      </c>
      <c r="Z6320">
        <v>19.22</v>
      </c>
      <c r="AA6320">
        <v>40.687712</v>
      </c>
      <c r="AB6320">
        <v>-73.91980100000001</v>
      </c>
      <c r="AD6320" t="s">
        <v>10839</v>
      </c>
      <c r="AG6320" t="s">
        <v>10858</v>
      </c>
      <c r="AH6320" t="s">
        <v>10871</v>
      </c>
      <c r="AI6320">
        <v>234</v>
      </c>
      <c r="AJ6320" t="s">
        <v>10214</v>
      </c>
      <c r="AL6320">
        <v>1.16</v>
      </c>
      <c r="AM6320" t="s">
        <v>10889</v>
      </c>
      <c r="AN6320" t="s">
        <v>10922</v>
      </c>
      <c r="AO6320" t="s">
        <v>11011</v>
      </c>
      <c r="AP6320" t="s">
        <v>11064</v>
      </c>
      <c r="AR6320" t="s">
        <v>11320</v>
      </c>
      <c r="AS6320" t="s">
        <v>11595</v>
      </c>
      <c r="AT6320" t="s">
        <v>11641</v>
      </c>
      <c r="AX6320" t="s">
        <v>10837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</row>
    <row r="6321" spans="1:59">
      <c r="A6321" s="1">
        <f>HYPERLINK("https://lsnyc.legalserver.org/matter/dynamic-profile/view/1910653","19-1910653")</f>
        <v>0</v>
      </c>
      <c r="B6321" t="s">
        <v>4861</v>
      </c>
      <c r="C6321" t="s">
        <v>9765</v>
      </c>
      <c r="D6321" t="s">
        <v>9928</v>
      </c>
      <c r="E6321" t="s">
        <v>10075</v>
      </c>
      <c r="F6321">
        <v>11215</v>
      </c>
      <c r="G6321" t="s">
        <v>10093</v>
      </c>
      <c r="H6321" t="s">
        <v>4843</v>
      </c>
      <c r="I6321" t="s">
        <v>10168</v>
      </c>
      <c r="J6321" t="s">
        <v>10213</v>
      </c>
      <c r="K6321" t="s">
        <v>10217</v>
      </c>
      <c r="M6321" t="s">
        <v>10275</v>
      </c>
      <c r="N6321" t="s">
        <v>10657</v>
      </c>
      <c r="P6321" t="s">
        <v>10756</v>
      </c>
      <c r="Q6321" t="s">
        <v>10792</v>
      </c>
      <c r="R6321" t="s">
        <v>10821</v>
      </c>
      <c r="T6321">
        <v>10296</v>
      </c>
      <c r="U6321">
        <v>858</v>
      </c>
      <c r="V6321">
        <v>68</v>
      </c>
      <c r="W6321">
        <v>1</v>
      </c>
      <c r="X6321">
        <v>0</v>
      </c>
      <c r="Z6321">
        <v>82.43000000000001</v>
      </c>
      <c r="AA6321">
        <v>40.665318</v>
      </c>
      <c r="AB6321">
        <v>-73.990154</v>
      </c>
      <c r="AD6321" t="s">
        <v>10839</v>
      </c>
      <c r="AG6321" t="s">
        <v>10858</v>
      </c>
      <c r="AH6321" t="s">
        <v>10862</v>
      </c>
      <c r="AI6321">
        <v>239</v>
      </c>
      <c r="AJ6321" t="s">
        <v>10213</v>
      </c>
      <c r="AL6321">
        <v>1.1</v>
      </c>
      <c r="AM6321" t="s">
        <v>10886</v>
      </c>
      <c r="AN6321" t="s">
        <v>10917</v>
      </c>
      <c r="AO6321" t="s">
        <v>11008</v>
      </c>
      <c r="AP6321" t="s">
        <v>11059</v>
      </c>
      <c r="AR6321" t="s">
        <v>11348</v>
      </c>
      <c r="AS6321" t="s">
        <v>11595</v>
      </c>
      <c r="AT6321" t="s">
        <v>11641</v>
      </c>
      <c r="AX6321" t="s">
        <v>10838</v>
      </c>
      <c r="BA6321" t="s">
        <v>11741</v>
      </c>
      <c r="BB6321">
        <v>0</v>
      </c>
      <c r="BC6321">
        <v>0</v>
      </c>
      <c r="BD6321">
        <v>0</v>
      </c>
      <c r="BE6321">
        <v>0</v>
      </c>
      <c r="BF6321">
        <v>1</v>
      </c>
      <c r="BG6321">
        <v>0</v>
      </c>
    </row>
    <row r="6322" spans="1:59">
      <c r="A6322" s="1">
        <f>HYPERLINK("https://lsnyc.legalserver.org/matter/dynamic-profile/view/1910654","19-1910654")</f>
        <v>0</v>
      </c>
      <c r="B6322" t="s">
        <v>4862</v>
      </c>
      <c r="C6322" t="s">
        <v>9766</v>
      </c>
      <c r="D6322" t="s">
        <v>9935</v>
      </c>
      <c r="E6322" t="s">
        <v>10075</v>
      </c>
      <c r="F6322">
        <v>11369</v>
      </c>
      <c r="G6322" t="s">
        <v>10092</v>
      </c>
      <c r="H6322" t="s">
        <v>4843</v>
      </c>
      <c r="I6322" t="s">
        <v>10168</v>
      </c>
      <c r="J6322" t="s">
        <v>10212</v>
      </c>
      <c r="K6322" t="s">
        <v>10217</v>
      </c>
      <c r="M6322" t="s">
        <v>10461</v>
      </c>
      <c r="N6322" t="s">
        <v>10714</v>
      </c>
      <c r="P6322" t="s">
        <v>10753</v>
      </c>
      <c r="Q6322" t="s">
        <v>10763</v>
      </c>
      <c r="R6322" t="s">
        <v>10823</v>
      </c>
      <c r="T6322">
        <v>72000</v>
      </c>
      <c r="U6322">
        <v>6000</v>
      </c>
      <c r="V6322">
        <v>47</v>
      </c>
      <c r="W6322">
        <v>6</v>
      </c>
      <c r="X6322">
        <v>7</v>
      </c>
      <c r="Z6322">
        <v>109.87</v>
      </c>
      <c r="AA6322">
        <v>40.766928</v>
      </c>
      <c r="AB6322">
        <v>-73.864814</v>
      </c>
      <c r="AD6322" t="s">
        <v>10840</v>
      </c>
      <c r="AF6322" t="s">
        <v>10851</v>
      </c>
      <c r="AG6322" t="s">
        <v>10859</v>
      </c>
      <c r="AH6322" t="s">
        <v>10865</v>
      </c>
      <c r="AI6322">
        <v>237</v>
      </c>
      <c r="AJ6322" t="s">
        <v>10212</v>
      </c>
      <c r="AL6322">
        <v>8</v>
      </c>
      <c r="AM6322" t="s">
        <v>10885</v>
      </c>
      <c r="AN6322" t="s">
        <v>10916</v>
      </c>
      <c r="AO6322" t="s">
        <v>11014</v>
      </c>
      <c r="AP6322" t="s">
        <v>11068</v>
      </c>
      <c r="AQ6322" t="s">
        <v>11160</v>
      </c>
      <c r="AR6322" t="s">
        <v>11257</v>
      </c>
      <c r="AS6322" t="s">
        <v>11594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</row>
    <row r="6323" spans="1:59">
      <c r="A6323" s="1">
        <f>HYPERLINK("https://lsnyc.legalserver.org/matter/dynamic-profile/view/1910655","19-1910655")</f>
        <v>0</v>
      </c>
      <c r="B6323" t="s">
        <v>600</v>
      </c>
      <c r="C6323" t="s">
        <v>9767</v>
      </c>
      <c r="D6323" t="s">
        <v>9928</v>
      </c>
      <c r="E6323" t="s">
        <v>10075</v>
      </c>
      <c r="F6323">
        <v>11213</v>
      </c>
      <c r="G6323" t="s">
        <v>10093</v>
      </c>
      <c r="H6323" t="s">
        <v>4843</v>
      </c>
      <c r="I6323" t="s">
        <v>10168</v>
      </c>
      <c r="J6323" t="s">
        <v>10213</v>
      </c>
      <c r="K6323" t="s">
        <v>10217</v>
      </c>
      <c r="M6323" t="s">
        <v>10405</v>
      </c>
      <c r="N6323" t="s">
        <v>10646</v>
      </c>
      <c r="P6323" t="s">
        <v>10749</v>
      </c>
      <c r="Q6323" t="s">
        <v>10765</v>
      </c>
      <c r="R6323" t="s">
        <v>10820</v>
      </c>
      <c r="T6323">
        <v>0</v>
      </c>
      <c r="U6323">
        <v>0</v>
      </c>
      <c r="V6323">
        <v>26</v>
      </c>
      <c r="W6323">
        <v>1</v>
      </c>
      <c r="X6323">
        <v>0</v>
      </c>
      <c r="Z6323">
        <v>0</v>
      </c>
      <c r="AA6323">
        <v>40.67081</v>
      </c>
      <c r="AB6323">
        <v>-73.94059799999999</v>
      </c>
      <c r="AD6323" t="s">
        <v>10839</v>
      </c>
      <c r="AG6323" t="s">
        <v>10858</v>
      </c>
      <c r="AH6323" t="s">
        <v>10861</v>
      </c>
      <c r="AI6323">
        <v>234</v>
      </c>
      <c r="AJ6323" t="s">
        <v>10214</v>
      </c>
      <c r="AL6323">
        <v>1.2</v>
      </c>
      <c r="AM6323" t="s">
        <v>10888</v>
      </c>
      <c r="AN6323" t="s">
        <v>10914</v>
      </c>
      <c r="AO6323" t="s">
        <v>11005</v>
      </c>
      <c r="AP6323" t="s">
        <v>11061</v>
      </c>
      <c r="AR6323" t="s">
        <v>11267</v>
      </c>
      <c r="AS6323" t="s">
        <v>11595</v>
      </c>
      <c r="AT6323" t="s">
        <v>11641</v>
      </c>
      <c r="AX6323" t="s">
        <v>10837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</row>
    <row r="6324" spans="1:59">
      <c r="A6324" s="1">
        <f>HYPERLINK("https://lsnyc.legalserver.org/matter/dynamic-profile/view/1910656","19-1910656")</f>
        <v>0</v>
      </c>
      <c r="B6324" t="s">
        <v>4863</v>
      </c>
      <c r="C6324" t="s">
        <v>9768</v>
      </c>
      <c r="D6324" t="s">
        <v>9933</v>
      </c>
      <c r="E6324" t="s">
        <v>10075</v>
      </c>
      <c r="F6324">
        <v>11420</v>
      </c>
      <c r="G6324" t="s">
        <v>10092</v>
      </c>
      <c r="H6324" t="s">
        <v>4843</v>
      </c>
      <c r="I6324" t="s">
        <v>10168</v>
      </c>
      <c r="J6324" t="s">
        <v>10212</v>
      </c>
      <c r="K6324" t="s">
        <v>10217</v>
      </c>
      <c r="M6324" t="s">
        <v>10340</v>
      </c>
      <c r="N6324" t="s">
        <v>10671</v>
      </c>
      <c r="P6324" t="s">
        <v>10751</v>
      </c>
      <c r="Q6324" t="s">
        <v>10780</v>
      </c>
      <c r="R6324" t="s">
        <v>10827</v>
      </c>
      <c r="T6324">
        <v>29640</v>
      </c>
      <c r="U6324">
        <v>2470</v>
      </c>
      <c r="V6324">
        <v>64</v>
      </c>
      <c r="W6324">
        <v>2</v>
      </c>
      <c r="X6324">
        <v>0</v>
      </c>
      <c r="Z6324">
        <v>175.28</v>
      </c>
      <c r="AA6324">
        <v>40.677229</v>
      </c>
      <c r="AB6324">
        <v>-73.82193599999999</v>
      </c>
      <c r="AD6324" t="s">
        <v>10839</v>
      </c>
      <c r="AG6324" t="s">
        <v>10858</v>
      </c>
      <c r="AH6324" t="s">
        <v>10861</v>
      </c>
      <c r="AI6324">
        <v>234</v>
      </c>
      <c r="AJ6324" t="s">
        <v>10214</v>
      </c>
      <c r="AL6324">
        <v>0.6</v>
      </c>
      <c r="AM6324" t="s">
        <v>10892</v>
      </c>
      <c r="AN6324" t="s">
        <v>10930</v>
      </c>
      <c r="AO6324" t="s">
        <v>11017</v>
      </c>
      <c r="AP6324" t="s">
        <v>11070</v>
      </c>
      <c r="AR6324" t="s">
        <v>11257</v>
      </c>
      <c r="AS6324" t="s">
        <v>11594</v>
      </c>
      <c r="AT6324" t="s">
        <v>11641</v>
      </c>
      <c r="AX6324" t="s">
        <v>10838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</row>
    <row r="6325" spans="1:59">
      <c r="A6325" s="1">
        <f>HYPERLINK("https://lsnyc.legalserver.org/matter/dynamic-profile/view/1910657","19-1910657")</f>
        <v>0</v>
      </c>
      <c r="B6325" t="s">
        <v>4864</v>
      </c>
      <c r="C6325" t="s">
        <v>9769</v>
      </c>
      <c r="D6325" t="s">
        <v>9925</v>
      </c>
      <c r="E6325" t="s">
        <v>10075</v>
      </c>
      <c r="F6325">
        <v>10019</v>
      </c>
      <c r="G6325" t="s">
        <v>10089</v>
      </c>
      <c r="H6325" t="s">
        <v>4843</v>
      </c>
      <c r="J6325" t="s">
        <v>10209</v>
      </c>
      <c r="K6325" t="s">
        <v>10217</v>
      </c>
      <c r="M6325" t="s">
        <v>10402</v>
      </c>
      <c r="N6325" t="s">
        <v>10707</v>
      </c>
      <c r="P6325" t="s">
        <v>10754</v>
      </c>
      <c r="Q6325" t="s">
        <v>10775</v>
      </c>
      <c r="R6325" t="s">
        <v>10820</v>
      </c>
      <c r="T6325">
        <v>137</v>
      </c>
      <c r="U6325">
        <v>11.42</v>
      </c>
      <c r="V6325">
        <v>35</v>
      </c>
      <c r="W6325">
        <v>1</v>
      </c>
      <c r="X6325">
        <v>0</v>
      </c>
      <c r="Z6325">
        <v>1.1</v>
      </c>
      <c r="AA6325">
        <v>40.76819</v>
      </c>
      <c r="AB6325">
        <v>-73.98702</v>
      </c>
      <c r="AD6325" t="s">
        <v>10840</v>
      </c>
      <c r="AF6325" t="s">
        <v>10843</v>
      </c>
      <c r="AG6325" t="s">
        <v>10859</v>
      </c>
      <c r="AH6325" t="s">
        <v>10868</v>
      </c>
      <c r="AI6325">
        <v>236</v>
      </c>
      <c r="AJ6325" t="s">
        <v>10209</v>
      </c>
      <c r="AL6325">
        <v>3.75</v>
      </c>
      <c r="AM6325" t="s">
        <v>10894</v>
      </c>
      <c r="AN6325" t="s">
        <v>10964</v>
      </c>
      <c r="AO6325" t="s">
        <v>11021</v>
      </c>
      <c r="AP6325" t="s">
        <v>11090</v>
      </c>
      <c r="AQ6325" t="s">
        <v>11103</v>
      </c>
      <c r="AR6325" t="s">
        <v>11321</v>
      </c>
      <c r="AS6325" t="s">
        <v>9925</v>
      </c>
      <c r="AT6325" t="s">
        <v>11642</v>
      </c>
      <c r="AX6325" t="s">
        <v>10837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</row>
    <row r="6326" spans="1:59">
      <c r="A6326" s="1">
        <f>HYPERLINK("https://lsnyc.legalserver.org/matter/dynamic-profile/view/1910658","19-1910658")</f>
        <v>0</v>
      </c>
      <c r="B6326" t="s">
        <v>1073</v>
      </c>
      <c r="C6326" t="s">
        <v>7361</v>
      </c>
      <c r="D6326" t="s">
        <v>9926</v>
      </c>
      <c r="E6326" t="s">
        <v>10075</v>
      </c>
      <c r="F6326">
        <v>10468</v>
      </c>
      <c r="G6326" t="s">
        <v>10090</v>
      </c>
      <c r="H6326" t="s">
        <v>10157</v>
      </c>
      <c r="I6326" t="s">
        <v>10168</v>
      </c>
      <c r="J6326" t="s">
        <v>10210</v>
      </c>
      <c r="K6326" t="s">
        <v>10217</v>
      </c>
      <c r="M6326" t="s">
        <v>10338</v>
      </c>
      <c r="N6326" t="s">
        <v>10662</v>
      </c>
      <c r="P6326" t="s">
        <v>10751</v>
      </c>
      <c r="Q6326" t="s">
        <v>10768</v>
      </c>
      <c r="R6326" t="s">
        <v>10824</v>
      </c>
      <c r="T6326">
        <v>4888</v>
      </c>
      <c r="U6326">
        <v>407.33</v>
      </c>
      <c r="V6326">
        <v>52</v>
      </c>
      <c r="W6326">
        <v>1</v>
      </c>
      <c r="X6326">
        <v>0</v>
      </c>
      <c r="Z6326">
        <v>39.14</v>
      </c>
      <c r="AA6326">
        <v>40.859977</v>
      </c>
      <c r="AB6326">
        <v>-73.904808</v>
      </c>
      <c r="AD6326" t="s">
        <v>10840</v>
      </c>
      <c r="AG6326" t="s">
        <v>10858</v>
      </c>
      <c r="AH6326" t="s">
        <v>10874</v>
      </c>
      <c r="AI6326">
        <v>239</v>
      </c>
      <c r="AJ6326" t="s">
        <v>10213</v>
      </c>
      <c r="AL6326">
        <v>1.25</v>
      </c>
      <c r="AM6326" t="s">
        <v>10884</v>
      </c>
      <c r="AN6326" t="s">
        <v>10931</v>
      </c>
      <c r="AO6326" t="s">
        <v>11000</v>
      </c>
      <c r="AP6326" t="s">
        <v>11045</v>
      </c>
      <c r="AR6326" t="s">
        <v>11311</v>
      </c>
      <c r="AS6326" t="s">
        <v>9926</v>
      </c>
      <c r="AT6326" t="s">
        <v>11642</v>
      </c>
      <c r="AX6326" t="s">
        <v>10837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</row>
    <row r="6327" spans="1:59">
      <c r="A6327" s="1">
        <f>HYPERLINK("https://lsnyc.legalserver.org/matter/dynamic-profile/view/1910659","19-1910659")</f>
        <v>0</v>
      </c>
      <c r="B6327" t="s">
        <v>1281</v>
      </c>
      <c r="C6327" t="s">
        <v>9770</v>
      </c>
      <c r="D6327" t="s">
        <v>9926</v>
      </c>
      <c r="E6327" t="s">
        <v>10075</v>
      </c>
      <c r="F6327">
        <v>10472</v>
      </c>
      <c r="G6327" t="s">
        <v>10090</v>
      </c>
      <c r="H6327" t="s">
        <v>4843</v>
      </c>
      <c r="I6327" t="s">
        <v>10168</v>
      </c>
      <c r="J6327" t="s">
        <v>10210</v>
      </c>
      <c r="K6327" t="s">
        <v>10217</v>
      </c>
      <c r="M6327" t="s">
        <v>10336</v>
      </c>
      <c r="N6327" t="s">
        <v>10671</v>
      </c>
      <c r="P6327" t="s">
        <v>10754</v>
      </c>
      <c r="Q6327" t="s">
        <v>10771</v>
      </c>
      <c r="R6327" t="s">
        <v>10824</v>
      </c>
      <c r="T6327">
        <v>33800</v>
      </c>
      <c r="U6327">
        <v>2816.67</v>
      </c>
      <c r="V6327">
        <v>51</v>
      </c>
      <c r="W6327">
        <v>1</v>
      </c>
      <c r="X6327">
        <v>1</v>
      </c>
      <c r="Z6327">
        <v>199.88</v>
      </c>
      <c r="AA6327">
        <v>40.832806</v>
      </c>
      <c r="AB6327">
        <v>-73.87505899999999</v>
      </c>
      <c r="AD6327" t="s">
        <v>10839</v>
      </c>
      <c r="AG6327" t="s">
        <v>10858</v>
      </c>
      <c r="AH6327" t="s">
        <v>10861</v>
      </c>
      <c r="AI6327">
        <v>234</v>
      </c>
      <c r="AJ6327" t="s">
        <v>10214</v>
      </c>
      <c r="AL6327">
        <v>0.9</v>
      </c>
      <c r="AM6327" t="s">
        <v>10884</v>
      </c>
      <c r="AN6327" t="s">
        <v>10968</v>
      </c>
      <c r="AO6327" t="s">
        <v>11001</v>
      </c>
      <c r="AP6327" t="s">
        <v>11046</v>
      </c>
      <c r="AR6327" t="s">
        <v>11257</v>
      </c>
      <c r="AS6327" t="s">
        <v>9926</v>
      </c>
      <c r="AT6327" t="s">
        <v>11641</v>
      </c>
      <c r="AX6327" t="s">
        <v>10838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</row>
    <row r="6328" spans="1:59">
      <c r="A6328" s="1">
        <f>HYPERLINK("https://lsnyc.legalserver.org/matter/dynamic-profile/view/1910660","19-1910660")</f>
        <v>0</v>
      </c>
      <c r="B6328" t="s">
        <v>4865</v>
      </c>
      <c r="C6328" t="s">
        <v>9771</v>
      </c>
      <c r="D6328" t="s">
        <v>9926</v>
      </c>
      <c r="E6328" t="s">
        <v>10075</v>
      </c>
      <c r="F6328">
        <v>10469</v>
      </c>
      <c r="G6328" t="s">
        <v>10090</v>
      </c>
      <c r="H6328" t="s">
        <v>4843</v>
      </c>
      <c r="I6328" t="s">
        <v>10168</v>
      </c>
      <c r="J6328" t="s">
        <v>10210</v>
      </c>
      <c r="K6328" t="s">
        <v>10217</v>
      </c>
      <c r="M6328" t="s">
        <v>10346</v>
      </c>
      <c r="N6328" t="s">
        <v>10671</v>
      </c>
      <c r="P6328" t="s">
        <v>10751</v>
      </c>
      <c r="Q6328" t="s">
        <v>10776</v>
      </c>
      <c r="R6328" t="s">
        <v>10824</v>
      </c>
      <c r="T6328">
        <v>20000</v>
      </c>
      <c r="U6328">
        <v>1666.67</v>
      </c>
      <c r="V6328">
        <v>38</v>
      </c>
      <c r="W6328">
        <v>1</v>
      </c>
      <c r="X6328">
        <v>3</v>
      </c>
      <c r="Z6328">
        <v>77.67</v>
      </c>
      <c r="AA6328">
        <v>40.879877</v>
      </c>
      <c r="AB6328">
        <v>-73.855705</v>
      </c>
      <c r="AD6328" t="s">
        <v>10839</v>
      </c>
      <c r="AG6328" t="s">
        <v>10858</v>
      </c>
      <c r="AH6328" t="s">
        <v>10871</v>
      </c>
      <c r="AI6328">
        <v>234</v>
      </c>
      <c r="AJ6328" t="s">
        <v>10214</v>
      </c>
      <c r="AL6328">
        <v>0.5</v>
      </c>
      <c r="AM6328" t="s">
        <v>10893</v>
      </c>
      <c r="AN6328" t="s">
        <v>10956</v>
      </c>
      <c r="AO6328" t="s">
        <v>11010</v>
      </c>
      <c r="AP6328" t="s">
        <v>11085</v>
      </c>
      <c r="AR6328" t="s">
        <v>11262</v>
      </c>
      <c r="AS6328" t="s">
        <v>9926</v>
      </c>
      <c r="AT6328" t="s">
        <v>11641</v>
      </c>
      <c r="AX6328" t="s">
        <v>10838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</row>
    <row r="6329" spans="1:59">
      <c r="A6329" s="1">
        <f>HYPERLINK("https://lsnyc.legalserver.org/matter/dynamic-profile/view/1910661","19-1910661")</f>
        <v>0</v>
      </c>
      <c r="B6329" t="s">
        <v>4866</v>
      </c>
      <c r="C6329" t="s">
        <v>9772</v>
      </c>
      <c r="D6329" t="s">
        <v>9931</v>
      </c>
      <c r="E6329" t="s">
        <v>10075</v>
      </c>
      <c r="F6329">
        <v>11355</v>
      </c>
      <c r="G6329" t="s">
        <v>10092</v>
      </c>
      <c r="H6329" t="s">
        <v>4843</v>
      </c>
      <c r="I6329" t="s">
        <v>10181</v>
      </c>
      <c r="J6329" t="s">
        <v>10212</v>
      </c>
      <c r="K6329" t="s">
        <v>10218</v>
      </c>
      <c r="L6329" t="s">
        <v>4843</v>
      </c>
      <c r="M6329" t="s">
        <v>10374</v>
      </c>
      <c r="N6329" t="s">
        <v>10745</v>
      </c>
      <c r="O6329" t="s">
        <v>10699</v>
      </c>
      <c r="P6329" t="s">
        <v>10754</v>
      </c>
      <c r="Q6329" t="s">
        <v>10777</v>
      </c>
      <c r="R6329" t="s">
        <v>10827</v>
      </c>
      <c r="T6329">
        <v>26000</v>
      </c>
      <c r="U6329">
        <v>2166.67</v>
      </c>
      <c r="V6329">
        <v>38</v>
      </c>
      <c r="W6329">
        <v>1</v>
      </c>
      <c r="X6329">
        <v>3</v>
      </c>
      <c r="Y6329" t="s">
        <v>10829</v>
      </c>
      <c r="Z6329">
        <v>100.97</v>
      </c>
      <c r="AA6329">
        <v>40.758919</v>
      </c>
      <c r="AB6329">
        <v>-73.812889</v>
      </c>
      <c r="AD6329" t="s">
        <v>10839</v>
      </c>
      <c r="AG6329" t="s">
        <v>10858</v>
      </c>
      <c r="AH6329" t="s">
        <v>10865</v>
      </c>
      <c r="AI6329">
        <v>237</v>
      </c>
      <c r="AJ6329" t="s">
        <v>10212</v>
      </c>
      <c r="AK6329" t="s">
        <v>10837</v>
      </c>
      <c r="AL6329">
        <v>1</v>
      </c>
      <c r="AM6329" t="s">
        <v>10890</v>
      </c>
      <c r="AN6329" t="s">
        <v>10927</v>
      </c>
      <c r="AO6329" t="s">
        <v>11009</v>
      </c>
      <c r="AP6329" t="s">
        <v>11067</v>
      </c>
      <c r="AR6329" t="s">
        <v>11257</v>
      </c>
      <c r="AS6329" t="s">
        <v>11594</v>
      </c>
      <c r="AT6329" t="s">
        <v>11641</v>
      </c>
      <c r="AX6329" t="s">
        <v>10838</v>
      </c>
      <c r="AY6329" t="s">
        <v>10829</v>
      </c>
      <c r="AZ6329" t="s">
        <v>11683</v>
      </c>
      <c r="BA6329" t="s">
        <v>11741</v>
      </c>
      <c r="BB6329">
        <v>0</v>
      </c>
      <c r="BC6329">
        <v>0</v>
      </c>
      <c r="BD6329">
        <v>0</v>
      </c>
      <c r="BE6329">
        <v>0</v>
      </c>
      <c r="BF6329">
        <v>1</v>
      </c>
      <c r="BG6329">
        <v>0</v>
      </c>
    </row>
    <row r="6330" spans="1:59">
      <c r="A6330" s="1">
        <f>HYPERLINK("https://lsnyc.legalserver.org/matter/dynamic-profile/view/1910662","19-1910662")</f>
        <v>0</v>
      </c>
      <c r="B6330" t="s">
        <v>4867</v>
      </c>
      <c r="C6330" t="s">
        <v>9773</v>
      </c>
      <c r="D6330" t="s">
        <v>9928</v>
      </c>
      <c r="E6330" t="s">
        <v>10075</v>
      </c>
      <c r="F6330">
        <v>11215</v>
      </c>
      <c r="G6330" t="s">
        <v>10093</v>
      </c>
      <c r="H6330" t="s">
        <v>4843</v>
      </c>
      <c r="I6330" t="s">
        <v>10169</v>
      </c>
      <c r="J6330" t="s">
        <v>10213</v>
      </c>
      <c r="K6330" t="s">
        <v>10217</v>
      </c>
      <c r="M6330" t="s">
        <v>10275</v>
      </c>
      <c r="N6330" t="s">
        <v>10657</v>
      </c>
      <c r="P6330" t="s">
        <v>10749</v>
      </c>
      <c r="Q6330" t="s">
        <v>10765</v>
      </c>
      <c r="R6330" t="s">
        <v>10823</v>
      </c>
      <c r="T6330">
        <v>10044</v>
      </c>
      <c r="U6330">
        <v>837</v>
      </c>
      <c r="V6330">
        <v>78</v>
      </c>
      <c r="W6330">
        <v>1</v>
      </c>
      <c r="X6330">
        <v>0</v>
      </c>
      <c r="Z6330">
        <v>80.42</v>
      </c>
      <c r="AA6330">
        <v>40.674111</v>
      </c>
      <c r="AB6330">
        <v>-73.98517</v>
      </c>
      <c r="AD6330" t="s">
        <v>10839</v>
      </c>
      <c r="AG6330" t="s">
        <v>10858</v>
      </c>
      <c r="AH6330" t="s">
        <v>10862</v>
      </c>
      <c r="AI6330">
        <v>239</v>
      </c>
      <c r="AJ6330" t="s">
        <v>10213</v>
      </c>
      <c r="AL6330">
        <v>1.5</v>
      </c>
      <c r="AM6330" t="s">
        <v>10886</v>
      </c>
      <c r="AN6330" t="s">
        <v>10917</v>
      </c>
      <c r="AO6330" t="s">
        <v>11005</v>
      </c>
      <c r="AP6330" t="s">
        <v>11059</v>
      </c>
      <c r="AR6330" t="s">
        <v>11263</v>
      </c>
      <c r="AS6330" t="s">
        <v>11595</v>
      </c>
      <c r="AT6330" t="s">
        <v>11641</v>
      </c>
      <c r="AX6330" t="s">
        <v>10838</v>
      </c>
      <c r="BA6330" t="s">
        <v>11741</v>
      </c>
      <c r="BB6330">
        <v>0</v>
      </c>
      <c r="BC6330">
        <v>0</v>
      </c>
      <c r="BD6330">
        <v>0</v>
      </c>
      <c r="BE6330">
        <v>0</v>
      </c>
      <c r="BF6330">
        <v>1</v>
      </c>
      <c r="BG6330">
        <v>0</v>
      </c>
    </row>
    <row r="6331" spans="1:59">
      <c r="A6331" s="1">
        <f>HYPERLINK("https://lsnyc.legalserver.org/matter/dynamic-profile/view/1910663","19-1910663")</f>
        <v>0</v>
      </c>
      <c r="B6331" t="s">
        <v>2227</v>
      </c>
      <c r="C6331" t="s">
        <v>5056</v>
      </c>
      <c r="D6331" t="s">
        <v>9926</v>
      </c>
      <c r="E6331" t="s">
        <v>10075</v>
      </c>
      <c r="F6331">
        <v>10453</v>
      </c>
      <c r="G6331" t="s">
        <v>10090</v>
      </c>
      <c r="H6331" t="s">
        <v>4843</v>
      </c>
      <c r="I6331" t="s">
        <v>10168</v>
      </c>
      <c r="J6331" t="s">
        <v>10210</v>
      </c>
      <c r="K6331" t="s">
        <v>10217</v>
      </c>
      <c r="M6331" t="s">
        <v>10629</v>
      </c>
      <c r="N6331" t="s">
        <v>10650</v>
      </c>
      <c r="P6331" t="s">
        <v>10749</v>
      </c>
      <c r="Q6331" t="s">
        <v>10765</v>
      </c>
      <c r="R6331" t="s">
        <v>10822</v>
      </c>
      <c r="T6331">
        <v>22100</v>
      </c>
      <c r="U6331">
        <v>1841.67</v>
      </c>
      <c r="V6331">
        <v>67</v>
      </c>
      <c r="W6331">
        <v>1</v>
      </c>
      <c r="X6331">
        <v>0</v>
      </c>
      <c r="Z6331">
        <v>176.94</v>
      </c>
      <c r="AA6331">
        <v>40.852101</v>
      </c>
      <c r="AB6331">
        <v>-73.91765700000001</v>
      </c>
      <c r="AD6331" t="s">
        <v>10840</v>
      </c>
      <c r="AF6331" t="s">
        <v>10843</v>
      </c>
      <c r="AG6331" t="s">
        <v>10858</v>
      </c>
      <c r="AH6331" t="s">
        <v>10862</v>
      </c>
      <c r="AI6331">
        <v>230</v>
      </c>
      <c r="AJ6331" t="s">
        <v>10210</v>
      </c>
      <c r="AL6331">
        <v>0.8</v>
      </c>
      <c r="AM6331" t="s">
        <v>10884</v>
      </c>
      <c r="AN6331" t="s">
        <v>10929</v>
      </c>
      <c r="AO6331" t="s">
        <v>11013</v>
      </c>
      <c r="AP6331" t="s">
        <v>11045</v>
      </c>
      <c r="AR6331" t="s">
        <v>11257</v>
      </c>
      <c r="AS6331" t="s">
        <v>9926</v>
      </c>
      <c r="BA6331" t="s">
        <v>11740</v>
      </c>
      <c r="BB6331">
        <v>0</v>
      </c>
      <c r="BC6331">
        <v>0</v>
      </c>
      <c r="BD6331">
        <v>0</v>
      </c>
      <c r="BE6331">
        <v>0</v>
      </c>
      <c r="BF6331">
        <v>2</v>
      </c>
      <c r="BG6331">
        <v>0</v>
      </c>
    </row>
    <row r="6332" spans="1:59">
      <c r="A6332" s="1">
        <f>HYPERLINK("https://lsnyc.legalserver.org/matter/dynamic-profile/view/1910664","19-1910664")</f>
        <v>0</v>
      </c>
      <c r="B6332" t="s">
        <v>4868</v>
      </c>
      <c r="C6332" t="s">
        <v>9774</v>
      </c>
      <c r="D6332" t="s">
        <v>9926</v>
      </c>
      <c r="E6332" t="s">
        <v>10075</v>
      </c>
      <c r="F6332">
        <v>10469</v>
      </c>
      <c r="G6332" t="s">
        <v>10090</v>
      </c>
      <c r="H6332" t="s">
        <v>4843</v>
      </c>
      <c r="I6332" t="s">
        <v>10169</v>
      </c>
      <c r="J6332" t="s">
        <v>10210</v>
      </c>
      <c r="K6332" t="s">
        <v>10217</v>
      </c>
      <c r="M6332" t="s">
        <v>10597</v>
      </c>
      <c r="N6332" t="s">
        <v>10671</v>
      </c>
      <c r="P6332" t="s">
        <v>10751</v>
      </c>
      <c r="Q6332" t="s">
        <v>10776</v>
      </c>
      <c r="R6332" t="s">
        <v>10821</v>
      </c>
      <c r="T6332">
        <v>1572</v>
      </c>
      <c r="U6332">
        <v>131</v>
      </c>
      <c r="V6332">
        <v>56</v>
      </c>
      <c r="W6332">
        <v>1</v>
      </c>
      <c r="X6332">
        <v>0</v>
      </c>
      <c r="Z6332">
        <v>12.59</v>
      </c>
      <c r="AA6332">
        <v>40.861075</v>
      </c>
      <c r="AB6332">
        <v>-73.857839</v>
      </c>
      <c r="AD6332" t="s">
        <v>10839</v>
      </c>
      <c r="AG6332" t="s">
        <v>10858</v>
      </c>
      <c r="AH6332" t="s">
        <v>10871</v>
      </c>
      <c r="AI6332">
        <v>234</v>
      </c>
      <c r="AJ6332" t="s">
        <v>10214</v>
      </c>
      <c r="AL6332">
        <v>2</v>
      </c>
      <c r="AM6332" t="s">
        <v>10885</v>
      </c>
      <c r="AN6332" t="s">
        <v>10938</v>
      </c>
      <c r="AO6332" t="s">
        <v>11002</v>
      </c>
      <c r="AP6332" t="s">
        <v>11049</v>
      </c>
      <c r="AR6332" t="s">
        <v>11263</v>
      </c>
      <c r="AS6332" t="s">
        <v>9926</v>
      </c>
      <c r="AT6332" t="s">
        <v>11641</v>
      </c>
      <c r="AX6332" t="s">
        <v>10838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</row>
    <row r="6333" spans="1:59">
      <c r="A6333" s="1">
        <f>HYPERLINK("https://lsnyc.legalserver.org/matter/dynamic-profile/view/1910665","19-1910665")</f>
        <v>0</v>
      </c>
      <c r="B6333" t="s">
        <v>4869</v>
      </c>
      <c r="C6333" t="s">
        <v>9775</v>
      </c>
      <c r="D6333" t="s">
        <v>9948</v>
      </c>
      <c r="E6333" t="s">
        <v>10075</v>
      </c>
      <c r="F6333">
        <v>11691</v>
      </c>
      <c r="G6333" t="s">
        <v>10092</v>
      </c>
      <c r="H6333" t="s">
        <v>10157</v>
      </c>
      <c r="I6333" t="s">
        <v>10168</v>
      </c>
      <c r="J6333" t="s">
        <v>10212</v>
      </c>
      <c r="K6333" t="s">
        <v>10217</v>
      </c>
      <c r="M6333" t="s">
        <v>10242</v>
      </c>
      <c r="N6333" t="s">
        <v>10706</v>
      </c>
      <c r="P6333" t="s">
        <v>10751</v>
      </c>
      <c r="Q6333" t="s">
        <v>10768</v>
      </c>
      <c r="R6333" t="s">
        <v>10824</v>
      </c>
      <c r="T6333">
        <v>4888</v>
      </c>
      <c r="U6333">
        <v>407.33</v>
      </c>
      <c r="V6333">
        <v>34</v>
      </c>
      <c r="W6333">
        <v>1</v>
      </c>
      <c r="X6333">
        <v>0</v>
      </c>
      <c r="Z6333">
        <v>39.14</v>
      </c>
      <c r="AA6333">
        <v>40.595551</v>
      </c>
      <c r="AB6333">
        <v>-73.74200399999999</v>
      </c>
      <c r="AD6333" t="s">
        <v>10840</v>
      </c>
      <c r="AG6333" t="s">
        <v>10858</v>
      </c>
      <c r="AH6333" t="s">
        <v>10868</v>
      </c>
      <c r="AI6333">
        <v>239</v>
      </c>
      <c r="AJ6333" t="s">
        <v>10213</v>
      </c>
      <c r="AL6333">
        <v>0.75</v>
      </c>
      <c r="AM6333" t="s">
        <v>10892</v>
      </c>
      <c r="AN6333" t="s">
        <v>10958</v>
      </c>
      <c r="AO6333" t="s">
        <v>11024</v>
      </c>
      <c r="AP6333" t="s">
        <v>11082</v>
      </c>
      <c r="AR6333" t="s">
        <v>11311</v>
      </c>
      <c r="AS6333" t="s">
        <v>11594</v>
      </c>
      <c r="AT6333" t="s">
        <v>11642</v>
      </c>
      <c r="AX6333" t="s">
        <v>10837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</row>
    <row r="6334" spans="1:59">
      <c r="A6334" s="1">
        <f>HYPERLINK("https://lsnyc.legalserver.org/matter/dynamic-profile/view/1910666","19-1910666")</f>
        <v>0</v>
      </c>
      <c r="B6334" t="s">
        <v>4870</v>
      </c>
      <c r="C6334" t="s">
        <v>9776</v>
      </c>
      <c r="D6334" t="s">
        <v>9937</v>
      </c>
      <c r="E6334" t="s">
        <v>10075</v>
      </c>
      <c r="F6334">
        <v>11412</v>
      </c>
      <c r="G6334" t="s">
        <v>10092</v>
      </c>
      <c r="H6334" t="s">
        <v>4843</v>
      </c>
      <c r="I6334" t="s">
        <v>10168</v>
      </c>
      <c r="J6334" t="s">
        <v>10212</v>
      </c>
      <c r="K6334" t="s">
        <v>10217</v>
      </c>
      <c r="M6334" t="s">
        <v>10486</v>
      </c>
      <c r="N6334" t="s">
        <v>10673</v>
      </c>
      <c r="P6334" t="s">
        <v>10753</v>
      </c>
      <c r="Q6334" t="s">
        <v>10763</v>
      </c>
      <c r="R6334" t="s">
        <v>10824</v>
      </c>
      <c r="T6334">
        <v>9000</v>
      </c>
      <c r="U6334">
        <v>750</v>
      </c>
      <c r="V6334">
        <v>48</v>
      </c>
      <c r="W6334">
        <v>1</v>
      </c>
      <c r="X6334">
        <v>1</v>
      </c>
      <c r="Z6334">
        <v>53.22</v>
      </c>
      <c r="AA6334">
        <v>40.698284</v>
      </c>
      <c r="AB6334">
        <v>-73.75621599999999</v>
      </c>
      <c r="AD6334" t="s">
        <v>10839</v>
      </c>
      <c r="AF6334" t="s">
        <v>10842</v>
      </c>
      <c r="AG6334" t="s">
        <v>10859</v>
      </c>
      <c r="AH6334" t="s">
        <v>10864</v>
      </c>
      <c r="AI6334">
        <v>237</v>
      </c>
      <c r="AJ6334" t="s">
        <v>10212</v>
      </c>
      <c r="AL6334">
        <v>0</v>
      </c>
      <c r="AM6334" t="s">
        <v>10892</v>
      </c>
      <c r="AN6334" t="s">
        <v>10940</v>
      </c>
      <c r="AO6334" t="s">
        <v>11020</v>
      </c>
      <c r="AP6334" t="s">
        <v>11075</v>
      </c>
      <c r="AQ6334" t="s">
        <v>11142</v>
      </c>
      <c r="AR6334" t="s">
        <v>11257</v>
      </c>
      <c r="AS6334" t="s">
        <v>11594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</row>
    <row r="6335" spans="1:59">
      <c r="A6335" s="1">
        <f>HYPERLINK("https://lsnyc.legalserver.org/matter/dynamic-profile/view/1910667","19-1910667")</f>
        <v>0</v>
      </c>
      <c r="B6335" t="s">
        <v>4871</v>
      </c>
      <c r="C6335" t="s">
        <v>9777</v>
      </c>
      <c r="D6335" t="s">
        <v>9955</v>
      </c>
      <c r="E6335" t="s">
        <v>10075</v>
      </c>
      <c r="F6335">
        <v>11692</v>
      </c>
      <c r="G6335" t="s">
        <v>10092</v>
      </c>
      <c r="H6335" t="s">
        <v>4843</v>
      </c>
      <c r="I6335" t="s">
        <v>10168</v>
      </c>
      <c r="J6335" t="s">
        <v>10212</v>
      </c>
      <c r="K6335" t="s">
        <v>10217</v>
      </c>
      <c r="M6335" t="s">
        <v>10342</v>
      </c>
      <c r="N6335" t="s">
        <v>10650</v>
      </c>
      <c r="P6335" t="s">
        <v>10749</v>
      </c>
      <c r="Q6335" t="s">
        <v>10765</v>
      </c>
      <c r="R6335" t="s">
        <v>10824</v>
      </c>
      <c r="T6335">
        <v>0</v>
      </c>
      <c r="U6335">
        <v>0</v>
      </c>
      <c r="V6335">
        <v>27</v>
      </c>
      <c r="W6335">
        <v>1</v>
      </c>
      <c r="X6335">
        <v>0</v>
      </c>
      <c r="Z6335">
        <v>0</v>
      </c>
      <c r="AA6335">
        <v>40.597293</v>
      </c>
      <c r="AB6335">
        <v>-73.79942800000001</v>
      </c>
      <c r="AD6335" t="s">
        <v>10839</v>
      </c>
      <c r="AG6335" t="s">
        <v>10858</v>
      </c>
      <c r="AH6335" t="s">
        <v>10862</v>
      </c>
      <c r="AI6335">
        <v>237</v>
      </c>
      <c r="AJ6335" t="s">
        <v>10212</v>
      </c>
      <c r="AL6335">
        <v>1.4</v>
      </c>
      <c r="AM6335" t="s">
        <v>10892</v>
      </c>
      <c r="AN6335" t="s">
        <v>10930</v>
      </c>
      <c r="AO6335" t="s">
        <v>11017</v>
      </c>
      <c r="AP6335" t="s">
        <v>11082</v>
      </c>
      <c r="AR6335" t="s">
        <v>11279</v>
      </c>
      <c r="AS6335" t="s">
        <v>11594</v>
      </c>
      <c r="BA6335" t="s">
        <v>11741</v>
      </c>
      <c r="BB6335">
        <v>0</v>
      </c>
      <c r="BC6335">
        <v>0</v>
      </c>
      <c r="BD6335">
        <v>0</v>
      </c>
      <c r="BE6335">
        <v>0</v>
      </c>
      <c r="BF6335">
        <v>1</v>
      </c>
      <c r="BG6335">
        <v>0</v>
      </c>
    </row>
    <row r="6336" spans="1:59">
      <c r="A6336" s="1">
        <f>HYPERLINK("https://lsnyc.legalserver.org/matter/dynamic-profile/view/1910669","19-1910669")</f>
        <v>0</v>
      </c>
      <c r="B6336" t="s">
        <v>4872</v>
      </c>
      <c r="C6336" t="s">
        <v>6559</v>
      </c>
      <c r="D6336" t="s">
        <v>9928</v>
      </c>
      <c r="E6336" t="s">
        <v>10075</v>
      </c>
      <c r="F6336">
        <v>11212</v>
      </c>
      <c r="G6336" t="s">
        <v>10091</v>
      </c>
      <c r="H6336" t="s">
        <v>4843</v>
      </c>
      <c r="I6336" t="s">
        <v>10168</v>
      </c>
      <c r="J6336" t="s">
        <v>10214</v>
      </c>
      <c r="K6336" t="s">
        <v>10217</v>
      </c>
      <c r="M6336" t="s">
        <v>10286</v>
      </c>
      <c r="N6336" t="s">
        <v>10671</v>
      </c>
      <c r="P6336" t="s">
        <v>10749</v>
      </c>
      <c r="Q6336" t="s">
        <v>10765</v>
      </c>
      <c r="R6336" t="s">
        <v>10824</v>
      </c>
      <c r="T6336">
        <v>28556</v>
      </c>
      <c r="U6336">
        <v>2379.67</v>
      </c>
      <c r="V6336">
        <v>50</v>
      </c>
      <c r="W6336">
        <v>1</v>
      </c>
      <c r="X6336">
        <v>3</v>
      </c>
      <c r="Z6336">
        <v>110.9</v>
      </c>
      <c r="AA6336">
        <v>40.661548</v>
      </c>
      <c r="AB6336">
        <v>-73.92101</v>
      </c>
      <c r="AD6336" t="s">
        <v>10839</v>
      </c>
      <c r="AG6336" t="s">
        <v>10858</v>
      </c>
      <c r="AH6336" t="s">
        <v>10861</v>
      </c>
      <c r="AI6336">
        <v>234</v>
      </c>
      <c r="AJ6336" t="s">
        <v>10214</v>
      </c>
      <c r="AL6336">
        <v>1</v>
      </c>
      <c r="AR6336" t="s">
        <v>11282</v>
      </c>
      <c r="AS6336" t="s">
        <v>11595</v>
      </c>
      <c r="AT6336" t="s">
        <v>11641</v>
      </c>
      <c r="AX6336" t="s">
        <v>10838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</row>
    <row r="6337" spans="1:59">
      <c r="A6337" s="1">
        <f>HYPERLINK("https://lsnyc.legalserver.org/matter/dynamic-profile/view/1910670","19-1910670")</f>
        <v>0</v>
      </c>
      <c r="B6337" t="s">
        <v>4402</v>
      </c>
      <c r="C6337" t="s">
        <v>7185</v>
      </c>
      <c r="D6337" t="s">
        <v>9928</v>
      </c>
      <c r="E6337" t="s">
        <v>10075</v>
      </c>
      <c r="F6337">
        <v>11206</v>
      </c>
      <c r="G6337" t="s">
        <v>10093</v>
      </c>
      <c r="H6337" t="s">
        <v>4843</v>
      </c>
      <c r="I6337" t="s">
        <v>10168</v>
      </c>
      <c r="J6337" t="s">
        <v>10213</v>
      </c>
      <c r="K6337" t="s">
        <v>10217</v>
      </c>
      <c r="M6337" t="s">
        <v>10621</v>
      </c>
      <c r="N6337" t="s">
        <v>10664</v>
      </c>
      <c r="P6337" t="s">
        <v>10749</v>
      </c>
      <c r="Q6337" t="s">
        <v>10765</v>
      </c>
      <c r="R6337" t="s">
        <v>10824</v>
      </c>
      <c r="T6337">
        <v>19932</v>
      </c>
      <c r="U6337">
        <v>1661</v>
      </c>
      <c r="V6337">
        <v>70</v>
      </c>
      <c r="W6337">
        <v>1</v>
      </c>
      <c r="X6337">
        <v>0</v>
      </c>
      <c r="Z6337">
        <v>159.58</v>
      </c>
      <c r="AA6337">
        <v>40.70426</v>
      </c>
      <c r="AB6337">
        <v>-73.94664400000001</v>
      </c>
      <c r="AC6337" t="s">
        <v>10837</v>
      </c>
      <c r="AD6337" t="s">
        <v>10839</v>
      </c>
      <c r="AG6337" t="s">
        <v>10858</v>
      </c>
      <c r="AH6337" t="s">
        <v>10862</v>
      </c>
      <c r="AI6337">
        <v>239</v>
      </c>
      <c r="AJ6337" t="s">
        <v>10213</v>
      </c>
      <c r="AL6337">
        <v>1.5</v>
      </c>
      <c r="AM6337" t="s">
        <v>10886</v>
      </c>
      <c r="AN6337" t="s">
        <v>10942</v>
      </c>
      <c r="AO6337" t="s">
        <v>11011</v>
      </c>
      <c r="AP6337" t="s">
        <v>11071</v>
      </c>
      <c r="AR6337" t="s">
        <v>11268</v>
      </c>
      <c r="AS6337" t="s">
        <v>11595</v>
      </c>
      <c r="BA6337" t="s">
        <v>11742</v>
      </c>
      <c r="BB6337">
        <v>0</v>
      </c>
      <c r="BC6337">
        <v>0</v>
      </c>
      <c r="BD6337">
        <v>0</v>
      </c>
      <c r="BE6337">
        <v>0</v>
      </c>
      <c r="BF6337">
        <v>7</v>
      </c>
      <c r="BG6337">
        <v>0</v>
      </c>
    </row>
    <row r="6338" spans="1:59">
      <c r="A6338" s="1">
        <f>HYPERLINK("https://lsnyc.legalserver.org/matter/dynamic-profile/view/1910671","19-1910671")</f>
        <v>0</v>
      </c>
      <c r="B6338" t="s">
        <v>4873</v>
      </c>
      <c r="C6338" t="s">
        <v>9778</v>
      </c>
      <c r="D6338" t="s">
        <v>9941</v>
      </c>
      <c r="E6338" t="s">
        <v>10075</v>
      </c>
      <c r="F6338">
        <v>11428</v>
      </c>
      <c r="G6338" t="s">
        <v>10092</v>
      </c>
      <c r="H6338" t="s">
        <v>4843</v>
      </c>
      <c r="I6338" t="s">
        <v>10168</v>
      </c>
      <c r="J6338" t="s">
        <v>10212</v>
      </c>
      <c r="K6338" t="s">
        <v>10218</v>
      </c>
      <c r="L6338" t="s">
        <v>4843</v>
      </c>
      <c r="M6338" t="s">
        <v>10374</v>
      </c>
      <c r="N6338" t="s">
        <v>10745</v>
      </c>
      <c r="O6338" t="s">
        <v>10699</v>
      </c>
      <c r="P6338" t="s">
        <v>10754</v>
      </c>
      <c r="Q6338" t="s">
        <v>10775</v>
      </c>
      <c r="R6338" t="s">
        <v>10828</v>
      </c>
      <c r="T6338">
        <v>14040</v>
      </c>
      <c r="U6338">
        <v>1170</v>
      </c>
      <c r="V6338">
        <v>24</v>
      </c>
      <c r="W6338">
        <v>1</v>
      </c>
      <c r="X6338">
        <v>0</v>
      </c>
      <c r="Y6338" t="s">
        <v>10829</v>
      </c>
      <c r="Z6338">
        <v>112.41</v>
      </c>
      <c r="AA6338">
        <v>40.719794</v>
      </c>
      <c r="AB6338">
        <v>-73.736859</v>
      </c>
      <c r="AD6338" t="s">
        <v>10839</v>
      </c>
      <c r="AG6338" t="s">
        <v>10858</v>
      </c>
      <c r="AH6338" t="s">
        <v>10865</v>
      </c>
      <c r="AI6338">
        <v>237</v>
      </c>
      <c r="AJ6338" t="s">
        <v>10212</v>
      </c>
      <c r="AK6338" t="s">
        <v>10837</v>
      </c>
      <c r="AL6338">
        <v>0.2</v>
      </c>
      <c r="AM6338" t="s">
        <v>10892</v>
      </c>
      <c r="AN6338" t="s">
        <v>10940</v>
      </c>
      <c r="AO6338" t="s">
        <v>11020</v>
      </c>
      <c r="AP6338" t="s">
        <v>11078</v>
      </c>
      <c r="AR6338" t="s">
        <v>11257</v>
      </c>
      <c r="AS6338" t="s">
        <v>11594</v>
      </c>
      <c r="AT6338" t="s">
        <v>11641</v>
      </c>
      <c r="AX6338" t="s">
        <v>10838</v>
      </c>
      <c r="AY6338" t="s">
        <v>10829</v>
      </c>
      <c r="AZ6338" t="s">
        <v>11683</v>
      </c>
      <c r="BA6338" t="s">
        <v>11741</v>
      </c>
      <c r="BB6338">
        <v>0</v>
      </c>
      <c r="BC6338">
        <v>0</v>
      </c>
      <c r="BD6338">
        <v>0</v>
      </c>
      <c r="BE6338">
        <v>0</v>
      </c>
      <c r="BF6338">
        <v>1</v>
      </c>
      <c r="BG6338">
        <v>0</v>
      </c>
    </row>
    <row r="6339" spans="1:59">
      <c r="A6339" s="1">
        <f>HYPERLINK("https://lsnyc.legalserver.org/matter/dynamic-profile/view/1910672","19-1910672")</f>
        <v>0</v>
      </c>
      <c r="B6339" t="s">
        <v>4874</v>
      </c>
      <c r="C6339" t="s">
        <v>9779</v>
      </c>
      <c r="D6339" t="s">
        <v>9938</v>
      </c>
      <c r="E6339" t="s">
        <v>10075</v>
      </c>
      <c r="F6339">
        <v>11434</v>
      </c>
      <c r="G6339" t="s">
        <v>10092</v>
      </c>
      <c r="H6339" t="s">
        <v>4843</v>
      </c>
      <c r="I6339" t="s">
        <v>10168</v>
      </c>
      <c r="J6339" t="s">
        <v>10212</v>
      </c>
      <c r="K6339" t="s">
        <v>10217</v>
      </c>
      <c r="M6339" t="s">
        <v>10410</v>
      </c>
      <c r="N6339" t="s">
        <v>10693</v>
      </c>
      <c r="P6339" t="s">
        <v>10749</v>
      </c>
      <c r="Q6339" t="s">
        <v>10765</v>
      </c>
      <c r="R6339" t="s">
        <v>10824</v>
      </c>
      <c r="T6339">
        <v>9528</v>
      </c>
      <c r="U6339">
        <v>794</v>
      </c>
      <c r="V6339">
        <v>54</v>
      </c>
      <c r="W6339">
        <v>3</v>
      </c>
      <c r="X6339">
        <v>2</v>
      </c>
      <c r="Z6339">
        <v>31.58</v>
      </c>
      <c r="AA6339">
        <v>40.670116</v>
      </c>
      <c r="AB6339">
        <v>-73.776172</v>
      </c>
      <c r="AD6339" t="s">
        <v>10839</v>
      </c>
      <c r="AG6339" t="s">
        <v>10858</v>
      </c>
      <c r="AH6339" t="s">
        <v>10862</v>
      </c>
      <c r="AI6339">
        <v>237</v>
      </c>
      <c r="AJ6339" t="s">
        <v>10212</v>
      </c>
      <c r="AL6339">
        <v>1.5</v>
      </c>
      <c r="AM6339" t="s">
        <v>10892</v>
      </c>
      <c r="AN6339" t="s">
        <v>10951</v>
      </c>
      <c r="AO6339" t="s">
        <v>11017</v>
      </c>
      <c r="AP6339" t="s">
        <v>11070</v>
      </c>
      <c r="AR6339" t="s">
        <v>11263</v>
      </c>
      <c r="AS6339" t="s">
        <v>11594</v>
      </c>
      <c r="BA6339" t="s">
        <v>11742</v>
      </c>
      <c r="BB6339">
        <v>0</v>
      </c>
      <c r="BC6339">
        <v>0</v>
      </c>
      <c r="BD6339">
        <v>0</v>
      </c>
      <c r="BE6339">
        <v>0</v>
      </c>
      <c r="BF6339">
        <v>7</v>
      </c>
      <c r="BG6339">
        <v>0</v>
      </c>
    </row>
    <row r="6340" spans="1:59">
      <c r="A6340" s="1">
        <f>HYPERLINK("https://lsnyc.legalserver.org/matter/dynamic-profile/view/1910673","19-1910673")</f>
        <v>0</v>
      </c>
      <c r="B6340" t="s">
        <v>4875</v>
      </c>
      <c r="C6340" t="s">
        <v>9780</v>
      </c>
      <c r="D6340" t="s">
        <v>9928</v>
      </c>
      <c r="E6340" t="s">
        <v>10075</v>
      </c>
      <c r="F6340">
        <v>11220</v>
      </c>
      <c r="G6340" t="s">
        <v>10093</v>
      </c>
      <c r="H6340" t="s">
        <v>10157</v>
      </c>
      <c r="I6340" t="s">
        <v>10168</v>
      </c>
      <c r="J6340" t="s">
        <v>10213</v>
      </c>
      <c r="K6340" t="s">
        <v>10217</v>
      </c>
      <c r="M6340" t="s">
        <v>10457</v>
      </c>
      <c r="N6340" t="s">
        <v>10662</v>
      </c>
      <c r="P6340" t="s">
        <v>10750</v>
      </c>
      <c r="Q6340" t="s">
        <v>10778</v>
      </c>
      <c r="R6340" t="s">
        <v>10820</v>
      </c>
      <c r="T6340">
        <v>3000</v>
      </c>
      <c r="U6340">
        <v>250</v>
      </c>
      <c r="V6340">
        <v>51</v>
      </c>
      <c r="W6340">
        <v>1</v>
      </c>
      <c r="X6340">
        <v>0</v>
      </c>
      <c r="Z6340">
        <v>24.02</v>
      </c>
      <c r="AA6340">
        <v>40.64914</v>
      </c>
      <c r="AB6340">
        <v>-74.015069</v>
      </c>
      <c r="AD6340" t="s">
        <v>10840</v>
      </c>
      <c r="AG6340" t="s">
        <v>10858</v>
      </c>
      <c r="AH6340" t="s">
        <v>10868</v>
      </c>
      <c r="AI6340">
        <v>239</v>
      </c>
      <c r="AJ6340" t="s">
        <v>10213</v>
      </c>
      <c r="AL6340">
        <v>0.75</v>
      </c>
      <c r="AM6340" t="s">
        <v>10886</v>
      </c>
      <c r="AN6340" t="s">
        <v>10921</v>
      </c>
      <c r="AO6340" t="s">
        <v>11007</v>
      </c>
      <c r="AP6340" t="s">
        <v>11069</v>
      </c>
      <c r="AR6340" t="s">
        <v>11297</v>
      </c>
      <c r="AS6340" t="s">
        <v>11595</v>
      </c>
      <c r="AT6340" t="s">
        <v>11642</v>
      </c>
      <c r="AX6340" t="s">
        <v>10837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</row>
    <row r="6341" spans="1:59">
      <c r="A6341" s="1">
        <f>HYPERLINK("https://lsnyc.legalserver.org/matter/dynamic-profile/view/1910675","19-1910675")</f>
        <v>0</v>
      </c>
      <c r="B6341" t="s">
        <v>4876</v>
      </c>
      <c r="C6341" t="s">
        <v>9781</v>
      </c>
      <c r="D6341" t="s">
        <v>9928</v>
      </c>
      <c r="E6341" t="s">
        <v>10075</v>
      </c>
      <c r="F6341">
        <v>11215</v>
      </c>
      <c r="G6341" t="s">
        <v>10093</v>
      </c>
      <c r="H6341" t="s">
        <v>4843</v>
      </c>
      <c r="I6341" t="s">
        <v>10169</v>
      </c>
      <c r="J6341" t="s">
        <v>10213</v>
      </c>
      <c r="K6341" t="s">
        <v>10217</v>
      </c>
      <c r="M6341" t="s">
        <v>10275</v>
      </c>
      <c r="N6341" t="s">
        <v>10657</v>
      </c>
      <c r="P6341" t="s">
        <v>10754</v>
      </c>
      <c r="Q6341" t="s">
        <v>10770</v>
      </c>
      <c r="R6341" t="s">
        <v>10821</v>
      </c>
      <c r="T6341">
        <v>10500</v>
      </c>
      <c r="U6341">
        <v>875</v>
      </c>
      <c r="V6341">
        <v>64</v>
      </c>
      <c r="W6341">
        <v>2</v>
      </c>
      <c r="X6341">
        <v>1</v>
      </c>
      <c r="Z6341">
        <v>49.23</v>
      </c>
      <c r="AA6341">
        <v>40.659638</v>
      </c>
      <c r="AB6341">
        <v>-73.983497</v>
      </c>
      <c r="AD6341" t="s">
        <v>10839</v>
      </c>
      <c r="AG6341" t="s">
        <v>10858</v>
      </c>
      <c r="AH6341" t="s">
        <v>10862</v>
      </c>
      <c r="AI6341">
        <v>239</v>
      </c>
      <c r="AJ6341" t="s">
        <v>10213</v>
      </c>
      <c r="AL6341">
        <v>1.3</v>
      </c>
      <c r="AM6341" t="s">
        <v>10888</v>
      </c>
      <c r="AN6341" t="s">
        <v>10941</v>
      </c>
      <c r="AO6341" t="s">
        <v>11008</v>
      </c>
      <c r="AP6341" t="s">
        <v>11069</v>
      </c>
      <c r="AQ6341" t="s">
        <v>11122</v>
      </c>
      <c r="AR6341" t="s">
        <v>11585</v>
      </c>
      <c r="AS6341" t="s">
        <v>11595</v>
      </c>
      <c r="AT6341" t="s">
        <v>11641</v>
      </c>
      <c r="AX6341" t="s">
        <v>10838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</row>
    <row r="6342" spans="1:59">
      <c r="A6342" s="1">
        <f>HYPERLINK("https://lsnyc.legalserver.org/matter/dynamic-profile/view/1910676","19-1910676")</f>
        <v>0</v>
      </c>
      <c r="B6342" t="s">
        <v>4877</v>
      </c>
      <c r="C6342" t="s">
        <v>9782</v>
      </c>
      <c r="D6342" t="s">
        <v>9926</v>
      </c>
      <c r="E6342" t="s">
        <v>10075</v>
      </c>
      <c r="F6342">
        <v>10453</v>
      </c>
      <c r="G6342" t="s">
        <v>10092</v>
      </c>
      <c r="H6342" t="s">
        <v>4843</v>
      </c>
      <c r="I6342" t="s">
        <v>10168</v>
      </c>
      <c r="J6342" t="s">
        <v>10212</v>
      </c>
      <c r="K6342" t="s">
        <v>10217</v>
      </c>
      <c r="M6342" t="s">
        <v>10527</v>
      </c>
      <c r="N6342" t="s">
        <v>10671</v>
      </c>
      <c r="P6342" t="s">
        <v>10755</v>
      </c>
      <c r="Q6342" t="s">
        <v>10817</v>
      </c>
      <c r="R6342" t="s">
        <v>10823</v>
      </c>
      <c r="T6342">
        <v>36400</v>
      </c>
      <c r="U6342">
        <v>3033.33</v>
      </c>
      <c r="V6342">
        <v>12</v>
      </c>
      <c r="W6342">
        <v>2</v>
      </c>
      <c r="X6342">
        <v>1</v>
      </c>
      <c r="Z6342">
        <v>170.65</v>
      </c>
      <c r="AA6342">
        <v>40.851328</v>
      </c>
      <c r="AB6342">
        <v>-73.912238</v>
      </c>
      <c r="AD6342" t="s">
        <v>10840</v>
      </c>
      <c r="AG6342" t="s">
        <v>10858</v>
      </c>
      <c r="AH6342" t="s">
        <v>10877</v>
      </c>
      <c r="AI6342">
        <v>237</v>
      </c>
      <c r="AJ6342" t="s">
        <v>10212</v>
      </c>
      <c r="AL6342">
        <v>1.4</v>
      </c>
      <c r="AM6342" t="s">
        <v>10884</v>
      </c>
      <c r="AN6342" t="s">
        <v>10931</v>
      </c>
      <c r="AO6342" t="s">
        <v>11013</v>
      </c>
      <c r="AP6342" t="s">
        <v>11045</v>
      </c>
      <c r="AR6342" t="s">
        <v>11257</v>
      </c>
      <c r="AS6342" t="s">
        <v>9926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</row>
    <row r="6343" spans="1:59">
      <c r="A6343" s="1">
        <f>HYPERLINK("https://lsnyc.legalserver.org/matter/dynamic-profile/view/1910677","19-1910677")</f>
        <v>0</v>
      </c>
      <c r="B6343" t="s">
        <v>3121</v>
      </c>
      <c r="C6343" t="s">
        <v>9783</v>
      </c>
      <c r="D6343" t="s">
        <v>9938</v>
      </c>
      <c r="E6343" t="s">
        <v>10075</v>
      </c>
      <c r="F6343">
        <v>11432</v>
      </c>
      <c r="G6343" t="s">
        <v>10092</v>
      </c>
      <c r="H6343" t="s">
        <v>4843</v>
      </c>
      <c r="I6343" t="s">
        <v>10168</v>
      </c>
      <c r="J6343" t="s">
        <v>10212</v>
      </c>
      <c r="K6343" t="s">
        <v>10217</v>
      </c>
      <c r="M6343" t="s">
        <v>10342</v>
      </c>
      <c r="N6343" t="s">
        <v>10695</v>
      </c>
      <c r="P6343" t="s">
        <v>10749</v>
      </c>
      <c r="Q6343" t="s">
        <v>10765</v>
      </c>
      <c r="R6343" t="s">
        <v>10821</v>
      </c>
      <c r="T6343">
        <v>7396</v>
      </c>
      <c r="U6343">
        <v>616.33</v>
      </c>
      <c r="V6343">
        <v>27</v>
      </c>
      <c r="W6343">
        <v>2</v>
      </c>
      <c r="X6343">
        <v>1</v>
      </c>
      <c r="Z6343">
        <v>34.67</v>
      </c>
      <c r="AA6343">
        <v>40.711249</v>
      </c>
      <c r="AB6343">
        <v>-73.78962900000001</v>
      </c>
      <c r="AD6343" t="s">
        <v>10839</v>
      </c>
      <c r="AG6343" t="s">
        <v>10858</v>
      </c>
      <c r="AH6343" t="s">
        <v>10862</v>
      </c>
      <c r="AI6343">
        <v>237</v>
      </c>
      <c r="AJ6343" t="s">
        <v>10212</v>
      </c>
      <c r="AL6343">
        <v>1.2</v>
      </c>
      <c r="AM6343" t="s">
        <v>10892</v>
      </c>
      <c r="AN6343" t="s">
        <v>10955</v>
      </c>
      <c r="AO6343" t="s">
        <v>11020</v>
      </c>
      <c r="AP6343" t="s">
        <v>11075</v>
      </c>
      <c r="AR6343" t="s">
        <v>11525</v>
      </c>
      <c r="AS6343" t="s">
        <v>11594</v>
      </c>
      <c r="BA6343" t="s">
        <v>11742</v>
      </c>
      <c r="BB6343">
        <v>0</v>
      </c>
      <c r="BC6343">
        <v>0</v>
      </c>
      <c r="BD6343">
        <v>0</v>
      </c>
      <c r="BE6343">
        <v>0</v>
      </c>
      <c r="BF6343">
        <v>7</v>
      </c>
      <c r="BG6343">
        <v>0</v>
      </c>
    </row>
    <row r="6344" spans="1:59">
      <c r="A6344" s="1">
        <f>HYPERLINK("https://lsnyc.legalserver.org/matter/dynamic-profile/view/1910678","19-1910678")</f>
        <v>0</v>
      </c>
      <c r="B6344" t="s">
        <v>1555</v>
      </c>
      <c r="C6344" t="s">
        <v>9784</v>
      </c>
      <c r="D6344" t="s">
        <v>9928</v>
      </c>
      <c r="E6344" t="s">
        <v>10075</v>
      </c>
      <c r="F6344">
        <v>11207</v>
      </c>
      <c r="G6344" t="s">
        <v>10093</v>
      </c>
      <c r="H6344" t="s">
        <v>4843</v>
      </c>
      <c r="I6344" t="s">
        <v>10169</v>
      </c>
      <c r="J6344" t="s">
        <v>10213</v>
      </c>
      <c r="K6344" t="s">
        <v>10217</v>
      </c>
      <c r="M6344" t="s">
        <v>10505</v>
      </c>
      <c r="N6344" t="s">
        <v>10650</v>
      </c>
      <c r="P6344" t="s">
        <v>10749</v>
      </c>
      <c r="Q6344" t="s">
        <v>10765</v>
      </c>
      <c r="R6344" t="s">
        <v>10823</v>
      </c>
      <c r="T6344">
        <v>10396</v>
      </c>
      <c r="U6344">
        <v>866.33</v>
      </c>
      <c r="V6344">
        <v>58</v>
      </c>
      <c r="W6344">
        <v>1</v>
      </c>
      <c r="X6344">
        <v>0</v>
      </c>
      <c r="Z6344">
        <v>83.23</v>
      </c>
      <c r="AA6344">
        <v>40.668874</v>
      </c>
      <c r="AB6344">
        <v>-73.894327</v>
      </c>
      <c r="AD6344" t="s">
        <v>10839</v>
      </c>
      <c r="AG6344" t="s">
        <v>10858</v>
      </c>
      <c r="AH6344" t="s">
        <v>10862</v>
      </c>
      <c r="AI6344">
        <v>239</v>
      </c>
      <c r="AJ6344" t="s">
        <v>10213</v>
      </c>
      <c r="AL6344">
        <v>0</v>
      </c>
      <c r="AM6344" t="s">
        <v>10889</v>
      </c>
      <c r="AN6344" t="s">
        <v>10946</v>
      </c>
      <c r="AO6344" t="s">
        <v>11012</v>
      </c>
      <c r="AP6344" t="s">
        <v>11060</v>
      </c>
      <c r="AR6344" t="s">
        <v>11268</v>
      </c>
      <c r="AS6344" t="s">
        <v>11595</v>
      </c>
      <c r="AT6344" t="s">
        <v>11641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</row>
    <row r="6345" spans="1:59">
      <c r="A6345" s="1">
        <f>HYPERLINK("https://lsnyc.legalserver.org/matter/dynamic-profile/view/1910680","19-1910680")</f>
        <v>0</v>
      </c>
      <c r="B6345" t="s">
        <v>4878</v>
      </c>
      <c r="C6345" t="s">
        <v>9785</v>
      </c>
      <c r="D6345" t="s">
        <v>9928</v>
      </c>
      <c r="E6345" t="s">
        <v>10075</v>
      </c>
      <c r="F6345">
        <v>11205</v>
      </c>
      <c r="G6345" t="s">
        <v>10093</v>
      </c>
      <c r="H6345" t="s">
        <v>4843</v>
      </c>
      <c r="I6345" t="s">
        <v>10168</v>
      </c>
      <c r="J6345" t="s">
        <v>10213</v>
      </c>
      <c r="K6345" t="s">
        <v>10217</v>
      </c>
      <c r="M6345" t="s">
        <v>10275</v>
      </c>
      <c r="N6345" t="s">
        <v>10657</v>
      </c>
      <c r="P6345" t="s">
        <v>10749</v>
      </c>
      <c r="Q6345" t="s">
        <v>10765</v>
      </c>
      <c r="R6345" t="s">
        <v>10824</v>
      </c>
      <c r="T6345">
        <v>0</v>
      </c>
      <c r="U6345">
        <v>0</v>
      </c>
      <c r="V6345">
        <v>26</v>
      </c>
      <c r="W6345">
        <v>5</v>
      </c>
      <c r="X6345">
        <v>0</v>
      </c>
      <c r="Z6345">
        <v>0</v>
      </c>
      <c r="AA6345">
        <v>40.694832</v>
      </c>
      <c r="AB6345">
        <v>-73.969334</v>
      </c>
      <c r="AD6345" t="s">
        <v>10840</v>
      </c>
      <c r="AG6345" t="s">
        <v>10858</v>
      </c>
      <c r="AH6345" t="s">
        <v>10862</v>
      </c>
      <c r="AI6345">
        <v>239</v>
      </c>
      <c r="AJ6345" t="s">
        <v>10213</v>
      </c>
      <c r="AL6345">
        <v>1.5</v>
      </c>
      <c r="AM6345" t="s">
        <v>10889</v>
      </c>
      <c r="AN6345" t="s">
        <v>10939</v>
      </c>
      <c r="AO6345" t="s">
        <v>11007</v>
      </c>
      <c r="AP6345" t="s">
        <v>11061</v>
      </c>
      <c r="AR6345" t="s">
        <v>11267</v>
      </c>
      <c r="AS6345" t="s">
        <v>11595</v>
      </c>
      <c r="AT6345" t="s">
        <v>11642</v>
      </c>
      <c r="AX6345" t="s">
        <v>10838</v>
      </c>
      <c r="BA6345" t="s">
        <v>11741</v>
      </c>
      <c r="BB6345">
        <v>0</v>
      </c>
      <c r="BC6345">
        <v>0</v>
      </c>
      <c r="BD6345">
        <v>0</v>
      </c>
      <c r="BE6345">
        <v>0</v>
      </c>
      <c r="BF6345">
        <v>1</v>
      </c>
      <c r="BG6345">
        <v>0</v>
      </c>
    </row>
    <row r="6346" spans="1:59">
      <c r="A6346" s="1">
        <f>HYPERLINK("https://lsnyc.legalserver.org/matter/dynamic-profile/view/1910681","19-1910681")</f>
        <v>0</v>
      </c>
      <c r="B6346" t="s">
        <v>4879</v>
      </c>
      <c r="C6346" t="s">
        <v>9786</v>
      </c>
      <c r="D6346" t="s">
        <v>9938</v>
      </c>
      <c r="E6346" t="s">
        <v>10075</v>
      </c>
      <c r="F6346">
        <v>11434</v>
      </c>
      <c r="G6346" t="s">
        <v>10092</v>
      </c>
      <c r="H6346" t="s">
        <v>4843</v>
      </c>
      <c r="I6346" t="s">
        <v>10168</v>
      </c>
      <c r="J6346" t="s">
        <v>10212</v>
      </c>
      <c r="K6346" t="s">
        <v>10217</v>
      </c>
      <c r="M6346" t="s">
        <v>10410</v>
      </c>
      <c r="N6346" t="s">
        <v>10693</v>
      </c>
      <c r="P6346" t="s">
        <v>10749</v>
      </c>
      <c r="Q6346" t="s">
        <v>10765</v>
      </c>
      <c r="R6346" t="s">
        <v>10824</v>
      </c>
      <c r="T6346">
        <v>4888</v>
      </c>
      <c r="U6346">
        <v>407.33</v>
      </c>
      <c r="V6346">
        <v>36</v>
      </c>
      <c r="W6346">
        <v>1</v>
      </c>
      <c r="X6346">
        <v>0</v>
      </c>
      <c r="Z6346">
        <v>39.14</v>
      </c>
      <c r="AA6346">
        <v>40.678047</v>
      </c>
      <c r="AB6346">
        <v>-73.765889</v>
      </c>
      <c r="AD6346" t="s">
        <v>10840</v>
      </c>
      <c r="AF6346" t="s">
        <v>10843</v>
      </c>
      <c r="AG6346" t="s">
        <v>10859</v>
      </c>
      <c r="AH6346" t="s">
        <v>10862</v>
      </c>
      <c r="AI6346">
        <v>237</v>
      </c>
      <c r="AJ6346" t="s">
        <v>10212</v>
      </c>
      <c r="AL6346">
        <v>1.55</v>
      </c>
      <c r="AM6346" t="s">
        <v>10892</v>
      </c>
      <c r="AN6346" t="s">
        <v>10951</v>
      </c>
      <c r="AO6346" t="s">
        <v>11017</v>
      </c>
      <c r="AP6346" t="s">
        <v>11075</v>
      </c>
      <c r="AR6346" t="s">
        <v>11321</v>
      </c>
      <c r="AS6346" t="s">
        <v>11594</v>
      </c>
      <c r="AX6346" t="s">
        <v>10837</v>
      </c>
      <c r="BA6346" t="s">
        <v>11742</v>
      </c>
      <c r="BB6346">
        <v>0</v>
      </c>
      <c r="BC6346">
        <v>0</v>
      </c>
      <c r="BD6346">
        <v>0</v>
      </c>
      <c r="BE6346">
        <v>0</v>
      </c>
      <c r="BF6346">
        <v>7</v>
      </c>
      <c r="BG6346">
        <v>0</v>
      </c>
    </row>
    <row r="6347" spans="1:59">
      <c r="A6347" s="1">
        <f>HYPERLINK("https://lsnyc.legalserver.org/matter/dynamic-profile/view/1910682","19-1910682")</f>
        <v>0</v>
      </c>
      <c r="B6347" t="s">
        <v>4305</v>
      </c>
      <c r="C6347" t="s">
        <v>9787</v>
      </c>
      <c r="D6347" t="s">
        <v>9928</v>
      </c>
      <c r="E6347" t="s">
        <v>10075</v>
      </c>
      <c r="F6347">
        <v>11238</v>
      </c>
      <c r="G6347" t="s">
        <v>10093</v>
      </c>
      <c r="H6347" t="s">
        <v>4843</v>
      </c>
      <c r="I6347" t="s">
        <v>10168</v>
      </c>
      <c r="J6347" t="s">
        <v>10213</v>
      </c>
      <c r="K6347" t="s">
        <v>10217</v>
      </c>
      <c r="M6347" t="s">
        <v>10563</v>
      </c>
      <c r="N6347" t="s">
        <v>10650</v>
      </c>
      <c r="P6347" t="s">
        <v>10749</v>
      </c>
      <c r="Q6347" t="s">
        <v>10765</v>
      </c>
      <c r="R6347" t="s">
        <v>10824</v>
      </c>
      <c r="T6347">
        <v>0</v>
      </c>
      <c r="U6347">
        <v>0</v>
      </c>
      <c r="V6347">
        <v>56</v>
      </c>
      <c r="W6347">
        <v>2</v>
      </c>
      <c r="X6347">
        <v>0</v>
      </c>
      <c r="Z6347">
        <v>0</v>
      </c>
      <c r="AA6347">
        <v>40.674033</v>
      </c>
      <c r="AB6347">
        <v>-73.95909899999999</v>
      </c>
      <c r="AD6347" t="s">
        <v>10839</v>
      </c>
      <c r="AG6347" t="s">
        <v>10858</v>
      </c>
      <c r="AH6347" t="s">
        <v>10862</v>
      </c>
      <c r="AI6347">
        <v>239</v>
      </c>
      <c r="AJ6347" t="s">
        <v>10213</v>
      </c>
      <c r="AL6347">
        <v>0</v>
      </c>
      <c r="AM6347" t="s">
        <v>10888</v>
      </c>
      <c r="AN6347" t="s">
        <v>10923</v>
      </c>
      <c r="AO6347" t="s">
        <v>11005</v>
      </c>
      <c r="AP6347" t="s">
        <v>11061</v>
      </c>
      <c r="AR6347" t="s">
        <v>11267</v>
      </c>
      <c r="AS6347" t="s">
        <v>11595</v>
      </c>
      <c r="AT6347" t="s">
        <v>11641</v>
      </c>
      <c r="BA6347" t="s">
        <v>11742</v>
      </c>
      <c r="BB6347">
        <v>0</v>
      </c>
      <c r="BC6347">
        <v>0</v>
      </c>
      <c r="BD6347">
        <v>0</v>
      </c>
      <c r="BE6347">
        <v>0</v>
      </c>
      <c r="BF6347">
        <v>7</v>
      </c>
      <c r="BG6347">
        <v>0</v>
      </c>
    </row>
    <row r="6348" spans="1:59">
      <c r="A6348" s="1">
        <f>HYPERLINK("https://lsnyc.legalserver.org/matter/dynamic-profile/view/1910683","19-1910683")</f>
        <v>0</v>
      </c>
      <c r="B6348" t="s">
        <v>1072</v>
      </c>
      <c r="C6348" t="s">
        <v>9788</v>
      </c>
      <c r="D6348" t="s">
        <v>9940</v>
      </c>
      <c r="E6348" t="s">
        <v>10075</v>
      </c>
      <c r="F6348">
        <v>11421</v>
      </c>
      <c r="G6348" t="s">
        <v>10093</v>
      </c>
      <c r="H6348" t="s">
        <v>4843</v>
      </c>
      <c r="I6348" t="s">
        <v>10169</v>
      </c>
      <c r="J6348" t="s">
        <v>10213</v>
      </c>
      <c r="K6348" t="s">
        <v>10217</v>
      </c>
      <c r="M6348" t="s">
        <v>10505</v>
      </c>
      <c r="N6348" t="s">
        <v>10646</v>
      </c>
      <c r="P6348" t="s">
        <v>10749</v>
      </c>
      <c r="Q6348" t="s">
        <v>10765</v>
      </c>
      <c r="R6348" t="s">
        <v>10822</v>
      </c>
      <c r="T6348">
        <v>8640</v>
      </c>
      <c r="U6348">
        <v>720</v>
      </c>
      <c r="V6348">
        <v>45</v>
      </c>
      <c r="W6348">
        <v>2</v>
      </c>
      <c r="X6348">
        <v>3</v>
      </c>
      <c r="Z6348">
        <v>28.64</v>
      </c>
      <c r="AA6348">
        <v>40.688202</v>
      </c>
      <c r="AB6348">
        <v>-73.861542</v>
      </c>
      <c r="AD6348" t="s">
        <v>10839</v>
      </c>
      <c r="AG6348" t="s">
        <v>10858</v>
      </c>
      <c r="AH6348" t="s">
        <v>10862</v>
      </c>
      <c r="AI6348">
        <v>239</v>
      </c>
      <c r="AJ6348" t="s">
        <v>10213</v>
      </c>
      <c r="AL6348">
        <v>0</v>
      </c>
      <c r="AM6348" t="s">
        <v>10886</v>
      </c>
      <c r="AN6348" t="s">
        <v>10945</v>
      </c>
      <c r="AO6348" t="s">
        <v>11003</v>
      </c>
      <c r="AP6348" t="s">
        <v>11077</v>
      </c>
      <c r="AR6348" t="s">
        <v>11273</v>
      </c>
      <c r="AS6348" t="s">
        <v>11594</v>
      </c>
      <c r="AT6348" t="s">
        <v>11641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</row>
    <row r="6349" spans="1:59">
      <c r="A6349" s="1">
        <f>HYPERLINK("https://lsnyc.legalserver.org/matter/dynamic-profile/view/1910684","19-1910684")</f>
        <v>0</v>
      </c>
      <c r="B6349" t="s">
        <v>4880</v>
      </c>
      <c r="C6349" t="s">
        <v>9306</v>
      </c>
      <c r="D6349" t="s">
        <v>9928</v>
      </c>
      <c r="E6349" t="s">
        <v>10075</v>
      </c>
      <c r="F6349">
        <v>11213</v>
      </c>
      <c r="G6349" t="s">
        <v>10093</v>
      </c>
      <c r="H6349" t="s">
        <v>4843</v>
      </c>
      <c r="I6349" t="s">
        <v>10168</v>
      </c>
      <c r="J6349" t="s">
        <v>10213</v>
      </c>
      <c r="K6349" t="s">
        <v>10217</v>
      </c>
      <c r="M6349" t="s">
        <v>10505</v>
      </c>
      <c r="N6349" t="s">
        <v>10646</v>
      </c>
      <c r="P6349" t="s">
        <v>10749</v>
      </c>
      <c r="Q6349" t="s">
        <v>10765</v>
      </c>
      <c r="R6349" t="s">
        <v>10822</v>
      </c>
      <c r="T6349">
        <v>19200</v>
      </c>
      <c r="U6349">
        <v>1600</v>
      </c>
      <c r="V6349">
        <v>57</v>
      </c>
      <c r="W6349">
        <v>3</v>
      </c>
      <c r="X6349">
        <v>0</v>
      </c>
      <c r="Z6349">
        <v>90.01000000000001</v>
      </c>
      <c r="AA6349">
        <v>40.674189</v>
      </c>
      <c r="AB6349">
        <v>-73.937583</v>
      </c>
      <c r="AD6349" t="s">
        <v>10839</v>
      </c>
      <c r="AG6349" t="s">
        <v>10858</v>
      </c>
      <c r="AH6349" t="s">
        <v>10862</v>
      </c>
      <c r="AI6349">
        <v>239</v>
      </c>
      <c r="AJ6349" t="s">
        <v>10213</v>
      </c>
      <c r="AL6349">
        <v>0</v>
      </c>
      <c r="AM6349" t="s">
        <v>10888</v>
      </c>
      <c r="AN6349" t="s">
        <v>10914</v>
      </c>
      <c r="AO6349" t="s">
        <v>11007</v>
      </c>
      <c r="AP6349" t="s">
        <v>11052</v>
      </c>
      <c r="AR6349" t="s">
        <v>10180</v>
      </c>
      <c r="AS6349" t="s">
        <v>11595</v>
      </c>
      <c r="AT6349" t="s">
        <v>11641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</row>
    <row r="6350" spans="1:59">
      <c r="A6350" s="1">
        <f>HYPERLINK("https://lsnyc.legalserver.org/matter/dynamic-profile/view/1910685","19-1910685")</f>
        <v>0</v>
      </c>
      <c r="B6350" t="s">
        <v>4048</v>
      </c>
      <c r="C6350" t="s">
        <v>8870</v>
      </c>
      <c r="D6350" t="s">
        <v>9928</v>
      </c>
      <c r="E6350" t="s">
        <v>10075</v>
      </c>
      <c r="F6350">
        <v>11219</v>
      </c>
      <c r="G6350" t="s">
        <v>10093</v>
      </c>
      <c r="H6350" t="s">
        <v>10157</v>
      </c>
      <c r="I6350" t="s">
        <v>10169</v>
      </c>
      <c r="J6350" t="s">
        <v>10213</v>
      </c>
      <c r="K6350" t="s">
        <v>10217</v>
      </c>
      <c r="M6350" t="s">
        <v>10420</v>
      </c>
      <c r="N6350" t="s">
        <v>10679</v>
      </c>
      <c r="P6350" t="s">
        <v>10753</v>
      </c>
      <c r="Q6350" t="s">
        <v>10763</v>
      </c>
      <c r="R6350" t="s">
        <v>10821</v>
      </c>
      <c r="T6350">
        <v>0</v>
      </c>
      <c r="U6350">
        <v>0</v>
      </c>
      <c r="V6350">
        <v>17</v>
      </c>
      <c r="W6350">
        <v>1</v>
      </c>
      <c r="X6350">
        <v>1</v>
      </c>
      <c r="Z6350">
        <v>0</v>
      </c>
      <c r="AA6350">
        <v>40.643324</v>
      </c>
      <c r="AB6350">
        <v>-73.997409</v>
      </c>
      <c r="AD6350" t="s">
        <v>10840</v>
      </c>
      <c r="AF6350" t="s">
        <v>10842</v>
      </c>
      <c r="AG6350" t="s">
        <v>10859</v>
      </c>
      <c r="AH6350" t="s">
        <v>10864</v>
      </c>
      <c r="AI6350">
        <v>239</v>
      </c>
      <c r="AJ6350" t="s">
        <v>10213</v>
      </c>
      <c r="AL6350">
        <v>1.5</v>
      </c>
      <c r="AM6350" t="s">
        <v>10894</v>
      </c>
      <c r="AN6350" t="s">
        <v>10921</v>
      </c>
      <c r="AO6350" t="s">
        <v>11015</v>
      </c>
      <c r="AP6350" t="s">
        <v>11069</v>
      </c>
      <c r="AQ6350" t="s">
        <v>11198</v>
      </c>
      <c r="AR6350" t="s">
        <v>11267</v>
      </c>
      <c r="AS6350" t="s">
        <v>11595</v>
      </c>
      <c r="AX6350" t="s">
        <v>10838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</row>
    <row r="6351" spans="1:59">
      <c r="A6351" s="1">
        <f>HYPERLINK("https://lsnyc.legalserver.org/matter/dynamic-profile/view/1910686","19-1910686")</f>
        <v>0</v>
      </c>
      <c r="B6351" t="s">
        <v>4881</v>
      </c>
      <c r="C6351" t="s">
        <v>9789</v>
      </c>
      <c r="D6351" t="s">
        <v>9928</v>
      </c>
      <c r="E6351" t="s">
        <v>10075</v>
      </c>
      <c r="F6351">
        <v>11234</v>
      </c>
      <c r="G6351" t="s">
        <v>10093</v>
      </c>
      <c r="H6351" t="s">
        <v>4843</v>
      </c>
      <c r="I6351" t="s">
        <v>10184</v>
      </c>
      <c r="J6351" t="s">
        <v>10213</v>
      </c>
      <c r="K6351" t="s">
        <v>10217</v>
      </c>
      <c r="M6351" t="s">
        <v>10275</v>
      </c>
      <c r="N6351" t="s">
        <v>10657</v>
      </c>
      <c r="P6351" t="s">
        <v>10754</v>
      </c>
      <c r="Q6351" t="s">
        <v>10775</v>
      </c>
      <c r="R6351" t="s">
        <v>10825</v>
      </c>
      <c r="T6351">
        <v>34800</v>
      </c>
      <c r="U6351">
        <v>2900</v>
      </c>
      <c r="V6351">
        <v>30</v>
      </c>
      <c r="W6351">
        <v>1</v>
      </c>
      <c r="X6351">
        <v>2</v>
      </c>
      <c r="Z6351">
        <v>163.15</v>
      </c>
      <c r="AA6351">
        <v>40.627477</v>
      </c>
      <c r="AB6351">
        <v>-73.93144700000001</v>
      </c>
      <c r="AD6351" t="s">
        <v>10839</v>
      </c>
      <c r="AG6351" t="s">
        <v>10858</v>
      </c>
      <c r="AH6351" t="s">
        <v>10862</v>
      </c>
      <c r="AI6351">
        <v>239</v>
      </c>
      <c r="AJ6351" t="s">
        <v>10213</v>
      </c>
      <c r="AL6351">
        <v>0.8</v>
      </c>
      <c r="AM6351" t="s">
        <v>10889</v>
      </c>
      <c r="AN6351" t="s">
        <v>10957</v>
      </c>
      <c r="AO6351" t="s">
        <v>11008</v>
      </c>
      <c r="AP6351" t="s">
        <v>11065</v>
      </c>
      <c r="AQ6351" t="s">
        <v>11106</v>
      </c>
      <c r="AR6351" t="s">
        <v>11401</v>
      </c>
      <c r="AS6351" t="s">
        <v>11595</v>
      </c>
      <c r="AT6351" t="s">
        <v>11641</v>
      </c>
      <c r="AX6351" t="s">
        <v>10838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</row>
    <row r="6352" spans="1:59">
      <c r="A6352" s="1">
        <f>HYPERLINK("https://lsnyc.legalserver.org/matter/dynamic-profile/view/1910688","19-1910688")</f>
        <v>0</v>
      </c>
      <c r="B6352" t="s">
        <v>4882</v>
      </c>
      <c r="C6352" t="s">
        <v>9790</v>
      </c>
      <c r="D6352" t="s">
        <v>9948</v>
      </c>
      <c r="E6352" t="s">
        <v>10075</v>
      </c>
      <c r="F6352">
        <v>11691</v>
      </c>
      <c r="G6352" t="s">
        <v>10092</v>
      </c>
      <c r="H6352" t="s">
        <v>4843</v>
      </c>
      <c r="I6352" t="s">
        <v>10168</v>
      </c>
      <c r="J6352" t="s">
        <v>10212</v>
      </c>
      <c r="K6352" t="s">
        <v>10218</v>
      </c>
      <c r="L6352" t="s">
        <v>4843</v>
      </c>
      <c r="M6352" t="s">
        <v>10374</v>
      </c>
      <c r="N6352" t="s">
        <v>10745</v>
      </c>
      <c r="P6352" t="s">
        <v>10754</v>
      </c>
      <c r="Q6352" t="s">
        <v>10777</v>
      </c>
      <c r="R6352" t="s">
        <v>10824</v>
      </c>
      <c r="T6352">
        <v>9492</v>
      </c>
      <c r="U6352">
        <v>791</v>
      </c>
      <c r="V6352">
        <v>41</v>
      </c>
      <c r="W6352">
        <v>1</v>
      </c>
      <c r="X6352">
        <v>2</v>
      </c>
      <c r="Y6352" t="s">
        <v>10829</v>
      </c>
      <c r="Z6352">
        <v>44.5</v>
      </c>
      <c r="AA6352">
        <v>40.594408</v>
      </c>
      <c r="AB6352">
        <v>-73.755334</v>
      </c>
      <c r="AD6352" t="s">
        <v>10839</v>
      </c>
      <c r="AG6352" t="s">
        <v>10858</v>
      </c>
      <c r="AH6352" t="s">
        <v>10865</v>
      </c>
      <c r="AI6352">
        <v>237</v>
      </c>
      <c r="AJ6352" t="s">
        <v>10212</v>
      </c>
      <c r="AK6352" t="s">
        <v>10837</v>
      </c>
      <c r="AL6352">
        <v>0.5</v>
      </c>
      <c r="AM6352" t="s">
        <v>10892</v>
      </c>
      <c r="AN6352" t="s">
        <v>10958</v>
      </c>
      <c r="AO6352" t="s">
        <v>11017</v>
      </c>
      <c r="AP6352" t="s">
        <v>11082</v>
      </c>
      <c r="AR6352" t="s">
        <v>11263</v>
      </c>
      <c r="AS6352" t="s">
        <v>11594</v>
      </c>
      <c r="AT6352" t="s">
        <v>11641</v>
      </c>
      <c r="AX6352" t="s">
        <v>10838</v>
      </c>
      <c r="AY6352" t="s">
        <v>10829</v>
      </c>
      <c r="AZ6352" t="s">
        <v>11683</v>
      </c>
      <c r="BA6352" t="s">
        <v>11741</v>
      </c>
      <c r="BB6352">
        <v>0</v>
      </c>
      <c r="BC6352">
        <v>0</v>
      </c>
      <c r="BD6352">
        <v>0</v>
      </c>
      <c r="BE6352">
        <v>0</v>
      </c>
      <c r="BF6352">
        <v>1</v>
      </c>
      <c r="BG6352">
        <v>0</v>
      </c>
    </row>
    <row r="6353" spans="1:59">
      <c r="A6353" s="1">
        <f>HYPERLINK("https://lsnyc.legalserver.org/matter/dynamic-profile/view/1910689","19-1910689")</f>
        <v>0</v>
      </c>
      <c r="B6353" t="s">
        <v>4883</v>
      </c>
      <c r="C6353" t="s">
        <v>8787</v>
      </c>
      <c r="D6353" t="s">
        <v>9926</v>
      </c>
      <c r="E6353" t="s">
        <v>10075</v>
      </c>
      <c r="F6353">
        <v>10467</v>
      </c>
      <c r="G6353" t="s">
        <v>10090</v>
      </c>
      <c r="H6353" t="s">
        <v>10158</v>
      </c>
      <c r="I6353" t="s">
        <v>10168</v>
      </c>
      <c r="J6353" t="s">
        <v>10210</v>
      </c>
      <c r="K6353" t="s">
        <v>10217</v>
      </c>
      <c r="M6353" t="s">
        <v>10516</v>
      </c>
      <c r="N6353" t="s">
        <v>10646</v>
      </c>
      <c r="P6353" t="s">
        <v>10751</v>
      </c>
      <c r="Q6353" t="s">
        <v>10780</v>
      </c>
      <c r="R6353" t="s">
        <v>10821</v>
      </c>
      <c r="T6353">
        <v>2784</v>
      </c>
      <c r="U6353">
        <v>232</v>
      </c>
      <c r="V6353">
        <v>41</v>
      </c>
      <c r="W6353">
        <v>1</v>
      </c>
      <c r="X6353">
        <v>1</v>
      </c>
      <c r="Z6353">
        <v>16.46</v>
      </c>
      <c r="AA6353">
        <v>40.879466</v>
      </c>
      <c r="AB6353">
        <v>-73.871999</v>
      </c>
      <c r="AD6353" t="s">
        <v>10839</v>
      </c>
      <c r="AG6353" t="s">
        <v>10858</v>
      </c>
      <c r="AH6353" t="s">
        <v>10861</v>
      </c>
      <c r="AI6353">
        <v>234</v>
      </c>
      <c r="AJ6353" t="s">
        <v>10214</v>
      </c>
      <c r="AL6353">
        <v>0.9</v>
      </c>
      <c r="AM6353" t="s">
        <v>10887</v>
      </c>
      <c r="AN6353" t="s">
        <v>10938</v>
      </c>
      <c r="AO6353" t="s">
        <v>11010</v>
      </c>
      <c r="AP6353" t="s">
        <v>11057</v>
      </c>
      <c r="AR6353" t="s">
        <v>11311</v>
      </c>
      <c r="AS6353" t="s">
        <v>9926</v>
      </c>
      <c r="AT6353" t="s">
        <v>11641</v>
      </c>
      <c r="AX6353" t="s">
        <v>10838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</row>
    <row r="6354" spans="1:59">
      <c r="A6354" s="1">
        <f>HYPERLINK("https://lsnyc.legalserver.org/matter/dynamic-profile/view/1910690","19-1910690")</f>
        <v>0</v>
      </c>
      <c r="B6354" t="s">
        <v>4884</v>
      </c>
      <c r="C6354" t="s">
        <v>9791</v>
      </c>
      <c r="D6354" t="s">
        <v>9926</v>
      </c>
      <c r="E6354" t="s">
        <v>10075</v>
      </c>
      <c r="F6354">
        <v>10451</v>
      </c>
      <c r="G6354" t="s">
        <v>10090</v>
      </c>
      <c r="H6354" t="s">
        <v>10158</v>
      </c>
      <c r="I6354" t="s">
        <v>10168</v>
      </c>
      <c r="J6354" t="s">
        <v>10210</v>
      </c>
      <c r="K6354" t="s">
        <v>10217</v>
      </c>
      <c r="M6354" t="s">
        <v>10438</v>
      </c>
      <c r="N6354" t="s">
        <v>10694</v>
      </c>
      <c r="P6354" t="s">
        <v>10751</v>
      </c>
      <c r="Q6354" t="s">
        <v>10773</v>
      </c>
      <c r="R6354" t="s">
        <v>10821</v>
      </c>
      <c r="T6354">
        <v>0</v>
      </c>
      <c r="U6354">
        <v>0</v>
      </c>
      <c r="V6354">
        <v>44</v>
      </c>
      <c r="W6354">
        <v>1</v>
      </c>
      <c r="X6354">
        <v>0</v>
      </c>
      <c r="Z6354">
        <v>0</v>
      </c>
      <c r="AA6354">
        <v>40.82106</v>
      </c>
      <c r="AB6354">
        <v>-73.91808399999999</v>
      </c>
      <c r="AD6354" t="s">
        <v>10839</v>
      </c>
      <c r="AG6354" t="s">
        <v>10858</v>
      </c>
      <c r="AH6354" t="s">
        <v>10861</v>
      </c>
      <c r="AI6354">
        <v>234</v>
      </c>
      <c r="AJ6354" t="s">
        <v>10214</v>
      </c>
      <c r="AL6354">
        <v>2.25</v>
      </c>
      <c r="AR6354" t="s">
        <v>11267</v>
      </c>
      <c r="AS6354" t="s">
        <v>9926</v>
      </c>
      <c r="AT6354" t="s">
        <v>11641</v>
      </c>
      <c r="AX6354" t="s">
        <v>10838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</row>
    <row r="6355" spans="1:59">
      <c r="A6355" s="1">
        <f>HYPERLINK("https://lsnyc.legalserver.org/matter/dynamic-profile/view/1910691","19-1910691")</f>
        <v>0</v>
      </c>
      <c r="B6355" t="s">
        <v>4027</v>
      </c>
      <c r="C6355" t="s">
        <v>8847</v>
      </c>
      <c r="D6355" t="s">
        <v>9928</v>
      </c>
      <c r="E6355" t="s">
        <v>10075</v>
      </c>
      <c r="F6355">
        <v>11239</v>
      </c>
      <c r="G6355" t="s">
        <v>10093</v>
      </c>
      <c r="H6355" t="s">
        <v>10158</v>
      </c>
      <c r="I6355" t="s">
        <v>10168</v>
      </c>
      <c r="J6355" t="s">
        <v>10213</v>
      </c>
      <c r="K6355" t="s">
        <v>10217</v>
      </c>
      <c r="M6355" t="s">
        <v>10289</v>
      </c>
      <c r="N6355" t="s">
        <v>10671</v>
      </c>
      <c r="P6355" t="s">
        <v>10751</v>
      </c>
      <c r="Q6355" t="s">
        <v>10776</v>
      </c>
      <c r="R6355" t="s">
        <v>10824</v>
      </c>
      <c r="T6355">
        <v>0</v>
      </c>
      <c r="U6355">
        <v>0</v>
      </c>
      <c r="V6355">
        <v>71</v>
      </c>
      <c r="W6355">
        <v>1</v>
      </c>
      <c r="X6355">
        <v>0</v>
      </c>
      <c r="Z6355">
        <v>0</v>
      </c>
      <c r="AA6355">
        <v>40.655783</v>
      </c>
      <c r="AB6355">
        <v>-73.872423</v>
      </c>
      <c r="AD6355" t="s">
        <v>10839</v>
      </c>
      <c r="AG6355" t="s">
        <v>10858</v>
      </c>
      <c r="AH6355" t="s">
        <v>10871</v>
      </c>
      <c r="AI6355">
        <v>234</v>
      </c>
      <c r="AJ6355" t="s">
        <v>10214</v>
      </c>
      <c r="AL6355">
        <v>0.75</v>
      </c>
      <c r="AR6355" t="s">
        <v>11267</v>
      </c>
      <c r="AS6355" t="s">
        <v>11595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</row>
    <row r="6356" spans="1:59">
      <c r="A6356" s="1">
        <f>HYPERLINK("https://lsnyc.legalserver.org/matter/dynamic-profile/view/1910692","19-1910692")</f>
        <v>0</v>
      </c>
      <c r="B6356" t="s">
        <v>4885</v>
      </c>
      <c r="C6356" t="s">
        <v>9792</v>
      </c>
      <c r="D6356" t="s">
        <v>9931</v>
      </c>
      <c r="E6356" t="s">
        <v>10075</v>
      </c>
      <c r="F6356">
        <v>11354</v>
      </c>
      <c r="G6356" t="s">
        <v>10092</v>
      </c>
      <c r="H6356" t="s">
        <v>10158</v>
      </c>
      <c r="I6356" t="s">
        <v>10168</v>
      </c>
      <c r="J6356" t="s">
        <v>10212</v>
      </c>
      <c r="K6356" t="s">
        <v>10217</v>
      </c>
      <c r="M6356" t="s">
        <v>10329</v>
      </c>
      <c r="N6356" t="s">
        <v>10650</v>
      </c>
      <c r="P6356" t="s">
        <v>10749</v>
      </c>
      <c r="Q6356" t="s">
        <v>10765</v>
      </c>
      <c r="R6356" t="s">
        <v>10825</v>
      </c>
      <c r="T6356">
        <v>17160</v>
      </c>
      <c r="U6356">
        <v>1430</v>
      </c>
      <c r="V6356">
        <v>47</v>
      </c>
      <c r="W6356">
        <v>1</v>
      </c>
      <c r="X6356">
        <v>0</v>
      </c>
      <c r="Z6356">
        <v>137.39</v>
      </c>
      <c r="AA6356">
        <v>40.767449</v>
      </c>
      <c r="AB6356">
        <v>-73.812218</v>
      </c>
      <c r="AD6356" t="s">
        <v>10840</v>
      </c>
      <c r="AG6356" t="s">
        <v>10858</v>
      </c>
      <c r="AH6356" t="s">
        <v>10862</v>
      </c>
      <c r="AI6356">
        <v>237</v>
      </c>
      <c r="AJ6356" t="s">
        <v>10212</v>
      </c>
      <c r="AL6356">
        <v>1.4</v>
      </c>
      <c r="AM6356" t="s">
        <v>10890</v>
      </c>
      <c r="AN6356" t="s">
        <v>10927</v>
      </c>
      <c r="AO6356" t="s">
        <v>11022</v>
      </c>
      <c r="AP6356" t="s">
        <v>11067</v>
      </c>
      <c r="AR6356" t="s">
        <v>11293</v>
      </c>
      <c r="AS6356" t="s">
        <v>11594</v>
      </c>
      <c r="AX6356" t="s">
        <v>10838</v>
      </c>
      <c r="BA6356" t="s">
        <v>11742</v>
      </c>
      <c r="BB6356">
        <v>0</v>
      </c>
      <c r="BC6356">
        <v>0</v>
      </c>
      <c r="BD6356">
        <v>0</v>
      </c>
      <c r="BE6356">
        <v>0</v>
      </c>
      <c r="BF6356">
        <v>7</v>
      </c>
      <c r="BG6356">
        <v>0</v>
      </c>
    </row>
    <row r="6357" spans="1:59">
      <c r="A6357" s="1">
        <f>HYPERLINK("https://lsnyc.legalserver.org/matter/dynamic-profile/view/1910693","19-1910693")</f>
        <v>0</v>
      </c>
      <c r="B6357" t="s">
        <v>2358</v>
      </c>
      <c r="C6357" t="s">
        <v>9793</v>
      </c>
      <c r="D6357" t="s">
        <v>9929</v>
      </c>
      <c r="E6357" t="s">
        <v>10075</v>
      </c>
      <c r="F6357">
        <v>10314</v>
      </c>
      <c r="G6357" t="s">
        <v>10088</v>
      </c>
      <c r="H6357" t="s">
        <v>10158</v>
      </c>
      <c r="I6357" t="s">
        <v>10174</v>
      </c>
      <c r="J6357" t="s">
        <v>10208</v>
      </c>
      <c r="K6357" t="s">
        <v>10217</v>
      </c>
      <c r="M6357" t="s">
        <v>10237</v>
      </c>
      <c r="N6357" t="s">
        <v>10700</v>
      </c>
      <c r="P6357" t="s">
        <v>10754</v>
      </c>
      <c r="Q6357" t="s">
        <v>10770</v>
      </c>
      <c r="R6357" t="s">
        <v>10827</v>
      </c>
      <c r="T6357">
        <v>6000</v>
      </c>
      <c r="U6357">
        <v>500</v>
      </c>
      <c r="V6357">
        <v>43</v>
      </c>
      <c r="W6357">
        <v>1</v>
      </c>
      <c r="X6357">
        <v>3</v>
      </c>
      <c r="Z6357">
        <v>23.3</v>
      </c>
      <c r="AA6357">
        <v>40.606767</v>
      </c>
      <c r="AB6357">
        <v>-74.12223</v>
      </c>
      <c r="AD6357" t="s">
        <v>10839</v>
      </c>
      <c r="AG6357" t="s">
        <v>10858</v>
      </c>
      <c r="AH6357" t="s">
        <v>10861</v>
      </c>
      <c r="AI6357">
        <v>285</v>
      </c>
      <c r="AJ6357" t="s">
        <v>10208</v>
      </c>
      <c r="AL6357">
        <v>0.3</v>
      </c>
      <c r="AM6357" t="s">
        <v>10883</v>
      </c>
      <c r="AN6357" t="s">
        <v>10928</v>
      </c>
      <c r="AO6357" t="s">
        <v>10999</v>
      </c>
      <c r="AP6357" t="s">
        <v>11051</v>
      </c>
      <c r="AQ6357" t="s">
        <v>11111</v>
      </c>
      <c r="AR6357" t="s">
        <v>11262</v>
      </c>
      <c r="AS6357" t="s">
        <v>11593</v>
      </c>
      <c r="AT6357" t="s">
        <v>11641</v>
      </c>
      <c r="AX6357" t="s">
        <v>10838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</row>
    <row r="6358" spans="1:59">
      <c r="A6358" s="1">
        <f>HYPERLINK("https://lsnyc.legalserver.org/matter/dynamic-profile/view/1910695","19-1910695")</f>
        <v>0</v>
      </c>
      <c r="B6358" t="s">
        <v>4886</v>
      </c>
      <c r="C6358" t="s">
        <v>9794</v>
      </c>
      <c r="D6358" t="s">
        <v>9975</v>
      </c>
      <c r="E6358" t="s">
        <v>10075</v>
      </c>
      <c r="F6358">
        <v>11415</v>
      </c>
      <c r="G6358" t="s">
        <v>10092</v>
      </c>
      <c r="H6358" t="s">
        <v>10158</v>
      </c>
      <c r="I6358" t="s">
        <v>10169</v>
      </c>
      <c r="J6358" t="s">
        <v>10212</v>
      </c>
      <c r="K6358" t="s">
        <v>10217</v>
      </c>
      <c r="M6358" t="s">
        <v>10547</v>
      </c>
      <c r="N6358" t="s">
        <v>10671</v>
      </c>
      <c r="P6358" t="s">
        <v>10753</v>
      </c>
      <c r="Q6358" t="s">
        <v>10763</v>
      </c>
      <c r="R6358" t="s">
        <v>10821</v>
      </c>
      <c r="T6358">
        <v>20800</v>
      </c>
      <c r="U6358">
        <v>1733.33</v>
      </c>
      <c r="V6358">
        <v>63</v>
      </c>
      <c r="W6358">
        <v>2</v>
      </c>
      <c r="X6358">
        <v>0</v>
      </c>
      <c r="Z6358">
        <v>123</v>
      </c>
      <c r="AA6358">
        <v>40.708662</v>
      </c>
      <c r="AB6358">
        <v>-73.827389</v>
      </c>
      <c r="AD6358" t="s">
        <v>10839</v>
      </c>
      <c r="AF6358" t="s">
        <v>10843</v>
      </c>
      <c r="AG6358" t="s">
        <v>10859</v>
      </c>
      <c r="AH6358" t="s">
        <v>10861</v>
      </c>
      <c r="AI6358">
        <v>234</v>
      </c>
      <c r="AJ6358" t="s">
        <v>10214</v>
      </c>
      <c r="AL6358">
        <v>0.5</v>
      </c>
      <c r="AM6358" t="s">
        <v>10890</v>
      </c>
      <c r="AN6358" t="s">
        <v>10962</v>
      </c>
      <c r="AO6358" t="s">
        <v>11020</v>
      </c>
      <c r="AP6358" t="s">
        <v>11083</v>
      </c>
      <c r="AR6358" t="s">
        <v>11257</v>
      </c>
      <c r="AS6358" t="s">
        <v>11594</v>
      </c>
      <c r="AT6358" t="s">
        <v>11641</v>
      </c>
      <c r="AX6358" t="s">
        <v>10838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</row>
    <row r="6359" spans="1:59">
      <c r="A6359" s="1">
        <f>HYPERLINK("https://lsnyc.legalserver.org/matter/dynamic-profile/view/1910696","19-1910696")</f>
        <v>0</v>
      </c>
      <c r="B6359" t="s">
        <v>2697</v>
      </c>
      <c r="C6359" t="s">
        <v>9795</v>
      </c>
      <c r="D6359" t="s">
        <v>9926</v>
      </c>
      <c r="E6359" t="s">
        <v>10075</v>
      </c>
      <c r="F6359">
        <v>10455</v>
      </c>
      <c r="G6359" t="s">
        <v>10090</v>
      </c>
      <c r="H6359" t="s">
        <v>10158</v>
      </c>
      <c r="I6359" t="s">
        <v>10168</v>
      </c>
      <c r="J6359" t="s">
        <v>10210</v>
      </c>
      <c r="K6359" t="s">
        <v>10217</v>
      </c>
      <c r="M6359" t="s">
        <v>10586</v>
      </c>
      <c r="N6359" t="s">
        <v>10728</v>
      </c>
      <c r="P6359" t="s">
        <v>10754</v>
      </c>
      <c r="Q6359" t="s">
        <v>10770</v>
      </c>
      <c r="R6359" t="s">
        <v>10824</v>
      </c>
      <c r="T6359">
        <v>0</v>
      </c>
      <c r="U6359">
        <v>0</v>
      </c>
      <c r="V6359">
        <v>39</v>
      </c>
      <c r="W6359">
        <v>1</v>
      </c>
      <c r="X6359">
        <v>0</v>
      </c>
      <c r="Z6359">
        <v>0</v>
      </c>
      <c r="AA6359">
        <v>40.811716</v>
      </c>
      <c r="AB6359">
        <v>-73.90600499999999</v>
      </c>
      <c r="AC6359" t="s">
        <v>10837</v>
      </c>
      <c r="AD6359" t="s">
        <v>10840</v>
      </c>
      <c r="AG6359" t="s">
        <v>10858</v>
      </c>
      <c r="AH6359" t="s">
        <v>10861</v>
      </c>
      <c r="AI6359">
        <v>234</v>
      </c>
      <c r="AJ6359" t="s">
        <v>10214</v>
      </c>
      <c r="AL6359">
        <v>0</v>
      </c>
      <c r="AM6359" t="s">
        <v>10884</v>
      </c>
      <c r="AN6359" t="s">
        <v>10924</v>
      </c>
      <c r="AO6359" t="s">
        <v>11013</v>
      </c>
      <c r="AP6359" t="s">
        <v>11066</v>
      </c>
      <c r="AR6359" t="s">
        <v>11267</v>
      </c>
      <c r="AS6359" t="s">
        <v>9926</v>
      </c>
      <c r="AT6359" t="s">
        <v>11642</v>
      </c>
      <c r="AX6359" t="s">
        <v>10837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</row>
    <row r="6360" spans="1:59">
      <c r="A6360" s="1">
        <f>HYPERLINK("https://lsnyc.legalserver.org/matter/dynamic-profile/view/1910697","19-1910697")</f>
        <v>0</v>
      </c>
      <c r="B6360" t="s">
        <v>4887</v>
      </c>
      <c r="C6360" t="s">
        <v>9796</v>
      </c>
      <c r="D6360" t="s">
        <v>9938</v>
      </c>
      <c r="E6360" t="s">
        <v>10075</v>
      </c>
      <c r="F6360">
        <v>11436</v>
      </c>
      <c r="G6360" t="s">
        <v>10092</v>
      </c>
      <c r="H6360" t="s">
        <v>10158</v>
      </c>
      <c r="I6360" t="s">
        <v>10168</v>
      </c>
      <c r="J6360" t="s">
        <v>10212</v>
      </c>
      <c r="K6360" t="s">
        <v>10217</v>
      </c>
      <c r="M6360" t="s">
        <v>10335</v>
      </c>
      <c r="N6360" t="s">
        <v>10695</v>
      </c>
      <c r="P6360" t="s">
        <v>10749</v>
      </c>
      <c r="Q6360" t="s">
        <v>10765</v>
      </c>
      <c r="R6360" t="s">
        <v>10824</v>
      </c>
      <c r="T6360">
        <v>16000</v>
      </c>
      <c r="U6360">
        <v>1333.33</v>
      </c>
      <c r="V6360">
        <v>39</v>
      </c>
      <c r="W6360">
        <v>1</v>
      </c>
      <c r="X6360">
        <v>1</v>
      </c>
      <c r="Z6360">
        <v>94.62</v>
      </c>
      <c r="AA6360">
        <v>40.674069</v>
      </c>
      <c r="AB6360">
        <v>-73.800121</v>
      </c>
      <c r="AD6360" t="s">
        <v>10839</v>
      </c>
      <c r="AG6360" t="s">
        <v>10858</v>
      </c>
      <c r="AH6360" t="s">
        <v>10862</v>
      </c>
      <c r="AI6360">
        <v>237</v>
      </c>
      <c r="AJ6360" t="s">
        <v>10212</v>
      </c>
      <c r="AL6360">
        <v>1.4</v>
      </c>
      <c r="AM6360" t="s">
        <v>10892</v>
      </c>
      <c r="AN6360" t="s">
        <v>10930</v>
      </c>
      <c r="AO6360" t="s">
        <v>11017</v>
      </c>
      <c r="AP6360" t="s">
        <v>11070</v>
      </c>
      <c r="AR6360" t="s">
        <v>11257</v>
      </c>
      <c r="AS6360" t="s">
        <v>11594</v>
      </c>
      <c r="AX6360" t="s">
        <v>10838</v>
      </c>
      <c r="BA6360" t="s">
        <v>11742</v>
      </c>
      <c r="BB6360">
        <v>0</v>
      </c>
      <c r="BC6360">
        <v>0</v>
      </c>
      <c r="BD6360">
        <v>0</v>
      </c>
      <c r="BE6360">
        <v>0</v>
      </c>
      <c r="BF6360">
        <v>7</v>
      </c>
      <c r="BG6360">
        <v>0</v>
      </c>
    </row>
    <row r="6361" spans="1:59">
      <c r="A6361" s="1">
        <f>HYPERLINK("https://lsnyc.legalserver.org/matter/dynamic-profile/view/1910698","19-1910698")</f>
        <v>0</v>
      </c>
      <c r="B6361" t="s">
        <v>4888</v>
      </c>
      <c r="C6361" t="s">
        <v>9797</v>
      </c>
      <c r="D6361" t="s">
        <v>9928</v>
      </c>
      <c r="E6361" t="s">
        <v>10075</v>
      </c>
      <c r="F6361">
        <v>11232</v>
      </c>
      <c r="G6361" t="s">
        <v>10093</v>
      </c>
      <c r="H6361" t="s">
        <v>10166</v>
      </c>
      <c r="I6361" t="s">
        <v>10168</v>
      </c>
      <c r="J6361" t="s">
        <v>10213</v>
      </c>
      <c r="K6361" t="s">
        <v>10217</v>
      </c>
      <c r="M6361" t="s">
        <v>10370</v>
      </c>
      <c r="N6361" t="s">
        <v>10662</v>
      </c>
      <c r="P6361" t="s">
        <v>10753</v>
      </c>
      <c r="Q6361" t="s">
        <v>10785</v>
      </c>
      <c r="R6361" t="s">
        <v>10825</v>
      </c>
      <c r="T6361">
        <v>54000</v>
      </c>
      <c r="U6361">
        <v>4500</v>
      </c>
      <c r="V6361">
        <v>33</v>
      </c>
      <c r="W6361">
        <v>2</v>
      </c>
      <c r="X6361">
        <v>0</v>
      </c>
      <c r="Z6361">
        <v>319.34</v>
      </c>
      <c r="AA6361">
        <v>40.659531</v>
      </c>
      <c r="AB6361">
        <v>-73.998513</v>
      </c>
      <c r="AD6361" t="s">
        <v>10841</v>
      </c>
      <c r="AG6361" t="s">
        <v>10858</v>
      </c>
      <c r="AH6361" t="s">
        <v>10862</v>
      </c>
      <c r="AI6361">
        <v>239</v>
      </c>
      <c r="AJ6361" t="s">
        <v>10213</v>
      </c>
      <c r="AL6361">
        <v>3.5</v>
      </c>
      <c r="AM6361" t="s">
        <v>10886</v>
      </c>
      <c r="AN6361" t="s">
        <v>10921</v>
      </c>
      <c r="AO6361" t="s">
        <v>11005</v>
      </c>
      <c r="AP6361" t="s">
        <v>11069</v>
      </c>
      <c r="AR6361" t="s">
        <v>11257</v>
      </c>
      <c r="AS6361" t="s">
        <v>11595</v>
      </c>
      <c r="AT6361" t="s">
        <v>10841</v>
      </c>
      <c r="AV6361" t="s">
        <v>11664</v>
      </c>
      <c r="AX6361" t="s">
        <v>10837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</row>
    <row r="6362" spans="1:59">
      <c r="A6362" s="1">
        <f>HYPERLINK("https://lsnyc.legalserver.org/matter/dynamic-profile/view/1910699","19-1910699")</f>
        <v>0</v>
      </c>
      <c r="B6362" t="s">
        <v>4889</v>
      </c>
      <c r="C6362" t="s">
        <v>9798</v>
      </c>
      <c r="D6362" t="s">
        <v>9926</v>
      </c>
      <c r="E6362" t="s">
        <v>10075</v>
      </c>
      <c r="F6362">
        <v>10466</v>
      </c>
      <c r="G6362" t="s">
        <v>10090</v>
      </c>
      <c r="H6362" t="s">
        <v>10158</v>
      </c>
      <c r="I6362" t="s">
        <v>10168</v>
      </c>
      <c r="J6362" t="s">
        <v>10210</v>
      </c>
      <c r="K6362" t="s">
        <v>10217</v>
      </c>
      <c r="M6362" t="s">
        <v>10367</v>
      </c>
      <c r="N6362" t="s">
        <v>10675</v>
      </c>
      <c r="P6362" t="s">
        <v>10751</v>
      </c>
      <c r="Q6362" t="s">
        <v>10761</v>
      </c>
      <c r="R6362" t="s">
        <v>10821</v>
      </c>
      <c r="T6362">
        <v>3600</v>
      </c>
      <c r="U6362">
        <v>300</v>
      </c>
      <c r="V6362">
        <v>33</v>
      </c>
      <c r="W6362">
        <v>1</v>
      </c>
      <c r="X6362">
        <v>1</v>
      </c>
      <c r="Z6362">
        <v>21.29</v>
      </c>
      <c r="AA6362">
        <v>40.887232</v>
      </c>
      <c r="AB6362">
        <v>-73.85821799999999</v>
      </c>
      <c r="AC6362" t="s">
        <v>10837</v>
      </c>
      <c r="AD6362" t="s">
        <v>10839</v>
      </c>
      <c r="AG6362" t="s">
        <v>10858</v>
      </c>
      <c r="AH6362" t="s">
        <v>10862</v>
      </c>
      <c r="AI6362">
        <v>230</v>
      </c>
      <c r="AJ6362" t="s">
        <v>10210</v>
      </c>
      <c r="AL6362">
        <v>0.8</v>
      </c>
      <c r="AM6362" t="s">
        <v>10893</v>
      </c>
      <c r="AN6362" t="s">
        <v>10956</v>
      </c>
      <c r="AO6362" t="s">
        <v>11010</v>
      </c>
      <c r="AP6362" t="s">
        <v>11085</v>
      </c>
      <c r="AR6362" t="s">
        <v>11292</v>
      </c>
      <c r="AS6362" t="s">
        <v>9926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</row>
    <row r="6363" spans="1:59">
      <c r="A6363" s="1">
        <f>HYPERLINK("https://lsnyc.legalserver.org/matter/dynamic-profile/view/1910700","19-1910700")</f>
        <v>0</v>
      </c>
      <c r="B6363" t="s">
        <v>2542</v>
      </c>
      <c r="C6363" t="s">
        <v>5336</v>
      </c>
      <c r="D6363" t="s">
        <v>9926</v>
      </c>
      <c r="E6363" t="s">
        <v>10075</v>
      </c>
      <c r="F6363">
        <v>10467</v>
      </c>
      <c r="G6363" t="s">
        <v>10090</v>
      </c>
      <c r="H6363" t="s">
        <v>10158</v>
      </c>
      <c r="I6363" t="s">
        <v>10168</v>
      </c>
      <c r="J6363" t="s">
        <v>10210</v>
      </c>
      <c r="K6363" t="s">
        <v>10217</v>
      </c>
      <c r="M6363" t="s">
        <v>10287</v>
      </c>
      <c r="N6363" t="s">
        <v>10705</v>
      </c>
      <c r="P6363" t="s">
        <v>10753</v>
      </c>
      <c r="Q6363" t="s">
        <v>10790</v>
      </c>
      <c r="R6363" t="s">
        <v>10822</v>
      </c>
      <c r="T6363">
        <v>6600</v>
      </c>
      <c r="U6363">
        <v>550</v>
      </c>
      <c r="V6363">
        <v>53</v>
      </c>
      <c r="W6363">
        <v>1</v>
      </c>
      <c r="X6363">
        <v>0</v>
      </c>
      <c r="Z6363">
        <v>52.84</v>
      </c>
      <c r="AA6363">
        <v>40.863778</v>
      </c>
      <c r="AB6363">
        <v>-73.868645</v>
      </c>
      <c r="AD6363" t="s">
        <v>10839</v>
      </c>
      <c r="AG6363" t="s">
        <v>10858</v>
      </c>
      <c r="AH6363" t="s">
        <v>10874</v>
      </c>
      <c r="AI6363">
        <v>230</v>
      </c>
      <c r="AJ6363" t="s">
        <v>10210</v>
      </c>
      <c r="AL6363">
        <v>0.95</v>
      </c>
      <c r="AM6363" t="s">
        <v>10885</v>
      </c>
      <c r="AN6363" t="s">
        <v>10938</v>
      </c>
      <c r="AO6363" t="s">
        <v>11002</v>
      </c>
      <c r="AP6363" t="s">
        <v>11056</v>
      </c>
      <c r="AQ6363" t="s">
        <v>11125</v>
      </c>
      <c r="AR6363" t="s">
        <v>11296</v>
      </c>
      <c r="AS6363" t="s">
        <v>9926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</row>
    <row r="6364" spans="1:59">
      <c r="A6364" s="1">
        <f>HYPERLINK("https://lsnyc.legalserver.org/matter/dynamic-profile/view/1910701","19-1910701")</f>
        <v>0</v>
      </c>
      <c r="B6364" t="s">
        <v>4890</v>
      </c>
      <c r="C6364" t="s">
        <v>5802</v>
      </c>
      <c r="D6364" t="s">
        <v>9926</v>
      </c>
      <c r="E6364" t="s">
        <v>10075</v>
      </c>
      <c r="F6364">
        <v>10466</v>
      </c>
      <c r="G6364" t="s">
        <v>10090</v>
      </c>
      <c r="H6364" t="s">
        <v>10158</v>
      </c>
      <c r="I6364" t="s">
        <v>10168</v>
      </c>
      <c r="J6364" t="s">
        <v>10210</v>
      </c>
      <c r="K6364" t="s">
        <v>10217</v>
      </c>
      <c r="M6364" t="s">
        <v>10419</v>
      </c>
      <c r="N6364" t="s">
        <v>10666</v>
      </c>
      <c r="P6364" t="s">
        <v>10749</v>
      </c>
      <c r="Q6364" t="s">
        <v>10765</v>
      </c>
      <c r="R6364" t="s">
        <v>10824</v>
      </c>
      <c r="T6364">
        <v>9600</v>
      </c>
      <c r="U6364">
        <v>800</v>
      </c>
      <c r="V6364">
        <v>64</v>
      </c>
      <c r="W6364">
        <v>2</v>
      </c>
      <c r="X6364">
        <v>1</v>
      </c>
      <c r="Z6364">
        <v>45.01</v>
      </c>
      <c r="AA6364">
        <v>40.897054</v>
      </c>
      <c r="AB6364">
        <v>-73.853905</v>
      </c>
      <c r="AD6364" t="s">
        <v>10839</v>
      </c>
      <c r="AG6364" t="s">
        <v>10858</v>
      </c>
      <c r="AH6364" t="s">
        <v>10861</v>
      </c>
      <c r="AI6364">
        <v>230</v>
      </c>
      <c r="AJ6364" t="s">
        <v>10210</v>
      </c>
      <c r="AL6364">
        <v>0</v>
      </c>
      <c r="AM6364" t="s">
        <v>10893</v>
      </c>
      <c r="AN6364" t="s">
        <v>10919</v>
      </c>
      <c r="AO6364" t="s">
        <v>11010</v>
      </c>
      <c r="AP6364" t="s">
        <v>11057</v>
      </c>
      <c r="AR6364" t="s">
        <v>11263</v>
      </c>
      <c r="AS6364" t="s">
        <v>9926</v>
      </c>
      <c r="AT6364" t="s">
        <v>11641</v>
      </c>
      <c r="AX6364" t="s">
        <v>10838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</row>
    <row r="6365" spans="1:59">
      <c r="A6365" s="1">
        <f>HYPERLINK("https://lsnyc.legalserver.org/matter/dynamic-profile/view/1910702","19-1910702")</f>
        <v>0</v>
      </c>
      <c r="B6365" t="s">
        <v>2182</v>
      </c>
      <c r="C6365" t="s">
        <v>9799</v>
      </c>
      <c r="D6365" t="s">
        <v>9931</v>
      </c>
      <c r="E6365" t="s">
        <v>10075</v>
      </c>
      <c r="F6365">
        <v>11355</v>
      </c>
      <c r="G6365" t="s">
        <v>10092</v>
      </c>
      <c r="H6365" t="s">
        <v>10158</v>
      </c>
      <c r="I6365" t="s">
        <v>10168</v>
      </c>
      <c r="J6365" t="s">
        <v>10212</v>
      </c>
      <c r="K6365" t="s">
        <v>10217</v>
      </c>
      <c r="M6365" t="s">
        <v>10387</v>
      </c>
      <c r="N6365" t="s">
        <v>10650</v>
      </c>
      <c r="P6365" t="s">
        <v>10749</v>
      </c>
      <c r="Q6365" t="s">
        <v>10765</v>
      </c>
      <c r="R6365" t="s">
        <v>10824</v>
      </c>
      <c r="T6365">
        <v>19660</v>
      </c>
      <c r="U6365">
        <v>1638.33</v>
      </c>
      <c r="V6365">
        <v>53</v>
      </c>
      <c r="W6365">
        <v>3</v>
      </c>
      <c r="X6365">
        <v>0</v>
      </c>
      <c r="Z6365">
        <v>92.17</v>
      </c>
      <c r="AA6365">
        <v>40.757949</v>
      </c>
      <c r="AB6365">
        <v>-73.81111900000001</v>
      </c>
      <c r="AD6365" t="s">
        <v>10840</v>
      </c>
      <c r="AG6365" t="s">
        <v>10858</v>
      </c>
      <c r="AH6365" t="s">
        <v>10862</v>
      </c>
      <c r="AI6365">
        <v>237</v>
      </c>
      <c r="AJ6365" t="s">
        <v>10212</v>
      </c>
      <c r="AL6365">
        <v>1.4</v>
      </c>
      <c r="AM6365" t="s">
        <v>10890</v>
      </c>
      <c r="AN6365" t="s">
        <v>10927</v>
      </c>
      <c r="AO6365" t="s">
        <v>11009</v>
      </c>
      <c r="AP6365" t="s">
        <v>11067</v>
      </c>
      <c r="AR6365" t="s">
        <v>11295</v>
      </c>
      <c r="AS6365" t="s">
        <v>11594</v>
      </c>
      <c r="BA6365" t="s">
        <v>11741</v>
      </c>
      <c r="BB6365">
        <v>0</v>
      </c>
      <c r="BC6365">
        <v>0</v>
      </c>
      <c r="BD6365">
        <v>0</v>
      </c>
      <c r="BE6365">
        <v>0</v>
      </c>
      <c r="BF6365">
        <v>1</v>
      </c>
      <c r="BG6365">
        <v>0</v>
      </c>
    </row>
    <row r="6366" spans="1:59">
      <c r="A6366" s="1">
        <f>HYPERLINK("https://lsnyc.legalserver.org/matter/dynamic-profile/view/1910703","19-1910703")</f>
        <v>0</v>
      </c>
      <c r="B6366" t="s">
        <v>4891</v>
      </c>
      <c r="C6366" t="s">
        <v>9800</v>
      </c>
      <c r="D6366" t="s">
        <v>10016</v>
      </c>
      <c r="E6366" t="s">
        <v>10075</v>
      </c>
      <c r="F6366">
        <v>11238</v>
      </c>
      <c r="G6366" t="s">
        <v>10093</v>
      </c>
      <c r="H6366" t="s">
        <v>10158</v>
      </c>
      <c r="I6366" t="s">
        <v>10168</v>
      </c>
      <c r="J6366" t="s">
        <v>10213</v>
      </c>
      <c r="K6366" t="s">
        <v>10217</v>
      </c>
      <c r="M6366" t="s">
        <v>10411</v>
      </c>
      <c r="N6366" t="s">
        <v>10650</v>
      </c>
      <c r="P6366" t="s">
        <v>10749</v>
      </c>
      <c r="Q6366" t="s">
        <v>10765</v>
      </c>
      <c r="R6366" t="s">
        <v>10824</v>
      </c>
      <c r="T6366">
        <v>0</v>
      </c>
      <c r="U6366">
        <v>0</v>
      </c>
      <c r="V6366">
        <v>72</v>
      </c>
      <c r="W6366">
        <v>1</v>
      </c>
      <c r="X6366">
        <v>0</v>
      </c>
      <c r="Z6366">
        <v>0</v>
      </c>
      <c r="AA6366">
        <v>40.682939</v>
      </c>
      <c r="AB6366">
        <v>-73.96139100000001</v>
      </c>
      <c r="AD6366" t="s">
        <v>10839</v>
      </c>
      <c r="AG6366" t="s">
        <v>10858</v>
      </c>
      <c r="AH6366" t="s">
        <v>10862</v>
      </c>
      <c r="AI6366">
        <v>239</v>
      </c>
      <c r="AJ6366" t="s">
        <v>10213</v>
      </c>
      <c r="AL6366">
        <v>3.7</v>
      </c>
      <c r="AM6366" t="s">
        <v>10889</v>
      </c>
      <c r="AN6366" t="s">
        <v>10923</v>
      </c>
      <c r="AO6366" t="s">
        <v>11007</v>
      </c>
      <c r="AP6366" t="s">
        <v>11061</v>
      </c>
      <c r="AR6366" t="s">
        <v>11266</v>
      </c>
      <c r="AS6366" t="s">
        <v>11595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</row>
    <row r="6367" spans="1:59">
      <c r="A6367" s="1">
        <f>HYPERLINK("https://lsnyc.legalserver.org/matter/dynamic-profile/view/1910704","19-1910704")</f>
        <v>0</v>
      </c>
      <c r="B6367" t="s">
        <v>4892</v>
      </c>
      <c r="C6367" t="s">
        <v>9801</v>
      </c>
      <c r="D6367" t="s">
        <v>9938</v>
      </c>
      <c r="E6367" t="s">
        <v>10075</v>
      </c>
      <c r="F6367">
        <v>11432</v>
      </c>
      <c r="G6367" t="s">
        <v>10092</v>
      </c>
      <c r="H6367" t="s">
        <v>10158</v>
      </c>
      <c r="I6367" t="s">
        <v>10169</v>
      </c>
      <c r="J6367" t="s">
        <v>10212</v>
      </c>
      <c r="K6367" t="s">
        <v>10217</v>
      </c>
      <c r="M6367" t="s">
        <v>10318</v>
      </c>
      <c r="N6367" t="s">
        <v>10684</v>
      </c>
      <c r="P6367" t="s">
        <v>10751</v>
      </c>
      <c r="Q6367" t="s">
        <v>10786</v>
      </c>
      <c r="R6367" t="s">
        <v>10821</v>
      </c>
      <c r="T6367">
        <v>14758.8</v>
      </c>
      <c r="U6367">
        <v>1229.9</v>
      </c>
      <c r="V6367">
        <v>72</v>
      </c>
      <c r="W6367">
        <v>2</v>
      </c>
      <c r="X6367">
        <v>0</v>
      </c>
      <c r="Z6367">
        <v>87.28</v>
      </c>
      <c r="AA6367">
        <v>40.704901</v>
      </c>
      <c r="AB6367">
        <v>-73.803071</v>
      </c>
      <c r="AD6367" t="s">
        <v>10840</v>
      </c>
      <c r="AG6367" t="s">
        <v>10858</v>
      </c>
      <c r="AH6367" t="s">
        <v>10873</v>
      </c>
      <c r="AI6367">
        <v>237</v>
      </c>
      <c r="AJ6367" t="s">
        <v>10212</v>
      </c>
      <c r="AL6367">
        <v>3</v>
      </c>
      <c r="AM6367" t="s">
        <v>10892</v>
      </c>
      <c r="AN6367" t="s">
        <v>10951</v>
      </c>
      <c r="AO6367" t="s">
        <v>11020</v>
      </c>
      <c r="AP6367" t="s">
        <v>11081</v>
      </c>
      <c r="AR6367" t="s">
        <v>11268</v>
      </c>
      <c r="AS6367" t="s">
        <v>11594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</row>
    <row r="6368" spans="1:59">
      <c r="A6368" s="1">
        <f>HYPERLINK("https://lsnyc.legalserver.org/matter/dynamic-profile/view/1910705","19-1910705")</f>
        <v>0</v>
      </c>
      <c r="B6368" t="s">
        <v>4893</v>
      </c>
      <c r="C6368" t="s">
        <v>9802</v>
      </c>
      <c r="D6368" t="s">
        <v>9968</v>
      </c>
      <c r="E6368" t="s">
        <v>10075</v>
      </c>
      <c r="F6368">
        <v>11411</v>
      </c>
      <c r="G6368" t="s">
        <v>10092</v>
      </c>
      <c r="H6368" t="s">
        <v>10158</v>
      </c>
      <c r="I6368" t="s">
        <v>10168</v>
      </c>
      <c r="J6368" t="s">
        <v>10212</v>
      </c>
      <c r="K6368" t="s">
        <v>10217</v>
      </c>
      <c r="M6368" t="s">
        <v>10325</v>
      </c>
      <c r="N6368" t="s">
        <v>10671</v>
      </c>
      <c r="P6368" t="s">
        <v>10751</v>
      </c>
      <c r="Q6368" t="s">
        <v>10761</v>
      </c>
      <c r="R6368" t="s">
        <v>10824</v>
      </c>
      <c r="T6368">
        <v>12000</v>
      </c>
      <c r="U6368">
        <v>1000</v>
      </c>
      <c r="V6368">
        <v>82</v>
      </c>
      <c r="W6368">
        <v>2</v>
      </c>
      <c r="X6368">
        <v>0</v>
      </c>
      <c r="Z6368">
        <v>70.95999999999999</v>
      </c>
      <c r="AA6368">
        <v>40.6977</v>
      </c>
      <c r="AB6368">
        <v>-73.743848</v>
      </c>
      <c r="AD6368" t="s">
        <v>10839</v>
      </c>
      <c r="AG6368" t="s">
        <v>10858</v>
      </c>
      <c r="AH6368" t="s">
        <v>10861</v>
      </c>
      <c r="AI6368">
        <v>234</v>
      </c>
      <c r="AJ6368" t="s">
        <v>10214</v>
      </c>
      <c r="AL6368">
        <v>1</v>
      </c>
      <c r="AM6368" t="s">
        <v>10892</v>
      </c>
      <c r="AN6368" t="s">
        <v>10940</v>
      </c>
      <c r="AO6368" t="s">
        <v>11020</v>
      </c>
      <c r="AP6368" t="s">
        <v>11075</v>
      </c>
      <c r="AR6368" t="s">
        <v>11481</v>
      </c>
      <c r="AS6368" t="s">
        <v>11594</v>
      </c>
      <c r="AT6368" t="s">
        <v>11641</v>
      </c>
      <c r="AX6368" t="s">
        <v>10838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</row>
    <row r="6369" spans="1:59">
      <c r="A6369" s="1">
        <f>HYPERLINK("https://lsnyc.legalserver.org/matter/dynamic-profile/view/1910706","19-1910706")</f>
        <v>0</v>
      </c>
      <c r="B6369" t="s">
        <v>3727</v>
      </c>
      <c r="C6369" t="s">
        <v>8546</v>
      </c>
      <c r="D6369" t="s">
        <v>9925</v>
      </c>
      <c r="E6369" t="s">
        <v>10075</v>
      </c>
      <c r="F6369">
        <v>10040</v>
      </c>
      <c r="G6369" t="s">
        <v>10089</v>
      </c>
      <c r="H6369" t="s">
        <v>10158</v>
      </c>
      <c r="I6369" t="s">
        <v>10168</v>
      </c>
      <c r="J6369" t="s">
        <v>10209</v>
      </c>
      <c r="K6369" t="s">
        <v>10217</v>
      </c>
      <c r="M6369" t="s">
        <v>10442</v>
      </c>
      <c r="N6369" t="s">
        <v>10650</v>
      </c>
      <c r="P6369" t="s">
        <v>10749</v>
      </c>
      <c r="Q6369" t="s">
        <v>10765</v>
      </c>
      <c r="R6369" t="s">
        <v>10820</v>
      </c>
      <c r="T6369">
        <v>12000</v>
      </c>
      <c r="U6369">
        <v>1000</v>
      </c>
      <c r="V6369">
        <v>75</v>
      </c>
      <c r="W6369">
        <v>2</v>
      </c>
      <c r="X6369">
        <v>0</v>
      </c>
      <c r="Z6369">
        <v>70.95999999999999</v>
      </c>
      <c r="AA6369">
        <v>40.853391</v>
      </c>
      <c r="AB6369">
        <v>-73.927526</v>
      </c>
      <c r="AD6369" t="s">
        <v>10839</v>
      </c>
      <c r="AG6369" t="s">
        <v>10858</v>
      </c>
      <c r="AH6369" t="s">
        <v>10861</v>
      </c>
      <c r="AI6369">
        <v>236</v>
      </c>
      <c r="AJ6369" t="s">
        <v>10209</v>
      </c>
      <c r="AL6369">
        <v>1.25</v>
      </c>
      <c r="AM6369" t="s">
        <v>10887</v>
      </c>
      <c r="AN6369" t="s">
        <v>10937</v>
      </c>
      <c r="AO6369" t="s">
        <v>11019</v>
      </c>
      <c r="AP6369" t="s">
        <v>11074</v>
      </c>
      <c r="AR6369" t="s">
        <v>11268</v>
      </c>
      <c r="AS6369" t="s">
        <v>9925</v>
      </c>
      <c r="AT6369" t="s">
        <v>11641</v>
      </c>
      <c r="AX6369" t="s">
        <v>10838</v>
      </c>
      <c r="BA6369" t="s">
        <v>11742</v>
      </c>
      <c r="BB6369">
        <v>0</v>
      </c>
      <c r="BC6369">
        <v>0</v>
      </c>
      <c r="BD6369">
        <v>0</v>
      </c>
      <c r="BE6369">
        <v>0</v>
      </c>
      <c r="BF6369">
        <v>7</v>
      </c>
      <c r="BG6369">
        <v>0</v>
      </c>
    </row>
    <row r="6370" spans="1:59">
      <c r="A6370" s="1">
        <f>HYPERLINK("https://lsnyc.legalserver.org/matter/dynamic-profile/view/1910707","19-1910707")</f>
        <v>0</v>
      </c>
      <c r="B6370" t="s">
        <v>4894</v>
      </c>
      <c r="C6370" t="s">
        <v>9803</v>
      </c>
      <c r="D6370" t="s">
        <v>9928</v>
      </c>
      <c r="E6370" t="s">
        <v>10075</v>
      </c>
      <c r="F6370">
        <v>11238</v>
      </c>
      <c r="G6370" t="s">
        <v>10093</v>
      </c>
      <c r="H6370" t="s">
        <v>10158</v>
      </c>
      <c r="I6370" t="s">
        <v>10168</v>
      </c>
      <c r="J6370" t="s">
        <v>10213</v>
      </c>
      <c r="K6370" t="s">
        <v>10217</v>
      </c>
      <c r="M6370" t="s">
        <v>10411</v>
      </c>
      <c r="N6370" t="s">
        <v>10650</v>
      </c>
      <c r="P6370" t="s">
        <v>10749</v>
      </c>
      <c r="Q6370" t="s">
        <v>10765</v>
      </c>
      <c r="R6370" t="s">
        <v>10820</v>
      </c>
      <c r="T6370">
        <v>14000</v>
      </c>
      <c r="U6370">
        <v>1166.67</v>
      </c>
      <c r="V6370">
        <v>48</v>
      </c>
      <c r="W6370">
        <v>1</v>
      </c>
      <c r="X6370">
        <v>0</v>
      </c>
      <c r="Z6370">
        <v>112.09</v>
      </c>
      <c r="AA6370">
        <v>40.683158</v>
      </c>
      <c r="AB6370">
        <v>-73.9614</v>
      </c>
      <c r="AD6370" t="s">
        <v>10839</v>
      </c>
      <c r="AG6370" t="s">
        <v>10858</v>
      </c>
      <c r="AH6370" t="s">
        <v>10862</v>
      </c>
      <c r="AI6370">
        <v>239</v>
      </c>
      <c r="AJ6370" t="s">
        <v>10213</v>
      </c>
      <c r="AL6370">
        <v>3.9</v>
      </c>
      <c r="AM6370" t="s">
        <v>10889</v>
      </c>
      <c r="AN6370" t="s">
        <v>10923</v>
      </c>
      <c r="AO6370" t="s">
        <v>11007</v>
      </c>
      <c r="AP6370" t="s">
        <v>11061</v>
      </c>
      <c r="AR6370" t="s">
        <v>11276</v>
      </c>
      <c r="AS6370" t="s">
        <v>11595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</row>
    <row r="6371" spans="1:59">
      <c r="A6371" s="1">
        <f>HYPERLINK("https://lsnyc.legalserver.org/matter/dynamic-profile/view/1910708","19-1910708")</f>
        <v>0</v>
      </c>
      <c r="B6371" t="s">
        <v>4895</v>
      </c>
      <c r="C6371" t="s">
        <v>9804</v>
      </c>
      <c r="D6371" t="s">
        <v>9926</v>
      </c>
      <c r="E6371" t="s">
        <v>10075</v>
      </c>
      <c r="F6371">
        <v>10457</v>
      </c>
      <c r="G6371" t="s">
        <v>10093</v>
      </c>
      <c r="H6371" t="s">
        <v>10158</v>
      </c>
      <c r="I6371" t="s">
        <v>10168</v>
      </c>
      <c r="J6371" t="s">
        <v>10213</v>
      </c>
      <c r="K6371" t="s">
        <v>10217</v>
      </c>
      <c r="M6371" t="s">
        <v>10358</v>
      </c>
      <c r="N6371" t="s">
        <v>10671</v>
      </c>
      <c r="P6371" t="s">
        <v>10752</v>
      </c>
      <c r="Q6371" t="s">
        <v>10783</v>
      </c>
      <c r="R6371" t="s">
        <v>10824</v>
      </c>
      <c r="T6371">
        <v>6000</v>
      </c>
      <c r="U6371">
        <v>500</v>
      </c>
      <c r="V6371">
        <v>38</v>
      </c>
      <c r="W6371">
        <v>2</v>
      </c>
      <c r="X6371">
        <v>2</v>
      </c>
      <c r="Z6371">
        <v>23.3</v>
      </c>
      <c r="AA6371">
        <v>40.852411</v>
      </c>
      <c r="AB6371">
        <v>-73.892929</v>
      </c>
      <c r="AD6371" t="s">
        <v>10839</v>
      </c>
      <c r="AG6371" t="s">
        <v>10858</v>
      </c>
      <c r="AH6371" t="s">
        <v>10861</v>
      </c>
      <c r="AI6371">
        <v>234</v>
      </c>
      <c r="AJ6371" t="s">
        <v>10214</v>
      </c>
      <c r="AL6371">
        <v>0.5</v>
      </c>
      <c r="AM6371" t="s">
        <v>10884</v>
      </c>
      <c r="AN6371" t="s">
        <v>10907</v>
      </c>
      <c r="AO6371" t="s">
        <v>11000</v>
      </c>
      <c r="AP6371" t="s">
        <v>11056</v>
      </c>
      <c r="AR6371" t="s">
        <v>11344</v>
      </c>
      <c r="AS6371" t="s">
        <v>9926</v>
      </c>
      <c r="AT6371" t="s">
        <v>11641</v>
      </c>
      <c r="AX6371" t="s">
        <v>10838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</row>
    <row r="6372" spans="1:59">
      <c r="A6372" s="1">
        <f>HYPERLINK("https://lsnyc.legalserver.org/matter/dynamic-profile/view/1910709","19-1910709")</f>
        <v>0</v>
      </c>
      <c r="B6372" t="s">
        <v>4896</v>
      </c>
      <c r="C6372" t="s">
        <v>9805</v>
      </c>
      <c r="D6372" t="s">
        <v>9936</v>
      </c>
      <c r="E6372" t="s">
        <v>10075</v>
      </c>
      <c r="F6372">
        <v>11102</v>
      </c>
      <c r="G6372" t="s">
        <v>10092</v>
      </c>
      <c r="H6372" t="s">
        <v>10158</v>
      </c>
      <c r="I6372" t="s">
        <v>10179</v>
      </c>
      <c r="J6372" t="s">
        <v>10212</v>
      </c>
      <c r="K6372" t="s">
        <v>10217</v>
      </c>
      <c r="M6372" t="s">
        <v>10343</v>
      </c>
      <c r="N6372" t="s">
        <v>10695</v>
      </c>
      <c r="P6372" t="s">
        <v>10749</v>
      </c>
      <c r="Q6372" t="s">
        <v>10765</v>
      </c>
      <c r="R6372" t="s">
        <v>10828</v>
      </c>
      <c r="T6372">
        <v>17394</v>
      </c>
      <c r="U6372">
        <v>1449.5</v>
      </c>
      <c r="V6372">
        <v>28</v>
      </c>
      <c r="W6372">
        <v>1</v>
      </c>
      <c r="X6372">
        <v>2</v>
      </c>
      <c r="Z6372">
        <v>81.55</v>
      </c>
      <c r="AA6372">
        <v>40.772991</v>
      </c>
      <c r="AB6372">
        <v>-73.92377399999999</v>
      </c>
      <c r="AD6372" t="s">
        <v>10839</v>
      </c>
      <c r="AF6372" t="s">
        <v>10843</v>
      </c>
      <c r="AG6372" t="s">
        <v>10858</v>
      </c>
      <c r="AH6372" t="s">
        <v>10865</v>
      </c>
      <c r="AI6372">
        <v>237</v>
      </c>
      <c r="AJ6372" t="s">
        <v>10212</v>
      </c>
      <c r="AL6372">
        <v>0</v>
      </c>
      <c r="AM6372" t="s">
        <v>10891</v>
      </c>
      <c r="AN6372" t="s">
        <v>10954</v>
      </c>
      <c r="AO6372" t="s">
        <v>11003</v>
      </c>
      <c r="AP6372" t="s">
        <v>11084</v>
      </c>
      <c r="AR6372" t="s">
        <v>11586</v>
      </c>
      <c r="AS6372" t="s">
        <v>11594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</row>
    <row r="6373" spans="1:59">
      <c r="A6373" s="1">
        <f>HYPERLINK("https://lsnyc.legalserver.org/matter/dynamic-profile/view/1910710","19-1910710")</f>
        <v>0</v>
      </c>
      <c r="B6373" t="s">
        <v>4897</v>
      </c>
      <c r="C6373" t="s">
        <v>6879</v>
      </c>
      <c r="D6373" t="s">
        <v>9926</v>
      </c>
      <c r="E6373" t="s">
        <v>10075</v>
      </c>
      <c r="F6373">
        <v>10459</v>
      </c>
      <c r="G6373" t="s">
        <v>10089</v>
      </c>
      <c r="H6373" t="s">
        <v>10158</v>
      </c>
      <c r="I6373" t="s">
        <v>10169</v>
      </c>
      <c r="J6373" t="s">
        <v>10209</v>
      </c>
      <c r="K6373" t="s">
        <v>10217</v>
      </c>
      <c r="M6373" t="s">
        <v>10402</v>
      </c>
      <c r="N6373" t="s">
        <v>10707</v>
      </c>
      <c r="P6373" t="s">
        <v>10751</v>
      </c>
      <c r="Q6373" t="s">
        <v>10761</v>
      </c>
      <c r="R6373" t="s">
        <v>10823</v>
      </c>
      <c r="T6373">
        <v>2196</v>
      </c>
      <c r="U6373">
        <v>183</v>
      </c>
      <c r="V6373">
        <v>34</v>
      </c>
      <c r="W6373">
        <v>1</v>
      </c>
      <c r="X6373">
        <v>0</v>
      </c>
      <c r="Z6373">
        <v>17.58</v>
      </c>
      <c r="AA6373">
        <v>40.821378</v>
      </c>
      <c r="AB6373">
        <v>-73.899469</v>
      </c>
      <c r="AD6373" t="s">
        <v>10840</v>
      </c>
      <c r="AF6373" t="s">
        <v>10843</v>
      </c>
      <c r="AG6373" t="s">
        <v>10859</v>
      </c>
      <c r="AH6373" t="s">
        <v>10868</v>
      </c>
      <c r="AI6373">
        <v>236</v>
      </c>
      <c r="AJ6373" t="s">
        <v>10209</v>
      </c>
      <c r="AL6373">
        <v>3.5</v>
      </c>
      <c r="AM6373" t="s">
        <v>10884</v>
      </c>
      <c r="AN6373" t="s">
        <v>10918</v>
      </c>
      <c r="AO6373" t="s">
        <v>11001</v>
      </c>
      <c r="AP6373" t="s">
        <v>11062</v>
      </c>
      <c r="AQ6373" t="s">
        <v>11135</v>
      </c>
      <c r="AR6373" t="s">
        <v>11387</v>
      </c>
      <c r="AS6373" t="s">
        <v>9926</v>
      </c>
      <c r="AT6373" t="s">
        <v>11642</v>
      </c>
      <c r="AX6373" t="s">
        <v>10838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</row>
    <row r="6374" spans="1:59">
      <c r="A6374" s="1">
        <f>HYPERLINK("https://lsnyc.legalserver.org/matter/dynamic-profile/view/1910711","19-1910711")</f>
        <v>0</v>
      </c>
      <c r="B6374" t="s">
        <v>2771</v>
      </c>
      <c r="C6374" t="s">
        <v>9806</v>
      </c>
      <c r="D6374" t="s">
        <v>9925</v>
      </c>
      <c r="E6374" t="s">
        <v>10075</v>
      </c>
      <c r="F6374">
        <v>10027</v>
      </c>
      <c r="G6374" t="s">
        <v>10091</v>
      </c>
      <c r="H6374" t="s">
        <v>10158</v>
      </c>
      <c r="I6374" t="s">
        <v>10168</v>
      </c>
      <c r="J6374" t="s">
        <v>10214</v>
      </c>
      <c r="K6374" t="s">
        <v>10217</v>
      </c>
      <c r="M6374" t="s">
        <v>10537</v>
      </c>
      <c r="N6374" t="s">
        <v>10646</v>
      </c>
      <c r="P6374" t="s">
        <v>10753</v>
      </c>
      <c r="Q6374" t="s">
        <v>10763</v>
      </c>
      <c r="R6374" t="s">
        <v>10824</v>
      </c>
      <c r="T6374">
        <v>50700</v>
      </c>
      <c r="U6374">
        <v>4225</v>
      </c>
      <c r="V6374">
        <v>52</v>
      </c>
      <c r="W6374">
        <v>3</v>
      </c>
      <c r="X6374">
        <v>1</v>
      </c>
      <c r="Z6374">
        <v>196.89</v>
      </c>
      <c r="AA6374">
        <v>40.808364</v>
      </c>
      <c r="AB6374">
        <v>-73.951424</v>
      </c>
      <c r="AD6374" t="s">
        <v>10839</v>
      </c>
      <c r="AF6374" t="s">
        <v>10843</v>
      </c>
      <c r="AG6374" t="s">
        <v>10859</v>
      </c>
      <c r="AH6374" t="s">
        <v>10861</v>
      </c>
      <c r="AI6374">
        <v>234</v>
      </c>
      <c r="AJ6374" t="s">
        <v>10214</v>
      </c>
      <c r="AL6374">
        <v>1</v>
      </c>
      <c r="AM6374" t="s">
        <v>10887</v>
      </c>
      <c r="AN6374" t="s">
        <v>10936</v>
      </c>
      <c r="AO6374" t="s">
        <v>11016</v>
      </c>
      <c r="AP6374" t="s">
        <v>11076</v>
      </c>
      <c r="AR6374" t="s">
        <v>11257</v>
      </c>
      <c r="AS6374" t="s">
        <v>9925</v>
      </c>
      <c r="AT6374" t="s">
        <v>11641</v>
      </c>
      <c r="AX6374" t="s">
        <v>10838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</row>
    <row r="6375" spans="1:59">
      <c r="A6375" s="1">
        <f>HYPERLINK("https://lsnyc.legalserver.org/matter/dynamic-profile/view/1910712","19-1910712")</f>
        <v>0</v>
      </c>
      <c r="B6375" t="s">
        <v>4898</v>
      </c>
      <c r="C6375" t="s">
        <v>9807</v>
      </c>
      <c r="D6375" t="s">
        <v>9975</v>
      </c>
      <c r="E6375" t="s">
        <v>10075</v>
      </c>
      <c r="F6375">
        <v>11415</v>
      </c>
      <c r="G6375" t="s">
        <v>10092</v>
      </c>
      <c r="H6375" t="s">
        <v>10158</v>
      </c>
      <c r="I6375" t="s">
        <v>10168</v>
      </c>
      <c r="J6375" t="s">
        <v>10212</v>
      </c>
      <c r="K6375" t="s">
        <v>10217</v>
      </c>
      <c r="M6375" t="s">
        <v>10329</v>
      </c>
      <c r="N6375" t="s">
        <v>10695</v>
      </c>
      <c r="P6375" t="s">
        <v>10749</v>
      </c>
      <c r="Q6375" t="s">
        <v>10765</v>
      </c>
      <c r="R6375" t="s">
        <v>10828</v>
      </c>
      <c r="T6375">
        <v>21600</v>
      </c>
      <c r="U6375">
        <v>1800</v>
      </c>
      <c r="V6375">
        <v>59</v>
      </c>
      <c r="W6375">
        <v>1</v>
      </c>
      <c r="X6375">
        <v>0</v>
      </c>
      <c r="Z6375">
        <v>172.94</v>
      </c>
      <c r="AA6375">
        <v>40.70541</v>
      </c>
      <c r="AB6375">
        <v>-73.832487</v>
      </c>
      <c r="AD6375" t="s">
        <v>10840</v>
      </c>
      <c r="AG6375" t="s">
        <v>10858</v>
      </c>
      <c r="AH6375" t="s">
        <v>10862</v>
      </c>
      <c r="AI6375">
        <v>237</v>
      </c>
      <c r="AJ6375" t="s">
        <v>10212</v>
      </c>
      <c r="AL6375">
        <v>0.9</v>
      </c>
      <c r="AM6375" t="s">
        <v>10890</v>
      </c>
      <c r="AN6375" t="s">
        <v>10962</v>
      </c>
      <c r="AO6375" t="s">
        <v>11020</v>
      </c>
      <c r="AP6375" t="s">
        <v>11083</v>
      </c>
      <c r="AR6375" t="s">
        <v>11257</v>
      </c>
      <c r="AS6375" t="s">
        <v>11594</v>
      </c>
      <c r="BA6375" t="s">
        <v>11742</v>
      </c>
      <c r="BB6375">
        <v>0</v>
      </c>
      <c r="BC6375">
        <v>0</v>
      </c>
      <c r="BD6375">
        <v>0</v>
      </c>
      <c r="BE6375">
        <v>0</v>
      </c>
      <c r="BF6375">
        <v>7</v>
      </c>
      <c r="BG6375">
        <v>0</v>
      </c>
    </row>
    <row r="6376" spans="1:59">
      <c r="A6376" s="1">
        <f>HYPERLINK("https://lsnyc.legalserver.org/matter/dynamic-profile/view/1910713","19-1910713")</f>
        <v>0</v>
      </c>
      <c r="B6376" t="s">
        <v>4899</v>
      </c>
      <c r="C6376" t="s">
        <v>9808</v>
      </c>
      <c r="D6376" t="s">
        <v>9928</v>
      </c>
      <c r="E6376" t="s">
        <v>10075</v>
      </c>
      <c r="F6376">
        <v>11226</v>
      </c>
      <c r="G6376" t="s">
        <v>10093</v>
      </c>
      <c r="H6376" t="s">
        <v>10158</v>
      </c>
      <c r="I6376" t="s">
        <v>10168</v>
      </c>
      <c r="J6376" t="s">
        <v>10213</v>
      </c>
      <c r="K6376" t="s">
        <v>10217</v>
      </c>
      <c r="M6376" t="s">
        <v>10304</v>
      </c>
      <c r="N6376" t="s">
        <v>10650</v>
      </c>
      <c r="P6376" t="s">
        <v>10749</v>
      </c>
      <c r="Q6376" t="s">
        <v>10765</v>
      </c>
      <c r="R6376" t="s">
        <v>10824</v>
      </c>
      <c r="T6376">
        <v>11440</v>
      </c>
      <c r="U6376">
        <v>953.33</v>
      </c>
      <c r="V6376">
        <v>50</v>
      </c>
      <c r="W6376">
        <v>1</v>
      </c>
      <c r="X6376">
        <v>0</v>
      </c>
      <c r="Z6376">
        <v>91.59</v>
      </c>
      <c r="AA6376">
        <v>40.644281</v>
      </c>
      <c r="AB6376">
        <v>-73.955866</v>
      </c>
      <c r="AD6376" t="s">
        <v>10839</v>
      </c>
      <c r="AF6376" t="s">
        <v>10842</v>
      </c>
      <c r="AG6376" t="s">
        <v>10859</v>
      </c>
      <c r="AH6376" t="s">
        <v>10861</v>
      </c>
      <c r="AI6376">
        <v>234</v>
      </c>
      <c r="AJ6376" t="s">
        <v>10214</v>
      </c>
      <c r="AL6376">
        <v>0.5</v>
      </c>
      <c r="AM6376" t="s">
        <v>10888</v>
      </c>
      <c r="AN6376" t="s">
        <v>10932</v>
      </c>
      <c r="AO6376" t="s">
        <v>11008</v>
      </c>
      <c r="AP6376" t="s">
        <v>11050</v>
      </c>
      <c r="AR6376" t="s">
        <v>11257</v>
      </c>
      <c r="AS6376" t="s">
        <v>11595</v>
      </c>
      <c r="AT6376" t="s">
        <v>11641</v>
      </c>
      <c r="AX6376" t="s">
        <v>10838</v>
      </c>
      <c r="BA6376" t="s">
        <v>11741</v>
      </c>
      <c r="BB6376">
        <v>0</v>
      </c>
      <c r="BC6376">
        <v>0</v>
      </c>
      <c r="BD6376">
        <v>0</v>
      </c>
      <c r="BE6376">
        <v>0</v>
      </c>
      <c r="BF6376">
        <v>1</v>
      </c>
      <c r="BG6376">
        <v>0</v>
      </c>
    </row>
    <row r="6377" spans="1:59">
      <c r="A6377" s="1">
        <f>HYPERLINK("https://lsnyc.legalserver.org/matter/dynamic-profile/view/1910714","19-1910714")</f>
        <v>0</v>
      </c>
      <c r="B6377" t="s">
        <v>4900</v>
      </c>
      <c r="C6377" t="s">
        <v>5184</v>
      </c>
      <c r="D6377" t="s">
        <v>9926</v>
      </c>
      <c r="E6377" t="s">
        <v>10075</v>
      </c>
      <c r="F6377">
        <v>10457</v>
      </c>
      <c r="G6377" t="s">
        <v>10090</v>
      </c>
      <c r="H6377" t="s">
        <v>10158</v>
      </c>
      <c r="J6377" t="s">
        <v>10210</v>
      </c>
      <c r="K6377" t="s">
        <v>10217</v>
      </c>
      <c r="M6377" t="s">
        <v>10297</v>
      </c>
      <c r="N6377" t="s">
        <v>10651</v>
      </c>
      <c r="P6377" t="s">
        <v>10749</v>
      </c>
      <c r="Q6377" t="s">
        <v>10765</v>
      </c>
      <c r="R6377" t="s">
        <v>10824</v>
      </c>
      <c r="T6377">
        <v>39972.52</v>
      </c>
      <c r="U6377">
        <v>3331.04</v>
      </c>
      <c r="V6377">
        <v>31</v>
      </c>
      <c r="W6377">
        <v>3</v>
      </c>
      <c r="X6377">
        <v>0</v>
      </c>
      <c r="Z6377">
        <v>187.4</v>
      </c>
      <c r="AA6377">
        <v>40.842785</v>
      </c>
      <c r="AB6377">
        <v>-73.893957</v>
      </c>
      <c r="AD6377" t="s">
        <v>10839</v>
      </c>
      <c r="AG6377" t="s">
        <v>10858</v>
      </c>
      <c r="AH6377" t="s">
        <v>10862</v>
      </c>
      <c r="AI6377">
        <v>230</v>
      </c>
      <c r="AJ6377" t="s">
        <v>10210</v>
      </c>
      <c r="AL6377">
        <v>1.7</v>
      </c>
      <c r="AM6377" t="s">
        <v>10884</v>
      </c>
      <c r="AN6377" t="s">
        <v>10918</v>
      </c>
      <c r="AO6377" t="s">
        <v>11000</v>
      </c>
      <c r="AP6377" t="s">
        <v>11056</v>
      </c>
      <c r="AR6377" t="s">
        <v>11587</v>
      </c>
      <c r="AS6377" t="s">
        <v>9926</v>
      </c>
      <c r="AT6377" t="s">
        <v>11641</v>
      </c>
      <c r="BA6377" t="s">
        <v>11738</v>
      </c>
      <c r="BB6377">
        <v>0</v>
      </c>
      <c r="BC6377">
        <v>0</v>
      </c>
      <c r="BD6377">
        <v>0</v>
      </c>
      <c r="BE6377">
        <v>0</v>
      </c>
      <c r="BF6377">
        <v>5</v>
      </c>
      <c r="BG6377">
        <v>0</v>
      </c>
    </row>
    <row r="6378" spans="1:59">
      <c r="A6378" s="1">
        <f>HYPERLINK("https://lsnyc.legalserver.org/matter/dynamic-profile/view/1910715","19-1910715")</f>
        <v>0</v>
      </c>
      <c r="B6378" t="s">
        <v>4186</v>
      </c>
      <c r="C6378" t="s">
        <v>9809</v>
      </c>
      <c r="D6378" t="s">
        <v>9926</v>
      </c>
      <c r="E6378" t="s">
        <v>10075</v>
      </c>
      <c r="F6378">
        <v>10457</v>
      </c>
      <c r="G6378" t="s">
        <v>10090</v>
      </c>
      <c r="H6378" t="s">
        <v>10158</v>
      </c>
      <c r="I6378" t="s">
        <v>10168</v>
      </c>
      <c r="J6378" t="s">
        <v>10210</v>
      </c>
      <c r="K6378" t="s">
        <v>10217</v>
      </c>
      <c r="M6378" t="s">
        <v>10362</v>
      </c>
      <c r="N6378" t="s">
        <v>10651</v>
      </c>
      <c r="P6378" t="s">
        <v>10749</v>
      </c>
      <c r="Q6378" t="s">
        <v>10765</v>
      </c>
      <c r="R6378" t="s">
        <v>10821</v>
      </c>
      <c r="T6378">
        <v>9960</v>
      </c>
      <c r="U6378">
        <v>830</v>
      </c>
      <c r="V6378">
        <v>55</v>
      </c>
      <c r="W6378">
        <v>1</v>
      </c>
      <c r="X6378">
        <v>0</v>
      </c>
      <c r="Z6378">
        <v>79.73999999999999</v>
      </c>
      <c r="AA6378">
        <v>40.855948</v>
      </c>
      <c r="AB6378">
        <v>-73.89796800000001</v>
      </c>
      <c r="AD6378" t="s">
        <v>10840</v>
      </c>
      <c r="AG6378" t="s">
        <v>10858</v>
      </c>
      <c r="AH6378" t="s">
        <v>10861</v>
      </c>
      <c r="AI6378">
        <v>230</v>
      </c>
      <c r="AJ6378" t="s">
        <v>10210</v>
      </c>
      <c r="AL6378">
        <v>1</v>
      </c>
      <c r="AM6378" t="s">
        <v>10884</v>
      </c>
      <c r="AN6378" t="s">
        <v>10931</v>
      </c>
      <c r="AO6378" t="s">
        <v>11000</v>
      </c>
      <c r="AP6378" t="s">
        <v>11056</v>
      </c>
      <c r="AR6378" t="s">
        <v>11263</v>
      </c>
      <c r="AS6378" t="s">
        <v>9926</v>
      </c>
      <c r="AT6378" t="s">
        <v>11642</v>
      </c>
      <c r="AX6378" t="s">
        <v>10838</v>
      </c>
      <c r="BA6378" t="s">
        <v>11738</v>
      </c>
      <c r="BB6378">
        <v>0</v>
      </c>
      <c r="BC6378">
        <v>0</v>
      </c>
      <c r="BD6378">
        <v>0</v>
      </c>
      <c r="BE6378">
        <v>0</v>
      </c>
      <c r="BF6378">
        <v>5</v>
      </c>
      <c r="BG6378">
        <v>0</v>
      </c>
    </row>
    <row r="6379" spans="1:59">
      <c r="A6379" s="1">
        <f>HYPERLINK("https://lsnyc.legalserver.org/matter/dynamic-profile/view/1910716","19-1910716")</f>
        <v>0</v>
      </c>
      <c r="B6379" t="s">
        <v>4901</v>
      </c>
      <c r="C6379" t="s">
        <v>9810</v>
      </c>
      <c r="D6379" t="s">
        <v>9928</v>
      </c>
      <c r="E6379" t="s">
        <v>10075</v>
      </c>
      <c r="F6379">
        <v>11238</v>
      </c>
      <c r="G6379" t="s">
        <v>10093</v>
      </c>
      <c r="H6379" t="s">
        <v>10158</v>
      </c>
      <c r="I6379" t="s">
        <v>10168</v>
      </c>
      <c r="J6379" t="s">
        <v>10213</v>
      </c>
      <c r="K6379" t="s">
        <v>10217</v>
      </c>
      <c r="M6379" t="s">
        <v>10411</v>
      </c>
      <c r="N6379" t="s">
        <v>10650</v>
      </c>
      <c r="P6379" t="s">
        <v>10749</v>
      </c>
      <c r="Q6379" t="s">
        <v>10765</v>
      </c>
      <c r="R6379" t="s">
        <v>10824</v>
      </c>
      <c r="T6379">
        <v>20940</v>
      </c>
      <c r="U6379">
        <v>1745</v>
      </c>
      <c r="V6379">
        <v>64</v>
      </c>
      <c r="W6379">
        <v>2</v>
      </c>
      <c r="X6379">
        <v>0</v>
      </c>
      <c r="Z6379">
        <v>123.83</v>
      </c>
      <c r="AA6379">
        <v>40.682954</v>
      </c>
      <c r="AB6379">
        <v>-73.96091699999999</v>
      </c>
      <c r="AD6379" t="s">
        <v>10840</v>
      </c>
      <c r="AG6379" t="s">
        <v>10858</v>
      </c>
      <c r="AH6379" t="s">
        <v>10862</v>
      </c>
      <c r="AI6379">
        <v>239</v>
      </c>
      <c r="AJ6379" t="s">
        <v>10213</v>
      </c>
      <c r="AL6379">
        <v>2.4</v>
      </c>
      <c r="AM6379" t="s">
        <v>10889</v>
      </c>
      <c r="AN6379" t="s">
        <v>10923</v>
      </c>
      <c r="AO6379" t="s">
        <v>11007</v>
      </c>
      <c r="AP6379" t="s">
        <v>11061</v>
      </c>
      <c r="AR6379" t="s">
        <v>11588</v>
      </c>
      <c r="AS6379" t="s">
        <v>11595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</row>
    <row r="6380" spans="1:59">
      <c r="A6380" s="1">
        <f>HYPERLINK("https://lsnyc.legalserver.org/matter/dynamic-profile/view/1910717","19-1910717")</f>
        <v>0</v>
      </c>
      <c r="B6380" t="s">
        <v>4902</v>
      </c>
      <c r="C6380" t="s">
        <v>9803</v>
      </c>
      <c r="D6380" t="s">
        <v>9928</v>
      </c>
      <c r="E6380" t="s">
        <v>10075</v>
      </c>
      <c r="F6380">
        <v>11238</v>
      </c>
      <c r="G6380" t="s">
        <v>10093</v>
      </c>
      <c r="H6380" t="s">
        <v>10158</v>
      </c>
      <c r="I6380" t="s">
        <v>10168</v>
      </c>
      <c r="J6380" t="s">
        <v>10213</v>
      </c>
      <c r="K6380" t="s">
        <v>10217</v>
      </c>
      <c r="M6380" t="s">
        <v>10411</v>
      </c>
      <c r="N6380" t="s">
        <v>10650</v>
      </c>
      <c r="P6380" t="s">
        <v>10749</v>
      </c>
      <c r="Q6380" t="s">
        <v>10765</v>
      </c>
      <c r="R6380" t="s">
        <v>10824</v>
      </c>
      <c r="T6380">
        <v>0</v>
      </c>
      <c r="U6380">
        <v>0</v>
      </c>
      <c r="V6380">
        <v>58</v>
      </c>
      <c r="W6380">
        <v>3</v>
      </c>
      <c r="X6380">
        <v>0</v>
      </c>
      <c r="Z6380">
        <v>0</v>
      </c>
      <c r="AA6380">
        <v>40.683158</v>
      </c>
      <c r="AB6380">
        <v>-73.9614</v>
      </c>
      <c r="AD6380" t="s">
        <v>10839</v>
      </c>
      <c r="AG6380" t="s">
        <v>10858</v>
      </c>
      <c r="AH6380" t="s">
        <v>10862</v>
      </c>
      <c r="AI6380">
        <v>239</v>
      </c>
      <c r="AJ6380" t="s">
        <v>10213</v>
      </c>
      <c r="AL6380">
        <v>3.7</v>
      </c>
      <c r="AM6380" t="s">
        <v>10889</v>
      </c>
      <c r="AN6380" t="s">
        <v>10923</v>
      </c>
      <c r="AO6380" t="s">
        <v>11007</v>
      </c>
      <c r="AP6380" t="s">
        <v>11061</v>
      </c>
      <c r="AR6380" t="s">
        <v>11266</v>
      </c>
      <c r="AS6380" t="s">
        <v>11595</v>
      </c>
      <c r="BA6380" t="s">
        <v>11738</v>
      </c>
      <c r="BB6380">
        <v>0</v>
      </c>
      <c r="BC6380">
        <v>0</v>
      </c>
      <c r="BD6380">
        <v>0</v>
      </c>
      <c r="BE6380">
        <v>0</v>
      </c>
      <c r="BF6380">
        <v>5</v>
      </c>
      <c r="BG6380">
        <v>0</v>
      </c>
    </row>
    <row r="6381" spans="1:59">
      <c r="A6381" s="1">
        <f>HYPERLINK("https://lsnyc.legalserver.org/matter/dynamic-profile/view/1910718","19-1910718")</f>
        <v>0</v>
      </c>
      <c r="B6381" t="s">
        <v>2967</v>
      </c>
      <c r="C6381" t="s">
        <v>7762</v>
      </c>
      <c r="D6381" t="s">
        <v>9928</v>
      </c>
      <c r="E6381" t="s">
        <v>10075</v>
      </c>
      <c r="F6381">
        <v>11238</v>
      </c>
      <c r="G6381" t="s">
        <v>10093</v>
      </c>
      <c r="H6381" t="s">
        <v>10158</v>
      </c>
      <c r="I6381" t="s">
        <v>10168</v>
      </c>
      <c r="J6381" t="s">
        <v>10213</v>
      </c>
      <c r="K6381" t="s">
        <v>10217</v>
      </c>
      <c r="M6381" t="s">
        <v>10411</v>
      </c>
      <c r="N6381" t="s">
        <v>10650</v>
      </c>
      <c r="P6381" t="s">
        <v>10749</v>
      </c>
      <c r="Q6381" t="s">
        <v>10765</v>
      </c>
      <c r="R6381" t="s">
        <v>10824</v>
      </c>
      <c r="T6381">
        <v>9000</v>
      </c>
      <c r="U6381">
        <v>750</v>
      </c>
      <c r="V6381">
        <v>57</v>
      </c>
      <c r="W6381">
        <v>1</v>
      </c>
      <c r="X6381">
        <v>0</v>
      </c>
      <c r="Z6381">
        <v>72.06</v>
      </c>
      <c r="AA6381">
        <v>40.682939</v>
      </c>
      <c r="AB6381">
        <v>-73.96139100000001</v>
      </c>
      <c r="AD6381" t="s">
        <v>10840</v>
      </c>
      <c r="AG6381" t="s">
        <v>10858</v>
      </c>
      <c r="AH6381" t="s">
        <v>10862</v>
      </c>
      <c r="AI6381">
        <v>239</v>
      </c>
      <c r="AJ6381" t="s">
        <v>10213</v>
      </c>
      <c r="AL6381">
        <v>0.4</v>
      </c>
      <c r="AM6381" t="s">
        <v>10889</v>
      </c>
      <c r="AN6381" t="s">
        <v>10923</v>
      </c>
      <c r="AO6381" t="s">
        <v>11007</v>
      </c>
      <c r="AP6381" t="s">
        <v>11061</v>
      </c>
      <c r="AR6381" t="s">
        <v>11263</v>
      </c>
      <c r="AS6381" t="s">
        <v>11595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</row>
    <row r="6382" spans="1:59">
      <c r="A6382" s="1">
        <f>HYPERLINK("https://lsnyc.legalserver.org/matter/dynamic-profile/view/1910719","19-1910719")</f>
        <v>0</v>
      </c>
      <c r="B6382" t="s">
        <v>4903</v>
      </c>
      <c r="C6382" t="s">
        <v>9811</v>
      </c>
      <c r="D6382" t="s">
        <v>9950</v>
      </c>
      <c r="E6382" t="s">
        <v>10075</v>
      </c>
      <c r="F6382">
        <v>11418</v>
      </c>
      <c r="G6382" t="s">
        <v>10092</v>
      </c>
      <c r="H6382" t="s">
        <v>10158</v>
      </c>
      <c r="I6382" t="s">
        <v>10168</v>
      </c>
      <c r="J6382" t="s">
        <v>10212</v>
      </c>
      <c r="K6382" t="s">
        <v>10217</v>
      </c>
      <c r="M6382" t="s">
        <v>10335</v>
      </c>
      <c r="N6382" t="s">
        <v>10695</v>
      </c>
      <c r="P6382" t="s">
        <v>10749</v>
      </c>
      <c r="Q6382" t="s">
        <v>10765</v>
      </c>
      <c r="R6382" t="s">
        <v>10821</v>
      </c>
      <c r="T6382">
        <v>21072</v>
      </c>
      <c r="U6382">
        <v>1756</v>
      </c>
      <c r="V6382">
        <v>75</v>
      </c>
      <c r="W6382">
        <v>2</v>
      </c>
      <c r="X6382">
        <v>0</v>
      </c>
      <c r="Z6382">
        <v>124.61</v>
      </c>
      <c r="AA6382">
        <v>40.701773</v>
      </c>
      <c r="AB6382">
        <v>-73.82383299999999</v>
      </c>
      <c r="AD6382" t="s">
        <v>10840</v>
      </c>
      <c r="AG6382" t="s">
        <v>10858</v>
      </c>
      <c r="AH6382" t="s">
        <v>10862</v>
      </c>
      <c r="AI6382">
        <v>237</v>
      </c>
      <c r="AJ6382" t="s">
        <v>10212</v>
      </c>
      <c r="AL6382">
        <v>1.4</v>
      </c>
      <c r="AM6382" t="s">
        <v>10892</v>
      </c>
      <c r="AN6382" t="s">
        <v>10962</v>
      </c>
      <c r="AO6382" t="s">
        <v>11020</v>
      </c>
      <c r="AP6382" t="s">
        <v>11083</v>
      </c>
      <c r="AR6382" t="s">
        <v>11422</v>
      </c>
      <c r="AS6382" t="s">
        <v>11594</v>
      </c>
      <c r="BA6382" t="s">
        <v>11742</v>
      </c>
      <c r="BB6382">
        <v>0</v>
      </c>
      <c r="BC6382">
        <v>0</v>
      </c>
      <c r="BD6382">
        <v>0</v>
      </c>
      <c r="BE6382">
        <v>0</v>
      </c>
      <c r="BF6382">
        <v>7</v>
      </c>
      <c r="BG6382">
        <v>0</v>
      </c>
    </row>
    <row r="6383" spans="1:59">
      <c r="A6383" s="1">
        <f>HYPERLINK("https://lsnyc.legalserver.org/matter/dynamic-profile/view/1910720","19-1910720")</f>
        <v>0</v>
      </c>
      <c r="B6383" t="s">
        <v>4904</v>
      </c>
      <c r="C6383" t="s">
        <v>9812</v>
      </c>
      <c r="D6383" t="s">
        <v>9929</v>
      </c>
      <c r="E6383" t="s">
        <v>10075</v>
      </c>
      <c r="F6383">
        <v>10301</v>
      </c>
      <c r="G6383" t="s">
        <v>10088</v>
      </c>
      <c r="H6383" t="s">
        <v>10158</v>
      </c>
      <c r="I6383" t="s">
        <v>10168</v>
      </c>
      <c r="J6383" t="s">
        <v>10208</v>
      </c>
      <c r="K6383" t="s">
        <v>10218</v>
      </c>
      <c r="L6383" t="s">
        <v>10158</v>
      </c>
      <c r="M6383" t="s">
        <v>10478</v>
      </c>
      <c r="N6383" t="s">
        <v>10663</v>
      </c>
      <c r="P6383" t="s">
        <v>10755</v>
      </c>
      <c r="Q6383" t="s">
        <v>10817</v>
      </c>
      <c r="R6383" t="s">
        <v>10824</v>
      </c>
      <c r="T6383">
        <v>7704</v>
      </c>
      <c r="U6383">
        <v>642</v>
      </c>
      <c r="V6383">
        <v>17</v>
      </c>
      <c r="W6383">
        <v>1</v>
      </c>
      <c r="X6383">
        <v>1</v>
      </c>
      <c r="Y6383" t="s">
        <v>10829</v>
      </c>
      <c r="Z6383">
        <v>45.56</v>
      </c>
      <c r="AA6383">
        <v>40.639057</v>
      </c>
      <c r="AB6383">
        <v>-74.076627</v>
      </c>
      <c r="AD6383" t="s">
        <v>10839</v>
      </c>
      <c r="AG6383" t="s">
        <v>10858</v>
      </c>
      <c r="AH6383" t="s">
        <v>10861</v>
      </c>
      <c r="AI6383">
        <v>285</v>
      </c>
      <c r="AJ6383" t="s">
        <v>10208</v>
      </c>
      <c r="AK6383" t="s">
        <v>10838</v>
      </c>
      <c r="AL6383">
        <v>0.5</v>
      </c>
      <c r="AM6383" t="s">
        <v>10883</v>
      </c>
      <c r="AN6383" t="s">
        <v>10913</v>
      </c>
      <c r="AO6383" t="s">
        <v>11006</v>
      </c>
      <c r="AP6383" t="s">
        <v>11051</v>
      </c>
      <c r="AR6383" t="s">
        <v>11274</v>
      </c>
      <c r="AS6383" t="s">
        <v>11593</v>
      </c>
      <c r="AT6383" t="s">
        <v>11641</v>
      </c>
      <c r="AX6383" t="s">
        <v>10838</v>
      </c>
      <c r="AY6383" t="s">
        <v>10829</v>
      </c>
      <c r="AZ6383" t="s">
        <v>11712</v>
      </c>
      <c r="BA6383" t="s">
        <v>11741</v>
      </c>
      <c r="BB6383">
        <v>0</v>
      </c>
      <c r="BC6383">
        <v>0</v>
      </c>
      <c r="BD6383">
        <v>0</v>
      </c>
      <c r="BE6383">
        <v>0</v>
      </c>
      <c r="BF6383">
        <v>1</v>
      </c>
      <c r="BG6383">
        <v>0</v>
      </c>
    </row>
    <row r="6384" spans="1:59">
      <c r="A6384" s="1">
        <f>HYPERLINK("https://lsnyc.legalserver.org/matter/dynamic-profile/view/1910721","19-1910721")</f>
        <v>0</v>
      </c>
      <c r="B6384" t="s">
        <v>4905</v>
      </c>
      <c r="C6384" t="s">
        <v>9813</v>
      </c>
      <c r="D6384" t="s">
        <v>9926</v>
      </c>
      <c r="E6384" t="s">
        <v>10075</v>
      </c>
      <c r="F6384">
        <v>10462</v>
      </c>
      <c r="G6384" t="s">
        <v>10091</v>
      </c>
      <c r="H6384" t="s">
        <v>10158</v>
      </c>
      <c r="I6384" t="s">
        <v>10168</v>
      </c>
      <c r="J6384" t="s">
        <v>10211</v>
      </c>
      <c r="K6384" t="s">
        <v>10218</v>
      </c>
      <c r="L6384" t="s">
        <v>10158</v>
      </c>
      <c r="M6384" t="s">
        <v>10231</v>
      </c>
      <c r="N6384" t="s">
        <v>10647</v>
      </c>
      <c r="P6384" t="s">
        <v>10752</v>
      </c>
      <c r="Q6384" t="s">
        <v>10762</v>
      </c>
      <c r="R6384" t="s">
        <v>10820</v>
      </c>
      <c r="T6384">
        <v>24000</v>
      </c>
      <c r="U6384">
        <v>2000</v>
      </c>
      <c r="V6384">
        <v>67</v>
      </c>
      <c r="W6384">
        <v>0</v>
      </c>
      <c r="X6384">
        <v>1</v>
      </c>
      <c r="Y6384" t="s">
        <v>10829</v>
      </c>
      <c r="Z6384">
        <v>192.15</v>
      </c>
      <c r="AA6384">
        <v>40.851651</v>
      </c>
      <c r="AB6384">
        <v>-73.858251</v>
      </c>
      <c r="AD6384" t="s">
        <v>10839</v>
      </c>
      <c r="AG6384" t="s">
        <v>10858</v>
      </c>
      <c r="AH6384" t="s">
        <v>10863</v>
      </c>
      <c r="AI6384">
        <v>235</v>
      </c>
      <c r="AJ6384" t="s">
        <v>10211</v>
      </c>
      <c r="AK6384" t="s">
        <v>10882</v>
      </c>
      <c r="AL6384">
        <v>0.2</v>
      </c>
      <c r="AR6384" t="s">
        <v>11257</v>
      </c>
      <c r="AS6384" t="s">
        <v>9926</v>
      </c>
      <c r="AY6384" t="s">
        <v>10829</v>
      </c>
      <c r="AZ6384" t="s">
        <v>11680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</row>
    <row r="6385" spans="1:59">
      <c r="A6385" s="1">
        <f>HYPERLINK("https://lsnyc.legalserver.org/matter/dynamic-profile/view/1910722","19-1910722")</f>
        <v>0</v>
      </c>
      <c r="B6385" t="s">
        <v>4906</v>
      </c>
      <c r="C6385" t="s">
        <v>9814</v>
      </c>
      <c r="D6385" t="s">
        <v>9938</v>
      </c>
      <c r="E6385" t="s">
        <v>10075</v>
      </c>
      <c r="F6385">
        <v>11434</v>
      </c>
      <c r="G6385" t="s">
        <v>10092</v>
      </c>
      <c r="H6385" t="s">
        <v>10158</v>
      </c>
      <c r="I6385" t="s">
        <v>10169</v>
      </c>
      <c r="J6385" t="s">
        <v>10212</v>
      </c>
      <c r="K6385" t="s">
        <v>10218</v>
      </c>
      <c r="L6385" t="s">
        <v>10223</v>
      </c>
      <c r="M6385" t="s">
        <v>10340</v>
      </c>
      <c r="N6385" t="s">
        <v>10694</v>
      </c>
      <c r="P6385" t="s">
        <v>10751</v>
      </c>
      <c r="Q6385" t="s">
        <v>10780</v>
      </c>
      <c r="R6385" t="s">
        <v>10821</v>
      </c>
      <c r="T6385">
        <v>21576</v>
      </c>
      <c r="U6385">
        <v>1798</v>
      </c>
      <c r="V6385">
        <v>66</v>
      </c>
      <c r="W6385">
        <v>2</v>
      </c>
      <c r="X6385">
        <v>0</v>
      </c>
      <c r="Y6385" t="s">
        <v>10829</v>
      </c>
      <c r="Z6385">
        <v>127.59</v>
      </c>
      <c r="AA6385">
        <v>40.685398</v>
      </c>
      <c r="AB6385">
        <v>-73.767797</v>
      </c>
      <c r="AD6385" t="s">
        <v>10839</v>
      </c>
      <c r="AG6385" t="s">
        <v>10858</v>
      </c>
      <c r="AH6385" t="s">
        <v>10861</v>
      </c>
      <c r="AI6385">
        <v>237</v>
      </c>
      <c r="AJ6385" t="s">
        <v>10212</v>
      </c>
      <c r="AK6385" t="s">
        <v>10838</v>
      </c>
      <c r="AL6385">
        <v>2.7</v>
      </c>
      <c r="AM6385" t="s">
        <v>10892</v>
      </c>
      <c r="AN6385" t="s">
        <v>10955</v>
      </c>
      <c r="AO6385" t="s">
        <v>11020</v>
      </c>
      <c r="AP6385" t="s">
        <v>11075</v>
      </c>
      <c r="AQ6385" t="s">
        <v>11118</v>
      </c>
      <c r="AR6385" t="s">
        <v>11588</v>
      </c>
      <c r="AS6385" t="s">
        <v>11594</v>
      </c>
      <c r="AY6385" t="s">
        <v>10829</v>
      </c>
      <c r="AZ6385" t="s">
        <v>11682</v>
      </c>
      <c r="BA6385" t="s">
        <v>11741</v>
      </c>
      <c r="BB6385">
        <v>0</v>
      </c>
      <c r="BC6385">
        <v>0</v>
      </c>
      <c r="BD6385">
        <v>0</v>
      </c>
      <c r="BE6385">
        <v>0</v>
      </c>
      <c r="BF6385">
        <v>1</v>
      </c>
      <c r="BG6385">
        <v>0</v>
      </c>
    </row>
    <row r="6386" spans="1:59">
      <c r="A6386" s="1">
        <f>HYPERLINK("https://lsnyc.legalserver.org/matter/dynamic-profile/view/1910723","19-1910723")</f>
        <v>0</v>
      </c>
      <c r="B6386" t="s">
        <v>4186</v>
      </c>
      <c r="C6386" t="s">
        <v>9809</v>
      </c>
      <c r="D6386" t="s">
        <v>9926</v>
      </c>
      <c r="E6386" t="s">
        <v>10075</v>
      </c>
      <c r="F6386">
        <v>10457</v>
      </c>
      <c r="G6386" t="s">
        <v>10090</v>
      </c>
      <c r="H6386" t="s">
        <v>10158</v>
      </c>
      <c r="I6386" t="s">
        <v>10168</v>
      </c>
      <c r="J6386" t="s">
        <v>10210</v>
      </c>
      <c r="K6386" t="s">
        <v>10217</v>
      </c>
      <c r="M6386" t="s">
        <v>10367</v>
      </c>
      <c r="N6386" t="s">
        <v>10671</v>
      </c>
      <c r="P6386" t="s">
        <v>10751</v>
      </c>
      <c r="Q6386" t="s">
        <v>10761</v>
      </c>
      <c r="R6386" t="s">
        <v>10821</v>
      </c>
      <c r="T6386">
        <v>9960</v>
      </c>
      <c r="U6386">
        <v>830</v>
      </c>
      <c r="V6386">
        <v>55</v>
      </c>
      <c r="W6386">
        <v>1</v>
      </c>
      <c r="X6386">
        <v>0</v>
      </c>
      <c r="Z6386">
        <v>79.73999999999999</v>
      </c>
      <c r="AA6386">
        <v>40.855948</v>
      </c>
      <c r="AB6386">
        <v>-73.89796800000001</v>
      </c>
      <c r="AD6386" t="s">
        <v>10840</v>
      </c>
      <c r="AG6386" t="s">
        <v>10858</v>
      </c>
      <c r="AH6386" t="s">
        <v>10861</v>
      </c>
      <c r="AI6386">
        <v>230</v>
      </c>
      <c r="AJ6386" t="s">
        <v>10210</v>
      </c>
      <c r="AL6386">
        <v>0</v>
      </c>
      <c r="AM6386" t="s">
        <v>10884</v>
      </c>
      <c r="AN6386" t="s">
        <v>10931</v>
      </c>
      <c r="AO6386" t="s">
        <v>11000</v>
      </c>
      <c r="AP6386" t="s">
        <v>11056</v>
      </c>
      <c r="AR6386" t="s">
        <v>11263</v>
      </c>
      <c r="AS6386" t="s">
        <v>9926</v>
      </c>
      <c r="AX6386" t="s">
        <v>10838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</row>
    <row r="6387" spans="1:59">
      <c r="A6387" s="1">
        <f>HYPERLINK("https://lsnyc.legalserver.org/matter/dynamic-profile/view/1910724","19-1910724")</f>
        <v>0</v>
      </c>
      <c r="B6387" t="s">
        <v>4907</v>
      </c>
      <c r="C6387" t="s">
        <v>9815</v>
      </c>
      <c r="D6387" t="s">
        <v>9926</v>
      </c>
      <c r="E6387" t="s">
        <v>10075</v>
      </c>
      <c r="F6387">
        <v>10452</v>
      </c>
      <c r="G6387" t="s">
        <v>10091</v>
      </c>
      <c r="H6387" t="s">
        <v>10158</v>
      </c>
      <c r="I6387" t="s">
        <v>10169</v>
      </c>
      <c r="J6387" t="s">
        <v>10211</v>
      </c>
      <c r="K6387" t="s">
        <v>10217</v>
      </c>
      <c r="M6387" t="s">
        <v>10231</v>
      </c>
      <c r="N6387" t="s">
        <v>10647</v>
      </c>
      <c r="P6387" t="s">
        <v>10752</v>
      </c>
      <c r="Q6387" t="s">
        <v>10762</v>
      </c>
      <c r="R6387" t="s">
        <v>10821</v>
      </c>
      <c r="T6387">
        <v>9288</v>
      </c>
      <c r="U6387">
        <v>774</v>
      </c>
      <c r="V6387">
        <v>41</v>
      </c>
      <c r="W6387">
        <v>2</v>
      </c>
      <c r="X6387">
        <v>2</v>
      </c>
      <c r="Z6387">
        <v>36.07</v>
      </c>
      <c r="AA6387">
        <v>40.837159</v>
      </c>
      <c r="AB6387">
        <v>-73.918482</v>
      </c>
      <c r="AD6387" t="s">
        <v>10839</v>
      </c>
      <c r="AG6387" t="s">
        <v>10858</v>
      </c>
      <c r="AH6387" t="s">
        <v>10861</v>
      </c>
      <c r="AI6387">
        <v>234</v>
      </c>
      <c r="AJ6387" t="s">
        <v>10214</v>
      </c>
      <c r="AL6387">
        <v>0.7</v>
      </c>
      <c r="AM6387" t="s">
        <v>10884</v>
      </c>
      <c r="AN6387" t="s">
        <v>10924</v>
      </c>
      <c r="AO6387" t="s">
        <v>11013</v>
      </c>
      <c r="AP6387" t="s">
        <v>11055</v>
      </c>
      <c r="AR6387" t="s">
        <v>11400</v>
      </c>
      <c r="AS6387" t="s">
        <v>9926</v>
      </c>
      <c r="AT6387" t="s">
        <v>11641</v>
      </c>
      <c r="AX6387" t="s">
        <v>10838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</row>
    <row r="6388" spans="1:59">
      <c r="A6388" s="1">
        <f>HYPERLINK("https://lsnyc.legalserver.org/matter/dynamic-profile/view/1910725","19-1910725")</f>
        <v>0</v>
      </c>
      <c r="B6388" t="s">
        <v>4908</v>
      </c>
      <c r="C6388" t="s">
        <v>9816</v>
      </c>
      <c r="D6388" t="s">
        <v>9926</v>
      </c>
      <c r="E6388" t="s">
        <v>10075</v>
      </c>
      <c r="F6388">
        <v>10455</v>
      </c>
      <c r="G6388" t="s">
        <v>10090</v>
      </c>
      <c r="H6388" t="s">
        <v>10158</v>
      </c>
      <c r="I6388" t="s">
        <v>10168</v>
      </c>
      <c r="J6388" t="s">
        <v>10210</v>
      </c>
      <c r="K6388" t="s">
        <v>10217</v>
      </c>
      <c r="M6388" t="s">
        <v>10510</v>
      </c>
      <c r="N6388" t="s">
        <v>10677</v>
      </c>
      <c r="P6388" t="s">
        <v>10757</v>
      </c>
      <c r="Q6388" t="s">
        <v>10789</v>
      </c>
      <c r="R6388" t="s">
        <v>10821</v>
      </c>
      <c r="T6388">
        <v>16860</v>
      </c>
      <c r="U6388">
        <v>1405</v>
      </c>
      <c r="V6388">
        <v>65</v>
      </c>
      <c r="W6388">
        <v>1</v>
      </c>
      <c r="X6388">
        <v>0</v>
      </c>
      <c r="Z6388">
        <v>134.99</v>
      </c>
      <c r="AA6388">
        <v>40.812744</v>
      </c>
      <c r="AB6388">
        <v>-73.907989</v>
      </c>
      <c r="AD6388" t="s">
        <v>10840</v>
      </c>
      <c r="AG6388" t="s">
        <v>10858</v>
      </c>
      <c r="AH6388" t="s">
        <v>10869</v>
      </c>
      <c r="AI6388">
        <v>230</v>
      </c>
      <c r="AJ6388" t="s">
        <v>10210</v>
      </c>
      <c r="AL6388">
        <v>0</v>
      </c>
      <c r="AM6388" t="s">
        <v>10884</v>
      </c>
      <c r="AN6388" t="s">
        <v>10924</v>
      </c>
      <c r="AO6388" t="s">
        <v>11013</v>
      </c>
      <c r="AP6388" t="s">
        <v>11066</v>
      </c>
      <c r="AR6388" t="s">
        <v>11296</v>
      </c>
      <c r="AS6388" t="s">
        <v>9926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</row>
    <row r="6389" spans="1:59">
      <c r="A6389" s="1">
        <f>HYPERLINK("https://lsnyc.legalserver.org/matter/dynamic-profile/view/1910726","19-1910726")</f>
        <v>0</v>
      </c>
      <c r="B6389" t="s">
        <v>4890</v>
      </c>
      <c r="C6389" t="s">
        <v>5802</v>
      </c>
      <c r="D6389" t="s">
        <v>9926</v>
      </c>
      <c r="E6389" t="s">
        <v>10075</v>
      </c>
      <c r="F6389">
        <v>10466</v>
      </c>
      <c r="G6389" t="s">
        <v>10090</v>
      </c>
      <c r="H6389" t="s">
        <v>10158</v>
      </c>
      <c r="I6389" t="s">
        <v>10168</v>
      </c>
      <c r="J6389" t="s">
        <v>10210</v>
      </c>
      <c r="K6389" t="s">
        <v>10217</v>
      </c>
      <c r="M6389" t="s">
        <v>10419</v>
      </c>
      <c r="N6389" t="s">
        <v>10688</v>
      </c>
      <c r="P6389" t="s">
        <v>10751</v>
      </c>
      <c r="Q6389" t="s">
        <v>10761</v>
      </c>
      <c r="R6389" t="s">
        <v>10824</v>
      </c>
      <c r="T6389">
        <v>9600</v>
      </c>
      <c r="U6389">
        <v>800</v>
      </c>
      <c r="V6389">
        <v>64</v>
      </c>
      <c r="W6389">
        <v>2</v>
      </c>
      <c r="X6389">
        <v>1</v>
      </c>
      <c r="Z6389">
        <v>45.01</v>
      </c>
      <c r="AA6389">
        <v>40.897054</v>
      </c>
      <c r="AB6389">
        <v>-73.853905</v>
      </c>
      <c r="AD6389" t="s">
        <v>10839</v>
      </c>
      <c r="AG6389" t="s">
        <v>10858</v>
      </c>
      <c r="AH6389" t="s">
        <v>10861</v>
      </c>
      <c r="AI6389">
        <v>230</v>
      </c>
      <c r="AJ6389" t="s">
        <v>10210</v>
      </c>
      <c r="AL6389">
        <v>0</v>
      </c>
      <c r="AR6389" t="s">
        <v>11263</v>
      </c>
      <c r="AS6389" t="s">
        <v>9926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</row>
    <row r="6390" spans="1:59">
      <c r="A6390" s="1">
        <f>HYPERLINK("https://lsnyc.legalserver.org/matter/dynamic-profile/view/1910727","19-1910727")</f>
        <v>0</v>
      </c>
      <c r="B6390" t="s">
        <v>4899</v>
      </c>
      <c r="C6390" t="s">
        <v>9808</v>
      </c>
      <c r="D6390" t="s">
        <v>9928</v>
      </c>
      <c r="E6390" t="s">
        <v>10075</v>
      </c>
      <c r="F6390">
        <v>11226</v>
      </c>
      <c r="G6390" t="s">
        <v>10091</v>
      </c>
      <c r="H6390" t="s">
        <v>10158</v>
      </c>
      <c r="I6390" t="s">
        <v>10168</v>
      </c>
      <c r="J6390" t="s">
        <v>10214</v>
      </c>
      <c r="K6390" t="s">
        <v>10217</v>
      </c>
      <c r="M6390" t="s">
        <v>10286</v>
      </c>
      <c r="N6390" t="s">
        <v>10671</v>
      </c>
      <c r="P6390" t="s">
        <v>10751</v>
      </c>
      <c r="Q6390" t="s">
        <v>10761</v>
      </c>
      <c r="R6390" t="s">
        <v>10824</v>
      </c>
      <c r="T6390">
        <v>11440</v>
      </c>
      <c r="U6390">
        <v>953.33</v>
      </c>
      <c r="V6390">
        <v>50</v>
      </c>
      <c r="W6390">
        <v>1</v>
      </c>
      <c r="X6390">
        <v>0</v>
      </c>
      <c r="Z6390">
        <v>91.59</v>
      </c>
      <c r="AA6390">
        <v>40.644281</v>
      </c>
      <c r="AB6390">
        <v>-73.955866</v>
      </c>
      <c r="AD6390" t="s">
        <v>10839</v>
      </c>
      <c r="AF6390" t="s">
        <v>10842</v>
      </c>
      <c r="AG6390" t="s">
        <v>10859</v>
      </c>
      <c r="AH6390" t="s">
        <v>10861</v>
      </c>
      <c r="AI6390">
        <v>234</v>
      </c>
      <c r="AJ6390" t="s">
        <v>10214</v>
      </c>
      <c r="AL6390">
        <v>0.5</v>
      </c>
      <c r="AR6390" t="s">
        <v>11257</v>
      </c>
      <c r="AS6390" t="s">
        <v>11595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</row>
    <row r="6391" spans="1:59">
      <c r="A6391" s="1">
        <f>HYPERLINK("https://lsnyc.legalserver.org/matter/dynamic-profile/view/1910728","19-1910728")</f>
        <v>0</v>
      </c>
      <c r="B6391" t="s">
        <v>3964</v>
      </c>
      <c r="C6391" t="s">
        <v>9817</v>
      </c>
      <c r="D6391" t="s">
        <v>9926</v>
      </c>
      <c r="E6391" t="s">
        <v>10075</v>
      </c>
      <c r="F6391">
        <v>10451</v>
      </c>
      <c r="G6391" t="s">
        <v>10091</v>
      </c>
      <c r="H6391" t="s">
        <v>10158</v>
      </c>
      <c r="I6391" t="s">
        <v>10168</v>
      </c>
      <c r="J6391" t="s">
        <v>10211</v>
      </c>
      <c r="K6391" t="s">
        <v>10218</v>
      </c>
      <c r="L6391" t="s">
        <v>10158</v>
      </c>
      <c r="M6391" t="s">
        <v>10641</v>
      </c>
      <c r="N6391" t="s">
        <v>10647</v>
      </c>
      <c r="P6391" t="s">
        <v>10752</v>
      </c>
      <c r="Q6391" t="s">
        <v>10762</v>
      </c>
      <c r="R6391" t="s">
        <v>10824</v>
      </c>
      <c r="T6391">
        <v>13392</v>
      </c>
      <c r="U6391">
        <v>1116</v>
      </c>
      <c r="V6391">
        <v>67</v>
      </c>
      <c r="W6391">
        <v>2</v>
      </c>
      <c r="X6391">
        <v>0</v>
      </c>
      <c r="Y6391" t="s">
        <v>10829</v>
      </c>
      <c r="Z6391">
        <v>79.2</v>
      </c>
      <c r="AA6391">
        <v>40.823048</v>
      </c>
      <c r="AB6391">
        <v>-73.92684300000001</v>
      </c>
      <c r="AD6391" t="s">
        <v>10839</v>
      </c>
      <c r="AG6391" t="s">
        <v>10858</v>
      </c>
      <c r="AH6391" t="s">
        <v>10863</v>
      </c>
      <c r="AI6391">
        <v>235</v>
      </c>
      <c r="AJ6391" t="s">
        <v>10211</v>
      </c>
      <c r="AK6391" t="s">
        <v>10882</v>
      </c>
      <c r="AL6391">
        <v>0.2</v>
      </c>
      <c r="AM6391" t="s">
        <v>10884</v>
      </c>
      <c r="AN6391" t="s">
        <v>10924</v>
      </c>
      <c r="AO6391" t="s">
        <v>11013</v>
      </c>
      <c r="AP6391" t="s">
        <v>11066</v>
      </c>
      <c r="AR6391" t="s">
        <v>11268</v>
      </c>
      <c r="AS6391" t="s">
        <v>9926</v>
      </c>
      <c r="AY6391" t="s">
        <v>10829</v>
      </c>
      <c r="AZ6391" t="s">
        <v>11680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</row>
    <row r="6392" spans="1:59">
      <c r="A6392" s="1">
        <f>HYPERLINK("https://lsnyc.legalserver.org/matter/dynamic-profile/view/1910730","19-1910730")</f>
        <v>0</v>
      </c>
      <c r="B6392" t="s">
        <v>1938</v>
      </c>
      <c r="C6392" t="s">
        <v>9818</v>
      </c>
      <c r="D6392" t="s">
        <v>9928</v>
      </c>
      <c r="E6392" t="s">
        <v>10075</v>
      </c>
      <c r="F6392">
        <v>11234</v>
      </c>
      <c r="G6392" t="s">
        <v>10093</v>
      </c>
      <c r="H6392" t="s">
        <v>10158</v>
      </c>
      <c r="I6392" t="s">
        <v>10168</v>
      </c>
      <c r="J6392" t="s">
        <v>10213</v>
      </c>
      <c r="K6392" t="s">
        <v>10217</v>
      </c>
      <c r="M6392" t="s">
        <v>10327</v>
      </c>
      <c r="N6392" t="s">
        <v>10646</v>
      </c>
      <c r="P6392" t="s">
        <v>10749</v>
      </c>
      <c r="Q6392" t="s">
        <v>10765</v>
      </c>
      <c r="R6392" t="s">
        <v>10825</v>
      </c>
      <c r="T6392">
        <v>29808</v>
      </c>
      <c r="U6392">
        <v>2484</v>
      </c>
      <c r="V6392">
        <v>61</v>
      </c>
      <c r="W6392">
        <v>1</v>
      </c>
      <c r="X6392">
        <v>0</v>
      </c>
      <c r="Z6392">
        <v>238.65</v>
      </c>
      <c r="AA6392">
        <v>40.624394</v>
      </c>
      <c r="AB6392">
        <v>-73.910619</v>
      </c>
      <c r="AC6392" t="s">
        <v>10837</v>
      </c>
      <c r="AD6392" t="s">
        <v>10839</v>
      </c>
      <c r="AG6392" t="s">
        <v>10858</v>
      </c>
      <c r="AH6392" t="s">
        <v>10861</v>
      </c>
      <c r="AI6392">
        <v>234</v>
      </c>
      <c r="AJ6392" t="s">
        <v>10214</v>
      </c>
      <c r="AL6392">
        <v>1.7</v>
      </c>
      <c r="AM6392" t="s">
        <v>10889</v>
      </c>
      <c r="AN6392" t="s">
        <v>10959</v>
      </c>
      <c r="AO6392" t="s">
        <v>11012</v>
      </c>
      <c r="AP6392" t="s">
        <v>11072</v>
      </c>
      <c r="AR6392" t="s">
        <v>11465</v>
      </c>
      <c r="AS6392" t="s">
        <v>11595</v>
      </c>
      <c r="AT6392" t="s">
        <v>11641</v>
      </c>
      <c r="AX6392" t="s">
        <v>10838</v>
      </c>
      <c r="BA6392" t="s">
        <v>11741</v>
      </c>
      <c r="BB6392">
        <v>0</v>
      </c>
      <c r="BC6392">
        <v>0</v>
      </c>
      <c r="BD6392">
        <v>0</v>
      </c>
      <c r="BE6392">
        <v>0</v>
      </c>
      <c r="BF6392">
        <v>1</v>
      </c>
      <c r="BG6392">
        <v>0</v>
      </c>
    </row>
    <row r="6393" spans="1:59">
      <c r="A6393" s="1">
        <f>HYPERLINK("https://lsnyc.legalserver.org/matter/dynamic-profile/view/1910731","19-1910731")</f>
        <v>0</v>
      </c>
      <c r="B6393" t="s">
        <v>4909</v>
      </c>
      <c r="C6393" t="s">
        <v>9819</v>
      </c>
      <c r="D6393" t="s">
        <v>9976</v>
      </c>
      <c r="E6393" t="s">
        <v>10075</v>
      </c>
      <c r="F6393">
        <v>11426</v>
      </c>
      <c r="G6393" t="s">
        <v>10092</v>
      </c>
      <c r="H6393" t="s">
        <v>10158</v>
      </c>
      <c r="I6393" t="s">
        <v>10168</v>
      </c>
      <c r="J6393" t="s">
        <v>10212</v>
      </c>
      <c r="K6393" t="s">
        <v>10217</v>
      </c>
      <c r="M6393" t="s">
        <v>10387</v>
      </c>
      <c r="N6393" t="s">
        <v>10695</v>
      </c>
      <c r="P6393" t="s">
        <v>10749</v>
      </c>
      <c r="Q6393" t="s">
        <v>10765</v>
      </c>
      <c r="R6393" t="s">
        <v>10824</v>
      </c>
      <c r="T6393">
        <v>11400</v>
      </c>
      <c r="U6393">
        <v>950</v>
      </c>
      <c r="V6393">
        <v>22</v>
      </c>
      <c r="W6393">
        <v>2</v>
      </c>
      <c r="X6393">
        <v>0</v>
      </c>
      <c r="Z6393">
        <v>67.42</v>
      </c>
      <c r="AA6393">
        <v>40.726591</v>
      </c>
      <c r="AB6393">
        <v>-73.73063999999999</v>
      </c>
      <c r="AD6393" t="s">
        <v>10840</v>
      </c>
      <c r="AG6393" t="s">
        <v>10858</v>
      </c>
      <c r="AH6393" t="s">
        <v>10862</v>
      </c>
      <c r="AI6393">
        <v>237</v>
      </c>
      <c r="AJ6393" t="s">
        <v>10212</v>
      </c>
      <c r="AL6393">
        <v>1.4</v>
      </c>
      <c r="AM6393" t="s">
        <v>10892</v>
      </c>
      <c r="AN6393" t="s">
        <v>10940</v>
      </c>
      <c r="AO6393" t="s">
        <v>11022</v>
      </c>
      <c r="AP6393" t="s">
        <v>11078</v>
      </c>
      <c r="AR6393" t="s">
        <v>11257</v>
      </c>
      <c r="AS6393" t="s">
        <v>11594</v>
      </c>
      <c r="BA6393" t="s">
        <v>11741</v>
      </c>
      <c r="BB6393">
        <v>0</v>
      </c>
      <c r="BC6393">
        <v>0</v>
      </c>
      <c r="BD6393">
        <v>0</v>
      </c>
      <c r="BE6393">
        <v>0</v>
      </c>
      <c r="BF6393">
        <v>1</v>
      </c>
      <c r="BG6393">
        <v>0</v>
      </c>
    </row>
    <row r="6394" spans="1:59">
      <c r="A6394" s="1">
        <f>HYPERLINK("https://lsnyc.legalserver.org/matter/dynamic-profile/view/1910732","19-1910732")</f>
        <v>0</v>
      </c>
      <c r="B6394" t="s">
        <v>4910</v>
      </c>
      <c r="C6394" t="s">
        <v>9820</v>
      </c>
      <c r="D6394" t="s">
        <v>9928</v>
      </c>
      <c r="E6394" t="s">
        <v>10075</v>
      </c>
      <c r="F6394">
        <v>11235</v>
      </c>
      <c r="G6394" t="s">
        <v>10091</v>
      </c>
      <c r="H6394" t="s">
        <v>10158</v>
      </c>
      <c r="I6394" t="s">
        <v>10171</v>
      </c>
      <c r="J6394" t="s">
        <v>10214</v>
      </c>
      <c r="K6394" t="s">
        <v>10217</v>
      </c>
      <c r="M6394" t="s">
        <v>10537</v>
      </c>
      <c r="N6394" t="s">
        <v>10671</v>
      </c>
      <c r="P6394" t="s">
        <v>10753</v>
      </c>
      <c r="Q6394" t="s">
        <v>10763</v>
      </c>
      <c r="R6394" t="s">
        <v>10820</v>
      </c>
      <c r="T6394">
        <v>0</v>
      </c>
      <c r="U6394">
        <v>0</v>
      </c>
      <c r="V6394">
        <v>27</v>
      </c>
      <c r="W6394">
        <v>1</v>
      </c>
      <c r="X6394">
        <v>0</v>
      </c>
      <c r="Z6394">
        <v>0</v>
      </c>
      <c r="AA6394">
        <v>40.576752</v>
      </c>
      <c r="AB6394">
        <v>-73.960245</v>
      </c>
      <c r="AD6394" t="s">
        <v>10839</v>
      </c>
      <c r="AF6394" t="s">
        <v>10842</v>
      </c>
      <c r="AG6394" t="s">
        <v>10859</v>
      </c>
      <c r="AH6394" t="s">
        <v>10861</v>
      </c>
      <c r="AI6394">
        <v>234</v>
      </c>
      <c r="AJ6394" t="s">
        <v>10214</v>
      </c>
      <c r="AL6394">
        <v>1</v>
      </c>
      <c r="AR6394" t="s">
        <v>11267</v>
      </c>
      <c r="AS6394" t="s">
        <v>11595</v>
      </c>
      <c r="AT6394" t="s">
        <v>11641</v>
      </c>
      <c r="AX6394" t="s">
        <v>10837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</row>
    <row r="6395" spans="1:59">
      <c r="A6395" s="1">
        <f>HYPERLINK("https://lsnyc.legalserver.org/matter/dynamic-profile/view/1910733","19-1910733")</f>
        <v>0</v>
      </c>
      <c r="B6395" t="s">
        <v>4911</v>
      </c>
      <c r="C6395" t="s">
        <v>9821</v>
      </c>
      <c r="D6395" t="s">
        <v>9926</v>
      </c>
      <c r="E6395" t="s">
        <v>10075</v>
      </c>
      <c r="F6395">
        <v>10467</v>
      </c>
      <c r="G6395" t="s">
        <v>10090</v>
      </c>
      <c r="H6395" t="s">
        <v>10158</v>
      </c>
      <c r="I6395" t="s">
        <v>10168</v>
      </c>
      <c r="J6395" t="s">
        <v>10210</v>
      </c>
      <c r="K6395" t="s">
        <v>10217</v>
      </c>
      <c r="M6395" t="s">
        <v>10419</v>
      </c>
      <c r="N6395" t="s">
        <v>10651</v>
      </c>
      <c r="P6395" t="s">
        <v>10749</v>
      </c>
      <c r="Q6395" t="s">
        <v>10765</v>
      </c>
      <c r="R6395" t="s">
        <v>10824</v>
      </c>
      <c r="T6395">
        <v>78000</v>
      </c>
      <c r="U6395">
        <v>6500</v>
      </c>
      <c r="V6395">
        <v>35</v>
      </c>
      <c r="W6395">
        <v>1</v>
      </c>
      <c r="X6395">
        <v>2</v>
      </c>
      <c r="Z6395">
        <v>365.68</v>
      </c>
      <c r="AA6395">
        <v>40.872992</v>
      </c>
      <c r="AB6395">
        <v>-73.866466</v>
      </c>
      <c r="AD6395" t="s">
        <v>10839</v>
      </c>
      <c r="AG6395" t="s">
        <v>10858</v>
      </c>
      <c r="AH6395" t="s">
        <v>10861</v>
      </c>
      <c r="AI6395">
        <v>230</v>
      </c>
      <c r="AJ6395" t="s">
        <v>10210</v>
      </c>
      <c r="AL6395">
        <v>0</v>
      </c>
      <c r="AM6395" t="s">
        <v>10893</v>
      </c>
      <c r="AN6395" t="s">
        <v>10938</v>
      </c>
      <c r="AO6395" t="s">
        <v>11010</v>
      </c>
      <c r="AP6395" t="s">
        <v>11056</v>
      </c>
      <c r="AR6395" t="s">
        <v>11257</v>
      </c>
      <c r="AS6395" t="s">
        <v>9926</v>
      </c>
      <c r="AT6395" t="s">
        <v>11641</v>
      </c>
      <c r="AX6395" t="s">
        <v>10838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</row>
    <row r="6396" spans="1:59">
      <c r="A6396" s="1">
        <f>HYPERLINK("https://lsnyc.legalserver.org/matter/dynamic-profile/view/1910734","19-1910734")</f>
        <v>0</v>
      </c>
      <c r="B6396" t="s">
        <v>4912</v>
      </c>
      <c r="C6396" t="s">
        <v>9797</v>
      </c>
      <c r="D6396" t="s">
        <v>9928</v>
      </c>
      <c r="E6396" t="s">
        <v>10075</v>
      </c>
      <c r="F6396">
        <v>11232</v>
      </c>
      <c r="G6396" t="s">
        <v>10093</v>
      </c>
      <c r="H6396" t="s">
        <v>10158</v>
      </c>
      <c r="I6396" t="s">
        <v>10168</v>
      </c>
      <c r="J6396" t="s">
        <v>10213</v>
      </c>
      <c r="K6396" t="s">
        <v>10217</v>
      </c>
      <c r="M6396" t="s">
        <v>10370</v>
      </c>
      <c r="N6396" t="s">
        <v>10662</v>
      </c>
      <c r="P6396" t="s">
        <v>10753</v>
      </c>
      <c r="Q6396" t="s">
        <v>10785</v>
      </c>
      <c r="R6396" t="s">
        <v>10824</v>
      </c>
      <c r="T6396">
        <v>0</v>
      </c>
      <c r="U6396">
        <v>0</v>
      </c>
      <c r="V6396">
        <v>29</v>
      </c>
      <c r="W6396">
        <v>2</v>
      </c>
      <c r="X6396">
        <v>0</v>
      </c>
      <c r="Z6396">
        <v>0</v>
      </c>
      <c r="AA6396">
        <v>40.659531</v>
      </c>
      <c r="AB6396">
        <v>-73.998513</v>
      </c>
      <c r="AD6396" t="s">
        <v>10841</v>
      </c>
      <c r="AG6396" t="s">
        <v>10858</v>
      </c>
      <c r="AH6396" t="s">
        <v>10862</v>
      </c>
      <c r="AI6396">
        <v>239</v>
      </c>
      <c r="AJ6396" t="s">
        <v>10213</v>
      </c>
      <c r="AL6396">
        <v>0.5</v>
      </c>
      <c r="AM6396" t="s">
        <v>10886</v>
      </c>
      <c r="AN6396" t="s">
        <v>10921</v>
      </c>
      <c r="AO6396" t="s">
        <v>11005</v>
      </c>
      <c r="AP6396" t="s">
        <v>11069</v>
      </c>
      <c r="AR6396" t="s">
        <v>11266</v>
      </c>
      <c r="AS6396" t="s">
        <v>11595</v>
      </c>
      <c r="AT6396" t="s">
        <v>11641</v>
      </c>
      <c r="AU6396" t="s">
        <v>11654</v>
      </c>
      <c r="AV6396" t="s">
        <v>11665</v>
      </c>
      <c r="AX6396" t="s">
        <v>10837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</row>
    <row r="6397" spans="1:59">
      <c r="A6397" s="1">
        <f>HYPERLINK("https://lsnyc.legalserver.org/matter/dynamic-profile/view/1910735","19-1910735")</f>
        <v>0</v>
      </c>
      <c r="B6397" t="s">
        <v>2159</v>
      </c>
      <c r="C6397" t="s">
        <v>9822</v>
      </c>
      <c r="D6397" t="s">
        <v>9926</v>
      </c>
      <c r="E6397" t="s">
        <v>10075</v>
      </c>
      <c r="F6397">
        <v>10463</v>
      </c>
      <c r="G6397" t="s">
        <v>10091</v>
      </c>
      <c r="H6397" t="s">
        <v>10158</v>
      </c>
      <c r="I6397" t="s">
        <v>10168</v>
      </c>
      <c r="J6397" t="s">
        <v>10214</v>
      </c>
      <c r="K6397" t="s">
        <v>10217</v>
      </c>
      <c r="M6397" t="s">
        <v>10307</v>
      </c>
      <c r="N6397" t="s">
        <v>10671</v>
      </c>
      <c r="P6397" t="s">
        <v>10752</v>
      </c>
      <c r="Q6397" t="s">
        <v>10762</v>
      </c>
      <c r="R6397" t="s">
        <v>10824</v>
      </c>
      <c r="T6397">
        <v>9372</v>
      </c>
      <c r="U6397">
        <v>781</v>
      </c>
      <c r="V6397">
        <v>37</v>
      </c>
      <c r="W6397">
        <v>1</v>
      </c>
      <c r="X6397">
        <v>0</v>
      </c>
      <c r="Z6397">
        <v>75.04000000000001</v>
      </c>
      <c r="AA6397">
        <v>40.870304</v>
      </c>
      <c r="AB6397">
        <v>-73.906243</v>
      </c>
      <c r="AD6397" t="s">
        <v>10839</v>
      </c>
      <c r="AG6397" t="s">
        <v>10858</v>
      </c>
      <c r="AH6397" t="s">
        <v>10871</v>
      </c>
      <c r="AI6397">
        <v>234</v>
      </c>
      <c r="AJ6397" t="s">
        <v>10214</v>
      </c>
      <c r="AL6397">
        <v>1</v>
      </c>
      <c r="AM6397" t="s">
        <v>10887</v>
      </c>
      <c r="AN6397" t="s">
        <v>10931</v>
      </c>
      <c r="AO6397" t="s">
        <v>11000</v>
      </c>
      <c r="AP6397" t="s">
        <v>11045</v>
      </c>
      <c r="AR6397" t="s">
        <v>11331</v>
      </c>
      <c r="AS6397" t="s">
        <v>9926</v>
      </c>
      <c r="AT6397" t="s">
        <v>11641</v>
      </c>
      <c r="AX6397" t="s">
        <v>10838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</row>
    <row r="6398" spans="1:59">
      <c r="A6398" s="1">
        <f>HYPERLINK("https://lsnyc.legalserver.org/matter/dynamic-profile/view/1910736","19-1910736")</f>
        <v>0</v>
      </c>
      <c r="B6398" t="s">
        <v>1238</v>
      </c>
      <c r="C6398" t="s">
        <v>9823</v>
      </c>
      <c r="D6398" t="s">
        <v>9937</v>
      </c>
      <c r="E6398" t="s">
        <v>10075</v>
      </c>
      <c r="F6398">
        <v>11412</v>
      </c>
      <c r="G6398" t="s">
        <v>10092</v>
      </c>
      <c r="H6398" t="s">
        <v>10158</v>
      </c>
      <c r="I6398" t="s">
        <v>10168</v>
      </c>
      <c r="J6398" t="s">
        <v>10212</v>
      </c>
      <c r="K6398" t="s">
        <v>10217</v>
      </c>
      <c r="M6398" t="s">
        <v>10329</v>
      </c>
      <c r="N6398" t="s">
        <v>10695</v>
      </c>
      <c r="P6398" t="s">
        <v>10749</v>
      </c>
      <c r="Q6398" t="s">
        <v>10765</v>
      </c>
      <c r="R6398" t="s">
        <v>10824</v>
      </c>
      <c r="T6398">
        <v>4888</v>
      </c>
      <c r="U6398">
        <v>407.33</v>
      </c>
      <c r="V6398">
        <v>60</v>
      </c>
      <c r="W6398">
        <v>1</v>
      </c>
      <c r="X6398">
        <v>0</v>
      </c>
      <c r="Z6398">
        <v>39.14</v>
      </c>
      <c r="AA6398">
        <v>40.691033</v>
      </c>
      <c r="AB6398">
        <v>-73.758062</v>
      </c>
      <c r="AD6398" t="s">
        <v>10840</v>
      </c>
      <c r="AG6398" t="s">
        <v>10858</v>
      </c>
      <c r="AH6398" t="s">
        <v>10862</v>
      </c>
      <c r="AI6398">
        <v>237</v>
      </c>
      <c r="AJ6398" t="s">
        <v>10212</v>
      </c>
      <c r="AL6398">
        <v>0.8</v>
      </c>
      <c r="AM6398" t="s">
        <v>10892</v>
      </c>
      <c r="AN6398" t="s">
        <v>10955</v>
      </c>
      <c r="AO6398" t="s">
        <v>11020</v>
      </c>
      <c r="AP6398" t="s">
        <v>11075</v>
      </c>
      <c r="AR6398" t="s">
        <v>11292</v>
      </c>
      <c r="AS6398" t="s">
        <v>11594</v>
      </c>
      <c r="BA6398" t="s">
        <v>11742</v>
      </c>
      <c r="BB6398">
        <v>0</v>
      </c>
      <c r="BC6398">
        <v>0</v>
      </c>
      <c r="BD6398">
        <v>0</v>
      </c>
      <c r="BE6398">
        <v>0</v>
      </c>
      <c r="BF6398">
        <v>7</v>
      </c>
      <c r="BG6398">
        <v>0</v>
      </c>
    </row>
    <row r="6399" spans="1:59">
      <c r="A6399" s="1">
        <f>HYPERLINK("https://lsnyc.legalserver.org/matter/dynamic-profile/view/1910737","19-1910737")</f>
        <v>0</v>
      </c>
      <c r="B6399" t="s">
        <v>4002</v>
      </c>
      <c r="C6399" t="s">
        <v>9824</v>
      </c>
      <c r="D6399" t="s">
        <v>9927</v>
      </c>
      <c r="E6399" t="s">
        <v>10075</v>
      </c>
      <c r="F6399">
        <v>11377</v>
      </c>
      <c r="G6399" t="s">
        <v>10091</v>
      </c>
      <c r="H6399" t="s">
        <v>10158</v>
      </c>
      <c r="I6399" t="s">
        <v>10169</v>
      </c>
      <c r="J6399" t="s">
        <v>10214</v>
      </c>
      <c r="K6399" t="s">
        <v>10217</v>
      </c>
      <c r="M6399" t="s">
        <v>10286</v>
      </c>
      <c r="N6399" t="s">
        <v>10646</v>
      </c>
      <c r="P6399" t="s">
        <v>10749</v>
      </c>
      <c r="Q6399" t="s">
        <v>10765</v>
      </c>
      <c r="R6399" t="s">
        <v>10823</v>
      </c>
      <c r="T6399">
        <v>44200</v>
      </c>
      <c r="U6399">
        <v>3683.33</v>
      </c>
      <c r="V6399">
        <v>38</v>
      </c>
      <c r="W6399">
        <v>2</v>
      </c>
      <c r="X6399">
        <v>1</v>
      </c>
      <c r="Z6399">
        <v>207.22</v>
      </c>
      <c r="AA6399">
        <v>40.748194</v>
      </c>
      <c r="AB6399">
        <v>-73.90355</v>
      </c>
      <c r="AD6399" t="s">
        <v>10840</v>
      </c>
      <c r="AF6399" t="s">
        <v>10842</v>
      </c>
      <c r="AG6399" t="s">
        <v>10859</v>
      </c>
      <c r="AH6399" t="s">
        <v>10861</v>
      </c>
      <c r="AI6399">
        <v>234</v>
      </c>
      <c r="AJ6399" t="s">
        <v>10214</v>
      </c>
      <c r="AL6399">
        <v>0.5</v>
      </c>
      <c r="AM6399" t="s">
        <v>10885</v>
      </c>
      <c r="AN6399" t="s">
        <v>10935</v>
      </c>
      <c r="AO6399" t="s">
        <v>11003</v>
      </c>
      <c r="AP6399" t="s">
        <v>11047</v>
      </c>
      <c r="AR6399" t="s">
        <v>11356</v>
      </c>
      <c r="AS6399" t="s">
        <v>11594</v>
      </c>
      <c r="AT6399" t="s">
        <v>11642</v>
      </c>
      <c r="AX6399" t="s">
        <v>10838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</row>
    <row r="6400" spans="1:59">
      <c r="A6400" s="1">
        <f>HYPERLINK("https://lsnyc.legalserver.org/matter/dynamic-profile/view/1910738","19-1910738")</f>
        <v>0</v>
      </c>
      <c r="B6400" t="s">
        <v>4913</v>
      </c>
      <c r="C6400" t="s">
        <v>7778</v>
      </c>
      <c r="D6400" t="s">
        <v>9926</v>
      </c>
      <c r="E6400" t="s">
        <v>10075</v>
      </c>
      <c r="F6400">
        <v>10454</v>
      </c>
      <c r="G6400" t="s">
        <v>10090</v>
      </c>
      <c r="H6400" t="s">
        <v>10158</v>
      </c>
      <c r="I6400" t="s">
        <v>10168</v>
      </c>
      <c r="J6400" t="s">
        <v>10210</v>
      </c>
      <c r="K6400" t="s">
        <v>10217</v>
      </c>
      <c r="M6400" t="s">
        <v>10489</v>
      </c>
      <c r="N6400" t="s">
        <v>10719</v>
      </c>
      <c r="P6400" t="s">
        <v>10753</v>
      </c>
      <c r="Q6400" t="s">
        <v>10763</v>
      </c>
      <c r="R6400" t="s">
        <v>10825</v>
      </c>
      <c r="T6400">
        <v>0</v>
      </c>
      <c r="U6400">
        <v>0</v>
      </c>
      <c r="V6400">
        <v>19</v>
      </c>
      <c r="W6400">
        <v>5</v>
      </c>
      <c r="X6400">
        <v>2</v>
      </c>
      <c r="Z6400">
        <v>0</v>
      </c>
      <c r="AA6400">
        <v>40.811291</v>
      </c>
      <c r="AB6400">
        <v>-73.916048</v>
      </c>
      <c r="AD6400" t="s">
        <v>10840</v>
      </c>
      <c r="AG6400" t="s">
        <v>10858</v>
      </c>
      <c r="AH6400" t="s">
        <v>10864</v>
      </c>
      <c r="AI6400">
        <v>230</v>
      </c>
      <c r="AJ6400" t="s">
        <v>10210</v>
      </c>
      <c r="AL6400">
        <v>0.5</v>
      </c>
      <c r="AM6400" t="s">
        <v>10884</v>
      </c>
      <c r="AN6400" t="s">
        <v>10924</v>
      </c>
      <c r="AO6400" t="s">
        <v>11013</v>
      </c>
      <c r="AP6400" t="s">
        <v>11066</v>
      </c>
      <c r="AQ6400" t="s">
        <v>11222</v>
      </c>
      <c r="AR6400" t="s">
        <v>11267</v>
      </c>
      <c r="AS6400" t="s">
        <v>9926</v>
      </c>
      <c r="AT6400" t="s">
        <v>11642</v>
      </c>
      <c r="AX6400" t="s">
        <v>10838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</row>
    <row r="6401" spans="1:59">
      <c r="A6401" s="1">
        <f>HYPERLINK("https://lsnyc.legalserver.org/matter/dynamic-profile/view/1910740","19-1910740")</f>
        <v>0</v>
      </c>
      <c r="B6401" t="s">
        <v>4914</v>
      </c>
      <c r="C6401" t="s">
        <v>9825</v>
      </c>
      <c r="D6401" t="s">
        <v>9997</v>
      </c>
      <c r="E6401" t="s">
        <v>10075</v>
      </c>
      <c r="F6401">
        <v>11414</v>
      </c>
      <c r="G6401" t="s">
        <v>10092</v>
      </c>
      <c r="H6401" t="s">
        <v>10158</v>
      </c>
      <c r="I6401" t="s">
        <v>10168</v>
      </c>
      <c r="J6401" t="s">
        <v>10212</v>
      </c>
      <c r="K6401" t="s">
        <v>10217</v>
      </c>
      <c r="M6401" t="s">
        <v>10318</v>
      </c>
      <c r="N6401" t="s">
        <v>10684</v>
      </c>
      <c r="P6401" t="s">
        <v>10751</v>
      </c>
      <c r="Q6401" t="s">
        <v>10786</v>
      </c>
      <c r="R6401" t="s">
        <v>10827</v>
      </c>
      <c r="T6401">
        <v>0</v>
      </c>
      <c r="U6401">
        <v>0</v>
      </c>
      <c r="V6401">
        <v>52</v>
      </c>
      <c r="W6401">
        <v>1</v>
      </c>
      <c r="X6401">
        <v>0</v>
      </c>
      <c r="Z6401">
        <v>0</v>
      </c>
      <c r="AA6401">
        <v>40.669005</v>
      </c>
      <c r="AB6401">
        <v>-73.847528</v>
      </c>
      <c r="AD6401" t="s">
        <v>10840</v>
      </c>
      <c r="AG6401" t="s">
        <v>10858</v>
      </c>
      <c r="AH6401" t="s">
        <v>10873</v>
      </c>
      <c r="AI6401">
        <v>237</v>
      </c>
      <c r="AJ6401" t="s">
        <v>10212</v>
      </c>
      <c r="AL6401">
        <v>2</v>
      </c>
      <c r="AM6401" t="s">
        <v>10889</v>
      </c>
      <c r="AN6401" t="s">
        <v>10958</v>
      </c>
      <c r="AO6401" t="s">
        <v>11024</v>
      </c>
      <c r="AP6401" t="s">
        <v>11088</v>
      </c>
      <c r="AR6401" t="s">
        <v>11267</v>
      </c>
      <c r="AS6401" t="s">
        <v>11594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</row>
    <row r="6402" spans="1:59">
      <c r="A6402" s="1">
        <f>HYPERLINK("https://lsnyc.legalserver.org/matter/dynamic-profile/view/1910741","19-1910741")</f>
        <v>0</v>
      </c>
      <c r="B6402" t="s">
        <v>4915</v>
      </c>
      <c r="C6402" t="s">
        <v>7778</v>
      </c>
      <c r="D6402" t="s">
        <v>9926</v>
      </c>
      <c r="E6402" t="s">
        <v>10075</v>
      </c>
      <c r="F6402">
        <v>10454</v>
      </c>
      <c r="G6402" t="s">
        <v>10090</v>
      </c>
      <c r="H6402" t="s">
        <v>10158</v>
      </c>
      <c r="I6402" t="s">
        <v>10168</v>
      </c>
      <c r="J6402" t="s">
        <v>10210</v>
      </c>
      <c r="K6402" t="s">
        <v>10217</v>
      </c>
      <c r="M6402" t="s">
        <v>10489</v>
      </c>
      <c r="N6402" t="s">
        <v>10719</v>
      </c>
      <c r="P6402" t="s">
        <v>10753</v>
      </c>
      <c r="Q6402" t="s">
        <v>10763</v>
      </c>
      <c r="R6402" t="s">
        <v>10825</v>
      </c>
      <c r="T6402">
        <v>0</v>
      </c>
      <c r="U6402">
        <v>0</v>
      </c>
      <c r="V6402">
        <v>21</v>
      </c>
      <c r="W6402">
        <v>5</v>
      </c>
      <c r="X6402">
        <v>2</v>
      </c>
      <c r="Z6402">
        <v>0</v>
      </c>
      <c r="AA6402">
        <v>40.811291</v>
      </c>
      <c r="AB6402">
        <v>-73.916048</v>
      </c>
      <c r="AD6402" t="s">
        <v>10840</v>
      </c>
      <c r="AG6402" t="s">
        <v>10858</v>
      </c>
      <c r="AH6402" t="s">
        <v>10864</v>
      </c>
      <c r="AI6402">
        <v>230</v>
      </c>
      <c r="AJ6402" t="s">
        <v>10210</v>
      </c>
      <c r="AL6402">
        <v>0.5</v>
      </c>
      <c r="AM6402" t="s">
        <v>10884</v>
      </c>
      <c r="AN6402" t="s">
        <v>10924</v>
      </c>
      <c r="AO6402" t="s">
        <v>11013</v>
      </c>
      <c r="AP6402" t="s">
        <v>11066</v>
      </c>
      <c r="AQ6402" t="s">
        <v>11222</v>
      </c>
      <c r="AR6402" t="s">
        <v>11267</v>
      </c>
      <c r="AS6402" t="s">
        <v>9926</v>
      </c>
      <c r="AT6402" t="s">
        <v>11642</v>
      </c>
      <c r="AX6402" t="s">
        <v>10838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</row>
    <row r="6403" spans="1:59">
      <c r="A6403" s="1">
        <f>HYPERLINK("https://lsnyc.legalserver.org/matter/dynamic-profile/view/1910742","19-1910742")</f>
        <v>0</v>
      </c>
      <c r="B6403" t="s">
        <v>4916</v>
      </c>
      <c r="C6403" t="s">
        <v>9826</v>
      </c>
      <c r="D6403" t="s">
        <v>9941</v>
      </c>
      <c r="E6403" t="s">
        <v>10075</v>
      </c>
      <c r="F6403">
        <v>11428</v>
      </c>
      <c r="G6403" t="s">
        <v>10092</v>
      </c>
      <c r="H6403" t="s">
        <v>10158</v>
      </c>
      <c r="I6403" t="s">
        <v>10168</v>
      </c>
      <c r="J6403" t="s">
        <v>10212</v>
      </c>
      <c r="K6403" t="s">
        <v>10217</v>
      </c>
      <c r="M6403" t="s">
        <v>10387</v>
      </c>
      <c r="N6403" t="s">
        <v>10650</v>
      </c>
      <c r="P6403" t="s">
        <v>10749</v>
      </c>
      <c r="Q6403" t="s">
        <v>10765</v>
      </c>
      <c r="R6403" t="s">
        <v>10824</v>
      </c>
      <c r="T6403">
        <v>2080</v>
      </c>
      <c r="U6403">
        <v>173.33</v>
      </c>
      <c r="V6403">
        <v>49</v>
      </c>
      <c r="W6403">
        <v>1</v>
      </c>
      <c r="X6403">
        <v>0</v>
      </c>
      <c r="Z6403">
        <v>16.65</v>
      </c>
      <c r="AA6403">
        <v>40.722123</v>
      </c>
      <c r="AB6403">
        <v>-73.73929</v>
      </c>
      <c r="AD6403" t="s">
        <v>10840</v>
      </c>
      <c r="AF6403" t="s">
        <v>10843</v>
      </c>
      <c r="AG6403" t="s">
        <v>10859</v>
      </c>
      <c r="AH6403" t="s">
        <v>10862</v>
      </c>
      <c r="AI6403">
        <v>237</v>
      </c>
      <c r="AJ6403" t="s">
        <v>10212</v>
      </c>
      <c r="AL6403">
        <v>1.5</v>
      </c>
      <c r="AM6403" t="s">
        <v>10892</v>
      </c>
      <c r="AN6403" t="s">
        <v>10940</v>
      </c>
      <c r="AO6403" t="s">
        <v>11020</v>
      </c>
      <c r="AP6403" t="s">
        <v>11078</v>
      </c>
      <c r="AR6403" t="s">
        <v>11292</v>
      </c>
      <c r="AS6403" t="s">
        <v>11594</v>
      </c>
      <c r="BA6403" t="s">
        <v>11738</v>
      </c>
      <c r="BB6403">
        <v>0</v>
      </c>
      <c r="BC6403">
        <v>0</v>
      </c>
      <c r="BD6403">
        <v>0</v>
      </c>
      <c r="BE6403">
        <v>0</v>
      </c>
      <c r="BF6403">
        <v>5</v>
      </c>
      <c r="BG6403">
        <v>0</v>
      </c>
    </row>
    <row r="6404" spans="1:59">
      <c r="A6404" s="1">
        <f>HYPERLINK("https://lsnyc.legalserver.org/matter/dynamic-profile/view/1910743","19-1910743")</f>
        <v>0</v>
      </c>
      <c r="B6404" t="s">
        <v>4917</v>
      </c>
      <c r="C6404" t="s">
        <v>7778</v>
      </c>
      <c r="D6404" t="s">
        <v>9926</v>
      </c>
      <c r="E6404" t="s">
        <v>10075</v>
      </c>
      <c r="F6404">
        <v>10454</v>
      </c>
      <c r="G6404" t="s">
        <v>10090</v>
      </c>
      <c r="H6404" t="s">
        <v>10158</v>
      </c>
      <c r="I6404" t="s">
        <v>10168</v>
      </c>
      <c r="J6404" t="s">
        <v>10210</v>
      </c>
      <c r="K6404" t="s">
        <v>10217</v>
      </c>
      <c r="M6404" t="s">
        <v>10489</v>
      </c>
      <c r="N6404" t="s">
        <v>10719</v>
      </c>
      <c r="P6404" t="s">
        <v>10753</v>
      </c>
      <c r="Q6404" t="s">
        <v>10763</v>
      </c>
      <c r="R6404" t="s">
        <v>10825</v>
      </c>
      <c r="T6404">
        <v>0</v>
      </c>
      <c r="U6404">
        <v>0</v>
      </c>
      <c r="V6404">
        <v>22</v>
      </c>
      <c r="W6404">
        <v>5</v>
      </c>
      <c r="X6404">
        <v>2</v>
      </c>
      <c r="Z6404">
        <v>0</v>
      </c>
      <c r="AA6404">
        <v>40.811291</v>
      </c>
      <c r="AB6404">
        <v>-73.916048</v>
      </c>
      <c r="AD6404" t="s">
        <v>10840</v>
      </c>
      <c r="AG6404" t="s">
        <v>10858</v>
      </c>
      <c r="AH6404" t="s">
        <v>10864</v>
      </c>
      <c r="AI6404">
        <v>230</v>
      </c>
      <c r="AJ6404" t="s">
        <v>10210</v>
      </c>
      <c r="AL6404">
        <v>0.5</v>
      </c>
      <c r="AM6404" t="s">
        <v>10884</v>
      </c>
      <c r="AN6404" t="s">
        <v>10924</v>
      </c>
      <c r="AO6404" t="s">
        <v>11013</v>
      </c>
      <c r="AP6404" t="s">
        <v>11066</v>
      </c>
      <c r="AQ6404" t="s">
        <v>11222</v>
      </c>
      <c r="AR6404" t="s">
        <v>11267</v>
      </c>
      <c r="AS6404" t="s">
        <v>9926</v>
      </c>
      <c r="AT6404" t="s">
        <v>11642</v>
      </c>
      <c r="AX6404" t="s">
        <v>10838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</row>
    <row r="6405" spans="1:59">
      <c r="A6405" s="1">
        <f>HYPERLINK("https://lsnyc.legalserver.org/matter/dynamic-profile/view/1910744","19-1910744")</f>
        <v>0</v>
      </c>
      <c r="B6405" t="s">
        <v>4918</v>
      </c>
      <c r="C6405" t="s">
        <v>7038</v>
      </c>
      <c r="D6405" t="s">
        <v>9926</v>
      </c>
      <c r="E6405" t="s">
        <v>10075</v>
      </c>
      <c r="F6405">
        <v>10457</v>
      </c>
      <c r="G6405" t="s">
        <v>10090</v>
      </c>
      <c r="H6405" t="s">
        <v>10158</v>
      </c>
      <c r="I6405" t="s">
        <v>10168</v>
      </c>
      <c r="J6405" t="s">
        <v>10210</v>
      </c>
      <c r="K6405" t="s">
        <v>10217</v>
      </c>
      <c r="M6405" t="s">
        <v>10514</v>
      </c>
      <c r="N6405" t="s">
        <v>10651</v>
      </c>
      <c r="P6405" t="s">
        <v>10749</v>
      </c>
      <c r="Q6405" t="s">
        <v>10765</v>
      </c>
      <c r="R6405" t="s">
        <v>10821</v>
      </c>
      <c r="T6405">
        <v>2340</v>
      </c>
      <c r="U6405">
        <v>195</v>
      </c>
      <c r="V6405">
        <v>39</v>
      </c>
      <c r="W6405">
        <v>1</v>
      </c>
      <c r="X6405">
        <v>0</v>
      </c>
      <c r="Z6405">
        <v>18.73</v>
      </c>
      <c r="AA6405">
        <v>40.838751</v>
      </c>
      <c r="AB6405">
        <v>-73.89952599999999</v>
      </c>
      <c r="AD6405" t="s">
        <v>10839</v>
      </c>
      <c r="AG6405" t="s">
        <v>10858</v>
      </c>
      <c r="AH6405" t="s">
        <v>10862</v>
      </c>
      <c r="AI6405">
        <v>230</v>
      </c>
      <c r="AJ6405" t="s">
        <v>10210</v>
      </c>
      <c r="AL6405">
        <v>1.3</v>
      </c>
      <c r="AM6405" t="s">
        <v>10884</v>
      </c>
      <c r="AN6405" t="s">
        <v>10918</v>
      </c>
      <c r="AO6405" t="s">
        <v>11000</v>
      </c>
      <c r="AP6405" t="s">
        <v>11055</v>
      </c>
      <c r="AR6405" t="s">
        <v>11255</v>
      </c>
      <c r="AS6405" t="s">
        <v>9926</v>
      </c>
      <c r="BA6405" t="s">
        <v>11738</v>
      </c>
      <c r="BB6405">
        <v>0</v>
      </c>
      <c r="BC6405">
        <v>0</v>
      </c>
      <c r="BD6405">
        <v>0</v>
      </c>
      <c r="BE6405">
        <v>0</v>
      </c>
      <c r="BF6405">
        <v>5</v>
      </c>
      <c r="BG6405">
        <v>0</v>
      </c>
    </row>
    <row r="6406" spans="1:59">
      <c r="A6406" s="1">
        <f>HYPERLINK("https://lsnyc.legalserver.org/matter/dynamic-profile/view/1910745","19-1910745")</f>
        <v>0</v>
      </c>
      <c r="B6406" t="s">
        <v>4919</v>
      </c>
      <c r="C6406" t="s">
        <v>9827</v>
      </c>
      <c r="D6406" t="s">
        <v>9926</v>
      </c>
      <c r="E6406" t="s">
        <v>10075</v>
      </c>
      <c r="F6406">
        <v>10459</v>
      </c>
      <c r="G6406" t="s">
        <v>10090</v>
      </c>
      <c r="H6406" t="s">
        <v>10158</v>
      </c>
      <c r="I6406" t="s">
        <v>10168</v>
      </c>
      <c r="J6406" t="s">
        <v>10210</v>
      </c>
      <c r="K6406" t="s">
        <v>10217</v>
      </c>
      <c r="M6406" t="s">
        <v>10244</v>
      </c>
      <c r="N6406" t="s">
        <v>10671</v>
      </c>
      <c r="P6406" t="s">
        <v>10751</v>
      </c>
      <c r="Q6406" t="s">
        <v>10761</v>
      </c>
      <c r="R6406" t="s">
        <v>10821</v>
      </c>
      <c r="T6406">
        <v>10800</v>
      </c>
      <c r="U6406">
        <v>900</v>
      </c>
      <c r="V6406">
        <v>32</v>
      </c>
      <c r="W6406">
        <v>1</v>
      </c>
      <c r="X6406">
        <v>3</v>
      </c>
      <c r="Z6406">
        <v>41.94</v>
      </c>
      <c r="AA6406">
        <v>40.829433</v>
      </c>
      <c r="AB6406">
        <v>-73.89021200000001</v>
      </c>
      <c r="AD6406" t="s">
        <v>10839</v>
      </c>
      <c r="AG6406" t="s">
        <v>10858</v>
      </c>
      <c r="AH6406" t="s">
        <v>10861</v>
      </c>
      <c r="AI6406">
        <v>234</v>
      </c>
      <c r="AJ6406" t="s">
        <v>10214</v>
      </c>
      <c r="AL6406">
        <v>1</v>
      </c>
      <c r="AR6406" t="s">
        <v>11322</v>
      </c>
      <c r="AS6406" t="s">
        <v>9926</v>
      </c>
      <c r="AT6406" t="s">
        <v>11641</v>
      </c>
      <c r="AX6406" t="s">
        <v>10838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</row>
    <row r="6407" spans="1:59">
      <c r="A6407" s="1">
        <f>HYPERLINK("https://lsnyc.legalserver.org/matter/dynamic-profile/view/1910746","19-1910746")</f>
        <v>0</v>
      </c>
      <c r="B6407" t="s">
        <v>4920</v>
      </c>
      <c r="C6407" t="s">
        <v>9828</v>
      </c>
      <c r="D6407" t="s">
        <v>9942</v>
      </c>
      <c r="E6407" t="s">
        <v>10075</v>
      </c>
      <c r="F6407">
        <v>11357</v>
      </c>
      <c r="G6407" t="s">
        <v>10092</v>
      </c>
      <c r="H6407" t="s">
        <v>10158</v>
      </c>
      <c r="I6407" t="s">
        <v>10168</v>
      </c>
      <c r="J6407" t="s">
        <v>10212</v>
      </c>
      <c r="K6407" t="s">
        <v>10217</v>
      </c>
      <c r="M6407" t="s">
        <v>10331</v>
      </c>
      <c r="N6407" t="s">
        <v>10675</v>
      </c>
      <c r="P6407" t="s">
        <v>10751</v>
      </c>
      <c r="Q6407" t="s">
        <v>10773</v>
      </c>
      <c r="R6407" t="s">
        <v>10827</v>
      </c>
      <c r="T6407">
        <v>2400</v>
      </c>
      <c r="U6407">
        <v>200</v>
      </c>
      <c r="V6407">
        <v>56</v>
      </c>
      <c r="W6407">
        <v>1</v>
      </c>
      <c r="X6407">
        <v>0</v>
      </c>
      <c r="Z6407">
        <v>19.22</v>
      </c>
      <c r="AA6407">
        <v>40.777118</v>
      </c>
      <c r="AB6407">
        <v>-73.823922</v>
      </c>
      <c r="AC6407" t="s">
        <v>10837</v>
      </c>
      <c r="AD6407" t="s">
        <v>10840</v>
      </c>
      <c r="AG6407" t="s">
        <v>10858</v>
      </c>
      <c r="AH6407" t="s">
        <v>10876</v>
      </c>
      <c r="AI6407">
        <v>237</v>
      </c>
      <c r="AJ6407" t="s">
        <v>10212</v>
      </c>
      <c r="AL6407">
        <v>3</v>
      </c>
      <c r="AM6407" t="s">
        <v>10890</v>
      </c>
      <c r="AN6407" t="s">
        <v>10927</v>
      </c>
      <c r="AO6407" t="s">
        <v>11022</v>
      </c>
      <c r="AP6407" t="s">
        <v>11067</v>
      </c>
      <c r="AR6407" t="s">
        <v>11303</v>
      </c>
      <c r="AS6407" t="s">
        <v>11594</v>
      </c>
      <c r="AT6407" t="s">
        <v>11642</v>
      </c>
      <c r="AX6407" t="s">
        <v>10838</v>
      </c>
      <c r="BA6407" t="s">
        <v>11739</v>
      </c>
      <c r="BB6407">
        <v>0</v>
      </c>
      <c r="BC6407">
        <v>0</v>
      </c>
      <c r="BD6407">
        <v>0</v>
      </c>
      <c r="BE6407">
        <v>0</v>
      </c>
      <c r="BF6407">
        <v>4</v>
      </c>
      <c r="BG6407">
        <v>0</v>
      </c>
    </row>
    <row r="6408" spans="1:59">
      <c r="A6408" s="1">
        <f>HYPERLINK("https://lsnyc.legalserver.org/matter/dynamic-profile/view/1910747","19-1910747")</f>
        <v>0</v>
      </c>
      <c r="B6408" t="s">
        <v>3415</v>
      </c>
      <c r="C6408" t="s">
        <v>8206</v>
      </c>
      <c r="D6408" t="s">
        <v>9929</v>
      </c>
      <c r="E6408" t="s">
        <v>10075</v>
      </c>
      <c r="F6408">
        <v>10301</v>
      </c>
      <c r="G6408" t="s">
        <v>10088</v>
      </c>
      <c r="H6408" t="s">
        <v>10158</v>
      </c>
      <c r="I6408" t="s">
        <v>10168</v>
      </c>
      <c r="J6408" t="s">
        <v>10208</v>
      </c>
      <c r="K6408" t="s">
        <v>10218</v>
      </c>
      <c r="L6408" t="s">
        <v>10223</v>
      </c>
      <c r="M6408" t="s">
        <v>10259</v>
      </c>
      <c r="N6408" t="s">
        <v>10654</v>
      </c>
      <c r="P6408" t="s">
        <v>10749</v>
      </c>
      <c r="Q6408" t="s">
        <v>10765</v>
      </c>
      <c r="R6408" t="s">
        <v>10820</v>
      </c>
      <c r="T6408">
        <v>10800</v>
      </c>
      <c r="U6408">
        <v>900</v>
      </c>
      <c r="V6408">
        <v>50</v>
      </c>
      <c r="W6408">
        <v>1</v>
      </c>
      <c r="X6408">
        <v>0</v>
      </c>
      <c r="Y6408" t="s">
        <v>10831</v>
      </c>
      <c r="Z6408">
        <v>86.47</v>
      </c>
      <c r="AA6408">
        <v>40.639461</v>
      </c>
      <c r="AB6408">
        <v>-74.077675</v>
      </c>
      <c r="AD6408" t="s">
        <v>10840</v>
      </c>
      <c r="AG6408" t="s">
        <v>10858</v>
      </c>
      <c r="AH6408" t="s">
        <v>10862</v>
      </c>
      <c r="AI6408">
        <v>285</v>
      </c>
      <c r="AJ6408" t="s">
        <v>10208</v>
      </c>
      <c r="AK6408" t="s">
        <v>10838</v>
      </c>
      <c r="AL6408">
        <v>1.4</v>
      </c>
      <c r="AM6408" t="s">
        <v>10883</v>
      </c>
      <c r="AN6408" t="s">
        <v>10913</v>
      </c>
      <c r="AO6408" t="s">
        <v>11006</v>
      </c>
      <c r="AP6408" t="s">
        <v>11051</v>
      </c>
      <c r="AR6408" t="s">
        <v>11296</v>
      </c>
      <c r="AS6408" t="s">
        <v>11593</v>
      </c>
      <c r="AY6408" t="s">
        <v>10831</v>
      </c>
      <c r="AZ6408" t="s">
        <v>11687</v>
      </c>
      <c r="BA6408" t="s">
        <v>11738</v>
      </c>
      <c r="BB6408">
        <v>0</v>
      </c>
      <c r="BC6408">
        <v>0</v>
      </c>
      <c r="BD6408">
        <v>0</v>
      </c>
      <c r="BE6408">
        <v>0</v>
      </c>
      <c r="BF6408">
        <v>5</v>
      </c>
      <c r="BG6408">
        <v>0</v>
      </c>
    </row>
    <row r="6409" spans="1:59">
      <c r="A6409" s="1">
        <f>HYPERLINK("https://lsnyc.legalserver.org/matter/dynamic-profile/view/1910748","19-1910748")</f>
        <v>0</v>
      </c>
      <c r="B6409" t="s">
        <v>4921</v>
      </c>
      <c r="C6409" t="s">
        <v>9829</v>
      </c>
      <c r="D6409" t="s">
        <v>9928</v>
      </c>
      <c r="E6409" t="s">
        <v>10075</v>
      </c>
      <c r="F6409">
        <v>11208</v>
      </c>
      <c r="G6409" t="s">
        <v>10093</v>
      </c>
      <c r="H6409" t="s">
        <v>10158</v>
      </c>
      <c r="I6409" t="s">
        <v>10168</v>
      </c>
      <c r="J6409" t="s">
        <v>10213</v>
      </c>
      <c r="K6409" t="s">
        <v>10217</v>
      </c>
      <c r="M6409" t="s">
        <v>10345</v>
      </c>
      <c r="N6409" t="s">
        <v>10650</v>
      </c>
      <c r="P6409" t="s">
        <v>10749</v>
      </c>
      <c r="Q6409" t="s">
        <v>10765</v>
      </c>
      <c r="R6409" t="s">
        <v>10824</v>
      </c>
      <c r="T6409">
        <v>9492</v>
      </c>
      <c r="U6409">
        <v>791</v>
      </c>
      <c r="V6409">
        <v>59</v>
      </c>
      <c r="W6409">
        <v>1</v>
      </c>
      <c r="X6409">
        <v>0</v>
      </c>
      <c r="Z6409">
        <v>76</v>
      </c>
      <c r="AA6409">
        <v>40.670339</v>
      </c>
      <c r="AB6409">
        <v>-73.865407</v>
      </c>
      <c r="AC6409" t="s">
        <v>10837</v>
      </c>
      <c r="AD6409" t="s">
        <v>10840</v>
      </c>
      <c r="AG6409" t="s">
        <v>10858</v>
      </c>
      <c r="AH6409" t="s">
        <v>10861</v>
      </c>
      <c r="AI6409">
        <v>234</v>
      </c>
      <c r="AJ6409" t="s">
        <v>10214</v>
      </c>
      <c r="AL6409">
        <v>2.25</v>
      </c>
      <c r="AR6409" t="s">
        <v>11318</v>
      </c>
      <c r="AS6409" t="s">
        <v>11595</v>
      </c>
      <c r="AT6409" t="s">
        <v>11642</v>
      </c>
      <c r="AX6409" t="s">
        <v>10838</v>
      </c>
      <c r="BA6409" t="s">
        <v>11742</v>
      </c>
      <c r="BB6409">
        <v>0</v>
      </c>
      <c r="BC6409">
        <v>0</v>
      </c>
      <c r="BD6409">
        <v>0</v>
      </c>
      <c r="BE6409">
        <v>0</v>
      </c>
      <c r="BF6409">
        <v>7</v>
      </c>
      <c r="BG6409">
        <v>0</v>
      </c>
    </row>
    <row r="6410" spans="1:59">
      <c r="A6410" s="1">
        <f>HYPERLINK("https://lsnyc.legalserver.org/matter/dynamic-profile/view/1910749","19-1910749")</f>
        <v>0</v>
      </c>
      <c r="B6410" t="s">
        <v>4922</v>
      </c>
      <c r="C6410" t="s">
        <v>9830</v>
      </c>
      <c r="D6410" t="s">
        <v>9956</v>
      </c>
      <c r="E6410" t="s">
        <v>10075</v>
      </c>
      <c r="F6410">
        <v>11365</v>
      </c>
      <c r="G6410" t="s">
        <v>10092</v>
      </c>
      <c r="H6410" t="s">
        <v>10158</v>
      </c>
      <c r="I6410" t="s">
        <v>10168</v>
      </c>
      <c r="J6410" t="s">
        <v>10212</v>
      </c>
      <c r="K6410" t="s">
        <v>10217</v>
      </c>
      <c r="M6410" t="s">
        <v>10642</v>
      </c>
      <c r="N6410" t="s">
        <v>10747</v>
      </c>
      <c r="P6410" t="s">
        <v>10754</v>
      </c>
      <c r="Q6410" t="s">
        <v>10766</v>
      </c>
      <c r="R6410" t="s">
        <v>10828</v>
      </c>
      <c r="T6410">
        <v>18200</v>
      </c>
      <c r="U6410">
        <v>1516.67</v>
      </c>
      <c r="V6410">
        <v>48</v>
      </c>
      <c r="W6410">
        <v>3</v>
      </c>
      <c r="X6410">
        <v>0</v>
      </c>
      <c r="Z6410">
        <v>85.33</v>
      </c>
      <c r="AA6410">
        <v>40.733723</v>
      </c>
      <c r="AB6410">
        <v>-73.810929</v>
      </c>
      <c r="AD6410" t="s">
        <v>10839</v>
      </c>
      <c r="AG6410" t="s">
        <v>10858</v>
      </c>
      <c r="AH6410" t="s">
        <v>10865</v>
      </c>
      <c r="AI6410">
        <v>237</v>
      </c>
      <c r="AJ6410" t="s">
        <v>10212</v>
      </c>
      <c r="AL6410">
        <v>1.1</v>
      </c>
      <c r="AM6410" t="s">
        <v>10890</v>
      </c>
      <c r="AN6410" t="s">
        <v>10962</v>
      </c>
      <c r="AO6410" t="s">
        <v>11009</v>
      </c>
      <c r="AP6410" t="s">
        <v>11081</v>
      </c>
      <c r="AR6410" t="s">
        <v>11262</v>
      </c>
      <c r="AS6410" t="s">
        <v>11594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</row>
    <row r="6411" spans="1:59">
      <c r="A6411" s="1">
        <f>HYPERLINK("https://lsnyc.legalserver.org/matter/dynamic-profile/view/1910750","19-1910750")</f>
        <v>0</v>
      </c>
      <c r="B6411" t="s">
        <v>2889</v>
      </c>
      <c r="C6411" t="s">
        <v>9831</v>
      </c>
      <c r="D6411" t="s">
        <v>9932</v>
      </c>
      <c r="E6411" t="s">
        <v>10075</v>
      </c>
      <c r="F6411">
        <v>11368</v>
      </c>
      <c r="G6411" t="s">
        <v>10092</v>
      </c>
      <c r="H6411" t="s">
        <v>10158</v>
      </c>
      <c r="I6411" t="s">
        <v>10169</v>
      </c>
      <c r="J6411" t="s">
        <v>10212</v>
      </c>
      <c r="K6411" t="s">
        <v>10217</v>
      </c>
      <c r="M6411" t="s">
        <v>10547</v>
      </c>
      <c r="N6411" t="s">
        <v>10671</v>
      </c>
      <c r="P6411" t="s">
        <v>10753</v>
      </c>
      <c r="Q6411" t="s">
        <v>10763</v>
      </c>
      <c r="R6411" t="s">
        <v>10821</v>
      </c>
      <c r="T6411">
        <v>9600</v>
      </c>
      <c r="U6411">
        <v>800</v>
      </c>
      <c r="V6411">
        <v>40</v>
      </c>
      <c r="W6411">
        <v>1</v>
      </c>
      <c r="X6411">
        <v>0</v>
      </c>
      <c r="Z6411">
        <v>76.86</v>
      </c>
      <c r="AA6411">
        <v>40.736029</v>
      </c>
      <c r="AB6411">
        <v>-73.85992299999999</v>
      </c>
      <c r="AD6411" t="s">
        <v>10839</v>
      </c>
      <c r="AF6411" t="s">
        <v>10843</v>
      </c>
      <c r="AG6411" t="s">
        <v>10859</v>
      </c>
      <c r="AH6411" t="s">
        <v>10861</v>
      </c>
      <c r="AI6411">
        <v>234</v>
      </c>
      <c r="AJ6411" t="s">
        <v>10214</v>
      </c>
      <c r="AL6411">
        <v>0.5</v>
      </c>
      <c r="AM6411" t="s">
        <v>10885</v>
      </c>
      <c r="AN6411" t="s">
        <v>10916</v>
      </c>
      <c r="AO6411" t="s">
        <v>11014</v>
      </c>
      <c r="AP6411" t="s">
        <v>11068</v>
      </c>
      <c r="AR6411" t="s">
        <v>11274</v>
      </c>
      <c r="AS6411" t="s">
        <v>11594</v>
      </c>
      <c r="AT6411" t="s">
        <v>11641</v>
      </c>
      <c r="AX6411" t="s">
        <v>10838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</row>
    <row r="6412" spans="1:59">
      <c r="A6412" s="1">
        <f>HYPERLINK("https://lsnyc.legalserver.org/matter/dynamic-profile/view/1910751","19-1910751")</f>
        <v>0</v>
      </c>
      <c r="B6412" t="s">
        <v>381</v>
      </c>
      <c r="C6412" t="s">
        <v>9832</v>
      </c>
      <c r="D6412" t="s">
        <v>9926</v>
      </c>
      <c r="E6412" t="s">
        <v>10075</v>
      </c>
      <c r="F6412">
        <v>10475</v>
      </c>
      <c r="G6412" t="s">
        <v>10091</v>
      </c>
      <c r="H6412" t="s">
        <v>10158</v>
      </c>
      <c r="I6412" t="s">
        <v>10169</v>
      </c>
      <c r="J6412" t="s">
        <v>10214</v>
      </c>
      <c r="K6412" t="s">
        <v>10217</v>
      </c>
      <c r="M6412" t="s">
        <v>10550</v>
      </c>
      <c r="N6412" t="s">
        <v>10671</v>
      </c>
      <c r="P6412" t="s">
        <v>10753</v>
      </c>
      <c r="Q6412" t="s">
        <v>10763</v>
      </c>
      <c r="R6412" t="s">
        <v>10821</v>
      </c>
      <c r="T6412">
        <v>0</v>
      </c>
      <c r="U6412">
        <v>0</v>
      </c>
      <c r="V6412">
        <v>38</v>
      </c>
      <c r="W6412">
        <v>1</v>
      </c>
      <c r="X6412">
        <v>1</v>
      </c>
      <c r="Z6412">
        <v>0</v>
      </c>
      <c r="AA6412">
        <v>40.881954</v>
      </c>
      <c r="AB6412">
        <v>-73.828104</v>
      </c>
      <c r="AD6412" t="s">
        <v>10839</v>
      </c>
      <c r="AF6412" t="s">
        <v>10842</v>
      </c>
      <c r="AG6412" t="s">
        <v>10859</v>
      </c>
      <c r="AH6412" t="s">
        <v>10861</v>
      </c>
      <c r="AI6412">
        <v>234</v>
      </c>
      <c r="AJ6412" t="s">
        <v>10214</v>
      </c>
      <c r="AL6412">
        <v>0.3</v>
      </c>
      <c r="AQ6412" t="s">
        <v>11140</v>
      </c>
      <c r="AR6412" t="s">
        <v>11267</v>
      </c>
      <c r="AS6412" t="s">
        <v>9926</v>
      </c>
      <c r="BA6412" t="s">
        <v>11739</v>
      </c>
      <c r="BB6412">
        <v>0</v>
      </c>
      <c r="BC6412">
        <v>0</v>
      </c>
      <c r="BD6412">
        <v>0</v>
      </c>
      <c r="BE6412">
        <v>0</v>
      </c>
      <c r="BF6412">
        <v>4</v>
      </c>
      <c r="BG6412">
        <v>0</v>
      </c>
    </row>
    <row r="6413" spans="1:59">
      <c r="A6413" s="1">
        <f>HYPERLINK("https://lsnyc.legalserver.org/matter/dynamic-profile/view/1910752","19-1910752")</f>
        <v>0</v>
      </c>
      <c r="B6413" t="s">
        <v>4923</v>
      </c>
      <c r="C6413" t="s">
        <v>9833</v>
      </c>
      <c r="D6413" t="s">
        <v>9937</v>
      </c>
      <c r="E6413" t="s">
        <v>10075</v>
      </c>
      <c r="F6413">
        <v>11412</v>
      </c>
      <c r="G6413" t="s">
        <v>10092</v>
      </c>
      <c r="H6413" t="s">
        <v>10158</v>
      </c>
      <c r="I6413" t="s">
        <v>10169</v>
      </c>
      <c r="J6413" t="s">
        <v>10212</v>
      </c>
      <c r="K6413" t="s">
        <v>10217</v>
      </c>
      <c r="M6413" t="s">
        <v>10461</v>
      </c>
      <c r="N6413" t="s">
        <v>10673</v>
      </c>
      <c r="P6413" t="s">
        <v>10753</v>
      </c>
      <c r="Q6413" t="s">
        <v>10763</v>
      </c>
      <c r="R6413" t="s">
        <v>10823</v>
      </c>
      <c r="T6413">
        <v>24000</v>
      </c>
      <c r="U6413">
        <v>2000</v>
      </c>
      <c r="V6413">
        <v>24</v>
      </c>
      <c r="W6413">
        <v>2</v>
      </c>
      <c r="X6413">
        <v>1</v>
      </c>
      <c r="Z6413">
        <v>112.52</v>
      </c>
      <c r="AA6413">
        <v>40.704332</v>
      </c>
      <c r="AB6413">
        <v>-73.767098</v>
      </c>
      <c r="AD6413" t="s">
        <v>10839</v>
      </c>
      <c r="AF6413" t="s">
        <v>10842</v>
      </c>
      <c r="AG6413" t="s">
        <v>10859</v>
      </c>
      <c r="AH6413" t="s">
        <v>10865</v>
      </c>
      <c r="AI6413">
        <v>237</v>
      </c>
      <c r="AJ6413" t="s">
        <v>10212</v>
      </c>
      <c r="AL6413">
        <v>3.15</v>
      </c>
      <c r="AM6413" t="s">
        <v>10892</v>
      </c>
      <c r="AN6413" t="s">
        <v>10940</v>
      </c>
      <c r="AO6413" t="s">
        <v>11020</v>
      </c>
      <c r="AP6413" t="s">
        <v>11075</v>
      </c>
      <c r="AQ6413" t="s">
        <v>11109</v>
      </c>
      <c r="AR6413" t="s">
        <v>11257</v>
      </c>
      <c r="AS6413" t="s">
        <v>11594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</row>
    <row r="6414" spans="1:59">
      <c r="A6414" s="1">
        <f>HYPERLINK("https://lsnyc.legalserver.org/matter/dynamic-profile/view/1910753","19-1910753")</f>
        <v>0</v>
      </c>
      <c r="B6414" t="s">
        <v>4924</v>
      </c>
      <c r="C6414" t="s">
        <v>9834</v>
      </c>
      <c r="D6414" t="s">
        <v>9926</v>
      </c>
      <c r="E6414" t="s">
        <v>10075</v>
      </c>
      <c r="F6414">
        <v>10469</v>
      </c>
      <c r="G6414" t="s">
        <v>10090</v>
      </c>
      <c r="H6414" t="s">
        <v>10158</v>
      </c>
      <c r="I6414" t="s">
        <v>10169</v>
      </c>
      <c r="J6414" t="s">
        <v>10210</v>
      </c>
      <c r="K6414" t="s">
        <v>10217</v>
      </c>
      <c r="M6414" t="s">
        <v>10569</v>
      </c>
      <c r="N6414" t="s">
        <v>10671</v>
      </c>
      <c r="P6414" t="s">
        <v>10751</v>
      </c>
      <c r="Q6414" t="s">
        <v>10768</v>
      </c>
      <c r="R6414" t="s">
        <v>10821</v>
      </c>
      <c r="T6414">
        <v>33280</v>
      </c>
      <c r="U6414">
        <v>2773.33</v>
      </c>
      <c r="V6414">
        <v>52</v>
      </c>
      <c r="W6414">
        <v>2</v>
      </c>
      <c r="X6414">
        <v>1</v>
      </c>
      <c r="Z6414">
        <v>156.02</v>
      </c>
      <c r="AA6414">
        <v>40.868307</v>
      </c>
      <c r="AB6414">
        <v>-73.86168499999999</v>
      </c>
      <c r="AD6414" t="s">
        <v>10839</v>
      </c>
      <c r="AG6414" t="s">
        <v>10858</v>
      </c>
      <c r="AH6414" t="s">
        <v>10861</v>
      </c>
      <c r="AI6414">
        <v>234</v>
      </c>
      <c r="AJ6414" t="s">
        <v>10214</v>
      </c>
      <c r="AL6414">
        <v>1.15</v>
      </c>
      <c r="AM6414" t="s">
        <v>10885</v>
      </c>
      <c r="AN6414" t="s">
        <v>10938</v>
      </c>
      <c r="AO6414" t="s">
        <v>11010</v>
      </c>
      <c r="AP6414" t="s">
        <v>11085</v>
      </c>
      <c r="AR6414" t="s">
        <v>11262</v>
      </c>
      <c r="AS6414" t="s">
        <v>9926</v>
      </c>
      <c r="AT6414" t="s">
        <v>11641</v>
      </c>
      <c r="AX6414" t="s">
        <v>10838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</row>
    <row r="6415" spans="1:59">
      <c r="A6415" s="1">
        <f>HYPERLINK("https://lsnyc.legalserver.org/matter/dynamic-profile/view/1910755","19-1910755")</f>
        <v>0</v>
      </c>
      <c r="B6415" t="s">
        <v>4925</v>
      </c>
      <c r="D6415" t="s">
        <v>9935</v>
      </c>
      <c r="E6415" t="s">
        <v>10075</v>
      </c>
      <c r="F6415">
        <v>11370</v>
      </c>
      <c r="G6415" t="s">
        <v>10092</v>
      </c>
      <c r="H6415" t="s">
        <v>10158</v>
      </c>
      <c r="I6415" t="s">
        <v>10168</v>
      </c>
      <c r="J6415" t="s">
        <v>10212</v>
      </c>
      <c r="K6415" t="s">
        <v>10217</v>
      </c>
      <c r="M6415" t="s">
        <v>10461</v>
      </c>
      <c r="N6415" t="s">
        <v>10713</v>
      </c>
      <c r="P6415" t="s">
        <v>10753</v>
      </c>
      <c r="Q6415" t="s">
        <v>10763</v>
      </c>
      <c r="R6415" t="s">
        <v>10823</v>
      </c>
      <c r="T6415">
        <v>0</v>
      </c>
      <c r="U6415">
        <v>0</v>
      </c>
      <c r="V6415">
        <v>21</v>
      </c>
      <c r="W6415">
        <v>1</v>
      </c>
      <c r="X6415">
        <v>0</v>
      </c>
      <c r="Z6415">
        <v>0</v>
      </c>
      <c r="AA6415">
        <v>0</v>
      </c>
      <c r="AB6415">
        <v>0</v>
      </c>
      <c r="AD6415" t="s">
        <v>10839</v>
      </c>
      <c r="AF6415" t="s">
        <v>10844</v>
      </c>
      <c r="AG6415" t="s">
        <v>10859</v>
      </c>
      <c r="AH6415" t="s">
        <v>10865</v>
      </c>
      <c r="AI6415">
        <v>237</v>
      </c>
      <c r="AJ6415" t="s">
        <v>10212</v>
      </c>
      <c r="AL6415">
        <v>1</v>
      </c>
      <c r="AQ6415" t="s">
        <v>11096</v>
      </c>
      <c r="AR6415" t="s">
        <v>11267</v>
      </c>
      <c r="AS6415" t="s">
        <v>11594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</row>
    <row r="6416" spans="1:59">
      <c r="A6416" s="1">
        <f>HYPERLINK("https://lsnyc.legalserver.org/matter/dynamic-profile/view/1910756","19-1910756")</f>
        <v>0</v>
      </c>
      <c r="B6416" t="s">
        <v>4926</v>
      </c>
      <c r="C6416" t="s">
        <v>9835</v>
      </c>
      <c r="D6416" t="s">
        <v>9933</v>
      </c>
      <c r="E6416" t="s">
        <v>10075</v>
      </c>
      <c r="F6416">
        <v>11420</v>
      </c>
      <c r="G6416" t="s">
        <v>10092</v>
      </c>
      <c r="H6416" t="s">
        <v>10158</v>
      </c>
      <c r="I6416" t="s">
        <v>10168</v>
      </c>
      <c r="J6416" t="s">
        <v>10212</v>
      </c>
      <c r="K6416" t="s">
        <v>10217</v>
      </c>
      <c r="M6416" t="s">
        <v>10285</v>
      </c>
      <c r="N6416" t="s">
        <v>10695</v>
      </c>
      <c r="P6416" t="s">
        <v>10749</v>
      </c>
      <c r="Q6416" t="s">
        <v>10765</v>
      </c>
      <c r="R6416" t="s">
        <v>10827</v>
      </c>
      <c r="T6416">
        <v>20000</v>
      </c>
      <c r="U6416">
        <v>1666.67</v>
      </c>
      <c r="V6416">
        <v>39</v>
      </c>
      <c r="W6416">
        <v>2</v>
      </c>
      <c r="X6416">
        <v>0</v>
      </c>
      <c r="Z6416">
        <v>118.27</v>
      </c>
      <c r="AA6416">
        <v>40.678986</v>
      </c>
      <c r="AB6416">
        <v>-73.820948</v>
      </c>
      <c r="AD6416" t="s">
        <v>10840</v>
      </c>
      <c r="AF6416" t="s">
        <v>10843</v>
      </c>
      <c r="AG6416" t="s">
        <v>10859</v>
      </c>
      <c r="AH6416" t="s">
        <v>10862</v>
      </c>
      <c r="AI6416">
        <v>237</v>
      </c>
      <c r="AJ6416" t="s">
        <v>10212</v>
      </c>
      <c r="AL6416">
        <v>1.42</v>
      </c>
      <c r="AR6416" t="s">
        <v>11257</v>
      </c>
      <c r="AS6416" t="s">
        <v>11594</v>
      </c>
      <c r="BA6416" t="s">
        <v>11740</v>
      </c>
      <c r="BB6416">
        <v>0</v>
      </c>
      <c r="BC6416">
        <v>0</v>
      </c>
      <c r="BD6416">
        <v>0</v>
      </c>
      <c r="BE6416">
        <v>0</v>
      </c>
      <c r="BF6416">
        <v>2</v>
      </c>
      <c r="BG6416">
        <v>0</v>
      </c>
    </row>
    <row r="6417" spans="1:59">
      <c r="A6417" s="1">
        <f>HYPERLINK("https://lsnyc.legalserver.org/matter/dynamic-profile/view/1910757","19-1910757")</f>
        <v>0</v>
      </c>
      <c r="B6417" t="s">
        <v>3269</v>
      </c>
      <c r="C6417" t="s">
        <v>9836</v>
      </c>
      <c r="D6417" t="s">
        <v>9926</v>
      </c>
      <c r="E6417" t="s">
        <v>10075</v>
      </c>
      <c r="F6417">
        <v>10455</v>
      </c>
      <c r="G6417" t="s">
        <v>10091</v>
      </c>
      <c r="H6417" t="s">
        <v>10158</v>
      </c>
      <c r="I6417" t="s">
        <v>10169</v>
      </c>
      <c r="J6417" t="s">
        <v>10214</v>
      </c>
      <c r="K6417" t="s">
        <v>10217</v>
      </c>
      <c r="M6417" t="s">
        <v>10537</v>
      </c>
      <c r="N6417" t="s">
        <v>10671</v>
      </c>
      <c r="P6417" t="s">
        <v>10753</v>
      </c>
      <c r="Q6417" t="s">
        <v>10763</v>
      </c>
      <c r="R6417" t="s">
        <v>10821</v>
      </c>
      <c r="T6417">
        <v>31200</v>
      </c>
      <c r="U6417">
        <v>2600</v>
      </c>
      <c r="V6417">
        <v>40</v>
      </c>
      <c r="W6417">
        <v>2</v>
      </c>
      <c r="X6417">
        <v>0</v>
      </c>
      <c r="Z6417">
        <v>184.51</v>
      </c>
      <c r="AA6417">
        <v>40.81434</v>
      </c>
      <c r="AB6417">
        <v>-73.898715</v>
      </c>
      <c r="AD6417" t="s">
        <v>10839</v>
      </c>
      <c r="AF6417" t="s">
        <v>10843</v>
      </c>
      <c r="AG6417" t="s">
        <v>10859</v>
      </c>
      <c r="AH6417" t="s">
        <v>10861</v>
      </c>
      <c r="AI6417">
        <v>234</v>
      </c>
      <c r="AJ6417" t="s">
        <v>10214</v>
      </c>
      <c r="AL6417">
        <v>0.5</v>
      </c>
      <c r="AM6417" t="s">
        <v>10884</v>
      </c>
      <c r="AN6417" t="s">
        <v>10968</v>
      </c>
      <c r="AO6417" t="s">
        <v>11001</v>
      </c>
      <c r="AP6417" t="s">
        <v>11066</v>
      </c>
      <c r="AR6417" t="s">
        <v>11257</v>
      </c>
      <c r="AS6417" t="s">
        <v>9926</v>
      </c>
      <c r="AT6417" t="s">
        <v>11641</v>
      </c>
      <c r="AX6417" t="s">
        <v>10837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</row>
    <row r="6418" spans="1:59">
      <c r="A6418" s="1">
        <f>HYPERLINK("https://lsnyc.legalserver.org/matter/dynamic-profile/view/1910758","19-1910758")</f>
        <v>0</v>
      </c>
      <c r="B6418" t="s">
        <v>4927</v>
      </c>
      <c r="C6418" t="s">
        <v>9837</v>
      </c>
      <c r="D6418" t="s">
        <v>9928</v>
      </c>
      <c r="E6418" t="s">
        <v>10075</v>
      </c>
      <c r="F6418">
        <v>11237</v>
      </c>
      <c r="G6418" t="s">
        <v>10093</v>
      </c>
      <c r="H6418" t="s">
        <v>10116</v>
      </c>
      <c r="I6418" t="s">
        <v>10168</v>
      </c>
      <c r="J6418" t="s">
        <v>10213</v>
      </c>
      <c r="K6418" t="s">
        <v>10217</v>
      </c>
      <c r="M6418" t="s">
        <v>10344</v>
      </c>
      <c r="N6418" t="s">
        <v>10657</v>
      </c>
      <c r="P6418" t="s">
        <v>10749</v>
      </c>
      <c r="Q6418" t="s">
        <v>10765</v>
      </c>
      <c r="R6418" t="s">
        <v>10823</v>
      </c>
      <c r="T6418">
        <v>24000</v>
      </c>
      <c r="U6418">
        <v>2000</v>
      </c>
      <c r="V6418">
        <v>48</v>
      </c>
      <c r="W6418">
        <v>1</v>
      </c>
      <c r="X6418">
        <v>0</v>
      </c>
      <c r="Z6418">
        <v>192.15</v>
      </c>
      <c r="AA6418">
        <v>40.706313</v>
      </c>
      <c r="AB6418">
        <v>-73.928933</v>
      </c>
      <c r="AD6418" t="s">
        <v>10839</v>
      </c>
      <c r="AG6418" t="s">
        <v>10858</v>
      </c>
      <c r="AH6418" t="s">
        <v>10862</v>
      </c>
      <c r="AI6418">
        <v>239</v>
      </c>
      <c r="AJ6418" t="s">
        <v>10213</v>
      </c>
      <c r="AL6418">
        <v>2</v>
      </c>
      <c r="AM6418" t="s">
        <v>10886</v>
      </c>
      <c r="AN6418" t="s">
        <v>10942</v>
      </c>
      <c r="AO6418" t="s">
        <v>11011</v>
      </c>
      <c r="AP6418" t="s">
        <v>11071</v>
      </c>
      <c r="AQ6418" t="s">
        <v>11120</v>
      </c>
      <c r="AR6418" t="s">
        <v>11257</v>
      </c>
      <c r="AS6418" t="s">
        <v>11595</v>
      </c>
      <c r="AT6418" t="s">
        <v>11641</v>
      </c>
      <c r="AX6418" t="s">
        <v>10838</v>
      </c>
      <c r="BA6418" t="s">
        <v>11738</v>
      </c>
      <c r="BB6418">
        <v>0</v>
      </c>
      <c r="BC6418">
        <v>0</v>
      </c>
      <c r="BD6418">
        <v>0</v>
      </c>
      <c r="BE6418">
        <v>0</v>
      </c>
      <c r="BF6418">
        <v>5</v>
      </c>
      <c r="BG6418">
        <v>0</v>
      </c>
    </row>
    <row r="6419" spans="1:59">
      <c r="A6419" s="1">
        <f>HYPERLINK("https://lsnyc.legalserver.org/matter/dynamic-profile/view/1910759","19-1910759")</f>
        <v>0</v>
      </c>
      <c r="B6419" t="s">
        <v>4928</v>
      </c>
      <c r="C6419" t="s">
        <v>9838</v>
      </c>
      <c r="D6419" t="s">
        <v>9928</v>
      </c>
      <c r="E6419" t="s">
        <v>10075</v>
      </c>
      <c r="F6419">
        <v>11213</v>
      </c>
      <c r="G6419" t="s">
        <v>10093</v>
      </c>
      <c r="H6419" t="s">
        <v>10099</v>
      </c>
      <c r="I6419" t="s">
        <v>10168</v>
      </c>
      <c r="J6419" t="s">
        <v>10213</v>
      </c>
      <c r="K6419" t="s">
        <v>10218</v>
      </c>
      <c r="L6419" t="s">
        <v>10158</v>
      </c>
      <c r="M6419" t="s">
        <v>10264</v>
      </c>
      <c r="N6419" t="s">
        <v>10657</v>
      </c>
      <c r="P6419" t="s">
        <v>10749</v>
      </c>
      <c r="Q6419" t="s">
        <v>10765</v>
      </c>
      <c r="R6419" t="s">
        <v>10824</v>
      </c>
      <c r="T6419">
        <v>9396</v>
      </c>
      <c r="U6419">
        <v>783</v>
      </c>
      <c r="V6419">
        <v>71</v>
      </c>
      <c r="W6419">
        <v>1</v>
      </c>
      <c r="X6419">
        <v>0</v>
      </c>
      <c r="Y6419" t="s">
        <v>10829</v>
      </c>
      <c r="Z6419">
        <v>75.23</v>
      </c>
      <c r="AA6419">
        <v>40.678846</v>
      </c>
      <c r="AB6419">
        <v>-73.94047999999999</v>
      </c>
      <c r="AD6419" t="s">
        <v>10839</v>
      </c>
      <c r="AG6419" t="s">
        <v>10858</v>
      </c>
      <c r="AH6419" t="s">
        <v>10862</v>
      </c>
      <c r="AI6419">
        <v>239</v>
      </c>
      <c r="AJ6419" t="s">
        <v>10213</v>
      </c>
      <c r="AK6419" t="s">
        <v>10838</v>
      </c>
      <c r="AL6419">
        <v>1.8</v>
      </c>
      <c r="AM6419" t="s">
        <v>10889</v>
      </c>
      <c r="AN6419" t="s">
        <v>10914</v>
      </c>
      <c r="AO6419" t="s">
        <v>11007</v>
      </c>
      <c r="AP6419" t="s">
        <v>11052</v>
      </c>
      <c r="AQ6419" t="s">
        <v>11120</v>
      </c>
      <c r="AR6419" t="s">
        <v>11268</v>
      </c>
      <c r="AS6419" t="s">
        <v>11595</v>
      </c>
      <c r="AT6419" t="s">
        <v>11641</v>
      </c>
      <c r="AY6419" t="s">
        <v>10829</v>
      </c>
      <c r="AZ6419" t="s">
        <v>11681</v>
      </c>
      <c r="BA6419" t="s">
        <v>11741</v>
      </c>
      <c r="BB6419">
        <v>0</v>
      </c>
      <c r="BC6419">
        <v>0</v>
      </c>
      <c r="BD6419">
        <v>0</v>
      </c>
      <c r="BE6419">
        <v>0</v>
      </c>
      <c r="BF6419">
        <v>1</v>
      </c>
      <c r="BG6419">
        <v>0</v>
      </c>
    </row>
    <row r="6420" spans="1:59">
      <c r="A6420" s="1">
        <f>HYPERLINK("https://lsnyc.legalserver.org/matter/dynamic-profile/view/1910760","19-1910760")</f>
        <v>0</v>
      </c>
      <c r="B6420" t="s">
        <v>4929</v>
      </c>
      <c r="C6420" t="s">
        <v>9839</v>
      </c>
      <c r="D6420" t="s">
        <v>9951</v>
      </c>
      <c r="E6420" t="s">
        <v>10075</v>
      </c>
      <c r="F6420">
        <v>11417</v>
      </c>
      <c r="G6420" t="s">
        <v>10092</v>
      </c>
      <c r="H6420" t="s">
        <v>10158</v>
      </c>
      <c r="I6420" t="s">
        <v>10168</v>
      </c>
      <c r="J6420" t="s">
        <v>10212</v>
      </c>
      <c r="K6420" t="s">
        <v>10217</v>
      </c>
      <c r="M6420" t="s">
        <v>10318</v>
      </c>
      <c r="N6420" t="s">
        <v>10684</v>
      </c>
      <c r="P6420" t="s">
        <v>10751</v>
      </c>
      <c r="Q6420" t="s">
        <v>10786</v>
      </c>
      <c r="R6420" t="s">
        <v>10827</v>
      </c>
      <c r="T6420">
        <v>10296</v>
      </c>
      <c r="U6420">
        <v>858</v>
      </c>
      <c r="V6420">
        <v>70</v>
      </c>
      <c r="W6420">
        <v>1</v>
      </c>
      <c r="X6420">
        <v>0</v>
      </c>
      <c r="Z6420">
        <v>82.43000000000001</v>
      </c>
      <c r="AA6420">
        <v>40.680933</v>
      </c>
      <c r="AB6420">
        <v>-73.837729</v>
      </c>
      <c r="AD6420" t="s">
        <v>10839</v>
      </c>
      <c r="AG6420" t="s">
        <v>10858</v>
      </c>
      <c r="AH6420" t="s">
        <v>10873</v>
      </c>
      <c r="AI6420">
        <v>237</v>
      </c>
      <c r="AJ6420" t="s">
        <v>10212</v>
      </c>
      <c r="AL6420">
        <v>2</v>
      </c>
      <c r="AM6420" t="s">
        <v>10892</v>
      </c>
      <c r="AN6420" t="s">
        <v>10945</v>
      </c>
      <c r="AO6420" t="s">
        <v>11017</v>
      </c>
      <c r="AP6420" t="s">
        <v>11088</v>
      </c>
      <c r="AR6420" t="s">
        <v>11263</v>
      </c>
      <c r="AS6420" t="s">
        <v>11594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</row>
    <row r="6421" spans="1:59">
      <c r="A6421" s="1">
        <f>HYPERLINK("https://lsnyc.legalserver.org/matter/dynamic-profile/view/1910761","19-1910761")</f>
        <v>0</v>
      </c>
      <c r="B6421" t="s">
        <v>4930</v>
      </c>
      <c r="C6421" t="s">
        <v>9840</v>
      </c>
      <c r="D6421" t="s">
        <v>9928</v>
      </c>
      <c r="E6421" t="s">
        <v>10075</v>
      </c>
      <c r="F6421">
        <v>11206</v>
      </c>
      <c r="G6421" t="s">
        <v>10093</v>
      </c>
      <c r="H6421" t="s">
        <v>10158</v>
      </c>
      <c r="I6421" t="s">
        <v>10168</v>
      </c>
      <c r="J6421" t="s">
        <v>10213</v>
      </c>
      <c r="K6421" t="s">
        <v>10217</v>
      </c>
      <c r="M6421" t="s">
        <v>10435</v>
      </c>
      <c r="N6421" t="s">
        <v>10671</v>
      </c>
      <c r="P6421" t="s">
        <v>10750</v>
      </c>
      <c r="Q6421" t="s">
        <v>10799</v>
      </c>
      <c r="R6421" t="s">
        <v>10824</v>
      </c>
      <c r="T6421">
        <v>15600</v>
      </c>
      <c r="U6421">
        <v>1300</v>
      </c>
      <c r="V6421">
        <v>34</v>
      </c>
      <c r="W6421">
        <v>1</v>
      </c>
      <c r="X6421">
        <v>0</v>
      </c>
      <c r="Z6421">
        <v>124.9</v>
      </c>
      <c r="AA6421">
        <v>40.700938</v>
      </c>
      <c r="AB6421">
        <v>-73.939463</v>
      </c>
      <c r="AD6421" t="s">
        <v>10840</v>
      </c>
      <c r="AG6421" t="s">
        <v>10858</v>
      </c>
      <c r="AH6421" t="s">
        <v>10861</v>
      </c>
      <c r="AI6421">
        <v>234</v>
      </c>
      <c r="AJ6421" t="s">
        <v>10214</v>
      </c>
      <c r="AL6421">
        <v>1</v>
      </c>
      <c r="AM6421" t="s">
        <v>10886</v>
      </c>
      <c r="AN6421" t="s">
        <v>10942</v>
      </c>
      <c r="AO6421" t="s">
        <v>11011</v>
      </c>
      <c r="AP6421" t="s">
        <v>11071</v>
      </c>
      <c r="AR6421" t="s">
        <v>11257</v>
      </c>
      <c r="AS6421" t="s">
        <v>11595</v>
      </c>
      <c r="AT6421" t="s">
        <v>11642</v>
      </c>
      <c r="AX6421" t="s">
        <v>10838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</row>
    <row r="6422" spans="1:59">
      <c r="A6422" s="1">
        <f>HYPERLINK("https://lsnyc.legalserver.org/matter/dynamic-profile/view/1910762","19-1910762")</f>
        <v>0</v>
      </c>
      <c r="B6422" t="s">
        <v>4931</v>
      </c>
      <c r="C6422" t="s">
        <v>9841</v>
      </c>
      <c r="D6422" t="s">
        <v>9925</v>
      </c>
      <c r="E6422" t="s">
        <v>10075</v>
      </c>
      <c r="F6422">
        <v>10030</v>
      </c>
      <c r="G6422" t="s">
        <v>10089</v>
      </c>
      <c r="H6422" t="s">
        <v>10158</v>
      </c>
      <c r="I6422" t="s">
        <v>10168</v>
      </c>
      <c r="J6422" t="s">
        <v>10209</v>
      </c>
      <c r="K6422" t="s">
        <v>10217</v>
      </c>
      <c r="M6422" t="s">
        <v>10305</v>
      </c>
      <c r="N6422" t="s">
        <v>10691</v>
      </c>
      <c r="P6422" t="s">
        <v>10752</v>
      </c>
      <c r="Q6422" t="s">
        <v>10811</v>
      </c>
      <c r="R6422" t="s">
        <v>10824</v>
      </c>
      <c r="T6422">
        <v>3588</v>
      </c>
      <c r="U6422">
        <v>299</v>
      </c>
      <c r="V6422">
        <v>54</v>
      </c>
      <c r="W6422">
        <v>1</v>
      </c>
      <c r="X6422">
        <v>1</v>
      </c>
      <c r="Z6422">
        <v>21.22</v>
      </c>
      <c r="AA6422">
        <v>40.816651</v>
      </c>
      <c r="AB6422">
        <v>-73.943167</v>
      </c>
      <c r="AD6422" t="s">
        <v>10839</v>
      </c>
      <c r="AG6422" t="s">
        <v>10858</v>
      </c>
      <c r="AH6422" t="s">
        <v>10861</v>
      </c>
      <c r="AI6422">
        <v>236</v>
      </c>
      <c r="AJ6422" t="s">
        <v>10209</v>
      </c>
      <c r="AL6422">
        <v>0.2</v>
      </c>
      <c r="AM6422" t="s">
        <v>10887</v>
      </c>
      <c r="AN6422" t="s">
        <v>10936</v>
      </c>
      <c r="AO6422" t="s">
        <v>11016</v>
      </c>
      <c r="AP6422" t="s">
        <v>11076</v>
      </c>
      <c r="AQ6422" t="s">
        <v>11240</v>
      </c>
      <c r="AR6422" t="s">
        <v>11262</v>
      </c>
      <c r="AS6422" t="s">
        <v>9925</v>
      </c>
      <c r="AT6422" t="s">
        <v>11641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</row>
    <row r="6423" spans="1:59">
      <c r="A6423" s="1">
        <f>HYPERLINK("https://lsnyc.legalserver.org/matter/dynamic-profile/view/1910763","19-1910763")</f>
        <v>0</v>
      </c>
      <c r="B6423" t="s">
        <v>4932</v>
      </c>
      <c r="C6423" t="s">
        <v>9842</v>
      </c>
      <c r="D6423" t="s">
        <v>9926</v>
      </c>
      <c r="E6423" t="s">
        <v>10075</v>
      </c>
      <c r="F6423">
        <v>10467</v>
      </c>
      <c r="G6423" t="s">
        <v>10090</v>
      </c>
      <c r="H6423" t="s">
        <v>10158</v>
      </c>
      <c r="I6423" t="s">
        <v>10169</v>
      </c>
      <c r="J6423" t="s">
        <v>10210</v>
      </c>
      <c r="K6423" t="s">
        <v>10217</v>
      </c>
      <c r="M6423" t="s">
        <v>10336</v>
      </c>
      <c r="N6423" t="s">
        <v>10671</v>
      </c>
      <c r="P6423" t="s">
        <v>10754</v>
      </c>
      <c r="Q6423" t="s">
        <v>10770</v>
      </c>
      <c r="R6423" t="s">
        <v>10821</v>
      </c>
      <c r="T6423">
        <v>9300</v>
      </c>
      <c r="U6423">
        <v>775</v>
      </c>
      <c r="V6423">
        <v>56</v>
      </c>
      <c r="W6423">
        <v>1</v>
      </c>
      <c r="X6423">
        <v>0</v>
      </c>
      <c r="Z6423">
        <v>74.45999999999999</v>
      </c>
      <c r="AA6423">
        <v>40.877378</v>
      </c>
      <c r="AB6423">
        <v>-73.87433</v>
      </c>
      <c r="AD6423" t="s">
        <v>10840</v>
      </c>
      <c r="AF6423" t="s">
        <v>10843</v>
      </c>
      <c r="AG6423" t="s">
        <v>10859</v>
      </c>
      <c r="AH6423" t="s">
        <v>10861</v>
      </c>
      <c r="AI6423">
        <v>234</v>
      </c>
      <c r="AJ6423" t="s">
        <v>10214</v>
      </c>
      <c r="AL6423">
        <v>0.2</v>
      </c>
      <c r="AM6423" t="s">
        <v>10887</v>
      </c>
      <c r="AN6423" t="s">
        <v>10938</v>
      </c>
      <c r="AO6423" t="s">
        <v>11010</v>
      </c>
      <c r="AP6423" t="s">
        <v>11057</v>
      </c>
      <c r="AR6423" t="s">
        <v>11268</v>
      </c>
      <c r="AS6423" t="s">
        <v>9926</v>
      </c>
      <c r="AT6423" t="s">
        <v>11642</v>
      </c>
      <c r="AX6423" t="s">
        <v>10838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</row>
    <row r="6424" spans="1:59">
      <c r="A6424" s="1">
        <f>HYPERLINK("https://lsnyc.legalserver.org/matter/dynamic-profile/view/1910765","19-1910765")</f>
        <v>0</v>
      </c>
      <c r="B6424" t="s">
        <v>4932</v>
      </c>
      <c r="C6424" t="s">
        <v>9842</v>
      </c>
      <c r="D6424" t="s">
        <v>9926</v>
      </c>
      <c r="E6424" t="s">
        <v>10075</v>
      </c>
      <c r="F6424">
        <v>10467</v>
      </c>
      <c r="G6424" t="s">
        <v>10091</v>
      </c>
      <c r="H6424" t="s">
        <v>10158</v>
      </c>
      <c r="I6424" t="s">
        <v>10169</v>
      </c>
      <c r="J6424" t="s">
        <v>10214</v>
      </c>
      <c r="K6424" t="s">
        <v>10217</v>
      </c>
      <c r="M6424" t="s">
        <v>10537</v>
      </c>
      <c r="N6424" t="s">
        <v>10671</v>
      </c>
      <c r="P6424" t="s">
        <v>10753</v>
      </c>
      <c r="Q6424" t="s">
        <v>10763</v>
      </c>
      <c r="R6424" t="s">
        <v>10821</v>
      </c>
      <c r="T6424">
        <v>9300</v>
      </c>
      <c r="U6424">
        <v>775</v>
      </c>
      <c r="V6424">
        <v>56</v>
      </c>
      <c r="W6424">
        <v>1</v>
      </c>
      <c r="X6424">
        <v>0</v>
      </c>
      <c r="Z6424">
        <v>74.45999999999999</v>
      </c>
      <c r="AA6424">
        <v>40.877378</v>
      </c>
      <c r="AB6424">
        <v>-73.87433</v>
      </c>
      <c r="AD6424" t="s">
        <v>10840</v>
      </c>
      <c r="AF6424" t="s">
        <v>10843</v>
      </c>
      <c r="AG6424" t="s">
        <v>10859</v>
      </c>
      <c r="AH6424" t="s">
        <v>10861</v>
      </c>
      <c r="AI6424">
        <v>234</v>
      </c>
      <c r="AJ6424" t="s">
        <v>10214</v>
      </c>
      <c r="AL6424">
        <v>0.5</v>
      </c>
      <c r="AQ6424" t="s">
        <v>11097</v>
      </c>
      <c r="AR6424" t="s">
        <v>11268</v>
      </c>
      <c r="AS6424" t="s">
        <v>9926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</row>
    <row r="6425" spans="1:59">
      <c r="A6425" s="1">
        <f>HYPERLINK("https://lsnyc.legalserver.org/matter/dynamic-profile/view/1910766","19-1910766")</f>
        <v>0</v>
      </c>
      <c r="B6425" t="s">
        <v>4933</v>
      </c>
      <c r="C6425" t="s">
        <v>9843</v>
      </c>
      <c r="D6425" t="s">
        <v>9948</v>
      </c>
      <c r="E6425" t="s">
        <v>10075</v>
      </c>
      <c r="F6425">
        <v>11691</v>
      </c>
      <c r="G6425" t="s">
        <v>10092</v>
      </c>
      <c r="H6425" t="s">
        <v>10158</v>
      </c>
      <c r="I6425" t="s">
        <v>10168</v>
      </c>
      <c r="J6425" t="s">
        <v>10212</v>
      </c>
      <c r="K6425" t="s">
        <v>10217</v>
      </c>
      <c r="M6425" t="s">
        <v>10318</v>
      </c>
      <c r="N6425" t="s">
        <v>10671</v>
      </c>
      <c r="P6425" t="s">
        <v>10751</v>
      </c>
      <c r="Q6425" t="s">
        <v>10786</v>
      </c>
      <c r="R6425" t="s">
        <v>10824</v>
      </c>
      <c r="T6425">
        <v>36672</v>
      </c>
      <c r="U6425">
        <v>3056</v>
      </c>
      <c r="V6425">
        <v>40</v>
      </c>
      <c r="W6425">
        <v>2</v>
      </c>
      <c r="X6425">
        <v>2</v>
      </c>
      <c r="Z6425">
        <v>142.42</v>
      </c>
      <c r="AA6425">
        <v>40.594686</v>
      </c>
      <c r="AB6425">
        <v>-73.76362</v>
      </c>
      <c r="AD6425" t="s">
        <v>10839</v>
      </c>
      <c r="AG6425" t="s">
        <v>10858</v>
      </c>
      <c r="AH6425" t="s">
        <v>10871</v>
      </c>
      <c r="AI6425">
        <v>234</v>
      </c>
      <c r="AJ6425" t="s">
        <v>10214</v>
      </c>
      <c r="AL6425">
        <v>0.66</v>
      </c>
      <c r="AM6425" t="s">
        <v>10892</v>
      </c>
      <c r="AN6425" t="s">
        <v>10958</v>
      </c>
      <c r="AO6425" t="s">
        <v>11017</v>
      </c>
      <c r="AP6425" t="s">
        <v>11082</v>
      </c>
      <c r="AR6425" t="s">
        <v>11295</v>
      </c>
      <c r="AS6425" t="s">
        <v>11594</v>
      </c>
      <c r="AT6425" t="s">
        <v>11641</v>
      </c>
      <c r="AX6425" t="s">
        <v>10838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</row>
    <row r="6426" spans="1:59">
      <c r="A6426" s="1">
        <f>HYPERLINK("https://lsnyc.legalserver.org/matter/dynamic-profile/view/1910767","19-1910767")</f>
        <v>0</v>
      </c>
      <c r="B6426" t="s">
        <v>4934</v>
      </c>
      <c r="C6426" t="s">
        <v>9844</v>
      </c>
      <c r="D6426" t="s">
        <v>9938</v>
      </c>
      <c r="E6426" t="s">
        <v>10075</v>
      </c>
      <c r="F6426">
        <v>11432</v>
      </c>
      <c r="G6426" t="s">
        <v>10092</v>
      </c>
      <c r="H6426" t="s">
        <v>10158</v>
      </c>
      <c r="I6426" t="s">
        <v>10169</v>
      </c>
      <c r="J6426" t="s">
        <v>10212</v>
      </c>
      <c r="K6426" t="s">
        <v>10217</v>
      </c>
      <c r="M6426" t="s">
        <v>10318</v>
      </c>
      <c r="N6426" t="s">
        <v>10684</v>
      </c>
      <c r="P6426" t="s">
        <v>10751</v>
      </c>
      <c r="Q6426" t="s">
        <v>10786</v>
      </c>
      <c r="R6426" t="s">
        <v>10821</v>
      </c>
      <c r="T6426">
        <v>9792</v>
      </c>
      <c r="U6426">
        <v>816</v>
      </c>
      <c r="V6426">
        <v>62</v>
      </c>
      <c r="W6426">
        <v>1</v>
      </c>
      <c r="X6426">
        <v>0</v>
      </c>
      <c r="Z6426">
        <v>78.40000000000001</v>
      </c>
      <c r="AA6426">
        <v>40.709873</v>
      </c>
      <c r="AB6426">
        <v>-73.792226</v>
      </c>
      <c r="AD6426" t="s">
        <v>10839</v>
      </c>
      <c r="AG6426" t="s">
        <v>10858</v>
      </c>
      <c r="AH6426" t="s">
        <v>10873</v>
      </c>
      <c r="AI6426">
        <v>237</v>
      </c>
      <c r="AJ6426" t="s">
        <v>10212</v>
      </c>
      <c r="AL6426">
        <v>2.5</v>
      </c>
      <c r="AM6426" t="s">
        <v>10892</v>
      </c>
      <c r="AN6426" t="s">
        <v>10955</v>
      </c>
      <c r="AO6426" t="s">
        <v>11022</v>
      </c>
      <c r="AP6426" t="s">
        <v>11075</v>
      </c>
      <c r="AR6426" t="s">
        <v>11268</v>
      </c>
      <c r="AS6426" t="s">
        <v>11594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</row>
    <row r="6427" spans="1:59">
      <c r="A6427" s="1">
        <f>HYPERLINK("https://lsnyc.legalserver.org/matter/dynamic-profile/view/1910768","19-1910768")</f>
        <v>0</v>
      </c>
      <c r="B6427" t="s">
        <v>4935</v>
      </c>
      <c r="C6427" t="s">
        <v>9845</v>
      </c>
      <c r="D6427" t="s">
        <v>9926</v>
      </c>
      <c r="E6427" t="s">
        <v>10075</v>
      </c>
      <c r="F6427">
        <v>10462</v>
      </c>
      <c r="G6427" t="s">
        <v>10090</v>
      </c>
      <c r="H6427" t="s">
        <v>10158</v>
      </c>
      <c r="I6427" t="s">
        <v>10168</v>
      </c>
      <c r="J6427" t="s">
        <v>10210</v>
      </c>
      <c r="K6427" t="s">
        <v>10217</v>
      </c>
      <c r="M6427" t="s">
        <v>10349</v>
      </c>
      <c r="N6427" t="s">
        <v>10666</v>
      </c>
      <c r="P6427" t="s">
        <v>10749</v>
      </c>
      <c r="Q6427" t="s">
        <v>10791</v>
      </c>
      <c r="R6427" t="s">
        <v>10821</v>
      </c>
      <c r="T6427">
        <v>8988</v>
      </c>
      <c r="U6427">
        <v>749</v>
      </c>
      <c r="V6427">
        <v>32</v>
      </c>
      <c r="W6427">
        <v>1</v>
      </c>
      <c r="X6427">
        <v>1</v>
      </c>
      <c r="Z6427">
        <v>53.15</v>
      </c>
      <c r="AA6427">
        <v>40.839609</v>
      </c>
      <c r="AB6427">
        <v>-73.860966</v>
      </c>
      <c r="AD6427" t="s">
        <v>10840</v>
      </c>
      <c r="AG6427" t="s">
        <v>10858</v>
      </c>
      <c r="AH6427" t="s">
        <v>10862</v>
      </c>
      <c r="AI6427">
        <v>230</v>
      </c>
      <c r="AJ6427" t="s">
        <v>10210</v>
      </c>
      <c r="AL6427">
        <v>0</v>
      </c>
      <c r="AM6427" t="s">
        <v>10885</v>
      </c>
      <c r="AN6427" t="s">
        <v>10908</v>
      </c>
      <c r="AO6427" t="s">
        <v>11001</v>
      </c>
      <c r="AP6427" t="s">
        <v>11046</v>
      </c>
      <c r="AR6427" t="s">
        <v>11254</v>
      </c>
      <c r="AS6427" t="s">
        <v>9926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</row>
    <row r="6428" spans="1:59">
      <c r="A6428" s="1">
        <f>HYPERLINK("https://lsnyc.legalserver.org/matter/dynamic-profile/view/1910769","19-1910769")</f>
        <v>0</v>
      </c>
      <c r="B6428" t="s">
        <v>4936</v>
      </c>
      <c r="C6428" t="s">
        <v>9846</v>
      </c>
      <c r="D6428" t="s">
        <v>9929</v>
      </c>
      <c r="E6428" t="s">
        <v>10075</v>
      </c>
      <c r="F6428">
        <v>10303</v>
      </c>
      <c r="G6428" t="s">
        <v>10088</v>
      </c>
      <c r="H6428" t="s">
        <v>10101</v>
      </c>
      <c r="I6428" t="s">
        <v>10168</v>
      </c>
      <c r="J6428" t="s">
        <v>10208</v>
      </c>
      <c r="K6428" t="s">
        <v>10217</v>
      </c>
      <c r="M6428" t="s">
        <v>10478</v>
      </c>
      <c r="N6428" t="s">
        <v>10663</v>
      </c>
      <c r="P6428" t="s">
        <v>10755</v>
      </c>
      <c r="Q6428" t="s">
        <v>10772</v>
      </c>
      <c r="R6428" t="s">
        <v>10824</v>
      </c>
      <c r="T6428">
        <v>4030</v>
      </c>
      <c r="U6428">
        <v>335.83</v>
      </c>
      <c r="V6428">
        <v>6</v>
      </c>
      <c r="W6428">
        <v>1</v>
      </c>
      <c r="X6428">
        <v>2</v>
      </c>
      <c r="Z6428">
        <v>18.89</v>
      </c>
      <c r="AA6428">
        <v>40.632428</v>
      </c>
      <c r="AB6428">
        <v>-74.16407</v>
      </c>
      <c r="AD6428" t="s">
        <v>10839</v>
      </c>
      <c r="AG6428" t="s">
        <v>10858</v>
      </c>
      <c r="AH6428" t="s">
        <v>10861</v>
      </c>
      <c r="AI6428">
        <v>285</v>
      </c>
      <c r="AJ6428" t="s">
        <v>10208</v>
      </c>
      <c r="AL6428">
        <v>0.5</v>
      </c>
      <c r="AM6428" t="s">
        <v>10883</v>
      </c>
      <c r="AN6428" t="s">
        <v>10928</v>
      </c>
      <c r="AO6428" t="s">
        <v>11006</v>
      </c>
      <c r="AP6428" t="s">
        <v>11051</v>
      </c>
      <c r="AR6428" t="s">
        <v>11292</v>
      </c>
      <c r="AS6428" t="s">
        <v>11593</v>
      </c>
      <c r="AT6428" t="s">
        <v>11641</v>
      </c>
      <c r="AX6428" t="s">
        <v>10838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</row>
    <row r="6429" spans="1:59">
      <c r="A6429" s="1">
        <f>HYPERLINK("https://lsnyc.legalserver.org/matter/dynamic-profile/view/1910770","19-1910770")</f>
        <v>0</v>
      </c>
      <c r="B6429" t="s">
        <v>4835</v>
      </c>
      <c r="C6429" t="s">
        <v>9847</v>
      </c>
      <c r="D6429" t="s">
        <v>9925</v>
      </c>
      <c r="E6429" t="s">
        <v>10075</v>
      </c>
      <c r="F6429">
        <v>10029</v>
      </c>
      <c r="G6429" t="s">
        <v>10089</v>
      </c>
      <c r="H6429" t="s">
        <v>10158</v>
      </c>
      <c r="I6429" t="s">
        <v>10169</v>
      </c>
      <c r="J6429" t="s">
        <v>10209</v>
      </c>
      <c r="K6429" t="s">
        <v>10217</v>
      </c>
      <c r="M6429" t="s">
        <v>10607</v>
      </c>
      <c r="N6429" t="s">
        <v>10646</v>
      </c>
      <c r="P6429" t="s">
        <v>10753</v>
      </c>
      <c r="Q6429" t="s">
        <v>10763</v>
      </c>
      <c r="R6429" t="s">
        <v>10823</v>
      </c>
      <c r="T6429">
        <v>36400</v>
      </c>
      <c r="U6429">
        <v>3033.33</v>
      </c>
      <c r="V6429">
        <v>32</v>
      </c>
      <c r="W6429">
        <v>1</v>
      </c>
      <c r="X6429">
        <v>0</v>
      </c>
      <c r="Z6429">
        <v>291.43</v>
      </c>
      <c r="AA6429">
        <v>40.786128</v>
      </c>
      <c r="AB6429">
        <v>-73.943879</v>
      </c>
      <c r="AD6429" t="s">
        <v>10839</v>
      </c>
      <c r="AF6429" t="s">
        <v>10844</v>
      </c>
      <c r="AG6429" t="s">
        <v>10859</v>
      </c>
      <c r="AH6429" t="s">
        <v>10861</v>
      </c>
      <c r="AI6429">
        <v>234</v>
      </c>
      <c r="AJ6429" t="s">
        <v>10214</v>
      </c>
      <c r="AL6429">
        <v>0.5</v>
      </c>
      <c r="AM6429" t="s">
        <v>10887</v>
      </c>
      <c r="AN6429" t="s">
        <v>10926</v>
      </c>
      <c r="AO6429" t="s">
        <v>11013</v>
      </c>
      <c r="AP6429" t="s">
        <v>11066</v>
      </c>
      <c r="AR6429" t="s">
        <v>11257</v>
      </c>
      <c r="AS6429" t="s">
        <v>9925</v>
      </c>
      <c r="AT6429" t="s">
        <v>11641</v>
      </c>
      <c r="AX6429" t="s">
        <v>10837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</row>
    <row r="6430" spans="1:59">
      <c r="A6430" s="1">
        <f>HYPERLINK("https://lsnyc.legalserver.org/matter/dynamic-profile/view/1910771","19-1910771")</f>
        <v>0</v>
      </c>
      <c r="B6430" t="s">
        <v>4937</v>
      </c>
      <c r="C6430" t="s">
        <v>9848</v>
      </c>
      <c r="D6430" t="s">
        <v>9925</v>
      </c>
      <c r="E6430" t="s">
        <v>10075</v>
      </c>
      <c r="F6430">
        <v>10027</v>
      </c>
      <c r="G6430" t="s">
        <v>10090</v>
      </c>
      <c r="H6430" t="s">
        <v>10158</v>
      </c>
      <c r="I6430" t="s">
        <v>10168</v>
      </c>
      <c r="J6430" t="s">
        <v>10210</v>
      </c>
      <c r="K6430" t="s">
        <v>10217</v>
      </c>
      <c r="M6430" t="s">
        <v>10336</v>
      </c>
      <c r="N6430" t="s">
        <v>10671</v>
      </c>
      <c r="P6430" t="s">
        <v>10754</v>
      </c>
      <c r="Q6430" t="s">
        <v>10771</v>
      </c>
      <c r="R6430" t="s">
        <v>10824</v>
      </c>
      <c r="T6430">
        <v>11400</v>
      </c>
      <c r="U6430">
        <v>950</v>
      </c>
      <c r="V6430">
        <v>67</v>
      </c>
      <c r="W6430">
        <v>1</v>
      </c>
      <c r="X6430">
        <v>0</v>
      </c>
      <c r="Z6430">
        <v>91.27</v>
      </c>
      <c r="AA6430">
        <v>0</v>
      </c>
      <c r="AB6430">
        <v>0</v>
      </c>
      <c r="AD6430" t="s">
        <v>10839</v>
      </c>
      <c r="AG6430" t="s">
        <v>10858</v>
      </c>
      <c r="AH6430" t="s">
        <v>10861</v>
      </c>
      <c r="AI6430">
        <v>234</v>
      </c>
      <c r="AJ6430" t="s">
        <v>10214</v>
      </c>
      <c r="AL6430">
        <v>1.2</v>
      </c>
      <c r="AQ6430" t="s">
        <v>11209</v>
      </c>
      <c r="AR6430" t="s">
        <v>11268</v>
      </c>
      <c r="AS6430" t="s">
        <v>9925</v>
      </c>
      <c r="AT6430" t="s">
        <v>11641</v>
      </c>
      <c r="AX6430" t="s">
        <v>10838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</row>
    <row r="6431" spans="1:59">
      <c r="A6431" s="1">
        <f>HYPERLINK("https://lsnyc.legalserver.org/matter/dynamic-profile/view/1910772","19-1910772")</f>
        <v>0</v>
      </c>
      <c r="B6431" t="s">
        <v>4938</v>
      </c>
      <c r="C6431" t="s">
        <v>8116</v>
      </c>
      <c r="D6431" t="s">
        <v>9928</v>
      </c>
      <c r="E6431" t="s">
        <v>10075</v>
      </c>
      <c r="F6431">
        <v>11226</v>
      </c>
      <c r="G6431" t="s">
        <v>10093</v>
      </c>
      <c r="H6431" t="s">
        <v>4843</v>
      </c>
      <c r="I6431" t="s">
        <v>10168</v>
      </c>
      <c r="J6431" t="s">
        <v>10213</v>
      </c>
      <c r="K6431" t="s">
        <v>10217</v>
      </c>
      <c r="M6431" t="s">
        <v>10317</v>
      </c>
      <c r="N6431" t="s">
        <v>10646</v>
      </c>
      <c r="P6431" t="s">
        <v>10749</v>
      </c>
      <c r="Q6431" t="s">
        <v>10765</v>
      </c>
      <c r="R6431" t="s">
        <v>10824</v>
      </c>
      <c r="T6431">
        <v>9252</v>
      </c>
      <c r="U6431">
        <v>771</v>
      </c>
      <c r="V6431">
        <v>57</v>
      </c>
      <c r="W6431">
        <v>2</v>
      </c>
      <c r="X6431">
        <v>0</v>
      </c>
      <c r="Z6431">
        <v>54.71</v>
      </c>
      <c r="AA6431">
        <v>40.651564</v>
      </c>
      <c r="AB6431">
        <v>-73.95706</v>
      </c>
      <c r="AD6431" t="s">
        <v>10839</v>
      </c>
      <c r="AG6431" t="s">
        <v>10858</v>
      </c>
      <c r="AH6431" t="s">
        <v>10868</v>
      </c>
      <c r="AI6431">
        <v>239</v>
      </c>
      <c r="AJ6431" t="s">
        <v>10213</v>
      </c>
      <c r="AL6431">
        <v>3.65</v>
      </c>
      <c r="AM6431" t="s">
        <v>10888</v>
      </c>
      <c r="AN6431" t="s">
        <v>10912</v>
      </c>
      <c r="AO6431" t="s">
        <v>11008</v>
      </c>
      <c r="AP6431" t="s">
        <v>11050</v>
      </c>
      <c r="AR6431" t="s">
        <v>11298</v>
      </c>
      <c r="AS6431" t="s">
        <v>11595</v>
      </c>
      <c r="AX6431" t="s">
        <v>10838</v>
      </c>
      <c r="BA6431" t="s">
        <v>11738</v>
      </c>
      <c r="BB6431">
        <v>0</v>
      </c>
      <c r="BC6431">
        <v>0</v>
      </c>
      <c r="BD6431">
        <v>0</v>
      </c>
      <c r="BE6431">
        <v>0</v>
      </c>
      <c r="BF6431">
        <v>5</v>
      </c>
      <c r="BG6431">
        <v>0</v>
      </c>
    </row>
    <row r="6432" spans="1:59">
      <c r="A6432" s="1">
        <f>HYPERLINK("https://lsnyc.legalserver.org/matter/dynamic-profile/view/1910773","19-1910773")</f>
        <v>0</v>
      </c>
      <c r="B6432" t="s">
        <v>3421</v>
      </c>
      <c r="C6432" t="s">
        <v>9849</v>
      </c>
      <c r="D6432" t="s">
        <v>9938</v>
      </c>
      <c r="E6432" t="s">
        <v>10075</v>
      </c>
      <c r="F6432">
        <v>11435</v>
      </c>
      <c r="G6432" t="s">
        <v>10092</v>
      </c>
      <c r="H6432" t="s">
        <v>10158</v>
      </c>
      <c r="I6432" t="s">
        <v>10168</v>
      </c>
      <c r="J6432" t="s">
        <v>10212</v>
      </c>
      <c r="K6432" t="s">
        <v>10217</v>
      </c>
      <c r="M6432" t="s">
        <v>10312</v>
      </c>
      <c r="N6432" t="s">
        <v>10695</v>
      </c>
      <c r="P6432" t="s">
        <v>10749</v>
      </c>
      <c r="Q6432" t="s">
        <v>10765</v>
      </c>
      <c r="R6432" t="s">
        <v>10824</v>
      </c>
      <c r="T6432">
        <v>0</v>
      </c>
      <c r="U6432">
        <v>0</v>
      </c>
      <c r="V6432">
        <v>39</v>
      </c>
      <c r="W6432">
        <v>2</v>
      </c>
      <c r="X6432">
        <v>0</v>
      </c>
      <c r="Z6432">
        <v>0</v>
      </c>
      <c r="AA6432">
        <v>40.699599</v>
      </c>
      <c r="AB6432">
        <v>-73.81135</v>
      </c>
      <c r="AD6432" t="s">
        <v>10839</v>
      </c>
      <c r="AF6432" t="s">
        <v>10843</v>
      </c>
      <c r="AG6432" t="s">
        <v>10859</v>
      </c>
      <c r="AH6432" t="s">
        <v>10862</v>
      </c>
      <c r="AI6432">
        <v>237</v>
      </c>
      <c r="AJ6432" t="s">
        <v>10212</v>
      </c>
      <c r="AL6432">
        <v>1.58</v>
      </c>
      <c r="AM6432" t="s">
        <v>10892</v>
      </c>
      <c r="AN6432" t="s">
        <v>10951</v>
      </c>
      <c r="AO6432" t="s">
        <v>11020</v>
      </c>
      <c r="AP6432" t="s">
        <v>11081</v>
      </c>
      <c r="AR6432" t="s">
        <v>11279</v>
      </c>
      <c r="AS6432" t="s">
        <v>11594</v>
      </c>
      <c r="BA6432" t="s">
        <v>11742</v>
      </c>
      <c r="BB6432">
        <v>0</v>
      </c>
      <c r="BC6432">
        <v>0</v>
      </c>
      <c r="BD6432">
        <v>0</v>
      </c>
      <c r="BE6432">
        <v>0</v>
      </c>
      <c r="BF6432">
        <v>7</v>
      </c>
      <c r="BG6432">
        <v>0</v>
      </c>
    </row>
    <row r="6433" spans="1:59">
      <c r="A6433" s="1">
        <f>HYPERLINK("https://lsnyc.legalserver.org/matter/dynamic-profile/view/1910774","19-1910774")</f>
        <v>0</v>
      </c>
      <c r="B6433" t="s">
        <v>1013</v>
      </c>
      <c r="C6433" t="s">
        <v>9850</v>
      </c>
      <c r="D6433" t="s">
        <v>9925</v>
      </c>
      <c r="E6433" t="s">
        <v>10075</v>
      </c>
      <c r="F6433">
        <v>10036</v>
      </c>
      <c r="G6433" t="s">
        <v>10089</v>
      </c>
      <c r="H6433" t="s">
        <v>10158</v>
      </c>
      <c r="I6433" t="s">
        <v>10168</v>
      </c>
      <c r="J6433" t="s">
        <v>10209</v>
      </c>
      <c r="K6433" t="s">
        <v>10217</v>
      </c>
      <c r="M6433" t="s">
        <v>10529</v>
      </c>
      <c r="N6433" t="s">
        <v>10646</v>
      </c>
      <c r="P6433" t="s">
        <v>10752</v>
      </c>
      <c r="Q6433" t="s">
        <v>10783</v>
      </c>
      <c r="R6433" t="s">
        <v>10825</v>
      </c>
      <c r="T6433">
        <v>39237</v>
      </c>
      <c r="U6433">
        <v>3269.75</v>
      </c>
      <c r="V6433">
        <v>61</v>
      </c>
      <c r="W6433">
        <v>1</v>
      </c>
      <c r="X6433">
        <v>0</v>
      </c>
      <c r="Z6433">
        <v>314.15</v>
      </c>
      <c r="AA6433">
        <v>40.760561</v>
      </c>
      <c r="AB6433">
        <v>-73.996185</v>
      </c>
      <c r="AC6433" t="s">
        <v>10837</v>
      </c>
      <c r="AD6433" t="s">
        <v>10840</v>
      </c>
      <c r="AG6433" t="s">
        <v>10858</v>
      </c>
      <c r="AH6433" t="s">
        <v>10871</v>
      </c>
      <c r="AI6433">
        <v>234</v>
      </c>
      <c r="AJ6433" t="s">
        <v>10214</v>
      </c>
      <c r="AL6433">
        <v>0.6</v>
      </c>
      <c r="AM6433" t="s">
        <v>10894</v>
      </c>
      <c r="AN6433" t="s">
        <v>10964</v>
      </c>
      <c r="AO6433" t="s">
        <v>11019</v>
      </c>
      <c r="AP6433" t="s">
        <v>11090</v>
      </c>
      <c r="AR6433" t="s">
        <v>11257</v>
      </c>
      <c r="AS6433" t="s">
        <v>9925</v>
      </c>
      <c r="AT6433" t="s">
        <v>11642</v>
      </c>
      <c r="AX6433" t="s">
        <v>10837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</row>
    <row r="6434" spans="1:59">
      <c r="A6434" s="1">
        <f>HYPERLINK("https://lsnyc.legalserver.org/matter/dynamic-profile/view/1910776","19-1910776")</f>
        <v>0</v>
      </c>
      <c r="B6434" t="s">
        <v>4939</v>
      </c>
      <c r="C6434" t="s">
        <v>9851</v>
      </c>
      <c r="D6434" t="s">
        <v>9926</v>
      </c>
      <c r="E6434" t="s">
        <v>10075</v>
      </c>
      <c r="F6434">
        <v>10469</v>
      </c>
      <c r="G6434" t="s">
        <v>10090</v>
      </c>
      <c r="H6434" t="s">
        <v>10158</v>
      </c>
      <c r="I6434" t="s">
        <v>10168</v>
      </c>
      <c r="J6434" t="s">
        <v>10210</v>
      </c>
      <c r="K6434" t="s">
        <v>10217</v>
      </c>
      <c r="M6434" t="s">
        <v>10516</v>
      </c>
      <c r="N6434" t="s">
        <v>10671</v>
      </c>
      <c r="P6434" t="s">
        <v>10751</v>
      </c>
      <c r="Q6434" t="s">
        <v>10780</v>
      </c>
      <c r="R6434" t="s">
        <v>10823</v>
      </c>
      <c r="T6434">
        <v>29120</v>
      </c>
      <c r="U6434">
        <v>2426.67</v>
      </c>
      <c r="V6434">
        <v>19</v>
      </c>
      <c r="W6434">
        <v>2</v>
      </c>
      <c r="X6434">
        <v>0</v>
      </c>
      <c r="Z6434">
        <v>172.21</v>
      </c>
      <c r="AA6434">
        <v>40.86172</v>
      </c>
      <c r="AB6434">
        <v>-73.861439</v>
      </c>
      <c r="AD6434" t="s">
        <v>10840</v>
      </c>
      <c r="AG6434" t="s">
        <v>10858</v>
      </c>
      <c r="AH6434" t="s">
        <v>10861</v>
      </c>
      <c r="AI6434">
        <v>234</v>
      </c>
      <c r="AJ6434" t="s">
        <v>10214</v>
      </c>
      <c r="AL6434">
        <v>2.65</v>
      </c>
      <c r="AR6434" t="s">
        <v>11257</v>
      </c>
      <c r="AS6434" t="s">
        <v>9926</v>
      </c>
      <c r="AT6434" t="s">
        <v>11642</v>
      </c>
      <c r="AX6434" t="s">
        <v>10838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</row>
    <row r="6435" spans="1:59">
      <c r="A6435" s="1">
        <f>HYPERLINK("https://lsnyc.legalserver.org/matter/dynamic-profile/view/1910777","19-1910777")</f>
        <v>0</v>
      </c>
      <c r="B6435" t="s">
        <v>4940</v>
      </c>
      <c r="C6435" t="s">
        <v>9852</v>
      </c>
      <c r="D6435" t="s">
        <v>9937</v>
      </c>
      <c r="E6435" t="s">
        <v>10075</v>
      </c>
      <c r="F6435">
        <v>11412</v>
      </c>
      <c r="G6435" t="s">
        <v>10092</v>
      </c>
      <c r="H6435" t="s">
        <v>10158</v>
      </c>
      <c r="I6435" t="s">
        <v>10168</v>
      </c>
      <c r="J6435" t="s">
        <v>10212</v>
      </c>
      <c r="K6435" t="s">
        <v>10217</v>
      </c>
      <c r="M6435" t="s">
        <v>10318</v>
      </c>
      <c r="N6435" t="s">
        <v>10684</v>
      </c>
      <c r="P6435" t="s">
        <v>10751</v>
      </c>
      <c r="Q6435" t="s">
        <v>10786</v>
      </c>
      <c r="R6435" t="s">
        <v>10827</v>
      </c>
      <c r="T6435">
        <v>20468</v>
      </c>
      <c r="U6435">
        <v>1705.67</v>
      </c>
      <c r="V6435">
        <v>58</v>
      </c>
      <c r="W6435">
        <v>3</v>
      </c>
      <c r="X6435">
        <v>0</v>
      </c>
      <c r="Z6435">
        <v>95.95999999999999</v>
      </c>
      <c r="AA6435">
        <v>40.701993</v>
      </c>
      <c r="AB6435">
        <v>-73.77060899999999</v>
      </c>
      <c r="AD6435" t="s">
        <v>10840</v>
      </c>
      <c r="AF6435" t="s">
        <v>10843</v>
      </c>
      <c r="AG6435" t="s">
        <v>10859</v>
      </c>
      <c r="AH6435" t="s">
        <v>10873</v>
      </c>
      <c r="AI6435">
        <v>237</v>
      </c>
      <c r="AJ6435" t="s">
        <v>10212</v>
      </c>
      <c r="AL6435">
        <v>1.25</v>
      </c>
      <c r="AM6435" t="s">
        <v>10892</v>
      </c>
      <c r="AN6435" t="s">
        <v>10955</v>
      </c>
      <c r="AO6435" t="s">
        <v>11020</v>
      </c>
      <c r="AP6435" t="s">
        <v>11075</v>
      </c>
      <c r="AR6435" t="s">
        <v>11287</v>
      </c>
      <c r="AS6435" t="s">
        <v>11594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</row>
    <row r="6436" spans="1:59">
      <c r="A6436" s="1">
        <f>HYPERLINK("https://lsnyc.legalserver.org/matter/dynamic-profile/view/1910779","19-1910779")</f>
        <v>0</v>
      </c>
      <c r="B6436" t="s">
        <v>4941</v>
      </c>
      <c r="C6436" t="s">
        <v>9853</v>
      </c>
      <c r="D6436" t="s">
        <v>9953</v>
      </c>
      <c r="E6436" t="s">
        <v>10075</v>
      </c>
      <c r="F6436">
        <v>11104</v>
      </c>
      <c r="G6436" t="s">
        <v>10092</v>
      </c>
      <c r="H6436" t="s">
        <v>10158</v>
      </c>
      <c r="I6436" t="s">
        <v>10168</v>
      </c>
      <c r="J6436" t="s">
        <v>10212</v>
      </c>
      <c r="K6436" t="s">
        <v>10217</v>
      </c>
      <c r="M6436" t="s">
        <v>10387</v>
      </c>
      <c r="N6436" t="s">
        <v>10695</v>
      </c>
      <c r="P6436" t="s">
        <v>10749</v>
      </c>
      <c r="Q6436" t="s">
        <v>10765</v>
      </c>
      <c r="R6436" t="s">
        <v>10827</v>
      </c>
      <c r="T6436">
        <v>2196</v>
      </c>
      <c r="U6436">
        <v>183</v>
      </c>
      <c r="V6436">
        <v>62</v>
      </c>
      <c r="W6436">
        <v>1</v>
      </c>
      <c r="X6436">
        <v>0</v>
      </c>
      <c r="Z6436">
        <v>17.58</v>
      </c>
      <c r="AA6436">
        <v>40.744061</v>
      </c>
      <c r="AB6436">
        <v>-73.919224</v>
      </c>
      <c r="AD6436" t="s">
        <v>10839</v>
      </c>
      <c r="AG6436" t="s">
        <v>10858</v>
      </c>
      <c r="AH6436" t="s">
        <v>10862</v>
      </c>
      <c r="AI6436">
        <v>237</v>
      </c>
      <c r="AJ6436" t="s">
        <v>10212</v>
      </c>
      <c r="AL6436">
        <v>1.33</v>
      </c>
      <c r="AM6436" t="s">
        <v>10885</v>
      </c>
      <c r="AN6436" t="s">
        <v>10961</v>
      </c>
      <c r="AO6436" t="s">
        <v>11003</v>
      </c>
      <c r="AP6436" t="s">
        <v>11047</v>
      </c>
      <c r="AR6436" t="s">
        <v>11305</v>
      </c>
      <c r="AS6436" t="s">
        <v>11594</v>
      </c>
      <c r="BA6436" t="s">
        <v>11742</v>
      </c>
      <c r="BB6436">
        <v>0</v>
      </c>
      <c r="BC6436">
        <v>0</v>
      </c>
      <c r="BD6436">
        <v>0</v>
      </c>
      <c r="BE6436">
        <v>0</v>
      </c>
      <c r="BF6436">
        <v>7</v>
      </c>
      <c r="BG6436">
        <v>0</v>
      </c>
    </row>
    <row r="6437" spans="1:59">
      <c r="A6437" s="1">
        <f>HYPERLINK("https://lsnyc.legalserver.org/matter/dynamic-profile/view/1910780","19-1910780")</f>
        <v>0</v>
      </c>
      <c r="B6437" t="s">
        <v>1605</v>
      </c>
      <c r="C6437" t="s">
        <v>9854</v>
      </c>
      <c r="D6437" t="s">
        <v>9926</v>
      </c>
      <c r="E6437" t="s">
        <v>10075</v>
      </c>
      <c r="F6437">
        <v>10460</v>
      </c>
      <c r="G6437" t="s">
        <v>10090</v>
      </c>
      <c r="H6437" t="s">
        <v>10158</v>
      </c>
      <c r="I6437" t="s">
        <v>10169</v>
      </c>
      <c r="J6437" t="s">
        <v>10210</v>
      </c>
      <c r="K6437" t="s">
        <v>10217</v>
      </c>
      <c r="M6437" t="s">
        <v>10424</v>
      </c>
      <c r="N6437" t="s">
        <v>10673</v>
      </c>
      <c r="P6437" t="s">
        <v>10753</v>
      </c>
      <c r="Q6437" t="s">
        <v>10763</v>
      </c>
      <c r="R6437" t="s">
        <v>10821</v>
      </c>
      <c r="T6437">
        <v>7200</v>
      </c>
      <c r="U6437">
        <v>600</v>
      </c>
      <c r="V6437">
        <v>49</v>
      </c>
      <c r="W6437">
        <v>2</v>
      </c>
      <c r="X6437">
        <v>2</v>
      </c>
      <c r="Z6437">
        <v>27.96</v>
      </c>
      <c r="AA6437">
        <v>40.851129</v>
      </c>
      <c r="AB6437">
        <v>-73.883185</v>
      </c>
      <c r="AD6437" t="s">
        <v>10839</v>
      </c>
      <c r="AF6437" t="s">
        <v>10847</v>
      </c>
      <c r="AG6437" t="s">
        <v>10859</v>
      </c>
      <c r="AH6437" t="s">
        <v>10864</v>
      </c>
      <c r="AI6437">
        <v>230</v>
      </c>
      <c r="AJ6437" t="s">
        <v>10210</v>
      </c>
      <c r="AK6437" t="s">
        <v>10838</v>
      </c>
      <c r="AL6437">
        <v>0.25</v>
      </c>
      <c r="AM6437" t="s">
        <v>10884</v>
      </c>
      <c r="AN6437" t="s">
        <v>10918</v>
      </c>
      <c r="AO6437" t="s">
        <v>11000</v>
      </c>
      <c r="AP6437" t="s">
        <v>11056</v>
      </c>
      <c r="AQ6437" t="s">
        <v>11142</v>
      </c>
      <c r="AR6437" t="s">
        <v>11257</v>
      </c>
      <c r="AS6437" t="s">
        <v>9926</v>
      </c>
      <c r="BA6437" t="s">
        <v>11739</v>
      </c>
      <c r="BB6437">
        <v>0</v>
      </c>
      <c r="BC6437">
        <v>0</v>
      </c>
      <c r="BD6437">
        <v>0</v>
      </c>
      <c r="BE6437">
        <v>0</v>
      </c>
      <c r="BF6437">
        <v>4</v>
      </c>
      <c r="BG6437">
        <v>0</v>
      </c>
    </row>
    <row r="6438" spans="1:59">
      <c r="A6438" s="1">
        <f>HYPERLINK("https://lsnyc.legalserver.org/matter/dynamic-profile/view/1910781","19-1910781")</f>
        <v>0</v>
      </c>
      <c r="B6438" t="s">
        <v>4942</v>
      </c>
      <c r="C6438" t="s">
        <v>9855</v>
      </c>
      <c r="D6438" t="s">
        <v>9928</v>
      </c>
      <c r="E6438" t="s">
        <v>10075</v>
      </c>
      <c r="F6438">
        <v>11213</v>
      </c>
      <c r="G6438" t="s">
        <v>10093</v>
      </c>
      <c r="H6438" t="s">
        <v>10158</v>
      </c>
      <c r="I6438" t="s">
        <v>10168</v>
      </c>
      <c r="J6438" t="s">
        <v>10213</v>
      </c>
      <c r="K6438" t="s">
        <v>10217</v>
      </c>
      <c r="M6438" t="s">
        <v>10435</v>
      </c>
      <c r="N6438" t="s">
        <v>10671</v>
      </c>
      <c r="P6438" t="s">
        <v>10750</v>
      </c>
      <c r="Q6438" t="s">
        <v>10779</v>
      </c>
      <c r="R6438" t="s">
        <v>10824</v>
      </c>
      <c r="T6438">
        <v>0</v>
      </c>
      <c r="U6438">
        <v>0</v>
      </c>
      <c r="V6438">
        <v>27</v>
      </c>
      <c r="W6438">
        <v>1</v>
      </c>
      <c r="X6438">
        <v>0</v>
      </c>
      <c r="Z6438">
        <v>0</v>
      </c>
      <c r="AA6438">
        <v>40.671068</v>
      </c>
      <c r="AB6438">
        <v>-73.93453599999999</v>
      </c>
      <c r="AD6438" t="s">
        <v>10840</v>
      </c>
      <c r="AG6438" t="s">
        <v>10858</v>
      </c>
      <c r="AH6438" t="s">
        <v>10861</v>
      </c>
      <c r="AI6438">
        <v>234</v>
      </c>
      <c r="AJ6438" t="s">
        <v>10214</v>
      </c>
      <c r="AL6438">
        <v>1</v>
      </c>
      <c r="AR6438" t="s">
        <v>11267</v>
      </c>
      <c r="AS6438" t="s">
        <v>11595</v>
      </c>
      <c r="AT6438" t="s">
        <v>11642</v>
      </c>
      <c r="AX6438" t="s">
        <v>10837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</row>
    <row r="6439" spans="1:59">
      <c r="A6439" s="1">
        <f>HYPERLINK("https://lsnyc.legalserver.org/matter/dynamic-profile/view/1910782","19-1910782")</f>
        <v>0</v>
      </c>
      <c r="B6439" t="s">
        <v>4943</v>
      </c>
      <c r="C6439" t="s">
        <v>9856</v>
      </c>
      <c r="D6439" t="s">
        <v>9930</v>
      </c>
      <c r="E6439" t="s">
        <v>10075</v>
      </c>
      <c r="F6439">
        <v>11373</v>
      </c>
      <c r="G6439" t="s">
        <v>10092</v>
      </c>
      <c r="H6439" t="s">
        <v>10158</v>
      </c>
      <c r="I6439" t="s">
        <v>10168</v>
      </c>
      <c r="J6439" t="s">
        <v>10212</v>
      </c>
      <c r="K6439" t="s">
        <v>10217</v>
      </c>
      <c r="M6439" t="s">
        <v>10331</v>
      </c>
      <c r="N6439" t="s">
        <v>10675</v>
      </c>
      <c r="P6439" t="s">
        <v>10751</v>
      </c>
      <c r="Q6439" t="s">
        <v>10803</v>
      </c>
      <c r="R6439" t="s">
        <v>10821</v>
      </c>
      <c r="T6439">
        <v>24924</v>
      </c>
      <c r="U6439">
        <v>2077</v>
      </c>
      <c r="V6439">
        <v>50</v>
      </c>
      <c r="W6439">
        <v>3</v>
      </c>
      <c r="X6439">
        <v>0</v>
      </c>
      <c r="Z6439">
        <v>116.85</v>
      </c>
      <c r="AA6439">
        <v>40.743883</v>
      </c>
      <c r="AB6439">
        <v>-73.887387</v>
      </c>
      <c r="AC6439" t="s">
        <v>10837</v>
      </c>
      <c r="AD6439" t="s">
        <v>10840</v>
      </c>
      <c r="AG6439" t="s">
        <v>10858</v>
      </c>
      <c r="AH6439" t="s">
        <v>10874</v>
      </c>
      <c r="AI6439">
        <v>237</v>
      </c>
      <c r="AJ6439" t="s">
        <v>10212</v>
      </c>
      <c r="AL6439">
        <v>0.5</v>
      </c>
      <c r="AM6439" t="s">
        <v>10890</v>
      </c>
      <c r="AN6439" t="s">
        <v>10949</v>
      </c>
      <c r="AO6439" t="s">
        <v>11009</v>
      </c>
      <c r="AP6439" t="s">
        <v>11053</v>
      </c>
      <c r="AR6439" t="s">
        <v>11465</v>
      </c>
      <c r="AS6439" t="s">
        <v>11594</v>
      </c>
      <c r="AT6439" t="s">
        <v>11642</v>
      </c>
      <c r="AX6439" t="s">
        <v>10838</v>
      </c>
      <c r="BA6439" t="s">
        <v>11741</v>
      </c>
      <c r="BB6439">
        <v>0</v>
      </c>
      <c r="BC6439">
        <v>0</v>
      </c>
      <c r="BD6439">
        <v>0</v>
      </c>
      <c r="BE6439">
        <v>0</v>
      </c>
      <c r="BF6439">
        <v>1</v>
      </c>
      <c r="BG6439">
        <v>0</v>
      </c>
    </row>
    <row r="6440" spans="1:59">
      <c r="A6440" s="1">
        <f>HYPERLINK("https://lsnyc.legalserver.org/matter/dynamic-profile/view/1910783","19-1910783")</f>
        <v>0</v>
      </c>
      <c r="B6440" t="s">
        <v>4944</v>
      </c>
      <c r="C6440" t="s">
        <v>9857</v>
      </c>
      <c r="D6440" t="s">
        <v>9926</v>
      </c>
      <c r="E6440" t="s">
        <v>10075</v>
      </c>
      <c r="F6440">
        <v>10456</v>
      </c>
      <c r="G6440" t="s">
        <v>10090</v>
      </c>
      <c r="H6440" t="s">
        <v>4843</v>
      </c>
      <c r="I6440" t="s">
        <v>10168</v>
      </c>
      <c r="J6440" t="s">
        <v>10210</v>
      </c>
      <c r="K6440" t="s">
        <v>10217</v>
      </c>
      <c r="M6440" t="s">
        <v>10517</v>
      </c>
      <c r="N6440" t="s">
        <v>10650</v>
      </c>
      <c r="P6440" t="s">
        <v>10749</v>
      </c>
      <c r="Q6440" t="s">
        <v>10765</v>
      </c>
      <c r="R6440" t="s">
        <v>10821</v>
      </c>
      <c r="T6440">
        <v>10044</v>
      </c>
      <c r="U6440">
        <v>837</v>
      </c>
      <c r="V6440">
        <v>70</v>
      </c>
      <c r="W6440">
        <v>1</v>
      </c>
      <c r="X6440">
        <v>0</v>
      </c>
      <c r="Z6440">
        <v>80.42</v>
      </c>
      <c r="AA6440">
        <v>40.834974</v>
      </c>
      <c r="AB6440">
        <v>-73.91481</v>
      </c>
      <c r="AD6440" t="s">
        <v>10840</v>
      </c>
      <c r="AG6440" t="s">
        <v>10858</v>
      </c>
      <c r="AH6440" t="s">
        <v>10862</v>
      </c>
      <c r="AI6440">
        <v>230</v>
      </c>
      <c r="AJ6440" t="s">
        <v>10210</v>
      </c>
      <c r="AL6440">
        <v>1.75</v>
      </c>
      <c r="AM6440" t="s">
        <v>10884</v>
      </c>
      <c r="AN6440" t="s">
        <v>10929</v>
      </c>
      <c r="AO6440" t="s">
        <v>11000</v>
      </c>
      <c r="AP6440" t="s">
        <v>11055</v>
      </c>
      <c r="AR6440" t="s">
        <v>11263</v>
      </c>
      <c r="AS6440" t="s">
        <v>9926</v>
      </c>
      <c r="BA6440" t="s">
        <v>11741</v>
      </c>
      <c r="BB6440">
        <v>0</v>
      </c>
      <c r="BC6440">
        <v>0</v>
      </c>
      <c r="BD6440">
        <v>0</v>
      </c>
      <c r="BE6440">
        <v>0</v>
      </c>
      <c r="BF6440">
        <v>1</v>
      </c>
      <c r="BG6440">
        <v>0</v>
      </c>
    </row>
    <row r="6441" spans="1:59">
      <c r="A6441" s="1">
        <f>HYPERLINK("https://lsnyc.legalserver.org/matter/dynamic-profile/view/1910784","19-1910784")</f>
        <v>0</v>
      </c>
      <c r="B6441" t="s">
        <v>3249</v>
      </c>
      <c r="C6441" t="s">
        <v>8039</v>
      </c>
      <c r="D6441" t="s">
        <v>9938</v>
      </c>
      <c r="E6441" t="s">
        <v>10075</v>
      </c>
      <c r="F6441">
        <v>11432</v>
      </c>
      <c r="G6441" t="s">
        <v>10092</v>
      </c>
      <c r="H6441" t="s">
        <v>10158</v>
      </c>
      <c r="I6441" t="s">
        <v>10179</v>
      </c>
      <c r="J6441" t="s">
        <v>10212</v>
      </c>
      <c r="K6441" t="s">
        <v>10217</v>
      </c>
      <c r="M6441" t="s">
        <v>10422</v>
      </c>
      <c r="N6441" t="s">
        <v>10673</v>
      </c>
      <c r="P6441" t="s">
        <v>10753</v>
      </c>
      <c r="Q6441" t="s">
        <v>10763</v>
      </c>
      <c r="R6441" t="s">
        <v>10827</v>
      </c>
      <c r="T6441">
        <v>15600</v>
      </c>
      <c r="U6441">
        <v>1300</v>
      </c>
      <c r="V6441">
        <v>50</v>
      </c>
      <c r="W6441">
        <v>2</v>
      </c>
      <c r="X6441">
        <v>0</v>
      </c>
      <c r="Z6441">
        <v>92.25</v>
      </c>
      <c r="AA6441">
        <v>40.708923</v>
      </c>
      <c r="AB6441">
        <v>-73.79737900000001</v>
      </c>
      <c r="AD6441" t="s">
        <v>10839</v>
      </c>
      <c r="AF6441" t="s">
        <v>10842</v>
      </c>
      <c r="AG6441" t="s">
        <v>10859</v>
      </c>
      <c r="AH6441" t="s">
        <v>10864</v>
      </c>
      <c r="AI6441">
        <v>237</v>
      </c>
      <c r="AJ6441" t="s">
        <v>10212</v>
      </c>
      <c r="AL6441">
        <v>7.75</v>
      </c>
      <c r="AM6441" t="s">
        <v>10892</v>
      </c>
      <c r="AN6441" t="s">
        <v>10955</v>
      </c>
      <c r="AO6441" t="s">
        <v>11020</v>
      </c>
      <c r="AP6441" t="s">
        <v>11081</v>
      </c>
      <c r="AQ6441" t="s">
        <v>11198</v>
      </c>
      <c r="AR6441" t="s">
        <v>11257</v>
      </c>
      <c r="AS6441" t="s">
        <v>11594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</row>
    <row r="6442" spans="1:59">
      <c r="A6442" s="1">
        <f>HYPERLINK("https://lsnyc.legalserver.org/matter/dynamic-profile/view/1910785","19-1910785")</f>
        <v>0</v>
      </c>
      <c r="B6442" t="s">
        <v>3168</v>
      </c>
      <c r="C6442" t="s">
        <v>9858</v>
      </c>
      <c r="D6442" t="s">
        <v>9931</v>
      </c>
      <c r="E6442" t="s">
        <v>10075</v>
      </c>
      <c r="F6442">
        <v>11367</v>
      </c>
      <c r="G6442" t="s">
        <v>10090</v>
      </c>
      <c r="H6442" t="s">
        <v>10158</v>
      </c>
      <c r="I6442" t="s">
        <v>10188</v>
      </c>
      <c r="J6442" t="s">
        <v>10210</v>
      </c>
      <c r="K6442" t="s">
        <v>10217</v>
      </c>
      <c r="M6442" t="s">
        <v>10510</v>
      </c>
      <c r="N6442" t="s">
        <v>10677</v>
      </c>
      <c r="P6442" t="s">
        <v>10757</v>
      </c>
      <c r="Q6442" t="s">
        <v>10789</v>
      </c>
      <c r="R6442" t="s">
        <v>10827</v>
      </c>
      <c r="T6442">
        <v>1645</v>
      </c>
      <c r="U6442">
        <v>137.08</v>
      </c>
      <c r="V6442">
        <v>64</v>
      </c>
      <c r="W6442">
        <v>2</v>
      </c>
      <c r="X6442">
        <v>0</v>
      </c>
      <c r="Z6442">
        <v>9.73</v>
      </c>
      <c r="AA6442">
        <v>40.734844</v>
      </c>
      <c r="AB6442">
        <v>-73.82275799999999</v>
      </c>
      <c r="AD6442" t="s">
        <v>10839</v>
      </c>
      <c r="AG6442" t="s">
        <v>10858</v>
      </c>
      <c r="AH6442" t="s">
        <v>10874</v>
      </c>
      <c r="AI6442">
        <v>230</v>
      </c>
      <c r="AJ6442" t="s">
        <v>10210</v>
      </c>
      <c r="AL6442">
        <v>2</v>
      </c>
      <c r="AM6442" t="s">
        <v>10890</v>
      </c>
      <c r="AN6442" t="s">
        <v>10962</v>
      </c>
      <c r="AO6442" t="s">
        <v>11009</v>
      </c>
      <c r="AP6442" t="s">
        <v>11081</v>
      </c>
      <c r="AQ6442" t="s">
        <v>11121</v>
      </c>
      <c r="AR6442" t="s">
        <v>11589</v>
      </c>
      <c r="AS6442" t="s">
        <v>11594</v>
      </c>
      <c r="AT6442" t="s">
        <v>11641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</row>
    <row r="6443" spans="1:59">
      <c r="A6443" s="1">
        <f>HYPERLINK("https://lsnyc.legalserver.org/matter/dynamic-profile/view/1910786","19-1910786")</f>
        <v>0</v>
      </c>
      <c r="B6443" t="s">
        <v>4945</v>
      </c>
      <c r="C6443" t="s">
        <v>9859</v>
      </c>
      <c r="D6443" t="s">
        <v>9925</v>
      </c>
      <c r="E6443" t="s">
        <v>10075</v>
      </c>
      <c r="F6443">
        <v>10032</v>
      </c>
      <c r="G6443" t="s">
        <v>10089</v>
      </c>
      <c r="H6443" t="s">
        <v>10157</v>
      </c>
      <c r="I6443" t="s">
        <v>10168</v>
      </c>
      <c r="J6443" t="s">
        <v>10209</v>
      </c>
      <c r="K6443" t="s">
        <v>10217</v>
      </c>
      <c r="M6443" t="s">
        <v>10643</v>
      </c>
      <c r="N6443" t="s">
        <v>10722</v>
      </c>
      <c r="P6443" t="s">
        <v>10749</v>
      </c>
      <c r="Q6443" t="s">
        <v>10765</v>
      </c>
      <c r="R6443" t="s">
        <v>10821</v>
      </c>
      <c r="T6443">
        <v>12888</v>
      </c>
      <c r="U6443">
        <v>1074</v>
      </c>
      <c r="V6443">
        <v>63</v>
      </c>
      <c r="W6443">
        <v>1</v>
      </c>
      <c r="X6443">
        <v>0</v>
      </c>
      <c r="Z6443">
        <v>103.19</v>
      </c>
      <c r="AA6443">
        <v>40.834422</v>
      </c>
      <c r="AB6443">
        <v>-73.947665</v>
      </c>
      <c r="AD6443" t="s">
        <v>10839</v>
      </c>
      <c r="AG6443" t="s">
        <v>10858</v>
      </c>
      <c r="AH6443" t="s">
        <v>10862</v>
      </c>
      <c r="AI6443">
        <v>236</v>
      </c>
      <c r="AJ6443" t="s">
        <v>10209</v>
      </c>
      <c r="AL6443">
        <v>0</v>
      </c>
      <c r="AR6443" t="s">
        <v>11296</v>
      </c>
      <c r="AS6443" t="s">
        <v>9925</v>
      </c>
      <c r="AT6443" t="s">
        <v>11641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</row>
    <row r="6444" spans="1:59">
      <c r="A6444" s="1">
        <f>HYPERLINK("https://lsnyc.legalserver.org/matter/dynamic-profile/view/1910787","19-1910787")</f>
        <v>0</v>
      </c>
      <c r="B6444" t="s">
        <v>4946</v>
      </c>
      <c r="C6444" t="s">
        <v>9860</v>
      </c>
      <c r="D6444" t="s">
        <v>9927</v>
      </c>
      <c r="E6444" t="s">
        <v>10075</v>
      </c>
      <c r="F6444">
        <v>11377</v>
      </c>
      <c r="G6444" t="s">
        <v>10093</v>
      </c>
      <c r="H6444" t="s">
        <v>10101</v>
      </c>
      <c r="I6444" t="s">
        <v>10168</v>
      </c>
      <c r="J6444" t="s">
        <v>10213</v>
      </c>
      <c r="K6444" t="s">
        <v>10218</v>
      </c>
      <c r="L6444" t="s">
        <v>10220</v>
      </c>
      <c r="M6444" t="s">
        <v>10436</v>
      </c>
      <c r="N6444" t="s">
        <v>10710</v>
      </c>
      <c r="P6444" t="s">
        <v>10750</v>
      </c>
      <c r="Q6444" t="s">
        <v>10760</v>
      </c>
      <c r="R6444" t="s">
        <v>10824</v>
      </c>
      <c r="T6444">
        <v>20000</v>
      </c>
      <c r="U6444">
        <v>1666.67</v>
      </c>
      <c r="V6444">
        <v>61</v>
      </c>
      <c r="W6444">
        <v>1</v>
      </c>
      <c r="X6444">
        <v>0</v>
      </c>
      <c r="Y6444" t="s">
        <v>10829</v>
      </c>
      <c r="Z6444">
        <v>160.13</v>
      </c>
      <c r="AA6444">
        <v>40.754008</v>
      </c>
      <c r="AB6444">
        <v>-73.911241</v>
      </c>
      <c r="AD6444" t="s">
        <v>10839</v>
      </c>
      <c r="AG6444" t="s">
        <v>10858</v>
      </c>
      <c r="AH6444" t="s">
        <v>10861</v>
      </c>
      <c r="AI6444">
        <v>234</v>
      </c>
      <c r="AJ6444" t="s">
        <v>10214</v>
      </c>
      <c r="AK6444" t="s">
        <v>10838</v>
      </c>
      <c r="AL6444">
        <v>1.25</v>
      </c>
      <c r="AQ6444" t="s">
        <v>11141</v>
      </c>
      <c r="AR6444" t="s">
        <v>11268</v>
      </c>
      <c r="AS6444" t="s">
        <v>11594</v>
      </c>
      <c r="AT6444" t="s">
        <v>11641</v>
      </c>
      <c r="AX6444" t="s">
        <v>10837</v>
      </c>
      <c r="AY6444" t="s">
        <v>10829</v>
      </c>
      <c r="AZ6444" t="s">
        <v>11679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</row>
    <row r="6445" spans="1:59">
      <c r="A6445" s="1">
        <f>HYPERLINK("https://lsnyc.legalserver.org/matter/dynamic-profile/view/1910788","19-1910788")</f>
        <v>0</v>
      </c>
      <c r="B6445" t="s">
        <v>4947</v>
      </c>
      <c r="C6445" t="s">
        <v>9861</v>
      </c>
      <c r="D6445" t="s">
        <v>9940</v>
      </c>
      <c r="E6445" t="s">
        <v>10075</v>
      </c>
      <c r="F6445">
        <v>11421</v>
      </c>
      <c r="G6445" t="s">
        <v>10092</v>
      </c>
      <c r="H6445" t="s">
        <v>10101</v>
      </c>
      <c r="I6445" t="s">
        <v>10168</v>
      </c>
      <c r="J6445" t="s">
        <v>10212</v>
      </c>
      <c r="K6445" t="s">
        <v>10217</v>
      </c>
      <c r="M6445" t="s">
        <v>10318</v>
      </c>
      <c r="N6445" t="s">
        <v>10684</v>
      </c>
      <c r="P6445" t="s">
        <v>10751</v>
      </c>
      <c r="Q6445" t="s">
        <v>10786</v>
      </c>
      <c r="R6445" t="s">
        <v>10827</v>
      </c>
      <c r="T6445">
        <v>15340</v>
      </c>
      <c r="U6445">
        <v>1278.33</v>
      </c>
      <c r="V6445">
        <v>22</v>
      </c>
      <c r="W6445">
        <v>1</v>
      </c>
      <c r="X6445">
        <v>1</v>
      </c>
      <c r="Z6445">
        <v>90.72</v>
      </c>
      <c r="AA6445">
        <v>40.690401</v>
      </c>
      <c r="AB6445">
        <v>-73.852203</v>
      </c>
      <c r="AD6445" t="s">
        <v>10839</v>
      </c>
      <c r="AF6445" t="s">
        <v>10843</v>
      </c>
      <c r="AG6445" t="s">
        <v>10859</v>
      </c>
      <c r="AH6445" t="s">
        <v>10873</v>
      </c>
      <c r="AI6445">
        <v>237</v>
      </c>
      <c r="AJ6445" t="s">
        <v>10212</v>
      </c>
      <c r="AL6445">
        <v>1.25</v>
      </c>
      <c r="AM6445" t="s">
        <v>10886</v>
      </c>
      <c r="AN6445" t="s">
        <v>10945</v>
      </c>
      <c r="AO6445" t="s">
        <v>11024</v>
      </c>
      <c r="AP6445" t="s">
        <v>11088</v>
      </c>
      <c r="AR6445" t="s">
        <v>11257</v>
      </c>
      <c r="AS6445" t="s">
        <v>11594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</row>
    <row r="6446" spans="1:59">
      <c r="A6446" s="1">
        <f>HYPERLINK("https://lsnyc.legalserver.org/matter/dynamic-profile/view/1910789","19-1910789")</f>
        <v>0</v>
      </c>
      <c r="B6446" t="s">
        <v>4948</v>
      </c>
      <c r="C6446" t="s">
        <v>9862</v>
      </c>
      <c r="D6446" t="s">
        <v>9925</v>
      </c>
      <c r="E6446" t="s">
        <v>10075</v>
      </c>
      <c r="F6446">
        <v>10031</v>
      </c>
      <c r="G6446" t="s">
        <v>10089</v>
      </c>
      <c r="H6446" t="s">
        <v>10101</v>
      </c>
      <c r="I6446" t="s">
        <v>10168</v>
      </c>
      <c r="J6446" t="s">
        <v>10209</v>
      </c>
      <c r="K6446" t="s">
        <v>10217</v>
      </c>
      <c r="M6446" t="s">
        <v>10301</v>
      </c>
      <c r="N6446" t="s">
        <v>10665</v>
      </c>
      <c r="P6446" t="s">
        <v>10751</v>
      </c>
      <c r="Q6446" t="s">
        <v>10773</v>
      </c>
      <c r="R6446" t="s">
        <v>10827</v>
      </c>
      <c r="T6446">
        <v>0</v>
      </c>
      <c r="U6446">
        <v>0</v>
      </c>
      <c r="V6446">
        <v>52</v>
      </c>
      <c r="W6446">
        <v>1</v>
      </c>
      <c r="X6446">
        <v>0</v>
      </c>
      <c r="Z6446">
        <v>0</v>
      </c>
      <c r="AA6446">
        <v>40.820933</v>
      </c>
      <c r="AB6446">
        <v>-73.95543000000001</v>
      </c>
      <c r="AD6446" t="s">
        <v>10840</v>
      </c>
      <c r="AF6446" t="s">
        <v>10843</v>
      </c>
      <c r="AG6446" t="s">
        <v>10859</v>
      </c>
      <c r="AH6446" t="s">
        <v>10861</v>
      </c>
      <c r="AI6446">
        <v>234</v>
      </c>
      <c r="AJ6446" t="s">
        <v>10214</v>
      </c>
      <c r="AL6446">
        <v>2.1</v>
      </c>
      <c r="AM6446" t="s">
        <v>10887</v>
      </c>
      <c r="AN6446" t="s">
        <v>10936</v>
      </c>
      <c r="AO6446" t="s">
        <v>11019</v>
      </c>
      <c r="AP6446" t="s">
        <v>11073</v>
      </c>
      <c r="AQ6446" t="s">
        <v>11115</v>
      </c>
      <c r="AR6446" t="s">
        <v>11267</v>
      </c>
      <c r="AS6446" t="s">
        <v>9925</v>
      </c>
      <c r="AT6446" t="s">
        <v>11642</v>
      </c>
      <c r="AX6446" t="s">
        <v>10837</v>
      </c>
      <c r="BA6446" t="s">
        <v>11741</v>
      </c>
      <c r="BB6446">
        <v>0</v>
      </c>
      <c r="BC6446">
        <v>0</v>
      </c>
      <c r="BD6446">
        <v>0</v>
      </c>
      <c r="BE6446">
        <v>0</v>
      </c>
      <c r="BF6446">
        <v>1</v>
      </c>
      <c r="BG6446">
        <v>0</v>
      </c>
    </row>
    <row r="6447" spans="1:59">
      <c r="A6447" s="1">
        <f>HYPERLINK("https://lsnyc.legalserver.org/matter/dynamic-profile/view/1910790","19-1910790")</f>
        <v>0</v>
      </c>
      <c r="B6447" t="s">
        <v>4949</v>
      </c>
      <c r="C6447" t="s">
        <v>9863</v>
      </c>
      <c r="D6447" t="s">
        <v>9925</v>
      </c>
      <c r="E6447" t="s">
        <v>10075</v>
      </c>
      <c r="F6447">
        <v>10027</v>
      </c>
      <c r="G6447" t="s">
        <v>10089</v>
      </c>
      <c r="H6447" t="s">
        <v>10101</v>
      </c>
      <c r="I6447" t="s">
        <v>10168</v>
      </c>
      <c r="J6447" t="s">
        <v>10209</v>
      </c>
      <c r="K6447" t="s">
        <v>10217</v>
      </c>
      <c r="M6447" t="s">
        <v>10459</v>
      </c>
      <c r="N6447" t="s">
        <v>10671</v>
      </c>
      <c r="P6447" t="s">
        <v>10751</v>
      </c>
      <c r="Q6447" t="s">
        <v>10768</v>
      </c>
      <c r="R6447" t="s">
        <v>10824</v>
      </c>
      <c r="T6447">
        <v>3900</v>
      </c>
      <c r="U6447">
        <v>325</v>
      </c>
      <c r="V6447">
        <v>27</v>
      </c>
      <c r="W6447">
        <v>1</v>
      </c>
      <c r="X6447">
        <v>0</v>
      </c>
      <c r="Z6447">
        <v>31.22</v>
      </c>
      <c r="AA6447">
        <v>40.810171</v>
      </c>
      <c r="AB6447">
        <v>-73.944822</v>
      </c>
      <c r="AD6447" t="s">
        <v>10840</v>
      </c>
      <c r="AG6447" t="s">
        <v>10858</v>
      </c>
      <c r="AH6447" t="s">
        <v>10871</v>
      </c>
      <c r="AI6447">
        <v>234</v>
      </c>
      <c r="AJ6447" t="s">
        <v>10214</v>
      </c>
      <c r="AL6447">
        <v>1.15</v>
      </c>
      <c r="AM6447" t="s">
        <v>10887</v>
      </c>
      <c r="AN6447" t="s">
        <v>10936</v>
      </c>
      <c r="AO6447" t="s">
        <v>11016</v>
      </c>
      <c r="AP6447" t="s">
        <v>11076</v>
      </c>
      <c r="AR6447" t="s">
        <v>11311</v>
      </c>
      <c r="AS6447" t="s">
        <v>9925</v>
      </c>
      <c r="AT6447" t="s">
        <v>11642</v>
      </c>
      <c r="AX6447" t="s">
        <v>10838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</row>
    <row r="6448" spans="1:59">
      <c r="A6448" s="1">
        <f>HYPERLINK("https://lsnyc.legalserver.org/matter/dynamic-profile/view/1910791","19-1910791")</f>
        <v>0</v>
      </c>
      <c r="B6448" t="s">
        <v>4950</v>
      </c>
      <c r="C6448" t="s">
        <v>9864</v>
      </c>
      <c r="D6448" t="s">
        <v>9928</v>
      </c>
      <c r="E6448" t="s">
        <v>10075</v>
      </c>
      <c r="F6448">
        <v>11212</v>
      </c>
      <c r="G6448" t="s">
        <v>10093</v>
      </c>
      <c r="H6448" t="s">
        <v>10101</v>
      </c>
      <c r="I6448" t="s">
        <v>10168</v>
      </c>
      <c r="J6448" t="s">
        <v>10213</v>
      </c>
      <c r="K6448" t="s">
        <v>10217</v>
      </c>
      <c r="M6448" t="s">
        <v>10280</v>
      </c>
      <c r="N6448" t="s">
        <v>10671</v>
      </c>
      <c r="P6448" t="s">
        <v>10751</v>
      </c>
      <c r="Q6448" t="s">
        <v>10780</v>
      </c>
      <c r="R6448" t="s">
        <v>10824</v>
      </c>
      <c r="T6448">
        <v>2328</v>
      </c>
      <c r="U6448">
        <v>194</v>
      </c>
      <c r="V6448">
        <v>44</v>
      </c>
      <c r="W6448">
        <v>1</v>
      </c>
      <c r="X6448">
        <v>0</v>
      </c>
      <c r="Z6448">
        <v>18.64</v>
      </c>
      <c r="AA6448">
        <v>40.669668</v>
      </c>
      <c r="AB6448">
        <v>-73.904397</v>
      </c>
      <c r="AD6448" t="s">
        <v>10839</v>
      </c>
      <c r="AG6448" t="s">
        <v>10858</v>
      </c>
      <c r="AH6448" t="s">
        <v>10861</v>
      </c>
      <c r="AI6448">
        <v>234</v>
      </c>
      <c r="AJ6448" t="s">
        <v>10214</v>
      </c>
      <c r="AL6448">
        <v>0.5</v>
      </c>
      <c r="AM6448" t="s">
        <v>10889</v>
      </c>
      <c r="AN6448" t="s">
        <v>10922</v>
      </c>
      <c r="AO6448" t="s">
        <v>11005</v>
      </c>
      <c r="AP6448" t="s">
        <v>11064</v>
      </c>
      <c r="AR6448" t="s">
        <v>11279</v>
      </c>
      <c r="AS6448" t="s">
        <v>11595</v>
      </c>
      <c r="AT6448" t="s">
        <v>11641</v>
      </c>
      <c r="AX6448" t="s">
        <v>10838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</row>
    <row r="6449" spans="1:59">
      <c r="A6449" s="1">
        <f>HYPERLINK("https://lsnyc.legalserver.org/matter/dynamic-profile/view/1910792","19-1910792")</f>
        <v>0</v>
      </c>
      <c r="B6449" t="s">
        <v>4194</v>
      </c>
      <c r="C6449" t="s">
        <v>9377</v>
      </c>
      <c r="D6449" t="s">
        <v>9925</v>
      </c>
      <c r="E6449" t="s">
        <v>10075</v>
      </c>
      <c r="F6449">
        <v>10022</v>
      </c>
      <c r="G6449" t="s">
        <v>10092</v>
      </c>
      <c r="H6449" t="s">
        <v>10101</v>
      </c>
      <c r="I6449" t="s">
        <v>10168</v>
      </c>
      <c r="J6449" t="s">
        <v>10212</v>
      </c>
      <c r="K6449" t="s">
        <v>10217</v>
      </c>
      <c r="M6449" t="s">
        <v>10374</v>
      </c>
      <c r="N6449" t="s">
        <v>10657</v>
      </c>
      <c r="P6449" t="s">
        <v>10754</v>
      </c>
      <c r="Q6449" t="s">
        <v>10770</v>
      </c>
      <c r="R6449" t="s">
        <v>10824</v>
      </c>
      <c r="T6449">
        <v>19916</v>
      </c>
      <c r="U6449">
        <v>1659.67</v>
      </c>
      <c r="V6449">
        <v>64</v>
      </c>
      <c r="W6449">
        <v>1</v>
      </c>
      <c r="X6449">
        <v>0</v>
      </c>
      <c r="Z6449">
        <v>159.46</v>
      </c>
      <c r="AA6449">
        <v>40.756759</v>
      </c>
      <c r="AB6449">
        <v>-73.963572</v>
      </c>
      <c r="AD6449" t="s">
        <v>10840</v>
      </c>
      <c r="AG6449" t="s">
        <v>10858</v>
      </c>
      <c r="AH6449" t="s">
        <v>10866</v>
      </c>
      <c r="AI6449">
        <v>237</v>
      </c>
      <c r="AJ6449" t="s">
        <v>10212</v>
      </c>
      <c r="AL6449">
        <v>2.25</v>
      </c>
      <c r="AM6449" t="s">
        <v>10891</v>
      </c>
      <c r="AN6449" t="s">
        <v>10970</v>
      </c>
      <c r="AO6449" t="s">
        <v>11026</v>
      </c>
      <c r="AP6449" t="s">
        <v>11091</v>
      </c>
      <c r="AQ6449" t="s">
        <v>11111</v>
      </c>
      <c r="AR6449" t="s">
        <v>11257</v>
      </c>
      <c r="AS6449" t="s">
        <v>9925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</row>
    <row r="6450" spans="1:59">
      <c r="A6450" s="1">
        <f>HYPERLINK("https://lsnyc.legalserver.org/matter/dynamic-profile/view/1910793","19-1910793")</f>
        <v>0</v>
      </c>
      <c r="B6450" t="s">
        <v>4951</v>
      </c>
      <c r="C6450" t="s">
        <v>9865</v>
      </c>
      <c r="D6450" t="s">
        <v>9928</v>
      </c>
      <c r="E6450" t="s">
        <v>10075</v>
      </c>
      <c r="F6450">
        <v>11233</v>
      </c>
      <c r="G6450" t="s">
        <v>10093</v>
      </c>
      <c r="H6450" t="s">
        <v>10101</v>
      </c>
      <c r="I6450" t="s">
        <v>10168</v>
      </c>
      <c r="J6450" t="s">
        <v>10213</v>
      </c>
      <c r="K6450" t="s">
        <v>10217</v>
      </c>
      <c r="M6450" t="s">
        <v>10348</v>
      </c>
      <c r="N6450" t="s">
        <v>10650</v>
      </c>
      <c r="P6450" t="s">
        <v>10749</v>
      </c>
      <c r="Q6450" t="s">
        <v>10765</v>
      </c>
      <c r="R6450" t="s">
        <v>10822</v>
      </c>
      <c r="T6450">
        <v>8640</v>
      </c>
      <c r="U6450">
        <v>720</v>
      </c>
      <c r="V6450">
        <v>40</v>
      </c>
      <c r="W6450">
        <v>1</v>
      </c>
      <c r="X6450">
        <v>0</v>
      </c>
      <c r="Z6450">
        <v>69.18000000000001</v>
      </c>
      <c r="AA6450">
        <v>40.667871</v>
      </c>
      <c r="AB6450">
        <v>-73.92335300000001</v>
      </c>
      <c r="AD6450" t="s">
        <v>10840</v>
      </c>
      <c r="AG6450" t="s">
        <v>10858</v>
      </c>
      <c r="AH6450" t="s">
        <v>10862</v>
      </c>
      <c r="AI6450">
        <v>239</v>
      </c>
      <c r="AJ6450" t="s">
        <v>10213</v>
      </c>
      <c r="AL6450">
        <v>1</v>
      </c>
      <c r="AM6450" t="s">
        <v>10888</v>
      </c>
      <c r="AN6450" t="s">
        <v>10922</v>
      </c>
      <c r="AO6450" t="s">
        <v>11005</v>
      </c>
      <c r="AP6450" t="s">
        <v>11064</v>
      </c>
      <c r="AR6450" t="s">
        <v>11274</v>
      </c>
      <c r="AS6450" t="s">
        <v>11595</v>
      </c>
      <c r="AT6450" t="s">
        <v>11642</v>
      </c>
      <c r="AX6450" t="s">
        <v>10838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</row>
    <row r="6451" spans="1:59">
      <c r="A6451" s="1">
        <f>HYPERLINK("https://lsnyc.legalserver.org/matter/dynamic-profile/view/1910794","19-1910794")</f>
        <v>0</v>
      </c>
      <c r="B6451" t="s">
        <v>4952</v>
      </c>
      <c r="C6451" t="s">
        <v>9866</v>
      </c>
      <c r="D6451" t="s">
        <v>9925</v>
      </c>
      <c r="E6451" t="s">
        <v>10075</v>
      </c>
      <c r="F6451">
        <v>10027</v>
      </c>
      <c r="G6451" t="s">
        <v>10089</v>
      </c>
      <c r="H6451" t="s">
        <v>10157</v>
      </c>
      <c r="I6451" t="s">
        <v>10168</v>
      </c>
      <c r="J6451" t="s">
        <v>10209</v>
      </c>
      <c r="K6451" t="s">
        <v>10217</v>
      </c>
      <c r="M6451" t="s">
        <v>10499</v>
      </c>
      <c r="N6451" t="s">
        <v>10722</v>
      </c>
      <c r="P6451" t="s">
        <v>10749</v>
      </c>
      <c r="Q6451" t="s">
        <v>10791</v>
      </c>
      <c r="R6451" t="s">
        <v>10824</v>
      </c>
      <c r="T6451">
        <v>5000</v>
      </c>
      <c r="U6451">
        <v>416.67</v>
      </c>
      <c r="V6451">
        <v>62</v>
      </c>
      <c r="W6451">
        <v>1</v>
      </c>
      <c r="X6451">
        <v>0</v>
      </c>
      <c r="Z6451">
        <v>40.03</v>
      </c>
      <c r="AA6451">
        <v>40.813071</v>
      </c>
      <c r="AB6451">
        <v>-73.95924100000001</v>
      </c>
      <c r="AD6451" t="s">
        <v>10839</v>
      </c>
      <c r="AG6451" t="s">
        <v>10858</v>
      </c>
      <c r="AH6451" t="s">
        <v>10862</v>
      </c>
      <c r="AI6451">
        <v>236</v>
      </c>
      <c r="AJ6451" t="s">
        <v>10209</v>
      </c>
      <c r="AL6451">
        <v>0</v>
      </c>
      <c r="AM6451" t="s">
        <v>10887</v>
      </c>
      <c r="AN6451" t="s">
        <v>10953</v>
      </c>
      <c r="AO6451" t="s">
        <v>11016</v>
      </c>
      <c r="AP6451" t="s">
        <v>11073</v>
      </c>
      <c r="AR6451" t="s">
        <v>11257</v>
      </c>
      <c r="AS6451" t="s">
        <v>9925</v>
      </c>
      <c r="AT6451" t="s">
        <v>11641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</row>
    <row r="6452" spans="1:59">
      <c r="A6452" s="1">
        <f>HYPERLINK("https://lsnyc.legalserver.org/matter/dynamic-profile/view/1910795","19-1910795")</f>
        <v>0</v>
      </c>
      <c r="B6452" t="s">
        <v>4953</v>
      </c>
      <c r="C6452" t="s">
        <v>9867</v>
      </c>
      <c r="D6452" t="s">
        <v>9926</v>
      </c>
      <c r="E6452" t="s">
        <v>10075</v>
      </c>
      <c r="F6452">
        <v>10463</v>
      </c>
      <c r="G6452" t="s">
        <v>10091</v>
      </c>
      <c r="H6452" t="s">
        <v>10101</v>
      </c>
      <c r="I6452" t="s">
        <v>10169</v>
      </c>
      <c r="J6452" t="s">
        <v>10214</v>
      </c>
      <c r="K6452" t="s">
        <v>10217</v>
      </c>
      <c r="M6452" t="s">
        <v>10537</v>
      </c>
      <c r="N6452" t="s">
        <v>10671</v>
      </c>
      <c r="P6452" t="s">
        <v>10753</v>
      </c>
      <c r="Q6452" t="s">
        <v>10763</v>
      </c>
      <c r="R6452" t="s">
        <v>10821</v>
      </c>
      <c r="T6452">
        <v>2196</v>
      </c>
      <c r="U6452">
        <v>183</v>
      </c>
      <c r="V6452">
        <v>83</v>
      </c>
      <c r="W6452">
        <v>1</v>
      </c>
      <c r="X6452">
        <v>0</v>
      </c>
      <c r="Z6452">
        <v>17.58</v>
      </c>
      <c r="AA6452">
        <v>40.884493</v>
      </c>
      <c r="AB6452">
        <v>-73.906215</v>
      </c>
      <c r="AD6452" t="s">
        <v>10839</v>
      </c>
      <c r="AF6452" t="s">
        <v>10843</v>
      </c>
      <c r="AG6452" t="s">
        <v>10859</v>
      </c>
      <c r="AH6452" t="s">
        <v>10861</v>
      </c>
      <c r="AI6452">
        <v>234</v>
      </c>
      <c r="AJ6452" t="s">
        <v>10214</v>
      </c>
      <c r="AL6452">
        <v>0.5</v>
      </c>
      <c r="AM6452" t="s">
        <v>10893</v>
      </c>
      <c r="AN6452" t="s">
        <v>10919</v>
      </c>
      <c r="AO6452" t="s">
        <v>11002</v>
      </c>
      <c r="AP6452" t="s">
        <v>11057</v>
      </c>
      <c r="AR6452" t="s">
        <v>11311</v>
      </c>
      <c r="AS6452" t="s">
        <v>9926</v>
      </c>
      <c r="AT6452" t="s">
        <v>11641</v>
      </c>
      <c r="AX6452" t="s">
        <v>10838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</row>
    <row r="6453" spans="1:59">
      <c r="A6453" s="1">
        <f>HYPERLINK("https://lsnyc.legalserver.org/matter/dynamic-profile/view/1910796","19-1910796")</f>
        <v>0</v>
      </c>
      <c r="B6453" t="s">
        <v>4954</v>
      </c>
      <c r="C6453" t="s">
        <v>9868</v>
      </c>
      <c r="D6453" t="s">
        <v>9930</v>
      </c>
      <c r="E6453" t="s">
        <v>10075</v>
      </c>
      <c r="F6453">
        <v>11373</v>
      </c>
      <c r="G6453" t="s">
        <v>10092</v>
      </c>
      <c r="H6453" t="s">
        <v>10101</v>
      </c>
      <c r="I6453" t="s">
        <v>10168</v>
      </c>
      <c r="J6453" t="s">
        <v>10212</v>
      </c>
      <c r="K6453" t="s">
        <v>10217</v>
      </c>
      <c r="M6453" t="s">
        <v>10329</v>
      </c>
      <c r="N6453" t="s">
        <v>10693</v>
      </c>
      <c r="P6453" t="s">
        <v>10749</v>
      </c>
      <c r="Q6453" t="s">
        <v>10765</v>
      </c>
      <c r="R6453" t="s">
        <v>10825</v>
      </c>
      <c r="T6453">
        <v>7280</v>
      </c>
      <c r="U6453">
        <v>606.67</v>
      </c>
      <c r="V6453">
        <v>35</v>
      </c>
      <c r="W6453">
        <v>1</v>
      </c>
      <c r="X6453">
        <v>4</v>
      </c>
      <c r="Z6453">
        <v>24.13</v>
      </c>
      <c r="AA6453">
        <v>40.738056</v>
      </c>
      <c r="AB6453">
        <v>-73.87472699999999</v>
      </c>
      <c r="AD6453" t="s">
        <v>10839</v>
      </c>
      <c r="AG6453" t="s">
        <v>10858</v>
      </c>
      <c r="AH6453" t="s">
        <v>10862</v>
      </c>
      <c r="AI6453">
        <v>237</v>
      </c>
      <c r="AJ6453" t="s">
        <v>10212</v>
      </c>
      <c r="AL6453">
        <v>0</v>
      </c>
      <c r="AM6453" t="s">
        <v>10890</v>
      </c>
      <c r="AN6453" t="s">
        <v>10916</v>
      </c>
      <c r="AO6453" t="s">
        <v>11009</v>
      </c>
      <c r="AP6453" t="s">
        <v>11053</v>
      </c>
      <c r="AR6453" t="s">
        <v>11257</v>
      </c>
      <c r="AS6453" t="s">
        <v>11594</v>
      </c>
      <c r="BA6453" t="s">
        <v>11738</v>
      </c>
      <c r="BB6453">
        <v>0</v>
      </c>
      <c r="BC6453">
        <v>0</v>
      </c>
      <c r="BD6453">
        <v>0</v>
      </c>
      <c r="BE6453">
        <v>0</v>
      </c>
      <c r="BF6453">
        <v>5</v>
      </c>
      <c r="BG6453">
        <v>0</v>
      </c>
    </row>
    <row r="6454" spans="1:59">
      <c r="A6454" s="1">
        <f>HYPERLINK("https://lsnyc.legalserver.org/matter/dynamic-profile/view/1910797","19-1910797")</f>
        <v>0</v>
      </c>
      <c r="B6454" t="s">
        <v>4265</v>
      </c>
      <c r="C6454" t="s">
        <v>9869</v>
      </c>
      <c r="D6454" t="s">
        <v>9926</v>
      </c>
      <c r="E6454" t="s">
        <v>10075</v>
      </c>
      <c r="F6454">
        <v>10463</v>
      </c>
      <c r="G6454" t="s">
        <v>10090</v>
      </c>
      <c r="H6454" t="s">
        <v>10101</v>
      </c>
      <c r="I6454" t="s">
        <v>10168</v>
      </c>
      <c r="J6454" t="s">
        <v>10210</v>
      </c>
      <c r="K6454" t="s">
        <v>10218</v>
      </c>
      <c r="L6454" t="s">
        <v>10221</v>
      </c>
      <c r="M6454" t="s">
        <v>10438</v>
      </c>
      <c r="N6454" t="s">
        <v>10694</v>
      </c>
      <c r="P6454" t="s">
        <v>10751</v>
      </c>
      <c r="Q6454" t="s">
        <v>10773</v>
      </c>
      <c r="R6454" t="s">
        <v>10821</v>
      </c>
      <c r="T6454">
        <v>0</v>
      </c>
      <c r="U6454">
        <v>0</v>
      </c>
      <c r="V6454">
        <v>32</v>
      </c>
      <c r="W6454">
        <v>1</v>
      </c>
      <c r="X6454">
        <v>0</v>
      </c>
      <c r="Y6454" t="s">
        <v>10829</v>
      </c>
      <c r="Z6454">
        <v>0</v>
      </c>
      <c r="AA6454">
        <v>40.876544</v>
      </c>
      <c r="AB6454">
        <v>-73.91189900000001</v>
      </c>
      <c r="AD6454" t="s">
        <v>10839</v>
      </c>
      <c r="AG6454" t="s">
        <v>10858</v>
      </c>
      <c r="AH6454" t="s">
        <v>10871</v>
      </c>
      <c r="AI6454">
        <v>234</v>
      </c>
      <c r="AJ6454" t="s">
        <v>10214</v>
      </c>
      <c r="AK6454" t="s">
        <v>10882</v>
      </c>
      <c r="AL6454">
        <v>2.5</v>
      </c>
      <c r="AM6454" t="s">
        <v>10887</v>
      </c>
      <c r="AN6454" t="s">
        <v>10937</v>
      </c>
      <c r="AO6454" t="s">
        <v>11019</v>
      </c>
      <c r="AP6454" t="s">
        <v>11074</v>
      </c>
      <c r="AR6454" t="s">
        <v>11267</v>
      </c>
      <c r="AS6454" t="s">
        <v>9926</v>
      </c>
      <c r="AT6454" t="s">
        <v>11641</v>
      </c>
      <c r="AX6454" t="s">
        <v>10838</v>
      </c>
      <c r="AY6454" t="s">
        <v>10829</v>
      </c>
      <c r="AZ6454" t="s">
        <v>11682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</row>
    <row r="6455" spans="1:59">
      <c r="A6455" s="1">
        <f>HYPERLINK("https://lsnyc.legalserver.org/matter/dynamic-profile/view/1910798","19-1910798")</f>
        <v>0</v>
      </c>
      <c r="B6455" t="s">
        <v>4955</v>
      </c>
      <c r="C6455" t="s">
        <v>9870</v>
      </c>
      <c r="D6455" t="s">
        <v>9926</v>
      </c>
      <c r="E6455" t="s">
        <v>10075</v>
      </c>
      <c r="F6455">
        <v>10456</v>
      </c>
      <c r="G6455" t="s">
        <v>10090</v>
      </c>
      <c r="H6455" t="s">
        <v>10101</v>
      </c>
      <c r="I6455" t="s">
        <v>10168</v>
      </c>
      <c r="J6455" t="s">
        <v>10210</v>
      </c>
      <c r="K6455" t="s">
        <v>10217</v>
      </c>
      <c r="M6455" t="s">
        <v>10524</v>
      </c>
      <c r="N6455" t="s">
        <v>10690</v>
      </c>
      <c r="P6455" t="s">
        <v>10749</v>
      </c>
      <c r="Q6455" t="s">
        <v>10765</v>
      </c>
      <c r="R6455" t="s">
        <v>10825</v>
      </c>
      <c r="T6455">
        <v>18593</v>
      </c>
      <c r="U6455">
        <v>1549.42</v>
      </c>
      <c r="V6455">
        <v>47</v>
      </c>
      <c r="W6455">
        <v>2</v>
      </c>
      <c r="X6455">
        <v>2</v>
      </c>
      <c r="Z6455">
        <v>72.20999999999999</v>
      </c>
      <c r="AA6455">
        <v>40.831195</v>
      </c>
      <c r="AB6455">
        <v>-73.917057</v>
      </c>
      <c r="AC6455" t="s">
        <v>10837</v>
      </c>
      <c r="AD6455" t="s">
        <v>10840</v>
      </c>
      <c r="AG6455" t="s">
        <v>10858</v>
      </c>
      <c r="AH6455" t="s">
        <v>10871</v>
      </c>
      <c r="AI6455">
        <v>234</v>
      </c>
      <c r="AJ6455" t="s">
        <v>10214</v>
      </c>
      <c r="AL6455">
        <v>0.66</v>
      </c>
      <c r="AM6455" t="s">
        <v>10884</v>
      </c>
      <c r="AN6455" t="s">
        <v>10929</v>
      </c>
      <c r="AO6455" t="s">
        <v>11001</v>
      </c>
      <c r="AP6455" t="s">
        <v>11055</v>
      </c>
      <c r="AR6455" t="s">
        <v>11309</v>
      </c>
      <c r="AS6455" t="s">
        <v>9926</v>
      </c>
      <c r="AT6455" t="s">
        <v>11642</v>
      </c>
      <c r="AX6455" t="s">
        <v>10838</v>
      </c>
      <c r="BA6455" t="s">
        <v>11741</v>
      </c>
      <c r="BB6455">
        <v>0</v>
      </c>
      <c r="BC6455">
        <v>0</v>
      </c>
      <c r="BD6455">
        <v>0</v>
      </c>
      <c r="BE6455">
        <v>0</v>
      </c>
      <c r="BF6455">
        <v>1</v>
      </c>
      <c r="BG6455">
        <v>0</v>
      </c>
    </row>
    <row r="6456" spans="1:59">
      <c r="A6456" s="1">
        <f>HYPERLINK("https://lsnyc.legalserver.org/matter/dynamic-profile/view/1910799","19-1910799")</f>
        <v>0</v>
      </c>
      <c r="B6456" t="s">
        <v>4956</v>
      </c>
      <c r="C6456" t="s">
        <v>9871</v>
      </c>
      <c r="D6456" t="s">
        <v>9928</v>
      </c>
      <c r="E6456" t="s">
        <v>10075</v>
      </c>
      <c r="F6456">
        <v>11212</v>
      </c>
      <c r="G6456" t="s">
        <v>10093</v>
      </c>
      <c r="H6456" t="s">
        <v>10101</v>
      </c>
      <c r="I6456" t="s">
        <v>10168</v>
      </c>
      <c r="J6456" t="s">
        <v>10213</v>
      </c>
      <c r="K6456" t="s">
        <v>10217</v>
      </c>
      <c r="M6456" t="s">
        <v>10280</v>
      </c>
      <c r="N6456" t="s">
        <v>10671</v>
      </c>
      <c r="P6456" t="s">
        <v>10751</v>
      </c>
      <c r="Q6456" t="s">
        <v>10768</v>
      </c>
      <c r="R6456" t="s">
        <v>10824</v>
      </c>
      <c r="T6456">
        <v>3000</v>
      </c>
      <c r="U6456">
        <v>250</v>
      </c>
      <c r="V6456">
        <v>63</v>
      </c>
      <c r="W6456">
        <v>1</v>
      </c>
      <c r="X6456">
        <v>1</v>
      </c>
      <c r="Z6456">
        <v>17.74</v>
      </c>
      <c r="AA6456">
        <v>40.660792</v>
      </c>
      <c r="AB6456">
        <v>-73.910903</v>
      </c>
      <c r="AD6456" t="s">
        <v>10839</v>
      </c>
      <c r="AG6456" t="s">
        <v>10858</v>
      </c>
      <c r="AH6456" t="s">
        <v>10861</v>
      </c>
      <c r="AI6456">
        <v>234</v>
      </c>
      <c r="AJ6456" t="s">
        <v>10214</v>
      </c>
      <c r="AL6456">
        <v>1</v>
      </c>
      <c r="AM6456" t="s">
        <v>10888</v>
      </c>
      <c r="AN6456" t="s">
        <v>10922</v>
      </c>
      <c r="AO6456" t="s">
        <v>11012</v>
      </c>
      <c r="AP6456" t="s">
        <v>11060</v>
      </c>
      <c r="AR6456" t="s">
        <v>11344</v>
      </c>
      <c r="AS6456" t="s">
        <v>11595</v>
      </c>
      <c r="AT6456" t="s">
        <v>11641</v>
      </c>
      <c r="AX6456" t="s">
        <v>10838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</row>
    <row r="6457" spans="1:59">
      <c r="A6457" s="1">
        <f>HYPERLINK("https://lsnyc.legalserver.org/matter/dynamic-profile/view/1910800","19-1910800")</f>
        <v>0</v>
      </c>
      <c r="B6457" t="s">
        <v>4957</v>
      </c>
      <c r="C6457" t="s">
        <v>9872</v>
      </c>
      <c r="D6457" t="s">
        <v>9928</v>
      </c>
      <c r="E6457" t="s">
        <v>10075</v>
      </c>
      <c r="F6457">
        <v>11226</v>
      </c>
      <c r="G6457" t="s">
        <v>10093</v>
      </c>
      <c r="H6457" t="s">
        <v>10101</v>
      </c>
      <c r="I6457" t="s">
        <v>10168</v>
      </c>
      <c r="J6457" t="s">
        <v>10213</v>
      </c>
      <c r="K6457" t="s">
        <v>10217</v>
      </c>
      <c r="M6457" t="s">
        <v>10531</v>
      </c>
      <c r="N6457" t="s">
        <v>10667</v>
      </c>
      <c r="P6457" t="s">
        <v>10749</v>
      </c>
      <c r="Q6457" t="s">
        <v>10765</v>
      </c>
      <c r="R6457" t="s">
        <v>10826</v>
      </c>
      <c r="T6457">
        <v>0</v>
      </c>
      <c r="U6457">
        <v>0</v>
      </c>
      <c r="V6457">
        <v>38</v>
      </c>
      <c r="W6457">
        <v>1</v>
      </c>
      <c r="X6457">
        <v>0</v>
      </c>
      <c r="Z6457">
        <v>0</v>
      </c>
      <c r="AA6457">
        <v>40.647691</v>
      </c>
      <c r="AB6457">
        <v>-73.95599300000001</v>
      </c>
      <c r="AD6457" t="s">
        <v>10840</v>
      </c>
      <c r="AF6457" t="s">
        <v>10843</v>
      </c>
      <c r="AG6457" t="s">
        <v>10859</v>
      </c>
      <c r="AH6457" t="s">
        <v>10862</v>
      </c>
      <c r="AI6457">
        <v>239</v>
      </c>
      <c r="AJ6457" t="s">
        <v>10213</v>
      </c>
      <c r="AL6457">
        <v>0</v>
      </c>
      <c r="AM6457" t="s">
        <v>10888</v>
      </c>
      <c r="AN6457" t="s">
        <v>10932</v>
      </c>
      <c r="AO6457" t="s">
        <v>11008</v>
      </c>
      <c r="AP6457" t="s">
        <v>11050</v>
      </c>
      <c r="AQ6457" t="s">
        <v>11101</v>
      </c>
      <c r="AR6457" t="s">
        <v>11279</v>
      </c>
      <c r="AS6457" t="s">
        <v>11595</v>
      </c>
      <c r="BA6457" t="s">
        <v>11738</v>
      </c>
      <c r="BB6457">
        <v>0</v>
      </c>
      <c r="BC6457">
        <v>0</v>
      </c>
      <c r="BD6457">
        <v>0</v>
      </c>
      <c r="BE6457">
        <v>0</v>
      </c>
      <c r="BF6457">
        <v>5</v>
      </c>
      <c r="BG6457">
        <v>0</v>
      </c>
    </row>
    <row r="6458" spans="1:59">
      <c r="A6458" s="1">
        <f>HYPERLINK("https://lsnyc.legalserver.org/matter/dynamic-profile/view/1910801","19-1910801")</f>
        <v>0</v>
      </c>
      <c r="B6458" t="s">
        <v>4473</v>
      </c>
      <c r="C6458" t="s">
        <v>9873</v>
      </c>
      <c r="D6458" t="s">
        <v>9968</v>
      </c>
      <c r="E6458" t="s">
        <v>10075</v>
      </c>
      <c r="F6458">
        <v>11411</v>
      </c>
      <c r="G6458" t="s">
        <v>10092</v>
      </c>
      <c r="H6458" t="s">
        <v>10101</v>
      </c>
      <c r="I6458" t="s">
        <v>10168</v>
      </c>
      <c r="J6458" t="s">
        <v>10212</v>
      </c>
      <c r="K6458" t="s">
        <v>10217</v>
      </c>
      <c r="M6458" t="s">
        <v>10258</v>
      </c>
      <c r="N6458" t="s">
        <v>10646</v>
      </c>
      <c r="P6458" t="s">
        <v>10749</v>
      </c>
      <c r="Q6458" t="s">
        <v>10765</v>
      </c>
      <c r="R6458" t="s">
        <v>10824</v>
      </c>
      <c r="T6458">
        <v>62400</v>
      </c>
      <c r="U6458">
        <v>5200</v>
      </c>
      <c r="V6458">
        <v>56</v>
      </c>
      <c r="W6458">
        <v>2</v>
      </c>
      <c r="X6458">
        <v>1</v>
      </c>
      <c r="Z6458">
        <v>292.55</v>
      </c>
      <c r="AA6458">
        <v>40.69195</v>
      </c>
      <c r="AB6458">
        <v>-73.730987</v>
      </c>
      <c r="AD6458" t="s">
        <v>10840</v>
      </c>
      <c r="AG6458" t="s">
        <v>10858</v>
      </c>
      <c r="AH6458" t="s">
        <v>10861</v>
      </c>
      <c r="AI6458">
        <v>234</v>
      </c>
      <c r="AJ6458" t="s">
        <v>10214</v>
      </c>
      <c r="AL6458">
        <v>1</v>
      </c>
      <c r="AM6458" t="s">
        <v>10892</v>
      </c>
      <c r="AN6458" t="s">
        <v>10940</v>
      </c>
      <c r="AO6458" t="s">
        <v>11020</v>
      </c>
      <c r="AP6458" t="s">
        <v>11075</v>
      </c>
      <c r="AR6458" t="s">
        <v>11276</v>
      </c>
      <c r="AS6458" t="s">
        <v>11594</v>
      </c>
      <c r="AT6458" t="s">
        <v>11642</v>
      </c>
      <c r="AX6458" t="s">
        <v>10838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</row>
    <row r="6459" spans="1:59">
      <c r="A6459" s="1">
        <f>HYPERLINK("https://lsnyc.legalserver.org/matter/dynamic-profile/view/1910802","19-1910802")</f>
        <v>0</v>
      </c>
      <c r="B6459" t="s">
        <v>3402</v>
      </c>
      <c r="C6459" t="s">
        <v>9874</v>
      </c>
      <c r="D6459" t="s">
        <v>9928</v>
      </c>
      <c r="E6459" t="s">
        <v>10075</v>
      </c>
      <c r="F6459">
        <v>11226</v>
      </c>
      <c r="G6459" t="s">
        <v>10093</v>
      </c>
      <c r="H6459" t="s">
        <v>10101</v>
      </c>
      <c r="I6459" t="s">
        <v>10168</v>
      </c>
      <c r="J6459" t="s">
        <v>10213</v>
      </c>
      <c r="K6459" t="s">
        <v>10217</v>
      </c>
      <c r="M6459" t="s">
        <v>10289</v>
      </c>
      <c r="N6459" t="s">
        <v>10671</v>
      </c>
      <c r="P6459" t="s">
        <v>10751</v>
      </c>
      <c r="Q6459" t="s">
        <v>10768</v>
      </c>
      <c r="R6459" t="s">
        <v>10824</v>
      </c>
      <c r="T6459">
        <v>4888</v>
      </c>
      <c r="U6459">
        <v>407.33</v>
      </c>
      <c r="V6459">
        <v>43</v>
      </c>
      <c r="W6459">
        <v>1</v>
      </c>
      <c r="X6459">
        <v>0</v>
      </c>
      <c r="Z6459">
        <v>39.14</v>
      </c>
      <c r="AA6459">
        <v>40.646857</v>
      </c>
      <c r="AB6459">
        <v>-73.95475</v>
      </c>
      <c r="AD6459" t="s">
        <v>10840</v>
      </c>
      <c r="AF6459" t="s">
        <v>10843</v>
      </c>
      <c r="AG6459" t="s">
        <v>10859</v>
      </c>
      <c r="AH6459" t="s">
        <v>10861</v>
      </c>
      <c r="AI6459">
        <v>234</v>
      </c>
      <c r="AJ6459" t="s">
        <v>10214</v>
      </c>
      <c r="AL6459">
        <v>1.25</v>
      </c>
      <c r="AM6459" t="s">
        <v>10888</v>
      </c>
      <c r="AN6459" t="s">
        <v>10932</v>
      </c>
      <c r="AO6459" t="s">
        <v>11008</v>
      </c>
      <c r="AP6459" t="s">
        <v>11050</v>
      </c>
      <c r="AR6459" t="s">
        <v>11311</v>
      </c>
      <c r="AS6459" t="s">
        <v>11595</v>
      </c>
      <c r="AT6459" t="s">
        <v>11642</v>
      </c>
      <c r="AX6459" t="s">
        <v>10837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</row>
    <row r="6460" spans="1:59">
      <c r="A6460" s="1">
        <f>HYPERLINK("https://lsnyc.legalserver.org/matter/dynamic-profile/view/1910804","19-1910804")</f>
        <v>0</v>
      </c>
      <c r="B6460" t="s">
        <v>1984</v>
      </c>
      <c r="C6460" t="s">
        <v>9875</v>
      </c>
      <c r="D6460" t="s">
        <v>9925</v>
      </c>
      <c r="E6460" t="s">
        <v>10075</v>
      </c>
      <c r="F6460">
        <v>10037</v>
      </c>
      <c r="G6460" t="s">
        <v>10091</v>
      </c>
      <c r="H6460" t="s">
        <v>10101</v>
      </c>
      <c r="I6460" t="s">
        <v>10168</v>
      </c>
      <c r="J6460" t="s">
        <v>10211</v>
      </c>
      <c r="K6460" t="s">
        <v>10217</v>
      </c>
      <c r="M6460" t="s">
        <v>10231</v>
      </c>
      <c r="N6460" t="s">
        <v>10647</v>
      </c>
      <c r="P6460" t="s">
        <v>10752</v>
      </c>
      <c r="Q6460" t="s">
        <v>10762</v>
      </c>
      <c r="R6460" t="s">
        <v>10821</v>
      </c>
      <c r="T6460">
        <v>9776</v>
      </c>
      <c r="U6460">
        <v>814.67</v>
      </c>
      <c r="V6460">
        <v>61</v>
      </c>
      <c r="W6460">
        <v>1</v>
      </c>
      <c r="X6460">
        <v>0</v>
      </c>
      <c r="Z6460">
        <v>78.27</v>
      </c>
      <c r="AA6460">
        <v>40.809575</v>
      </c>
      <c r="AB6460">
        <v>-73.936498</v>
      </c>
      <c r="AD6460" t="s">
        <v>10840</v>
      </c>
      <c r="AG6460" t="s">
        <v>10858</v>
      </c>
      <c r="AH6460" t="s">
        <v>10871</v>
      </c>
      <c r="AI6460">
        <v>234</v>
      </c>
      <c r="AJ6460" t="s">
        <v>10214</v>
      </c>
      <c r="AL6460">
        <v>1.2</v>
      </c>
      <c r="AM6460" t="s">
        <v>10887</v>
      </c>
      <c r="AN6460" t="s">
        <v>10926</v>
      </c>
      <c r="AO6460" t="s">
        <v>11016</v>
      </c>
      <c r="AP6460" t="s">
        <v>11076</v>
      </c>
      <c r="AR6460" t="s">
        <v>11327</v>
      </c>
      <c r="AS6460" t="s">
        <v>9925</v>
      </c>
      <c r="AT6460" t="s">
        <v>11642</v>
      </c>
      <c r="AX6460" t="s">
        <v>10838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</row>
    <row r="6461" spans="1:59">
      <c r="A6461" s="1">
        <f>HYPERLINK("https://lsnyc.legalserver.org/matter/dynamic-profile/view/1910805","19-1910805")</f>
        <v>0</v>
      </c>
      <c r="B6461" t="s">
        <v>1502</v>
      </c>
      <c r="C6461" t="s">
        <v>6323</v>
      </c>
      <c r="D6461" t="s">
        <v>9926</v>
      </c>
      <c r="E6461" t="s">
        <v>10075</v>
      </c>
      <c r="F6461">
        <v>10459</v>
      </c>
      <c r="G6461" t="s">
        <v>10090</v>
      </c>
      <c r="H6461" t="s">
        <v>10101</v>
      </c>
      <c r="I6461" t="s">
        <v>10168</v>
      </c>
      <c r="J6461" t="s">
        <v>10210</v>
      </c>
      <c r="K6461" t="s">
        <v>10217</v>
      </c>
      <c r="M6461" t="s">
        <v>10353</v>
      </c>
      <c r="N6461" t="s">
        <v>10671</v>
      </c>
      <c r="P6461" t="s">
        <v>10753</v>
      </c>
      <c r="Q6461" t="s">
        <v>10790</v>
      </c>
      <c r="R6461" t="s">
        <v>10824</v>
      </c>
      <c r="T6461">
        <v>8880</v>
      </c>
      <c r="U6461">
        <v>740</v>
      </c>
      <c r="V6461">
        <v>54</v>
      </c>
      <c r="W6461">
        <v>1</v>
      </c>
      <c r="X6461">
        <v>0</v>
      </c>
      <c r="Z6461">
        <v>71.09999999999999</v>
      </c>
      <c r="AA6461">
        <v>40.822859</v>
      </c>
      <c r="AB6461">
        <v>-73.89115700000001</v>
      </c>
      <c r="AD6461" t="s">
        <v>10839</v>
      </c>
      <c r="AG6461" t="s">
        <v>10858</v>
      </c>
      <c r="AH6461" t="s">
        <v>10861</v>
      </c>
      <c r="AI6461">
        <v>230</v>
      </c>
      <c r="AJ6461" t="s">
        <v>10210</v>
      </c>
      <c r="AL6461">
        <v>2</v>
      </c>
      <c r="AM6461" t="s">
        <v>10884</v>
      </c>
      <c r="AN6461" t="s">
        <v>10968</v>
      </c>
      <c r="AO6461" t="s">
        <v>11001</v>
      </c>
      <c r="AP6461" t="s">
        <v>11062</v>
      </c>
      <c r="AR6461" t="s">
        <v>11274</v>
      </c>
      <c r="AS6461" t="s">
        <v>9926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</row>
    <row r="6462" spans="1:59">
      <c r="A6462" s="1">
        <f>HYPERLINK("https://lsnyc.legalserver.org/matter/dynamic-profile/view/1910806","19-1910806")</f>
        <v>0</v>
      </c>
      <c r="B6462" t="s">
        <v>1724</v>
      </c>
      <c r="C6462" t="s">
        <v>6519</v>
      </c>
      <c r="D6462" t="s">
        <v>9928</v>
      </c>
      <c r="E6462" t="s">
        <v>10075</v>
      </c>
      <c r="F6462">
        <v>11226</v>
      </c>
      <c r="G6462" t="s">
        <v>10093</v>
      </c>
      <c r="H6462" t="s">
        <v>10101</v>
      </c>
      <c r="I6462" t="s">
        <v>10169</v>
      </c>
      <c r="J6462" t="s">
        <v>10213</v>
      </c>
      <c r="K6462" t="s">
        <v>10217</v>
      </c>
      <c r="M6462" t="s">
        <v>10592</v>
      </c>
      <c r="N6462" t="s">
        <v>10667</v>
      </c>
      <c r="P6462" t="s">
        <v>10749</v>
      </c>
      <c r="Q6462" t="s">
        <v>10765</v>
      </c>
      <c r="R6462" t="s">
        <v>10821</v>
      </c>
      <c r="T6462">
        <v>5400</v>
      </c>
      <c r="U6462">
        <v>450</v>
      </c>
      <c r="V6462">
        <v>73</v>
      </c>
      <c r="W6462">
        <v>3</v>
      </c>
      <c r="X6462">
        <v>0</v>
      </c>
      <c r="Z6462">
        <v>25.32</v>
      </c>
      <c r="AA6462">
        <v>40.654746</v>
      </c>
      <c r="AB6462">
        <v>-73.95015600000001</v>
      </c>
      <c r="AD6462" t="s">
        <v>10840</v>
      </c>
      <c r="AG6462" t="s">
        <v>10858</v>
      </c>
      <c r="AH6462" t="s">
        <v>10862</v>
      </c>
      <c r="AI6462">
        <v>239</v>
      </c>
      <c r="AJ6462" t="s">
        <v>10213</v>
      </c>
      <c r="AL6462">
        <v>0</v>
      </c>
      <c r="AM6462" t="s">
        <v>10888</v>
      </c>
      <c r="AN6462" t="s">
        <v>10912</v>
      </c>
      <c r="AO6462" t="s">
        <v>11005</v>
      </c>
      <c r="AP6462" t="s">
        <v>11050</v>
      </c>
      <c r="AQ6462" t="s">
        <v>11101</v>
      </c>
      <c r="AR6462" t="s">
        <v>11296</v>
      </c>
      <c r="AS6462" t="s">
        <v>11595</v>
      </c>
      <c r="BA6462" t="s">
        <v>11738</v>
      </c>
      <c r="BB6462">
        <v>0</v>
      </c>
      <c r="BC6462">
        <v>0</v>
      </c>
      <c r="BD6462">
        <v>0</v>
      </c>
      <c r="BE6462">
        <v>0</v>
      </c>
      <c r="BF6462">
        <v>5</v>
      </c>
      <c r="BG6462">
        <v>0</v>
      </c>
    </row>
    <row r="6463" spans="1:59">
      <c r="A6463" s="1">
        <f>HYPERLINK("https://lsnyc.legalserver.org/matter/dynamic-profile/view/1910807","19-1910807")</f>
        <v>0</v>
      </c>
      <c r="B6463" t="s">
        <v>4958</v>
      </c>
      <c r="C6463" t="s">
        <v>9876</v>
      </c>
      <c r="D6463" t="s">
        <v>9950</v>
      </c>
      <c r="E6463" t="s">
        <v>10075</v>
      </c>
      <c r="F6463">
        <v>11418</v>
      </c>
      <c r="G6463" t="s">
        <v>10092</v>
      </c>
      <c r="H6463" t="s">
        <v>10101</v>
      </c>
      <c r="I6463" t="s">
        <v>10168</v>
      </c>
      <c r="J6463" t="s">
        <v>10212</v>
      </c>
      <c r="K6463" t="s">
        <v>10217</v>
      </c>
      <c r="M6463" t="s">
        <v>10318</v>
      </c>
      <c r="N6463" t="s">
        <v>10684</v>
      </c>
      <c r="P6463" t="s">
        <v>10751</v>
      </c>
      <c r="Q6463" t="s">
        <v>10786</v>
      </c>
      <c r="R6463" t="s">
        <v>10827</v>
      </c>
      <c r="T6463">
        <v>12756</v>
      </c>
      <c r="U6463">
        <v>1063</v>
      </c>
      <c r="V6463">
        <v>72</v>
      </c>
      <c r="W6463">
        <v>1</v>
      </c>
      <c r="X6463">
        <v>0</v>
      </c>
      <c r="Z6463">
        <v>102.13</v>
      </c>
      <c r="AA6463">
        <v>40.692259</v>
      </c>
      <c r="AB6463">
        <v>-73.84169799999999</v>
      </c>
      <c r="AD6463" t="s">
        <v>10839</v>
      </c>
      <c r="AF6463" t="s">
        <v>10843</v>
      </c>
      <c r="AG6463" t="s">
        <v>10859</v>
      </c>
      <c r="AH6463" t="s">
        <v>10873</v>
      </c>
      <c r="AI6463">
        <v>237</v>
      </c>
      <c r="AJ6463" t="s">
        <v>10212</v>
      </c>
      <c r="AL6463">
        <v>2</v>
      </c>
      <c r="AM6463" t="s">
        <v>10892</v>
      </c>
      <c r="AN6463" t="s">
        <v>10945</v>
      </c>
      <c r="AO6463" t="s">
        <v>11017</v>
      </c>
      <c r="AP6463" t="s">
        <v>11088</v>
      </c>
      <c r="AR6463" t="s">
        <v>11268</v>
      </c>
      <c r="AS6463" t="s">
        <v>11594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</row>
    <row r="6464" spans="1:59">
      <c r="A6464" s="1">
        <f>HYPERLINK("https://lsnyc.legalserver.org/matter/dynamic-profile/view/1910808","19-1910808")</f>
        <v>0</v>
      </c>
      <c r="B6464" t="s">
        <v>93</v>
      </c>
      <c r="C6464" t="s">
        <v>7580</v>
      </c>
      <c r="D6464" t="s">
        <v>9928</v>
      </c>
      <c r="E6464" t="s">
        <v>10075</v>
      </c>
      <c r="F6464">
        <v>11214</v>
      </c>
      <c r="G6464" t="s">
        <v>10093</v>
      </c>
      <c r="H6464" t="s">
        <v>10101</v>
      </c>
      <c r="I6464" t="s">
        <v>10168</v>
      </c>
      <c r="J6464" t="s">
        <v>10213</v>
      </c>
      <c r="K6464" t="s">
        <v>10218</v>
      </c>
      <c r="L6464" t="s">
        <v>10221</v>
      </c>
      <c r="M6464" t="s">
        <v>10245</v>
      </c>
      <c r="N6464" t="s">
        <v>10664</v>
      </c>
      <c r="P6464" t="s">
        <v>10749</v>
      </c>
      <c r="Q6464" t="s">
        <v>10765</v>
      </c>
      <c r="R6464" t="s">
        <v>10820</v>
      </c>
      <c r="T6464">
        <v>12312</v>
      </c>
      <c r="U6464">
        <v>1026</v>
      </c>
      <c r="V6464">
        <v>55</v>
      </c>
      <c r="W6464">
        <v>1</v>
      </c>
      <c r="X6464">
        <v>0</v>
      </c>
      <c r="Y6464" t="s">
        <v>10829</v>
      </c>
      <c r="Z6464">
        <v>98.56999999999999</v>
      </c>
      <c r="AA6464">
        <v>40.604471</v>
      </c>
      <c r="AB6464">
        <v>-74.00446599999999</v>
      </c>
      <c r="AD6464" t="s">
        <v>10839</v>
      </c>
      <c r="AG6464" t="s">
        <v>10858</v>
      </c>
      <c r="AH6464" t="s">
        <v>10861</v>
      </c>
      <c r="AI6464">
        <v>239</v>
      </c>
      <c r="AJ6464" t="s">
        <v>10213</v>
      </c>
      <c r="AK6464" t="s">
        <v>10838</v>
      </c>
      <c r="AL6464">
        <v>0.5</v>
      </c>
      <c r="AM6464" t="s">
        <v>10883</v>
      </c>
      <c r="AN6464" t="s">
        <v>10969</v>
      </c>
      <c r="AO6464" t="s">
        <v>11023</v>
      </c>
      <c r="AP6464" t="s">
        <v>11086</v>
      </c>
      <c r="AR6464" t="s">
        <v>11298</v>
      </c>
      <c r="AS6464" t="s">
        <v>11595</v>
      </c>
      <c r="AY6464" t="s">
        <v>10829</v>
      </c>
      <c r="AZ6464" t="s">
        <v>11681</v>
      </c>
      <c r="BA6464" t="s">
        <v>11741</v>
      </c>
      <c r="BB6464">
        <v>0</v>
      </c>
      <c r="BC6464">
        <v>0</v>
      </c>
      <c r="BD6464">
        <v>0</v>
      </c>
      <c r="BE6464">
        <v>0</v>
      </c>
      <c r="BF6464">
        <v>1</v>
      </c>
      <c r="BG6464">
        <v>0</v>
      </c>
    </row>
    <row r="6465" spans="1:59">
      <c r="A6465" s="1">
        <f>HYPERLINK("https://lsnyc.legalserver.org/matter/dynamic-profile/view/1910809","19-1910809")</f>
        <v>0</v>
      </c>
      <c r="B6465" t="s">
        <v>3064</v>
      </c>
      <c r="C6465" t="s">
        <v>9877</v>
      </c>
      <c r="D6465" t="s">
        <v>9926</v>
      </c>
      <c r="E6465" t="s">
        <v>10075</v>
      </c>
      <c r="F6465">
        <v>10459</v>
      </c>
      <c r="G6465" t="s">
        <v>10091</v>
      </c>
      <c r="H6465" t="s">
        <v>10101</v>
      </c>
      <c r="I6465" t="s">
        <v>10169</v>
      </c>
      <c r="J6465" t="s">
        <v>10214</v>
      </c>
      <c r="K6465" t="s">
        <v>10217</v>
      </c>
      <c r="M6465" t="s">
        <v>10427</v>
      </c>
      <c r="N6465" t="s">
        <v>10671</v>
      </c>
      <c r="P6465" t="s">
        <v>10749</v>
      </c>
      <c r="Q6465" t="s">
        <v>10765</v>
      </c>
      <c r="R6465" t="s">
        <v>10821</v>
      </c>
      <c r="T6465">
        <v>4888</v>
      </c>
      <c r="U6465">
        <v>407.33</v>
      </c>
      <c r="V6465">
        <v>54</v>
      </c>
      <c r="W6465">
        <v>1</v>
      </c>
      <c r="X6465">
        <v>0</v>
      </c>
      <c r="Z6465">
        <v>39.14</v>
      </c>
      <c r="AA6465">
        <v>40.827174</v>
      </c>
      <c r="AB6465">
        <v>-73.895794</v>
      </c>
      <c r="AD6465" t="s">
        <v>10840</v>
      </c>
      <c r="AG6465" t="s">
        <v>10858</v>
      </c>
      <c r="AH6465" t="s">
        <v>10871</v>
      </c>
      <c r="AI6465">
        <v>234</v>
      </c>
      <c r="AJ6465" t="s">
        <v>10214</v>
      </c>
      <c r="AL6465">
        <v>1</v>
      </c>
      <c r="AM6465" t="s">
        <v>10884</v>
      </c>
      <c r="AN6465" t="s">
        <v>10968</v>
      </c>
      <c r="AO6465" t="s">
        <v>11001</v>
      </c>
      <c r="AP6465" t="s">
        <v>11062</v>
      </c>
      <c r="AR6465" t="s">
        <v>11311</v>
      </c>
      <c r="AS6465" t="s">
        <v>9926</v>
      </c>
      <c r="AT6465" t="s">
        <v>11642</v>
      </c>
      <c r="AX6465" t="s">
        <v>10838</v>
      </c>
      <c r="BA6465" t="s">
        <v>11741</v>
      </c>
      <c r="BB6465">
        <v>0</v>
      </c>
      <c r="BC6465">
        <v>0</v>
      </c>
      <c r="BD6465">
        <v>0</v>
      </c>
      <c r="BE6465">
        <v>0</v>
      </c>
      <c r="BF6465">
        <v>1</v>
      </c>
      <c r="BG6465">
        <v>0</v>
      </c>
    </row>
    <row r="6466" spans="1:59">
      <c r="A6466" s="1">
        <f>HYPERLINK("https://lsnyc.legalserver.org/matter/dynamic-profile/view/1910810","19-1910810")</f>
        <v>0</v>
      </c>
      <c r="B6466" t="s">
        <v>4959</v>
      </c>
      <c r="C6466" t="s">
        <v>9878</v>
      </c>
      <c r="D6466" t="s">
        <v>9926</v>
      </c>
      <c r="E6466" t="s">
        <v>10075</v>
      </c>
      <c r="F6466">
        <v>10458</v>
      </c>
      <c r="G6466" t="s">
        <v>10090</v>
      </c>
      <c r="H6466" t="s">
        <v>10101</v>
      </c>
      <c r="I6466" t="s">
        <v>10168</v>
      </c>
      <c r="J6466" t="s">
        <v>10210</v>
      </c>
      <c r="K6466" t="s">
        <v>10217</v>
      </c>
      <c r="M6466" t="s">
        <v>10372</v>
      </c>
      <c r="N6466" t="s">
        <v>10704</v>
      </c>
      <c r="O6466" t="s">
        <v>10704</v>
      </c>
      <c r="P6466" t="s">
        <v>10750</v>
      </c>
      <c r="Q6466" t="s">
        <v>10778</v>
      </c>
      <c r="R6466" t="s">
        <v>10821</v>
      </c>
      <c r="T6466">
        <v>13780</v>
      </c>
      <c r="U6466">
        <v>1148.33</v>
      </c>
      <c r="V6466">
        <v>24</v>
      </c>
      <c r="W6466">
        <v>1</v>
      </c>
      <c r="X6466">
        <v>0</v>
      </c>
      <c r="Z6466">
        <v>110.33</v>
      </c>
      <c r="AA6466">
        <v>40.868188</v>
      </c>
      <c r="AB6466">
        <v>-73.882723</v>
      </c>
      <c r="AD6466" t="s">
        <v>10839</v>
      </c>
      <c r="AG6466" t="s">
        <v>10858</v>
      </c>
      <c r="AH6466" t="s">
        <v>10861</v>
      </c>
      <c r="AI6466">
        <v>234</v>
      </c>
      <c r="AJ6466" t="s">
        <v>10214</v>
      </c>
      <c r="AL6466">
        <v>2.5</v>
      </c>
      <c r="AM6466" t="s">
        <v>10887</v>
      </c>
      <c r="AN6466" t="s">
        <v>10907</v>
      </c>
      <c r="AO6466" t="s">
        <v>11002</v>
      </c>
      <c r="AP6466" t="s">
        <v>11057</v>
      </c>
      <c r="AR6466" t="s">
        <v>11262</v>
      </c>
      <c r="AS6466" t="s">
        <v>9926</v>
      </c>
      <c r="AT6466" t="s">
        <v>11641</v>
      </c>
      <c r="AX6466" t="s">
        <v>10838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</row>
    <row r="6467" spans="1:59">
      <c r="A6467" s="1">
        <f>HYPERLINK("https://lsnyc.legalserver.org/matter/dynamic-profile/view/1910811","19-1910811")</f>
        <v>0</v>
      </c>
      <c r="B6467" t="s">
        <v>3714</v>
      </c>
      <c r="C6467" t="s">
        <v>9879</v>
      </c>
      <c r="D6467" t="s">
        <v>9928</v>
      </c>
      <c r="E6467" t="s">
        <v>10075</v>
      </c>
      <c r="F6467">
        <v>11220</v>
      </c>
      <c r="G6467" t="s">
        <v>10093</v>
      </c>
      <c r="H6467" t="s">
        <v>10101</v>
      </c>
      <c r="I6467" t="s">
        <v>10168</v>
      </c>
      <c r="J6467" t="s">
        <v>10213</v>
      </c>
      <c r="K6467" t="s">
        <v>10217</v>
      </c>
      <c r="M6467" t="s">
        <v>10435</v>
      </c>
      <c r="N6467" t="s">
        <v>10671</v>
      </c>
      <c r="P6467" t="s">
        <v>10750</v>
      </c>
      <c r="Q6467" t="s">
        <v>10779</v>
      </c>
      <c r="R6467" t="s">
        <v>10824</v>
      </c>
      <c r="T6467">
        <v>0</v>
      </c>
      <c r="U6467">
        <v>0</v>
      </c>
      <c r="V6467">
        <v>33</v>
      </c>
      <c r="W6467">
        <v>1</v>
      </c>
      <c r="X6467">
        <v>0</v>
      </c>
      <c r="Z6467">
        <v>0</v>
      </c>
      <c r="AA6467">
        <v>40.640706</v>
      </c>
      <c r="AB6467">
        <v>-74.011646</v>
      </c>
      <c r="AD6467" t="s">
        <v>10839</v>
      </c>
      <c r="AG6467" t="s">
        <v>10858</v>
      </c>
      <c r="AH6467" t="s">
        <v>10861</v>
      </c>
      <c r="AI6467">
        <v>234</v>
      </c>
      <c r="AJ6467" t="s">
        <v>10214</v>
      </c>
      <c r="AL6467">
        <v>0.8</v>
      </c>
      <c r="AM6467" t="s">
        <v>10886</v>
      </c>
      <c r="AN6467" t="s">
        <v>10921</v>
      </c>
      <c r="AO6467" t="s">
        <v>11005</v>
      </c>
      <c r="AP6467" t="s">
        <v>11069</v>
      </c>
      <c r="AR6467" t="s">
        <v>11267</v>
      </c>
      <c r="AS6467" t="s">
        <v>11595</v>
      </c>
      <c r="AT6467" t="s">
        <v>11641</v>
      </c>
      <c r="AX6467" t="s">
        <v>10837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</row>
    <row r="6468" spans="1:59">
      <c r="A6468" s="1">
        <f>HYPERLINK("https://lsnyc.legalserver.org/matter/dynamic-profile/view/1910812","19-1910812")</f>
        <v>0</v>
      </c>
      <c r="B6468" t="s">
        <v>4960</v>
      </c>
      <c r="C6468" t="s">
        <v>9880</v>
      </c>
      <c r="D6468" t="s">
        <v>9928</v>
      </c>
      <c r="E6468" t="s">
        <v>10075</v>
      </c>
      <c r="F6468">
        <v>11221</v>
      </c>
      <c r="G6468" t="s">
        <v>10093</v>
      </c>
      <c r="H6468" t="s">
        <v>10101</v>
      </c>
      <c r="I6468" t="s">
        <v>10168</v>
      </c>
      <c r="J6468" t="s">
        <v>10213</v>
      </c>
      <c r="K6468" t="s">
        <v>10217</v>
      </c>
      <c r="M6468" t="s">
        <v>10465</v>
      </c>
      <c r="N6468" t="s">
        <v>10667</v>
      </c>
      <c r="P6468" t="s">
        <v>10749</v>
      </c>
      <c r="Q6468" t="s">
        <v>10765</v>
      </c>
      <c r="R6468" t="s">
        <v>10824</v>
      </c>
      <c r="T6468">
        <v>24480</v>
      </c>
      <c r="U6468">
        <v>2040</v>
      </c>
      <c r="V6468">
        <v>34</v>
      </c>
      <c r="W6468">
        <v>1</v>
      </c>
      <c r="X6468">
        <v>3</v>
      </c>
      <c r="Z6468">
        <v>95.06999999999999</v>
      </c>
      <c r="AA6468">
        <v>40.687259</v>
      </c>
      <c r="AB6468">
        <v>-73.926682</v>
      </c>
      <c r="AD6468" t="s">
        <v>10839</v>
      </c>
      <c r="AG6468" t="s">
        <v>10858</v>
      </c>
      <c r="AH6468" t="s">
        <v>10862</v>
      </c>
      <c r="AI6468">
        <v>239</v>
      </c>
      <c r="AJ6468" t="s">
        <v>10213</v>
      </c>
      <c r="AL6468">
        <v>0</v>
      </c>
      <c r="AM6468" t="s">
        <v>10889</v>
      </c>
      <c r="AN6468" t="s">
        <v>10914</v>
      </c>
      <c r="AO6468" t="s">
        <v>11007</v>
      </c>
      <c r="AP6468" t="s">
        <v>11064</v>
      </c>
      <c r="AQ6468" t="s">
        <v>11101</v>
      </c>
      <c r="AR6468" t="s">
        <v>10180</v>
      </c>
      <c r="AS6468" t="s">
        <v>11595</v>
      </c>
      <c r="BA6468" t="s">
        <v>11738</v>
      </c>
      <c r="BB6468">
        <v>0</v>
      </c>
      <c r="BC6468">
        <v>0</v>
      </c>
      <c r="BD6468">
        <v>0</v>
      </c>
      <c r="BE6468">
        <v>0</v>
      </c>
      <c r="BF6468">
        <v>5</v>
      </c>
      <c r="BG6468">
        <v>0</v>
      </c>
    </row>
    <row r="6469" spans="1:59">
      <c r="A6469" s="1">
        <f>HYPERLINK("https://lsnyc.legalserver.org/matter/dynamic-profile/view/1910813","19-1910813")</f>
        <v>0</v>
      </c>
      <c r="B6469" t="s">
        <v>4961</v>
      </c>
      <c r="C6469" t="s">
        <v>9881</v>
      </c>
      <c r="D6469" t="s">
        <v>9928</v>
      </c>
      <c r="E6469" t="s">
        <v>10075</v>
      </c>
      <c r="F6469">
        <v>11207</v>
      </c>
      <c r="G6469" t="s">
        <v>10093</v>
      </c>
      <c r="H6469" t="s">
        <v>10101</v>
      </c>
      <c r="I6469" t="s">
        <v>10168</v>
      </c>
      <c r="J6469" t="s">
        <v>10213</v>
      </c>
      <c r="K6469" t="s">
        <v>10217</v>
      </c>
      <c r="M6469" t="s">
        <v>10248</v>
      </c>
      <c r="N6469" t="s">
        <v>10720</v>
      </c>
      <c r="P6469" t="s">
        <v>10749</v>
      </c>
      <c r="Q6469" t="s">
        <v>10759</v>
      </c>
      <c r="R6469" t="s">
        <v>10824</v>
      </c>
      <c r="T6469">
        <v>104000</v>
      </c>
      <c r="U6469">
        <v>8666.67</v>
      </c>
      <c r="V6469">
        <v>55</v>
      </c>
      <c r="W6469">
        <v>1</v>
      </c>
      <c r="X6469">
        <v>0</v>
      </c>
      <c r="Z6469">
        <v>832.67</v>
      </c>
      <c r="AA6469">
        <v>40.656977</v>
      </c>
      <c r="AB6469">
        <v>-73.89451200000001</v>
      </c>
      <c r="AD6469" t="s">
        <v>10840</v>
      </c>
      <c r="AF6469" t="s">
        <v>10843</v>
      </c>
      <c r="AG6469" t="s">
        <v>10859</v>
      </c>
      <c r="AH6469" t="s">
        <v>10860</v>
      </c>
      <c r="AI6469">
        <v>239</v>
      </c>
      <c r="AJ6469" t="s">
        <v>10213</v>
      </c>
      <c r="AL6469">
        <v>5.25</v>
      </c>
      <c r="AM6469" t="s">
        <v>10889</v>
      </c>
      <c r="AN6469" t="s">
        <v>10946</v>
      </c>
      <c r="AO6469" t="s">
        <v>11012</v>
      </c>
      <c r="AP6469" t="s">
        <v>11060</v>
      </c>
      <c r="AQ6469" t="s">
        <v>11098</v>
      </c>
      <c r="AR6469" t="s">
        <v>11257</v>
      </c>
      <c r="AS6469" t="s">
        <v>11595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</row>
    <row r="6470" spans="1:59">
      <c r="A6470" s="1">
        <f>HYPERLINK("https://lsnyc.legalserver.org/matter/dynamic-profile/view/1910814","19-1910814")</f>
        <v>0</v>
      </c>
      <c r="B6470" t="s">
        <v>3034</v>
      </c>
      <c r="C6470" t="s">
        <v>9882</v>
      </c>
      <c r="D6470" t="s">
        <v>9928</v>
      </c>
      <c r="E6470" t="s">
        <v>10075</v>
      </c>
      <c r="F6470">
        <v>11206</v>
      </c>
      <c r="G6470" t="s">
        <v>10093</v>
      </c>
      <c r="H6470" t="s">
        <v>10101</v>
      </c>
      <c r="I6470" t="s">
        <v>10168</v>
      </c>
      <c r="J6470" t="s">
        <v>10213</v>
      </c>
      <c r="K6470" t="s">
        <v>10217</v>
      </c>
      <c r="M6470" t="s">
        <v>10405</v>
      </c>
      <c r="N6470" t="s">
        <v>10671</v>
      </c>
      <c r="P6470" t="s">
        <v>10749</v>
      </c>
      <c r="Q6470" t="s">
        <v>10765</v>
      </c>
      <c r="R6470" t="s">
        <v>10824</v>
      </c>
      <c r="T6470">
        <v>23036</v>
      </c>
      <c r="U6470">
        <v>1919.67</v>
      </c>
      <c r="V6470">
        <v>38</v>
      </c>
      <c r="W6470">
        <v>1</v>
      </c>
      <c r="X6470">
        <v>1</v>
      </c>
      <c r="Z6470">
        <v>136.23</v>
      </c>
      <c r="AA6470">
        <v>40.692621</v>
      </c>
      <c r="AB6470">
        <v>-73.95142300000001</v>
      </c>
      <c r="AD6470" t="s">
        <v>10839</v>
      </c>
      <c r="AG6470" t="s">
        <v>10858</v>
      </c>
      <c r="AH6470" t="s">
        <v>10861</v>
      </c>
      <c r="AI6470">
        <v>234</v>
      </c>
      <c r="AJ6470" t="s">
        <v>10214</v>
      </c>
      <c r="AL6470">
        <v>1.2</v>
      </c>
      <c r="AM6470" t="s">
        <v>10889</v>
      </c>
      <c r="AN6470" t="s">
        <v>10914</v>
      </c>
      <c r="AO6470" t="s">
        <v>11007</v>
      </c>
      <c r="AP6470" t="s">
        <v>11052</v>
      </c>
      <c r="AR6470" t="s">
        <v>11262</v>
      </c>
      <c r="AS6470" t="s">
        <v>11595</v>
      </c>
      <c r="AT6470" t="s">
        <v>11641</v>
      </c>
      <c r="AX6470" t="s">
        <v>10838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</row>
    <row r="6471" spans="1:59">
      <c r="A6471" s="1">
        <f>HYPERLINK("https://lsnyc.legalserver.org/matter/dynamic-profile/view/1910815","19-1910815")</f>
        <v>0</v>
      </c>
      <c r="B6471" t="s">
        <v>4960</v>
      </c>
      <c r="C6471" t="s">
        <v>9880</v>
      </c>
      <c r="D6471" t="s">
        <v>9928</v>
      </c>
      <c r="E6471" t="s">
        <v>10075</v>
      </c>
      <c r="F6471">
        <v>11221</v>
      </c>
      <c r="G6471" t="s">
        <v>10093</v>
      </c>
      <c r="H6471" t="s">
        <v>10101</v>
      </c>
      <c r="I6471" t="s">
        <v>10168</v>
      </c>
      <c r="J6471" t="s">
        <v>10213</v>
      </c>
      <c r="K6471" t="s">
        <v>10217</v>
      </c>
      <c r="M6471" t="s">
        <v>10465</v>
      </c>
      <c r="N6471" t="s">
        <v>10668</v>
      </c>
      <c r="P6471" t="s">
        <v>10751</v>
      </c>
      <c r="Q6471" t="s">
        <v>10761</v>
      </c>
      <c r="R6471" t="s">
        <v>10824</v>
      </c>
      <c r="T6471">
        <v>24480</v>
      </c>
      <c r="U6471">
        <v>2040</v>
      </c>
      <c r="V6471">
        <v>34</v>
      </c>
      <c r="W6471">
        <v>1</v>
      </c>
      <c r="X6471">
        <v>3</v>
      </c>
      <c r="Z6471">
        <v>95.06999999999999</v>
      </c>
      <c r="AA6471">
        <v>40.687259</v>
      </c>
      <c r="AB6471">
        <v>-73.926682</v>
      </c>
      <c r="AD6471" t="s">
        <v>10839</v>
      </c>
      <c r="AG6471" t="s">
        <v>10858</v>
      </c>
      <c r="AH6471" t="s">
        <v>10862</v>
      </c>
      <c r="AI6471">
        <v>239</v>
      </c>
      <c r="AJ6471" t="s">
        <v>10213</v>
      </c>
      <c r="AL6471">
        <v>0</v>
      </c>
      <c r="AM6471" t="s">
        <v>10889</v>
      </c>
      <c r="AN6471" t="s">
        <v>10914</v>
      </c>
      <c r="AO6471" t="s">
        <v>11007</v>
      </c>
      <c r="AP6471" t="s">
        <v>11064</v>
      </c>
      <c r="AR6471" t="s">
        <v>10180</v>
      </c>
      <c r="AS6471" t="s">
        <v>11595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</row>
    <row r="6472" spans="1:59">
      <c r="A6472" s="1">
        <f>HYPERLINK("https://lsnyc.legalserver.org/matter/dynamic-profile/view/1910816","19-1910816")</f>
        <v>0</v>
      </c>
      <c r="B6472" t="s">
        <v>4962</v>
      </c>
      <c r="C6472" t="s">
        <v>9883</v>
      </c>
      <c r="D6472" t="s">
        <v>9928</v>
      </c>
      <c r="E6472" t="s">
        <v>10075</v>
      </c>
      <c r="F6472">
        <v>11209</v>
      </c>
      <c r="G6472" t="s">
        <v>10093</v>
      </c>
      <c r="H6472" t="s">
        <v>10101</v>
      </c>
      <c r="I6472" t="s">
        <v>10168</v>
      </c>
      <c r="J6472" t="s">
        <v>10213</v>
      </c>
      <c r="K6472" t="s">
        <v>10217</v>
      </c>
      <c r="M6472" t="s">
        <v>10245</v>
      </c>
      <c r="N6472" t="s">
        <v>10711</v>
      </c>
      <c r="P6472" t="s">
        <v>10749</v>
      </c>
      <c r="Q6472" t="s">
        <v>10791</v>
      </c>
      <c r="R6472" t="s">
        <v>10820</v>
      </c>
      <c r="T6472">
        <v>600000</v>
      </c>
      <c r="U6472">
        <v>50000</v>
      </c>
      <c r="V6472">
        <v>33</v>
      </c>
      <c r="W6472">
        <v>1</v>
      </c>
      <c r="X6472">
        <v>0</v>
      </c>
      <c r="Z6472">
        <v>4803.84</v>
      </c>
      <c r="AA6472">
        <v>40.616016</v>
      </c>
      <c r="AB6472">
        <v>-74.036957</v>
      </c>
      <c r="AD6472" t="s">
        <v>10839</v>
      </c>
      <c r="AG6472" t="s">
        <v>10858</v>
      </c>
      <c r="AH6472" t="s">
        <v>10862</v>
      </c>
      <c r="AI6472">
        <v>239</v>
      </c>
      <c r="AJ6472" t="s">
        <v>10213</v>
      </c>
      <c r="AL6472">
        <v>0.3</v>
      </c>
      <c r="AR6472" t="s">
        <v>11257</v>
      </c>
      <c r="AS6472" t="s">
        <v>11595</v>
      </c>
      <c r="AT6472" t="s">
        <v>11641</v>
      </c>
      <c r="AV6472" t="s">
        <v>11656</v>
      </c>
      <c r="AW6472" t="s">
        <v>11645</v>
      </c>
      <c r="BA6472" t="s">
        <v>11742</v>
      </c>
      <c r="BB6472">
        <v>0</v>
      </c>
      <c r="BC6472">
        <v>0</v>
      </c>
      <c r="BD6472">
        <v>0</v>
      </c>
      <c r="BE6472">
        <v>0</v>
      </c>
      <c r="BF6472">
        <v>7</v>
      </c>
      <c r="BG6472">
        <v>0</v>
      </c>
    </row>
    <row r="6473" spans="1:59">
      <c r="A6473" s="1">
        <f>HYPERLINK("https://lsnyc.legalserver.org/matter/dynamic-profile/view/1910817","19-1910817")</f>
        <v>0</v>
      </c>
      <c r="B6473" t="s">
        <v>3318</v>
      </c>
      <c r="C6473" t="s">
        <v>8109</v>
      </c>
      <c r="D6473" t="s">
        <v>9928</v>
      </c>
      <c r="E6473" t="s">
        <v>10075</v>
      </c>
      <c r="F6473">
        <v>11225</v>
      </c>
      <c r="G6473" t="s">
        <v>10093</v>
      </c>
      <c r="H6473" t="s">
        <v>10101</v>
      </c>
      <c r="I6473" t="s">
        <v>10168</v>
      </c>
      <c r="J6473" t="s">
        <v>10213</v>
      </c>
      <c r="K6473" t="s">
        <v>10217</v>
      </c>
      <c r="M6473" t="s">
        <v>10465</v>
      </c>
      <c r="N6473" t="s">
        <v>10671</v>
      </c>
      <c r="P6473" t="s">
        <v>10751</v>
      </c>
      <c r="Q6473" t="s">
        <v>10761</v>
      </c>
      <c r="R6473" t="s">
        <v>10821</v>
      </c>
      <c r="T6473">
        <v>18720</v>
      </c>
      <c r="U6473">
        <v>1560</v>
      </c>
      <c r="V6473">
        <v>45</v>
      </c>
      <c r="W6473">
        <v>1</v>
      </c>
      <c r="X6473">
        <v>0</v>
      </c>
      <c r="Z6473">
        <v>149.88</v>
      </c>
      <c r="AA6473">
        <v>40.66613</v>
      </c>
      <c r="AB6473">
        <v>-73.953873</v>
      </c>
      <c r="AD6473" t="s">
        <v>10839</v>
      </c>
      <c r="AG6473" t="s">
        <v>10858</v>
      </c>
      <c r="AH6473" t="s">
        <v>10862</v>
      </c>
      <c r="AI6473">
        <v>239</v>
      </c>
      <c r="AJ6473" t="s">
        <v>10213</v>
      </c>
      <c r="AL6473">
        <v>0</v>
      </c>
      <c r="AM6473" t="s">
        <v>10888</v>
      </c>
      <c r="AN6473" t="s">
        <v>10923</v>
      </c>
      <c r="AO6473" t="s">
        <v>11005</v>
      </c>
      <c r="AP6473" t="s">
        <v>11061</v>
      </c>
      <c r="AR6473" t="s">
        <v>11257</v>
      </c>
      <c r="AS6473" t="s">
        <v>11595</v>
      </c>
      <c r="BA6473" t="s">
        <v>11742</v>
      </c>
      <c r="BB6473">
        <v>0</v>
      </c>
      <c r="BC6473">
        <v>0</v>
      </c>
      <c r="BD6473">
        <v>0</v>
      </c>
      <c r="BE6473">
        <v>0</v>
      </c>
      <c r="BF6473">
        <v>7</v>
      </c>
      <c r="BG6473">
        <v>0</v>
      </c>
    </row>
    <row r="6474" spans="1:59">
      <c r="A6474" s="1">
        <f>HYPERLINK("https://lsnyc.legalserver.org/matter/dynamic-profile/view/1910818","19-1910818")</f>
        <v>0</v>
      </c>
      <c r="B6474" t="s">
        <v>3562</v>
      </c>
      <c r="C6474" t="s">
        <v>8362</v>
      </c>
      <c r="D6474" t="s">
        <v>9926</v>
      </c>
      <c r="E6474" t="s">
        <v>10075</v>
      </c>
      <c r="F6474">
        <v>10460</v>
      </c>
      <c r="G6474" t="s">
        <v>10090</v>
      </c>
      <c r="H6474" t="s">
        <v>4843</v>
      </c>
      <c r="I6474" t="s">
        <v>10169</v>
      </c>
      <c r="J6474" t="s">
        <v>10210</v>
      </c>
      <c r="K6474" t="s">
        <v>10217</v>
      </c>
      <c r="M6474" t="s">
        <v>10310</v>
      </c>
      <c r="N6474" t="s">
        <v>10683</v>
      </c>
      <c r="P6474" t="s">
        <v>10754</v>
      </c>
      <c r="Q6474" t="s">
        <v>10775</v>
      </c>
      <c r="R6474" t="s">
        <v>10821</v>
      </c>
      <c r="T6474">
        <v>0</v>
      </c>
      <c r="U6474">
        <v>0</v>
      </c>
      <c r="V6474">
        <v>54</v>
      </c>
      <c r="W6474">
        <v>2</v>
      </c>
      <c r="X6474">
        <v>2</v>
      </c>
      <c r="Z6474">
        <v>0</v>
      </c>
      <c r="AA6474">
        <v>40.836598</v>
      </c>
      <c r="AB6474">
        <v>-73.866854</v>
      </c>
      <c r="AD6474" t="s">
        <v>10839</v>
      </c>
      <c r="AG6474" t="s">
        <v>10858</v>
      </c>
      <c r="AH6474" t="s">
        <v>10865</v>
      </c>
      <c r="AI6474">
        <v>230</v>
      </c>
      <c r="AJ6474" t="s">
        <v>10210</v>
      </c>
      <c r="AL6474">
        <v>2.25</v>
      </c>
      <c r="AM6474" t="s">
        <v>10884</v>
      </c>
      <c r="AN6474" t="s">
        <v>10908</v>
      </c>
      <c r="AO6474" t="s">
        <v>11001</v>
      </c>
      <c r="AP6474" t="s">
        <v>11046</v>
      </c>
      <c r="AR6474" t="s">
        <v>11267</v>
      </c>
      <c r="AS6474" t="s">
        <v>9926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</row>
    <row r="6475" spans="1:59">
      <c r="A6475" s="1">
        <f>HYPERLINK("https://lsnyc.legalserver.org/matter/dynamic-profile/view/1910819","19-1910819")</f>
        <v>0</v>
      </c>
      <c r="B6475" t="s">
        <v>4963</v>
      </c>
      <c r="C6475" t="s">
        <v>9884</v>
      </c>
      <c r="D6475" t="s">
        <v>9928</v>
      </c>
      <c r="E6475" t="s">
        <v>10075</v>
      </c>
      <c r="F6475">
        <v>11207</v>
      </c>
      <c r="G6475" t="s">
        <v>10091</v>
      </c>
      <c r="H6475" t="s">
        <v>10101</v>
      </c>
      <c r="I6475" t="s">
        <v>10169</v>
      </c>
      <c r="J6475" t="s">
        <v>10214</v>
      </c>
      <c r="K6475" t="s">
        <v>10217</v>
      </c>
      <c r="M6475" t="s">
        <v>10286</v>
      </c>
      <c r="N6475" t="s">
        <v>10671</v>
      </c>
      <c r="P6475" t="s">
        <v>10751</v>
      </c>
      <c r="Q6475" t="s">
        <v>10768</v>
      </c>
      <c r="R6475" t="s">
        <v>10821</v>
      </c>
      <c r="T6475">
        <v>13164</v>
      </c>
      <c r="U6475">
        <v>1097</v>
      </c>
      <c r="V6475">
        <v>62</v>
      </c>
      <c r="W6475">
        <v>1</v>
      </c>
      <c r="X6475">
        <v>0</v>
      </c>
      <c r="Z6475">
        <v>105.4</v>
      </c>
      <c r="AA6475">
        <v>40.660587</v>
      </c>
      <c r="AB6475">
        <v>-73.89293499999999</v>
      </c>
      <c r="AD6475" t="s">
        <v>10840</v>
      </c>
      <c r="AG6475" t="s">
        <v>10858</v>
      </c>
      <c r="AH6475" t="s">
        <v>10871</v>
      </c>
      <c r="AI6475">
        <v>234</v>
      </c>
      <c r="AJ6475" t="s">
        <v>10214</v>
      </c>
      <c r="AL6475">
        <v>1</v>
      </c>
      <c r="AM6475" t="s">
        <v>10889</v>
      </c>
      <c r="AN6475" t="s">
        <v>10946</v>
      </c>
      <c r="AO6475" t="s">
        <v>11012</v>
      </c>
      <c r="AP6475" t="s">
        <v>11060</v>
      </c>
      <c r="AR6475" t="s">
        <v>11268</v>
      </c>
      <c r="AS6475" t="s">
        <v>11595</v>
      </c>
      <c r="AT6475" t="s">
        <v>11642</v>
      </c>
      <c r="AX6475" t="s">
        <v>10838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</row>
    <row r="6476" spans="1:59">
      <c r="A6476" s="1">
        <f>HYPERLINK("https://lsnyc.legalserver.org/matter/dynamic-profile/view/1910820","19-1910820")</f>
        <v>0</v>
      </c>
      <c r="B6476" t="s">
        <v>4964</v>
      </c>
      <c r="C6476" t="s">
        <v>9885</v>
      </c>
      <c r="D6476" t="s">
        <v>9925</v>
      </c>
      <c r="E6476" t="s">
        <v>10075</v>
      </c>
      <c r="F6476">
        <v>10002</v>
      </c>
      <c r="G6476" t="s">
        <v>10091</v>
      </c>
      <c r="H6476" t="s">
        <v>10101</v>
      </c>
      <c r="I6476" t="s">
        <v>10168</v>
      </c>
      <c r="J6476" t="s">
        <v>10214</v>
      </c>
      <c r="K6476" t="s">
        <v>10217</v>
      </c>
      <c r="M6476" t="s">
        <v>10537</v>
      </c>
      <c r="N6476" t="s">
        <v>10671</v>
      </c>
      <c r="P6476" t="s">
        <v>10753</v>
      </c>
      <c r="Q6476" t="s">
        <v>10763</v>
      </c>
      <c r="R6476" t="s">
        <v>10823</v>
      </c>
      <c r="T6476">
        <v>1200</v>
      </c>
      <c r="U6476">
        <v>100</v>
      </c>
      <c r="V6476">
        <v>39</v>
      </c>
      <c r="W6476">
        <v>1</v>
      </c>
      <c r="X6476">
        <v>0</v>
      </c>
      <c r="Z6476">
        <v>9.609999999999999</v>
      </c>
      <c r="AA6476">
        <v>40.71843</v>
      </c>
      <c r="AB6476">
        <v>-73.992673</v>
      </c>
      <c r="AD6476" t="s">
        <v>10839</v>
      </c>
      <c r="AF6476" t="s">
        <v>10842</v>
      </c>
      <c r="AG6476" t="s">
        <v>10859</v>
      </c>
      <c r="AH6476" t="s">
        <v>10861</v>
      </c>
      <c r="AI6476">
        <v>234</v>
      </c>
      <c r="AJ6476" t="s">
        <v>10214</v>
      </c>
      <c r="AL6476">
        <v>0.6</v>
      </c>
      <c r="AM6476" t="s">
        <v>10886</v>
      </c>
      <c r="AN6476" t="s">
        <v>10963</v>
      </c>
      <c r="AO6476" t="s">
        <v>11004</v>
      </c>
      <c r="AP6476" t="s">
        <v>11093</v>
      </c>
      <c r="AR6476" t="s">
        <v>11257</v>
      </c>
      <c r="AS6476" t="s">
        <v>9925</v>
      </c>
      <c r="AT6476" t="s">
        <v>11641</v>
      </c>
      <c r="AX6476" t="s">
        <v>10838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</row>
    <row r="6477" spans="1:59">
      <c r="A6477" s="1">
        <f>HYPERLINK("https://lsnyc.legalserver.org/matter/dynamic-profile/view/1910821","19-1910821")</f>
        <v>0</v>
      </c>
      <c r="B6477" t="s">
        <v>4965</v>
      </c>
      <c r="C6477" t="s">
        <v>9886</v>
      </c>
      <c r="D6477" t="s">
        <v>9931</v>
      </c>
      <c r="E6477" t="s">
        <v>10075</v>
      </c>
      <c r="F6477">
        <v>11354</v>
      </c>
      <c r="G6477" t="s">
        <v>10092</v>
      </c>
      <c r="H6477" t="s">
        <v>10101</v>
      </c>
      <c r="I6477" t="s">
        <v>10182</v>
      </c>
      <c r="J6477" t="s">
        <v>10212</v>
      </c>
      <c r="K6477" t="s">
        <v>10217</v>
      </c>
      <c r="M6477" t="s">
        <v>10295</v>
      </c>
      <c r="N6477" t="s">
        <v>10674</v>
      </c>
      <c r="P6477" t="s">
        <v>10754</v>
      </c>
      <c r="Q6477" t="s">
        <v>10777</v>
      </c>
      <c r="R6477" t="s">
        <v>10827</v>
      </c>
      <c r="T6477">
        <v>28800</v>
      </c>
      <c r="U6477">
        <v>2400</v>
      </c>
      <c r="V6477">
        <v>39</v>
      </c>
      <c r="W6477">
        <v>1</v>
      </c>
      <c r="X6477">
        <v>2</v>
      </c>
      <c r="Z6477">
        <v>135.02</v>
      </c>
      <c r="AA6477">
        <v>40.762361</v>
      </c>
      <c r="AB6477">
        <v>-73.823297</v>
      </c>
      <c r="AD6477" t="s">
        <v>10839</v>
      </c>
      <c r="AF6477" t="s">
        <v>10843</v>
      </c>
      <c r="AG6477" t="s">
        <v>10859</v>
      </c>
      <c r="AH6477" t="s">
        <v>10865</v>
      </c>
      <c r="AI6477">
        <v>237</v>
      </c>
      <c r="AJ6477" t="s">
        <v>10212</v>
      </c>
      <c r="AL6477">
        <v>1</v>
      </c>
      <c r="AM6477" t="s">
        <v>10890</v>
      </c>
      <c r="AN6477" t="s">
        <v>10927</v>
      </c>
      <c r="AO6477" t="s">
        <v>11009</v>
      </c>
      <c r="AP6477" t="s">
        <v>11067</v>
      </c>
      <c r="AR6477" t="s">
        <v>11257</v>
      </c>
      <c r="AS6477" t="s">
        <v>11594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</row>
    <row r="6478" spans="1:59">
      <c r="A6478" s="1">
        <f>HYPERLINK("https://lsnyc.legalserver.org/matter/dynamic-profile/view/1910822","19-1910822")</f>
        <v>0</v>
      </c>
      <c r="B6478" t="s">
        <v>4966</v>
      </c>
      <c r="C6478" t="s">
        <v>9887</v>
      </c>
      <c r="D6478" t="s">
        <v>9931</v>
      </c>
      <c r="E6478" t="s">
        <v>10075</v>
      </c>
      <c r="F6478">
        <v>11358</v>
      </c>
      <c r="G6478" t="s">
        <v>10092</v>
      </c>
      <c r="H6478" t="s">
        <v>10101</v>
      </c>
      <c r="J6478" t="s">
        <v>10212</v>
      </c>
      <c r="K6478" t="s">
        <v>10217</v>
      </c>
      <c r="M6478" t="s">
        <v>10295</v>
      </c>
      <c r="N6478" t="s">
        <v>10674</v>
      </c>
      <c r="P6478" t="s">
        <v>10754</v>
      </c>
      <c r="Q6478" t="s">
        <v>10775</v>
      </c>
      <c r="R6478" t="s">
        <v>10828</v>
      </c>
      <c r="T6478">
        <v>12000</v>
      </c>
      <c r="U6478">
        <v>1000</v>
      </c>
      <c r="V6478">
        <v>23</v>
      </c>
      <c r="W6478">
        <v>1</v>
      </c>
      <c r="X6478">
        <v>0</v>
      </c>
      <c r="Z6478">
        <v>96.08</v>
      </c>
      <c r="AA6478">
        <v>40.758632</v>
      </c>
      <c r="AB6478">
        <v>-73.796013</v>
      </c>
      <c r="AD6478" t="s">
        <v>10839</v>
      </c>
      <c r="AF6478" t="s">
        <v>10842</v>
      </c>
      <c r="AG6478" t="s">
        <v>10859</v>
      </c>
      <c r="AH6478" t="s">
        <v>10865</v>
      </c>
      <c r="AI6478">
        <v>237</v>
      </c>
      <c r="AJ6478" t="s">
        <v>10212</v>
      </c>
      <c r="AL6478">
        <v>1</v>
      </c>
      <c r="AM6478" t="s">
        <v>10890</v>
      </c>
      <c r="AN6478" t="s">
        <v>10948</v>
      </c>
      <c r="AO6478" t="s">
        <v>11022</v>
      </c>
      <c r="AP6478" t="s">
        <v>11080</v>
      </c>
      <c r="AR6478" t="s">
        <v>11257</v>
      </c>
      <c r="AS6478" t="s">
        <v>11594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</row>
    <row r="6479" spans="1:59">
      <c r="A6479" s="1">
        <f>HYPERLINK("https://lsnyc.legalserver.org/matter/dynamic-profile/view/1910823","19-1910823")</f>
        <v>0</v>
      </c>
      <c r="B6479" t="s">
        <v>4967</v>
      </c>
      <c r="C6479" t="s">
        <v>9803</v>
      </c>
      <c r="D6479" t="s">
        <v>9928</v>
      </c>
      <c r="E6479" t="s">
        <v>10075</v>
      </c>
      <c r="F6479">
        <v>11238</v>
      </c>
      <c r="G6479" t="s">
        <v>10093</v>
      </c>
      <c r="H6479" t="s">
        <v>10101</v>
      </c>
      <c r="I6479" t="s">
        <v>10168</v>
      </c>
      <c r="J6479" t="s">
        <v>10213</v>
      </c>
      <c r="K6479" t="s">
        <v>10217</v>
      </c>
      <c r="M6479" t="s">
        <v>10411</v>
      </c>
      <c r="N6479" t="s">
        <v>10650</v>
      </c>
      <c r="P6479" t="s">
        <v>10749</v>
      </c>
      <c r="Q6479" t="s">
        <v>10765</v>
      </c>
      <c r="R6479" t="s">
        <v>10820</v>
      </c>
      <c r="T6479">
        <v>0</v>
      </c>
      <c r="U6479">
        <v>0</v>
      </c>
      <c r="V6479">
        <v>43</v>
      </c>
      <c r="W6479">
        <v>1</v>
      </c>
      <c r="X6479">
        <v>0</v>
      </c>
      <c r="Z6479">
        <v>0</v>
      </c>
      <c r="AA6479">
        <v>40.683158</v>
      </c>
      <c r="AB6479">
        <v>-73.9614</v>
      </c>
      <c r="AD6479" t="s">
        <v>10839</v>
      </c>
      <c r="AG6479" t="s">
        <v>10858</v>
      </c>
      <c r="AH6479" t="s">
        <v>10862</v>
      </c>
      <c r="AI6479">
        <v>239</v>
      </c>
      <c r="AJ6479" t="s">
        <v>10213</v>
      </c>
      <c r="AL6479">
        <v>4</v>
      </c>
      <c r="AM6479" t="s">
        <v>10889</v>
      </c>
      <c r="AN6479" t="s">
        <v>10923</v>
      </c>
      <c r="AO6479" t="s">
        <v>11007</v>
      </c>
      <c r="AP6479" t="s">
        <v>11061</v>
      </c>
      <c r="AQ6479" t="s">
        <v>11101</v>
      </c>
      <c r="AR6479" t="s">
        <v>11267</v>
      </c>
      <c r="AS6479" t="s">
        <v>11595</v>
      </c>
      <c r="AT6479" t="s">
        <v>11641</v>
      </c>
      <c r="AX6479" t="s">
        <v>10838</v>
      </c>
      <c r="BA6479" t="s">
        <v>11738</v>
      </c>
      <c r="BB6479">
        <v>0</v>
      </c>
      <c r="BC6479">
        <v>0</v>
      </c>
      <c r="BD6479">
        <v>0</v>
      </c>
      <c r="BE6479">
        <v>0</v>
      </c>
      <c r="BF6479">
        <v>5</v>
      </c>
      <c r="BG6479">
        <v>0</v>
      </c>
    </row>
    <row r="6480" spans="1:59">
      <c r="A6480" s="1">
        <f>HYPERLINK("https://lsnyc.legalserver.org/matter/dynamic-profile/view/1910824","19-1910824")</f>
        <v>0</v>
      </c>
      <c r="B6480" t="s">
        <v>4968</v>
      </c>
      <c r="C6480" t="s">
        <v>9888</v>
      </c>
      <c r="D6480" t="s">
        <v>9926</v>
      </c>
      <c r="E6480" t="s">
        <v>10075</v>
      </c>
      <c r="F6480">
        <v>10467</v>
      </c>
      <c r="G6480" t="s">
        <v>10090</v>
      </c>
      <c r="H6480" t="s">
        <v>10157</v>
      </c>
      <c r="I6480" t="s">
        <v>10168</v>
      </c>
      <c r="J6480" t="s">
        <v>10210</v>
      </c>
      <c r="K6480" t="s">
        <v>10217</v>
      </c>
      <c r="M6480" t="s">
        <v>10417</v>
      </c>
      <c r="N6480" t="s">
        <v>10651</v>
      </c>
      <c r="P6480" t="s">
        <v>10749</v>
      </c>
      <c r="Q6480" t="s">
        <v>10765</v>
      </c>
      <c r="R6480" t="s">
        <v>10822</v>
      </c>
      <c r="T6480">
        <v>15600</v>
      </c>
      <c r="U6480">
        <v>1300</v>
      </c>
      <c r="V6480">
        <v>28</v>
      </c>
      <c r="W6480">
        <v>2</v>
      </c>
      <c r="X6480">
        <v>2</v>
      </c>
      <c r="Z6480">
        <v>60.58</v>
      </c>
      <c r="AA6480">
        <v>40.867119</v>
      </c>
      <c r="AB6480">
        <v>-73.868048</v>
      </c>
      <c r="AD6480" t="s">
        <v>10840</v>
      </c>
      <c r="AG6480" t="s">
        <v>10858</v>
      </c>
      <c r="AH6480" t="s">
        <v>10862</v>
      </c>
      <c r="AI6480">
        <v>230</v>
      </c>
      <c r="AJ6480" t="s">
        <v>10210</v>
      </c>
      <c r="AL6480">
        <v>0</v>
      </c>
      <c r="AM6480" t="s">
        <v>10885</v>
      </c>
      <c r="AN6480" t="s">
        <v>10938</v>
      </c>
      <c r="AO6480" t="s">
        <v>11010</v>
      </c>
      <c r="AP6480" t="s">
        <v>11056</v>
      </c>
      <c r="AR6480" t="s">
        <v>11327</v>
      </c>
      <c r="AS6480" t="s">
        <v>9926</v>
      </c>
      <c r="AT6480" t="s">
        <v>11642</v>
      </c>
      <c r="AX6480" t="s">
        <v>10838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</row>
    <row r="6481" spans="1:59">
      <c r="A6481" s="1">
        <f>HYPERLINK("https://lsnyc.legalserver.org/matter/dynamic-profile/view/1910825","19-1910825")</f>
        <v>0</v>
      </c>
      <c r="B6481" t="s">
        <v>4969</v>
      </c>
      <c r="C6481" t="s">
        <v>9889</v>
      </c>
      <c r="D6481" t="s">
        <v>9935</v>
      </c>
      <c r="E6481" t="s">
        <v>10075</v>
      </c>
      <c r="F6481">
        <v>11369</v>
      </c>
      <c r="G6481" t="s">
        <v>10092</v>
      </c>
      <c r="H6481" t="s">
        <v>10101</v>
      </c>
      <c r="I6481" t="s">
        <v>10198</v>
      </c>
      <c r="J6481" t="s">
        <v>10212</v>
      </c>
      <c r="K6481" t="s">
        <v>10217</v>
      </c>
      <c r="M6481" t="s">
        <v>10609</v>
      </c>
      <c r="N6481" t="s">
        <v>10694</v>
      </c>
      <c r="P6481" t="s">
        <v>10751</v>
      </c>
      <c r="Q6481" t="s">
        <v>10780</v>
      </c>
      <c r="R6481" t="s">
        <v>10827</v>
      </c>
      <c r="T6481">
        <v>2136</v>
      </c>
      <c r="U6481">
        <v>178</v>
      </c>
      <c r="V6481">
        <v>64</v>
      </c>
      <c r="W6481">
        <v>1</v>
      </c>
      <c r="X6481">
        <v>0</v>
      </c>
      <c r="Z6481">
        <v>17.1</v>
      </c>
      <c r="AA6481">
        <v>40.757111</v>
      </c>
      <c r="AB6481">
        <v>-73.877324</v>
      </c>
      <c r="AD6481" t="s">
        <v>10839</v>
      </c>
      <c r="AF6481" t="s">
        <v>10843</v>
      </c>
      <c r="AG6481" t="s">
        <v>10859</v>
      </c>
      <c r="AH6481" t="s">
        <v>10866</v>
      </c>
      <c r="AI6481">
        <v>237</v>
      </c>
      <c r="AJ6481" t="s">
        <v>10212</v>
      </c>
      <c r="AL6481">
        <v>2.2</v>
      </c>
      <c r="AM6481" t="s">
        <v>10885</v>
      </c>
      <c r="AN6481" t="s">
        <v>10909</v>
      </c>
      <c r="AO6481" t="s">
        <v>11014</v>
      </c>
      <c r="AP6481" t="s">
        <v>11053</v>
      </c>
      <c r="AQ6481" t="s">
        <v>11191</v>
      </c>
      <c r="AR6481" t="s">
        <v>11471</v>
      </c>
      <c r="AS6481" t="s">
        <v>11594</v>
      </c>
      <c r="AT6481" t="s">
        <v>11641</v>
      </c>
      <c r="AV6481" t="s">
        <v>11641</v>
      </c>
      <c r="AW6481" t="s">
        <v>11677</v>
      </c>
      <c r="AX6481" t="s">
        <v>10838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</row>
    <row r="6482" spans="1:59">
      <c r="A6482" s="1">
        <f>HYPERLINK("https://lsnyc.legalserver.org/matter/dynamic-profile/view/1910826","19-1910826")</f>
        <v>0</v>
      </c>
      <c r="B6482" t="s">
        <v>4968</v>
      </c>
      <c r="C6482" t="s">
        <v>9888</v>
      </c>
      <c r="D6482" t="s">
        <v>9926</v>
      </c>
      <c r="E6482" t="s">
        <v>10075</v>
      </c>
      <c r="F6482">
        <v>10467</v>
      </c>
      <c r="G6482" t="s">
        <v>10090</v>
      </c>
      <c r="H6482" t="s">
        <v>10157</v>
      </c>
      <c r="I6482" t="s">
        <v>10168</v>
      </c>
      <c r="J6482" t="s">
        <v>10210</v>
      </c>
      <c r="K6482" t="s">
        <v>10217</v>
      </c>
      <c r="M6482" t="s">
        <v>10417</v>
      </c>
      <c r="N6482" t="s">
        <v>10671</v>
      </c>
      <c r="P6482" t="s">
        <v>10751</v>
      </c>
      <c r="Q6482" t="s">
        <v>10761</v>
      </c>
      <c r="R6482" t="s">
        <v>10822</v>
      </c>
      <c r="T6482">
        <v>15600</v>
      </c>
      <c r="U6482">
        <v>1300</v>
      </c>
      <c r="V6482">
        <v>28</v>
      </c>
      <c r="W6482">
        <v>2</v>
      </c>
      <c r="X6482">
        <v>2</v>
      </c>
      <c r="Z6482">
        <v>60.58</v>
      </c>
      <c r="AA6482">
        <v>40.867119</v>
      </c>
      <c r="AB6482">
        <v>-73.868048</v>
      </c>
      <c r="AD6482" t="s">
        <v>10840</v>
      </c>
      <c r="AG6482" t="s">
        <v>10858</v>
      </c>
      <c r="AH6482" t="s">
        <v>10862</v>
      </c>
      <c r="AI6482">
        <v>230</v>
      </c>
      <c r="AJ6482" t="s">
        <v>10210</v>
      </c>
      <c r="AL6482">
        <v>0</v>
      </c>
      <c r="AM6482" t="s">
        <v>10885</v>
      </c>
      <c r="AN6482" t="s">
        <v>10938</v>
      </c>
      <c r="AO6482" t="s">
        <v>11010</v>
      </c>
      <c r="AP6482" t="s">
        <v>11056</v>
      </c>
      <c r="AR6482" t="s">
        <v>11327</v>
      </c>
      <c r="AS6482" t="s">
        <v>9926</v>
      </c>
      <c r="AT6482" t="s">
        <v>11642</v>
      </c>
      <c r="AX6482" t="s">
        <v>10838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</row>
    <row r="6483" spans="1:59">
      <c r="A6483" s="1">
        <f>HYPERLINK("https://lsnyc.legalserver.org/matter/dynamic-profile/view/1910828","19-1910828")</f>
        <v>0</v>
      </c>
      <c r="B6483" t="s">
        <v>4970</v>
      </c>
      <c r="C6483" t="s">
        <v>9505</v>
      </c>
      <c r="D6483" t="s">
        <v>9925</v>
      </c>
      <c r="E6483" t="s">
        <v>10075</v>
      </c>
      <c r="F6483">
        <v>10035</v>
      </c>
      <c r="G6483" t="s">
        <v>10091</v>
      </c>
      <c r="H6483" t="s">
        <v>10101</v>
      </c>
      <c r="I6483" t="s">
        <v>10169</v>
      </c>
      <c r="J6483" t="s">
        <v>10214</v>
      </c>
      <c r="K6483" t="s">
        <v>10217</v>
      </c>
      <c r="M6483" t="s">
        <v>10537</v>
      </c>
      <c r="N6483" t="s">
        <v>10671</v>
      </c>
      <c r="P6483" t="s">
        <v>10753</v>
      </c>
      <c r="Q6483" t="s">
        <v>10763</v>
      </c>
      <c r="R6483" t="s">
        <v>10821</v>
      </c>
      <c r="T6483">
        <v>41652</v>
      </c>
      <c r="U6483">
        <v>3471</v>
      </c>
      <c r="V6483">
        <v>6</v>
      </c>
      <c r="W6483">
        <v>2</v>
      </c>
      <c r="X6483">
        <v>2</v>
      </c>
      <c r="Z6483">
        <v>161.76</v>
      </c>
      <c r="AA6483">
        <v>40.799042</v>
      </c>
      <c r="AB6483">
        <v>-73.937061</v>
      </c>
      <c r="AD6483" t="s">
        <v>10839</v>
      </c>
      <c r="AF6483" t="s">
        <v>10843</v>
      </c>
      <c r="AG6483" t="s">
        <v>10859</v>
      </c>
      <c r="AH6483" t="s">
        <v>10861</v>
      </c>
      <c r="AI6483">
        <v>234</v>
      </c>
      <c r="AJ6483" t="s">
        <v>10214</v>
      </c>
      <c r="AL6483">
        <v>0.5</v>
      </c>
      <c r="AM6483" t="s">
        <v>10887</v>
      </c>
      <c r="AN6483" t="s">
        <v>10926</v>
      </c>
      <c r="AO6483" t="s">
        <v>11016</v>
      </c>
      <c r="AP6483" t="s">
        <v>11066</v>
      </c>
      <c r="AR6483" t="s">
        <v>11257</v>
      </c>
      <c r="AS6483" t="s">
        <v>9925</v>
      </c>
      <c r="AT6483" t="s">
        <v>11641</v>
      </c>
      <c r="AX6483" t="s">
        <v>10838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</row>
    <row r="6484" spans="1:59">
      <c r="A6484" s="1">
        <f>HYPERLINK("https://lsnyc.legalserver.org/matter/dynamic-profile/view/1910829","19-1910829")</f>
        <v>0</v>
      </c>
      <c r="B6484" t="s">
        <v>2208</v>
      </c>
      <c r="C6484" t="s">
        <v>9890</v>
      </c>
      <c r="D6484" t="s">
        <v>9928</v>
      </c>
      <c r="E6484" t="s">
        <v>10075</v>
      </c>
      <c r="F6484">
        <v>11207</v>
      </c>
      <c r="G6484" t="s">
        <v>10093</v>
      </c>
      <c r="H6484" t="s">
        <v>10101</v>
      </c>
      <c r="I6484" t="s">
        <v>10168</v>
      </c>
      <c r="J6484" t="s">
        <v>10213</v>
      </c>
      <c r="K6484" t="s">
        <v>10217</v>
      </c>
      <c r="M6484" t="s">
        <v>10368</v>
      </c>
      <c r="N6484" t="s">
        <v>10650</v>
      </c>
      <c r="P6484" t="s">
        <v>10749</v>
      </c>
      <c r="Q6484" t="s">
        <v>10765</v>
      </c>
      <c r="R6484" t="s">
        <v>10824</v>
      </c>
      <c r="T6484">
        <v>36000</v>
      </c>
      <c r="U6484">
        <v>3000</v>
      </c>
      <c r="V6484">
        <v>45</v>
      </c>
      <c r="W6484">
        <v>1</v>
      </c>
      <c r="X6484">
        <v>2</v>
      </c>
      <c r="Z6484">
        <v>168.78</v>
      </c>
      <c r="AA6484">
        <v>40.67271</v>
      </c>
      <c r="AB6484">
        <v>-73.89384699999999</v>
      </c>
      <c r="AD6484" t="s">
        <v>10839</v>
      </c>
      <c r="AF6484" t="s">
        <v>10843</v>
      </c>
      <c r="AG6484" t="s">
        <v>10859</v>
      </c>
      <c r="AH6484" t="s">
        <v>10862</v>
      </c>
      <c r="AI6484">
        <v>239</v>
      </c>
      <c r="AJ6484" t="s">
        <v>10213</v>
      </c>
      <c r="AK6484" t="s">
        <v>10837</v>
      </c>
      <c r="AL6484">
        <v>0</v>
      </c>
      <c r="AM6484" t="s">
        <v>10889</v>
      </c>
      <c r="AN6484" t="s">
        <v>10922</v>
      </c>
      <c r="AO6484" t="s">
        <v>11012</v>
      </c>
      <c r="AP6484" t="s">
        <v>11058</v>
      </c>
      <c r="AQ6484" t="s">
        <v>11123</v>
      </c>
      <c r="AR6484" t="s">
        <v>11262</v>
      </c>
      <c r="AS6484" t="s">
        <v>11595</v>
      </c>
      <c r="AT6484" t="s">
        <v>11641</v>
      </c>
      <c r="AX6484" t="s">
        <v>10838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</row>
    <row r="6485" spans="1:59">
      <c r="A6485" s="1">
        <f>HYPERLINK("https://lsnyc.legalserver.org/matter/dynamic-profile/view/1910830","19-1910830")</f>
        <v>0</v>
      </c>
      <c r="B6485" t="s">
        <v>4793</v>
      </c>
      <c r="C6485" t="s">
        <v>5009</v>
      </c>
      <c r="D6485" t="s">
        <v>9928</v>
      </c>
      <c r="E6485" t="s">
        <v>10075</v>
      </c>
      <c r="F6485">
        <v>11225</v>
      </c>
      <c r="G6485" t="s">
        <v>10093</v>
      </c>
      <c r="H6485" t="s">
        <v>10101</v>
      </c>
      <c r="I6485" t="s">
        <v>10168</v>
      </c>
      <c r="J6485" t="s">
        <v>10213</v>
      </c>
      <c r="K6485" t="s">
        <v>10217</v>
      </c>
      <c r="M6485" t="s">
        <v>10236</v>
      </c>
      <c r="N6485" t="s">
        <v>10650</v>
      </c>
      <c r="P6485" t="s">
        <v>10749</v>
      </c>
      <c r="Q6485" t="s">
        <v>10765</v>
      </c>
      <c r="R6485" t="s">
        <v>10824</v>
      </c>
      <c r="T6485">
        <v>22320</v>
      </c>
      <c r="U6485">
        <v>1860</v>
      </c>
      <c r="V6485">
        <v>55</v>
      </c>
      <c r="W6485">
        <v>1</v>
      </c>
      <c r="X6485">
        <v>1</v>
      </c>
      <c r="Z6485">
        <v>131.99</v>
      </c>
      <c r="AA6485">
        <v>40.65869</v>
      </c>
      <c r="AB6485">
        <v>-73.96026000000001</v>
      </c>
      <c r="AD6485" t="s">
        <v>10840</v>
      </c>
      <c r="AG6485" t="s">
        <v>10858</v>
      </c>
      <c r="AH6485" t="s">
        <v>10862</v>
      </c>
      <c r="AI6485">
        <v>239</v>
      </c>
      <c r="AJ6485" t="s">
        <v>10213</v>
      </c>
      <c r="AL6485">
        <v>2</v>
      </c>
      <c r="AM6485" t="s">
        <v>10888</v>
      </c>
      <c r="AN6485" t="s">
        <v>10912</v>
      </c>
      <c r="AO6485" t="s">
        <v>11005</v>
      </c>
      <c r="AP6485" t="s">
        <v>11050</v>
      </c>
      <c r="AR6485" t="s">
        <v>11590</v>
      </c>
      <c r="AS6485" t="s">
        <v>11595</v>
      </c>
      <c r="BA6485" t="s">
        <v>11739</v>
      </c>
      <c r="BB6485">
        <v>0</v>
      </c>
      <c r="BC6485">
        <v>0</v>
      </c>
      <c r="BD6485">
        <v>0</v>
      </c>
      <c r="BE6485">
        <v>0</v>
      </c>
      <c r="BF6485">
        <v>4</v>
      </c>
      <c r="BG6485">
        <v>0</v>
      </c>
    </row>
    <row r="6486" spans="1:59">
      <c r="A6486" s="1">
        <f>HYPERLINK("https://lsnyc.legalserver.org/matter/dynamic-profile/view/1910831","19-1910831")</f>
        <v>0</v>
      </c>
      <c r="B6486" t="s">
        <v>2735</v>
      </c>
      <c r="C6486" t="s">
        <v>9891</v>
      </c>
      <c r="D6486" t="s">
        <v>9928</v>
      </c>
      <c r="E6486" t="s">
        <v>10075</v>
      </c>
      <c r="F6486">
        <v>11225</v>
      </c>
      <c r="G6486" t="s">
        <v>10093</v>
      </c>
      <c r="H6486" t="s">
        <v>10101</v>
      </c>
      <c r="I6486" t="s">
        <v>10168</v>
      </c>
      <c r="J6486" t="s">
        <v>10213</v>
      </c>
      <c r="K6486" t="s">
        <v>10217</v>
      </c>
      <c r="M6486" t="s">
        <v>10465</v>
      </c>
      <c r="N6486" t="s">
        <v>10667</v>
      </c>
      <c r="P6486" t="s">
        <v>10749</v>
      </c>
      <c r="Q6486" t="s">
        <v>10765</v>
      </c>
      <c r="R6486" t="s">
        <v>10822</v>
      </c>
      <c r="T6486">
        <v>1704</v>
      </c>
      <c r="U6486">
        <v>142</v>
      </c>
      <c r="V6486">
        <v>60</v>
      </c>
      <c r="W6486">
        <v>2</v>
      </c>
      <c r="X6486">
        <v>3</v>
      </c>
      <c r="Z6486">
        <v>5.65</v>
      </c>
      <c r="AA6486">
        <v>40.66869</v>
      </c>
      <c r="AB6486">
        <v>-73.94987399999999</v>
      </c>
      <c r="AD6486" t="s">
        <v>10839</v>
      </c>
      <c r="AG6486" t="s">
        <v>10858</v>
      </c>
      <c r="AH6486" t="s">
        <v>10862</v>
      </c>
      <c r="AI6486">
        <v>239</v>
      </c>
      <c r="AJ6486" t="s">
        <v>10213</v>
      </c>
      <c r="AL6486">
        <v>1.2</v>
      </c>
      <c r="AM6486" t="s">
        <v>10888</v>
      </c>
      <c r="AN6486" t="s">
        <v>10912</v>
      </c>
      <c r="AO6486" t="s">
        <v>11005</v>
      </c>
      <c r="AP6486" t="s">
        <v>11061</v>
      </c>
      <c r="AR6486" t="s">
        <v>11255</v>
      </c>
      <c r="AS6486" t="s">
        <v>11595</v>
      </c>
      <c r="BA6486" t="s">
        <v>11738</v>
      </c>
      <c r="BB6486">
        <v>0</v>
      </c>
      <c r="BC6486">
        <v>0</v>
      </c>
      <c r="BD6486">
        <v>0</v>
      </c>
      <c r="BE6486">
        <v>0</v>
      </c>
      <c r="BF6486">
        <v>5</v>
      </c>
      <c r="BG6486">
        <v>0</v>
      </c>
    </row>
    <row r="6487" spans="1:59">
      <c r="A6487" s="1">
        <f>HYPERLINK("https://lsnyc.legalserver.org/matter/dynamic-profile/view/1910832","19-1910832")</f>
        <v>0</v>
      </c>
      <c r="B6487" t="s">
        <v>4971</v>
      </c>
      <c r="C6487" t="s">
        <v>8390</v>
      </c>
      <c r="D6487" t="s">
        <v>9926</v>
      </c>
      <c r="E6487" t="s">
        <v>10075</v>
      </c>
      <c r="F6487">
        <v>10467</v>
      </c>
      <c r="G6487" t="s">
        <v>10091</v>
      </c>
      <c r="H6487" t="s">
        <v>10101</v>
      </c>
      <c r="I6487" t="s">
        <v>10169</v>
      </c>
      <c r="J6487" t="s">
        <v>10214</v>
      </c>
      <c r="K6487" t="s">
        <v>10217</v>
      </c>
      <c r="M6487" t="s">
        <v>10537</v>
      </c>
      <c r="N6487" t="s">
        <v>10671</v>
      </c>
      <c r="P6487" t="s">
        <v>10753</v>
      </c>
      <c r="Q6487" t="s">
        <v>10763</v>
      </c>
      <c r="R6487" t="s">
        <v>10821</v>
      </c>
      <c r="T6487">
        <v>15600</v>
      </c>
      <c r="U6487">
        <v>1300</v>
      </c>
      <c r="V6487">
        <v>30</v>
      </c>
      <c r="W6487">
        <v>1</v>
      </c>
      <c r="X6487">
        <v>3</v>
      </c>
      <c r="Z6487">
        <v>60.58</v>
      </c>
      <c r="AA6487">
        <v>40.877024</v>
      </c>
      <c r="AB6487">
        <v>-73.862604</v>
      </c>
      <c r="AD6487" t="s">
        <v>10839</v>
      </c>
      <c r="AF6487" t="s">
        <v>10843</v>
      </c>
      <c r="AG6487" t="s">
        <v>10859</v>
      </c>
      <c r="AH6487" t="s">
        <v>10871</v>
      </c>
      <c r="AI6487">
        <v>234</v>
      </c>
      <c r="AJ6487" t="s">
        <v>10214</v>
      </c>
      <c r="AL6487">
        <v>0.55</v>
      </c>
      <c r="AM6487" t="s">
        <v>10893</v>
      </c>
      <c r="AN6487" t="s">
        <v>10956</v>
      </c>
      <c r="AO6487" t="s">
        <v>11010</v>
      </c>
      <c r="AP6487" t="s">
        <v>11085</v>
      </c>
      <c r="AR6487" t="s">
        <v>11262</v>
      </c>
      <c r="AS6487" t="s">
        <v>9926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</row>
    <row r="6488" spans="1:59">
      <c r="A6488" s="1">
        <f>HYPERLINK("https://lsnyc.legalserver.org/matter/dynamic-profile/view/1910833","19-1910833")</f>
        <v>0</v>
      </c>
      <c r="B6488" t="s">
        <v>4972</v>
      </c>
      <c r="C6488" t="s">
        <v>9892</v>
      </c>
      <c r="D6488" t="s">
        <v>9926</v>
      </c>
      <c r="E6488" t="s">
        <v>10075</v>
      </c>
      <c r="F6488">
        <v>10454</v>
      </c>
      <c r="G6488" t="s">
        <v>10090</v>
      </c>
      <c r="H6488" t="s">
        <v>10157</v>
      </c>
      <c r="I6488" t="s">
        <v>10168</v>
      </c>
      <c r="J6488" t="s">
        <v>10210</v>
      </c>
      <c r="K6488" t="s">
        <v>10217</v>
      </c>
      <c r="M6488" t="s">
        <v>10562</v>
      </c>
      <c r="N6488" t="s">
        <v>10666</v>
      </c>
      <c r="P6488" t="s">
        <v>10749</v>
      </c>
      <c r="Q6488" t="s">
        <v>10765</v>
      </c>
      <c r="R6488" t="s">
        <v>10824</v>
      </c>
      <c r="T6488">
        <v>20912</v>
      </c>
      <c r="U6488">
        <v>1742.67</v>
      </c>
      <c r="V6488">
        <v>69</v>
      </c>
      <c r="W6488">
        <v>2</v>
      </c>
      <c r="X6488">
        <v>0</v>
      </c>
      <c r="Z6488">
        <v>123.67</v>
      </c>
      <c r="AA6488">
        <v>40.803988</v>
      </c>
      <c r="AB6488">
        <v>-73.915361</v>
      </c>
      <c r="AD6488" t="s">
        <v>10839</v>
      </c>
      <c r="AG6488" t="s">
        <v>10858</v>
      </c>
      <c r="AH6488" t="s">
        <v>10862</v>
      </c>
      <c r="AI6488">
        <v>230</v>
      </c>
      <c r="AJ6488" t="s">
        <v>10210</v>
      </c>
      <c r="AL6488">
        <v>0</v>
      </c>
      <c r="AM6488" t="s">
        <v>10884</v>
      </c>
      <c r="AN6488" t="s">
        <v>10924</v>
      </c>
      <c r="AO6488" t="s">
        <v>11013</v>
      </c>
      <c r="AP6488" t="s">
        <v>11066</v>
      </c>
      <c r="AR6488" t="s">
        <v>11269</v>
      </c>
      <c r="AS6488" t="s">
        <v>9926</v>
      </c>
      <c r="AT6488" t="s">
        <v>11641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</row>
    <row r="6489" spans="1:59">
      <c r="A6489" s="1">
        <f>HYPERLINK("https://lsnyc.legalserver.org/matter/dynamic-profile/view/1910836","19-1910836")</f>
        <v>0</v>
      </c>
      <c r="B6489" t="s">
        <v>4973</v>
      </c>
      <c r="C6489" t="s">
        <v>9893</v>
      </c>
      <c r="D6489" t="s">
        <v>9925</v>
      </c>
      <c r="E6489" t="s">
        <v>10075</v>
      </c>
      <c r="F6489">
        <v>10033</v>
      </c>
      <c r="G6489" t="s">
        <v>10089</v>
      </c>
      <c r="H6489" t="s">
        <v>10101</v>
      </c>
      <c r="I6489" t="s">
        <v>10168</v>
      </c>
      <c r="J6489" t="s">
        <v>10209</v>
      </c>
      <c r="K6489" t="s">
        <v>10217</v>
      </c>
      <c r="M6489" t="s">
        <v>10483</v>
      </c>
      <c r="N6489" t="s">
        <v>10650</v>
      </c>
      <c r="P6489" t="s">
        <v>10749</v>
      </c>
      <c r="Q6489" t="s">
        <v>10765</v>
      </c>
      <c r="R6489" t="s">
        <v>10824</v>
      </c>
      <c r="T6489">
        <v>70000</v>
      </c>
      <c r="U6489">
        <v>5833.33</v>
      </c>
      <c r="V6489">
        <v>66</v>
      </c>
      <c r="W6489">
        <v>2</v>
      </c>
      <c r="X6489">
        <v>0</v>
      </c>
      <c r="Z6489">
        <v>413.96</v>
      </c>
      <c r="AA6489">
        <v>40.853345</v>
      </c>
      <c r="AB6489">
        <v>-73.937061</v>
      </c>
      <c r="AD6489" t="s">
        <v>10839</v>
      </c>
      <c r="AG6489" t="s">
        <v>10858</v>
      </c>
      <c r="AH6489" t="s">
        <v>10865</v>
      </c>
      <c r="AI6489">
        <v>236</v>
      </c>
      <c r="AJ6489" t="s">
        <v>10209</v>
      </c>
      <c r="AL6489">
        <v>0</v>
      </c>
      <c r="AM6489" t="s">
        <v>10887</v>
      </c>
      <c r="AN6489" t="s">
        <v>10943</v>
      </c>
      <c r="AO6489" t="s">
        <v>11019</v>
      </c>
      <c r="AP6489" t="s">
        <v>11074</v>
      </c>
      <c r="AR6489" t="s">
        <v>10180</v>
      </c>
      <c r="AS6489" t="s">
        <v>9925</v>
      </c>
      <c r="AT6489" t="s">
        <v>11641</v>
      </c>
      <c r="AX6489" t="s">
        <v>10838</v>
      </c>
      <c r="BA6489" t="s">
        <v>11742</v>
      </c>
      <c r="BB6489">
        <v>0</v>
      </c>
      <c r="BC6489">
        <v>0</v>
      </c>
      <c r="BD6489">
        <v>0</v>
      </c>
      <c r="BE6489">
        <v>0</v>
      </c>
      <c r="BF6489">
        <v>7</v>
      </c>
      <c r="BG6489">
        <v>0</v>
      </c>
    </row>
    <row r="6490" spans="1:59">
      <c r="A6490" s="1">
        <f>HYPERLINK("https://lsnyc.legalserver.org/matter/dynamic-profile/view/1910837","19-1910837")</f>
        <v>0</v>
      </c>
      <c r="B6490" t="s">
        <v>4974</v>
      </c>
      <c r="C6490" t="s">
        <v>7568</v>
      </c>
      <c r="D6490" t="s">
        <v>9926</v>
      </c>
      <c r="E6490" t="s">
        <v>10075</v>
      </c>
      <c r="F6490">
        <v>10457</v>
      </c>
      <c r="G6490" t="s">
        <v>10090</v>
      </c>
      <c r="H6490" t="s">
        <v>4843</v>
      </c>
      <c r="I6490" t="s">
        <v>10168</v>
      </c>
      <c r="J6490" t="s">
        <v>10210</v>
      </c>
      <c r="K6490" t="s">
        <v>10217</v>
      </c>
      <c r="M6490" t="s">
        <v>10517</v>
      </c>
      <c r="N6490" t="s">
        <v>10650</v>
      </c>
      <c r="P6490" t="s">
        <v>10749</v>
      </c>
      <c r="Q6490" t="s">
        <v>10765</v>
      </c>
      <c r="R6490" t="s">
        <v>10821</v>
      </c>
      <c r="T6490">
        <v>0</v>
      </c>
      <c r="U6490">
        <v>0</v>
      </c>
      <c r="V6490">
        <v>60</v>
      </c>
      <c r="W6490">
        <v>2</v>
      </c>
      <c r="X6490">
        <v>0</v>
      </c>
      <c r="Z6490">
        <v>0</v>
      </c>
      <c r="AA6490">
        <v>40.840863</v>
      </c>
      <c r="AB6490">
        <v>-73.910656</v>
      </c>
      <c r="AD6490" t="s">
        <v>10840</v>
      </c>
      <c r="AG6490" t="s">
        <v>10858</v>
      </c>
      <c r="AH6490" t="s">
        <v>10862</v>
      </c>
      <c r="AI6490">
        <v>230</v>
      </c>
      <c r="AJ6490" t="s">
        <v>10210</v>
      </c>
      <c r="AL6490">
        <v>0.5</v>
      </c>
      <c r="AM6490" t="s">
        <v>10884</v>
      </c>
      <c r="AN6490" t="s">
        <v>10929</v>
      </c>
      <c r="AO6490" t="s">
        <v>11000</v>
      </c>
      <c r="AP6490" t="s">
        <v>11055</v>
      </c>
      <c r="AR6490" t="s">
        <v>11267</v>
      </c>
      <c r="AS6490" t="s">
        <v>9926</v>
      </c>
      <c r="AT6490" t="s">
        <v>11642</v>
      </c>
      <c r="BA6490" t="s">
        <v>11741</v>
      </c>
      <c r="BB6490">
        <v>0</v>
      </c>
      <c r="BC6490">
        <v>0</v>
      </c>
      <c r="BD6490">
        <v>0</v>
      </c>
      <c r="BE6490">
        <v>0</v>
      </c>
      <c r="BF6490">
        <v>1</v>
      </c>
      <c r="BG6490">
        <v>0</v>
      </c>
    </row>
    <row r="6491" spans="1:59">
      <c r="A6491" s="1">
        <f>HYPERLINK("https://lsnyc.legalserver.org/matter/dynamic-profile/view/1910838","19-1910838")</f>
        <v>0</v>
      </c>
      <c r="B6491" t="s">
        <v>4975</v>
      </c>
      <c r="C6491" t="s">
        <v>9894</v>
      </c>
      <c r="D6491" t="s">
        <v>10012</v>
      </c>
      <c r="E6491" t="s">
        <v>10075</v>
      </c>
      <c r="F6491">
        <v>11411</v>
      </c>
      <c r="G6491" t="s">
        <v>10092</v>
      </c>
      <c r="H6491" t="s">
        <v>10101</v>
      </c>
      <c r="I6491" t="s">
        <v>10168</v>
      </c>
      <c r="J6491" t="s">
        <v>10212</v>
      </c>
      <c r="K6491" t="s">
        <v>10217</v>
      </c>
      <c r="M6491" t="s">
        <v>10294</v>
      </c>
      <c r="N6491" t="s">
        <v>10678</v>
      </c>
      <c r="P6491" t="s">
        <v>10749</v>
      </c>
      <c r="Q6491" t="s">
        <v>10769</v>
      </c>
      <c r="R6491" t="s">
        <v>10824</v>
      </c>
      <c r="T6491">
        <v>67000</v>
      </c>
      <c r="U6491">
        <v>5583.33</v>
      </c>
      <c r="V6491">
        <v>38</v>
      </c>
      <c r="W6491">
        <v>2</v>
      </c>
      <c r="X6491">
        <v>0</v>
      </c>
      <c r="Z6491">
        <v>396.22</v>
      </c>
      <c r="AA6491">
        <v>40.701734</v>
      </c>
      <c r="AB6491">
        <v>-73.740497</v>
      </c>
      <c r="AD6491" t="s">
        <v>10839</v>
      </c>
      <c r="AG6491" t="s">
        <v>10858</v>
      </c>
      <c r="AH6491" t="s">
        <v>10860</v>
      </c>
      <c r="AI6491">
        <v>237</v>
      </c>
      <c r="AJ6491" t="s">
        <v>10212</v>
      </c>
      <c r="AL6491">
        <v>0</v>
      </c>
      <c r="AM6491" t="s">
        <v>10892</v>
      </c>
      <c r="AN6491" t="s">
        <v>10940</v>
      </c>
      <c r="AO6491" t="s">
        <v>11020</v>
      </c>
      <c r="AP6491" t="s">
        <v>11075</v>
      </c>
      <c r="AQ6491" t="s">
        <v>11242</v>
      </c>
      <c r="AR6491" t="s">
        <v>11257</v>
      </c>
      <c r="AS6491" t="s">
        <v>11594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</row>
    <row r="6492" spans="1:59">
      <c r="A6492" s="1">
        <f>HYPERLINK("https://lsnyc.legalserver.org/matter/dynamic-profile/view/1910839","19-1910839")</f>
        <v>0</v>
      </c>
      <c r="B6492" t="s">
        <v>1778</v>
      </c>
      <c r="C6492" t="s">
        <v>9895</v>
      </c>
      <c r="D6492" t="s">
        <v>9928</v>
      </c>
      <c r="E6492" t="s">
        <v>10075</v>
      </c>
      <c r="F6492">
        <v>11212</v>
      </c>
      <c r="G6492" t="s">
        <v>10093</v>
      </c>
      <c r="H6492" t="s">
        <v>10101</v>
      </c>
      <c r="I6492" t="s">
        <v>10168</v>
      </c>
      <c r="J6492" t="s">
        <v>10213</v>
      </c>
      <c r="K6492" t="s">
        <v>10217</v>
      </c>
      <c r="M6492" t="s">
        <v>10504</v>
      </c>
      <c r="N6492" t="s">
        <v>10644</v>
      </c>
      <c r="P6492" t="s">
        <v>10756</v>
      </c>
      <c r="Q6492" t="s">
        <v>10787</v>
      </c>
      <c r="R6492" t="s">
        <v>10820</v>
      </c>
      <c r="T6492">
        <v>4800</v>
      </c>
      <c r="U6492">
        <v>400</v>
      </c>
      <c r="V6492">
        <v>61</v>
      </c>
      <c r="W6492">
        <v>1</v>
      </c>
      <c r="X6492">
        <v>0</v>
      </c>
      <c r="Z6492">
        <v>38.43</v>
      </c>
      <c r="AA6492">
        <v>40.656212</v>
      </c>
      <c r="AB6492">
        <v>-73.914151</v>
      </c>
      <c r="AD6492" t="s">
        <v>10839</v>
      </c>
      <c r="AG6492" t="s">
        <v>10858</v>
      </c>
      <c r="AH6492" t="s">
        <v>10869</v>
      </c>
      <c r="AI6492">
        <v>239</v>
      </c>
      <c r="AJ6492" t="s">
        <v>10213</v>
      </c>
      <c r="AL6492">
        <v>1.5</v>
      </c>
      <c r="AM6492" t="s">
        <v>10888</v>
      </c>
      <c r="AN6492" t="s">
        <v>10925</v>
      </c>
      <c r="AO6492" t="s">
        <v>11008</v>
      </c>
      <c r="AP6492" t="s">
        <v>11060</v>
      </c>
      <c r="AR6492" t="s">
        <v>11257</v>
      </c>
      <c r="AS6492" t="s">
        <v>11595</v>
      </c>
      <c r="AT6492" t="s">
        <v>11642</v>
      </c>
      <c r="AV6492" t="s">
        <v>11655</v>
      </c>
      <c r="AW6492" t="s">
        <v>11666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</row>
    <row r="6493" spans="1:59">
      <c r="A6493" s="1">
        <f>HYPERLINK("https://lsnyc.legalserver.org/matter/dynamic-profile/view/1910840","19-1910840")</f>
        <v>0</v>
      </c>
      <c r="B6493" t="s">
        <v>4976</v>
      </c>
      <c r="C6493" t="s">
        <v>9896</v>
      </c>
      <c r="D6493" t="s">
        <v>9926</v>
      </c>
      <c r="E6493" t="s">
        <v>10075</v>
      </c>
      <c r="F6493">
        <v>10455</v>
      </c>
      <c r="G6493" t="s">
        <v>10091</v>
      </c>
      <c r="H6493" t="s">
        <v>10101</v>
      </c>
      <c r="I6493" t="s">
        <v>10168</v>
      </c>
      <c r="J6493" t="s">
        <v>10211</v>
      </c>
      <c r="K6493" t="s">
        <v>10217</v>
      </c>
      <c r="M6493" t="s">
        <v>10307</v>
      </c>
      <c r="N6493" t="s">
        <v>10671</v>
      </c>
      <c r="P6493" t="s">
        <v>10752</v>
      </c>
      <c r="Q6493" t="s">
        <v>10762</v>
      </c>
      <c r="R6493" t="s">
        <v>10821</v>
      </c>
      <c r="T6493">
        <v>24700</v>
      </c>
      <c r="U6493">
        <v>2058.33</v>
      </c>
      <c r="V6493">
        <v>22</v>
      </c>
      <c r="W6493">
        <v>1</v>
      </c>
      <c r="X6493">
        <v>0</v>
      </c>
      <c r="Z6493">
        <v>197.76</v>
      </c>
      <c r="AA6493">
        <v>40.814877</v>
      </c>
      <c r="AB6493">
        <v>-73.89928500000001</v>
      </c>
      <c r="AD6493" t="s">
        <v>10839</v>
      </c>
      <c r="AG6493" t="s">
        <v>10858</v>
      </c>
      <c r="AH6493" t="s">
        <v>10871</v>
      </c>
      <c r="AI6493">
        <v>234</v>
      </c>
      <c r="AJ6493" t="s">
        <v>10214</v>
      </c>
      <c r="AL6493">
        <v>1</v>
      </c>
      <c r="AM6493" t="s">
        <v>10884</v>
      </c>
      <c r="AN6493" t="s">
        <v>10968</v>
      </c>
      <c r="AO6493" t="s">
        <v>11001</v>
      </c>
      <c r="AP6493" t="s">
        <v>11066</v>
      </c>
      <c r="AR6493" t="s">
        <v>11257</v>
      </c>
      <c r="AS6493" t="s">
        <v>9926</v>
      </c>
      <c r="AT6493" t="s">
        <v>11641</v>
      </c>
      <c r="AX6493" t="s">
        <v>10838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</row>
    <row r="6494" spans="1:59">
      <c r="A6494" s="1">
        <f>HYPERLINK("https://lsnyc.legalserver.org/matter/dynamic-profile/view/1910841","19-1910841")</f>
        <v>0</v>
      </c>
      <c r="B6494" t="s">
        <v>4087</v>
      </c>
      <c r="C6494" t="s">
        <v>9897</v>
      </c>
      <c r="D6494" t="s">
        <v>10074</v>
      </c>
      <c r="E6494" t="s">
        <v>10078</v>
      </c>
      <c r="F6494">
        <v>32766</v>
      </c>
      <c r="G6494" t="s">
        <v>10089</v>
      </c>
      <c r="H6494" t="s">
        <v>10101</v>
      </c>
      <c r="I6494" t="s">
        <v>10168</v>
      </c>
      <c r="J6494" t="s">
        <v>10209</v>
      </c>
      <c r="K6494" t="s">
        <v>10217</v>
      </c>
      <c r="M6494" t="s">
        <v>10301</v>
      </c>
      <c r="N6494" t="s">
        <v>10665</v>
      </c>
      <c r="P6494" t="s">
        <v>10751</v>
      </c>
      <c r="Q6494" t="s">
        <v>10773</v>
      </c>
      <c r="R6494" t="s">
        <v>10820</v>
      </c>
      <c r="T6494">
        <v>20652</v>
      </c>
      <c r="U6494">
        <v>1721</v>
      </c>
      <c r="V6494">
        <v>44</v>
      </c>
      <c r="W6494">
        <v>2</v>
      </c>
      <c r="X6494">
        <v>2</v>
      </c>
      <c r="Z6494">
        <v>80.2</v>
      </c>
      <c r="AA6494">
        <v>28.647729</v>
      </c>
      <c r="AB6494">
        <v>-81.155928</v>
      </c>
      <c r="AD6494" t="s">
        <v>10840</v>
      </c>
      <c r="AG6494" t="s">
        <v>10858</v>
      </c>
      <c r="AH6494" t="s">
        <v>10871</v>
      </c>
      <c r="AI6494">
        <v>234</v>
      </c>
      <c r="AJ6494" t="s">
        <v>10214</v>
      </c>
      <c r="AL6494">
        <v>2.66</v>
      </c>
      <c r="AR6494" t="s">
        <v>11263</v>
      </c>
      <c r="AS6494" t="s">
        <v>11640</v>
      </c>
      <c r="AT6494" t="s">
        <v>11642</v>
      </c>
      <c r="AX6494" t="s">
        <v>10838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</row>
    <row r="6495" spans="1:59">
      <c r="A6495" s="1">
        <f>HYPERLINK("https://lsnyc.legalserver.org/matter/dynamic-profile/view/1910842","19-1910842")</f>
        <v>0</v>
      </c>
      <c r="B6495" t="s">
        <v>691</v>
      </c>
      <c r="C6495" t="s">
        <v>9898</v>
      </c>
      <c r="D6495" t="s">
        <v>9925</v>
      </c>
      <c r="E6495" t="s">
        <v>10075</v>
      </c>
      <c r="F6495">
        <v>10032</v>
      </c>
      <c r="G6495" t="s">
        <v>10089</v>
      </c>
      <c r="H6495" t="s">
        <v>10101</v>
      </c>
      <c r="I6495" t="s">
        <v>10168</v>
      </c>
      <c r="J6495" t="s">
        <v>10209</v>
      </c>
      <c r="K6495" t="s">
        <v>10217</v>
      </c>
      <c r="M6495" t="s">
        <v>10483</v>
      </c>
      <c r="N6495" t="s">
        <v>10650</v>
      </c>
      <c r="P6495" t="s">
        <v>10749</v>
      </c>
      <c r="Q6495" t="s">
        <v>10765</v>
      </c>
      <c r="R6495" t="s">
        <v>10822</v>
      </c>
      <c r="T6495">
        <v>73000</v>
      </c>
      <c r="U6495">
        <v>6083.33</v>
      </c>
      <c r="V6495">
        <v>64</v>
      </c>
      <c r="W6495">
        <v>2</v>
      </c>
      <c r="X6495">
        <v>0</v>
      </c>
      <c r="Z6495">
        <v>431.7</v>
      </c>
      <c r="AA6495">
        <v>40.837094</v>
      </c>
      <c r="AB6495">
        <v>-73.93981700000001</v>
      </c>
      <c r="AD6495" t="s">
        <v>10840</v>
      </c>
      <c r="AG6495" t="s">
        <v>10858</v>
      </c>
      <c r="AH6495" t="s">
        <v>10862</v>
      </c>
      <c r="AI6495">
        <v>236</v>
      </c>
      <c r="AJ6495" t="s">
        <v>10209</v>
      </c>
      <c r="AL6495">
        <v>0</v>
      </c>
      <c r="AM6495" t="s">
        <v>10887</v>
      </c>
      <c r="AN6495" t="s">
        <v>10943</v>
      </c>
      <c r="AO6495" t="s">
        <v>11019</v>
      </c>
      <c r="AP6495" t="s">
        <v>11073</v>
      </c>
      <c r="AR6495" t="s">
        <v>11268</v>
      </c>
      <c r="AS6495" t="s">
        <v>9925</v>
      </c>
      <c r="AT6495" t="s">
        <v>11642</v>
      </c>
      <c r="AX6495" t="s">
        <v>10838</v>
      </c>
      <c r="BA6495" t="s">
        <v>11742</v>
      </c>
      <c r="BB6495">
        <v>0</v>
      </c>
      <c r="BC6495">
        <v>0</v>
      </c>
      <c r="BD6495">
        <v>0</v>
      </c>
      <c r="BE6495">
        <v>0</v>
      </c>
      <c r="BF6495">
        <v>7</v>
      </c>
      <c r="BG6495">
        <v>0</v>
      </c>
    </row>
    <row r="6496" spans="1:59">
      <c r="A6496" s="1">
        <f>HYPERLINK("https://lsnyc.legalserver.org/matter/dynamic-profile/view/1910843","19-1910843")</f>
        <v>0</v>
      </c>
      <c r="B6496" t="s">
        <v>1305</v>
      </c>
      <c r="C6496" t="s">
        <v>9899</v>
      </c>
      <c r="D6496" t="s">
        <v>9926</v>
      </c>
      <c r="E6496" t="s">
        <v>10075</v>
      </c>
      <c r="F6496">
        <v>10453</v>
      </c>
      <c r="G6496" t="s">
        <v>10090</v>
      </c>
      <c r="H6496" t="s">
        <v>4843</v>
      </c>
      <c r="I6496" t="s">
        <v>10169</v>
      </c>
      <c r="J6496" t="s">
        <v>10210</v>
      </c>
      <c r="K6496" t="s">
        <v>10217</v>
      </c>
      <c r="M6496" t="s">
        <v>10517</v>
      </c>
      <c r="N6496" t="s">
        <v>10650</v>
      </c>
      <c r="P6496" t="s">
        <v>10749</v>
      </c>
      <c r="Q6496" t="s">
        <v>10765</v>
      </c>
      <c r="R6496" t="s">
        <v>10821</v>
      </c>
      <c r="T6496">
        <v>18200</v>
      </c>
      <c r="U6496">
        <v>1516.67</v>
      </c>
      <c r="V6496">
        <v>58</v>
      </c>
      <c r="W6496">
        <v>2</v>
      </c>
      <c r="X6496">
        <v>0</v>
      </c>
      <c r="Z6496">
        <v>107.63</v>
      </c>
      <c r="AA6496">
        <v>40.855198</v>
      </c>
      <c r="AB6496">
        <v>-73.90411400000001</v>
      </c>
      <c r="AD6496" t="s">
        <v>10839</v>
      </c>
      <c r="AF6496" t="s">
        <v>10843</v>
      </c>
      <c r="AG6496" t="s">
        <v>10859</v>
      </c>
      <c r="AH6496" t="s">
        <v>10862</v>
      </c>
      <c r="AI6496">
        <v>230</v>
      </c>
      <c r="AJ6496" t="s">
        <v>10210</v>
      </c>
      <c r="AL6496">
        <v>0</v>
      </c>
      <c r="AM6496" t="s">
        <v>10884</v>
      </c>
      <c r="AN6496" t="s">
        <v>10931</v>
      </c>
      <c r="AO6496" t="s">
        <v>11000</v>
      </c>
      <c r="AP6496" t="s">
        <v>11045</v>
      </c>
      <c r="AR6496" t="s">
        <v>11257</v>
      </c>
      <c r="AS6496" t="s">
        <v>9926</v>
      </c>
      <c r="AT6496" t="s">
        <v>11641</v>
      </c>
      <c r="BA6496" t="s">
        <v>11741</v>
      </c>
      <c r="BB6496">
        <v>0</v>
      </c>
      <c r="BC6496">
        <v>0</v>
      </c>
      <c r="BD6496">
        <v>0</v>
      </c>
      <c r="BE6496">
        <v>0</v>
      </c>
      <c r="BF6496">
        <v>1</v>
      </c>
      <c r="BG6496">
        <v>0</v>
      </c>
    </row>
    <row r="6497" spans="1:59">
      <c r="A6497" s="1">
        <f>HYPERLINK("https://lsnyc.legalserver.org/matter/dynamic-profile/view/1910844","19-1910844")</f>
        <v>0</v>
      </c>
      <c r="B6497" t="s">
        <v>4977</v>
      </c>
      <c r="C6497" t="s">
        <v>9255</v>
      </c>
      <c r="D6497" t="s">
        <v>9926</v>
      </c>
      <c r="E6497" t="s">
        <v>10075</v>
      </c>
      <c r="F6497">
        <v>10460</v>
      </c>
      <c r="G6497" t="s">
        <v>10090</v>
      </c>
      <c r="H6497" t="s">
        <v>10101</v>
      </c>
      <c r="I6497" t="s">
        <v>10172</v>
      </c>
      <c r="J6497" t="s">
        <v>10210</v>
      </c>
      <c r="K6497" t="s">
        <v>10217</v>
      </c>
      <c r="M6497" t="s">
        <v>10353</v>
      </c>
      <c r="N6497" t="s">
        <v>10671</v>
      </c>
      <c r="P6497" t="s">
        <v>10753</v>
      </c>
      <c r="Q6497" t="s">
        <v>10790</v>
      </c>
      <c r="R6497" t="s">
        <v>10821</v>
      </c>
      <c r="T6497">
        <v>5988</v>
      </c>
      <c r="U6497">
        <v>499</v>
      </c>
      <c r="V6497">
        <v>41</v>
      </c>
      <c r="W6497">
        <v>1</v>
      </c>
      <c r="X6497">
        <v>5</v>
      </c>
      <c r="Z6497">
        <v>17.31</v>
      </c>
      <c r="AA6497">
        <v>40.838196</v>
      </c>
      <c r="AB6497">
        <v>-73.86429200000001</v>
      </c>
      <c r="AD6497" t="s">
        <v>10839</v>
      </c>
      <c r="AG6497" t="s">
        <v>10858</v>
      </c>
      <c r="AH6497" t="s">
        <v>10874</v>
      </c>
      <c r="AI6497">
        <v>230</v>
      </c>
      <c r="AJ6497" t="s">
        <v>10210</v>
      </c>
      <c r="AL6497">
        <v>0.25</v>
      </c>
      <c r="AM6497" t="s">
        <v>10884</v>
      </c>
      <c r="AN6497" t="s">
        <v>10908</v>
      </c>
      <c r="AO6497" t="s">
        <v>11001</v>
      </c>
      <c r="AP6497" t="s">
        <v>11046</v>
      </c>
      <c r="AR6497" t="s">
        <v>11268</v>
      </c>
      <c r="AS6497" t="s">
        <v>9926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</row>
    <row r="6498" spans="1:59">
      <c r="A6498" s="1">
        <f>HYPERLINK("https://lsnyc.legalserver.org/matter/dynamic-profile/view/1910845","19-1910845")</f>
        <v>0</v>
      </c>
      <c r="B6498" t="s">
        <v>1316</v>
      </c>
      <c r="C6498" t="s">
        <v>9900</v>
      </c>
      <c r="D6498" t="s">
        <v>9973</v>
      </c>
      <c r="E6498" t="s">
        <v>10075</v>
      </c>
      <c r="F6498">
        <v>10704</v>
      </c>
      <c r="G6498" t="s">
        <v>10093</v>
      </c>
      <c r="H6498" t="s">
        <v>10158</v>
      </c>
      <c r="I6498" t="s">
        <v>10180</v>
      </c>
      <c r="J6498" t="s">
        <v>10213</v>
      </c>
      <c r="K6498" t="s">
        <v>10217</v>
      </c>
      <c r="M6498" t="s">
        <v>10420</v>
      </c>
      <c r="N6498" t="s">
        <v>10649</v>
      </c>
      <c r="P6498" t="s">
        <v>10753</v>
      </c>
      <c r="Q6498" t="s">
        <v>10763</v>
      </c>
      <c r="R6498" t="s">
        <v>10827</v>
      </c>
      <c r="T6498">
        <v>41000</v>
      </c>
      <c r="U6498">
        <v>3416.67</v>
      </c>
      <c r="V6498">
        <v>44</v>
      </c>
      <c r="W6498">
        <v>1</v>
      </c>
      <c r="X6498">
        <v>4</v>
      </c>
      <c r="Z6498">
        <v>135.9</v>
      </c>
      <c r="AA6498">
        <v>40.905051</v>
      </c>
      <c r="AB6498">
        <v>-73.85914200000001</v>
      </c>
      <c r="AD6498" t="s">
        <v>10839</v>
      </c>
      <c r="AF6498" t="s">
        <v>10843</v>
      </c>
      <c r="AG6498" t="s">
        <v>10859</v>
      </c>
      <c r="AH6498" t="s">
        <v>10864</v>
      </c>
      <c r="AI6498">
        <v>239</v>
      </c>
      <c r="AJ6498" t="s">
        <v>10213</v>
      </c>
      <c r="AL6498">
        <v>3.5</v>
      </c>
      <c r="AM6498" t="s">
        <v>10893</v>
      </c>
      <c r="AN6498" t="s">
        <v>10988</v>
      </c>
      <c r="AO6498" t="s">
        <v>11018</v>
      </c>
      <c r="AQ6498" t="s">
        <v>11097</v>
      </c>
      <c r="AR6498" t="s">
        <v>11257</v>
      </c>
      <c r="AS6498" t="s">
        <v>11604</v>
      </c>
      <c r="AX6498" t="s">
        <v>10838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</row>
    <row r="6499" spans="1:59">
      <c r="A6499" s="1">
        <f>HYPERLINK("https://lsnyc.legalserver.org/matter/dynamic-profile/view/1910846","19-1910846")</f>
        <v>0</v>
      </c>
      <c r="B6499" t="s">
        <v>4978</v>
      </c>
      <c r="C6499" t="s">
        <v>9901</v>
      </c>
      <c r="D6499" t="s">
        <v>10011</v>
      </c>
      <c r="E6499" t="s">
        <v>10075</v>
      </c>
      <c r="F6499">
        <v>11709</v>
      </c>
      <c r="G6499" t="s">
        <v>10093</v>
      </c>
      <c r="H6499" t="s">
        <v>10101</v>
      </c>
      <c r="I6499" t="s">
        <v>10168</v>
      </c>
      <c r="J6499" t="s">
        <v>10213</v>
      </c>
      <c r="K6499" t="s">
        <v>10217</v>
      </c>
      <c r="M6499" t="s">
        <v>10436</v>
      </c>
      <c r="N6499" t="s">
        <v>10646</v>
      </c>
      <c r="P6499" t="s">
        <v>10750</v>
      </c>
      <c r="Q6499" t="s">
        <v>10760</v>
      </c>
      <c r="R6499" t="s">
        <v>10820</v>
      </c>
      <c r="T6499">
        <v>39948</v>
      </c>
      <c r="U6499">
        <v>3329</v>
      </c>
      <c r="V6499">
        <v>70</v>
      </c>
      <c r="W6499">
        <v>2</v>
      </c>
      <c r="X6499">
        <v>0</v>
      </c>
      <c r="Z6499">
        <v>236.24</v>
      </c>
      <c r="AA6499">
        <v>40.913561</v>
      </c>
      <c r="AB6499">
        <v>-73.564589</v>
      </c>
      <c r="AD6499" t="s">
        <v>10839</v>
      </c>
      <c r="AG6499" t="s">
        <v>10858</v>
      </c>
      <c r="AH6499" t="s">
        <v>10861</v>
      </c>
      <c r="AI6499">
        <v>234</v>
      </c>
      <c r="AJ6499" t="s">
        <v>10214</v>
      </c>
      <c r="AL6499">
        <v>1</v>
      </c>
      <c r="AM6499" t="s">
        <v>10895</v>
      </c>
      <c r="AN6499" t="s">
        <v>10984</v>
      </c>
      <c r="AO6499" t="s">
        <v>11037</v>
      </c>
      <c r="AR6499" t="s">
        <v>11345</v>
      </c>
      <c r="AS6499" t="s">
        <v>11612</v>
      </c>
      <c r="AT6499" t="s">
        <v>11641</v>
      </c>
      <c r="AX6499" t="s">
        <v>10838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</row>
    <row r="6500" spans="1:59">
      <c r="A6500" s="1">
        <f>HYPERLINK("https://lsnyc.legalserver.org/matter/dynamic-profile/view/1910847","19-1910847")</f>
        <v>0</v>
      </c>
      <c r="B6500" t="s">
        <v>2577</v>
      </c>
      <c r="C6500" t="s">
        <v>9902</v>
      </c>
      <c r="D6500" t="s">
        <v>9926</v>
      </c>
      <c r="E6500" t="s">
        <v>10075</v>
      </c>
      <c r="F6500">
        <v>10458</v>
      </c>
      <c r="G6500" t="s">
        <v>10090</v>
      </c>
      <c r="H6500" t="s">
        <v>10101</v>
      </c>
      <c r="I6500" t="s">
        <v>10168</v>
      </c>
      <c r="J6500" t="s">
        <v>10210</v>
      </c>
      <c r="K6500" t="s">
        <v>10217</v>
      </c>
      <c r="M6500" t="s">
        <v>10336</v>
      </c>
      <c r="N6500" t="s">
        <v>10671</v>
      </c>
      <c r="P6500" t="s">
        <v>10758</v>
      </c>
      <c r="Q6500" t="s">
        <v>10793</v>
      </c>
      <c r="R6500" t="s">
        <v>10821</v>
      </c>
      <c r="T6500">
        <v>11700</v>
      </c>
      <c r="U6500">
        <v>975</v>
      </c>
      <c r="V6500">
        <v>42</v>
      </c>
      <c r="W6500">
        <v>1</v>
      </c>
      <c r="X6500">
        <v>0</v>
      </c>
      <c r="Z6500">
        <v>93.67</v>
      </c>
      <c r="AA6500">
        <v>40.856865</v>
      </c>
      <c r="AB6500">
        <v>-73.892653</v>
      </c>
      <c r="AD6500" t="s">
        <v>10839</v>
      </c>
      <c r="AG6500" t="s">
        <v>10858</v>
      </c>
      <c r="AH6500" t="s">
        <v>10861</v>
      </c>
      <c r="AI6500">
        <v>234</v>
      </c>
      <c r="AJ6500" t="s">
        <v>10214</v>
      </c>
      <c r="AL6500">
        <v>0.6</v>
      </c>
      <c r="AM6500" t="s">
        <v>10884</v>
      </c>
      <c r="AN6500" t="s">
        <v>10907</v>
      </c>
      <c r="AO6500" t="s">
        <v>11000</v>
      </c>
      <c r="AP6500" t="s">
        <v>11056</v>
      </c>
      <c r="AR6500" t="s">
        <v>11298</v>
      </c>
      <c r="AS6500" t="s">
        <v>9926</v>
      </c>
      <c r="AT6500" t="s">
        <v>11641</v>
      </c>
      <c r="AX6500" t="s">
        <v>10838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</row>
    <row r="6501" spans="1:59">
      <c r="A6501" s="1">
        <f>HYPERLINK("https://lsnyc.legalserver.org/matter/dynamic-profile/view/1910848","19-1910848")</f>
        <v>0</v>
      </c>
      <c r="B6501" t="s">
        <v>4979</v>
      </c>
      <c r="C6501" t="s">
        <v>9903</v>
      </c>
      <c r="D6501" t="s">
        <v>9928</v>
      </c>
      <c r="E6501" t="s">
        <v>10075</v>
      </c>
      <c r="F6501">
        <v>11207</v>
      </c>
      <c r="G6501" t="s">
        <v>10093</v>
      </c>
      <c r="H6501" t="s">
        <v>10101</v>
      </c>
      <c r="I6501" t="s">
        <v>10168</v>
      </c>
      <c r="J6501" t="s">
        <v>10213</v>
      </c>
      <c r="K6501" t="s">
        <v>10217</v>
      </c>
      <c r="M6501" t="s">
        <v>10309</v>
      </c>
      <c r="N6501" t="s">
        <v>10698</v>
      </c>
      <c r="P6501" t="s">
        <v>10751</v>
      </c>
      <c r="Q6501" t="s">
        <v>10761</v>
      </c>
      <c r="R6501" t="s">
        <v>10821</v>
      </c>
      <c r="T6501">
        <v>9840</v>
      </c>
      <c r="U6501">
        <v>820</v>
      </c>
      <c r="V6501">
        <v>52</v>
      </c>
      <c r="W6501">
        <v>2</v>
      </c>
      <c r="X6501">
        <v>0</v>
      </c>
      <c r="Z6501">
        <v>58.19</v>
      </c>
      <c r="AA6501">
        <v>40.666479</v>
      </c>
      <c r="AB6501">
        <v>-73.883878</v>
      </c>
      <c r="AD6501" t="s">
        <v>10839</v>
      </c>
      <c r="AG6501" t="s">
        <v>10858</v>
      </c>
      <c r="AH6501" t="s">
        <v>10861</v>
      </c>
      <c r="AI6501">
        <v>239</v>
      </c>
      <c r="AJ6501" t="s">
        <v>10213</v>
      </c>
      <c r="AL6501">
        <v>0.75</v>
      </c>
      <c r="AM6501" t="s">
        <v>10889</v>
      </c>
      <c r="AN6501" t="s">
        <v>10946</v>
      </c>
      <c r="AO6501" t="s">
        <v>11012</v>
      </c>
      <c r="AP6501" t="s">
        <v>11060</v>
      </c>
      <c r="AR6501" t="s">
        <v>11274</v>
      </c>
      <c r="AS6501" t="s">
        <v>11595</v>
      </c>
      <c r="AT6501" t="s">
        <v>11641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</row>
    <row r="6502" spans="1:59">
      <c r="A6502" s="1">
        <f>HYPERLINK("https://lsnyc.legalserver.org/matter/dynamic-profile/view/1910849","19-1910849")</f>
        <v>0</v>
      </c>
      <c r="B6502" t="s">
        <v>4980</v>
      </c>
      <c r="C6502" t="s">
        <v>5009</v>
      </c>
      <c r="D6502" t="s">
        <v>9928</v>
      </c>
      <c r="E6502" t="s">
        <v>10075</v>
      </c>
      <c r="F6502">
        <v>11225</v>
      </c>
      <c r="G6502" t="s">
        <v>10093</v>
      </c>
      <c r="H6502" t="s">
        <v>10101</v>
      </c>
      <c r="I6502" t="s">
        <v>10168</v>
      </c>
      <c r="J6502" t="s">
        <v>10213</v>
      </c>
      <c r="K6502" t="s">
        <v>10217</v>
      </c>
      <c r="M6502" t="s">
        <v>10236</v>
      </c>
      <c r="N6502" t="s">
        <v>10650</v>
      </c>
      <c r="P6502" t="s">
        <v>10749</v>
      </c>
      <c r="Q6502" t="s">
        <v>10765</v>
      </c>
      <c r="R6502" t="s">
        <v>10821</v>
      </c>
      <c r="T6502">
        <v>9335.16</v>
      </c>
      <c r="U6502">
        <v>777.9299999999999</v>
      </c>
      <c r="V6502">
        <v>51</v>
      </c>
      <c r="W6502">
        <v>4</v>
      </c>
      <c r="X6502">
        <v>0</v>
      </c>
      <c r="Z6502">
        <v>36.25</v>
      </c>
      <c r="AA6502">
        <v>40.65869</v>
      </c>
      <c r="AB6502">
        <v>-73.96026000000001</v>
      </c>
      <c r="AD6502" t="s">
        <v>10839</v>
      </c>
      <c r="AG6502" t="s">
        <v>10858</v>
      </c>
      <c r="AH6502" t="s">
        <v>10862</v>
      </c>
      <c r="AI6502">
        <v>239</v>
      </c>
      <c r="AJ6502" t="s">
        <v>10213</v>
      </c>
      <c r="AL6502">
        <v>0</v>
      </c>
      <c r="AM6502" t="s">
        <v>10888</v>
      </c>
      <c r="AN6502" t="s">
        <v>10912</v>
      </c>
      <c r="AO6502" t="s">
        <v>11005</v>
      </c>
      <c r="AP6502" t="s">
        <v>11050</v>
      </c>
      <c r="AR6502" t="s">
        <v>11268</v>
      </c>
      <c r="AS6502" t="s">
        <v>11595</v>
      </c>
      <c r="BA6502" t="s">
        <v>11739</v>
      </c>
      <c r="BB6502">
        <v>0</v>
      </c>
      <c r="BC6502">
        <v>0</v>
      </c>
      <c r="BD6502">
        <v>0</v>
      </c>
      <c r="BE6502">
        <v>0</v>
      </c>
      <c r="BF6502">
        <v>4</v>
      </c>
      <c r="BG6502">
        <v>0</v>
      </c>
    </row>
    <row r="6503" spans="1:59">
      <c r="A6503" s="1">
        <f>HYPERLINK("https://lsnyc.legalserver.org/matter/dynamic-profile/view/1910850","19-1910850")</f>
        <v>0</v>
      </c>
      <c r="B6503" t="s">
        <v>2564</v>
      </c>
      <c r="C6503" t="s">
        <v>9904</v>
      </c>
      <c r="D6503" t="s">
        <v>9942</v>
      </c>
      <c r="E6503" t="s">
        <v>10075</v>
      </c>
      <c r="F6503">
        <v>11357</v>
      </c>
      <c r="G6503" t="s">
        <v>10092</v>
      </c>
      <c r="H6503" t="s">
        <v>10101</v>
      </c>
      <c r="I6503" t="s">
        <v>10168</v>
      </c>
      <c r="J6503" t="s">
        <v>10212</v>
      </c>
      <c r="K6503" t="s">
        <v>10217</v>
      </c>
      <c r="M6503" t="s">
        <v>10340</v>
      </c>
      <c r="N6503" t="s">
        <v>10671</v>
      </c>
      <c r="P6503" t="s">
        <v>10751</v>
      </c>
      <c r="Q6503" t="s">
        <v>10780</v>
      </c>
      <c r="R6503" t="s">
        <v>10820</v>
      </c>
      <c r="T6503">
        <v>0</v>
      </c>
      <c r="U6503">
        <v>0</v>
      </c>
      <c r="V6503">
        <v>61</v>
      </c>
      <c r="W6503">
        <v>1</v>
      </c>
      <c r="X6503">
        <v>0</v>
      </c>
      <c r="Z6503">
        <v>0</v>
      </c>
      <c r="AA6503">
        <v>40.782291</v>
      </c>
      <c r="AB6503">
        <v>-73.799024</v>
      </c>
      <c r="AD6503" t="s">
        <v>10839</v>
      </c>
      <c r="AG6503" t="s">
        <v>10858</v>
      </c>
      <c r="AH6503" t="s">
        <v>10871</v>
      </c>
      <c r="AI6503">
        <v>234</v>
      </c>
      <c r="AJ6503" t="s">
        <v>10214</v>
      </c>
      <c r="AL6503">
        <v>0.5</v>
      </c>
      <c r="AM6503" t="s">
        <v>10895</v>
      </c>
      <c r="AN6503" t="s">
        <v>10948</v>
      </c>
      <c r="AO6503" t="s">
        <v>11022</v>
      </c>
      <c r="AP6503" t="s">
        <v>11080</v>
      </c>
      <c r="AR6503" t="s">
        <v>11279</v>
      </c>
      <c r="AS6503" t="s">
        <v>11594</v>
      </c>
      <c r="AT6503" t="s">
        <v>11641</v>
      </c>
      <c r="AX6503" t="s">
        <v>10838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</row>
    <row r="6504" spans="1:59">
      <c r="A6504" s="1">
        <f>HYPERLINK("https://lsnyc.legalserver.org/matter/dynamic-profile/view/1910851","19-1910851")</f>
        <v>0</v>
      </c>
      <c r="B6504" t="s">
        <v>4981</v>
      </c>
      <c r="C6504" t="s">
        <v>5308</v>
      </c>
      <c r="D6504" t="s">
        <v>9928</v>
      </c>
      <c r="E6504" t="s">
        <v>10075</v>
      </c>
      <c r="F6504">
        <v>11226</v>
      </c>
      <c r="G6504" t="s">
        <v>10093</v>
      </c>
      <c r="H6504" t="s">
        <v>10101</v>
      </c>
      <c r="I6504" t="s">
        <v>10168</v>
      </c>
      <c r="J6504" t="s">
        <v>10213</v>
      </c>
      <c r="K6504" t="s">
        <v>10217</v>
      </c>
      <c r="M6504" t="s">
        <v>10572</v>
      </c>
      <c r="N6504" t="s">
        <v>10671</v>
      </c>
      <c r="P6504" t="s">
        <v>10749</v>
      </c>
      <c r="Q6504" t="s">
        <v>10769</v>
      </c>
      <c r="R6504" t="s">
        <v>10824</v>
      </c>
      <c r="T6504">
        <v>21000</v>
      </c>
      <c r="U6504">
        <v>1750</v>
      </c>
      <c r="V6504">
        <v>66</v>
      </c>
      <c r="W6504">
        <v>1</v>
      </c>
      <c r="X6504">
        <v>0</v>
      </c>
      <c r="Z6504">
        <v>168.13</v>
      </c>
      <c r="AA6504">
        <v>40.65103</v>
      </c>
      <c r="AB6504">
        <v>-73.962502</v>
      </c>
      <c r="AD6504" t="s">
        <v>10839</v>
      </c>
      <c r="AG6504" t="s">
        <v>10858</v>
      </c>
      <c r="AH6504" t="s">
        <v>10860</v>
      </c>
      <c r="AI6504">
        <v>239</v>
      </c>
      <c r="AJ6504" t="s">
        <v>10213</v>
      </c>
      <c r="AL6504">
        <v>0</v>
      </c>
      <c r="AM6504" t="s">
        <v>10888</v>
      </c>
      <c r="AN6504" t="s">
        <v>10932</v>
      </c>
      <c r="AO6504" t="s">
        <v>11008</v>
      </c>
      <c r="AP6504" t="s">
        <v>11050</v>
      </c>
      <c r="AR6504" t="s">
        <v>11268</v>
      </c>
      <c r="AS6504" t="s">
        <v>11595</v>
      </c>
      <c r="AT6504" t="s">
        <v>11641</v>
      </c>
      <c r="AV6504" t="s">
        <v>11656</v>
      </c>
      <c r="AW6504" t="s">
        <v>11645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</row>
    <row r="6505" spans="1:59">
      <c r="A6505" s="1">
        <f>HYPERLINK("https://lsnyc.legalserver.org/matter/dynamic-profile/view/1910852","19-1910852")</f>
        <v>0</v>
      </c>
      <c r="B6505" t="s">
        <v>4982</v>
      </c>
      <c r="C6505" t="s">
        <v>9905</v>
      </c>
      <c r="D6505" t="s">
        <v>9926</v>
      </c>
      <c r="E6505" t="s">
        <v>10075</v>
      </c>
      <c r="F6505">
        <v>10463</v>
      </c>
      <c r="G6505" t="s">
        <v>10091</v>
      </c>
      <c r="H6505" t="s">
        <v>10101</v>
      </c>
      <c r="I6505" t="s">
        <v>10169</v>
      </c>
      <c r="J6505" t="s">
        <v>10214</v>
      </c>
      <c r="K6505" t="s">
        <v>10217</v>
      </c>
      <c r="M6505" t="s">
        <v>10286</v>
      </c>
      <c r="N6505" t="s">
        <v>10671</v>
      </c>
      <c r="P6505" t="s">
        <v>10750</v>
      </c>
      <c r="Q6505" t="s">
        <v>10760</v>
      </c>
      <c r="R6505" t="s">
        <v>10821</v>
      </c>
      <c r="T6505">
        <v>0</v>
      </c>
      <c r="U6505">
        <v>0</v>
      </c>
      <c r="V6505">
        <v>39</v>
      </c>
      <c r="W6505">
        <v>1</v>
      </c>
      <c r="X6505">
        <v>0</v>
      </c>
      <c r="Z6505">
        <v>0</v>
      </c>
      <c r="AA6505">
        <v>40.875263</v>
      </c>
      <c r="AB6505">
        <v>-73.908106</v>
      </c>
      <c r="AD6505" t="s">
        <v>10840</v>
      </c>
      <c r="AF6505" t="s">
        <v>10843</v>
      </c>
      <c r="AG6505" t="s">
        <v>10859</v>
      </c>
      <c r="AH6505" t="s">
        <v>10861</v>
      </c>
      <c r="AI6505">
        <v>234</v>
      </c>
      <c r="AJ6505" t="s">
        <v>10214</v>
      </c>
      <c r="AL6505">
        <v>0.5</v>
      </c>
      <c r="AM6505" t="s">
        <v>10887</v>
      </c>
      <c r="AN6505" t="s">
        <v>10937</v>
      </c>
      <c r="AO6505" t="s">
        <v>11019</v>
      </c>
      <c r="AP6505" t="s">
        <v>11074</v>
      </c>
      <c r="AR6505" t="s">
        <v>11267</v>
      </c>
      <c r="AS6505" t="s">
        <v>9926</v>
      </c>
      <c r="AT6505" t="s">
        <v>11642</v>
      </c>
      <c r="AX6505" t="s">
        <v>10838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</row>
    <row r="6506" spans="1:59">
      <c r="A6506" s="1">
        <f>HYPERLINK("https://lsnyc.legalserver.org/matter/dynamic-profile/view/1910853","19-1910853")</f>
        <v>0</v>
      </c>
      <c r="B6506" t="s">
        <v>2517</v>
      </c>
      <c r="C6506" t="s">
        <v>7293</v>
      </c>
      <c r="D6506" t="s">
        <v>9928</v>
      </c>
      <c r="E6506" t="s">
        <v>10075</v>
      </c>
      <c r="F6506">
        <v>11226</v>
      </c>
      <c r="G6506" t="s">
        <v>10093</v>
      </c>
      <c r="H6506" t="s">
        <v>10156</v>
      </c>
      <c r="I6506" t="s">
        <v>10168</v>
      </c>
      <c r="J6506" t="s">
        <v>10213</v>
      </c>
      <c r="K6506" t="s">
        <v>10217</v>
      </c>
      <c r="M6506" t="s">
        <v>10400</v>
      </c>
      <c r="N6506" t="s">
        <v>10671</v>
      </c>
      <c r="P6506" t="s">
        <v>10751</v>
      </c>
      <c r="Q6506" t="s">
        <v>10761</v>
      </c>
      <c r="R6506" t="s">
        <v>10825</v>
      </c>
      <c r="T6506">
        <v>28777.84</v>
      </c>
      <c r="U6506">
        <v>2398.15</v>
      </c>
      <c r="V6506">
        <v>42</v>
      </c>
      <c r="W6506">
        <v>2</v>
      </c>
      <c r="X6506">
        <v>1</v>
      </c>
      <c r="Z6506">
        <v>134.92</v>
      </c>
      <c r="AA6506">
        <v>40.655985</v>
      </c>
      <c r="AB6506">
        <v>-73.958951</v>
      </c>
      <c r="AD6506" t="s">
        <v>10839</v>
      </c>
      <c r="AF6506" t="s">
        <v>10843</v>
      </c>
      <c r="AG6506" t="s">
        <v>10859</v>
      </c>
      <c r="AH6506" t="s">
        <v>10862</v>
      </c>
      <c r="AI6506">
        <v>239</v>
      </c>
      <c r="AJ6506" t="s">
        <v>10213</v>
      </c>
      <c r="AL6506">
        <v>2.2</v>
      </c>
      <c r="AM6506" t="s">
        <v>10888</v>
      </c>
      <c r="AN6506" t="s">
        <v>10912</v>
      </c>
      <c r="AO6506" t="s">
        <v>11008</v>
      </c>
      <c r="AP6506" t="s">
        <v>11050</v>
      </c>
      <c r="AR6506" t="s">
        <v>11262</v>
      </c>
      <c r="AS6506" t="s">
        <v>11595</v>
      </c>
      <c r="BA6506" t="s">
        <v>11737</v>
      </c>
      <c r="BB6506">
        <v>0</v>
      </c>
      <c r="BC6506">
        <v>0</v>
      </c>
      <c r="BD6506">
        <v>0</v>
      </c>
      <c r="BE6506">
        <v>0</v>
      </c>
      <c r="BF6506">
        <v>3</v>
      </c>
      <c r="BG6506">
        <v>0</v>
      </c>
    </row>
    <row r="6507" spans="1:59">
      <c r="A6507" s="1">
        <f>HYPERLINK("https://lsnyc.legalserver.org/matter/dynamic-profile/view/1910855","19-1910855")</f>
        <v>0</v>
      </c>
      <c r="B6507" t="s">
        <v>4551</v>
      </c>
      <c r="C6507" t="s">
        <v>9906</v>
      </c>
      <c r="D6507" t="s">
        <v>9928</v>
      </c>
      <c r="E6507" t="s">
        <v>10075</v>
      </c>
      <c r="F6507">
        <v>11208</v>
      </c>
      <c r="G6507" t="s">
        <v>10091</v>
      </c>
      <c r="H6507" t="s">
        <v>10101</v>
      </c>
      <c r="I6507" t="s">
        <v>10168</v>
      </c>
      <c r="J6507" t="s">
        <v>10214</v>
      </c>
      <c r="K6507" t="s">
        <v>10217</v>
      </c>
      <c r="M6507" t="s">
        <v>10537</v>
      </c>
      <c r="N6507" t="s">
        <v>10671</v>
      </c>
      <c r="P6507" t="s">
        <v>10753</v>
      </c>
      <c r="Q6507" t="s">
        <v>10763</v>
      </c>
      <c r="R6507" t="s">
        <v>10824</v>
      </c>
      <c r="T6507">
        <v>32716</v>
      </c>
      <c r="U6507">
        <v>2726.33</v>
      </c>
      <c r="V6507">
        <v>51</v>
      </c>
      <c r="W6507">
        <v>1</v>
      </c>
      <c r="X6507">
        <v>1</v>
      </c>
      <c r="Z6507">
        <v>193.47</v>
      </c>
      <c r="AA6507">
        <v>40.671615</v>
      </c>
      <c r="AB6507">
        <v>-73.86357700000001</v>
      </c>
      <c r="AD6507" t="s">
        <v>10840</v>
      </c>
      <c r="AF6507" t="s">
        <v>10843</v>
      </c>
      <c r="AG6507" t="s">
        <v>10859</v>
      </c>
      <c r="AH6507" t="s">
        <v>10861</v>
      </c>
      <c r="AI6507">
        <v>234</v>
      </c>
      <c r="AJ6507" t="s">
        <v>10214</v>
      </c>
      <c r="AL6507">
        <v>0.7</v>
      </c>
      <c r="AQ6507" t="s">
        <v>11097</v>
      </c>
      <c r="AR6507" t="s">
        <v>11591</v>
      </c>
      <c r="AS6507" t="s">
        <v>11595</v>
      </c>
      <c r="AT6507" t="s">
        <v>11642</v>
      </c>
      <c r="AX6507" t="s">
        <v>10838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</row>
    <row r="6508" spans="1:59">
      <c r="A6508" s="1">
        <f>HYPERLINK("https://lsnyc.legalserver.org/matter/dynamic-profile/view/1910856","19-1910856")</f>
        <v>0</v>
      </c>
      <c r="B6508" t="s">
        <v>1048</v>
      </c>
      <c r="C6508" t="s">
        <v>9907</v>
      </c>
      <c r="D6508" t="s">
        <v>9926</v>
      </c>
      <c r="E6508" t="s">
        <v>10075</v>
      </c>
      <c r="F6508">
        <v>10472</v>
      </c>
      <c r="G6508" t="s">
        <v>10090</v>
      </c>
      <c r="H6508" t="s">
        <v>10101</v>
      </c>
      <c r="I6508" t="s">
        <v>10168</v>
      </c>
      <c r="J6508" t="s">
        <v>10210</v>
      </c>
      <c r="K6508" t="s">
        <v>10217</v>
      </c>
      <c r="M6508" t="s">
        <v>10516</v>
      </c>
      <c r="N6508" t="s">
        <v>10694</v>
      </c>
      <c r="P6508" t="s">
        <v>10751</v>
      </c>
      <c r="Q6508" t="s">
        <v>10768</v>
      </c>
      <c r="R6508" t="s">
        <v>10823</v>
      </c>
      <c r="T6508">
        <v>31200</v>
      </c>
      <c r="U6508">
        <v>2600</v>
      </c>
      <c r="V6508">
        <v>32</v>
      </c>
      <c r="W6508">
        <v>1</v>
      </c>
      <c r="X6508">
        <v>0</v>
      </c>
      <c r="Z6508">
        <v>249.8</v>
      </c>
      <c r="AA6508">
        <v>40.826952</v>
      </c>
      <c r="AB6508">
        <v>-73.874296</v>
      </c>
      <c r="AC6508" t="s">
        <v>10837</v>
      </c>
      <c r="AD6508" t="s">
        <v>10840</v>
      </c>
      <c r="AG6508" t="s">
        <v>10858</v>
      </c>
      <c r="AH6508" t="s">
        <v>10861</v>
      </c>
      <c r="AI6508">
        <v>234</v>
      </c>
      <c r="AJ6508" t="s">
        <v>10214</v>
      </c>
      <c r="AL6508">
        <v>4.45</v>
      </c>
      <c r="AM6508" t="s">
        <v>10884</v>
      </c>
      <c r="AN6508" t="s">
        <v>10968</v>
      </c>
      <c r="AO6508" t="s">
        <v>11001</v>
      </c>
      <c r="AP6508" t="s">
        <v>11046</v>
      </c>
      <c r="AR6508" t="s">
        <v>11303</v>
      </c>
      <c r="AS6508" t="s">
        <v>9926</v>
      </c>
      <c r="AT6508" t="s">
        <v>11642</v>
      </c>
      <c r="AX6508" t="s">
        <v>10838</v>
      </c>
      <c r="BA6508" t="s">
        <v>11741</v>
      </c>
      <c r="BB6508">
        <v>0</v>
      </c>
      <c r="BC6508">
        <v>0</v>
      </c>
      <c r="BD6508">
        <v>0</v>
      </c>
      <c r="BE6508">
        <v>0</v>
      </c>
      <c r="BF6508">
        <v>1</v>
      </c>
      <c r="BG6508">
        <v>0</v>
      </c>
    </row>
    <row r="6509" spans="1:59">
      <c r="A6509" s="1">
        <f>HYPERLINK("https://lsnyc.legalserver.org/matter/dynamic-profile/view/1910857","19-1910857")</f>
        <v>0</v>
      </c>
      <c r="B6509" t="s">
        <v>4983</v>
      </c>
      <c r="C6509" t="s">
        <v>9908</v>
      </c>
      <c r="D6509" t="s">
        <v>9928</v>
      </c>
      <c r="E6509" t="s">
        <v>10075</v>
      </c>
      <c r="F6509">
        <v>11212</v>
      </c>
      <c r="G6509" t="s">
        <v>10093</v>
      </c>
      <c r="H6509" t="s">
        <v>10101</v>
      </c>
      <c r="I6509" t="s">
        <v>10168</v>
      </c>
      <c r="J6509" t="s">
        <v>10213</v>
      </c>
      <c r="K6509" t="s">
        <v>10217</v>
      </c>
      <c r="M6509" t="s">
        <v>10289</v>
      </c>
      <c r="N6509" t="s">
        <v>10671</v>
      </c>
      <c r="P6509" t="s">
        <v>10751</v>
      </c>
      <c r="Q6509" t="s">
        <v>10761</v>
      </c>
      <c r="R6509" t="s">
        <v>10826</v>
      </c>
      <c r="T6509">
        <v>12000</v>
      </c>
      <c r="U6509">
        <v>1000</v>
      </c>
      <c r="V6509">
        <v>61</v>
      </c>
      <c r="W6509">
        <v>2</v>
      </c>
      <c r="X6509">
        <v>1</v>
      </c>
      <c r="Z6509">
        <v>56.26</v>
      </c>
      <c r="AA6509">
        <v>40.659101</v>
      </c>
      <c r="AB6509">
        <v>-73.906277</v>
      </c>
      <c r="AD6509" t="s">
        <v>10839</v>
      </c>
      <c r="AG6509" t="s">
        <v>10858</v>
      </c>
      <c r="AH6509" t="s">
        <v>10861</v>
      </c>
      <c r="AI6509">
        <v>234</v>
      </c>
      <c r="AJ6509" t="s">
        <v>10214</v>
      </c>
      <c r="AL6509">
        <v>1.25</v>
      </c>
      <c r="AM6509" t="s">
        <v>10888</v>
      </c>
      <c r="AN6509" t="s">
        <v>10946</v>
      </c>
      <c r="AO6509" t="s">
        <v>11012</v>
      </c>
      <c r="AP6509" t="s">
        <v>11060</v>
      </c>
      <c r="AR6509" t="s">
        <v>11263</v>
      </c>
      <c r="AS6509" t="s">
        <v>11595</v>
      </c>
      <c r="AT6509" t="s">
        <v>11641</v>
      </c>
      <c r="AX6509" t="s">
        <v>10838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</row>
    <row r="6510" spans="1:59">
      <c r="A6510" s="1">
        <f>HYPERLINK("https://lsnyc.legalserver.org/matter/dynamic-profile/view/1910858","19-1910858")</f>
        <v>0</v>
      </c>
      <c r="B6510" t="s">
        <v>4984</v>
      </c>
      <c r="C6510" t="s">
        <v>7603</v>
      </c>
      <c r="D6510" t="s">
        <v>9926</v>
      </c>
      <c r="E6510" t="s">
        <v>10075</v>
      </c>
      <c r="F6510">
        <v>10462</v>
      </c>
      <c r="G6510" t="s">
        <v>10090</v>
      </c>
      <c r="H6510" t="s">
        <v>10101</v>
      </c>
      <c r="J6510" t="s">
        <v>10210</v>
      </c>
      <c r="K6510" t="s">
        <v>10217</v>
      </c>
      <c r="M6510" t="s">
        <v>10469</v>
      </c>
      <c r="N6510" t="s">
        <v>10651</v>
      </c>
      <c r="P6510" t="s">
        <v>10749</v>
      </c>
      <c r="Q6510" t="s">
        <v>10765</v>
      </c>
      <c r="R6510" t="s">
        <v>10824</v>
      </c>
      <c r="T6510">
        <v>0</v>
      </c>
      <c r="U6510">
        <v>0</v>
      </c>
      <c r="V6510">
        <v>44</v>
      </c>
      <c r="W6510">
        <v>2</v>
      </c>
      <c r="X6510">
        <v>3</v>
      </c>
      <c r="Z6510">
        <v>0</v>
      </c>
      <c r="AA6510">
        <v>40.841249</v>
      </c>
      <c r="AB6510">
        <v>-73.854806</v>
      </c>
      <c r="AD6510" t="s">
        <v>10839</v>
      </c>
      <c r="AG6510" t="s">
        <v>10858</v>
      </c>
      <c r="AH6510" t="s">
        <v>10862</v>
      </c>
      <c r="AI6510">
        <v>230</v>
      </c>
      <c r="AJ6510" t="s">
        <v>10210</v>
      </c>
      <c r="AL6510">
        <v>2.5</v>
      </c>
      <c r="AM6510" t="s">
        <v>10885</v>
      </c>
      <c r="AN6510" t="s">
        <v>10908</v>
      </c>
      <c r="AO6510" t="s">
        <v>11001</v>
      </c>
      <c r="AP6510" t="s">
        <v>11046</v>
      </c>
      <c r="AR6510" t="s">
        <v>11267</v>
      </c>
      <c r="AS6510" t="s">
        <v>9926</v>
      </c>
      <c r="AT6510" t="s">
        <v>11641</v>
      </c>
      <c r="AX6510" t="s">
        <v>11678</v>
      </c>
      <c r="BA6510" t="s">
        <v>11738</v>
      </c>
      <c r="BB6510">
        <v>0</v>
      </c>
      <c r="BC6510">
        <v>0</v>
      </c>
      <c r="BD6510">
        <v>0</v>
      </c>
      <c r="BE6510">
        <v>0</v>
      </c>
      <c r="BF6510">
        <v>5</v>
      </c>
      <c r="BG6510">
        <v>0</v>
      </c>
    </row>
    <row r="6511" spans="1:59">
      <c r="A6511" s="1">
        <f>HYPERLINK("https://lsnyc.legalserver.org/matter/dynamic-profile/view/1910859","19-1910859")</f>
        <v>0</v>
      </c>
      <c r="B6511" t="s">
        <v>4985</v>
      </c>
      <c r="C6511" t="s">
        <v>9909</v>
      </c>
      <c r="D6511" t="s">
        <v>9930</v>
      </c>
      <c r="E6511" t="s">
        <v>10075</v>
      </c>
      <c r="F6511">
        <v>11373</v>
      </c>
      <c r="G6511" t="s">
        <v>10093</v>
      </c>
      <c r="H6511" t="s">
        <v>10158</v>
      </c>
      <c r="I6511" t="s">
        <v>10168</v>
      </c>
      <c r="J6511" t="s">
        <v>10213</v>
      </c>
      <c r="K6511" t="s">
        <v>10217</v>
      </c>
      <c r="M6511" t="s">
        <v>10420</v>
      </c>
      <c r="N6511" t="s">
        <v>10649</v>
      </c>
      <c r="P6511" t="s">
        <v>10753</v>
      </c>
      <c r="Q6511" t="s">
        <v>10763</v>
      </c>
      <c r="R6511" t="s">
        <v>10827</v>
      </c>
      <c r="T6511">
        <v>23000</v>
      </c>
      <c r="U6511">
        <v>1916.67</v>
      </c>
      <c r="V6511">
        <v>21</v>
      </c>
      <c r="W6511">
        <v>1</v>
      </c>
      <c r="X6511">
        <v>0</v>
      </c>
      <c r="Z6511">
        <v>184.15</v>
      </c>
      <c r="AA6511">
        <v>40.747039</v>
      </c>
      <c r="AB6511">
        <v>-73.871543</v>
      </c>
      <c r="AD6511" t="s">
        <v>10839</v>
      </c>
      <c r="AF6511" t="s">
        <v>10843</v>
      </c>
      <c r="AG6511" t="s">
        <v>10859</v>
      </c>
      <c r="AH6511" t="s">
        <v>10864</v>
      </c>
      <c r="AI6511">
        <v>239</v>
      </c>
      <c r="AJ6511" t="s">
        <v>10213</v>
      </c>
      <c r="AL6511">
        <v>1.9</v>
      </c>
      <c r="AM6511" t="s">
        <v>10885</v>
      </c>
      <c r="AN6511" t="s">
        <v>10949</v>
      </c>
      <c r="AO6511" t="s">
        <v>11014</v>
      </c>
      <c r="AP6511" t="s">
        <v>11068</v>
      </c>
      <c r="AQ6511" t="s">
        <v>11097</v>
      </c>
      <c r="AR6511" t="s">
        <v>11257</v>
      </c>
      <c r="AS6511" t="s">
        <v>11594</v>
      </c>
      <c r="AX6511" t="s">
        <v>10837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</row>
    <row r="6512" spans="1:59">
      <c r="A6512" s="1">
        <f>HYPERLINK("https://lsnyc.legalserver.org/matter/dynamic-profile/view/1910860","19-1910860")</f>
        <v>0</v>
      </c>
      <c r="B6512" t="s">
        <v>4986</v>
      </c>
      <c r="C6512" t="s">
        <v>9910</v>
      </c>
      <c r="D6512" t="s">
        <v>9928</v>
      </c>
      <c r="E6512" t="s">
        <v>10075</v>
      </c>
      <c r="F6512">
        <v>11225</v>
      </c>
      <c r="G6512" t="s">
        <v>10093</v>
      </c>
      <c r="H6512" t="s">
        <v>10101</v>
      </c>
      <c r="I6512" t="s">
        <v>10168</v>
      </c>
      <c r="J6512" t="s">
        <v>10213</v>
      </c>
      <c r="K6512" t="s">
        <v>10217</v>
      </c>
      <c r="M6512" t="s">
        <v>10619</v>
      </c>
      <c r="N6512" t="s">
        <v>10664</v>
      </c>
      <c r="P6512" t="s">
        <v>10749</v>
      </c>
      <c r="Q6512" t="s">
        <v>10765</v>
      </c>
      <c r="R6512" t="s">
        <v>10824</v>
      </c>
      <c r="T6512">
        <v>4500</v>
      </c>
      <c r="U6512">
        <v>375</v>
      </c>
      <c r="V6512">
        <v>65</v>
      </c>
      <c r="W6512">
        <v>1</v>
      </c>
      <c r="X6512">
        <v>0</v>
      </c>
      <c r="Z6512">
        <v>36.03</v>
      </c>
      <c r="AA6512">
        <v>40.667632</v>
      </c>
      <c r="AB6512">
        <v>-73.95384799999999</v>
      </c>
      <c r="AD6512" t="s">
        <v>10839</v>
      </c>
      <c r="AG6512" t="s">
        <v>10858</v>
      </c>
      <c r="AH6512" t="s">
        <v>10862</v>
      </c>
      <c r="AI6512">
        <v>239</v>
      </c>
      <c r="AJ6512" t="s">
        <v>10213</v>
      </c>
      <c r="AL6512">
        <v>0.75</v>
      </c>
      <c r="AM6512" t="s">
        <v>10888</v>
      </c>
      <c r="AN6512" t="s">
        <v>10923</v>
      </c>
      <c r="AO6512" t="s">
        <v>11005</v>
      </c>
      <c r="AP6512" t="s">
        <v>11061</v>
      </c>
      <c r="AQ6512" t="s">
        <v>11101</v>
      </c>
      <c r="AR6512" t="s">
        <v>11300</v>
      </c>
      <c r="AS6512" t="s">
        <v>11595</v>
      </c>
      <c r="BA6512" t="s">
        <v>11738</v>
      </c>
      <c r="BB6512">
        <v>0</v>
      </c>
      <c r="BC6512">
        <v>0</v>
      </c>
      <c r="BD6512">
        <v>0</v>
      </c>
      <c r="BE6512">
        <v>0</v>
      </c>
      <c r="BF6512">
        <v>5</v>
      </c>
      <c r="BG6512">
        <v>0</v>
      </c>
    </row>
    <row r="6513" spans="1:59">
      <c r="A6513" s="1">
        <f>HYPERLINK("https://lsnyc.legalserver.org/matter/dynamic-profile/view/1910861","19-1910861")</f>
        <v>0</v>
      </c>
      <c r="B6513" t="s">
        <v>4987</v>
      </c>
      <c r="C6513" t="s">
        <v>9911</v>
      </c>
      <c r="D6513" t="s">
        <v>9928</v>
      </c>
      <c r="E6513" t="s">
        <v>10075</v>
      </c>
      <c r="F6513">
        <v>11228</v>
      </c>
      <c r="G6513" t="s">
        <v>10091</v>
      </c>
      <c r="H6513" t="s">
        <v>10101</v>
      </c>
      <c r="I6513" t="s">
        <v>10168</v>
      </c>
      <c r="J6513" t="s">
        <v>10214</v>
      </c>
      <c r="K6513" t="s">
        <v>10217</v>
      </c>
      <c r="M6513" t="s">
        <v>10307</v>
      </c>
      <c r="N6513" t="s">
        <v>10671</v>
      </c>
      <c r="P6513" t="s">
        <v>10752</v>
      </c>
      <c r="Q6513" t="s">
        <v>10762</v>
      </c>
      <c r="R6513" t="s">
        <v>10820</v>
      </c>
      <c r="T6513">
        <v>0</v>
      </c>
      <c r="U6513">
        <v>0</v>
      </c>
      <c r="V6513">
        <v>50</v>
      </c>
      <c r="W6513">
        <v>1</v>
      </c>
      <c r="X6513">
        <v>0</v>
      </c>
      <c r="Z6513">
        <v>0</v>
      </c>
      <c r="AA6513">
        <v>40.616961</v>
      </c>
      <c r="AB6513">
        <v>-74.011341</v>
      </c>
      <c r="AD6513" t="s">
        <v>10840</v>
      </c>
      <c r="AG6513" t="s">
        <v>10858</v>
      </c>
      <c r="AH6513" t="s">
        <v>10861</v>
      </c>
      <c r="AI6513">
        <v>234</v>
      </c>
      <c r="AJ6513" t="s">
        <v>10214</v>
      </c>
      <c r="AL6513">
        <v>0.4</v>
      </c>
      <c r="AM6513" t="s">
        <v>10883</v>
      </c>
      <c r="AN6513" t="s">
        <v>10960</v>
      </c>
      <c r="AO6513" t="s">
        <v>11023</v>
      </c>
      <c r="AP6513" t="s">
        <v>11086</v>
      </c>
      <c r="AR6513" t="s">
        <v>11267</v>
      </c>
      <c r="AS6513" t="s">
        <v>11595</v>
      </c>
      <c r="AT6513" t="s">
        <v>11642</v>
      </c>
      <c r="AX6513" t="s">
        <v>10837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</row>
    <row r="6514" spans="1:59">
      <c r="A6514" s="1">
        <f>HYPERLINK("https://lsnyc.legalserver.org/matter/dynamic-profile/view/1910862","19-1910862")</f>
        <v>0</v>
      </c>
      <c r="B6514" t="s">
        <v>4988</v>
      </c>
      <c r="C6514" t="s">
        <v>8864</v>
      </c>
      <c r="D6514" t="s">
        <v>9928</v>
      </c>
      <c r="E6514" t="s">
        <v>10075</v>
      </c>
      <c r="F6514">
        <v>11233</v>
      </c>
      <c r="G6514" t="s">
        <v>10090</v>
      </c>
      <c r="H6514" t="s">
        <v>10101</v>
      </c>
      <c r="I6514" t="s">
        <v>10168</v>
      </c>
      <c r="J6514" t="s">
        <v>10210</v>
      </c>
      <c r="K6514" t="s">
        <v>10217</v>
      </c>
      <c r="M6514" t="s">
        <v>10540</v>
      </c>
      <c r="N6514" t="s">
        <v>10727</v>
      </c>
      <c r="P6514" t="s">
        <v>10753</v>
      </c>
      <c r="Q6514" t="s">
        <v>10809</v>
      </c>
      <c r="R6514" t="s">
        <v>10824</v>
      </c>
      <c r="T6514">
        <v>0</v>
      </c>
      <c r="U6514">
        <v>0</v>
      </c>
      <c r="V6514">
        <v>47</v>
      </c>
      <c r="W6514">
        <v>3</v>
      </c>
      <c r="X6514">
        <v>1</v>
      </c>
      <c r="Z6514">
        <v>0</v>
      </c>
      <c r="AA6514">
        <v>40.671634</v>
      </c>
      <c r="AB6514">
        <v>-73.912881</v>
      </c>
      <c r="AD6514" t="s">
        <v>10839</v>
      </c>
      <c r="AF6514" t="s">
        <v>10842</v>
      </c>
      <c r="AG6514" t="s">
        <v>10859</v>
      </c>
      <c r="AH6514" t="s">
        <v>10861</v>
      </c>
      <c r="AI6514">
        <v>230</v>
      </c>
      <c r="AJ6514" t="s">
        <v>10210</v>
      </c>
      <c r="AL6514">
        <v>0.7</v>
      </c>
      <c r="AM6514" t="s">
        <v>10888</v>
      </c>
      <c r="AN6514" t="s">
        <v>10922</v>
      </c>
      <c r="AO6514" t="s">
        <v>11005</v>
      </c>
      <c r="AP6514" t="s">
        <v>11064</v>
      </c>
      <c r="AQ6514" t="s">
        <v>11180</v>
      </c>
      <c r="AR6514" t="s">
        <v>11267</v>
      </c>
      <c r="AS6514" t="s">
        <v>11595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</row>
    <row r="6515" spans="1:59">
      <c r="A6515" s="1">
        <f>HYPERLINK("https://lsnyc.legalserver.org/matter/dynamic-profile/view/1910863","19-1910863")</f>
        <v>0</v>
      </c>
      <c r="B6515" t="s">
        <v>4474</v>
      </c>
      <c r="C6515" t="s">
        <v>5811</v>
      </c>
      <c r="D6515" t="s">
        <v>9925</v>
      </c>
      <c r="E6515" t="s">
        <v>10075</v>
      </c>
      <c r="F6515">
        <v>10002</v>
      </c>
      <c r="G6515" t="s">
        <v>10089</v>
      </c>
      <c r="H6515" t="s">
        <v>10101</v>
      </c>
      <c r="I6515" t="s">
        <v>10168</v>
      </c>
      <c r="J6515" t="s">
        <v>10209</v>
      </c>
      <c r="K6515" t="s">
        <v>10217</v>
      </c>
      <c r="M6515" t="s">
        <v>10394</v>
      </c>
      <c r="N6515" t="s">
        <v>10688</v>
      </c>
      <c r="P6515" t="s">
        <v>10751</v>
      </c>
      <c r="Q6515" t="s">
        <v>10786</v>
      </c>
      <c r="R6515" t="s">
        <v>10823</v>
      </c>
      <c r="T6515">
        <v>9252</v>
      </c>
      <c r="U6515">
        <v>771</v>
      </c>
      <c r="V6515">
        <v>33</v>
      </c>
      <c r="W6515">
        <v>1</v>
      </c>
      <c r="X6515">
        <v>0</v>
      </c>
      <c r="Z6515">
        <v>74.08</v>
      </c>
      <c r="AA6515">
        <v>40.715577</v>
      </c>
      <c r="AB6515">
        <v>-73.98443399999999</v>
      </c>
      <c r="AD6515" t="s">
        <v>10840</v>
      </c>
      <c r="AG6515" t="s">
        <v>10858</v>
      </c>
      <c r="AH6515" t="s">
        <v>10862</v>
      </c>
      <c r="AI6515">
        <v>236</v>
      </c>
      <c r="AJ6515" t="s">
        <v>10209</v>
      </c>
      <c r="AL6515">
        <v>1</v>
      </c>
      <c r="AR6515" t="s">
        <v>11263</v>
      </c>
      <c r="AS6515" t="s">
        <v>9925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</row>
    <row r="6516" spans="1:59">
      <c r="A6516" s="1">
        <f>HYPERLINK("https://lsnyc.legalserver.org/matter/dynamic-profile/view/1910864","19-1910864")</f>
        <v>0</v>
      </c>
      <c r="B6516" t="s">
        <v>4989</v>
      </c>
      <c r="C6516" t="s">
        <v>5939</v>
      </c>
      <c r="D6516" t="s">
        <v>9925</v>
      </c>
      <c r="E6516" t="s">
        <v>10075</v>
      </c>
      <c r="F6516">
        <v>10001</v>
      </c>
      <c r="G6516" t="s">
        <v>10089</v>
      </c>
      <c r="H6516" t="s">
        <v>10101</v>
      </c>
      <c r="I6516" t="s">
        <v>10168</v>
      </c>
      <c r="J6516" t="s">
        <v>10209</v>
      </c>
      <c r="K6516" t="s">
        <v>10217</v>
      </c>
      <c r="M6516" t="s">
        <v>10503</v>
      </c>
      <c r="N6516" t="s">
        <v>10721</v>
      </c>
      <c r="P6516" t="s">
        <v>10754</v>
      </c>
      <c r="Q6516" t="s">
        <v>10777</v>
      </c>
      <c r="R6516" t="s">
        <v>10821</v>
      </c>
      <c r="T6516">
        <v>17088</v>
      </c>
      <c r="U6516">
        <v>1424</v>
      </c>
      <c r="V6516">
        <v>34</v>
      </c>
      <c r="W6516">
        <v>1</v>
      </c>
      <c r="X6516">
        <v>2</v>
      </c>
      <c r="Z6516">
        <v>80.11</v>
      </c>
      <c r="AA6516">
        <v>40.749833</v>
      </c>
      <c r="AB6516">
        <v>-74.002314</v>
      </c>
      <c r="AD6516" t="s">
        <v>10839</v>
      </c>
      <c r="AG6516" t="s">
        <v>10858</v>
      </c>
      <c r="AH6516" t="s">
        <v>10865</v>
      </c>
      <c r="AI6516">
        <v>236</v>
      </c>
      <c r="AJ6516" t="s">
        <v>10209</v>
      </c>
      <c r="AK6516" t="s">
        <v>10837</v>
      </c>
      <c r="AL6516">
        <v>0</v>
      </c>
      <c r="AM6516" t="s">
        <v>10894</v>
      </c>
      <c r="AN6516" t="s">
        <v>10966</v>
      </c>
      <c r="AO6516" t="s">
        <v>11019</v>
      </c>
      <c r="AP6516" t="s">
        <v>11090</v>
      </c>
      <c r="AQ6516" t="s">
        <v>11216</v>
      </c>
      <c r="AR6516" t="s">
        <v>11592</v>
      </c>
      <c r="AS6516" t="s">
        <v>9925</v>
      </c>
      <c r="AT6516" t="s">
        <v>11641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</row>
    <row r="6517" spans="1:59">
      <c r="A6517" s="1">
        <f>HYPERLINK("https://lsnyc.legalserver.org/matter/dynamic-profile/view/1910865","19-1910865")</f>
        <v>0</v>
      </c>
      <c r="B6517" t="s">
        <v>573</v>
      </c>
      <c r="C6517" t="s">
        <v>9912</v>
      </c>
      <c r="D6517" t="s">
        <v>9926</v>
      </c>
      <c r="E6517" t="s">
        <v>10075</v>
      </c>
      <c r="F6517">
        <v>10471</v>
      </c>
      <c r="G6517" t="s">
        <v>10090</v>
      </c>
      <c r="H6517" t="s">
        <v>10101</v>
      </c>
      <c r="I6517" t="s">
        <v>10168</v>
      </c>
      <c r="J6517" t="s">
        <v>10210</v>
      </c>
      <c r="K6517" t="s">
        <v>10217</v>
      </c>
      <c r="M6517" t="s">
        <v>10338</v>
      </c>
      <c r="N6517" t="s">
        <v>10671</v>
      </c>
      <c r="P6517" t="s">
        <v>10753</v>
      </c>
      <c r="Q6517" t="s">
        <v>10763</v>
      </c>
      <c r="R6517" t="s">
        <v>10824</v>
      </c>
      <c r="T6517">
        <v>4356</v>
      </c>
      <c r="U6517">
        <v>363</v>
      </c>
      <c r="V6517">
        <v>40</v>
      </c>
      <c r="W6517">
        <v>1</v>
      </c>
      <c r="X6517">
        <v>0</v>
      </c>
      <c r="Z6517">
        <v>34.88</v>
      </c>
      <c r="AA6517">
        <v>40.889757</v>
      </c>
      <c r="AB6517">
        <v>-73.899338</v>
      </c>
      <c r="AD6517" t="s">
        <v>10840</v>
      </c>
      <c r="AF6517" t="s">
        <v>10846</v>
      </c>
      <c r="AG6517" t="s">
        <v>10859</v>
      </c>
      <c r="AH6517" t="s">
        <v>10874</v>
      </c>
      <c r="AI6517">
        <v>230</v>
      </c>
      <c r="AJ6517" t="s">
        <v>10210</v>
      </c>
      <c r="AL6517">
        <v>2.5</v>
      </c>
      <c r="AM6517" t="s">
        <v>10893</v>
      </c>
      <c r="AN6517" t="s">
        <v>10919</v>
      </c>
      <c r="AO6517" t="s">
        <v>11002</v>
      </c>
      <c r="AP6517" t="s">
        <v>11057</v>
      </c>
      <c r="AQ6517" t="s">
        <v>11142</v>
      </c>
      <c r="AR6517" t="s">
        <v>11387</v>
      </c>
      <c r="AS6517" t="s">
        <v>9926</v>
      </c>
      <c r="AT6517" t="s">
        <v>11642</v>
      </c>
      <c r="AX6517" t="s">
        <v>10837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</row>
    <row r="6518" spans="1:59">
      <c r="A6518" s="1">
        <f>HYPERLINK("https://lsnyc.legalserver.org/matter/dynamic-profile/view/1910866","19-1910866")</f>
        <v>0</v>
      </c>
      <c r="B6518" t="s">
        <v>2617</v>
      </c>
      <c r="C6518" t="s">
        <v>9913</v>
      </c>
      <c r="D6518" t="s">
        <v>9938</v>
      </c>
      <c r="E6518" t="s">
        <v>10075</v>
      </c>
      <c r="F6518">
        <v>11432</v>
      </c>
      <c r="G6518" t="s">
        <v>10092</v>
      </c>
      <c r="H6518" t="s">
        <v>10101</v>
      </c>
      <c r="I6518" t="s">
        <v>10168</v>
      </c>
      <c r="J6518" t="s">
        <v>10212</v>
      </c>
      <c r="K6518" t="s">
        <v>10217</v>
      </c>
      <c r="M6518" t="s">
        <v>10318</v>
      </c>
      <c r="N6518" t="s">
        <v>10684</v>
      </c>
      <c r="P6518" t="s">
        <v>10751</v>
      </c>
      <c r="Q6518" t="s">
        <v>10786</v>
      </c>
      <c r="R6518" t="s">
        <v>10827</v>
      </c>
      <c r="T6518">
        <v>26000</v>
      </c>
      <c r="U6518">
        <v>2166.67</v>
      </c>
      <c r="V6518">
        <v>65</v>
      </c>
      <c r="W6518">
        <v>2</v>
      </c>
      <c r="X6518">
        <v>2</v>
      </c>
      <c r="Z6518">
        <v>100.97</v>
      </c>
      <c r="AA6518">
        <v>40.711757</v>
      </c>
      <c r="AB6518">
        <v>-73.795632</v>
      </c>
      <c r="AD6518" t="s">
        <v>10840</v>
      </c>
      <c r="AF6518" t="s">
        <v>10843</v>
      </c>
      <c r="AG6518" t="s">
        <v>10858</v>
      </c>
      <c r="AH6518" t="s">
        <v>10873</v>
      </c>
      <c r="AI6518">
        <v>237</v>
      </c>
      <c r="AJ6518" t="s">
        <v>10212</v>
      </c>
      <c r="AL6518">
        <v>1.25</v>
      </c>
      <c r="AM6518" t="s">
        <v>10890</v>
      </c>
      <c r="AN6518" t="s">
        <v>10944</v>
      </c>
      <c r="AO6518" t="s">
        <v>11022</v>
      </c>
      <c r="AP6518" t="s">
        <v>11081</v>
      </c>
      <c r="AR6518" t="s">
        <v>11268</v>
      </c>
      <c r="AS6518" t="s">
        <v>11594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</row>
    <row r="6519" spans="1:59">
      <c r="A6519" s="1">
        <f>HYPERLINK("https://lsnyc.legalserver.org/matter/dynamic-profile/view/1910867","19-1910867")</f>
        <v>0</v>
      </c>
      <c r="B6519" t="s">
        <v>4990</v>
      </c>
      <c r="C6519" t="s">
        <v>8428</v>
      </c>
      <c r="D6519" t="s">
        <v>9928</v>
      </c>
      <c r="E6519" t="s">
        <v>10075</v>
      </c>
      <c r="F6519">
        <v>11212</v>
      </c>
      <c r="G6519" t="s">
        <v>10093</v>
      </c>
      <c r="H6519" t="s">
        <v>10101</v>
      </c>
      <c r="I6519" t="s">
        <v>10168</v>
      </c>
      <c r="J6519" t="s">
        <v>10213</v>
      </c>
      <c r="K6519" t="s">
        <v>10217</v>
      </c>
      <c r="M6519" t="s">
        <v>10405</v>
      </c>
      <c r="N6519" t="s">
        <v>10650</v>
      </c>
      <c r="P6519" t="s">
        <v>10749</v>
      </c>
      <c r="Q6519" t="s">
        <v>10765</v>
      </c>
      <c r="R6519" t="s">
        <v>10822</v>
      </c>
      <c r="T6519">
        <v>23400</v>
      </c>
      <c r="U6519">
        <v>1950</v>
      </c>
      <c r="V6519">
        <v>29</v>
      </c>
      <c r="W6519">
        <v>2</v>
      </c>
      <c r="X6519">
        <v>1</v>
      </c>
      <c r="Z6519">
        <v>109.7</v>
      </c>
      <c r="AA6519">
        <v>40.672487</v>
      </c>
      <c r="AB6519">
        <v>-73.903508</v>
      </c>
      <c r="AD6519" t="s">
        <v>10839</v>
      </c>
      <c r="AG6519" t="s">
        <v>10858</v>
      </c>
      <c r="AH6519" t="s">
        <v>10861</v>
      </c>
      <c r="AI6519">
        <v>234</v>
      </c>
      <c r="AJ6519" t="s">
        <v>10214</v>
      </c>
      <c r="AK6519" t="s">
        <v>10837</v>
      </c>
      <c r="AL6519">
        <v>1</v>
      </c>
      <c r="AM6519" t="s">
        <v>10889</v>
      </c>
      <c r="AN6519" t="s">
        <v>10922</v>
      </c>
      <c r="AO6519" t="s">
        <v>11012</v>
      </c>
      <c r="AP6519" t="s">
        <v>11058</v>
      </c>
      <c r="AR6519" t="s">
        <v>11262</v>
      </c>
      <c r="AS6519" t="s">
        <v>11595</v>
      </c>
      <c r="AT6519" t="s">
        <v>11641</v>
      </c>
      <c r="AX6519" t="s">
        <v>10838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</row>
    <row r="6520" spans="1:59">
      <c r="A6520" s="1">
        <f>HYPERLINK("https://lsnyc.legalserver.org/matter/dynamic-profile/view/1910868","19-1910868")</f>
        <v>0</v>
      </c>
      <c r="B6520" t="s">
        <v>4991</v>
      </c>
      <c r="C6520" t="s">
        <v>6240</v>
      </c>
      <c r="D6520" t="s">
        <v>9928</v>
      </c>
      <c r="E6520" t="s">
        <v>10075</v>
      </c>
      <c r="F6520">
        <v>11226</v>
      </c>
      <c r="G6520" t="s">
        <v>10093</v>
      </c>
      <c r="H6520" t="s">
        <v>10101</v>
      </c>
      <c r="I6520" t="s">
        <v>10168</v>
      </c>
      <c r="J6520" t="s">
        <v>10213</v>
      </c>
      <c r="K6520" t="s">
        <v>10217</v>
      </c>
      <c r="M6520" t="s">
        <v>10592</v>
      </c>
      <c r="N6520" t="s">
        <v>10667</v>
      </c>
      <c r="P6520" t="s">
        <v>10749</v>
      </c>
      <c r="Q6520" t="s">
        <v>10765</v>
      </c>
      <c r="R6520" t="s">
        <v>10824</v>
      </c>
      <c r="T6520">
        <v>12200</v>
      </c>
      <c r="U6520">
        <v>1016.67</v>
      </c>
      <c r="V6520">
        <v>47</v>
      </c>
      <c r="W6520">
        <v>1</v>
      </c>
      <c r="X6520">
        <v>2</v>
      </c>
      <c r="Z6520">
        <v>57.2</v>
      </c>
      <c r="AA6520">
        <v>40.647025</v>
      </c>
      <c r="AB6520">
        <v>-73.959598</v>
      </c>
      <c r="AD6520" t="s">
        <v>10839</v>
      </c>
      <c r="AG6520" t="s">
        <v>10858</v>
      </c>
      <c r="AH6520" t="s">
        <v>10861</v>
      </c>
      <c r="AI6520">
        <v>239</v>
      </c>
      <c r="AJ6520" t="s">
        <v>10213</v>
      </c>
      <c r="AL6520">
        <v>0</v>
      </c>
      <c r="AR6520" t="s">
        <v>11285</v>
      </c>
      <c r="AS6520" t="s">
        <v>11595</v>
      </c>
      <c r="BA6520" t="s">
        <v>11741</v>
      </c>
      <c r="BB6520">
        <v>0</v>
      </c>
      <c r="BC6520">
        <v>0</v>
      </c>
      <c r="BD6520">
        <v>0</v>
      </c>
      <c r="BE6520">
        <v>0</v>
      </c>
      <c r="BF6520">
        <v>1</v>
      </c>
      <c r="BG6520">
        <v>0</v>
      </c>
    </row>
    <row r="6521" spans="1:59">
      <c r="A6521" s="1">
        <f>HYPERLINK("https://lsnyc.legalserver.org/matter/dynamic-profile/view/1910869","19-1910869")</f>
        <v>0</v>
      </c>
      <c r="B6521" t="s">
        <v>4992</v>
      </c>
      <c r="C6521" t="s">
        <v>9914</v>
      </c>
      <c r="D6521" t="s">
        <v>9941</v>
      </c>
      <c r="E6521" t="s">
        <v>10075</v>
      </c>
      <c r="F6521">
        <v>11429</v>
      </c>
      <c r="G6521" t="s">
        <v>10093</v>
      </c>
      <c r="H6521" t="s">
        <v>10101</v>
      </c>
      <c r="I6521" t="s">
        <v>10168</v>
      </c>
      <c r="J6521" t="s">
        <v>10213</v>
      </c>
      <c r="K6521" t="s">
        <v>10217</v>
      </c>
      <c r="M6521" t="s">
        <v>10436</v>
      </c>
      <c r="N6521" t="s">
        <v>10671</v>
      </c>
      <c r="P6521" t="s">
        <v>10750</v>
      </c>
      <c r="Q6521" t="s">
        <v>10760</v>
      </c>
      <c r="R6521" t="s">
        <v>10824</v>
      </c>
      <c r="T6521">
        <v>21600</v>
      </c>
      <c r="U6521">
        <v>1800</v>
      </c>
      <c r="V6521">
        <v>76</v>
      </c>
      <c r="W6521">
        <v>1</v>
      </c>
      <c r="X6521">
        <v>0</v>
      </c>
      <c r="Z6521">
        <v>172.94</v>
      </c>
      <c r="AA6521">
        <v>40.715938</v>
      </c>
      <c r="AB6521">
        <v>-73.73715900000001</v>
      </c>
      <c r="AD6521" t="s">
        <v>10839</v>
      </c>
      <c r="AG6521" t="s">
        <v>10858</v>
      </c>
      <c r="AH6521" t="s">
        <v>10861</v>
      </c>
      <c r="AI6521">
        <v>234</v>
      </c>
      <c r="AJ6521" t="s">
        <v>10214</v>
      </c>
      <c r="AL6521">
        <v>0.5</v>
      </c>
      <c r="AM6521" t="s">
        <v>10892</v>
      </c>
      <c r="AN6521" t="s">
        <v>10940</v>
      </c>
      <c r="AO6521" t="s">
        <v>11020</v>
      </c>
      <c r="AP6521" t="s">
        <v>11075</v>
      </c>
      <c r="AR6521" t="s">
        <v>11300</v>
      </c>
      <c r="AS6521" t="s">
        <v>11594</v>
      </c>
      <c r="AT6521" t="s">
        <v>11641</v>
      </c>
      <c r="AX6521" t="s">
        <v>10838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</row>
    <row r="6522" spans="1:59">
      <c r="A6522" s="1">
        <f>HYPERLINK("https://lsnyc.legalserver.org/matter/dynamic-profile/view/1910870","19-1910870")</f>
        <v>0</v>
      </c>
      <c r="B6522" t="s">
        <v>4993</v>
      </c>
      <c r="C6522" t="s">
        <v>9011</v>
      </c>
      <c r="D6522" t="s">
        <v>9926</v>
      </c>
      <c r="E6522" t="s">
        <v>10075</v>
      </c>
      <c r="F6522">
        <v>10452</v>
      </c>
      <c r="G6522" t="s">
        <v>10090</v>
      </c>
      <c r="H6522" t="s">
        <v>10101</v>
      </c>
      <c r="I6522" t="s">
        <v>10168</v>
      </c>
      <c r="J6522" t="s">
        <v>10210</v>
      </c>
      <c r="K6522" t="s">
        <v>10217</v>
      </c>
      <c r="M6522" t="s">
        <v>10569</v>
      </c>
      <c r="N6522" t="s">
        <v>10671</v>
      </c>
      <c r="P6522" t="s">
        <v>10751</v>
      </c>
      <c r="Q6522" t="s">
        <v>10780</v>
      </c>
      <c r="R6522" t="s">
        <v>10821</v>
      </c>
      <c r="T6522">
        <v>598</v>
      </c>
      <c r="U6522">
        <v>49.83</v>
      </c>
      <c r="V6522">
        <v>41</v>
      </c>
      <c r="W6522">
        <v>1</v>
      </c>
      <c r="X6522">
        <v>1</v>
      </c>
      <c r="Z6522">
        <v>3.54</v>
      </c>
      <c r="AA6522">
        <v>40.833676</v>
      </c>
      <c r="AB6522">
        <v>-73.92962199999999</v>
      </c>
      <c r="AD6522" t="s">
        <v>10839</v>
      </c>
      <c r="AG6522" t="s">
        <v>10858</v>
      </c>
      <c r="AH6522" t="s">
        <v>10861</v>
      </c>
      <c r="AI6522">
        <v>234</v>
      </c>
      <c r="AJ6522" t="s">
        <v>10214</v>
      </c>
      <c r="AL6522">
        <v>1.15</v>
      </c>
      <c r="AM6522" t="s">
        <v>10884</v>
      </c>
      <c r="AN6522" t="s">
        <v>10924</v>
      </c>
      <c r="AO6522" t="s">
        <v>11013</v>
      </c>
      <c r="AP6522" t="s">
        <v>11066</v>
      </c>
      <c r="AR6522" t="s">
        <v>11344</v>
      </c>
      <c r="AS6522" t="s">
        <v>9926</v>
      </c>
      <c r="AT6522" t="s">
        <v>11641</v>
      </c>
      <c r="AX6522" t="s">
        <v>10837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</row>
    <row r="6523" spans="1:59">
      <c r="A6523" s="1">
        <f>HYPERLINK("https://lsnyc.legalserver.org/matter/dynamic-profile/view/1910871","19-1910871")</f>
        <v>0</v>
      </c>
      <c r="B6523" t="s">
        <v>4984</v>
      </c>
      <c r="C6523" t="s">
        <v>7603</v>
      </c>
      <c r="D6523" t="s">
        <v>9926</v>
      </c>
      <c r="E6523" t="s">
        <v>10075</v>
      </c>
      <c r="F6523">
        <v>10462</v>
      </c>
      <c r="G6523" t="s">
        <v>10090</v>
      </c>
      <c r="H6523" t="s">
        <v>10101</v>
      </c>
      <c r="J6523" t="s">
        <v>10210</v>
      </c>
      <c r="K6523" t="s">
        <v>10217</v>
      </c>
      <c r="M6523" t="s">
        <v>10230</v>
      </c>
      <c r="N6523" t="s">
        <v>10671</v>
      </c>
      <c r="P6523" t="s">
        <v>10751</v>
      </c>
      <c r="Q6523" t="s">
        <v>10761</v>
      </c>
      <c r="R6523" t="s">
        <v>10824</v>
      </c>
      <c r="T6523">
        <v>0</v>
      </c>
      <c r="U6523">
        <v>0</v>
      </c>
      <c r="V6523">
        <v>44</v>
      </c>
      <c r="W6523">
        <v>2</v>
      </c>
      <c r="X6523">
        <v>3</v>
      </c>
      <c r="Z6523">
        <v>0</v>
      </c>
      <c r="AA6523">
        <v>40.841249</v>
      </c>
      <c r="AB6523">
        <v>-73.854806</v>
      </c>
      <c r="AD6523" t="s">
        <v>10839</v>
      </c>
      <c r="AG6523" t="s">
        <v>10858</v>
      </c>
      <c r="AH6523" t="s">
        <v>10862</v>
      </c>
      <c r="AI6523">
        <v>230</v>
      </c>
      <c r="AJ6523" t="s">
        <v>10210</v>
      </c>
      <c r="AL6523">
        <v>0.5</v>
      </c>
      <c r="AR6523" t="s">
        <v>11267</v>
      </c>
      <c r="AS6523" t="s">
        <v>9926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</row>
    <row r="6524" spans="1:59">
      <c r="A6524" s="1">
        <f>HYPERLINK("https://lsnyc.legalserver.org/matter/dynamic-profile/view/1910872","19-1910872")</f>
        <v>0</v>
      </c>
      <c r="B6524" t="s">
        <v>4994</v>
      </c>
      <c r="C6524" t="s">
        <v>9915</v>
      </c>
      <c r="D6524" t="s">
        <v>9927</v>
      </c>
      <c r="E6524" t="s">
        <v>10075</v>
      </c>
      <c r="F6524">
        <v>11377</v>
      </c>
      <c r="G6524" t="s">
        <v>10092</v>
      </c>
      <c r="H6524" t="s">
        <v>10101</v>
      </c>
      <c r="J6524" t="s">
        <v>10212</v>
      </c>
      <c r="K6524" t="s">
        <v>10217</v>
      </c>
      <c r="M6524" t="s">
        <v>10350</v>
      </c>
      <c r="N6524" t="s">
        <v>10692</v>
      </c>
      <c r="P6524" t="s">
        <v>10754</v>
      </c>
      <c r="Q6524" t="s">
        <v>10775</v>
      </c>
      <c r="R6524" t="s">
        <v>10822</v>
      </c>
      <c r="T6524">
        <v>20800</v>
      </c>
      <c r="U6524">
        <v>1733.33</v>
      </c>
      <c r="V6524">
        <v>38</v>
      </c>
      <c r="W6524">
        <v>1</v>
      </c>
      <c r="X6524">
        <v>0</v>
      </c>
      <c r="Z6524">
        <v>166.53</v>
      </c>
      <c r="AA6524">
        <v>40.738613</v>
      </c>
      <c r="AB6524">
        <v>-73.920812</v>
      </c>
      <c r="AD6524" t="s">
        <v>10839</v>
      </c>
      <c r="AF6524" t="s">
        <v>10843</v>
      </c>
      <c r="AG6524" t="s">
        <v>10859</v>
      </c>
      <c r="AH6524" t="s">
        <v>10865</v>
      </c>
      <c r="AI6524">
        <v>237</v>
      </c>
      <c r="AJ6524" t="s">
        <v>10212</v>
      </c>
      <c r="AL6524">
        <v>2.75</v>
      </c>
      <c r="AM6524" t="s">
        <v>10885</v>
      </c>
      <c r="AN6524" t="s">
        <v>10961</v>
      </c>
      <c r="AO6524" t="s">
        <v>11003</v>
      </c>
      <c r="AP6524" t="s">
        <v>11047</v>
      </c>
      <c r="AR6524" t="s">
        <v>11257</v>
      </c>
      <c r="AS6524" t="s">
        <v>11594</v>
      </c>
      <c r="BA6524" t="s">
        <v>11740</v>
      </c>
      <c r="BB6524">
        <v>0</v>
      </c>
      <c r="BC6524">
        <v>0</v>
      </c>
      <c r="BD6524">
        <v>0</v>
      </c>
      <c r="BE6524">
        <v>0</v>
      </c>
      <c r="BF6524">
        <v>2</v>
      </c>
      <c r="BG6524">
        <v>0</v>
      </c>
    </row>
    <row r="6525" spans="1:59">
      <c r="A6525" s="1">
        <f>HYPERLINK("https://lsnyc.legalserver.org/matter/dynamic-profile/view/1910873","19-1910873")</f>
        <v>0</v>
      </c>
      <c r="B6525" t="s">
        <v>759</v>
      </c>
      <c r="C6525" t="s">
        <v>5661</v>
      </c>
      <c r="D6525" t="s">
        <v>9931</v>
      </c>
      <c r="E6525" t="s">
        <v>10075</v>
      </c>
      <c r="F6525">
        <v>11354</v>
      </c>
      <c r="G6525" t="s">
        <v>10092</v>
      </c>
      <c r="H6525" t="s">
        <v>10101</v>
      </c>
      <c r="I6525" t="s">
        <v>10169</v>
      </c>
      <c r="J6525" t="s">
        <v>10212</v>
      </c>
      <c r="K6525" t="s">
        <v>10217</v>
      </c>
      <c r="M6525" t="s">
        <v>10422</v>
      </c>
      <c r="N6525" t="s">
        <v>10673</v>
      </c>
      <c r="P6525" t="s">
        <v>10753</v>
      </c>
      <c r="Q6525" t="s">
        <v>10763</v>
      </c>
      <c r="R6525" t="s">
        <v>10821</v>
      </c>
      <c r="T6525">
        <v>0</v>
      </c>
      <c r="U6525">
        <v>0</v>
      </c>
      <c r="V6525">
        <v>19</v>
      </c>
      <c r="W6525">
        <v>3</v>
      </c>
      <c r="X6525">
        <v>3</v>
      </c>
      <c r="Z6525">
        <v>0</v>
      </c>
      <c r="AA6525">
        <v>40.764097</v>
      </c>
      <c r="AB6525">
        <v>-73.82551100000001</v>
      </c>
      <c r="AD6525" t="s">
        <v>10840</v>
      </c>
      <c r="AF6525" t="s">
        <v>10842</v>
      </c>
      <c r="AG6525" t="s">
        <v>10859</v>
      </c>
      <c r="AH6525" t="s">
        <v>10864</v>
      </c>
      <c r="AI6525">
        <v>237</v>
      </c>
      <c r="AJ6525" t="s">
        <v>10212</v>
      </c>
      <c r="AL6525">
        <v>1</v>
      </c>
      <c r="AM6525" t="s">
        <v>10890</v>
      </c>
      <c r="AN6525" t="s">
        <v>10927</v>
      </c>
      <c r="AO6525" t="s">
        <v>11009</v>
      </c>
      <c r="AP6525" t="s">
        <v>11067</v>
      </c>
      <c r="AQ6525" t="s">
        <v>11142</v>
      </c>
      <c r="AR6525" t="s">
        <v>11266</v>
      </c>
      <c r="AS6525" t="s">
        <v>11594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</row>
    <row r="6526" spans="1:59">
      <c r="A6526" s="1">
        <f>HYPERLINK("https://lsnyc.legalserver.org/matter/dynamic-profile/view/1910874","19-1910874")</f>
        <v>0</v>
      </c>
      <c r="B6526" t="s">
        <v>299</v>
      </c>
      <c r="C6526" t="s">
        <v>9916</v>
      </c>
      <c r="D6526" t="s">
        <v>9928</v>
      </c>
      <c r="E6526" t="s">
        <v>10075</v>
      </c>
      <c r="F6526">
        <v>11225</v>
      </c>
      <c r="G6526" t="s">
        <v>10093</v>
      </c>
      <c r="H6526" t="s">
        <v>10101</v>
      </c>
      <c r="I6526" t="s">
        <v>10168</v>
      </c>
      <c r="J6526" t="s">
        <v>10213</v>
      </c>
      <c r="K6526" t="s">
        <v>10217</v>
      </c>
      <c r="M6526" t="s">
        <v>10348</v>
      </c>
      <c r="N6526" t="s">
        <v>10650</v>
      </c>
      <c r="P6526" t="s">
        <v>10751</v>
      </c>
      <c r="Q6526" t="s">
        <v>10761</v>
      </c>
      <c r="R6526" t="s">
        <v>10824</v>
      </c>
      <c r="T6526">
        <v>28860</v>
      </c>
      <c r="U6526">
        <v>2405</v>
      </c>
      <c r="V6526">
        <v>44</v>
      </c>
      <c r="W6526">
        <v>2</v>
      </c>
      <c r="X6526">
        <v>3</v>
      </c>
      <c r="Z6526">
        <v>95.66</v>
      </c>
      <c r="AA6526">
        <v>40.668364</v>
      </c>
      <c r="AB6526">
        <v>-73.95726999999999</v>
      </c>
      <c r="AD6526" t="s">
        <v>10839</v>
      </c>
      <c r="AG6526" t="s">
        <v>10858</v>
      </c>
      <c r="AH6526" t="s">
        <v>10862</v>
      </c>
      <c r="AI6526">
        <v>239</v>
      </c>
      <c r="AJ6526" t="s">
        <v>10213</v>
      </c>
      <c r="AL6526">
        <v>0.5</v>
      </c>
      <c r="AM6526" t="s">
        <v>10888</v>
      </c>
      <c r="AN6526" t="s">
        <v>10923</v>
      </c>
      <c r="AO6526" t="s">
        <v>11005</v>
      </c>
      <c r="AP6526" t="s">
        <v>11061</v>
      </c>
      <c r="AR6526" t="s">
        <v>11335</v>
      </c>
      <c r="AS6526" t="s">
        <v>11595</v>
      </c>
      <c r="AT6526" t="s">
        <v>11641</v>
      </c>
      <c r="AX6526" t="s">
        <v>10838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</row>
    <row r="6527" spans="1:59">
      <c r="A6527" s="1">
        <f>HYPERLINK("https://lsnyc.legalserver.org/matter/dynamic-profile/view/1910876","19-1910876")</f>
        <v>0</v>
      </c>
      <c r="B6527" t="s">
        <v>4995</v>
      </c>
      <c r="C6527" t="s">
        <v>9917</v>
      </c>
      <c r="D6527" t="s">
        <v>9938</v>
      </c>
      <c r="E6527" t="s">
        <v>10075</v>
      </c>
      <c r="F6527">
        <v>11435</v>
      </c>
      <c r="G6527" t="s">
        <v>10092</v>
      </c>
      <c r="H6527" t="s">
        <v>10101</v>
      </c>
      <c r="I6527" t="s">
        <v>10169</v>
      </c>
      <c r="J6527" t="s">
        <v>10212</v>
      </c>
      <c r="K6527" t="s">
        <v>10217</v>
      </c>
      <c r="M6527" t="s">
        <v>10547</v>
      </c>
      <c r="N6527" t="s">
        <v>10714</v>
      </c>
      <c r="P6527" t="s">
        <v>10753</v>
      </c>
      <c r="Q6527" t="s">
        <v>10763</v>
      </c>
      <c r="R6527" t="s">
        <v>10821</v>
      </c>
      <c r="T6527">
        <v>2328</v>
      </c>
      <c r="U6527">
        <v>194</v>
      </c>
      <c r="V6527">
        <v>58</v>
      </c>
      <c r="W6527">
        <v>1</v>
      </c>
      <c r="X6527">
        <v>0</v>
      </c>
      <c r="Z6527">
        <v>18.64</v>
      </c>
      <c r="AA6527">
        <v>40.70452</v>
      </c>
      <c r="AB6527">
        <v>-73.805823</v>
      </c>
      <c r="AD6527" t="s">
        <v>10839</v>
      </c>
      <c r="AF6527" t="s">
        <v>10843</v>
      </c>
      <c r="AG6527" t="s">
        <v>10859</v>
      </c>
      <c r="AH6527" t="s">
        <v>10864</v>
      </c>
      <c r="AI6527">
        <v>237</v>
      </c>
      <c r="AJ6527" t="s">
        <v>10212</v>
      </c>
      <c r="AL6527">
        <v>1.75</v>
      </c>
      <c r="AM6527" t="s">
        <v>10892</v>
      </c>
      <c r="AN6527" t="s">
        <v>10951</v>
      </c>
      <c r="AO6527" t="s">
        <v>11020</v>
      </c>
      <c r="AP6527" t="s">
        <v>11081</v>
      </c>
      <c r="AQ6527" t="s">
        <v>11097</v>
      </c>
      <c r="AR6527" t="s">
        <v>11471</v>
      </c>
      <c r="AS6527" t="s">
        <v>11594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</row>
    <row r="6528" spans="1:59">
      <c r="A6528" s="1">
        <f>HYPERLINK("https://lsnyc.legalserver.org/matter/dynamic-profile/view/1910877","19-1910877")</f>
        <v>0</v>
      </c>
      <c r="B6528" t="s">
        <v>3105</v>
      </c>
      <c r="C6528" t="s">
        <v>9918</v>
      </c>
      <c r="D6528" t="s">
        <v>9926</v>
      </c>
      <c r="E6528" t="s">
        <v>10075</v>
      </c>
      <c r="F6528">
        <v>10460</v>
      </c>
      <c r="G6528" t="s">
        <v>10090</v>
      </c>
      <c r="H6528" t="s">
        <v>10101</v>
      </c>
      <c r="I6528" t="s">
        <v>10180</v>
      </c>
      <c r="J6528" t="s">
        <v>10210</v>
      </c>
      <c r="K6528" t="s">
        <v>10217</v>
      </c>
      <c r="M6528" t="s">
        <v>10412</v>
      </c>
      <c r="N6528" t="s">
        <v>10712</v>
      </c>
      <c r="P6528" t="s">
        <v>10753</v>
      </c>
      <c r="Q6528" t="s">
        <v>10763</v>
      </c>
      <c r="R6528" t="s">
        <v>10824</v>
      </c>
      <c r="T6528">
        <v>4800</v>
      </c>
      <c r="U6528">
        <v>400</v>
      </c>
      <c r="V6528">
        <v>27</v>
      </c>
      <c r="W6528">
        <v>2</v>
      </c>
      <c r="X6528">
        <v>1</v>
      </c>
      <c r="Z6528">
        <v>22.5</v>
      </c>
      <c r="AA6528">
        <v>40.834531</v>
      </c>
      <c r="AB6528">
        <v>-73.886883</v>
      </c>
      <c r="AD6528" t="s">
        <v>10839</v>
      </c>
      <c r="AF6528" t="s">
        <v>10842</v>
      </c>
      <c r="AG6528" t="s">
        <v>10859</v>
      </c>
      <c r="AH6528" t="s">
        <v>10865</v>
      </c>
      <c r="AI6528">
        <v>230</v>
      </c>
      <c r="AJ6528" t="s">
        <v>10210</v>
      </c>
      <c r="AL6528">
        <v>2</v>
      </c>
      <c r="AM6528" t="s">
        <v>10884</v>
      </c>
      <c r="AN6528" t="s">
        <v>10918</v>
      </c>
      <c r="AO6528" t="s">
        <v>11001</v>
      </c>
      <c r="AP6528" t="s">
        <v>11062</v>
      </c>
      <c r="AQ6528" t="s">
        <v>11109</v>
      </c>
      <c r="AR6528" t="s">
        <v>11257</v>
      </c>
      <c r="AS6528" t="s">
        <v>9926</v>
      </c>
      <c r="AT6528" t="s">
        <v>11641</v>
      </c>
      <c r="AX6528" t="s">
        <v>10838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</row>
    <row r="6529" spans="1:59">
      <c r="A6529" s="1">
        <f>HYPERLINK("https://lsnyc.legalserver.org/matter/dynamic-profile/view/1910879","19-1910879")</f>
        <v>0</v>
      </c>
      <c r="B6529" t="s">
        <v>4996</v>
      </c>
      <c r="C6529" t="s">
        <v>9919</v>
      </c>
      <c r="D6529" t="s">
        <v>9926</v>
      </c>
      <c r="E6529" t="s">
        <v>10075</v>
      </c>
      <c r="F6529">
        <v>10456</v>
      </c>
      <c r="G6529" t="s">
        <v>10090</v>
      </c>
      <c r="H6529" t="s">
        <v>10101</v>
      </c>
      <c r="I6529" t="s">
        <v>10168</v>
      </c>
      <c r="J6529" t="s">
        <v>10210</v>
      </c>
      <c r="K6529" t="s">
        <v>10217</v>
      </c>
      <c r="M6529" t="s">
        <v>10297</v>
      </c>
      <c r="N6529" t="s">
        <v>10651</v>
      </c>
      <c r="P6529" t="s">
        <v>10749</v>
      </c>
      <c r="Q6529" t="s">
        <v>10765</v>
      </c>
      <c r="R6529" t="s">
        <v>10825</v>
      </c>
      <c r="T6529">
        <v>7800</v>
      </c>
      <c r="U6529">
        <v>650</v>
      </c>
      <c r="V6529">
        <v>42</v>
      </c>
      <c r="W6529">
        <v>1</v>
      </c>
      <c r="X6529">
        <v>0</v>
      </c>
      <c r="Z6529">
        <v>62.45</v>
      </c>
      <c r="AA6529">
        <v>40.834305</v>
      </c>
      <c r="AB6529">
        <v>-73.901382</v>
      </c>
      <c r="AD6529" t="s">
        <v>10839</v>
      </c>
      <c r="AG6529" t="s">
        <v>10858</v>
      </c>
      <c r="AH6529" t="s">
        <v>10862</v>
      </c>
      <c r="AI6529">
        <v>230</v>
      </c>
      <c r="AJ6529" t="s">
        <v>10210</v>
      </c>
      <c r="AL6529">
        <v>5.5</v>
      </c>
      <c r="AM6529" t="s">
        <v>10884</v>
      </c>
      <c r="AN6529" t="s">
        <v>10918</v>
      </c>
      <c r="AO6529" t="s">
        <v>11000</v>
      </c>
      <c r="AP6529" t="s">
        <v>11055</v>
      </c>
      <c r="AR6529" t="s">
        <v>11443</v>
      </c>
      <c r="AS6529" t="s">
        <v>9926</v>
      </c>
      <c r="BA6529" t="s">
        <v>11738</v>
      </c>
      <c r="BB6529">
        <v>0</v>
      </c>
      <c r="BC6529">
        <v>0</v>
      </c>
      <c r="BD6529">
        <v>0</v>
      </c>
      <c r="BE6529">
        <v>0</v>
      </c>
      <c r="BF6529">
        <v>5</v>
      </c>
      <c r="BG6529">
        <v>0</v>
      </c>
    </row>
    <row r="6530" spans="1:59">
      <c r="A6530" s="1">
        <f>HYPERLINK("https://lsnyc.legalserver.org/matter/dynamic-profile/view/1910892","19-1910892")</f>
        <v>0</v>
      </c>
      <c r="B6530" t="s">
        <v>4997</v>
      </c>
      <c r="C6530" t="s">
        <v>9920</v>
      </c>
      <c r="D6530" t="s">
        <v>9928</v>
      </c>
      <c r="E6530" t="s">
        <v>10075</v>
      </c>
      <c r="F6530">
        <v>11235</v>
      </c>
      <c r="G6530" t="s">
        <v>10093</v>
      </c>
      <c r="H6530" t="s">
        <v>10158</v>
      </c>
      <c r="I6530" t="s">
        <v>10171</v>
      </c>
      <c r="J6530" t="s">
        <v>10213</v>
      </c>
      <c r="K6530" t="s">
        <v>10217</v>
      </c>
      <c r="M6530" t="s">
        <v>10390</v>
      </c>
      <c r="N6530" t="s">
        <v>10680</v>
      </c>
      <c r="P6530" t="s">
        <v>10749</v>
      </c>
      <c r="Q6530" t="s">
        <v>10774</v>
      </c>
      <c r="R6530" t="s">
        <v>10820</v>
      </c>
      <c r="T6530">
        <v>10296</v>
      </c>
      <c r="U6530">
        <v>858</v>
      </c>
      <c r="V6530">
        <v>87</v>
      </c>
      <c r="W6530">
        <v>1</v>
      </c>
      <c r="X6530">
        <v>0</v>
      </c>
      <c r="Z6530">
        <v>82.43000000000001</v>
      </c>
      <c r="AA6530">
        <v>40.577537</v>
      </c>
      <c r="AB6530">
        <v>-73.968823</v>
      </c>
      <c r="AD6530" t="s">
        <v>10839</v>
      </c>
      <c r="AG6530" t="s">
        <v>10858</v>
      </c>
      <c r="AH6530" t="s">
        <v>10869</v>
      </c>
      <c r="AI6530">
        <v>239</v>
      </c>
      <c r="AJ6530" t="s">
        <v>10213</v>
      </c>
      <c r="AL6530">
        <v>0</v>
      </c>
      <c r="AM6530" t="s">
        <v>10889</v>
      </c>
      <c r="AN6530" t="s">
        <v>10960</v>
      </c>
      <c r="AO6530" t="s">
        <v>11006</v>
      </c>
      <c r="AP6530" t="s">
        <v>11092</v>
      </c>
      <c r="AQ6530" t="s">
        <v>11148</v>
      </c>
      <c r="AR6530" t="s">
        <v>11263</v>
      </c>
      <c r="AS6530" t="s">
        <v>11595</v>
      </c>
      <c r="BA6530" t="s">
        <v>11742</v>
      </c>
      <c r="BB6530">
        <v>0</v>
      </c>
      <c r="BC6530">
        <v>0</v>
      </c>
      <c r="BD6530">
        <v>0</v>
      </c>
      <c r="BE6530">
        <v>0</v>
      </c>
      <c r="BF6530">
        <v>7</v>
      </c>
      <c r="BG6530">
        <v>0</v>
      </c>
    </row>
    <row r="6531" spans="1:59">
      <c r="A6531" s="1">
        <f>HYPERLINK("https://lsnyc.legalserver.org/matter/dynamic-profile/view/1910920","19-1910920")</f>
        <v>0</v>
      </c>
      <c r="B6531" t="s">
        <v>4162</v>
      </c>
      <c r="C6531" t="s">
        <v>9921</v>
      </c>
      <c r="D6531" t="s">
        <v>9929</v>
      </c>
      <c r="E6531" t="s">
        <v>10075</v>
      </c>
      <c r="F6531">
        <v>10303</v>
      </c>
      <c r="G6531" t="s">
        <v>10088</v>
      </c>
      <c r="H6531" t="s">
        <v>10101</v>
      </c>
      <c r="I6531" t="s">
        <v>10169</v>
      </c>
      <c r="J6531" t="s">
        <v>10208</v>
      </c>
      <c r="K6531" t="s">
        <v>10217</v>
      </c>
      <c r="M6531" t="s">
        <v>10409</v>
      </c>
      <c r="N6531" t="s">
        <v>10649</v>
      </c>
      <c r="P6531" t="s">
        <v>10753</v>
      </c>
      <c r="Q6531" t="s">
        <v>10763</v>
      </c>
      <c r="R6531" t="s">
        <v>10821</v>
      </c>
      <c r="T6531">
        <v>0</v>
      </c>
      <c r="U6531">
        <v>0</v>
      </c>
      <c r="V6531">
        <v>52</v>
      </c>
      <c r="W6531">
        <v>4</v>
      </c>
      <c r="X6531">
        <v>4</v>
      </c>
      <c r="Z6531">
        <v>0</v>
      </c>
      <c r="AA6531">
        <v>40.631669</v>
      </c>
      <c r="AB6531">
        <v>-74.146946</v>
      </c>
      <c r="AD6531" t="s">
        <v>10839</v>
      </c>
      <c r="AF6531" t="s">
        <v>10844</v>
      </c>
      <c r="AG6531" t="s">
        <v>10859</v>
      </c>
      <c r="AH6531" t="s">
        <v>10861</v>
      </c>
      <c r="AI6531">
        <v>285</v>
      </c>
      <c r="AJ6531" t="s">
        <v>10208</v>
      </c>
      <c r="AL6531">
        <v>0</v>
      </c>
      <c r="AM6531" t="s">
        <v>10883</v>
      </c>
      <c r="AN6531" t="s">
        <v>10913</v>
      </c>
      <c r="AO6531" t="s">
        <v>11006</v>
      </c>
      <c r="AP6531" t="s">
        <v>11051</v>
      </c>
      <c r="AR6531" t="s">
        <v>11267</v>
      </c>
      <c r="AS6531" t="s">
        <v>11593</v>
      </c>
      <c r="AT6531" t="s">
        <v>11641</v>
      </c>
      <c r="AX6531" t="s">
        <v>10838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</row>
    <row r="6532" spans="1:59">
      <c r="A6532" s="1">
        <f>HYPERLINK("https://lsnyc.legalserver.org/matter/dynamic-profile/view/1910974","19-1910974")</f>
        <v>0</v>
      </c>
      <c r="B6532" t="s">
        <v>4998</v>
      </c>
      <c r="C6532" t="s">
        <v>9922</v>
      </c>
      <c r="D6532" t="s">
        <v>9929</v>
      </c>
      <c r="E6532" t="s">
        <v>10075</v>
      </c>
      <c r="F6532">
        <v>10314</v>
      </c>
      <c r="G6532" t="s">
        <v>10088</v>
      </c>
      <c r="H6532" t="s">
        <v>10101</v>
      </c>
      <c r="I6532" t="s">
        <v>10168</v>
      </c>
      <c r="J6532" t="s">
        <v>10208</v>
      </c>
      <c r="K6532" t="s">
        <v>10217</v>
      </c>
      <c r="M6532" t="s">
        <v>10409</v>
      </c>
      <c r="N6532" t="s">
        <v>10649</v>
      </c>
      <c r="P6532" t="s">
        <v>10753</v>
      </c>
      <c r="Q6532" t="s">
        <v>10763</v>
      </c>
      <c r="R6532" t="s">
        <v>10824</v>
      </c>
      <c r="T6532">
        <v>0</v>
      </c>
      <c r="U6532">
        <v>0</v>
      </c>
      <c r="V6532">
        <v>15</v>
      </c>
      <c r="W6532">
        <v>1</v>
      </c>
      <c r="X6532">
        <v>1</v>
      </c>
      <c r="Z6532">
        <v>0</v>
      </c>
      <c r="AA6532">
        <v>40.614712</v>
      </c>
      <c r="AB6532">
        <v>-74.160076</v>
      </c>
      <c r="AD6532" t="s">
        <v>10839</v>
      </c>
      <c r="AF6532" t="s">
        <v>10842</v>
      </c>
      <c r="AG6532" t="s">
        <v>10859</v>
      </c>
      <c r="AH6532" t="s">
        <v>10861</v>
      </c>
      <c r="AI6532">
        <v>285</v>
      </c>
      <c r="AJ6532" t="s">
        <v>10208</v>
      </c>
      <c r="AL6532">
        <v>0</v>
      </c>
      <c r="AM6532" t="s">
        <v>10883</v>
      </c>
      <c r="AN6532" t="s">
        <v>10928</v>
      </c>
      <c r="AO6532" t="s">
        <v>10999</v>
      </c>
      <c r="AP6532" t="s">
        <v>11063</v>
      </c>
      <c r="AR6532" t="s">
        <v>11267</v>
      </c>
      <c r="AS6532" t="s">
        <v>11593</v>
      </c>
      <c r="AT6532" t="s">
        <v>11641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</row>
    <row r="6533" spans="1:59">
      <c r="A6533" s="1">
        <f>HYPERLINK("https://lsnyc.legalserver.org/matter/dynamic-profile/view/1910977","19-1910977")</f>
        <v>0</v>
      </c>
      <c r="B6533" t="s">
        <v>4999</v>
      </c>
      <c r="C6533" t="s">
        <v>9923</v>
      </c>
      <c r="D6533" t="s">
        <v>9928</v>
      </c>
      <c r="E6533" t="s">
        <v>10075</v>
      </c>
      <c r="F6533">
        <v>11229</v>
      </c>
      <c r="G6533" t="s">
        <v>10089</v>
      </c>
      <c r="H6533" t="s">
        <v>10162</v>
      </c>
      <c r="I6533" t="s">
        <v>10168</v>
      </c>
      <c r="J6533" t="s">
        <v>10209</v>
      </c>
      <c r="K6533" t="s">
        <v>10217</v>
      </c>
      <c r="M6533" t="s">
        <v>10447</v>
      </c>
      <c r="N6533" t="s">
        <v>10649</v>
      </c>
      <c r="P6533" t="s">
        <v>10753</v>
      </c>
      <c r="Q6533" t="s">
        <v>10763</v>
      </c>
      <c r="R6533" t="s">
        <v>10820</v>
      </c>
      <c r="T6533">
        <v>0</v>
      </c>
      <c r="U6533">
        <v>0</v>
      </c>
      <c r="V6533">
        <v>22</v>
      </c>
      <c r="W6533">
        <v>1</v>
      </c>
      <c r="X6533">
        <v>0</v>
      </c>
      <c r="Z6533">
        <v>0</v>
      </c>
      <c r="AA6533">
        <v>40.598498</v>
      </c>
      <c r="AB6533">
        <v>-73.945683</v>
      </c>
      <c r="AD6533" t="s">
        <v>10840</v>
      </c>
      <c r="AF6533" t="s">
        <v>10846</v>
      </c>
      <c r="AG6533" t="s">
        <v>10859</v>
      </c>
      <c r="AH6533" t="s">
        <v>10864</v>
      </c>
      <c r="AI6533">
        <v>236</v>
      </c>
      <c r="AJ6533" t="s">
        <v>10209</v>
      </c>
      <c r="AL6533">
        <v>1.75</v>
      </c>
      <c r="AM6533" t="s">
        <v>10888</v>
      </c>
      <c r="AN6533" t="s">
        <v>10957</v>
      </c>
      <c r="AO6533" t="s">
        <v>11012</v>
      </c>
      <c r="AP6533" t="s">
        <v>11092</v>
      </c>
      <c r="AR6533" t="s">
        <v>11267</v>
      </c>
      <c r="AS6533" t="s">
        <v>11595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</row>
    <row r="6534" spans="1:59">
      <c r="A6534" s="1">
        <f>HYPERLINK("https://lsnyc.legalserver.org/matter/dynamic-profile/view/1910978","19-1910978")</f>
        <v>0</v>
      </c>
      <c r="B6534" t="s">
        <v>3632</v>
      </c>
      <c r="C6534" t="s">
        <v>8440</v>
      </c>
      <c r="D6534" t="s">
        <v>9928</v>
      </c>
      <c r="E6534" t="s">
        <v>10075</v>
      </c>
      <c r="F6534">
        <v>11225</v>
      </c>
      <c r="G6534" t="s">
        <v>10093</v>
      </c>
      <c r="H6534" t="s">
        <v>10136</v>
      </c>
      <c r="I6534" t="s">
        <v>10168</v>
      </c>
      <c r="J6534" t="s">
        <v>10213</v>
      </c>
      <c r="K6534" t="s">
        <v>10217</v>
      </c>
      <c r="M6534" t="s">
        <v>10400</v>
      </c>
      <c r="N6534" t="s">
        <v>10671</v>
      </c>
      <c r="P6534" t="s">
        <v>10751</v>
      </c>
      <c r="Q6534" t="s">
        <v>10761</v>
      </c>
      <c r="R6534" t="s">
        <v>10824</v>
      </c>
      <c r="T6534">
        <v>8100</v>
      </c>
      <c r="U6534">
        <v>675</v>
      </c>
      <c r="V6534">
        <v>79</v>
      </c>
      <c r="W6534">
        <v>1</v>
      </c>
      <c r="X6534">
        <v>0</v>
      </c>
      <c r="Z6534">
        <v>64.84999999999999</v>
      </c>
      <c r="AA6534">
        <v>40.667135</v>
      </c>
      <c r="AB6534">
        <v>-73.954092</v>
      </c>
      <c r="AD6534" t="s">
        <v>10839</v>
      </c>
      <c r="AG6534" t="s">
        <v>10858</v>
      </c>
      <c r="AH6534" t="s">
        <v>10862</v>
      </c>
      <c r="AI6534">
        <v>239</v>
      </c>
      <c r="AJ6534" t="s">
        <v>10213</v>
      </c>
      <c r="AL6534">
        <v>0.5</v>
      </c>
      <c r="AM6534" t="s">
        <v>10888</v>
      </c>
      <c r="AN6534" t="s">
        <v>10923</v>
      </c>
      <c r="AO6534" t="s">
        <v>11005</v>
      </c>
      <c r="AP6534" t="s">
        <v>11061</v>
      </c>
      <c r="AR6534" t="s">
        <v>11268</v>
      </c>
      <c r="AS6534" t="s">
        <v>11595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GIS 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2019-10-04T14:40:27Z</dcterms:created>
  <dcterms:modified xsi:type="dcterms:W3CDTF">2019-10-04T14:40:27Z</dcterms:modified>
</cp:coreProperties>
</file>